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omments6.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style30.xml" ContentType="application/vnd.ms-office.chartstyle+xml"/>
  <Override PartName="/xl/charts/colors30.xml" ContentType="application/vnd.ms-office.chartcolorstyle+xml"/>
  <Override PartName="/xl/charts/chart34.xml" ContentType="application/vnd.openxmlformats-officedocument.drawingml.chart+xml"/>
  <Override PartName="/xl/charts/style31.xml" ContentType="application/vnd.ms-office.chartstyle+xml"/>
  <Override PartName="/xl/charts/colors31.xml" ContentType="application/vnd.ms-office.chartcolorstyle+xml"/>
  <Override PartName="/xl/charts/chart35.xml" ContentType="application/vnd.openxmlformats-officedocument.drawingml.chart+xml"/>
  <Override PartName="/xl/charts/style32.xml" ContentType="application/vnd.ms-office.chartstyle+xml"/>
  <Override PartName="/xl/charts/colors32.xml" ContentType="application/vnd.ms-office.chartcolorstyle+xml"/>
  <Override PartName="/xl/charts/chart36.xml" ContentType="application/vnd.openxmlformats-officedocument.drawingml.chart+xml"/>
  <Override PartName="/xl/charts/style33.xml" ContentType="application/vnd.ms-office.chartstyle+xml"/>
  <Override PartName="/xl/charts/colors33.xml" ContentType="application/vnd.ms-office.chartcolorstyle+xml"/>
  <Override PartName="/xl/charts/chart37.xml" ContentType="application/vnd.openxmlformats-officedocument.drawingml.chart+xml"/>
  <Override PartName="/xl/charts/style34.xml" ContentType="application/vnd.ms-office.chartstyle+xml"/>
  <Override PartName="/xl/charts/colors34.xml" ContentType="application/vnd.ms-office.chartcolorstyle+xml"/>
  <Override PartName="/xl/charts/chart38.xml" ContentType="application/vnd.openxmlformats-officedocument.drawingml.chart+xml"/>
  <Override PartName="/xl/charts/style35.xml" ContentType="application/vnd.ms-office.chartstyle+xml"/>
  <Override PartName="/xl/charts/colors35.xml" ContentType="application/vnd.ms-office.chartcolorstyle+xml"/>
  <Override PartName="/xl/charts/chart39.xml" ContentType="application/vnd.openxmlformats-officedocument.drawingml.chart+xml"/>
  <Override PartName="/xl/charts/style36.xml" ContentType="application/vnd.ms-office.chartstyle+xml"/>
  <Override PartName="/xl/charts/colors36.xml" ContentType="application/vnd.ms-office.chartcolorstyle+xml"/>
  <Override PartName="/xl/charts/chart40.xml" ContentType="application/vnd.openxmlformats-officedocument.drawingml.chart+xml"/>
  <Override PartName="/xl/charts/style37.xml" ContentType="application/vnd.ms-office.chartstyle+xml"/>
  <Override PartName="/xl/charts/colors37.xml" ContentType="application/vnd.ms-office.chartcolorstyle+xml"/>
  <Override PartName="/xl/charts/chart41.xml" ContentType="application/vnd.openxmlformats-officedocument.drawingml.chart+xml"/>
  <Override PartName="/xl/charts/style38.xml" ContentType="application/vnd.ms-office.chartstyle+xml"/>
  <Override PartName="/xl/charts/colors38.xml" ContentType="application/vnd.ms-office.chartcolorstyle+xml"/>
  <Override PartName="/xl/charts/chart42.xml" ContentType="application/vnd.openxmlformats-officedocument.drawingml.chart+xml"/>
  <Override PartName="/xl/charts/style39.xml" ContentType="application/vnd.ms-office.chartstyle+xml"/>
  <Override PartName="/xl/charts/colors39.xml" ContentType="application/vnd.ms-office.chartcolorstyle+xml"/>
  <Override PartName="/xl/charts/chart43.xml" ContentType="application/vnd.openxmlformats-officedocument.drawingml.chart+xml"/>
  <Override PartName="/xl/charts/style40.xml" ContentType="application/vnd.ms-office.chartstyle+xml"/>
  <Override PartName="/xl/charts/colors40.xml" ContentType="application/vnd.ms-office.chartcolorstyle+xml"/>
  <Override PartName="/xl/charts/chart44.xml" ContentType="application/vnd.openxmlformats-officedocument.drawingml.chart+xml"/>
  <Override PartName="/xl/charts/style41.xml" ContentType="application/vnd.ms-office.chartstyle+xml"/>
  <Override PartName="/xl/charts/colors41.xml" ContentType="application/vnd.ms-office.chartcolorstyle+xml"/>
  <Override PartName="/xl/charts/chart45.xml" ContentType="application/vnd.openxmlformats-officedocument.drawingml.chart+xml"/>
  <Override PartName="/xl/charts/style42.xml" ContentType="application/vnd.ms-office.chartstyle+xml"/>
  <Override PartName="/xl/charts/colors42.xml" ContentType="application/vnd.ms-office.chartcolorstyle+xml"/>
  <Override PartName="/xl/charts/chart46.xml" ContentType="application/vnd.openxmlformats-officedocument.drawingml.chart+xml"/>
  <Override PartName="/xl/charts/style43.xml" ContentType="application/vnd.ms-office.chartstyle+xml"/>
  <Override PartName="/xl/charts/colors43.xml" ContentType="application/vnd.ms-office.chartcolorstyle+xml"/>
  <Override PartName="/xl/charts/chart47.xml" ContentType="application/vnd.openxmlformats-officedocument.drawingml.chart+xml"/>
  <Override PartName="/xl/charts/style44.xml" ContentType="application/vnd.ms-office.chartstyle+xml"/>
  <Override PartName="/xl/charts/colors44.xml" ContentType="application/vnd.ms-office.chartcolorstyle+xml"/>
  <Override PartName="/xl/charts/chart48.xml" ContentType="application/vnd.openxmlformats-officedocument.drawingml.chart+xml"/>
  <Override PartName="/xl/charts/style45.xml" ContentType="application/vnd.ms-office.chartstyle+xml"/>
  <Override PartName="/xl/charts/colors45.xml" ContentType="application/vnd.ms-office.chartcolorstyle+xml"/>
  <Override PartName="/xl/charts/chart49.xml" ContentType="application/vnd.openxmlformats-officedocument.drawingml.chart+xml"/>
  <Override PartName="/xl/charts/style46.xml" ContentType="application/vnd.ms-office.chartstyle+xml"/>
  <Override PartName="/xl/charts/colors46.xml" ContentType="application/vnd.ms-office.chartcolorstyle+xml"/>
  <Override PartName="/xl/charts/chart50.xml" ContentType="application/vnd.openxmlformats-officedocument.drawingml.chart+xml"/>
  <Override PartName="/xl/charts/style47.xml" ContentType="application/vnd.ms-office.chartstyle+xml"/>
  <Override PartName="/xl/charts/colors47.xml" ContentType="application/vnd.ms-office.chartcolorstyle+xml"/>
  <Override PartName="/xl/charts/chart51.xml" ContentType="application/vnd.openxmlformats-officedocument.drawingml.chart+xml"/>
  <Override PartName="/xl/charts/style48.xml" ContentType="application/vnd.ms-office.chartstyle+xml"/>
  <Override PartName="/xl/charts/colors48.xml" ContentType="application/vnd.ms-office.chartcolorstyle+xml"/>
  <Override PartName="/xl/charts/chart52.xml" ContentType="application/vnd.openxmlformats-officedocument.drawingml.chart+xml"/>
  <Override PartName="/xl/charts/style49.xml" ContentType="application/vnd.ms-office.chartstyle+xml"/>
  <Override PartName="/xl/charts/colors49.xml" ContentType="application/vnd.ms-office.chartcolorstyle+xml"/>
  <Override PartName="/xl/charts/chart53.xml" ContentType="application/vnd.openxmlformats-officedocument.drawingml.chart+xml"/>
  <Override PartName="/xl/charts/style50.xml" ContentType="application/vnd.ms-office.chartstyle+xml"/>
  <Override PartName="/xl/charts/colors50.xml" ContentType="application/vnd.ms-office.chartcolorstyle+xml"/>
  <Override PartName="/xl/charts/chart54.xml" ContentType="application/vnd.openxmlformats-officedocument.drawingml.chart+xml"/>
  <Override PartName="/xl/charts/style51.xml" ContentType="application/vnd.ms-office.chartstyle+xml"/>
  <Override PartName="/xl/charts/colors51.xml" ContentType="application/vnd.ms-office.chartcolorstyle+xml"/>
  <Override PartName="/xl/charts/chart55.xml" ContentType="application/vnd.openxmlformats-officedocument.drawingml.chart+xml"/>
  <Override PartName="/xl/charts/style52.xml" ContentType="application/vnd.ms-office.chartstyle+xml"/>
  <Override PartName="/xl/charts/colors52.xml" ContentType="application/vnd.ms-office.chartcolorstyle+xml"/>
  <Override PartName="/xl/charts/chart56.xml" ContentType="application/vnd.openxmlformats-officedocument.drawingml.chart+xml"/>
  <Override PartName="/xl/charts/style53.xml" ContentType="application/vnd.ms-office.chartstyle+xml"/>
  <Override PartName="/xl/charts/colors53.xml" ContentType="application/vnd.ms-office.chartcolorstyle+xml"/>
  <Override PartName="/xl/charts/chart57.xml" ContentType="application/vnd.openxmlformats-officedocument.drawingml.chart+xml"/>
  <Override PartName="/xl/charts/style54.xml" ContentType="application/vnd.ms-office.chartstyle+xml"/>
  <Override PartName="/xl/charts/colors54.xml" ContentType="application/vnd.ms-office.chartcolorstyle+xml"/>
  <Override PartName="/xl/charts/chart58.xml" ContentType="application/vnd.openxmlformats-officedocument.drawingml.chart+xml"/>
  <Override PartName="/xl/charts/style55.xml" ContentType="application/vnd.ms-office.chartstyle+xml"/>
  <Override PartName="/xl/charts/colors55.xml" ContentType="application/vnd.ms-office.chartcolorstyle+xml"/>
  <Override PartName="/xl/charts/chart59.xml" ContentType="application/vnd.openxmlformats-officedocument.drawingml.chart+xml"/>
  <Override PartName="/xl/charts/style56.xml" ContentType="application/vnd.ms-office.chartstyle+xml"/>
  <Override PartName="/xl/charts/colors56.xml" ContentType="application/vnd.ms-office.chartcolorstyle+xml"/>
  <Override PartName="/xl/charts/chart60.xml" ContentType="application/vnd.openxmlformats-officedocument.drawingml.chart+xml"/>
  <Override PartName="/xl/charts/style57.xml" ContentType="application/vnd.ms-office.chartstyle+xml"/>
  <Override PartName="/xl/charts/colors57.xml" ContentType="application/vnd.ms-office.chartcolorstyle+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charts/chart64.xml" ContentType="application/vnd.openxmlformats-officedocument.drawingml.chart+xml"/>
  <Override PartName="/xl/charts/style61.xml" ContentType="application/vnd.ms-office.chartstyle+xml"/>
  <Override PartName="/xl/charts/colors61.xml" ContentType="application/vnd.ms-office.chartcolorstyle+xml"/>
  <Override PartName="/xl/charts/chart65.xml" ContentType="application/vnd.openxmlformats-officedocument.drawingml.chart+xml"/>
  <Override PartName="/xl/charts/style62.xml" ContentType="application/vnd.ms-office.chartstyle+xml"/>
  <Override PartName="/xl/charts/colors62.xml" ContentType="application/vnd.ms-office.chartcolorstyle+xml"/>
  <Override PartName="/xl/charts/chart66.xml" ContentType="application/vnd.openxmlformats-officedocument.drawingml.chart+xml"/>
  <Override PartName="/xl/charts/style63.xml" ContentType="application/vnd.ms-office.chartstyle+xml"/>
  <Override PartName="/xl/charts/colors63.xml" ContentType="application/vnd.ms-office.chartcolorstyle+xml"/>
  <Override PartName="/xl/charts/chart67.xml" ContentType="application/vnd.openxmlformats-officedocument.drawingml.chart+xml"/>
  <Override PartName="/xl/charts/style64.xml" ContentType="application/vnd.ms-office.chartstyle+xml"/>
  <Override PartName="/xl/charts/colors64.xml" ContentType="application/vnd.ms-office.chartcolorstyle+xml"/>
  <Override PartName="/xl/charts/chart68.xml" ContentType="application/vnd.openxmlformats-officedocument.drawingml.chart+xml"/>
  <Override PartName="/xl/charts/style65.xml" ContentType="application/vnd.ms-office.chartstyle+xml"/>
  <Override PartName="/xl/charts/colors65.xml" ContentType="application/vnd.ms-office.chartcolorstyle+xml"/>
  <Override PartName="/xl/charts/chart69.xml" ContentType="application/vnd.openxmlformats-officedocument.drawingml.chart+xml"/>
  <Override PartName="/xl/charts/style66.xml" ContentType="application/vnd.ms-office.chartstyle+xml"/>
  <Override PartName="/xl/charts/colors66.xml" ContentType="application/vnd.ms-office.chartcolorstyle+xml"/>
  <Override PartName="/xl/charts/chart70.xml" ContentType="application/vnd.openxmlformats-officedocument.drawingml.chart+xml"/>
  <Override PartName="/xl/charts/style67.xml" ContentType="application/vnd.ms-office.chartstyle+xml"/>
  <Override PartName="/xl/charts/colors67.xml" ContentType="application/vnd.ms-office.chartcolorstyle+xml"/>
  <Override PartName="/xl/charts/chart71.xml" ContentType="application/vnd.openxmlformats-officedocument.drawingml.chart+xml"/>
  <Override PartName="/xl/charts/style68.xml" ContentType="application/vnd.ms-office.chartstyle+xml"/>
  <Override PartName="/xl/charts/colors68.xml" ContentType="application/vnd.ms-office.chartcolorstyle+xml"/>
  <Override PartName="/xl/charts/chart72.xml" ContentType="application/vnd.openxmlformats-officedocument.drawingml.chart+xml"/>
  <Override PartName="/xl/charts/style69.xml" ContentType="application/vnd.ms-office.chartstyle+xml"/>
  <Override PartName="/xl/charts/colors69.xml" ContentType="application/vnd.ms-office.chartcolorstyle+xml"/>
  <Override PartName="/xl/charts/chart73.xml" ContentType="application/vnd.openxmlformats-officedocument.drawingml.chart+xml"/>
  <Override PartName="/xl/charts/style70.xml" ContentType="application/vnd.ms-office.chartstyle+xml"/>
  <Override PartName="/xl/charts/colors70.xml" ContentType="application/vnd.ms-office.chartcolorstyle+xml"/>
  <Override PartName="/xl/charts/chart74.xml" ContentType="application/vnd.openxmlformats-officedocument.drawingml.chart+xml"/>
  <Override PartName="/xl/charts/style71.xml" ContentType="application/vnd.ms-office.chartstyle+xml"/>
  <Override PartName="/xl/charts/colors71.xml" ContentType="application/vnd.ms-office.chartcolorstyle+xml"/>
  <Override PartName="/xl/charts/chart75.xml" ContentType="application/vnd.openxmlformats-officedocument.drawingml.chart+xml"/>
  <Override PartName="/xl/charts/style72.xml" ContentType="application/vnd.ms-office.chartstyle+xml"/>
  <Override PartName="/xl/charts/colors72.xml" ContentType="application/vnd.ms-office.chartcolorstyle+xml"/>
  <Override PartName="/xl/charts/chart76.xml" ContentType="application/vnd.openxmlformats-officedocument.drawingml.chart+xml"/>
  <Override PartName="/xl/charts/style73.xml" ContentType="application/vnd.ms-office.chartstyle+xml"/>
  <Override PartName="/xl/charts/colors73.xml" ContentType="application/vnd.ms-office.chartcolorstyle+xml"/>
  <Override PartName="/xl/charts/chart77.xml" ContentType="application/vnd.openxmlformats-officedocument.drawingml.chart+xml"/>
  <Override PartName="/xl/charts/style74.xml" ContentType="application/vnd.ms-office.chartstyle+xml"/>
  <Override PartName="/xl/charts/colors74.xml" ContentType="application/vnd.ms-office.chartcolorstyle+xml"/>
  <Override PartName="/xl/charts/chart78.xml" ContentType="application/vnd.openxmlformats-officedocument.drawingml.chart+xml"/>
  <Override PartName="/xl/charts/style75.xml" ContentType="application/vnd.ms-office.chartstyle+xml"/>
  <Override PartName="/xl/charts/colors75.xml" ContentType="application/vnd.ms-office.chartcolorstyle+xml"/>
  <Override PartName="/xl/charts/chart79.xml" ContentType="application/vnd.openxmlformats-officedocument.drawingml.chart+xml"/>
  <Override PartName="/xl/charts/style76.xml" ContentType="application/vnd.ms-office.chartstyle+xml"/>
  <Override PartName="/xl/charts/colors76.xml" ContentType="application/vnd.ms-office.chartcolorstyle+xml"/>
  <Override PartName="/xl/charts/chart80.xml" ContentType="application/vnd.openxmlformats-officedocument.drawingml.chart+xml"/>
  <Override PartName="/xl/charts/style77.xml" ContentType="application/vnd.ms-office.chartstyle+xml"/>
  <Override PartName="/xl/charts/colors77.xml" ContentType="application/vnd.ms-office.chartcolorstyle+xml"/>
  <Override PartName="/xl/charts/chart81.xml" ContentType="application/vnd.openxmlformats-officedocument.drawingml.chart+xml"/>
  <Override PartName="/xl/charts/style78.xml" ContentType="application/vnd.ms-office.chartstyle+xml"/>
  <Override PartName="/xl/charts/colors78.xml" ContentType="application/vnd.ms-office.chartcolorstyle+xml"/>
  <Override PartName="/xl/charts/chart82.xml" ContentType="application/vnd.openxmlformats-officedocument.drawingml.chart+xml"/>
  <Override PartName="/xl/charts/style79.xml" ContentType="application/vnd.ms-office.chartstyle+xml"/>
  <Override PartName="/xl/charts/colors79.xml" ContentType="application/vnd.ms-office.chartcolorstyle+xml"/>
  <Override PartName="/xl/charts/chart83.xml" ContentType="application/vnd.openxmlformats-officedocument.drawingml.chart+xml"/>
  <Override PartName="/xl/charts/style80.xml" ContentType="application/vnd.ms-office.chartstyle+xml"/>
  <Override PartName="/xl/charts/colors80.xml" ContentType="application/vnd.ms-office.chartcolorstyle+xml"/>
  <Override PartName="/xl/charts/chart84.xml" ContentType="application/vnd.openxmlformats-officedocument.drawingml.chart+xml"/>
  <Override PartName="/xl/charts/style81.xml" ContentType="application/vnd.ms-office.chartstyle+xml"/>
  <Override PartName="/xl/charts/colors81.xml" ContentType="application/vnd.ms-office.chartcolorstyle+xml"/>
  <Override PartName="/xl/charts/chart85.xml" ContentType="application/vnd.openxmlformats-officedocument.drawingml.chart+xml"/>
  <Override PartName="/xl/charts/style82.xml" ContentType="application/vnd.ms-office.chartstyle+xml"/>
  <Override PartName="/xl/charts/colors82.xml" ContentType="application/vnd.ms-office.chartcolorstyle+xml"/>
  <Override PartName="/xl/charts/chart86.xml" ContentType="application/vnd.openxmlformats-officedocument.drawingml.chart+xml"/>
  <Override PartName="/xl/charts/style83.xml" ContentType="application/vnd.ms-office.chartstyle+xml"/>
  <Override PartName="/xl/charts/colors83.xml" ContentType="application/vnd.ms-office.chartcolorstyle+xml"/>
  <Override PartName="/xl/charts/chart87.xml" ContentType="application/vnd.openxmlformats-officedocument.drawingml.chart+xml"/>
  <Override PartName="/xl/charts/style84.xml" ContentType="application/vnd.ms-office.chartstyle+xml"/>
  <Override PartName="/xl/charts/colors84.xml" ContentType="application/vnd.ms-office.chartcolorstyle+xml"/>
  <Override PartName="/xl/charts/chart88.xml" ContentType="application/vnd.openxmlformats-officedocument.drawingml.chart+xml"/>
  <Override PartName="/xl/charts/style85.xml" ContentType="application/vnd.ms-office.chartstyle+xml"/>
  <Override PartName="/xl/charts/colors85.xml" ContentType="application/vnd.ms-office.chartcolorstyle+xml"/>
  <Override PartName="/xl/charts/chart89.xml" ContentType="application/vnd.openxmlformats-officedocument.drawingml.chart+xml"/>
  <Override PartName="/xl/charts/style86.xml" ContentType="application/vnd.ms-office.chartstyle+xml"/>
  <Override PartName="/xl/charts/colors86.xml" ContentType="application/vnd.ms-office.chartcolorstyle+xml"/>
  <Override PartName="/xl/charts/chart90.xml" ContentType="application/vnd.openxmlformats-officedocument.drawingml.chart+xml"/>
  <Override PartName="/xl/charts/style87.xml" ContentType="application/vnd.ms-office.chartstyle+xml"/>
  <Override PartName="/xl/charts/colors87.xml" ContentType="application/vnd.ms-office.chartcolorstyle+xml"/>
  <Override PartName="/xl/charts/chart91.xml" ContentType="application/vnd.openxmlformats-officedocument.drawingml.chart+xml"/>
  <Override PartName="/xl/charts/style88.xml" ContentType="application/vnd.ms-office.chartstyle+xml"/>
  <Override PartName="/xl/charts/colors88.xml" ContentType="application/vnd.ms-office.chartcolorstyle+xml"/>
  <Override PartName="/xl/charts/chart92.xml" ContentType="application/vnd.openxmlformats-officedocument.drawingml.chart+xml"/>
  <Override PartName="/xl/charts/style89.xml" ContentType="application/vnd.ms-office.chartstyle+xml"/>
  <Override PartName="/xl/charts/colors89.xml" ContentType="application/vnd.ms-office.chartcolorstyle+xml"/>
  <Override PartName="/xl/charts/chart93.xml" ContentType="application/vnd.openxmlformats-officedocument.drawingml.chart+xml"/>
  <Override PartName="/xl/charts/style90.xml" ContentType="application/vnd.ms-office.chartstyle+xml"/>
  <Override PartName="/xl/charts/colors90.xml" ContentType="application/vnd.ms-office.chartcolorstyle+xml"/>
  <Override PartName="/xl/charts/chart94.xml" ContentType="application/vnd.openxmlformats-officedocument.drawingml.chart+xml"/>
  <Override PartName="/xl/charts/style91.xml" ContentType="application/vnd.ms-office.chartstyle+xml"/>
  <Override PartName="/xl/charts/colors91.xml" ContentType="application/vnd.ms-office.chartcolorstyle+xml"/>
  <Override PartName="/xl/charts/chart95.xml" ContentType="application/vnd.openxmlformats-officedocument.drawingml.chart+xml"/>
  <Override PartName="/xl/charts/style92.xml" ContentType="application/vnd.ms-office.chartstyle+xml"/>
  <Override PartName="/xl/charts/colors92.xml" ContentType="application/vnd.ms-office.chartcolorstyle+xml"/>
  <Override PartName="/xl/charts/chart96.xml" ContentType="application/vnd.openxmlformats-officedocument.drawingml.chart+xml"/>
  <Override PartName="/xl/charts/style93.xml" ContentType="application/vnd.ms-office.chartstyle+xml"/>
  <Override PartName="/xl/charts/colors93.xml" ContentType="application/vnd.ms-office.chartcolorstyle+xml"/>
  <Override PartName="/xl/charts/chart97.xml" ContentType="application/vnd.openxmlformats-officedocument.drawingml.chart+xml"/>
  <Override PartName="/xl/charts/style94.xml" ContentType="application/vnd.ms-office.chartstyle+xml"/>
  <Override PartName="/xl/charts/colors94.xml" ContentType="application/vnd.ms-office.chartcolorstyle+xml"/>
  <Override PartName="/xl/charts/chart98.xml" ContentType="application/vnd.openxmlformats-officedocument.drawingml.chart+xml"/>
  <Override PartName="/xl/charts/style95.xml" ContentType="application/vnd.ms-office.chartstyle+xml"/>
  <Override PartName="/xl/charts/colors95.xml" ContentType="application/vnd.ms-office.chartcolorstyle+xml"/>
  <Override PartName="/xl/charts/chart99.xml" ContentType="application/vnd.openxmlformats-officedocument.drawingml.chart+xml"/>
  <Override PartName="/xl/charts/style96.xml" ContentType="application/vnd.ms-office.chartstyle+xml"/>
  <Override PartName="/xl/charts/colors96.xml" ContentType="application/vnd.ms-office.chartcolorstyle+xml"/>
  <Override PartName="/xl/charts/chart100.xml" ContentType="application/vnd.openxmlformats-officedocument.drawingml.chart+xml"/>
  <Override PartName="/xl/charts/style97.xml" ContentType="application/vnd.ms-office.chartstyle+xml"/>
  <Override PartName="/xl/charts/colors97.xml" ContentType="application/vnd.ms-office.chartcolorstyle+xml"/>
  <Override PartName="/xl/charts/chart101.xml" ContentType="application/vnd.openxmlformats-officedocument.drawingml.chart+xml"/>
  <Override PartName="/xl/charts/style98.xml" ContentType="application/vnd.ms-office.chartstyle+xml"/>
  <Override PartName="/xl/charts/colors98.xml" ContentType="application/vnd.ms-office.chartcolorstyle+xml"/>
  <Override PartName="/xl/charts/chart102.xml" ContentType="application/vnd.openxmlformats-officedocument.drawingml.chart+xml"/>
  <Override PartName="/xl/charts/style99.xml" ContentType="application/vnd.ms-office.chartstyle+xml"/>
  <Override PartName="/xl/charts/colors99.xml" ContentType="application/vnd.ms-office.chartcolorstyle+xml"/>
  <Override PartName="/xl/charts/chart103.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4.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5.xml" ContentType="application/vnd.openxmlformats-officedocument.drawingml.chart+xml"/>
  <Override PartName="/xl/charts/style102.xml" ContentType="application/vnd.ms-office.chartstyle+xml"/>
  <Override PartName="/xl/charts/colors102.xml" ContentType="application/vnd.ms-office.chartcolorstyle+xml"/>
  <Override PartName="/xl/charts/chart106.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7.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8.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9.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10.xml" ContentType="application/vnd.openxmlformats-officedocument.drawingml.chart+xml"/>
  <Override PartName="/xl/charts/style107.xml" ContentType="application/vnd.ms-office.chartstyle+xml"/>
  <Override PartName="/xl/charts/colors107.xml" ContentType="application/vnd.ms-office.chartcolorstyle+xml"/>
  <Override PartName="/xl/drawings/drawing6.xml" ContentType="application/vnd.openxmlformats-officedocument.drawing+xml"/>
  <Override PartName="/xl/comments7.xml" ContentType="application/vnd.openxmlformats-officedocument.spreadsheetml.comments+xml"/>
  <Override PartName="/xl/charts/chart111.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12.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3.xml" ContentType="application/vnd.openxmlformats-officedocument.drawingml.chart+xml"/>
  <Override PartName="/xl/charts/style110.xml" ContentType="application/vnd.ms-office.chartstyle+xml"/>
  <Override PartName="/xl/charts/colors110.xml" ContentType="application/vnd.ms-office.chartcolorstyle+xml"/>
  <Override PartName="/xl/drawings/drawing7.xml" ContentType="application/vnd.openxmlformats-officedocument.drawing+xml"/>
  <Override PartName="/xl/comments8.xml" ContentType="application/vnd.openxmlformats-officedocument.spreadsheetml.comments+xml"/>
  <Override PartName="/xl/charts/chart114.xml" ContentType="application/vnd.openxmlformats-officedocument.drawingml.chart+xml"/>
  <Override PartName="/xl/charts/style111.xml" ContentType="application/vnd.ms-office.chartstyle+xml"/>
  <Override PartName="/xl/charts/colors111.xml" ContentType="application/vnd.ms-office.chartcolorstyle+xml"/>
  <Override PartName="/xl/theme/themeOverride1.xml" ContentType="application/vnd.openxmlformats-officedocument.themeOverride+xml"/>
  <Override PartName="/xl/drawings/drawing8.xml" ContentType="application/vnd.openxmlformats-officedocument.drawing+xml"/>
  <Override PartName="/xl/comments9.xml" ContentType="application/vnd.openxmlformats-officedocument.spreadsheetml.comments+xml"/>
  <Override PartName="/xl/charts/chart115.xml" ContentType="application/vnd.openxmlformats-officedocument.drawingml.chart+xml"/>
  <Override PartName="/xl/charts/style112.xml" ContentType="application/vnd.ms-office.chartstyle+xml"/>
  <Override PartName="/xl/charts/colors112.xml" ContentType="application/vnd.ms-office.chartcolorstyle+xml"/>
  <Override PartName="/xl/theme/themeOverride2.xml" ContentType="application/vnd.openxmlformats-officedocument.themeOverride+xml"/>
  <Override PartName="/xl/comments10.xml" ContentType="application/vnd.openxmlformats-officedocument.spreadsheetml.comments+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charts/chart116.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7.xml" ContentType="application/vnd.openxmlformats-officedocument.drawingml.chart+xml"/>
  <Override PartName="/xl/charts/style114.xml" ContentType="application/vnd.ms-office.chartstyle+xml"/>
  <Override PartName="/xl/charts/colors11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omments13.xml" ContentType="application/vnd.openxmlformats-officedocument.spreadsheetml.comments+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drawings/drawing11.xml" ContentType="application/vnd.openxmlformats-officedocument.drawing+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drawings/drawing12.xml" ContentType="application/vnd.openxmlformats-officedocument.drawing+xml"/>
  <Override PartName="/xl/comments14.xml" ContentType="application/vnd.openxmlformats-officedocument.spreadsheetml.comments+xml"/>
  <Override PartName="/xl/charts/chart128.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29.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30.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31.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32.xml" ContentType="application/vnd.openxmlformats-officedocument.drawingml.chart+xml"/>
  <Override PartName="/xl/charts/style119.xml" ContentType="application/vnd.ms-office.chartstyle+xml"/>
  <Override PartName="/xl/charts/colors119.xml" ContentType="application/vnd.ms-office.chartcolorstyle+xml"/>
  <Override PartName="/xl/charts/chart133.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34.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35.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36.xml" ContentType="application/vnd.openxmlformats-officedocument.drawingml.chart+xml"/>
  <Override PartName="/xl/charts/style123.xml" ContentType="application/vnd.ms-office.chartstyle+xml"/>
  <Override PartName="/xl/charts/colors123.xml" ContentType="application/vnd.ms-office.chartcolorstyle+xml"/>
  <Override PartName="/xl/drawings/drawing13.xml" ContentType="application/vnd.openxmlformats-officedocument.drawing+xml"/>
  <Override PartName="/xl/comments15.xml" ContentType="application/vnd.openxmlformats-officedocument.spreadsheetml.comments+xml"/>
  <Override PartName="/xl/charts/chart137.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38.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39.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40.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41.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42.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43.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44.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45.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46.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47.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48.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49.xml" ContentType="application/vnd.openxmlformats-officedocument.drawingml.chart+xml"/>
  <Override PartName="/xl/charts/style136.xml" ContentType="application/vnd.ms-office.chartstyle+xml"/>
  <Override PartName="/xl/charts/colors136.xml" ContentType="application/vnd.ms-office.chartcolorstyle+xml"/>
  <Override PartName="/xl/charts/chart150.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51.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52.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53.xml" ContentType="application/vnd.openxmlformats-officedocument.drawingml.chart+xml"/>
  <Override PartName="/xl/charts/style140.xml" ContentType="application/vnd.ms-office.chartstyle+xml"/>
  <Override PartName="/xl/charts/colors140.xml" ContentType="application/vnd.ms-office.chartcolorstyle+xml"/>
  <Override PartName="/xl/drawings/drawing14.xml" ContentType="application/vnd.openxmlformats-officedocument.drawing+xml"/>
  <Override PartName="/xl/comments16.xml" ContentType="application/vnd.openxmlformats-officedocument.spreadsheetml.comments+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drawings/drawing15.xml" ContentType="application/vnd.openxmlformats-officedocument.drawing+xml"/>
  <Override PartName="/xl/comments17.xml" ContentType="application/vnd.openxmlformats-officedocument.spreadsheetml.comments+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24226"/>
  <mc:AlternateContent xmlns:mc="http://schemas.openxmlformats.org/markup-compatibility/2006">
    <mc:Choice Requires="x15">
      <x15ac:absPath xmlns:x15ac="http://schemas.microsoft.com/office/spreadsheetml/2010/11/ac" url="https://newstreet1385.sharepoint.com/sites/Corp/Shared/TELECOMS/STOCKS/EMEA/Latam/LiLAC/Current/"/>
    </mc:Choice>
  </mc:AlternateContent>
  <xr:revisionPtr revIDLastSave="101" documentId="8_{76DB0DD9-37E9-4DE6-8EB7-6309676865F3}" xr6:coauthVersionLast="47" xr6:coauthVersionMax="47" xr10:uidLastSave="{4CE3AE70-2586-4D68-9CC0-E1121D662CF4}"/>
  <bookViews>
    <workbookView xWindow="17805" yWindow="7920" windowWidth="26955" windowHeight="21180" tabRatio="919" xr2:uid="{00000000-000D-0000-FFFF-FFFF00000000}"/>
  </bookViews>
  <sheets>
    <sheet name="Cover" sheetId="27" r:id="rId1"/>
    <sheet name="Summary" sheetId="32" r:id="rId2"/>
    <sheet name="SOP" sheetId="6" r:id="rId3"/>
    <sheet name="Valuation" sheetId="5" r:id="rId4"/>
    <sheet name="New Format" sheetId="23" r:id="rId5"/>
    <sheet name="Master" sheetId="4" r:id="rId6"/>
    <sheet name="New quarts" sheetId="20" r:id="rId7"/>
    <sheet name="Snaps" sheetId="28" r:id="rId8"/>
    <sheet name="Analysis" sheetId="16" r:id="rId9"/>
    <sheet name="Notes" sheetId="8" r:id="rId10"/>
    <sheet name="CWC" sheetId="31" r:id="rId11"/>
    <sheet name="Puerto Rico" sheetId="25" r:id="rId12"/>
    <sheet name="Costa Rica" sheetId="22" r:id="rId13"/>
    <sheet name="CWI" sheetId="3" state="hidden" r:id="rId14"/>
    <sheet name="By product" sheetId="7" state="hidden" r:id="rId15"/>
    <sheet name="Chile" sheetId="24" r:id="rId16"/>
    <sheet name="Tables for HY note" sheetId="29" r:id="rId17"/>
    <sheet name="Quarts" sheetId="1" r:id="rId18"/>
    <sheet name="Ops" sheetId="2" r:id="rId19"/>
    <sheet name="LiLAC valuation" sheetId="12" r:id="rId20"/>
    <sheet name="Market data" sheetId="18" r:id="rId21"/>
    <sheet name="Forex" sheetId="13" r:id="rId22"/>
    <sheet name="FKLink" sheetId="21" state="hidden" r:id="rId23"/>
    <sheet name="VTR" sheetId="9" r:id="rId24"/>
    <sheet name="PR" sheetId="10" r:id="rId25"/>
    <sheet name="LiLAC" sheetId="11" r:id="rId26"/>
    <sheet name="AnastasiaLiLACCWC" sheetId="17" r:id="rId27"/>
    <sheet name="AnastasiaLiLAC" sheetId="14" r:id="rId28"/>
  </sheets>
  <definedNames>
    <definedName name="_Admin" hidden="1">"No"</definedName>
    <definedName name="_Fill" localSheetId="27" hidden="1">#REF!</definedName>
    <definedName name="_Fill" localSheetId="0" hidden="1">#REF!</definedName>
    <definedName name="_Fill" localSheetId="25" hidden="1">#REF!</definedName>
    <definedName name="_Fill" hidden="1">#REF!</definedName>
    <definedName name="_xlnm._FilterDatabase" hidden="1">#REF!</definedName>
    <definedName name="_GSR008" hidden="1">#REF!</definedName>
    <definedName name="_GSR012" hidden="1">#REF!</definedName>
    <definedName name="_InAdmin" hidden="1">"No"</definedName>
    <definedName name="_Key1" localSheetId="27" hidden="1">#REF!</definedName>
    <definedName name="_Key1" localSheetId="0" hidden="1">#REF!</definedName>
    <definedName name="_Key1" localSheetId="25" hidden="1">#REF!</definedName>
    <definedName name="_Key1" hidden="1">#REF!</definedName>
    <definedName name="_LegalOk" hidden="1">"No"</definedName>
    <definedName name="_MC16" hidden="1">#REF!</definedName>
    <definedName name="_MC28" hidden="1">#REF!</definedName>
    <definedName name="_Order1" hidden="1">255</definedName>
    <definedName name="_Order2" hidden="1">0</definedName>
    <definedName name="_Sort" localSheetId="27" hidden="1">#REF!</definedName>
    <definedName name="_Sort" localSheetId="0" hidden="1">#REF!</definedName>
    <definedName name="_Sort" localSheetId="25" hidden="1">#REF!</definedName>
    <definedName name="_Sort" hidden="1">#REF!</definedName>
    <definedName name="aa" hidden="1">#REF!</definedName>
    <definedName name="aaa" hidden="1">#REF!</definedName>
    <definedName name="AAA_DOCTOPS" hidden="1">"AAA_SET"</definedName>
    <definedName name="AAA_duser" hidden="1">"OFF"</definedName>
    <definedName name="aaaaa" localSheetId="27" hidden="1">#REF!</definedName>
    <definedName name="aaaaa" localSheetId="25" hidden="1">#REF!</definedName>
    <definedName name="aaaaa" hidden="1">#REF!</definedName>
    <definedName name="AAB_Addin5" hidden="1">"AAB_Description for addin 5,Description for addin 5,Description for addin 5,Description for addin 5,Description for addin 5,Description for addin 5"</definedName>
    <definedName name="aac" localSheetId="27" hidden="1">#REF!</definedName>
    <definedName name="aac" localSheetId="25" hidden="1">#REF!</definedName>
    <definedName name="aac" hidden="1">#REF!</definedName>
    <definedName name="ab" localSheetId="27" hidden="1">#REF!</definedName>
    <definedName name="ab" localSheetId="25" hidden="1">#REF!</definedName>
    <definedName name="ab" hidden="1">#REF!</definedName>
    <definedName name="ad" hidden="1">#REF!</definedName>
    <definedName name="adfa" hidden="1">#REF!</definedName>
    <definedName name="ae" localSheetId="27" hidden="1">#REF!</definedName>
    <definedName name="ae" localSheetId="25" hidden="1">#REF!</definedName>
    <definedName name="ae" hidden="1">#REF!</definedName>
    <definedName name="af" hidden="1">14</definedName>
    <definedName name="ag" localSheetId="27" hidden="1">#REF!</definedName>
    <definedName name="ag" localSheetId="25" hidden="1">#REF!</definedName>
    <definedName name="ag" hidden="1">#REF!</definedName>
    <definedName name="ah" localSheetId="27" hidden="1">#REF!</definedName>
    <definedName name="ah" localSheetId="25" hidden="1">#REF!</definedName>
    <definedName name="ah" hidden="1">#REF!</definedName>
    <definedName name="aj" localSheetId="27" hidden="1">#REF!</definedName>
    <definedName name="aj" localSheetId="25" hidden="1">#REF!</definedName>
    <definedName name="aj" hidden="1">#REF!</definedName>
    <definedName name="al" localSheetId="27" hidden="1">#REF!</definedName>
    <definedName name="al" localSheetId="25" hidden="1">#REF!</definedName>
    <definedName name="al" hidden="1">#REF!</definedName>
    <definedName name="am" localSheetId="27" hidden="1">#REF!</definedName>
    <definedName name="am" localSheetId="25" hidden="1">#REF!</definedName>
    <definedName name="am" hidden="1">#REF!</definedName>
    <definedName name="an" localSheetId="27" hidden="1">#REF!</definedName>
    <definedName name="an" localSheetId="25" hidden="1">#REF!</definedName>
    <definedName name="an" hidden="1">#REF!</definedName>
    <definedName name="anscount" hidden="1">2</definedName>
    <definedName name="AP" hidden="1">#REF!</definedName>
    <definedName name="ar" localSheetId="27" hidden="1">#REF!</definedName>
    <definedName name="ar" localSheetId="25" hidden="1">#REF!</definedName>
    <definedName name="ar" hidden="1">#REF!</definedName>
    <definedName name="ARPUInput" hidden="1">#REF!</definedName>
    <definedName name="AS2DocOpenMode" hidden="1">"AS2DocumentEdit"</definedName>
    <definedName name="AS2linkls1" hidden="1">#REF!</definedName>
    <definedName name="AS2ReportLS" hidden="1">1</definedName>
    <definedName name="AS2StaticLS1" hidden="1">#REF!</definedName>
    <definedName name="AS2SyncStepLS" hidden="1">0</definedName>
    <definedName name="AS2TickmarkLS" localSheetId="27" hidden="1">#REF!</definedName>
    <definedName name="AS2TickmarkLS" localSheetId="25" hidden="1">#REF!</definedName>
    <definedName name="AS2TickmarkLS" hidden="1">#REF!</definedName>
    <definedName name="AS2VersionLS" hidden="1">300</definedName>
    <definedName name="asdfdf" hidden="1">{#N/A,#N/A,FALSE,"Statement of Ops";#N/A,#N/A,FALSE,"Trend Ops"}</definedName>
    <definedName name="Assumptions" hidden="1">#REF!</definedName>
    <definedName name="av" hidden="1">21</definedName>
    <definedName name="AvgVoiceLines" hidden="1">#REF!</definedName>
    <definedName name="ax" localSheetId="27" hidden="1">#REF!</definedName>
    <definedName name="ax" localSheetId="25" hidden="1">#REF!</definedName>
    <definedName name="ax" hidden="1">#REF!</definedName>
    <definedName name="az" localSheetId="27" hidden="1">#REF!</definedName>
    <definedName name="az" localSheetId="25" hidden="1">#REF!</definedName>
    <definedName name="az" hidden="1">#REF!</definedName>
    <definedName name="Balance_Sheet" hidden="1">#REF!</definedName>
    <definedName name="bb" hidden="1">{#N/A,#N/A,FALSE,"Statement of Ops";#N/A,#N/A,FALSE,"Trend Ops"}</definedName>
    <definedName name="BG_Del" hidden="1">15</definedName>
    <definedName name="BG_Ins" hidden="1">4</definedName>
    <definedName name="BG_Mod" hidden="1">6</definedName>
    <definedName name="BPackClust" hidden="1">#REF!</definedName>
    <definedName name="BPackRTU" hidden="1">#REF!</definedName>
    <definedName name="BPackRTUCapex" hidden="1">#REF!</definedName>
    <definedName name="BPackRTULife" hidden="1">#REF!</definedName>
    <definedName name="BPackRTUMaint" hidden="1">#REF!</definedName>
    <definedName name="BTS" hidden="1">#REF!</definedName>
    <definedName name="BTSAppRTUCapex" hidden="1">#REF!</definedName>
    <definedName name="BTSAppRTULife" hidden="1">#REF!</definedName>
    <definedName name="BTSAppRTUMaint" hidden="1">#REF!</definedName>
    <definedName name="BTSLife" hidden="1">#REF!</definedName>
    <definedName name="BTSPlatRTUCapex" hidden="1">#REF!</definedName>
    <definedName name="BTSPlatRTULife" hidden="1">#REF!</definedName>
    <definedName name="BTSPlatRTUMaint" hidden="1">#REF!</definedName>
    <definedName name="BTSRTU" hidden="1">#REF!</definedName>
    <definedName name="CalcSetting" hidden="1">#REF!</definedName>
    <definedName name="CallMgmtPctInbound" hidden="1">#REF!</definedName>
    <definedName name="CallMgmtPctOutbound" hidden="1">#REF!</definedName>
    <definedName name="Card" hidden="1">#REF!</definedName>
    <definedName name="CardInput" hidden="1">#REF!</definedName>
    <definedName name="Cash_Flow_Statement" hidden="1">#REF!</definedName>
    <definedName name="CHT" hidden="1">#REF!</definedName>
    <definedName name="CHTInput" hidden="1">#REF!</definedName>
    <definedName name="CMTSInputs" hidden="1">#REF!</definedName>
    <definedName name="CMTSOutputs" hidden="1">#REF!</definedName>
    <definedName name="CNAMPctInbound" hidden="1">#REF!</definedName>
    <definedName name="CNAMPctOutbound" hidden="1">#REF!</definedName>
    <definedName name="CodecInput" hidden="1">#REF!</definedName>
    <definedName name="Cognit" hidden="1">#REF!</definedName>
    <definedName name="ColCount" hidden="1">#REF!</definedName>
    <definedName name="cost_of_capital" hidden="1">#REF!</definedName>
    <definedName name="CPULimit" hidden="1">#REF!</definedName>
    <definedName name="CPUPerDataSub" hidden="1">#REF!</definedName>
    <definedName name="CPUPerDS0" hidden="1">#REF!</definedName>
    <definedName name="CPUUtil" hidden="1">#REF!</definedName>
    <definedName name="CPUUtilData" hidden="1">#REF!</definedName>
    <definedName name="d" localSheetId="27" hidden="1">#REF!</definedName>
    <definedName name="d" localSheetId="25" hidden="1">#REF!</definedName>
    <definedName name="d" hidden="1">#REF!</definedName>
    <definedName name="dere" hidden="1">{#N/A,#N/A,FALSE,"Statement of Ops";#N/A,#N/A,FALSE,"Trend Ops"}</definedName>
    <definedName name="dfdfd" hidden="1">{#N/A,#N/A,FALSE,"Statement of Ops";#N/A,#N/A,FALSE,"Trend Ops"}</definedName>
    <definedName name="dfsdf" hidden="1">{#N/A,#N/A,FALSE,"Statement of Ops";#N/A,#N/A,FALSE,"Trend Ops"}</definedName>
    <definedName name="dsf" hidden="1">{#N/A,#N/A,FALSE,"Statement of Ops";#N/A,#N/A,FALSE,"Trend Ops"}</definedName>
    <definedName name="DSPerDataSub" hidden="1">#REF!</definedName>
    <definedName name="DSPerDataSubInput" hidden="1">#REF!</definedName>
    <definedName name="DSPerDom" hidden="1">#REF!</definedName>
    <definedName name="DSPerDS0" hidden="1">#REF!</definedName>
    <definedName name="DSUtil" hidden="1">#REF!</definedName>
    <definedName name="DSUtilData" hidden="1">#REF!</definedName>
    <definedName name="DualPctData" hidden="1">#REF!</definedName>
    <definedName name="DualPctVoiceInput" hidden="1">#REF!</definedName>
    <definedName name="edneia" localSheetId="27" hidden="1">{"'27.11 à 28.11'!$A$1:$Q$70"}</definedName>
    <definedName name="edneia" localSheetId="21" hidden="1">{"'27.11 à 28.11'!$A$1:$Q$70"}</definedName>
    <definedName name="edneia" hidden="1">{"'27.11 à 28.11'!$A$1:$Q$70"}</definedName>
    <definedName name="eeeeeeeeee" hidden="1">{#N/A,#N/A,FALSE,"Statement of Ops";#N/A,#N/A,FALSE,"Trend Ops"}</definedName>
    <definedName name="Equipment_and_CAPEX" hidden="1">#REF!</definedName>
    <definedName name="erere" hidden="1">{#N/A,#N/A,FALSE,"Statement of Ops";#N/A,#N/A,FALSE,"Trend Ops"}</definedName>
    <definedName name="ererere" hidden="1">{#N/A,#N/A,FALSE,"Statement of Ops";#N/A,#N/A,FALSE,"Trend Ops"}</definedName>
    <definedName name="ErlangsPerLine" hidden="1">#REF!</definedName>
    <definedName name="ErlangsPerLineInput" hidden="1">#REF!</definedName>
    <definedName name="esnrc10c1" localSheetId="27" hidden="1">#REF!</definedName>
    <definedName name="esnrc10c1" localSheetId="25" hidden="1">#REF!</definedName>
    <definedName name="esnrc10c1" hidden="1">#REF!</definedName>
    <definedName name="f" localSheetId="27" hidden="1">#REF!</definedName>
    <definedName name="f" localSheetId="25" hidden="1">#REF!</definedName>
    <definedName name="f" hidden="1">#REF!</definedName>
    <definedName name="g" localSheetId="27" hidden="1">#REF!</definedName>
    <definedName name="g" localSheetId="25" hidden="1">#REF!</definedName>
    <definedName name="g" hidden="1">#REF!</definedName>
    <definedName name="g_Cumulative_Net_Income" hidden="1">#REF!</definedName>
    <definedName name="g_Discounted_Cash" hidden="1">#REF!</definedName>
    <definedName name="g_Expenses" hidden="1">#REF!</definedName>
    <definedName name="g_IRR" hidden="1">#REF!</definedName>
    <definedName name="g_Net_Income" hidden="1">#REF!</definedName>
    <definedName name="g_NPV" hidden="1">#REF!</definedName>
    <definedName name="g_Service_Revenue" hidden="1">#REF!</definedName>
    <definedName name="g_User_defined_1" hidden="1">#REF!</definedName>
    <definedName name="g_User_defined_2" hidden="1">#REF!</definedName>
    <definedName name="g_User_defined_3" hidden="1">#REF!</definedName>
    <definedName name="g_User_defined_4" hidden="1">#REF!</definedName>
    <definedName name="GBPUSD">#REF!</definedName>
    <definedName name="GOS" hidden="1">#REF!</definedName>
    <definedName name="GOSInput" hidden="1">#REF!</definedName>
    <definedName name="Graphs" hidden="1">#REF!</definedName>
    <definedName name="GrossAddDual" hidden="1">#REF!</definedName>
    <definedName name="GrossAddFromHSD" hidden="1">#REF!</definedName>
    <definedName name="GrossAddVoiceOnly" hidden="1">#REF!</definedName>
    <definedName name="GrossLineAdds" hidden="1">#REF!</definedName>
    <definedName name="GSR008Data" hidden="1">#REF!</definedName>
    <definedName name="GSR012Data" hidden="1">#REF!</definedName>
    <definedName name="GSR1OC12_CMTS" hidden="1">#REF!</definedName>
    <definedName name="GSR1OC12Data_CMTS" hidden="1">#REF!</definedName>
    <definedName name="GSR4OC12_DC" hidden="1">#REF!</definedName>
    <definedName name="GSR4OC12ATM" hidden="1">#REF!</definedName>
    <definedName name="GSR4OC12Data_DC" hidden="1">#REF!</definedName>
    <definedName name="GSR4OC3_CMTS" hidden="1">#REF!</definedName>
    <definedName name="GSR4OC3Data_CMTS" hidden="1">#REF!</definedName>
    <definedName name="GSRCapex" hidden="1">#REF!</definedName>
    <definedName name="GSRLife" hidden="1">#REF!</definedName>
    <definedName name="GSRMaint" hidden="1">#REF!</definedName>
    <definedName name="h" localSheetId="27" hidden="1">#REF!</definedName>
    <definedName name="h" localSheetId="25" hidden="1">#REF!</definedName>
    <definedName name="h" hidden="1">#REF!</definedName>
    <definedName name="h.IsCSM" hidden="1">"CSModel"</definedName>
    <definedName name="HHP" hidden="1">#REF!</definedName>
    <definedName name="HHPInput" hidden="1">#REF!</definedName>
    <definedName name="HTML_CodePage" hidden="1">1252</definedName>
    <definedName name="HTML_Control" localSheetId="27" hidden="1">{"'27.11 à 28.11'!$A$1:$Q$70"}</definedName>
    <definedName name="HTML_Control" localSheetId="21" hidden="1">{"'27.11 à 28.11'!$A$1:$Q$70"}</definedName>
    <definedName name="HTML_Control" hidden="1">{"'27.11 à 28.11'!$A$1:$Q$70"}</definedName>
    <definedName name="HTML_Description" localSheetId="0" hidden="1">"IBN Products"</definedName>
    <definedName name="HTML_Description" hidden="1">""</definedName>
    <definedName name="HTML_Email" localSheetId="0" hidden="1">""</definedName>
    <definedName name="HTML_Email" hidden="1">"mpinto@telesp.com.br"</definedName>
    <definedName name="HTML_Header" localSheetId="0" hidden="1">"Edit"</definedName>
    <definedName name="HTML_Header" hidden="1">"27.11 à 28.11"</definedName>
    <definedName name="HTML_LastUpdate" localSheetId="0" hidden="1">"24/05/97"</definedName>
    <definedName name="HTML_LastUpdate" hidden="1">"03/12/97"</definedName>
    <definedName name="HTML_LineAfter" hidden="1">FALSE</definedName>
    <definedName name="HTML_LineBefore" localSheetId="0" hidden="1">TRUE</definedName>
    <definedName name="HTML_LineBefore" hidden="1">FALSE</definedName>
    <definedName name="HTML_Name" localSheetId="0" hidden="1">"Mike Bibbings"</definedName>
    <definedName name="HTML_Name" hidden="1">"EDNÉIA"</definedName>
    <definedName name="HTML_OBDlg2" hidden="1">TRUE</definedName>
    <definedName name="HTML_OBDlg4" hidden="1">TRUE</definedName>
    <definedName name="HTML_OS" hidden="1">0</definedName>
    <definedName name="HTML_PathFile" localSheetId="0" hidden="1">"C:\My Documents\mmelHTML.htm"</definedName>
    <definedName name="HTML_PathFile" hidden="1">"C:\FGA01\Vendas\MeuHTML.htm"</definedName>
    <definedName name="HTML_Title" localSheetId="0" hidden="1">"Master Edit List"</definedName>
    <definedName name="HTML_Title" hidden="1">"VENDAS DE AÇÕES"</definedName>
    <definedName name="HubSize" hidden="1">#REF!</definedName>
    <definedName name="HubSizeInput" hidden="1">#REF!</definedName>
    <definedName name="i" localSheetId="27" hidden="1">#REF!</definedName>
    <definedName name="i" localSheetId="25" hidden="1">#REF!</definedName>
    <definedName name="i" hidden="1">#REF!</definedName>
    <definedName name="Income_Statement" hidden="1">#REF!</definedName>
    <definedName name="income_tax_rate"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39420.5584027778</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 localSheetId="27" hidden="1">#REF!</definedName>
    <definedName name="k" localSheetId="25" hidden="1">#REF!</definedName>
    <definedName name="k" hidden="1">#REF!</definedName>
    <definedName name="kk" hidden="1">#REF!</definedName>
    <definedName name="l" localSheetId="27" hidden="1">#REF!</definedName>
    <definedName name="l" localSheetId="25" hidden="1">#REF!</definedName>
    <definedName name="l" hidden="1">#REF!</definedName>
    <definedName name="LATASize" hidden="1">#REF!</definedName>
    <definedName name="LATASizeInput" hidden="1">#REF!</definedName>
    <definedName name="LegalOk" hidden="1">"No"</definedName>
    <definedName name="limcount" hidden="1">1</definedName>
    <definedName name="LinesPerFN" hidden="1">#REF!</definedName>
    <definedName name="LinesPerSubInput" hidden="1">#REF!</definedName>
    <definedName name="lll" hidden="1">{#N/A,#N/A,FALSE,"Statement of Ops";#N/A,#N/A,FALSE,"Trend Ops"}</definedName>
    <definedName name="llll" hidden="1">{#N/A,#N/A,FALSE,"Statement of Ops";#N/A,#N/A,FALSE,"Trend Ops"}</definedName>
    <definedName name="lllll" hidden="1">{#N/A,#N/A,FALSE,"Statement of Ops";#N/A,#N/A,FALSE,"Trend Ops"}</definedName>
    <definedName name="LNPPct" hidden="1">#REF!</definedName>
    <definedName name="LookupAppRTU" hidden="1">#REF!</definedName>
    <definedName name="LookupCPS" hidden="1">#REF!</definedName>
    <definedName name="LookupLines" hidden="1">#REF!</definedName>
    <definedName name="LookupPlatRTU" hidden="1">#REF!</definedName>
    <definedName name="m" localSheetId="27" hidden="1">#REF!</definedName>
    <definedName name="m" localSheetId="25" hidden="1">#REF!</definedName>
    <definedName name="m" hidden="1">#REF!</definedName>
    <definedName name="MC16Data" hidden="1">#REF!</definedName>
    <definedName name="MC28Data" hidden="1">#REF!</definedName>
    <definedName name="md" hidden="1">#REF!</definedName>
    <definedName name="MGX" hidden="1">#REF!</definedName>
    <definedName name="MGXCapex" hidden="1">#REF!</definedName>
    <definedName name="MGXLife" hidden="1">#REF!</definedName>
    <definedName name="MGXMaint" hidden="1">#REF!</definedName>
    <definedName name="MinPerLineLocal" hidden="1">#REF!</definedName>
    <definedName name="MinPerLineToll" hidden="1">#REF!</definedName>
    <definedName name="mv" hidden="1">#REF!</definedName>
    <definedName name="n" localSheetId="27" hidden="1">#REF!</definedName>
    <definedName name="n" localSheetId="25" hidden="1">#REF!</definedName>
    <definedName name="n" hidden="1">#REF!</definedName>
    <definedName name="OnNetMaxInput" hidden="1">#REF!</definedName>
    <definedName name="Operations" hidden="1">#REF!</definedName>
    <definedName name="OSSInput" hidden="1">#REF!</definedName>
    <definedName name="p" hidden="1">#REF!</definedName>
    <definedName name="PentrData" hidden="1">#REF!</definedName>
    <definedName name="PentrDataInput" hidden="1">#REF!</definedName>
    <definedName name="PentrVoice" hidden="1">#REF!</definedName>
    <definedName name="PentrVoiceInput" hidden="1">#REF!</definedName>
    <definedName name="PHSInput" hidden="1">#REF!</definedName>
    <definedName name="PlatformInput" hidden="1">#REF!</definedName>
    <definedName name="_xlnm.Print_Area" localSheetId="8">Analysis!$A$1:$AE$855</definedName>
    <definedName name="_xlnm.Print_Area" localSheetId="13">CWI!$A$1:$AD$364</definedName>
    <definedName name="_xlnm.Print_Area" localSheetId="5">Master!$A$1:$AE$625</definedName>
    <definedName name="_xlnm.Print_Area" localSheetId="2">SOP!$A$1:$AB$116</definedName>
    <definedName name="_xlnm.Print_Area">#REF!</definedName>
    <definedName name="_xlnm.Print_Titles">#REF!</definedName>
    <definedName name="q" hidden="1">#REF!</definedName>
    <definedName name="Q1_Account">#REF!</definedName>
    <definedName name="Q1_Coding">#REF!</definedName>
    <definedName name="Q1_Data">#REF!</definedName>
    <definedName name="Q1_Period">#REF!</definedName>
    <definedName name="Q1_TP">#REF!</definedName>
    <definedName name="Q2_Account">#REF!</definedName>
    <definedName name="Q2_Coding">#REF!</definedName>
    <definedName name="Q2_Data">#REF!</definedName>
    <definedName name="Q2_Period">#REF!</definedName>
    <definedName name="Q2_TP">#REF!</definedName>
    <definedName name="Q3_Account">#REF!</definedName>
    <definedName name="Q3_Coding">#REF!</definedName>
    <definedName name="Q3_Data">#REF!</definedName>
    <definedName name="Q3_Period">#REF!</definedName>
    <definedName name="Q3_TP">#REF!</definedName>
    <definedName name="Q4_Account">#REF!</definedName>
    <definedName name="Q4_Coding">#REF!</definedName>
    <definedName name="Q4_Data">#REF!</definedName>
    <definedName name="Q4_Period">#REF!</definedName>
    <definedName name="Q4_TP">#REF!</definedName>
    <definedName name="QC用労働時間有">#REF!</definedName>
    <definedName name="QC用労働時間無">#REF!</definedName>
    <definedName name="RedundantEdgeInput" hidden="1">#REF!</definedName>
    <definedName name="RedundantGWInput" hidden="1">#REF!</definedName>
    <definedName name="RedundNInput" hidden="1">#REF!</definedName>
    <definedName name="Repdate1">#REF!</definedName>
    <definedName name="Repdate2">#REF!</definedName>
    <definedName name="RF" hidden="1">#REF!</definedName>
    <definedName name="RFData" hidden="1">#REF!</definedName>
    <definedName name="rngColData">#REF!,#REF!</definedName>
    <definedName name="rngColHidden">#REF!,#REF!</definedName>
    <definedName name="rngHideMissingColumns">FALSE</definedName>
    <definedName name="rngHideMissingRows">FALSE</definedName>
    <definedName name="rngRowHidden">#REF!,#REF!</definedName>
    <definedName name="rodri" localSheetId="27" hidden="1">{"'27.11 à 28.11'!$A$1:$Q$70"}</definedName>
    <definedName name="rodri" localSheetId="21" hidden="1">{"'27.11 à 28.11'!$A$1:$Q$70"}</definedName>
    <definedName name="rodri" hidden="1">{"'27.11 à 28.11'!$A$1:$Q$70"}</definedName>
    <definedName name="Rodrigo" localSheetId="27" hidden="1">{"'27.11 à 28.11'!$A$1:$Q$70"}</definedName>
    <definedName name="Rodrigo" localSheetId="21" hidden="1">{"'27.11 à 28.11'!$A$1:$Q$70"}</definedName>
    <definedName name="Rodrigo" hidden="1">{"'27.11 à 28.11'!$A$1:$Q$70"}</definedName>
    <definedName name="RodrigoI" localSheetId="27" hidden="1">{"'27.11 à 28.11'!$A$1:$Q$70"}</definedName>
    <definedName name="RodrigoI" localSheetId="21" hidden="1">{"'27.11 à 28.11'!$A$1:$Q$70"}</definedName>
    <definedName name="RodrigoI" hidden="1">{"'27.11 à 28.11'!$A$1:$Q$70"}</definedName>
    <definedName name="RodrigoII" localSheetId="27" hidden="1">{"'27.11 à 28.11'!$A$1:$Q$70"}</definedName>
    <definedName name="RodrigoII" localSheetId="21" hidden="1">{"'27.11 à 28.11'!$A$1:$Q$70"}</definedName>
    <definedName name="RodrigoII" hidden="1">{"'27.11 à 28.11'!$A$1:$Q$70"}</definedName>
    <definedName name="RodrigoIII" localSheetId="27" hidden="1">{"'27.11 à 28.11'!$A$1:$Q$70"}</definedName>
    <definedName name="RodrigoIII" localSheetId="21" hidden="1">{"'27.11 à 28.11'!$A$1:$Q$70"}</definedName>
    <definedName name="RodrigoIII" hidden="1">{"'27.11 à 28.11'!$A$1:$Q$70"}</definedName>
    <definedName name="RoutesPerLATA" hidden="1">#REF!</definedName>
    <definedName name="Rpt_Month">#REF!</definedName>
    <definedName name="Rpt_Year">#REF!</definedName>
    <definedName name="SalvagePct" hidden="1">#REF!</definedName>
    <definedName name="SampleInput" hidden="1">#REF!</definedName>
    <definedName name="SAPBEXhrIndnt" hidden="1">1</definedName>
    <definedName name="SAPBEXrevision" localSheetId="0" hidden="1">0</definedName>
    <definedName name="SAPBEXrevision" hidden="1">1</definedName>
    <definedName name="SAPBEXsysID" localSheetId="0" hidden="1">"UBP"</definedName>
    <definedName name="SAPBEXsysID" hidden="1">"PBW"</definedName>
    <definedName name="SAPBEXwbID" localSheetId="0" hidden="1">"46ZQZIX9P9TMSSGKMZCTXHTXP"</definedName>
    <definedName name="SAPBEXwbID" hidden="1">"3XI3N389WOUQUK8ZHZ4ZJF7GL"</definedName>
    <definedName name="sdsdsd" hidden="1">{#N/A,#N/A,FALSE,"Statement of Ops";#N/A,#N/A,FALSE,"Trend Ops"}</definedName>
    <definedName name="Select_Inc_Exp">#REF!</definedName>
    <definedName name="sencount" hidden="1">2</definedName>
    <definedName name="ServerHWCapex" hidden="1">#REF!</definedName>
    <definedName name="ServerHWMaint" hidden="1">#REF!</definedName>
    <definedName name="Services_and_Revenue" hidden="1">#REF!</definedName>
    <definedName name="sfsdf" hidden="1">{#N/A,#N/A,FALSE,"Statement of Ops";#N/A,#N/A,FALSE,"Trend Ops"}</definedName>
    <definedName name="Sheetname_Instructions">#REF!</definedName>
    <definedName name="show_base">#REF!</definedName>
    <definedName name="show_newbase">#REF!</definedName>
    <definedName name="show_pctchange">#REF!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APrint">#REF!,#REF!</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ubtotal">#REF!</definedName>
    <definedName name="TA">#REF!</definedName>
    <definedName name="TextRefCopyRangeCount" hidden="1">1</definedName>
    <definedName name="tick" hidden="1">"AS2DocumentBrowse"</definedName>
    <definedName name="ticks" hidden="1">"AS2DocumentBrowse"</definedName>
    <definedName name="Trend_Start">#REF!</definedName>
    <definedName name="uBR10Data" hidden="1">#REF!</definedName>
    <definedName name="uBR1OC12" hidden="1">#REF!</definedName>
    <definedName name="uBR1OC12Data" hidden="1">#REF!</definedName>
    <definedName name="uBR1OC3" hidden="1">#REF!</definedName>
    <definedName name="uBR1OC3Data" hidden="1">#REF!</definedName>
    <definedName name="uBR7Data" hidden="1">#REF!</definedName>
    <definedName name="uBRCapex" hidden="1">#REF!</definedName>
    <definedName name="uBRLife" hidden="1">#REF!</definedName>
    <definedName name="uBRMaint" hidden="1">#REF!</definedName>
    <definedName name="UKPrint">#REF!,#REF!</definedName>
    <definedName name="uOne" hidden="1">#REF!</definedName>
    <definedName name="UPIBVPrint">#REF!,#REF!</definedName>
    <definedName name="UPIOPrint">#REF!,#REF!</definedName>
    <definedName name="UPVPPrint">#REF!,#REF!</definedName>
    <definedName name="USBandwidth" hidden="1">#REF!</definedName>
    <definedName name="USDBRL">#REF!</definedName>
    <definedName name="USDJPY">#REF!</definedName>
    <definedName name="UsefulLife" hidden="1">#REF!</definedName>
    <definedName name="USPerDataSub" hidden="1">#REF!</definedName>
    <definedName name="USPerDataSubInput" hidden="1">#REF!</definedName>
    <definedName name="USPerDom" hidden="1">#REF!</definedName>
    <definedName name="USPerDS0" hidden="1">#REF!</definedName>
    <definedName name="USUtil" hidden="1">#REF!</definedName>
    <definedName name="USUtilData" hidden="1">#REF!</definedName>
    <definedName name="v" localSheetId="27" hidden="1">#REF!</definedName>
    <definedName name="v" localSheetId="25" hidden="1">#REF!</definedName>
    <definedName name="v" hidden="1">#REF!</definedName>
    <definedName name="valuearea">#REF!</definedName>
    <definedName name="variance_logic">#REF!</definedName>
    <definedName name="VerintFixed" hidden="1">#REF!</definedName>
    <definedName name="VerintVar" hidden="1">#REF!</definedName>
    <definedName name="VISM" hidden="1">#REF!</definedName>
    <definedName name="VoiceLines" hidden="1">#REF!</definedName>
    <definedName name="VoiceSubs" hidden="1">#REF!</definedName>
    <definedName name="WANBandwidth" hidden="1">#REF!</definedName>
    <definedName name="WANPerDataSub" hidden="1">#REF!</definedName>
    <definedName name="WANPerDS0" hidden="1">#REF!</definedName>
    <definedName name="WANUtil" hidden="1">#REF!</definedName>
    <definedName name="WANUtilData" hidden="1">#REF!</definedName>
    <definedName name="WhoIs" hidden="1">"Developed by Cisco Systems, August 2002"</definedName>
    <definedName name="WORKBOOK_SAPBEXq0003" comment="DP_4">"DP_4"</definedName>
    <definedName name="WORKBOOK_SAPBEXq0004" comment="DP_5">"DP_5"</definedName>
    <definedName name="WORKBOOK_SAPBEXq0009" comment="DP_6">"DP_6"</definedName>
    <definedName name="WORKBOOK_SAPBEXq0010" comment="DP_7">"DP_7"</definedName>
    <definedName name="WORKBOOK_SAPBEXq0011" comment="DP_8">"DP_8"</definedName>
    <definedName name="WORKBOOK_SAPBEXq0012" comment="DP_9">"DP_9"</definedName>
    <definedName name="WORKBOOK_SAPBEXq0015" comment="DP_10">"DP_10"</definedName>
    <definedName name="wrn.4Q._.Report." hidden="1">{"Summary OCF",#N/A,FALSE,"Summary OCF";"Rev &amp; OCF",#N/A,FALSE,"Revenue and OCF";"Exp",#N/A,FALSE,"Expenses";"Subs",#N/A,FALSE,"Subscribers"}</definedName>
    <definedName name="wrn.ARPU._.composition." localSheetId="27" hidden="1">{#N/A,#N/A,FALSE,"Additional ARPU"}</definedName>
    <definedName name="wrn.ARPU._.composition." localSheetId="21" hidden="1">{#N/A,#N/A,FALSE,"Additional ARPU"}</definedName>
    <definedName name="wrn.ARPU._.composition." hidden="1">{#N/A,#N/A,FALSE,"Additional ARPU"}</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hidden="1">{"Headcount Annual",#N/A,FALSE,"Headcount";"Headcount Monthly",#N/A,FALSE,"Headcount"}</definedName>
    <definedName name="wrn.Capital." hidden="1">{"Capital",#N/A,FALSE,"CapSum"}</definedName>
    <definedName name="wrn.Capital._.Report." hidden="1">{"Capital",#N/A,FALSE,"CapSum"}</definedName>
    <definedName name="wrn.Capital._.Reports." hidden="1">{"Capital Summary",#N/A,FALSE,"CapSum";"Other Capital",#N/A,FALSE,"CapDet";"Construction Report",#N/A,FALSE,"ConstRep"}</definedName>
    <definedName name="wrn.Capital._.Summary." hidden="1">{"Capital",#N/A,FALSE,"CapSum"}</definedName>
    <definedName name="wrn.Current._.Month." hidden="1">{"current month",#N/A,FALSE,"Capitalization"}</definedName>
    <definedName name="wrn.Digital._.Sub._.Detail." hidden="1">{"Digital Detail",#N/A,FALSE,"Digital"}</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MTMMOEORC." localSheetId="27" hidden="1">{#N/A,#N/A,FALSE,"MTMUSD"}</definedName>
    <definedName name="wrn.MTMMOEORC." localSheetId="21" hidden="1">{#N/A,#N/A,FALSE,"MTMUSD"}</definedName>
    <definedName name="wrn.MTMMOEORC." hidden="1">{#N/A,#N/A,FALSE,"MTMUSD"}</definedName>
    <definedName name="wrn.No._.Ad._.Sales._.Reports." hidden="1">{"Annual P&amp;L NoAd",#N/A,FALSE,"P&amp;L No Ad Sales";"Annual Rev NoAd",#N/A,FALSE,"DetRev No Ad Sales";"Monthly P&amp;L NoAd",#N/A,FALSE,"P&amp;L No Ad Sales";"Monthly Rev NoAd",#N/A,FALSE,"DetRev No Ad Sales"}</definedName>
    <definedName name="wrn.No._.AdSales._.Annual." hidden="1">{"P&amp;L No Ads Annual",#N/A,TRUE,"P&amp;L No Ad Sales";"Revenue No Ads Annual",#N/A,TRUE,"DetRev No Ad 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hidden="1">{"P&amp;L No Ads Trend",#N/A,TRUE,"P&amp;L No Ad Sales";"Revenue No Ads Trend",#N/A,TRUE,"DetRev No Ad Sales"}</definedName>
    <definedName name="wrn.Online._.Headcount._.Reports." hidden="1">{"Online Headcount Annual",#N/A,FALSE,"Headcount";"Online Headcount Monthly",#N/A,FALSE,"Headcount"}</definedName>
    <definedName name="wrn.Online._.Sub._.Detail." hidden="1">{"Online Detail",#N/A,FALSE,"OnLine"}</definedName>
    <definedName name="wrn.Pay._.Sub._.Detail." hidden="1">{"Pay Detail",#N/A,FALSE,"Pay"}</definedName>
    <definedName name="wrn.TESTE." localSheetId="27" hidden="1">{#N/A,#N/A,FALSE,"MTMUSD"}</definedName>
    <definedName name="wrn.TESTE." localSheetId="21" hidden="1">{#N/A,#N/A,FALSE,"MTMUSD"}</definedName>
    <definedName name="wrn.TESTE." hidden="1">{#N/A,#N/A,FALSE,"MTMUSD"}</definedName>
    <definedName name="wrn.Trend." hidden="1">{"trend",#N/A,TRUE,"Capitalization"}</definedName>
    <definedName name="wrn.Trend._.Reports." hidden="1">{"P&amp;L Trend",#N/A,TRUE,"P&amp;L";"Revenue Trend",#N/A,TRUE,"DetRev";"Tech Trend",#N/A,TRUE,"DetTech";"Customer Service Trend",#N/A,TRUE,"DetCSR";"Marketing Trend",#N/A,TRUE,"DetMrkt";"Online Trend",#N/A,TRUE,"DetOnline";"Telephony Trend",#N/A,TRUE,"DetTelephony";"Adsales Trend",#N/A,TRUE,"DetAdSales";"LO Trend",#N/A,TRUE,"DETLO";"Admin Trend",#N/A,TRUE,"DetAdmin";"Product Trend",#N/A,TRUE,"DetProd"}</definedName>
    <definedName name="wwwwwwwwwwwww" hidden="1">{#N/A,#N/A,FALSE,"Statement of Ops";#N/A,#N/A,FALSE,"Trend Ops"}</definedName>
    <definedName name="XREF_COLUMN_1" localSheetId="27" hidden="1">#REF!</definedName>
    <definedName name="XREF_COLUMN_1" localSheetId="25" hidden="1">#REF!</definedName>
    <definedName name="XREF_COLUMN_1" hidden="1">#REF!</definedName>
    <definedName name="XREF_COLUMN_10" localSheetId="27" hidden="1">#REF!</definedName>
    <definedName name="XREF_COLUMN_10" localSheetId="25" hidden="1">#REF!</definedName>
    <definedName name="XREF_COLUMN_10" hidden="1">#REF!</definedName>
    <definedName name="XREF_COLUMN_11" localSheetId="27" hidden="1">#REF!</definedName>
    <definedName name="XREF_COLUMN_11" localSheetId="25" hidden="1">#REF!</definedName>
    <definedName name="XREF_COLUMN_11" hidden="1">#REF!</definedName>
    <definedName name="XREF_COLUMN_12" localSheetId="27" hidden="1">#REF!</definedName>
    <definedName name="XREF_COLUMN_12" localSheetId="25" hidden="1">#REF!</definedName>
    <definedName name="XREF_COLUMN_12" hidden="1">#REF!</definedName>
    <definedName name="XREF_COLUMN_14" localSheetId="27" hidden="1">#REF!</definedName>
    <definedName name="XREF_COLUMN_14" localSheetId="25" hidden="1">#REF!</definedName>
    <definedName name="XREF_COLUMN_14" hidden="1">#REF!</definedName>
    <definedName name="XREF_COLUMN_15" localSheetId="27" hidden="1">#REF!</definedName>
    <definedName name="XREF_COLUMN_15" localSheetId="25" hidden="1">#REF!</definedName>
    <definedName name="XREF_COLUMN_15" hidden="1">#REF!</definedName>
    <definedName name="XREF_COLUMN_16" localSheetId="27" hidden="1">#REF!</definedName>
    <definedName name="XREF_COLUMN_16" localSheetId="25" hidden="1">#REF!</definedName>
    <definedName name="XREF_COLUMN_16" hidden="1">#REF!</definedName>
    <definedName name="XREF_COLUMN_17" localSheetId="27" hidden="1">#REF!</definedName>
    <definedName name="XREF_COLUMN_17" localSheetId="25" hidden="1">#REF!</definedName>
    <definedName name="XREF_COLUMN_17" hidden="1">#REF!</definedName>
    <definedName name="XREF_COLUMN_19" localSheetId="27" hidden="1">#REF!</definedName>
    <definedName name="XREF_COLUMN_19" localSheetId="25" hidden="1">#REF!</definedName>
    <definedName name="XREF_COLUMN_19" hidden="1">#REF!</definedName>
    <definedName name="XREF_COLUMN_2" localSheetId="27" hidden="1">#REF!</definedName>
    <definedName name="XREF_COLUMN_2" localSheetId="25" hidden="1">#REF!</definedName>
    <definedName name="XREF_COLUMN_2" hidden="1">#REF!</definedName>
    <definedName name="XREF_COLUMN_22" localSheetId="27" hidden="1">#REF!</definedName>
    <definedName name="XREF_COLUMN_22" localSheetId="25" hidden="1">#REF!</definedName>
    <definedName name="XREF_COLUMN_22" hidden="1">#REF!</definedName>
    <definedName name="XREF_COLUMN_23" localSheetId="27" hidden="1">#REF!</definedName>
    <definedName name="XREF_COLUMN_23" localSheetId="25" hidden="1">#REF!</definedName>
    <definedName name="XREF_COLUMN_23" hidden="1">#REF!</definedName>
    <definedName name="XREF_COLUMN_25" localSheetId="27" hidden="1">#REF!</definedName>
    <definedName name="XREF_COLUMN_25" localSheetId="25" hidden="1">#REF!</definedName>
    <definedName name="XREF_COLUMN_25" hidden="1">#REF!</definedName>
    <definedName name="XREF_COLUMN_26" localSheetId="27" hidden="1">#REF!</definedName>
    <definedName name="XREF_COLUMN_26" localSheetId="25" hidden="1">#REF!</definedName>
    <definedName name="XREF_COLUMN_26" hidden="1">#REF!</definedName>
    <definedName name="XREF_COLUMN_27" localSheetId="27" hidden="1">#REF!</definedName>
    <definedName name="XREF_COLUMN_27" localSheetId="25" hidden="1">#REF!</definedName>
    <definedName name="XREF_COLUMN_27" hidden="1">#REF!</definedName>
    <definedName name="XREF_COLUMN_3" localSheetId="27" hidden="1">#REF!</definedName>
    <definedName name="XREF_COLUMN_3" localSheetId="25" hidden="1">#REF!</definedName>
    <definedName name="XREF_COLUMN_3" hidden="1">#REF!</definedName>
    <definedName name="XREF_COLUMN_4" localSheetId="27" hidden="1">#REF!</definedName>
    <definedName name="XREF_COLUMN_4" localSheetId="25" hidden="1">#REF!</definedName>
    <definedName name="XREF_COLUMN_4" hidden="1">#REF!</definedName>
    <definedName name="XREF_COLUMN_5" localSheetId="27" hidden="1">#REF!</definedName>
    <definedName name="XREF_COLUMN_5" localSheetId="25" hidden="1">#REF!</definedName>
    <definedName name="XREF_COLUMN_5" hidden="1">#REF!</definedName>
    <definedName name="XREF_COLUMN_56" localSheetId="27" hidden="1">#REF!</definedName>
    <definedName name="XREF_COLUMN_56" localSheetId="25" hidden="1">#REF!</definedName>
    <definedName name="XREF_COLUMN_56" hidden="1">#REF!</definedName>
    <definedName name="XREF_COLUMN_6" localSheetId="27" hidden="1">#REF!</definedName>
    <definedName name="XREF_COLUMN_6" localSheetId="25" hidden="1">#REF!</definedName>
    <definedName name="XREF_COLUMN_6" hidden="1">#REF!</definedName>
    <definedName name="XREF_COLUMN_7" localSheetId="27" hidden="1">#REF!</definedName>
    <definedName name="XREF_COLUMN_7" localSheetId="25" hidden="1">#REF!</definedName>
    <definedName name="XREF_COLUMN_7" hidden="1">#REF!</definedName>
    <definedName name="XREF_COLUMN_8" localSheetId="27" hidden="1">#REF!</definedName>
    <definedName name="XREF_COLUMN_8" localSheetId="25" hidden="1">#REF!</definedName>
    <definedName name="XREF_COLUMN_8" hidden="1">#REF!</definedName>
    <definedName name="XREF_COLUMN_9" localSheetId="27" hidden="1">#REF!</definedName>
    <definedName name="XREF_COLUMN_9" localSheetId="25" hidden="1">#REF!</definedName>
    <definedName name="XREF_COLUMN_9" hidden="1">#REF!</definedName>
    <definedName name="XRefActiveRow" localSheetId="27" hidden="1">#REF!</definedName>
    <definedName name="XRefActiveRow" localSheetId="25" hidden="1">#REF!</definedName>
    <definedName name="XRefActiveRow" hidden="1">#REF!</definedName>
    <definedName name="XRefColumnsCount" hidden="1">5</definedName>
    <definedName name="XRefCopy1" localSheetId="27" hidden="1">#REF!</definedName>
    <definedName name="XRefCopy1" localSheetId="25" hidden="1">#REF!</definedName>
    <definedName name="XRefCopy1" hidden="1">#REF!</definedName>
    <definedName name="XRefCopy10" localSheetId="27" hidden="1">#REF!</definedName>
    <definedName name="XRefCopy10" localSheetId="25" hidden="1">#REF!</definedName>
    <definedName name="XRefCopy10" hidden="1">#REF!</definedName>
    <definedName name="XRefCopy10Row" localSheetId="27" hidden="1">#REF!</definedName>
    <definedName name="XRefCopy10Row" localSheetId="25" hidden="1">#REF!</definedName>
    <definedName name="XRefCopy10Row" hidden="1">#REF!</definedName>
    <definedName name="XRefCopy11" localSheetId="27" hidden="1">#REF!</definedName>
    <definedName name="XRefCopy11" localSheetId="25" hidden="1">#REF!</definedName>
    <definedName name="XRefCopy11" hidden="1">#REF!</definedName>
    <definedName name="XRefCopy12" localSheetId="27" hidden="1">#REF!</definedName>
    <definedName name="XRefCopy12" localSheetId="25" hidden="1">#REF!</definedName>
    <definedName name="XRefCopy12" hidden="1">#REF!</definedName>
    <definedName name="XRefCopy12Row" localSheetId="27" hidden="1">#REF!</definedName>
    <definedName name="XRefCopy12Row" localSheetId="25" hidden="1">#REF!</definedName>
    <definedName name="XRefCopy12Row" hidden="1">#REF!</definedName>
    <definedName name="XRefCopy13" localSheetId="27" hidden="1">#REF!</definedName>
    <definedName name="XRefCopy13" localSheetId="25" hidden="1">#REF!</definedName>
    <definedName name="XRefCopy13" hidden="1">#REF!</definedName>
    <definedName name="XRefCopy13Row" localSheetId="27" hidden="1">#REF!</definedName>
    <definedName name="XRefCopy13Row" localSheetId="25" hidden="1">#REF!</definedName>
    <definedName name="XRefCopy13Row" hidden="1">#REF!</definedName>
    <definedName name="XRefCopy14" localSheetId="27" hidden="1">#REF!</definedName>
    <definedName name="XRefCopy14" localSheetId="25" hidden="1">#REF!</definedName>
    <definedName name="XRefCopy14" hidden="1">#REF!</definedName>
    <definedName name="XRefCopy14Row" localSheetId="27" hidden="1">#REF!</definedName>
    <definedName name="XRefCopy14Row" localSheetId="25" hidden="1">#REF!</definedName>
    <definedName name="XRefCopy14Row" hidden="1">#REF!</definedName>
    <definedName name="XRefCopy15Row" localSheetId="27" hidden="1">#REF!</definedName>
    <definedName name="XRefCopy15Row" localSheetId="25" hidden="1">#REF!</definedName>
    <definedName name="XRefCopy15Row" hidden="1">#REF!</definedName>
    <definedName name="XRefCopy16" localSheetId="27" hidden="1">#REF!</definedName>
    <definedName name="XRefCopy16" localSheetId="25" hidden="1">#REF!</definedName>
    <definedName name="XRefCopy16" hidden="1">#REF!</definedName>
    <definedName name="XRefCopy17" localSheetId="27" hidden="1">#REF!</definedName>
    <definedName name="XRefCopy17" localSheetId="25" hidden="1">#REF!</definedName>
    <definedName name="XRefCopy17" hidden="1">#REF!</definedName>
    <definedName name="XRefCopy17Row" localSheetId="27" hidden="1">#REF!</definedName>
    <definedName name="XRefCopy17Row" localSheetId="25" hidden="1">#REF!</definedName>
    <definedName name="XRefCopy17Row" hidden="1">#REF!</definedName>
    <definedName name="XRefCopy18" localSheetId="27" hidden="1">#REF!</definedName>
    <definedName name="XRefCopy18" localSheetId="25" hidden="1">#REF!</definedName>
    <definedName name="XRefCopy18" hidden="1">#REF!</definedName>
    <definedName name="XRefCopy19" localSheetId="27" hidden="1">#REF!</definedName>
    <definedName name="XRefCopy19" localSheetId="25" hidden="1">#REF!</definedName>
    <definedName name="XRefCopy19" hidden="1">#REF!</definedName>
    <definedName name="XRefCopy19Row" localSheetId="27" hidden="1">#REF!</definedName>
    <definedName name="XRefCopy19Row" localSheetId="25" hidden="1">#REF!</definedName>
    <definedName name="XRefCopy19Row" hidden="1">#REF!</definedName>
    <definedName name="XRefCopy1Row" localSheetId="27" hidden="1">#REF!</definedName>
    <definedName name="XRefCopy1Row" localSheetId="25" hidden="1">#REF!</definedName>
    <definedName name="XRefCopy1Row" hidden="1">#REF!</definedName>
    <definedName name="XRefCopy2" localSheetId="27" hidden="1">#REF!</definedName>
    <definedName name="XRefCopy2" localSheetId="25" hidden="1">#REF!</definedName>
    <definedName name="XRefCopy2" hidden="1">#REF!</definedName>
    <definedName name="XRefCopy20" localSheetId="27" hidden="1">#REF!</definedName>
    <definedName name="XRefCopy20" localSheetId="25" hidden="1">#REF!</definedName>
    <definedName name="XRefCopy20" hidden="1">#REF!</definedName>
    <definedName name="XRefCopy20Row" localSheetId="27" hidden="1">#REF!</definedName>
    <definedName name="XRefCopy20Row" localSheetId="25" hidden="1">#REF!</definedName>
    <definedName name="XRefCopy20Row" hidden="1">#REF!</definedName>
    <definedName name="XRefCopy21" localSheetId="27" hidden="1">#REF!</definedName>
    <definedName name="XRefCopy21" localSheetId="25" hidden="1">#REF!</definedName>
    <definedName name="XRefCopy21" hidden="1">#REF!</definedName>
    <definedName name="XRefCopy21Row" localSheetId="27" hidden="1">#REF!</definedName>
    <definedName name="XRefCopy21Row" localSheetId="25" hidden="1">#REF!</definedName>
    <definedName name="XRefCopy21Row" hidden="1">#REF!</definedName>
    <definedName name="XRefCopy22" localSheetId="27" hidden="1">#REF!</definedName>
    <definedName name="XRefCopy22" localSheetId="25" hidden="1">#REF!</definedName>
    <definedName name="XRefCopy22" hidden="1">#REF!</definedName>
    <definedName name="XRefCopy22Row" localSheetId="27" hidden="1">#REF!</definedName>
    <definedName name="XRefCopy22Row" localSheetId="25" hidden="1">#REF!</definedName>
    <definedName name="XRefCopy22Row" hidden="1">#REF!</definedName>
    <definedName name="XRefCopy23" localSheetId="27" hidden="1">#REF!</definedName>
    <definedName name="XRefCopy23" localSheetId="25" hidden="1">#REF!</definedName>
    <definedName name="XRefCopy23" hidden="1">#REF!</definedName>
    <definedName name="XRefCopy23Row" localSheetId="27" hidden="1">#REF!</definedName>
    <definedName name="XRefCopy23Row" localSheetId="25" hidden="1">#REF!</definedName>
    <definedName name="XRefCopy23Row" hidden="1">#REF!</definedName>
    <definedName name="XRefCopy24" localSheetId="27" hidden="1">#REF!</definedName>
    <definedName name="XRefCopy24" localSheetId="25" hidden="1">#REF!</definedName>
    <definedName name="XRefCopy24" hidden="1">#REF!</definedName>
    <definedName name="XRefCopy24Row" localSheetId="27" hidden="1">#REF!</definedName>
    <definedName name="XRefCopy24Row" localSheetId="25" hidden="1">#REF!</definedName>
    <definedName name="XRefCopy24Row" hidden="1">#REF!</definedName>
    <definedName name="XRefCopy25Row" localSheetId="27" hidden="1">#REF!</definedName>
    <definedName name="XRefCopy25Row" localSheetId="25" hidden="1">#REF!</definedName>
    <definedName name="XRefCopy25Row" hidden="1">#REF!</definedName>
    <definedName name="XRefCopy26Row" localSheetId="27" hidden="1">#REF!</definedName>
    <definedName name="XRefCopy26Row" localSheetId="25" hidden="1">#REF!</definedName>
    <definedName name="XRefCopy26Row" hidden="1">#REF!</definedName>
    <definedName name="XRefCopy27" localSheetId="27" hidden="1">#REF!</definedName>
    <definedName name="XRefCopy27" localSheetId="25" hidden="1">#REF!</definedName>
    <definedName name="XRefCopy27" hidden="1">#REF!</definedName>
    <definedName name="XRefCopy27Row" localSheetId="27" hidden="1">#REF!</definedName>
    <definedName name="XRefCopy27Row" localSheetId="25" hidden="1">#REF!</definedName>
    <definedName name="XRefCopy27Row" hidden="1">#REF!</definedName>
    <definedName name="XRefCopy28" localSheetId="27" hidden="1">#REF!</definedName>
    <definedName name="XRefCopy28" localSheetId="25" hidden="1">#REF!</definedName>
    <definedName name="XRefCopy28" hidden="1">#REF!</definedName>
    <definedName name="XRefCopy28Row" localSheetId="27" hidden="1">#REF!</definedName>
    <definedName name="XRefCopy28Row" localSheetId="25" hidden="1">#REF!</definedName>
    <definedName name="XRefCopy28Row" hidden="1">#REF!</definedName>
    <definedName name="XRefCopy29" localSheetId="27" hidden="1">#REF!</definedName>
    <definedName name="XRefCopy29" localSheetId="25" hidden="1">#REF!</definedName>
    <definedName name="XRefCopy29" hidden="1">#REF!</definedName>
    <definedName name="XRefCopy29Row" localSheetId="27" hidden="1">#REF!</definedName>
    <definedName name="XRefCopy29Row" localSheetId="25" hidden="1">#REF!</definedName>
    <definedName name="XRefCopy29Row" hidden="1">#REF!</definedName>
    <definedName name="XRefCopy2Row" localSheetId="27" hidden="1">#REF!</definedName>
    <definedName name="XRefCopy2Row" localSheetId="25" hidden="1">#REF!</definedName>
    <definedName name="XRefCopy2Row" hidden="1">#REF!</definedName>
    <definedName name="XRefCopy3" localSheetId="27" hidden="1">#REF!</definedName>
    <definedName name="XRefCopy3" localSheetId="25" hidden="1">#REF!</definedName>
    <definedName name="XRefCopy3" hidden="1">#REF!</definedName>
    <definedName name="XRefCopy30" localSheetId="27" hidden="1">#REF!</definedName>
    <definedName name="XRefCopy30" localSheetId="25" hidden="1">#REF!</definedName>
    <definedName name="XRefCopy30" hidden="1">#REF!</definedName>
    <definedName name="XRefCopy30Row" localSheetId="27" hidden="1">#REF!</definedName>
    <definedName name="XRefCopy30Row" localSheetId="25" hidden="1">#REF!</definedName>
    <definedName name="XRefCopy30Row" hidden="1">#REF!</definedName>
    <definedName name="XRefCopy31" localSheetId="27" hidden="1">#REF!</definedName>
    <definedName name="XRefCopy31" localSheetId="25" hidden="1">#REF!</definedName>
    <definedName name="XRefCopy31" hidden="1">#REF!</definedName>
    <definedName name="XRefCopy31Row" localSheetId="27" hidden="1">#REF!</definedName>
    <definedName name="XRefCopy31Row" localSheetId="25" hidden="1">#REF!</definedName>
    <definedName name="XRefCopy31Row" hidden="1">#REF!</definedName>
    <definedName name="XRefCopy32" localSheetId="27" hidden="1">#REF!</definedName>
    <definedName name="XRefCopy32" localSheetId="25" hidden="1">#REF!</definedName>
    <definedName name="XRefCopy32" hidden="1">#REF!</definedName>
    <definedName name="XRefCopy32Row" localSheetId="27" hidden="1">#REF!</definedName>
    <definedName name="XRefCopy32Row" localSheetId="25" hidden="1">#REF!</definedName>
    <definedName name="XRefCopy32Row" hidden="1">#REF!</definedName>
    <definedName name="XRefCopy33" localSheetId="27" hidden="1">#REF!</definedName>
    <definedName name="XRefCopy33" localSheetId="25" hidden="1">#REF!</definedName>
    <definedName name="XRefCopy33" hidden="1">#REF!</definedName>
    <definedName name="XRefCopy33Row" localSheetId="27" hidden="1">#REF!</definedName>
    <definedName name="XRefCopy33Row" localSheetId="25" hidden="1">#REF!</definedName>
    <definedName name="XRefCopy33Row" hidden="1">#REF!</definedName>
    <definedName name="XRefCopy34Row" localSheetId="27" hidden="1">#REF!</definedName>
    <definedName name="XRefCopy34Row" localSheetId="25" hidden="1">#REF!</definedName>
    <definedName name="XRefCopy34Row" hidden="1">#REF!</definedName>
    <definedName name="XRefCopy35Row" localSheetId="27" hidden="1">#REF!</definedName>
    <definedName name="XRefCopy35Row" localSheetId="25" hidden="1">#REF!</definedName>
    <definedName name="XRefCopy35Row" hidden="1">#REF!</definedName>
    <definedName name="XRefCopy36Row" localSheetId="27" hidden="1">#REF!</definedName>
    <definedName name="XRefCopy36Row" localSheetId="25" hidden="1">#REF!</definedName>
    <definedName name="XRefCopy36Row" hidden="1">#REF!</definedName>
    <definedName name="XRefCopy37" localSheetId="27" hidden="1">#REF!</definedName>
    <definedName name="XRefCopy37" localSheetId="25" hidden="1">#REF!</definedName>
    <definedName name="XRefCopy37" hidden="1">#REF!</definedName>
    <definedName name="XRefCopy37Row" localSheetId="27" hidden="1">#REF!</definedName>
    <definedName name="XRefCopy37Row" localSheetId="25" hidden="1">#REF!</definedName>
    <definedName name="XRefCopy37Row" hidden="1">#REF!</definedName>
    <definedName name="XRefCopy38" localSheetId="27" hidden="1">#REF!</definedName>
    <definedName name="XRefCopy38" localSheetId="25" hidden="1">#REF!</definedName>
    <definedName name="XRefCopy38" hidden="1">#REF!</definedName>
    <definedName name="XRefCopy38Row" localSheetId="27" hidden="1">#REF!</definedName>
    <definedName name="XRefCopy38Row" localSheetId="25" hidden="1">#REF!</definedName>
    <definedName name="XRefCopy38Row" hidden="1">#REF!</definedName>
    <definedName name="XRefCopy39" localSheetId="27" hidden="1">#REF!</definedName>
    <definedName name="XRefCopy39" localSheetId="25" hidden="1">#REF!</definedName>
    <definedName name="XRefCopy39" hidden="1">#REF!</definedName>
    <definedName name="XRefCopy39Row" localSheetId="27" hidden="1">#REF!</definedName>
    <definedName name="XRefCopy39Row" localSheetId="25" hidden="1">#REF!</definedName>
    <definedName name="XRefCopy39Row" hidden="1">#REF!</definedName>
    <definedName name="XRefCopy3Row" localSheetId="27" hidden="1">#REF!</definedName>
    <definedName name="XRefCopy3Row" localSheetId="25" hidden="1">#REF!</definedName>
    <definedName name="XRefCopy3Row" hidden="1">#REF!</definedName>
    <definedName name="XRefCopy4" localSheetId="27" hidden="1">#REF!</definedName>
    <definedName name="XRefCopy4" localSheetId="25" hidden="1">#REF!</definedName>
    <definedName name="XRefCopy4" hidden="1">#REF!</definedName>
    <definedName name="XRefCopy40" localSheetId="27" hidden="1">#REF!</definedName>
    <definedName name="XRefCopy40" localSheetId="25" hidden="1">#REF!</definedName>
    <definedName name="XRefCopy40" hidden="1">#REF!</definedName>
    <definedName name="XRefCopy40Row" localSheetId="27" hidden="1">#REF!</definedName>
    <definedName name="XRefCopy40Row" localSheetId="25" hidden="1">#REF!</definedName>
    <definedName name="XRefCopy40Row" hidden="1">#REF!</definedName>
    <definedName name="XRefCopy41" localSheetId="27" hidden="1">#REF!</definedName>
    <definedName name="XRefCopy41" localSheetId="25" hidden="1">#REF!</definedName>
    <definedName name="XRefCopy41" hidden="1">#REF!</definedName>
    <definedName name="XRefCopy41Row" localSheetId="27" hidden="1">#REF!</definedName>
    <definedName name="XRefCopy41Row" localSheetId="25" hidden="1">#REF!</definedName>
    <definedName name="XRefCopy41Row" hidden="1">#REF!</definedName>
    <definedName name="XRefCopy42Row" localSheetId="27" hidden="1">#REF!</definedName>
    <definedName name="XRefCopy42Row" localSheetId="25" hidden="1">#REF!</definedName>
    <definedName name="XRefCopy42Row" hidden="1">#REF!</definedName>
    <definedName name="XRefCopy43Row" localSheetId="27" hidden="1">#REF!</definedName>
    <definedName name="XRefCopy43Row" localSheetId="25" hidden="1">#REF!</definedName>
    <definedName name="XRefCopy43Row" hidden="1">#REF!</definedName>
    <definedName name="XRefCopy44Row" localSheetId="27" hidden="1">#REF!</definedName>
    <definedName name="XRefCopy44Row" localSheetId="25" hidden="1">#REF!</definedName>
    <definedName name="XRefCopy44Row" hidden="1">#REF!</definedName>
    <definedName name="XRefCopy45" localSheetId="27" hidden="1">#REF!</definedName>
    <definedName name="XRefCopy45" localSheetId="25" hidden="1">#REF!</definedName>
    <definedName name="XRefCopy45" hidden="1">#REF!</definedName>
    <definedName name="XRefCopy45Row" localSheetId="27" hidden="1">#REF!</definedName>
    <definedName name="XRefCopy45Row" localSheetId="25" hidden="1">#REF!</definedName>
    <definedName name="XRefCopy45Row" hidden="1">#REF!</definedName>
    <definedName name="XRefCopy46" localSheetId="27" hidden="1">#REF!</definedName>
    <definedName name="XRefCopy46" localSheetId="25" hidden="1">#REF!</definedName>
    <definedName name="XRefCopy46" hidden="1">#REF!</definedName>
    <definedName name="XRefCopy46Row" localSheetId="27" hidden="1">#REF!</definedName>
    <definedName name="XRefCopy46Row" localSheetId="25" hidden="1">#REF!</definedName>
    <definedName name="XRefCopy46Row" hidden="1">#REF!</definedName>
    <definedName name="XRefCopy47" localSheetId="27" hidden="1">#REF!</definedName>
    <definedName name="XRefCopy47" localSheetId="25" hidden="1">#REF!</definedName>
    <definedName name="XRefCopy47" hidden="1">#REF!</definedName>
    <definedName name="XRefCopy47Row" localSheetId="27" hidden="1">#REF!</definedName>
    <definedName name="XRefCopy47Row" localSheetId="25" hidden="1">#REF!</definedName>
    <definedName name="XRefCopy47Row" hidden="1">#REF!</definedName>
    <definedName name="XRefCopy48" localSheetId="27" hidden="1">#REF!</definedName>
    <definedName name="XRefCopy48" localSheetId="25" hidden="1">#REF!</definedName>
    <definedName name="XRefCopy48" hidden="1">#REF!</definedName>
    <definedName name="XRefCopy48Row" localSheetId="27" hidden="1">#REF!</definedName>
    <definedName name="XRefCopy48Row" localSheetId="25" hidden="1">#REF!</definedName>
    <definedName name="XRefCopy48Row" hidden="1">#REF!</definedName>
    <definedName name="XRefCopy49Row" localSheetId="27" hidden="1">#REF!</definedName>
    <definedName name="XRefCopy49Row" localSheetId="25" hidden="1">#REF!</definedName>
    <definedName name="XRefCopy49Row" hidden="1">#REF!</definedName>
    <definedName name="XRefCopy4Row" localSheetId="27" hidden="1">#REF!</definedName>
    <definedName name="XRefCopy4Row" localSheetId="25" hidden="1">#REF!</definedName>
    <definedName name="XRefCopy4Row" hidden="1">#REF!</definedName>
    <definedName name="XRefCopy5" localSheetId="27" hidden="1">#REF!</definedName>
    <definedName name="XRefCopy5" localSheetId="25" hidden="1">#REF!</definedName>
    <definedName name="XRefCopy5" hidden="1">#REF!</definedName>
    <definedName name="XRefCopy50Row" localSheetId="27" hidden="1">#REF!</definedName>
    <definedName name="XRefCopy50Row" localSheetId="25" hidden="1">#REF!</definedName>
    <definedName name="XRefCopy50Row" hidden="1">#REF!</definedName>
    <definedName name="XRefCopy51Row" localSheetId="27" hidden="1">#REF!</definedName>
    <definedName name="XRefCopy51Row" localSheetId="25" hidden="1">#REF!</definedName>
    <definedName name="XRefCopy51Row" hidden="1">#REF!</definedName>
    <definedName name="XRefCopy52" localSheetId="27" hidden="1">#REF!</definedName>
    <definedName name="XRefCopy52" localSheetId="25" hidden="1">#REF!</definedName>
    <definedName name="XRefCopy52" hidden="1">#REF!</definedName>
    <definedName name="XRefCopy52Row" localSheetId="27" hidden="1">#REF!</definedName>
    <definedName name="XRefCopy52Row" localSheetId="25" hidden="1">#REF!</definedName>
    <definedName name="XRefCopy52Row" hidden="1">#REF!</definedName>
    <definedName name="XRefCopy53" localSheetId="27" hidden="1">#REF!</definedName>
    <definedName name="XRefCopy53" localSheetId="25" hidden="1">#REF!</definedName>
    <definedName name="XRefCopy53" hidden="1">#REF!</definedName>
    <definedName name="XRefCopy53Row" localSheetId="27" hidden="1">#REF!</definedName>
    <definedName name="XRefCopy53Row" localSheetId="25" hidden="1">#REF!</definedName>
    <definedName name="XRefCopy53Row" hidden="1">#REF!</definedName>
    <definedName name="XRefCopy5Row" localSheetId="27" hidden="1">#REF!</definedName>
    <definedName name="XRefCopy5Row" localSheetId="25" hidden="1">#REF!</definedName>
    <definedName name="XRefCopy5Row" hidden="1">#REF!</definedName>
    <definedName name="XRefCopy6" localSheetId="27" hidden="1">#REF!</definedName>
    <definedName name="XRefCopy6" localSheetId="25" hidden="1">#REF!</definedName>
    <definedName name="XRefCopy6" hidden="1">#REF!</definedName>
    <definedName name="XRefCopy6Row" localSheetId="27" hidden="1">#REF!</definedName>
    <definedName name="XRefCopy6Row" localSheetId="25" hidden="1">#REF!</definedName>
    <definedName name="XRefCopy6Row" hidden="1">#REF!</definedName>
    <definedName name="XRefCopy70" localSheetId="27" hidden="1">#REF!</definedName>
    <definedName name="XRefCopy70" localSheetId="25" hidden="1">#REF!</definedName>
    <definedName name="XRefCopy70" hidden="1">#REF!</definedName>
    <definedName name="XRefCopy71" localSheetId="27" hidden="1">#REF!</definedName>
    <definedName name="XRefCopy71" localSheetId="25" hidden="1">#REF!</definedName>
    <definedName name="XRefCopy71" hidden="1">#REF!</definedName>
    <definedName name="XRefCopy72" localSheetId="27" hidden="1">#REF!</definedName>
    <definedName name="XRefCopy72" localSheetId="25" hidden="1">#REF!</definedName>
    <definedName name="XRefCopy72" hidden="1">#REF!</definedName>
    <definedName name="XRefCopy73" localSheetId="27" hidden="1">#REF!</definedName>
    <definedName name="XRefCopy73" localSheetId="25" hidden="1">#REF!</definedName>
    <definedName name="XRefCopy73" hidden="1">#REF!</definedName>
    <definedName name="XRefCopy74" localSheetId="27" hidden="1">#REF!</definedName>
    <definedName name="XRefCopy74" localSheetId="25" hidden="1">#REF!</definedName>
    <definedName name="XRefCopy74" hidden="1">#REF!</definedName>
    <definedName name="XRefCopy75" localSheetId="27" hidden="1">#REF!</definedName>
    <definedName name="XRefCopy75" localSheetId="25" hidden="1">#REF!</definedName>
    <definedName name="XRefCopy75" hidden="1">#REF!</definedName>
    <definedName name="XRefCopy76" localSheetId="27" hidden="1">#REF!</definedName>
    <definedName name="XRefCopy76" localSheetId="25" hidden="1">#REF!</definedName>
    <definedName name="XRefCopy76" hidden="1">#REF!</definedName>
    <definedName name="XRefCopy78" localSheetId="27" hidden="1">#REF!</definedName>
    <definedName name="XRefCopy78" localSheetId="25" hidden="1">#REF!</definedName>
    <definedName name="XRefCopy78" hidden="1">#REF!</definedName>
    <definedName name="XRefCopy79" localSheetId="27" hidden="1">#REF!</definedName>
    <definedName name="XRefCopy79" localSheetId="25" hidden="1">#REF!</definedName>
    <definedName name="XRefCopy79" hidden="1">#REF!</definedName>
    <definedName name="XRefCopy7Row" localSheetId="27" hidden="1">#REF!</definedName>
    <definedName name="XRefCopy7Row" localSheetId="25" hidden="1">#REF!</definedName>
    <definedName name="XRefCopy7Row" hidden="1">#REF!</definedName>
    <definedName name="XRefCopy80" localSheetId="27" hidden="1">#REF!</definedName>
    <definedName name="XRefCopy80" localSheetId="25" hidden="1">#REF!</definedName>
    <definedName name="XRefCopy80" hidden="1">#REF!</definedName>
    <definedName name="XRefCopy8Row" localSheetId="27" hidden="1">#REF!</definedName>
    <definedName name="XRefCopy8Row" localSheetId="25" hidden="1">#REF!</definedName>
    <definedName name="XRefCopy8Row" hidden="1">#REF!</definedName>
    <definedName name="XRefCopy9" localSheetId="27" hidden="1">#REF!</definedName>
    <definedName name="XRefCopy9" localSheetId="25" hidden="1">#REF!</definedName>
    <definedName name="XRefCopy9" hidden="1">#REF!</definedName>
    <definedName name="XRefCopy97" localSheetId="27" hidden="1">#REF!</definedName>
    <definedName name="XRefCopy97" localSheetId="25" hidden="1">#REF!</definedName>
    <definedName name="XRefCopy97" hidden="1">#REF!</definedName>
    <definedName name="XRefCopy9Row" localSheetId="27" hidden="1">#REF!</definedName>
    <definedName name="XRefCopy9Row" localSheetId="25" hidden="1">#REF!</definedName>
    <definedName name="XRefCopy9Row" hidden="1">#REF!</definedName>
    <definedName name="XRefCopyRangeCount" hidden="1">4</definedName>
    <definedName name="XRefPaste1" localSheetId="27" hidden="1">#REF!</definedName>
    <definedName name="XRefPaste1" localSheetId="25" hidden="1">#REF!</definedName>
    <definedName name="XRefPaste1" hidden="1">#REF!</definedName>
    <definedName name="XRefPaste10" localSheetId="27" hidden="1">#REF!</definedName>
    <definedName name="XRefPaste10" localSheetId="25" hidden="1">#REF!</definedName>
    <definedName name="XRefPaste10" hidden="1">#REF!</definedName>
    <definedName name="XRefPaste10Row" localSheetId="27" hidden="1">#REF!</definedName>
    <definedName name="XRefPaste10Row" localSheetId="25" hidden="1">#REF!</definedName>
    <definedName name="XRefPaste10Row" hidden="1">#REF!</definedName>
    <definedName name="XRefPaste11" localSheetId="27" hidden="1">#REF!</definedName>
    <definedName name="XRefPaste11" localSheetId="25" hidden="1">#REF!</definedName>
    <definedName name="XRefPaste11" hidden="1">#REF!</definedName>
    <definedName name="XRefPaste11Row" localSheetId="27" hidden="1">#REF!</definedName>
    <definedName name="XRefPaste11Row" localSheetId="25" hidden="1">#REF!</definedName>
    <definedName name="XRefPaste11Row" hidden="1">#REF!</definedName>
    <definedName name="XRefPaste12" localSheetId="27" hidden="1">#REF!</definedName>
    <definedName name="XRefPaste12" localSheetId="25" hidden="1">#REF!</definedName>
    <definedName name="XRefPaste12" hidden="1">#REF!</definedName>
    <definedName name="XRefPaste12Row" localSheetId="27" hidden="1">#REF!</definedName>
    <definedName name="XRefPaste12Row" localSheetId="25" hidden="1">#REF!</definedName>
    <definedName name="XRefPaste12Row" hidden="1">#REF!</definedName>
    <definedName name="XRefPaste13Row" localSheetId="27" hidden="1">#REF!</definedName>
    <definedName name="XRefPaste13Row" localSheetId="25" hidden="1">#REF!</definedName>
    <definedName name="XRefPaste13Row" hidden="1">#REF!</definedName>
    <definedName name="XRefPaste14" localSheetId="27" hidden="1">#REF!</definedName>
    <definedName name="XRefPaste14" localSheetId="25" hidden="1">#REF!</definedName>
    <definedName name="XRefPaste14" hidden="1">#REF!</definedName>
    <definedName name="XRefPaste14Row" localSheetId="27" hidden="1">#REF!</definedName>
    <definedName name="XRefPaste14Row" localSheetId="25" hidden="1">#REF!</definedName>
    <definedName name="XRefPaste14Row" hidden="1">#REF!</definedName>
    <definedName name="XRefPaste15" localSheetId="27" hidden="1">#REF!</definedName>
    <definedName name="XRefPaste15" localSheetId="25" hidden="1">#REF!</definedName>
    <definedName name="XRefPaste15" hidden="1">#REF!</definedName>
    <definedName name="XRefPaste15Row" localSheetId="27" hidden="1">#REF!</definedName>
    <definedName name="XRefPaste15Row" localSheetId="25" hidden="1">#REF!</definedName>
    <definedName name="XRefPaste15Row" hidden="1">#REF!</definedName>
    <definedName name="XRefPaste16" localSheetId="27" hidden="1">#REF!</definedName>
    <definedName name="XRefPaste16" localSheetId="25" hidden="1">#REF!</definedName>
    <definedName name="XRefPaste16" hidden="1">#REF!</definedName>
    <definedName name="XRefPaste16Row" localSheetId="27" hidden="1">#REF!</definedName>
    <definedName name="XRefPaste16Row" localSheetId="25" hidden="1">#REF!</definedName>
    <definedName name="XRefPaste16Row" hidden="1">#REF!</definedName>
    <definedName name="XRefPaste17" localSheetId="27" hidden="1">#REF!</definedName>
    <definedName name="XRefPaste17" localSheetId="25" hidden="1">#REF!</definedName>
    <definedName name="XRefPaste17" hidden="1">#REF!</definedName>
    <definedName name="XRefPaste17Row" localSheetId="27" hidden="1">#REF!</definedName>
    <definedName name="XRefPaste17Row" localSheetId="25" hidden="1">#REF!</definedName>
    <definedName name="XRefPaste17Row" hidden="1">#REF!</definedName>
    <definedName name="XRefPaste18" localSheetId="27" hidden="1">#REF!</definedName>
    <definedName name="XRefPaste18" localSheetId="25" hidden="1">#REF!</definedName>
    <definedName name="XRefPaste18" hidden="1">#REF!</definedName>
    <definedName name="XRefPaste18Row" localSheetId="27" hidden="1">#REF!</definedName>
    <definedName name="XRefPaste18Row" localSheetId="25" hidden="1">#REF!</definedName>
    <definedName name="XRefPaste18Row" hidden="1">#REF!</definedName>
    <definedName name="XRefPaste19" localSheetId="27" hidden="1">#REF!</definedName>
    <definedName name="XRefPaste19" localSheetId="25" hidden="1">#REF!</definedName>
    <definedName name="XRefPaste19" hidden="1">#REF!</definedName>
    <definedName name="XRefPaste19Row" localSheetId="27" hidden="1">#REF!</definedName>
    <definedName name="XRefPaste19Row" localSheetId="25" hidden="1">#REF!</definedName>
    <definedName name="XRefPaste19Row" hidden="1">#REF!</definedName>
    <definedName name="XRefPaste1Row" localSheetId="27" hidden="1">#REF!</definedName>
    <definedName name="XRefPaste1Row" localSheetId="25" hidden="1">#REF!</definedName>
    <definedName name="XRefPaste1Row" hidden="1">#REF!</definedName>
    <definedName name="XRefPaste2" localSheetId="27" hidden="1">#REF!</definedName>
    <definedName name="XRefPaste2" localSheetId="25" hidden="1">#REF!</definedName>
    <definedName name="XRefPaste2" hidden="1">#REF!</definedName>
    <definedName name="XRefPaste20" localSheetId="27" hidden="1">#REF!</definedName>
    <definedName name="XRefPaste20" localSheetId="25" hidden="1">#REF!</definedName>
    <definedName name="XRefPaste20" hidden="1">#REF!</definedName>
    <definedName name="XRefPaste20Row" localSheetId="27" hidden="1">#REF!</definedName>
    <definedName name="XRefPaste20Row" localSheetId="25" hidden="1">#REF!</definedName>
    <definedName name="XRefPaste20Row" hidden="1">#REF!</definedName>
    <definedName name="XRefPaste21" localSheetId="27" hidden="1">#REF!</definedName>
    <definedName name="XRefPaste21" localSheetId="25" hidden="1">#REF!</definedName>
    <definedName name="XRefPaste21" hidden="1">#REF!</definedName>
    <definedName name="XRefPaste21Row" localSheetId="27" hidden="1">#REF!</definedName>
    <definedName name="XRefPaste21Row" localSheetId="25" hidden="1">#REF!</definedName>
    <definedName name="XRefPaste21Row" hidden="1">#REF!</definedName>
    <definedName name="XRefPaste22" localSheetId="27" hidden="1">#REF!</definedName>
    <definedName name="XRefPaste22" localSheetId="25" hidden="1">#REF!</definedName>
    <definedName name="XRefPaste22" hidden="1">#REF!</definedName>
    <definedName name="XRefPaste22Row" localSheetId="27" hidden="1">#REF!</definedName>
    <definedName name="XRefPaste22Row" localSheetId="25" hidden="1">#REF!</definedName>
    <definedName name="XRefPaste22Row" hidden="1">#REF!</definedName>
    <definedName name="XRefPaste23Row" localSheetId="27" hidden="1">#REF!</definedName>
    <definedName name="XRefPaste23Row" localSheetId="25" hidden="1">#REF!</definedName>
    <definedName name="XRefPaste23Row" hidden="1">#REF!</definedName>
    <definedName name="XRefPaste24" localSheetId="27" hidden="1">#REF!</definedName>
    <definedName name="XRefPaste24" localSheetId="25" hidden="1">#REF!</definedName>
    <definedName name="XRefPaste24" hidden="1">#REF!</definedName>
    <definedName name="XRefPaste24Row" localSheetId="27" hidden="1">#REF!</definedName>
    <definedName name="XRefPaste24Row" localSheetId="25" hidden="1">#REF!</definedName>
    <definedName name="XRefPaste24Row" hidden="1">#REF!</definedName>
    <definedName name="XRefPaste25" localSheetId="27" hidden="1">#REF!</definedName>
    <definedName name="XRefPaste25" localSheetId="25" hidden="1">#REF!</definedName>
    <definedName name="XRefPaste25" hidden="1">#REF!</definedName>
    <definedName name="XRefPaste25Row" localSheetId="27" hidden="1">#REF!</definedName>
    <definedName name="XRefPaste25Row" localSheetId="25" hidden="1">#REF!</definedName>
    <definedName name="XRefPaste25Row" hidden="1">#REF!</definedName>
    <definedName name="XRefPaste26Row" localSheetId="27" hidden="1">#REF!</definedName>
    <definedName name="XRefPaste26Row" localSheetId="25" hidden="1">#REF!</definedName>
    <definedName name="XRefPaste26Row" hidden="1">#REF!</definedName>
    <definedName name="XRefPaste27Row" localSheetId="27" hidden="1">#REF!</definedName>
    <definedName name="XRefPaste27Row" localSheetId="25" hidden="1">#REF!</definedName>
    <definedName name="XRefPaste27Row" hidden="1">#REF!</definedName>
    <definedName name="XRefPaste28" localSheetId="27" hidden="1">#REF!</definedName>
    <definedName name="XRefPaste28" localSheetId="25" hidden="1">#REF!</definedName>
    <definedName name="XRefPaste28" hidden="1">#REF!</definedName>
    <definedName name="XRefPaste28Row" localSheetId="27" hidden="1">#REF!</definedName>
    <definedName name="XRefPaste28Row" localSheetId="25" hidden="1">#REF!</definedName>
    <definedName name="XRefPaste28Row" hidden="1">#REF!</definedName>
    <definedName name="XRefPaste29" localSheetId="27" hidden="1">#REF!</definedName>
    <definedName name="XRefPaste29" localSheetId="25" hidden="1">#REF!</definedName>
    <definedName name="XRefPaste29" hidden="1">#REF!</definedName>
    <definedName name="XRefPaste29Row" localSheetId="27" hidden="1">#REF!</definedName>
    <definedName name="XRefPaste29Row" localSheetId="25" hidden="1">#REF!</definedName>
    <definedName name="XRefPaste29Row" hidden="1">#REF!</definedName>
    <definedName name="XRefPaste2Row" localSheetId="27" hidden="1">#REF!</definedName>
    <definedName name="XRefPaste2Row" localSheetId="25" hidden="1">#REF!</definedName>
    <definedName name="XRefPaste2Row" hidden="1">#REF!</definedName>
    <definedName name="XRefPaste3" localSheetId="27" hidden="1">#REF!</definedName>
    <definedName name="XRefPaste3" localSheetId="25" hidden="1">#REF!</definedName>
    <definedName name="XRefPaste3" hidden="1">#REF!</definedName>
    <definedName name="XRefPaste30" localSheetId="27" hidden="1">#REF!</definedName>
    <definedName name="XRefPaste30" localSheetId="25" hidden="1">#REF!</definedName>
    <definedName name="XRefPaste30" hidden="1">#REF!</definedName>
    <definedName name="XRefPaste30Row" localSheetId="27" hidden="1">#REF!</definedName>
    <definedName name="XRefPaste30Row" localSheetId="25" hidden="1">#REF!</definedName>
    <definedName name="XRefPaste30Row" hidden="1">#REF!</definedName>
    <definedName name="XRefPaste31" localSheetId="27" hidden="1">#REF!</definedName>
    <definedName name="XRefPaste31" localSheetId="25" hidden="1">#REF!</definedName>
    <definedName name="XRefPaste31" hidden="1">#REF!</definedName>
    <definedName name="XRefPaste31Row" localSheetId="27" hidden="1">#REF!</definedName>
    <definedName name="XRefPaste31Row" localSheetId="25" hidden="1">#REF!</definedName>
    <definedName name="XRefPaste31Row" hidden="1">#REF!</definedName>
    <definedName name="XRefPaste32" localSheetId="27" hidden="1">#REF!</definedName>
    <definedName name="XRefPaste32" localSheetId="25" hidden="1">#REF!</definedName>
    <definedName name="XRefPaste32" hidden="1">#REF!</definedName>
    <definedName name="XRefPaste32Row" localSheetId="27" hidden="1">#REF!</definedName>
    <definedName name="XRefPaste32Row" localSheetId="25" hidden="1">#REF!</definedName>
    <definedName name="XRefPaste32Row" hidden="1">#REF!</definedName>
    <definedName name="XRefPaste33Row" localSheetId="27" hidden="1">#REF!</definedName>
    <definedName name="XRefPaste33Row" localSheetId="25" hidden="1">#REF!</definedName>
    <definedName name="XRefPaste33Row" hidden="1">#REF!</definedName>
    <definedName name="XRefPaste34" localSheetId="27" hidden="1">#REF!</definedName>
    <definedName name="XRefPaste34" localSheetId="25" hidden="1">#REF!</definedName>
    <definedName name="XRefPaste34" hidden="1">#REF!</definedName>
    <definedName name="XRefPaste34Row" localSheetId="27" hidden="1">#REF!</definedName>
    <definedName name="XRefPaste34Row" localSheetId="25" hidden="1">#REF!</definedName>
    <definedName name="XRefPaste34Row" hidden="1">#REF!</definedName>
    <definedName name="XRefPaste35" localSheetId="27" hidden="1">#REF!</definedName>
    <definedName name="XRefPaste35" localSheetId="25" hidden="1">#REF!</definedName>
    <definedName name="XRefPaste35" hidden="1">#REF!</definedName>
    <definedName name="XRefPaste35Row" localSheetId="27" hidden="1">#REF!</definedName>
    <definedName name="XRefPaste35Row" localSheetId="25" hidden="1">#REF!</definedName>
    <definedName name="XRefPaste35Row" hidden="1">#REF!</definedName>
    <definedName name="XRefPaste36Row" localSheetId="27" hidden="1">#REF!</definedName>
    <definedName name="XRefPaste36Row" localSheetId="25" hidden="1">#REF!</definedName>
    <definedName name="XRefPaste36Row" hidden="1">#REF!</definedName>
    <definedName name="XRefPaste37Row" localSheetId="27" hidden="1">#REF!</definedName>
    <definedName name="XRefPaste37Row" localSheetId="25" hidden="1">#REF!</definedName>
    <definedName name="XRefPaste37Row" hidden="1">#REF!</definedName>
    <definedName name="XRefPaste38Row" localSheetId="27" hidden="1">#REF!</definedName>
    <definedName name="XRefPaste38Row" localSheetId="25" hidden="1">#REF!</definedName>
    <definedName name="XRefPaste38Row" hidden="1">#REF!</definedName>
    <definedName name="XRefPaste39" localSheetId="27" hidden="1">#REF!</definedName>
    <definedName name="XRefPaste39" localSheetId="25" hidden="1">#REF!</definedName>
    <definedName name="XRefPaste39" hidden="1">#REF!</definedName>
    <definedName name="XRefPaste39Row" localSheetId="27" hidden="1">#REF!</definedName>
    <definedName name="XRefPaste39Row" localSheetId="25" hidden="1">#REF!</definedName>
    <definedName name="XRefPaste39Row" hidden="1">#REF!</definedName>
    <definedName name="XRefPaste3Row" hidden="1">#REF!</definedName>
    <definedName name="XRefPaste4" localSheetId="27" hidden="1">#REF!</definedName>
    <definedName name="XRefPaste4" localSheetId="25" hidden="1">#REF!</definedName>
    <definedName name="XRefPaste4" hidden="1">#REF!</definedName>
    <definedName name="XRefPaste40Row" localSheetId="27" hidden="1">#REF!</definedName>
    <definedName name="XRefPaste40Row" localSheetId="25" hidden="1">#REF!</definedName>
    <definedName name="XRefPaste40Row" hidden="1">#REF!</definedName>
    <definedName name="XRefPaste41Row" localSheetId="27" hidden="1">#REF!</definedName>
    <definedName name="XRefPaste41Row" localSheetId="25" hidden="1">#REF!</definedName>
    <definedName name="XRefPaste41Row" hidden="1">#REF!</definedName>
    <definedName name="XRefPaste4Row" hidden="1">#REF!</definedName>
    <definedName name="XRefPaste5" localSheetId="27" hidden="1">#REF!</definedName>
    <definedName name="XRefPaste5" localSheetId="25" hidden="1">#REF!</definedName>
    <definedName name="XRefPaste5" hidden="1">#REF!</definedName>
    <definedName name="XRefPaste53" localSheetId="27" hidden="1">#REF!</definedName>
    <definedName name="XRefPaste53" localSheetId="25" hidden="1">#REF!</definedName>
    <definedName name="XRefPaste53" hidden="1">#REF!</definedName>
    <definedName name="XRefPaste54" localSheetId="27" hidden="1">#REF!</definedName>
    <definedName name="XRefPaste54" localSheetId="25" hidden="1">#REF!</definedName>
    <definedName name="XRefPaste54" hidden="1">#REF!</definedName>
    <definedName name="XRefPaste55" localSheetId="27" hidden="1">#REF!</definedName>
    <definedName name="XRefPaste55" localSheetId="25" hidden="1">#REF!</definedName>
    <definedName name="XRefPaste55" hidden="1">#REF!</definedName>
    <definedName name="XRefPaste56" localSheetId="27" hidden="1">#REF!</definedName>
    <definedName name="XRefPaste56" localSheetId="25" hidden="1">#REF!</definedName>
    <definedName name="XRefPaste56" hidden="1">#REF!</definedName>
    <definedName name="XRefPaste57" localSheetId="27" hidden="1">#REF!</definedName>
    <definedName name="XRefPaste57" localSheetId="25" hidden="1">#REF!</definedName>
    <definedName name="XRefPaste57" hidden="1">#REF!</definedName>
    <definedName name="XRefPaste5Row" hidden="1">#REF!</definedName>
    <definedName name="XRefPaste6" localSheetId="27" hidden="1">#REF!</definedName>
    <definedName name="XRefPaste6" localSheetId="25" hidden="1">#REF!</definedName>
    <definedName name="XRefPaste6" hidden="1">#REF!</definedName>
    <definedName name="XRefPaste6Row" localSheetId="27" hidden="1">#REF!</definedName>
    <definedName name="XRefPaste6Row" localSheetId="25" hidden="1">#REF!</definedName>
    <definedName name="XRefPaste6Row" hidden="1">#REF!</definedName>
    <definedName name="XRefPaste7" localSheetId="27" hidden="1">#REF!</definedName>
    <definedName name="XRefPaste7" localSheetId="25" hidden="1">#REF!</definedName>
    <definedName name="XRefPaste7" hidden="1">#REF!</definedName>
    <definedName name="XRefPaste7Row" localSheetId="27" hidden="1">#REF!</definedName>
    <definedName name="XRefPaste7Row" localSheetId="25" hidden="1">#REF!</definedName>
    <definedName name="XRefPaste7Row" hidden="1">#REF!</definedName>
    <definedName name="XRefPaste8" localSheetId="27" hidden="1">#REF!</definedName>
    <definedName name="XRefPaste8" localSheetId="25" hidden="1">#REF!</definedName>
    <definedName name="XRefPaste8" hidden="1">#REF!</definedName>
    <definedName name="XRefPaste8Row" localSheetId="27" hidden="1">#REF!</definedName>
    <definedName name="XRefPaste8Row" localSheetId="25" hidden="1">#REF!</definedName>
    <definedName name="XRefPaste8Row" hidden="1">#REF!</definedName>
    <definedName name="XRefPaste9" localSheetId="27" hidden="1">#REF!</definedName>
    <definedName name="XRefPaste9" localSheetId="25" hidden="1">#REF!</definedName>
    <definedName name="XRefPaste9" hidden="1">#REF!</definedName>
    <definedName name="XRefPaste9Row" localSheetId="27" hidden="1">#REF!</definedName>
    <definedName name="XRefPaste9Row" localSheetId="25" hidden="1">#REF!</definedName>
    <definedName name="XRefPaste9Row" hidden="1">#REF!</definedName>
    <definedName name="XRefPasteRangeCount" hidden="1">8</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YTDcomrange1">#REF!</definedName>
    <definedName name="YTDcomrange2">#REF!</definedName>
    <definedName name="z" localSheetId="27" hidden="1">#REF!</definedName>
    <definedName name="z" localSheetId="25" hidden="1">#REF!</definedName>
    <definedName name="z" hidden="1">#REF!</definedName>
    <definedName name="Z_FB9FEF07_E23D_4093_B787_DA7C6E65880F_.wvu.PrintTitles" hidden="1">#REF!,#REF!</definedName>
    <definedName name="ｸﾞﾚｰ">#REF!</definedName>
    <definedName name="ｸﾞﾚｰY">#REF!</definedName>
    <definedName name="チケット別日別販売実績_DAT">#REF!</definedName>
    <definedName name="ベニューリスト">#REF!</definedName>
    <definedName name="元DATA">#REF!</definedName>
    <definedName name="利益処分計算">#REF!</definedName>
    <definedName name="勘定科目">#REF!</definedName>
    <definedName name="印刷01">#REF!</definedName>
    <definedName name="印刷02">#REF!</definedName>
    <definedName name="反転">#REF!</definedName>
    <definedName name="反転Y">#REF!</definedName>
    <definedName name="基本項目_FLAG">#REF!</definedName>
    <definedName name="消税率">#REF!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3" l="1"/>
  <c r="Q23" i="32"/>
  <c r="Q3" i="32"/>
  <c r="D210" i="29" l="1"/>
  <c r="BD243" i="20"/>
  <c r="BC243" i="20"/>
  <c r="BB243" i="20"/>
  <c r="AY243" i="20"/>
  <c r="AX243" i="20"/>
  <c r="AW243" i="20"/>
  <c r="AJ10" i="17"/>
  <c r="AJ14" i="17"/>
  <c r="AJ45" i="17"/>
  <c r="AJ52" i="17"/>
  <c r="AJ55" i="17"/>
  <c r="AJ62" i="17"/>
  <c r="AJ65" i="17"/>
  <c r="AJ172" i="17"/>
  <c r="AJ187" i="17" s="1"/>
  <c r="V4" i="17"/>
  <c r="W4" i="17" s="1"/>
  <c r="X4" i="17" s="1"/>
  <c r="Y4" i="17" s="1"/>
  <c r="Z4" i="17" s="1"/>
  <c r="AA4" i="17" s="1"/>
  <c r="AB4" i="17" s="1"/>
  <c r="AC4" i="17" s="1"/>
  <c r="AD4" i="17" s="1"/>
  <c r="AE4" i="17" s="1"/>
  <c r="AF4" i="17" s="1"/>
  <c r="AG4" i="17" s="1"/>
  <c r="AH4" i="17" s="1"/>
  <c r="AI4" i="17" s="1"/>
  <c r="AJ4" i="17" s="1"/>
  <c r="AG10" i="17"/>
  <c r="AH10" i="17"/>
  <c r="AI10" i="17"/>
  <c r="AG14" i="17"/>
  <c r="AH14" i="17"/>
  <c r="AI14" i="17"/>
  <c r="AG45" i="17"/>
  <c r="AH45" i="17"/>
  <c r="AI45" i="17"/>
  <c r="AG52" i="17"/>
  <c r="AH52" i="17"/>
  <c r="AI52" i="17"/>
  <c r="AG55" i="17"/>
  <c r="AH55" i="17"/>
  <c r="AI55" i="17"/>
  <c r="AG62" i="17"/>
  <c r="AH62" i="17"/>
  <c r="AI62" i="17"/>
  <c r="AG65" i="17"/>
  <c r="AH65" i="17"/>
  <c r="AI65" i="17"/>
  <c r="AG172" i="17"/>
  <c r="AG187" i="17" s="1"/>
  <c r="AH172" i="17"/>
  <c r="AH187" i="17" s="1"/>
  <c r="AI172" i="17"/>
  <c r="AI187" i="17" s="1"/>
  <c r="U9" i="5"/>
  <c r="AJ147" i="17" s="1"/>
  <c r="U10" i="5"/>
  <c r="U49" i="5" s="1"/>
  <c r="U17" i="5"/>
  <c r="U77" i="5"/>
  <c r="R9" i="5"/>
  <c r="AG147" i="17" s="1"/>
  <c r="S9" i="5"/>
  <c r="AH147" i="17" s="1"/>
  <c r="T9" i="5"/>
  <c r="AI147" i="17" s="1"/>
  <c r="R10" i="5"/>
  <c r="R49" i="5" s="1"/>
  <c r="S10" i="5"/>
  <c r="S49" i="5" s="1"/>
  <c r="T10" i="5"/>
  <c r="T49" i="5" s="1"/>
  <c r="R17" i="5"/>
  <c r="S17" i="5"/>
  <c r="T17" i="5"/>
  <c r="R77" i="5"/>
  <c r="S77" i="5"/>
  <c r="T77" i="5"/>
  <c r="L129" i="25"/>
  <c r="D4404" i="16" l="1"/>
  <c r="E4404" i="16" s="1"/>
  <c r="F4404" i="16" s="1"/>
  <c r="G4404" i="16" s="1"/>
  <c r="B4410" i="16"/>
  <c r="B4409" i="16"/>
  <c r="C4386" i="16"/>
  <c r="C4395" i="16" s="1"/>
  <c r="C4384" i="16"/>
  <c r="D4386" i="16"/>
  <c r="D4384" i="16"/>
  <c r="E4386" i="16"/>
  <c r="E4395" i="16" s="1"/>
  <c r="E4384" i="16"/>
  <c r="F4384" i="16"/>
  <c r="B4392" i="16"/>
  <c r="B4391" i="16"/>
  <c r="B4390" i="16"/>
  <c r="B4395" i="16"/>
  <c r="B4394" i="16"/>
  <c r="B4401" i="16"/>
  <c r="B4400" i="16"/>
  <c r="M4386" i="16"/>
  <c r="M4395" i="16" s="1"/>
  <c r="L4386" i="16"/>
  <c r="L4395" i="16" s="1"/>
  <c r="K4386" i="16"/>
  <c r="K4395" i="16" s="1"/>
  <c r="I4386" i="16"/>
  <c r="I4395" i="16" s="1"/>
  <c r="H4386" i="16"/>
  <c r="H4395" i="16" s="1"/>
  <c r="G4386" i="16"/>
  <c r="G4395" i="16" s="1"/>
  <c r="AF43" i="20"/>
  <c r="AF44" i="20" s="1"/>
  <c r="AE40" i="20"/>
  <c r="AE45" i="20"/>
  <c r="AC44" i="20"/>
  <c r="AD43" i="20"/>
  <c r="AD45" i="20" s="1"/>
  <c r="AC40" i="20"/>
  <c r="AC41" i="20"/>
  <c r="BD232" i="20"/>
  <c r="M4396" i="16" s="1"/>
  <c r="BC232" i="20"/>
  <c r="L4396" i="16" s="1"/>
  <c r="BB232" i="20"/>
  <c r="K4396" i="16" s="1"/>
  <c r="I4396" i="16"/>
  <c r="H4387" i="16"/>
  <c r="N4384" i="16"/>
  <c r="M4384" i="16"/>
  <c r="L4384" i="16"/>
  <c r="K4384" i="16"/>
  <c r="J4384" i="16"/>
  <c r="I4384" i="16"/>
  <c r="H4384" i="16"/>
  <c r="G4384" i="16"/>
  <c r="AC43" i="20" l="1"/>
  <c r="AC45" i="20" s="1"/>
  <c r="G4391" i="16"/>
  <c r="K4391" i="16"/>
  <c r="L4391" i="16"/>
  <c r="L4394" i="16"/>
  <c r="M4394" i="16"/>
  <c r="M4391" i="16"/>
  <c r="H4391" i="16"/>
  <c r="I4391" i="16"/>
  <c r="D4395" i="16"/>
  <c r="K4394" i="16"/>
  <c r="I4394" i="16"/>
  <c r="H4385" i="16"/>
  <c r="AY191" i="20" l="1"/>
  <c r="D69" i="6"/>
  <c r="C69" i="6"/>
  <c r="C71" i="6" s="1"/>
  <c r="C72" i="6" s="1"/>
  <c r="G27" i="6" s="1"/>
  <c r="G54" i="6" s="1"/>
  <c r="J54" i="6" s="1"/>
  <c r="AT30" i="20"/>
  <c r="AT34" i="20" s="1"/>
  <c r="CM32" i="20"/>
  <c r="CM31" i="20"/>
  <c r="CM29" i="20"/>
  <c r="CM28" i="20"/>
  <c r="AY30" i="20"/>
  <c r="AY34" i="20" s="1"/>
  <c r="T140" i="25"/>
  <c r="X140" i="25"/>
  <c r="P453" i="4"/>
  <c r="S453" i="4" s="1"/>
  <c r="G32" i="6" s="1"/>
  <c r="CM34" i="20" l="1"/>
  <c r="CM30" i="20"/>
  <c r="U140" i="25"/>
  <c r="V140" i="25" s="1"/>
  <c r="AY252" i="20"/>
  <c r="AY246" i="20"/>
  <c r="AY249" i="20" s="1"/>
  <c r="AY253" i="20" l="1"/>
  <c r="AY247" i="20"/>
  <c r="BB48" i="20" l="1"/>
  <c r="BE48" i="20" s="1"/>
  <c r="AY244" i="20" l="1"/>
  <c r="AX244" i="20"/>
  <c r="AW244" i="20"/>
  <c r="AY240" i="20"/>
  <c r="AX240" i="20"/>
  <c r="AW240" i="20"/>
  <c r="CM41" i="20"/>
  <c r="CM40" i="20"/>
  <c r="CM38" i="20"/>
  <c r="CM37" i="20"/>
  <c r="CM20" i="20"/>
  <c r="CM13" i="20"/>
  <c r="CM8" i="20"/>
  <c r="CM4" i="20"/>
  <c r="CM27" i="20" s="1"/>
  <c r="C47" i="6" l="1"/>
  <c r="AZ311" i="20"/>
  <c r="AW11" i="20"/>
  <c r="AX11" i="20"/>
  <c r="AY11" i="20"/>
  <c r="AZ319" i="20"/>
  <c r="AZ318" i="20"/>
  <c r="AZ317" i="20"/>
  <c r="AZ313" i="20"/>
  <c r="AZ234" i="20"/>
  <c r="V235" i="4"/>
  <c r="U235" i="4"/>
  <c r="T235" i="4"/>
  <c r="S235" i="4"/>
  <c r="R235" i="4"/>
  <c r="Q235" i="4"/>
  <c r="P235" i="4"/>
  <c r="V208" i="4"/>
  <c r="U208" i="4"/>
  <c r="T208" i="4"/>
  <c r="S208" i="4"/>
  <c r="R208" i="4"/>
  <c r="Q208" i="4"/>
  <c r="P208" i="4"/>
  <c r="AZ363" i="20" s="1"/>
  <c r="V379" i="4"/>
  <c r="U379" i="4"/>
  <c r="T379" i="4"/>
  <c r="S379" i="4"/>
  <c r="R379" i="4"/>
  <c r="Q379" i="4"/>
  <c r="P379" i="4"/>
  <c r="AW366" i="20"/>
  <c r="AY237" i="20"/>
  <c r="BB323" i="20"/>
  <c r="BB319" i="20"/>
  <c r="BB318" i="20"/>
  <c r="BB317" i="20"/>
  <c r="BB316" i="20"/>
  <c r="BB313" i="20"/>
  <c r="BB311" i="20"/>
  <c r="BB310" i="20"/>
  <c r="AY314" i="20"/>
  <c r="AY321" i="20" s="1"/>
  <c r="AY60" i="20"/>
  <c r="AX60" i="20"/>
  <c r="AY65" i="20"/>
  <c r="AY49" i="20"/>
  <c r="AV347" i="12"/>
  <c r="AV346" i="12"/>
  <c r="AV345" i="12"/>
  <c r="AV344" i="12"/>
  <c r="AV343" i="12"/>
  <c r="AV338" i="12"/>
  <c r="AV334" i="12"/>
  <c r="AV332" i="12"/>
  <c r="AV339" i="12" s="1"/>
  <c r="AV327" i="12"/>
  <c r="AY324" i="20" l="1"/>
  <c r="AY327" i="20"/>
  <c r="AV340" i="12"/>
  <c r="I5" i="28"/>
  <c r="G5" i="28"/>
  <c r="E24" i="28"/>
  <c r="E17" i="28"/>
  <c r="E16" i="28"/>
  <c r="E15" i="28"/>
  <c r="E8" i="28"/>
  <c r="E7" i="28"/>
  <c r="U43" i="28"/>
  <c r="U42" i="28"/>
  <c r="E21" i="28" s="1"/>
  <c r="U41" i="28"/>
  <c r="U39" i="28"/>
  <c r="E19" i="28" s="1"/>
  <c r="U37" i="28"/>
  <c r="U45" i="28" s="1"/>
  <c r="U35" i="28"/>
  <c r="E13" i="28" s="1"/>
  <c r="U33" i="28"/>
  <c r="E11" i="28" s="1"/>
  <c r="AY304" i="20"/>
  <c r="AY264" i="20"/>
  <c r="AY39" i="20"/>
  <c r="AY229" i="20"/>
  <c r="AY299" i="20"/>
  <c r="AY298" i="20"/>
  <c r="AY294" i="20"/>
  <c r="AY211" i="20" s="1"/>
  <c r="U38" i="28" s="1"/>
  <c r="AY192" i="20"/>
  <c r="AY287" i="20" s="1"/>
  <c r="AY286" i="20"/>
  <c r="AY189" i="20"/>
  <c r="AY284" i="20" s="1"/>
  <c r="AY331" i="20" s="1"/>
  <c r="AY390" i="20" s="1"/>
  <c r="AY21" i="20"/>
  <c r="U34" i="28" s="1"/>
  <c r="E12" i="28" s="1"/>
  <c r="AY17" i="20"/>
  <c r="AY296" i="20" s="1"/>
  <c r="R288" i="29"/>
  <c r="N288" i="29"/>
  <c r="J288" i="29"/>
  <c r="R287" i="29"/>
  <c r="N287" i="29"/>
  <c r="J287" i="29"/>
  <c r="I284" i="29"/>
  <c r="I283" i="29"/>
  <c r="R285" i="29"/>
  <c r="Q285" i="29"/>
  <c r="P285" i="29"/>
  <c r="M285" i="29"/>
  <c r="R284" i="29"/>
  <c r="Q284" i="29"/>
  <c r="P284" i="29"/>
  <c r="O284" i="29"/>
  <c r="N284" i="29"/>
  <c r="M284" i="29"/>
  <c r="R283" i="29"/>
  <c r="Q283" i="29"/>
  <c r="P283" i="29"/>
  <c r="O283" i="29"/>
  <c r="N283" i="29"/>
  <c r="M283" i="29"/>
  <c r="S285" i="29"/>
  <c r="S284" i="29"/>
  <c r="S283" i="29"/>
  <c r="R276" i="29"/>
  <c r="N276" i="29"/>
  <c r="J276" i="29"/>
  <c r="R275" i="29"/>
  <c r="N275" i="29"/>
  <c r="J275" i="29"/>
  <c r="R274" i="29"/>
  <c r="N274" i="29"/>
  <c r="J274" i="29"/>
  <c r="R272" i="29"/>
  <c r="N272" i="29"/>
  <c r="J272" i="29"/>
  <c r="S309" i="29"/>
  <c r="S288" i="29" s="1"/>
  <c r="O309" i="29"/>
  <c r="O288" i="29" s="1"/>
  <c r="K309" i="29"/>
  <c r="L309" i="29" s="1"/>
  <c r="M309" i="29" s="1"/>
  <c r="M288" i="29" s="1"/>
  <c r="S308" i="29"/>
  <c r="S287" i="29" s="1"/>
  <c r="O308" i="29"/>
  <c r="P308" i="29" s="1"/>
  <c r="Q308" i="29" s="1"/>
  <c r="Q287" i="29" s="1"/>
  <c r="K308" i="29"/>
  <c r="K287" i="29" s="1"/>
  <c r="O306" i="29"/>
  <c r="O285" i="29" s="1"/>
  <c r="N306" i="29"/>
  <c r="N285" i="29" s="1"/>
  <c r="I306" i="29"/>
  <c r="I285" i="29" s="1"/>
  <c r="S302" i="29"/>
  <c r="S276" i="29" s="1"/>
  <c r="O302" i="29"/>
  <c r="O276" i="29" s="1"/>
  <c r="K302" i="29"/>
  <c r="K276" i="29" s="1"/>
  <c r="S301" i="29"/>
  <c r="S275" i="29" s="1"/>
  <c r="O301" i="29"/>
  <c r="O275" i="29" s="1"/>
  <c r="K301" i="29"/>
  <c r="K275" i="29" s="1"/>
  <c r="S300" i="29"/>
  <c r="S274" i="29" s="1"/>
  <c r="O300" i="29"/>
  <c r="O274" i="29" s="1"/>
  <c r="K300" i="29"/>
  <c r="K274" i="29" s="1"/>
  <c r="S299" i="29"/>
  <c r="S272" i="29" s="1"/>
  <c r="O299" i="29"/>
  <c r="P299" i="29" s="1"/>
  <c r="Q299" i="29" s="1"/>
  <c r="Q272" i="29" s="1"/>
  <c r="K299" i="29"/>
  <c r="K272" i="29" s="1"/>
  <c r="L278" i="29"/>
  <c r="K278" i="29"/>
  <c r="J278" i="29"/>
  <c r="H278" i="29"/>
  <c r="G278" i="29"/>
  <c r="F278" i="29"/>
  <c r="E278" i="29"/>
  <c r="D278" i="29"/>
  <c r="C278" i="29"/>
  <c r="B278" i="29"/>
  <c r="S231" i="29"/>
  <c r="S271" i="29"/>
  <c r="R271" i="29"/>
  <c r="Q271" i="29"/>
  <c r="P271" i="29"/>
  <c r="O271" i="29"/>
  <c r="N271" i="29"/>
  <c r="M271" i="29"/>
  <c r="L271" i="29"/>
  <c r="K271" i="29"/>
  <c r="J271" i="29"/>
  <c r="I271" i="29"/>
  <c r="H271" i="29"/>
  <c r="G271" i="29"/>
  <c r="G273" i="29" s="1"/>
  <c r="G277" i="29" s="1"/>
  <c r="F271" i="29"/>
  <c r="F273" i="29" s="1"/>
  <c r="F277" i="29" s="1"/>
  <c r="S270" i="29"/>
  <c r="R270" i="29"/>
  <c r="Q270" i="29"/>
  <c r="P270" i="29"/>
  <c r="O270" i="29"/>
  <c r="N270" i="29"/>
  <c r="M270" i="29"/>
  <c r="L270" i="29"/>
  <c r="K270" i="29"/>
  <c r="J270" i="29"/>
  <c r="I270" i="29"/>
  <c r="H270" i="29"/>
  <c r="G270" i="29"/>
  <c r="F270" i="29"/>
  <c r="L104" i="31"/>
  <c r="K104" i="31"/>
  <c r="K103" i="31"/>
  <c r="G91" i="31"/>
  <c r="G92" i="31" s="1"/>
  <c r="G48" i="31"/>
  <c r="G47" i="31"/>
  <c r="G66" i="31" s="1"/>
  <c r="G39" i="31"/>
  <c r="F39" i="31"/>
  <c r="G29" i="31"/>
  <c r="G79" i="31"/>
  <c r="B253" i="29"/>
  <c r="J294" i="29"/>
  <c r="C294" i="29"/>
  <c r="C293" i="29" s="1"/>
  <c r="K152" i="22"/>
  <c r="I367" i="22"/>
  <c r="AY55" i="20" l="1"/>
  <c r="U30" i="28"/>
  <c r="E9" i="28" s="1"/>
  <c r="E6" i="28" s="1"/>
  <c r="AY16" i="20"/>
  <c r="AY352" i="20"/>
  <c r="AY190" i="20"/>
  <c r="AY285" i="20" s="1"/>
  <c r="AY193" i="20"/>
  <c r="AY300" i="20"/>
  <c r="U49" i="28"/>
  <c r="E20" i="28"/>
  <c r="AY297" i="20"/>
  <c r="AY43" i="20"/>
  <c r="I4387" i="16" s="1"/>
  <c r="AY208" i="20"/>
  <c r="U50" i="28"/>
  <c r="E22" i="28"/>
  <c r="E18" i="28"/>
  <c r="O272" i="29"/>
  <c r="O273" i="29" s="1"/>
  <c r="O277" i="29" s="1"/>
  <c r="M278" i="29"/>
  <c r="M279" i="29" s="1"/>
  <c r="O287" i="29"/>
  <c r="P272" i="29"/>
  <c r="P273" i="29" s="1"/>
  <c r="P287" i="29"/>
  <c r="N278" i="29"/>
  <c r="P278" i="29"/>
  <c r="R278" i="29"/>
  <c r="R290" i="29" s="1"/>
  <c r="I278" i="29"/>
  <c r="I279" i="29" s="1"/>
  <c r="P301" i="29"/>
  <c r="K288" i="29"/>
  <c r="O278" i="29"/>
  <c r="O290" i="29" s="1"/>
  <c r="Q278" i="29"/>
  <c r="Q290" i="29" s="1"/>
  <c r="L288" i="29"/>
  <c r="J293" i="29"/>
  <c r="T293" i="29" s="1"/>
  <c r="J273" i="29"/>
  <c r="J277" i="29" s="1"/>
  <c r="N273" i="29"/>
  <c r="N277" i="29" s="1"/>
  <c r="S273" i="29"/>
  <c r="S277" i="29" s="1"/>
  <c r="Q273" i="29"/>
  <c r="L308" i="29"/>
  <c r="P309" i="29"/>
  <c r="L302" i="29"/>
  <c r="P302" i="29"/>
  <c r="L301" i="29"/>
  <c r="L300" i="29"/>
  <c r="P300" i="29"/>
  <c r="L299" i="29"/>
  <c r="K273" i="29"/>
  <c r="K277" i="29" s="1"/>
  <c r="J290" i="29"/>
  <c r="H290" i="29"/>
  <c r="K290" i="29"/>
  <c r="L290" i="29"/>
  <c r="G290" i="29"/>
  <c r="E279" i="29"/>
  <c r="F279" i="29"/>
  <c r="H273" i="29"/>
  <c r="H277" i="29" s="1"/>
  <c r="R273" i="29"/>
  <c r="R277" i="29" s="1"/>
  <c r="G279" i="29"/>
  <c r="H279" i="29"/>
  <c r="C279" i="29"/>
  <c r="K279" i="29"/>
  <c r="D279" i="29"/>
  <c r="L279" i="29"/>
  <c r="I4402" i="16" l="1"/>
  <c r="I4385" i="16"/>
  <c r="U46" i="28"/>
  <c r="AY194" i="20"/>
  <c r="AY347" i="20" s="1"/>
  <c r="AY216" i="20"/>
  <c r="AY227" i="20"/>
  <c r="AY57" i="20"/>
  <c r="AY46" i="20"/>
  <c r="AY47" i="20" s="1"/>
  <c r="O279" i="29"/>
  <c r="N279" i="29"/>
  <c r="M290" i="29"/>
  <c r="I290" i="29"/>
  <c r="J279" i="29"/>
  <c r="N290" i="29"/>
  <c r="P279" i="29"/>
  <c r="P290" i="29"/>
  <c r="R279" i="29"/>
  <c r="Q279" i="29"/>
  <c r="Q302" i="29"/>
  <c r="Q276" i="29" s="1"/>
  <c r="P276" i="29"/>
  <c r="M302" i="29"/>
  <c r="M276" i="29" s="1"/>
  <c r="L276" i="29"/>
  <c r="Q301" i="29"/>
  <c r="Q275" i="29" s="1"/>
  <c r="P275" i="29"/>
  <c r="Q309" i="29"/>
  <c r="Q288" i="29" s="1"/>
  <c r="P288" i="29"/>
  <c r="M308" i="29"/>
  <c r="M287" i="29" s="1"/>
  <c r="L287" i="29"/>
  <c r="M299" i="29"/>
  <c r="M272" i="29" s="1"/>
  <c r="M273" i="29" s="1"/>
  <c r="L272" i="29"/>
  <c r="L273" i="29" s="1"/>
  <c r="Q300" i="29"/>
  <c r="Q274" i="29" s="1"/>
  <c r="P274" i="29"/>
  <c r="M300" i="29"/>
  <c r="M274" i="29" s="1"/>
  <c r="L274" i="29"/>
  <c r="M301" i="29"/>
  <c r="M275" i="29" s="1"/>
  <c r="L275" i="29"/>
  <c r="I273" i="29"/>
  <c r="I277" i="29" s="1"/>
  <c r="I4400" i="16" l="1"/>
  <c r="AY288" i="20"/>
  <c r="AY56" i="20"/>
  <c r="AV351" i="12" s="1"/>
  <c r="U31" i="28"/>
  <c r="AY228" i="20"/>
  <c r="AY230" i="20"/>
  <c r="Q277" i="29"/>
  <c r="M277" i="29"/>
  <c r="P277" i="29"/>
  <c r="L277" i="29"/>
  <c r="K336" i="22"/>
  <c r="K343" i="22" s="1"/>
  <c r="J336" i="22"/>
  <c r="J343" i="22" s="1"/>
  <c r="P357" i="22"/>
  <c r="O357" i="22"/>
  <c r="N357" i="22"/>
  <c r="M357" i="22"/>
  <c r="L357" i="22"/>
  <c r="K357" i="22"/>
  <c r="J357" i="22"/>
  <c r="I357" i="22"/>
  <c r="H357" i="22"/>
  <c r="G357" i="22"/>
  <c r="F357" i="22"/>
  <c r="E357" i="22"/>
  <c r="D357" i="22"/>
  <c r="C357" i="22"/>
  <c r="E10" i="28" l="1"/>
  <c r="U47" i="28"/>
  <c r="G320" i="22"/>
  <c r="G312" i="22"/>
  <c r="G311" i="22"/>
  <c r="G308" i="22"/>
  <c r="H320" i="22"/>
  <c r="H312" i="22"/>
  <c r="H311" i="22"/>
  <c r="H308" i="22"/>
  <c r="I320" i="22"/>
  <c r="I312" i="22"/>
  <c r="I311" i="22"/>
  <c r="I308" i="22"/>
  <c r="G317" i="22" l="1"/>
  <c r="I317" i="22"/>
  <c r="H317" i="22"/>
  <c r="G325" i="22"/>
  <c r="I325" i="22"/>
  <c r="H325" i="22"/>
  <c r="G313" i="22"/>
  <c r="H313" i="22"/>
  <c r="I313" i="22"/>
  <c r="F273" i="22" l="1"/>
  <c r="G272" i="22"/>
  <c r="G271" i="22"/>
  <c r="H272" i="22"/>
  <c r="H271" i="22"/>
  <c r="I272" i="22"/>
  <c r="J272" i="22" s="1"/>
  <c r="I271" i="22"/>
  <c r="J271" i="22" s="1"/>
  <c r="I269" i="22"/>
  <c r="I321" i="22" s="1"/>
  <c r="H269" i="22"/>
  <c r="G269" i="22"/>
  <c r="F269" i="22"/>
  <c r="F270" i="22" s="1"/>
  <c r="H281" i="22"/>
  <c r="G281" i="22"/>
  <c r="F281" i="22"/>
  <c r="I281" i="22"/>
  <c r="J281" i="22" s="1"/>
  <c r="K281" i="22" s="1"/>
  <c r="L281" i="22" s="1"/>
  <c r="M281" i="22" s="1"/>
  <c r="N281" i="22" s="1"/>
  <c r="O281" i="22" s="1"/>
  <c r="P281" i="22" s="1"/>
  <c r="H280" i="22"/>
  <c r="G280" i="22"/>
  <c r="F280" i="22"/>
  <c r="I280" i="22"/>
  <c r="J280" i="22" s="1"/>
  <c r="K280" i="22" s="1"/>
  <c r="L280" i="22" s="1"/>
  <c r="M280" i="22" s="1"/>
  <c r="N280" i="22" s="1"/>
  <c r="O280" i="22" s="1"/>
  <c r="P280" i="22" s="1"/>
  <c r="F278" i="22"/>
  <c r="G278" i="22"/>
  <c r="H278" i="22"/>
  <c r="I278" i="22"/>
  <c r="J278" i="22" s="1"/>
  <c r="J263" i="22"/>
  <c r="K263" i="22" s="1"/>
  <c r="L263" i="22" s="1"/>
  <c r="M263" i="22" s="1"/>
  <c r="N263" i="22" s="1"/>
  <c r="O263" i="22" s="1"/>
  <c r="P263" i="22" s="1"/>
  <c r="H277" i="22"/>
  <c r="G277" i="22"/>
  <c r="F277" i="22"/>
  <c r="I277" i="22"/>
  <c r="H299" i="22"/>
  <c r="G299" i="22"/>
  <c r="F299" i="22"/>
  <c r="I299" i="22"/>
  <c r="P286" i="22"/>
  <c r="O286" i="22"/>
  <c r="N286" i="22"/>
  <c r="M286" i="22"/>
  <c r="L286" i="22"/>
  <c r="K286" i="22"/>
  <c r="J286" i="22"/>
  <c r="I286" i="22"/>
  <c r="H286" i="22"/>
  <c r="G286" i="22"/>
  <c r="F286" i="22"/>
  <c r="E286" i="22"/>
  <c r="D286" i="22"/>
  <c r="C286" i="22"/>
  <c r="G270" i="22" l="1"/>
  <c r="G321" i="22"/>
  <c r="H270" i="22"/>
  <c r="H321" i="22"/>
  <c r="I326" i="22"/>
  <c r="I327" i="22" s="1"/>
  <c r="I322" i="22"/>
  <c r="K272" i="22"/>
  <c r="H295" i="22"/>
  <c r="H296" i="22"/>
  <c r="H293" i="22"/>
  <c r="H294" i="22" s="1"/>
  <c r="G296" i="22"/>
  <c r="G293" i="22"/>
  <c r="G294" i="22" s="1"/>
  <c r="G295" i="22"/>
  <c r="I295" i="22"/>
  <c r="I296" i="22"/>
  <c r="F296" i="22"/>
  <c r="F293" i="22"/>
  <c r="F294" i="22" s="1"/>
  <c r="F295" i="22"/>
  <c r="I270" i="22"/>
  <c r="I293" i="22"/>
  <c r="I294" i="22" s="1"/>
  <c r="J265" i="22"/>
  <c r="I273" i="22"/>
  <c r="I274" i="22" s="1"/>
  <c r="J273" i="22"/>
  <c r="K271" i="22"/>
  <c r="F274" i="22"/>
  <c r="G273" i="22"/>
  <c r="G274" i="22" s="1"/>
  <c r="H273" i="22"/>
  <c r="H274" i="22" s="1"/>
  <c r="G279" i="22"/>
  <c r="H279" i="22"/>
  <c r="I279" i="22"/>
  <c r="K278" i="22"/>
  <c r="I254" i="22"/>
  <c r="H322" i="22" l="1"/>
  <c r="H326" i="22"/>
  <c r="H327" i="22" s="1"/>
  <c r="G322" i="22"/>
  <c r="G326" i="22"/>
  <c r="G327" i="22" s="1"/>
  <c r="H297" i="22"/>
  <c r="H298" i="22" s="1"/>
  <c r="K273" i="22"/>
  <c r="J264" i="22"/>
  <c r="G297" i="22"/>
  <c r="G298" i="22" s="1"/>
  <c r="L272" i="22"/>
  <c r="I297" i="22"/>
  <c r="I298" i="22" s="1"/>
  <c r="F297" i="22"/>
  <c r="F298" i="22" s="1"/>
  <c r="L271" i="22"/>
  <c r="J266" i="22"/>
  <c r="L278" i="22"/>
  <c r="K265" i="22"/>
  <c r="P262" i="22"/>
  <c r="O262" i="22"/>
  <c r="N262" i="22"/>
  <c r="M262" i="22"/>
  <c r="L262" i="22"/>
  <c r="K262" i="22"/>
  <c r="J262" i="22"/>
  <c r="I262" i="22"/>
  <c r="H262" i="22"/>
  <c r="G262" i="22"/>
  <c r="F262" i="22"/>
  <c r="E262" i="22"/>
  <c r="D262" i="22"/>
  <c r="C262" i="22"/>
  <c r="J177" i="22"/>
  <c r="J196" i="22" s="1"/>
  <c r="I196" i="22"/>
  <c r="I199" i="22"/>
  <c r="H199" i="22"/>
  <c r="H196" i="22"/>
  <c r="H195" i="22"/>
  <c r="I195" i="22"/>
  <c r="P194" i="22"/>
  <c r="O194" i="22"/>
  <c r="N194" i="22"/>
  <c r="M194" i="22"/>
  <c r="L194" i="22"/>
  <c r="K194" i="22"/>
  <c r="J194" i="22"/>
  <c r="I194" i="22"/>
  <c r="H194" i="22"/>
  <c r="G194" i="22"/>
  <c r="F194" i="22"/>
  <c r="E194" i="22"/>
  <c r="D194" i="22"/>
  <c r="C194" i="22"/>
  <c r="H228" i="22"/>
  <c r="I228" i="22"/>
  <c r="P207" i="22"/>
  <c r="O207" i="22"/>
  <c r="N207" i="22"/>
  <c r="M207" i="22"/>
  <c r="L207" i="22"/>
  <c r="K207" i="22"/>
  <c r="J207" i="22"/>
  <c r="I207" i="22"/>
  <c r="H207" i="22"/>
  <c r="G207" i="22"/>
  <c r="F207" i="22"/>
  <c r="E207" i="22"/>
  <c r="D207" i="22"/>
  <c r="C207" i="22"/>
  <c r="H209" i="22"/>
  <c r="I209" i="22"/>
  <c r="I211" i="22" s="1"/>
  <c r="J211" i="22" s="1"/>
  <c r="G209" i="22"/>
  <c r="J167" i="22"/>
  <c r="K167" i="22" s="1"/>
  <c r="L167" i="22" s="1"/>
  <c r="M167" i="22" s="1"/>
  <c r="N167" i="22" s="1"/>
  <c r="O167" i="22" s="1"/>
  <c r="P167" i="22" s="1"/>
  <c r="J166" i="22"/>
  <c r="O239" i="22"/>
  <c r="P239" i="22"/>
  <c r="P181" i="22"/>
  <c r="O181" i="22"/>
  <c r="N181" i="22"/>
  <c r="M181" i="22"/>
  <c r="L181" i="22"/>
  <c r="K181" i="22"/>
  <c r="J181" i="22"/>
  <c r="I181" i="22"/>
  <c r="H181" i="22"/>
  <c r="G181" i="22"/>
  <c r="F181" i="22"/>
  <c r="E181" i="22"/>
  <c r="D181" i="22"/>
  <c r="C181" i="22"/>
  <c r="N239" i="22"/>
  <c r="M239" i="22"/>
  <c r="L239" i="22"/>
  <c r="K239" i="22"/>
  <c r="J239" i="22"/>
  <c r="I239" i="22"/>
  <c r="H239" i="22"/>
  <c r="G239" i="22"/>
  <c r="F239" i="22"/>
  <c r="E239" i="22"/>
  <c r="D239" i="22"/>
  <c r="C239" i="22"/>
  <c r="H168" i="22"/>
  <c r="H170" i="22" s="1"/>
  <c r="H171" i="22" s="1"/>
  <c r="I168" i="22"/>
  <c r="I253" i="22" s="1"/>
  <c r="P165" i="22"/>
  <c r="O165" i="22"/>
  <c r="N165" i="22"/>
  <c r="M165" i="22"/>
  <c r="L165" i="22"/>
  <c r="K165" i="22"/>
  <c r="J165" i="22"/>
  <c r="I165" i="22"/>
  <c r="H165" i="22"/>
  <c r="G165" i="22"/>
  <c r="F165" i="22"/>
  <c r="E165" i="22"/>
  <c r="D165" i="22"/>
  <c r="C165" i="22"/>
  <c r="P246" i="22"/>
  <c r="O246" i="22"/>
  <c r="N246" i="22"/>
  <c r="M246" i="22"/>
  <c r="L246" i="22"/>
  <c r="K246" i="22"/>
  <c r="J246" i="22"/>
  <c r="I246" i="22"/>
  <c r="H246" i="22"/>
  <c r="G246" i="22"/>
  <c r="F246" i="22"/>
  <c r="E246" i="22"/>
  <c r="D246" i="22"/>
  <c r="C246" i="22"/>
  <c r="D113" i="22"/>
  <c r="E113" i="22"/>
  <c r="F113" i="22"/>
  <c r="G113" i="22"/>
  <c r="H113" i="22"/>
  <c r="I113" i="22"/>
  <c r="J113" i="22"/>
  <c r="K113" i="22"/>
  <c r="L113" i="22"/>
  <c r="M113" i="22"/>
  <c r="N113" i="22"/>
  <c r="O113" i="22"/>
  <c r="P113" i="22"/>
  <c r="C113" i="22"/>
  <c r="B70" i="22"/>
  <c r="E35" i="22"/>
  <c r="F35" i="22" s="1"/>
  <c r="G35" i="22" s="1"/>
  <c r="H35" i="22" s="1"/>
  <c r="I35" i="22" s="1"/>
  <c r="J35" i="22" s="1"/>
  <c r="K35" i="22" s="1"/>
  <c r="L35" i="22" s="1"/>
  <c r="M35" i="22" s="1"/>
  <c r="N35" i="22" s="1"/>
  <c r="O35" i="22" s="1"/>
  <c r="P35" i="22" s="1"/>
  <c r="D160" i="22"/>
  <c r="E160" i="22" s="1"/>
  <c r="H249" i="22"/>
  <c r="G249" i="22"/>
  <c r="I249" i="22"/>
  <c r="I360" i="22" s="1"/>
  <c r="H248" i="22"/>
  <c r="G248" i="22"/>
  <c r="I248" i="22"/>
  <c r="H158" i="22"/>
  <c r="H182" i="22" s="1"/>
  <c r="H189" i="22" s="1"/>
  <c r="H190" i="22" s="1"/>
  <c r="G158" i="22"/>
  <c r="I158" i="22"/>
  <c r="I182" i="22" s="1"/>
  <c r="I189" i="22" s="1"/>
  <c r="I190" i="22" s="1"/>
  <c r="G155" i="22"/>
  <c r="G152" i="22"/>
  <c r="H140" i="22"/>
  <c r="H139" i="22"/>
  <c r="G136" i="22"/>
  <c r="CL20" i="20"/>
  <c r="CI20" i="20"/>
  <c r="CH20" i="20"/>
  <c r="CG20" i="20"/>
  <c r="CE20" i="20"/>
  <c r="CD20" i="20"/>
  <c r="CC20" i="20"/>
  <c r="CB20" i="20"/>
  <c r="CJ20" i="20"/>
  <c r="H133" i="22"/>
  <c r="G118" i="22"/>
  <c r="G114" i="22"/>
  <c r="J122" i="22"/>
  <c r="K122" i="22" s="1"/>
  <c r="L122" i="22" s="1"/>
  <c r="M122" i="22" s="1"/>
  <c r="N122" i="22" s="1"/>
  <c r="O122" i="22" s="1"/>
  <c r="P122" i="22" s="1"/>
  <c r="I148" i="22"/>
  <c r="J120" i="22"/>
  <c r="K120" i="22" s="1"/>
  <c r="I145" i="22"/>
  <c r="J138" i="22"/>
  <c r="K138" i="22" s="1"/>
  <c r="L138" i="22" s="1"/>
  <c r="M138" i="22" s="1"/>
  <c r="N138" i="22" s="1"/>
  <c r="O138" i="22" s="1"/>
  <c r="P138" i="22" s="1"/>
  <c r="J137" i="22"/>
  <c r="K137" i="22" s="1"/>
  <c r="L137" i="22" s="1"/>
  <c r="H136" i="22"/>
  <c r="I140" i="22"/>
  <c r="I139" i="22"/>
  <c r="J116" i="22"/>
  <c r="K116" i="22" s="1"/>
  <c r="L116" i="22" s="1"/>
  <c r="M116" i="22" s="1"/>
  <c r="N116" i="22" s="1"/>
  <c r="O116" i="22" s="1"/>
  <c r="P116" i="22" s="1"/>
  <c r="I133" i="22"/>
  <c r="C128" i="22"/>
  <c r="C129" i="22"/>
  <c r="I14" i="22"/>
  <c r="H14" i="22"/>
  <c r="I17" i="22"/>
  <c r="I128" i="22" s="1"/>
  <c r="H17" i="22"/>
  <c r="I136" i="22"/>
  <c r="C4348" i="16"/>
  <c r="I118" i="22"/>
  <c r="H118" i="22"/>
  <c r="H114" i="22"/>
  <c r="I114" i="22"/>
  <c r="M5" i="28"/>
  <c r="L5" i="28"/>
  <c r="C17" i="28"/>
  <c r="C16" i="28"/>
  <c r="C15" i="28"/>
  <c r="C8" i="28"/>
  <c r="C7" i="28"/>
  <c r="W37" i="28"/>
  <c r="W45" i="28" s="1"/>
  <c r="V30" i="28"/>
  <c r="F15" i="28"/>
  <c r="G15" i="28" s="1"/>
  <c r="F8" i="28"/>
  <c r="G8" i="28" s="1"/>
  <c r="F7" i="28"/>
  <c r="G7" i="28" s="1"/>
  <c r="V42" i="28"/>
  <c r="F21" i="28" s="1"/>
  <c r="G21" i="28" s="1"/>
  <c r="V39" i="28"/>
  <c r="F19" i="28" s="1"/>
  <c r="G19" i="28" s="1"/>
  <c r="V37" i="28"/>
  <c r="V45" i="28" s="1"/>
  <c r="V34" i="28"/>
  <c r="F12" i="28" s="1"/>
  <c r="G12" i="28" s="1"/>
  <c r="V33" i="28"/>
  <c r="F11" i="28" s="1"/>
  <c r="G11" i="28" s="1"/>
  <c r="H4345" i="16"/>
  <c r="G4345" i="16"/>
  <c r="F4345" i="16"/>
  <c r="E4345" i="16"/>
  <c r="D4345" i="16"/>
  <c r="H4378" i="16"/>
  <c r="G4378" i="16"/>
  <c r="F4378" i="16"/>
  <c r="E4378" i="16"/>
  <c r="D4378" i="16"/>
  <c r="C4378" i="16"/>
  <c r="H4377" i="16"/>
  <c r="C4377" i="16"/>
  <c r="H4376" i="16"/>
  <c r="G4376" i="16"/>
  <c r="F4376" i="16"/>
  <c r="E4376" i="16"/>
  <c r="D4376" i="16"/>
  <c r="C4376" i="16"/>
  <c r="F4374" i="16"/>
  <c r="E4374" i="16"/>
  <c r="D4374" i="16"/>
  <c r="C4374" i="16"/>
  <c r="C4373" i="16"/>
  <c r="C4368" i="16"/>
  <c r="C4367" i="16"/>
  <c r="C4366" i="16"/>
  <c r="B4379" i="16"/>
  <c r="B4378" i="16"/>
  <c r="B4377" i="16"/>
  <c r="B4376" i="16"/>
  <c r="B4375" i="16"/>
  <c r="B4374" i="16"/>
  <c r="B4373" i="16"/>
  <c r="B4372" i="16"/>
  <c r="B4370" i="16"/>
  <c r="B4369" i="16"/>
  <c r="B4368" i="16"/>
  <c r="B4367" i="16"/>
  <c r="B4366" i="16"/>
  <c r="H4362" i="16"/>
  <c r="G4362" i="16"/>
  <c r="F4362" i="16"/>
  <c r="E4362" i="16"/>
  <c r="D4362" i="16"/>
  <c r="B4362" i="16"/>
  <c r="C4361" i="16"/>
  <c r="B4361" i="16"/>
  <c r="H4359" i="16"/>
  <c r="G4359" i="16"/>
  <c r="F4359" i="16"/>
  <c r="E4359" i="16"/>
  <c r="D4359" i="16"/>
  <c r="B4359" i="16"/>
  <c r="B4358" i="16"/>
  <c r="B4356" i="16"/>
  <c r="B4354" i="16"/>
  <c r="B4352" i="16"/>
  <c r="B4351" i="16"/>
  <c r="C4350" i="16"/>
  <c r="B4350" i="16"/>
  <c r="B4342" i="16"/>
  <c r="B4345" i="16" s="1"/>
  <c r="B4339" i="16"/>
  <c r="CR4" i="20"/>
  <c r="CR27" i="20" s="1"/>
  <c r="CQ4" i="20"/>
  <c r="CQ27" i="20" s="1"/>
  <c r="CP4" i="20"/>
  <c r="CP27" i="20" s="1"/>
  <c r="CO4" i="20"/>
  <c r="CO27" i="20" s="1"/>
  <c r="CQ41" i="20"/>
  <c r="CP41" i="20"/>
  <c r="CO41" i="20"/>
  <c r="CQ40" i="20"/>
  <c r="CP40" i="20"/>
  <c r="CO40" i="20"/>
  <c r="CQ38" i="20"/>
  <c r="CP38" i="20"/>
  <c r="CO38" i="20"/>
  <c r="CQ37" i="20"/>
  <c r="CP37" i="20"/>
  <c r="CO37" i="20"/>
  <c r="L187" i="25"/>
  <c r="BD39" i="20"/>
  <c r="BD43" i="20" s="1"/>
  <c r="BC39" i="20"/>
  <c r="BC43" i="20" s="1"/>
  <c r="BB39" i="20"/>
  <c r="BB43" i="20" s="1"/>
  <c r="K4387" i="16" s="1"/>
  <c r="BE189" i="20"/>
  <c r="BD189" i="20"/>
  <c r="BC189" i="20"/>
  <c r="BB189" i="20"/>
  <c r="BF18" i="20"/>
  <c r="K187" i="25"/>
  <c r="K188" i="25" s="1"/>
  <c r="K184" i="25"/>
  <c r="L155" i="25"/>
  <c r="K146" i="25"/>
  <c r="K161" i="25" s="1"/>
  <c r="I4317" i="16"/>
  <c r="H4317" i="16"/>
  <c r="F4317" i="16"/>
  <c r="E4317" i="16"/>
  <c r="BI263" i="20"/>
  <c r="BH263" i="20"/>
  <c r="BI262" i="20"/>
  <c r="BH262" i="20"/>
  <c r="AX227" i="20"/>
  <c r="BH259" i="20"/>
  <c r="BH265" i="20" s="1"/>
  <c r="O6" i="28" a="1"/>
  <c r="N8" i="28" a="1"/>
  <c r="O18" i="28" a="1"/>
  <c r="N13" i="28" a="1"/>
  <c r="O17" i="28" a="1"/>
  <c r="N18" i="28" a="1"/>
  <c r="N17" i="28" a="1"/>
  <c r="N15" i="28" a="1"/>
  <c r="O20" i="28" a="1"/>
  <c r="N19" i="28" a="1"/>
  <c r="O15" i="28" a="1"/>
  <c r="O10" i="28" a="1"/>
  <c r="O7" i="28" a="1"/>
  <c r="N10" i="28" a="1"/>
  <c r="O13" i="28" a="1"/>
  <c r="N22" i="28" a="1"/>
  <c r="O22" i="28" a="1"/>
  <c r="N7" i="28" a="1"/>
  <c r="O19" i="28" a="1"/>
  <c r="O8" i="28" a="1"/>
  <c r="N6" i="28" a="1"/>
  <c r="O11" i="28" a="1"/>
  <c r="N20" i="28" a="1"/>
  <c r="N11" i="28" a="1"/>
  <c r="K4402" i="16" l="1"/>
  <c r="K4385" i="16"/>
  <c r="BC46" i="20"/>
  <c r="L4387" i="16"/>
  <c r="L4392" i="16" s="1"/>
  <c r="BD46" i="20"/>
  <c r="M4387" i="16"/>
  <c r="M4392" i="16" s="1"/>
  <c r="K166" i="22"/>
  <c r="K168" i="22" s="1"/>
  <c r="J168" i="22"/>
  <c r="I361" i="22"/>
  <c r="I363" i="22" s="1"/>
  <c r="I107" i="22"/>
  <c r="I255" i="22"/>
  <c r="J267" i="22"/>
  <c r="J312" i="22" s="1"/>
  <c r="J308" i="22"/>
  <c r="L273" i="22"/>
  <c r="M272" i="22"/>
  <c r="J269" i="22"/>
  <c r="J321" i="22" s="1"/>
  <c r="M271" i="22"/>
  <c r="K264" i="22"/>
  <c r="K308" i="22" s="1"/>
  <c r="K266" i="22"/>
  <c r="M278" i="22"/>
  <c r="L265" i="22"/>
  <c r="I231" i="22"/>
  <c r="I232" i="22" s="1"/>
  <c r="J232" i="22" s="1"/>
  <c r="K177" i="22"/>
  <c r="I197" i="22"/>
  <c r="H197" i="22"/>
  <c r="I170" i="22"/>
  <c r="I171" i="22" s="1"/>
  <c r="H231" i="22"/>
  <c r="H232" i="22" s="1"/>
  <c r="K211" i="22"/>
  <c r="L211" i="22" s="1"/>
  <c r="M211" i="22" s="1"/>
  <c r="I212" i="22"/>
  <c r="I216" i="22" s="1"/>
  <c r="I217" i="22" s="1"/>
  <c r="I234" i="22" s="1"/>
  <c r="J234" i="22" s="1"/>
  <c r="K234" i="22" s="1"/>
  <c r="L234" i="22" s="1"/>
  <c r="M234" i="22" s="1"/>
  <c r="N234" i="22" s="1"/>
  <c r="O234" i="22" s="1"/>
  <c r="P234" i="22" s="1"/>
  <c r="H211" i="22"/>
  <c r="H212" i="22" s="1"/>
  <c r="H216" i="22" s="1"/>
  <c r="H217" i="22" s="1"/>
  <c r="I250" i="22"/>
  <c r="G250" i="22"/>
  <c r="H250" i="22"/>
  <c r="F160" i="22"/>
  <c r="H142" i="22"/>
  <c r="I142" i="22"/>
  <c r="G123" i="22"/>
  <c r="I123" i="22"/>
  <c r="I307" i="22" s="1"/>
  <c r="L120" i="22"/>
  <c r="H18" i="22"/>
  <c r="J136" i="22"/>
  <c r="K136" i="22"/>
  <c r="M137" i="22"/>
  <c r="L136" i="22"/>
  <c r="I19" i="22"/>
  <c r="H128" i="22"/>
  <c r="H123" i="22"/>
  <c r="H307" i="22" s="1"/>
  <c r="I18" i="22"/>
  <c r="J18" i="22" s="1"/>
  <c r="K18" i="22" s="1"/>
  <c r="C18" i="28"/>
  <c r="O8" i="28"/>
  <c r="S8" i="28" s="1"/>
  <c r="O13" i="28"/>
  <c r="S13" i="28" s="1"/>
  <c r="O19" i="28"/>
  <c r="S19" i="28" s="1"/>
  <c r="O15" i="28"/>
  <c r="S15" i="28" s="1"/>
  <c r="O10" i="28"/>
  <c r="S10" i="28" s="1"/>
  <c r="O20" i="28"/>
  <c r="S20" i="28" s="1"/>
  <c r="O6" i="28"/>
  <c r="S6" i="28" s="1"/>
  <c r="O17" i="28"/>
  <c r="S17" i="28" s="1"/>
  <c r="O11" i="28"/>
  <c r="S11" i="28" s="1"/>
  <c r="O7" i="28"/>
  <c r="S7" i="28" s="1"/>
  <c r="O22" i="28"/>
  <c r="S22" i="28" s="1"/>
  <c r="O18" i="28"/>
  <c r="S18" i="28" s="1"/>
  <c r="N6" i="28"/>
  <c r="H6" i="28" s="1"/>
  <c r="I6" i="28" s="1"/>
  <c r="N11" i="28"/>
  <c r="H11" i="28" s="1"/>
  <c r="N18" i="28"/>
  <c r="H18" i="28" s="1"/>
  <c r="I18" i="28" s="1"/>
  <c r="N7" i="28"/>
  <c r="H7" i="28" s="1"/>
  <c r="N13" i="28"/>
  <c r="H13" i="28" s="1"/>
  <c r="I13" i="28" s="1"/>
  <c r="N19" i="28"/>
  <c r="H19" i="28" s="1"/>
  <c r="N20" i="28"/>
  <c r="H20" i="28" s="1"/>
  <c r="I20" i="28" s="1"/>
  <c r="N8" i="28"/>
  <c r="H8" i="28" s="1"/>
  <c r="N15" i="28"/>
  <c r="H15" i="28" s="1"/>
  <c r="N10" i="28"/>
  <c r="H10" i="28" s="1"/>
  <c r="I10" i="28" s="1"/>
  <c r="N17" i="28"/>
  <c r="H17" i="28" s="1"/>
  <c r="I17" i="28" s="1"/>
  <c r="N22" i="28"/>
  <c r="H22" i="28" s="1"/>
  <c r="I22" i="28" s="1"/>
  <c r="C4375" i="16"/>
  <c r="M129" i="25"/>
  <c r="D4366" i="16"/>
  <c r="F9" i="28"/>
  <c r="G9" i="28" s="1"/>
  <c r="CP39" i="20"/>
  <c r="CP43" i="20"/>
  <c r="BH258" i="20"/>
  <c r="G4317" i="16" s="1"/>
  <c r="K4400" i="16" l="1"/>
  <c r="L4402" i="16"/>
  <c r="L4385" i="16"/>
  <c r="M4402" i="16"/>
  <c r="M4385" i="16"/>
  <c r="L166" i="22"/>
  <c r="L168" i="22" s="1"/>
  <c r="L231" i="22" s="1"/>
  <c r="L215" i="22" s="1"/>
  <c r="L183" i="22" s="1"/>
  <c r="L11" i="28"/>
  <c r="I11" i="28"/>
  <c r="L8" i="28"/>
  <c r="I8" i="28"/>
  <c r="L7" i="28"/>
  <c r="I7" i="28"/>
  <c r="L15" i="28"/>
  <c r="I15" i="28"/>
  <c r="L19" i="28"/>
  <c r="I19" i="28"/>
  <c r="J268" i="22"/>
  <c r="J317" i="22"/>
  <c r="J326" i="22"/>
  <c r="H316" i="22"/>
  <c r="H318" i="22" s="1"/>
  <c r="H309" i="22"/>
  <c r="J274" i="22"/>
  <c r="G208" i="22"/>
  <c r="G307" i="22"/>
  <c r="I316" i="22"/>
  <c r="I318" i="22" s="1"/>
  <c r="I309" i="22"/>
  <c r="N271" i="22"/>
  <c r="M273" i="22"/>
  <c r="N272" i="22"/>
  <c r="J270" i="22"/>
  <c r="K267" i="22"/>
  <c r="K312" i="22" s="1"/>
  <c r="K269" i="22"/>
  <c r="K321" i="22" s="1"/>
  <c r="L264" i="22"/>
  <c r="L308" i="22" s="1"/>
  <c r="L266" i="22"/>
  <c r="N278" i="22"/>
  <c r="M265" i="22"/>
  <c r="J231" i="22"/>
  <c r="J215" i="22" s="1"/>
  <c r="J183" i="22" s="1"/>
  <c r="L177" i="22"/>
  <c r="K196" i="22"/>
  <c r="H220" i="22"/>
  <c r="H203" i="22" s="1"/>
  <c r="H234" i="22"/>
  <c r="I208" i="22"/>
  <c r="I226" i="22" s="1"/>
  <c r="J226" i="22" s="1"/>
  <c r="I202" i="22"/>
  <c r="J202" i="22" s="1"/>
  <c r="K202" i="22" s="1"/>
  <c r="L202" i="22" s="1"/>
  <c r="M202" i="22" s="1"/>
  <c r="N202" i="22" s="1"/>
  <c r="O202" i="22" s="1"/>
  <c r="P202" i="22" s="1"/>
  <c r="I220" i="22"/>
  <c r="I203" i="22" s="1"/>
  <c r="K231" i="22"/>
  <c r="K215" i="22" s="1"/>
  <c r="K183" i="22" s="1"/>
  <c r="H208" i="22"/>
  <c r="H226" i="22" s="1"/>
  <c r="H202" i="22"/>
  <c r="N211" i="22"/>
  <c r="G247" i="22"/>
  <c r="G160" i="22"/>
  <c r="H155" i="22"/>
  <c r="H247" i="22"/>
  <c r="I155" i="22"/>
  <c r="I247" i="22"/>
  <c r="I358" i="22" s="1"/>
  <c r="H152" i="22"/>
  <c r="H124" i="22"/>
  <c r="I124" i="22"/>
  <c r="I152" i="22"/>
  <c r="M120" i="22"/>
  <c r="J142" i="22"/>
  <c r="J119" i="22" s="1"/>
  <c r="J118" i="22" s="1"/>
  <c r="I143" i="22"/>
  <c r="N137" i="22"/>
  <c r="M136" i="22"/>
  <c r="F6" i="28"/>
  <c r="O9" i="28"/>
  <c r="S9" i="28" s="1"/>
  <c r="O16" i="28"/>
  <c r="S16" i="28" s="1"/>
  <c r="O21" i="28"/>
  <c r="S21" i="28" s="1"/>
  <c r="N21" i="28"/>
  <c r="H21" i="28" s="1"/>
  <c r="N16" i="28"/>
  <c r="H16" i="28" s="1"/>
  <c r="I16" i="28" s="1"/>
  <c r="N9" i="28"/>
  <c r="H9" i="28" s="1"/>
  <c r="N129" i="25"/>
  <c r="E4366" i="16"/>
  <c r="M187" i="25"/>
  <c r="D5179" i="8"/>
  <c r="E5179" i="8" s="1"/>
  <c r="F5179" i="8" s="1"/>
  <c r="F5182" i="8"/>
  <c r="E5182" i="8"/>
  <c r="D5182" i="8"/>
  <c r="J5176" i="8"/>
  <c r="I5177" i="8"/>
  <c r="H5177" i="8"/>
  <c r="G5177" i="8"/>
  <c r="F5177" i="8"/>
  <c r="E5177" i="8"/>
  <c r="D5177" i="8"/>
  <c r="C5177" i="8"/>
  <c r="J5175" i="8"/>
  <c r="C5168" i="8"/>
  <c r="C5160" i="8"/>
  <c r="C5161" i="8" s="1"/>
  <c r="S145" i="29"/>
  <c r="S144" i="29"/>
  <c r="S133" i="29"/>
  <c r="S132" i="29"/>
  <c r="S131" i="29"/>
  <c r="S128" i="29"/>
  <c r="S130" i="29" s="1"/>
  <c r="S240" i="29"/>
  <c r="R240" i="29"/>
  <c r="S241" i="29"/>
  <c r="S229" i="29"/>
  <c r="S228" i="29"/>
  <c r="S227" i="29"/>
  <c r="AX65" i="20"/>
  <c r="AX264" i="20"/>
  <c r="K106" i="25"/>
  <c r="C4351" i="16" s="1"/>
  <c r="AU327" i="12"/>
  <c r="AU334" i="12"/>
  <c r="AT334" i="12"/>
  <c r="AU347" i="12"/>
  <c r="AU346" i="12"/>
  <c r="AU345" i="12"/>
  <c r="AU344" i="12"/>
  <c r="AU343" i="12"/>
  <c r="AU338" i="12"/>
  <c r="AU332" i="12"/>
  <c r="AU339" i="12" s="1"/>
  <c r="CL41" i="20"/>
  <c r="CL40" i="20"/>
  <c r="CL38" i="20"/>
  <c r="CL37" i="20"/>
  <c r="CL13" i="20"/>
  <c r="CL8" i="20"/>
  <c r="CL4" i="20"/>
  <c r="CL27" i="20" s="1"/>
  <c r="AX393" i="20"/>
  <c r="W42" i="28"/>
  <c r="R21" i="28" s="1"/>
  <c r="AW387" i="20"/>
  <c r="C24" i="28" s="1"/>
  <c r="AX366" i="20"/>
  <c r="AX358" i="20"/>
  <c r="AX353" i="20"/>
  <c r="AX357" i="20"/>
  <c r="AY357" i="20" s="1"/>
  <c r="AX356" i="20"/>
  <c r="AX355" i="20"/>
  <c r="AY355" i="20" s="1"/>
  <c r="AX354" i="20"/>
  <c r="AW314" i="20"/>
  <c r="AX314" i="20"/>
  <c r="AX321" i="20" s="1"/>
  <c r="AX327" i="20" s="1"/>
  <c r="AX304" i="20"/>
  <c r="E5074" i="8"/>
  <c r="E5073" i="8"/>
  <c r="L4400" i="16" l="1"/>
  <c r="L4390" i="16"/>
  <c r="M4400" i="16"/>
  <c r="M4390" i="16"/>
  <c r="M166" i="22"/>
  <c r="N166" i="22" s="1"/>
  <c r="N168" i="22" s="1"/>
  <c r="AU340" i="12"/>
  <c r="AV348" i="12"/>
  <c r="AX368" i="20"/>
  <c r="AX371" i="20" s="1"/>
  <c r="AX387" i="20" s="1"/>
  <c r="D24" i="28" s="1"/>
  <c r="AY353" i="20"/>
  <c r="AZ353" i="20" s="1"/>
  <c r="AY358" i="20"/>
  <c r="AY354" i="20"/>
  <c r="AY356" i="20"/>
  <c r="AZ356" i="20" s="1"/>
  <c r="L21" i="28"/>
  <c r="I21" i="28"/>
  <c r="L9" i="28"/>
  <c r="I9" i="28"/>
  <c r="L6" i="28"/>
  <c r="G6" i="28"/>
  <c r="I314" i="22"/>
  <c r="I328" i="22"/>
  <c r="I323" i="22"/>
  <c r="K317" i="22"/>
  <c r="K326" i="22"/>
  <c r="G316" i="22"/>
  <c r="G318" i="22" s="1"/>
  <c r="G309" i="22"/>
  <c r="H328" i="22"/>
  <c r="H314" i="22"/>
  <c r="H323" i="22"/>
  <c r="O272" i="22"/>
  <c r="K270" i="22"/>
  <c r="O271" i="22"/>
  <c r="N273" i="22"/>
  <c r="K268" i="22"/>
  <c r="K274" i="22"/>
  <c r="L267" i="22"/>
  <c r="L312" i="22" s="1"/>
  <c r="L317" i="22" s="1"/>
  <c r="L269" i="22"/>
  <c r="L321" i="22" s="1"/>
  <c r="M264" i="22"/>
  <c r="M308" i="22" s="1"/>
  <c r="M266" i="22"/>
  <c r="O278" i="22"/>
  <c r="N265" i="22"/>
  <c r="M177" i="22"/>
  <c r="L196" i="22"/>
  <c r="P177" i="22"/>
  <c r="P196" i="22" s="1"/>
  <c r="O196" i="22"/>
  <c r="K226" i="22"/>
  <c r="O211" i="22"/>
  <c r="G251" i="22"/>
  <c r="G252" i="22" s="1"/>
  <c r="G161" i="22"/>
  <c r="H160" i="22"/>
  <c r="N120" i="22"/>
  <c r="K142" i="22"/>
  <c r="K119" i="22" s="1"/>
  <c r="K118" i="22" s="1"/>
  <c r="O137" i="22"/>
  <c r="N136" i="22"/>
  <c r="O12" i="28"/>
  <c r="S12" i="28" s="1"/>
  <c r="M21" i="28"/>
  <c r="N12" i="28"/>
  <c r="H12" i="28" s="1"/>
  <c r="O129" i="25"/>
  <c r="F4366" i="16"/>
  <c r="N187" i="25"/>
  <c r="P452" i="4"/>
  <c r="L148" i="25"/>
  <c r="D4377" i="16" s="1"/>
  <c r="Q452" i="4"/>
  <c r="M148" i="25"/>
  <c r="E4377" i="16" s="1"/>
  <c r="R452" i="4"/>
  <c r="N148" i="25"/>
  <c r="F4377" i="16" s="1"/>
  <c r="S452" i="4"/>
  <c r="O148" i="25"/>
  <c r="G4377" i="16" s="1"/>
  <c r="J5177" i="8"/>
  <c r="S134" i="29"/>
  <c r="AX324" i="20"/>
  <c r="AX352" i="20" s="1"/>
  <c r="AX359" i="20" s="1"/>
  <c r="E5025" i="8"/>
  <c r="F5025" i="8" s="1"/>
  <c r="G5025" i="8" s="1"/>
  <c r="E5026" i="8"/>
  <c r="F5026" i="8" s="1"/>
  <c r="G5026" i="8" s="1"/>
  <c r="AH49" i="20"/>
  <c r="AW49" i="20"/>
  <c r="AW50" i="20" s="1"/>
  <c r="AW52" i="20" s="1"/>
  <c r="AX49" i="20"/>
  <c r="AY50" i="20" s="1"/>
  <c r="AY52" i="20" s="1"/>
  <c r="K5051" i="8"/>
  <c r="K5049" i="8"/>
  <c r="J5039" i="8"/>
  <c r="J5043" i="8"/>
  <c r="J5041" i="8"/>
  <c r="D5015" i="8"/>
  <c r="D5014" i="8"/>
  <c r="D5006" i="8"/>
  <c r="C5012" i="8"/>
  <c r="D5012" i="8" s="1"/>
  <c r="M168" i="22" l="1"/>
  <c r="N231" i="22" s="1"/>
  <c r="N215" i="22" s="1"/>
  <c r="N183" i="22" s="1"/>
  <c r="O166" i="22"/>
  <c r="O168" i="22" s="1"/>
  <c r="AY368" i="20"/>
  <c r="AY371" i="20" s="1"/>
  <c r="AY359" i="20"/>
  <c r="L12" i="28"/>
  <c r="I12" i="28"/>
  <c r="G314" i="22"/>
  <c r="G328" i="22"/>
  <c r="G323" i="22"/>
  <c r="L326" i="22"/>
  <c r="P271" i="22"/>
  <c r="O273" i="22"/>
  <c r="P272" i="22"/>
  <c r="L270" i="22"/>
  <c r="L268" i="22"/>
  <c r="L274" i="22"/>
  <c r="M267" i="22"/>
  <c r="M312" i="22" s="1"/>
  <c r="M269" i="22"/>
  <c r="M321" i="22" s="1"/>
  <c r="N264" i="22"/>
  <c r="N308" i="22" s="1"/>
  <c r="N266" i="22"/>
  <c r="P278" i="22"/>
  <c r="P265" i="22" s="1"/>
  <c r="O265" i="22"/>
  <c r="N177" i="22"/>
  <c r="N196" i="22" s="1"/>
  <c r="M196" i="22"/>
  <c r="L226" i="22"/>
  <c r="P211" i="22"/>
  <c r="H251" i="22"/>
  <c r="H252" i="22" s="1"/>
  <c r="H161" i="22"/>
  <c r="I160" i="22"/>
  <c r="O120" i="22"/>
  <c r="L142" i="22"/>
  <c r="L119" i="22" s="1"/>
  <c r="L118" i="22" s="1"/>
  <c r="O136" i="22"/>
  <c r="P137" i="22"/>
  <c r="P136" i="22" s="1"/>
  <c r="P129" i="25"/>
  <c r="G4366" i="16"/>
  <c r="O187" i="25"/>
  <c r="AX50" i="20"/>
  <c r="AX52" i="20" s="1"/>
  <c r="J5044" i="8"/>
  <c r="AH50" i="20"/>
  <c r="C5016" i="8"/>
  <c r="D5016" i="8" s="1"/>
  <c r="M231" i="22" l="1"/>
  <c r="M215" i="22" s="1"/>
  <c r="M183" i="22" s="1"/>
  <c r="P166" i="22"/>
  <c r="P168" i="22" s="1"/>
  <c r="P231" i="22" s="1"/>
  <c r="P215" i="22" s="1"/>
  <c r="P183" i="22" s="1"/>
  <c r="M317" i="22"/>
  <c r="M326" i="22"/>
  <c r="M270" i="22"/>
  <c r="P273" i="22"/>
  <c r="M268" i="22"/>
  <c r="M274" i="22"/>
  <c r="N267" i="22"/>
  <c r="N312" i="22" s="1"/>
  <c r="N317" i="22" s="1"/>
  <c r="N269" i="22"/>
  <c r="N321" i="22" s="1"/>
  <c r="O264" i="22"/>
  <c r="O308" i="22" s="1"/>
  <c r="O266" i="22"/>
  <c r="P264" i="22"/>
  <c r="P308" i="22" s="1"/>
  <c r="P266" i="22"/>
  <c r="O231" i="22"/>
  <c r="O215" i="22" s="1"/>
  <c r="O183" i="22" s="1"/>
  <c r="M226" i="22"/>
  <c r="I161" i="22"/>
  <c r="I251" i="22"/>
  <c r="I252" i="22" s="1"/>
  <c r="J160" i="22"/>
  <c r="J251" i="22" s="1"/>
  <c r="P120" i="22"/>
  <c r="M142" i="22"/>
  <c r="M119" i="22" s="1"/>
  <c r="M118" i="22" s="1"/>
  <c r="Q129" i="25"/>
  <c r="H4366" i="16"/>
  <c r="P187" i="25"/>
  <c r="X142" i="28"/>
  <c r="X130" i="28"/>
  <c r="W130" i="28"/>
  <c r="X99" i="28"/>
  <c r="X98" i="28"/>
  <c r="X96" i="28"/>
  <c r="X95" i="28"/>
  <c r="X113" i="28"/>
  <c r="T63" i="28"/>
  <c r="T56" i="28"/>
  <c r="T54" i="28"/>
  <c r="T43" i="28"/>
  <c r="T42" i="28"/>
  <c r="T65" i="28" s="1"/>
  <c r="T41" i="28"/>
  <c r="T39" i="28"/>
  <c r="T37" i="28"/>
  <c r="T45" i="28" s="1"/>
  <c r="T52" i="28" s="1"/>
  <c r="T60" i="28" s="1"/>
  <c r="T68" i="28" s="1"/>
  <c r="T35" i="28"/>
  <c r="T33" i="28"/>
  <c r="D17" i="28"/>
  <c r="D16" i="28"/>
  <c r="D15" i="28"/>
  <c r="D8" i="28"/>
  <c r="D7" i="28"/>
  <c r="AX17" i="20"/>
  <c r="AX57" i="20"/>
  <c r="S127" i="29" s="1"/>
  <c r="AX55" i="20"/>
  <c r="AX192" i="20"/>
  <c r="AX287" i="20" s="1"/>
  <c r="AX191" i="20"/>
  <c r="AX46" i="20"/>
  <c r="AX47" i="20" s="1"/>
  <c r="AX299" i="20"/>
  <c r="AX298" i="20"/>
  <c r="AX294" i="20"/>
  <c r="AX211" i="20" s="1"/>
  <c r="AX237" i="20"/>
  <c r="AX232" i="20"/>
  <c r="AX189" i="20"/>
  <c r="AX208" i="20" s="1"/>
  <c r="AX229" i="20" l="1"/>
  <c r="D4317" i="16" s="1"/>
  <c r="H4396" i="16"/>
  <c r="S223" i="29"/>
  <c r="AX16" i="20"/>
  <c r="N326" i="22"/>
  <c r="N270" i="22"/>
  <c r="N268" i="22"/>
  <c r="N274" i="22"/>
  <c r="P267" i="22"/>
  <c r="P312" i="22" s="1"/>
  <c r="P269" i="22"/>
  <c r="P321" i="22" s="1"/>
  <c r="O267" i="22"/>
  <c r="O312" i="22" s="1"/>
  <c r="O269" i="22"/>
  <c r="O321" i="22" s="1"/>
  <c r="N226" i="22"/>
  <c r="K160" i="22"/>
  <c r="K251" i="22" s="1"/>
  <c r="N142" i="22"/>
  <c r="N119" i="22" s="1"/>
  <c r="N118" i="22" s="1"/>
  <c r="R129" i="25"/>
  <c r="R187" i="25" s="1"/>
  <c r="Q187" i="25"/>
  <c r="AX228" i="20"/>
  <c r="T38" i="28"/>
  <c r="T61" i="28" s="1"/>
  <c r="S224" i="29"/>
  <c r="S226" i="29" s="1"/>
  <c r="S230" i="29" s="1"/>
  <c r="T50" i="28"/>
  <c r="AX56" i="20"/>
  <c r="AU351" i="12" s="1"/>
  <c r="AX300" i="20"/>
  <c r="AX284" i="20"/>
  <c r="AX331" i="20" s="1"/>
  <c r="AX390" i="20" s="1"/>
  <c r="X97" i="28"/>
  <c r="T62" i="28"/>
  <c r="AX21" i="20"/>
  <c r="T64" i="28"/>
  <c r="T72" i="28" s="1"/>
  <c r="T30" i="28"/>
  <c r="T49" i="28"/>
  <c r="T31" i="28"/>
  <c r="T47" i="28" s="1"/>
  <c r="D18" i="28"/>
  <c r="T58" i="28"/>
  <c r="T66" i="28" s="1"/>
  <c r="T73" i="28" s="1"/>
  <c r="AX190" i="20"/>
  <c r="AX297" i="20"/>
  <c r="AX286" i="20"/>
  <c r="R153" i="24"/>
  <c r="Q153" i="24"/>
  <c r="R143" i="24"/>
  <c r="Q143" i="24"/>
  <c r="R115" i="24"/>
  <c r="R134" i="24" s="1"/>
  <c r="Q115" i="24"/>
  <c r="Q134" i="24" s="1"/>
  <c r="AX230" i="20" l="1"/>
  <c r="H4402" i="16"/>
  <c r="H4394" i="16"/>
  <c r="H4400" i="16" s="1"/>
  <c r="O326" i="22"/>
  <c r="P326" i="22"/>
  <c r="O317" i="22"/>
  <c r="P317" i="22"/>
  <c r="P274" i="22"/>
  <c r="O270" i="22"/>
  <c r="P270" i="22"/>
  <c r="O268" i="22"/>
  <c r="O274" i="22"/>
  <c r="P268" i="22"/>
  <c r="O226" i="22"/>
  <c r="L160" i="22"/>
  <c r="L251" i="22" s="1"/>
  <c r="O142" i="22"/>
  <c r="O119" i="22" s="1"/>
  <c r="O118" i="22" s="1"/>
  <c r="T69" i="28"/>
  <c r="T46" i="28"/>
  <c r="AX285" i="20"/>
  <c r="AX216" i="20"/>
  <c r="T70" i="28"/>
  <c r="Q124" i="24"/>
  <c r="Q142" i="24" s="1"/>
  <c r="R124" i="24"/>
  <c r="R142" i="24" s="1"/>
  <c r="AX193" i="20"/>
  <c r="AX194" i="20" s="1"/>
  <c r="T34" i="28"/>
  <c r="P226" i="22" l="1"/>
  <c r="M160" i="22"/>
  <c r="M251" i="22" s="1"/>
  <c r="P142" i="22"/>
  <c r="AX288" i="20"/>
  <c r="AX347" i="20"/>
  <c r="D4309" i="16"/>
  <c r="E4309" i="16" s="1"/>
  <c r="F4309" i="16" s="1"/>
  <c r="G4309" i="16" s="1"/>
  <c r="H4309" i="16" s="1"/>
  <c r="I4309" i="16" s="1"/>
  <c r="N160" i="22" l="1"/>
  <c r="N251" i="22" s="1"/>
  <c r="P119" i="22"/>
  <c r="P118" i="22" s="1"/>
  <c r="D4281" i="16"/>
  <c r="E4281" i="16" s="1"/>
  <c r="M153" i="24"/>
  <c r="O160" i="22" l="1"/>
  <c r="O251" i="22" s="1"/>
  <c r="AL251" i="12"/>
  <c r="AL252" i="12" s="1"/>
  <c r="BK247" i="12"/>
  <c r="BJ247" i="12"/>
  <c r="BI247" i="12"/>
  <c r="P160" i="22" l="1"/>
  <c r="P251" i="22" s="1"/>
  <c r="M152" i="24"/>
  <c r="K166" i="24"/>
  <c r="L166" i="24" s="1"/>
  <c r="K143" i="24" l="1"/>
  <c r="K165" i="24"/>
  <c r="AS260" i="12"/>
  <c r="K163" i="24" s="1"/>
  <c r="K167" i="24" s="1"/>
  <c r="L153" i="24"/>
  <c r="AQ251" i="12"/>
  <c r="AQ252" i="12" s="1"/>
  <c r="AM251" i="12"/>
  <c r="AM252" i="12" s="1"/>
  <c r="AN251" i="12"/>
  <c r="AN256" i="12" s="1"/>
  <c r="AN257" i="12" s="1"/>
  <c r="AR251" i="12"/>
  <c r="AR256" i="12" s="1"/>
  <c r="AR257" i="12" s="1"/>
  <c r="AV257" i="12"/>
  <c r="AN252" i="12" l="1"/>
  <c r="AQ256" i="12"/>
  <c r="AQ257" i="12" s="1"/>
  <c r="AS262" i="12"/>
  <c r="AR252" i="12"/>
  <c r="AM256" i="12"/>
  <c r="AM257" i="12" s="1"/>
  <c r="L163" i="24"/>
  <c r="L167" i="24" s="1"/>
  <c r="AO249" i="12"/>
  <c r="AS249" i="12"/>
  <c r="AO250" i="12"/>
  <c r="AS250" i="12"/>
  <c r="AO248" i="12"/>
  <c r="AS248" i="12"/>
  <c r="AO247" i="12"/>
  <c r="AS247" i="12"/>
  <c r="K52" i="24" s="1"/>
  <c r="K65" i="24" s="1"/>
  <c r="AO254" i="12"/>
  <c r="AO255" i="12"/>
  <c r="AS255" i="12"/>
  <c r="BM247" i="12"/>
  <c r="BG245" i="12"/>
  <c r="BF245" i="12"/>
  <c r="AP262" i="12"/>
  <c r="AT262" i="12"/>
  <c r="AP251" i="12"/>
  <c r="AT251" i="12"/>
  <c r="AT252" i="12" s="1"/>
  <c r="AT223" i="12"/>
  <c r="AT246" i="12" s="1"/>
  <c r="BM245" i="12" s="1"/>
  <c r="AS223" i="12"/>
  <c r="AS246" i="12" s="1"/>
  <c r="BL245" i="12" s="1"/>
  <c r="AR223" i="12"/>
  <c r="AR246" i="12" s="1"/>
  <c r="BK245" i="12" s="1"/>
  <c r="AQ223" i="12"/>
  <c r="AQ246" i="12" s="1"/>
  <c r="BJ245" i="12" s="1"/>
  <c r="AP223" i="12"/>
  <c r="AP246" i="12" s="1"/>
  <c r="BI245" i="12" s="1"/>
  <c r="AO223" i="12"/>
  <c r="AO246" i="12" s="1"/>
  <c r="BH245" i="12" s="1"/>
  <c r="AN223" i="12"/>
  <c r="AM223" i="12"/>
  <c r="AL223" i="12"/>
  <c r="V169" i="24"/>
  <c r="W169" i="24" s="1"/>
  <c r="R141" i="29"/>
  <c r="R135" i="29" s="1"/>
  <c r="S136" i="29" s="1"/>
  <c r="R128" i="29"/>
  <c r="R130" i="29" s="1"/>
  <c r="R134" i="29" s="1"/>
  <c r="R231" i="29"/>
  <c r="S232" i="29" s="1"/>
  <c r="C4177" i="16"/>
  <c r="L4263" i="16"/>
  <c r="L4262" i="16"/>
  <c r="L4266" i="16"/>
  <c r="K4268" i="16"/>
  <c r="J4268" i="16"/>
  <c r="I4268" i="16"/>
  <c r="AO256" i="12" l="1"/>
  <c r="AO257" i="12" s="1"/>
  <c r="L4268" i="16"/>
  <c r="AP252" i="12"/>
  <c r="AP256" i="12"/>
  <c r="M167" i="24"/>
  <c r="M150" i="24" s="1"/>
  <c r="BL247" i="12"/>
  <c r="AO251" i="12"/>
  <c r="AO252" i="12" s="1"/>
  <c r="AS251" i="12"/>
  <c r="AS252" i="12" s="1"/>
  <c r="AT256" i="12"/>
  <c r="D4270" i="16"/>
  <c r="B4277" i="16"/>
  <c r="B4276" i="16"/>
  <c r="B4275" i="16"/>
  <c r="B4273" i="16"/>
  <c r="B4272" i="16"/>
  <c r="B4271" i="16"/>
  <c r="J4261" i="16"/>
  <c r="K4261" i="16" s="1"/>
  <c r="E4261" i="16"/>
  <c r="F4261" i="16" s="1"/>
  <c r="F4270" i="16" s="1"/>
  <c r="G4116" i="16"/>
  <c r="I4116" i="16" s="1"/>
  <c r="H4127" i="16"/>
  <c r="H4124" i="16"/>
  <c r="H4123" i="16"/>
  <c r="H4120" i="16"/>
  <c r="H4119" i="16"/>
  <c r="I4113" i="16"/>
  <c r="H4111" i="16"/>
  <c r="G4111" i="16"/>
  <c r="I4110" i="16"/>
  <c r="I4109" i="16"/>
  <c r="H4107" i="16"/>
  <c r="G4107" i="16"/>
  <c r="I4106" i="16"/>
  <c r="I4105" i="16"/>
  <c r="D4252" i="16"/>
  <c r="F4251" i="16"/>
  <c r="E4251" i="16"/>
  <c r="D4251" i="16"/>
  <c r="F4246" i="16"/>
  <c r="E4246" i="16"/>
  <c r="F4245" i="16"/>
  <c r="E4245" i="16"/>
  <c r="F4244" i="16"/>
  <c r="E4244" i="16"/>
  <c r="D4245" i="16"/>
  <c r="D4244" i="16"/>
  <c r="F4243" i="16"/>
  <c r="E4243" i="16"/>
  <c r="D4243" i="16"/>
  <c r="D4241" i="16"/>
  <c r="F4238" i="16"/>
  <c r="E4238" i="16"/>
  <c r="D4238" i="16"/>
  <c r="AV298" i="20"/>
  <c r="CK13" i="20"/>
  <c r="CK8" i="20"/>
  <c r="H4155" i="16"/>
  <c r="G4155" i="16"/>
  <c r="H4151" i="16"/>
  <c r="G4151" i="16"/>
  <c r="I4157" i="16"/>
  <c r="I4154" i="16"/>
  <c r="I4153" i="16"/>
  <c r="I4150" i="16"/>
  <c r="I4149" i="16"/>
  <c r="Y4157" i="16"/>
  <c r="U4157" i="16"/>
  <c r="Q4157" i="16"/>
  <c r="L4157" i="16"/>
  <c r="K4157" i="16"/>
  <c r="E4157" i="16"/>
  <c r="L4156" i="16"/>
  <c r="K4156" i="16"/>
  <c r="X4155" i="16"/>
  <c r="W4155" i="16"/>
  <c r="T4155" i="16"/>
  <c r="S4155" i="16"/>
  <c r="P4155" i="16"/>
  <c r="O4155" i="16"/>
  <c r="D4155" i="16"/>
  <c r="C4155" i="16"/>
  <c r="Y4154" i="16"/>
  <c r="U4154" i="16"/>
  <c r="Q4154" i="16"/>
  <c r="L4154" i="16"/>
  <c r="K4154" i="16"/>
  <c r="E4154" i="16"/>
  <c r="Y4153" i="16"/>
  <c r="U4153" i="16"/>
  <c r="Q4153" i="16"/>
  <c r="L4153" i="16"/>
  <c r="K4153" i="16"/>
  <c r="E4153" i="16"/>
  <c r="X4151" i="16"/>
  <c r="W4151" i="16"/>
  <c r="T4151" i="16"/>
  <c r="S4151" i="16"/>
  <c r="P4151" i="16"/>
  <c r="O4151" i="16"/>
  <c r="D4151" i="16"/>
  <c r="C4151" i="16"/>
  <c r="Y4150" i="16"/>
  <c r="U4150" i="16"/>
  <c r="Q4150" i="16"/>
  <c r="L4150" i="16"/>
  <c r="K4150" i="16"/>
  <c r="E4150" i="16"/>
  <c r="Y4149" i="16"/>
  <c r="U4149" i="16"/>
  <c r="Q4149" i="16"/>
  <c r="L4149" i="16"/>
  <c r="K4149" i="16"/>
  <c r="E4149" i="16"/>
  <c r="CK4" i="20"/>
  <c r="CK27" i="20" s="1"/>
  <c r="CN4" i="20"/>
  <c r="CK41" i="20"/>
  <c r="CK40" i="20"/>
  <c r="CK38" i="20"/>
  <c r="CK37" i="20"/>
  <c r="F4235" i="16"/>
  <c r="E4235" i="16"/>
  <c r="D4235" i="16"/>
  <c r="D4234" i="16"/>
  <c r="B4246" i="16"/>
  <c r="B4245" i="16"/>
  <c r="B4244" i="16"/>
  <c r="B4243" i="16"/>
  <c r="C4241" i="16"/>
  <c r="H4231" i="16"/>
  <c r="I4231" i="16" s="1"/>
  <c r="J4231" i="16" s="1"/>
  <c r="D4196" i="16"/>
  <c r="F4196" i="16"/>
  <c r="BN258" i="20"/>
  <c r="F4212" i="16"/>
  <c r="E4212" i="16"/>
  <c r="D4212" i="16"/>
  <c r="C4212" i="16"/>
  <c r="D4195" i="16"/>
  <c r="D4194" i="16"/>
  <c r="AU334" i="20"/>
  <c r="L76" i="25"/>
  <c r="BI37" i="20"/>
  <c r="BK37" i="20" s="1"/>
  <c r="BL37" i="20" s="1"/>
  <c r="G4235" i="16"/>
  <c r="O206" i="4"/>
  <c r="AU366" i="20" s="1"/>
  <c r="N206" i="4"/>
  <c r="M206" i="4"/>
  <c r="L206" i="4"/>
  <c r="AU362" i="20"/>
  <c r="R623" i="4"/>
  <c r="S592" i="4"/>
  <c r="T592" i="4" s="1"/>
  <c r="U592" i="4" s="1"/>
  <c r="V592" i="4" s="1"/>
  <c r="S526" i="4"/>
  <c r="T526" i="4" s="1"/>
  <c r="U526" i="4" s="1"/>
  <c r="V526" i="4" s="1"/>
  <c r="P546" i="4"/>
  <c r="P515" i="4" s="1"/>
  <c r="Q515" i="4" s="1"/>
  <c r="R515" i="4" s="1"/>
  <c r="S515" i="4" s="1"/>
  <c r="T515" i="4" s="1"/>
  <c r="U515" i="4" s="1"/>
  <c r="V515" i="4" s="1"/>
  <c r="Q622" i="4"/>
  <c r="R591" i="4"/>
  <c r="Q621" i="4"/>
  <c r="P620" i="4"/>
  <c r="R525" i="4"/>
  <c r="S525" i="4" s="1"/>
  <c r="T525" i="4" s="1"/>
  <c r="U525" i="4" s="1"/>
  <c r="V525" i="4" s="1"/>
  <c r="R590" i="4"/>
  <c r="S590" i="4" s="1"/>
  <c r="T590" i="4" s="1"/>
  <c r="U590" i="4" s="1"/>
  <c r="V590" i="4" s="1"/>
  <c r="Q589" i="4"/>
  <c r="R589" i="4" s="1"/>
  <c r="S589" i="4" s="1"/>
  <c r="T589" i="4" s="1"/>
  <c r="U589" i="4" s="1"/>
  <c r="V589" i="4" s="1"/>
  <c r="R524" i="4"/>
  <c r="S524" i="4" s="1"/>
  <c r="T524" i="4" s="1"/>
  <c r="U524" i="4" s="1"/>
  <c r="V524" i="4" s="1"/>
  <c r="Q523" i="4"/>
  <c r="B555" i="4"/>
  <c r="B590" i="4" s="1"/>
  <c r="B621" i="4" s="1"/>
  <c r="P542" i="4"/>
  <c r="P541" i="4"/>
  <c r="P513" i="4"/>
  <c r="Q544" i="4" s="1"/>
  <c r="P512" i="4"/>
  <c r="Q512" i="4" s="1"/>
  <c r="R543" i="4" s="1"/>
  <c r="P522" i="4"/>
  <c r="Q522" i="4" s="1"/>
  <c r="R522" i="4" s="1"/>
  <c r="S522" i="4" s="1"/>
  <c r="T522" i="4" s="1"/>
  <c r="U522" i="4" s="1"/>
  <c r="V522" i="4" s="1"/>
  <c r="P514" i="4"/>
  <c r="Q514" i="4" s="1"/>
  <c r="H4158" i="16" l="1"/>
  <c r="H4125" i="16"/>
  <c r="C4246" i="16"/>
  <c r="G4120" i="16"/>
  <c r="I4120" i="16" s="1"/>
  <c r="BM256" i="12"/>
  <c r="AT257" i="12"/>
  <c r="Q620" i="4"/>
  <c r="G4124" i="16"/>
  <c r="I4124" i="16" s="1"/>
  <c r="AP257" i="12"/>
  <c r="AS256" i="12"/>
  <c r="AS257" i="12" s="1"/>
  <c r="N167" i="24"/>
  <c r="M4154" i="16"/>
  <c r="G4123" i="16"/>
  <c r="I4123" i="16" s="1"/>
  <c r="G4119" i="16"/>
  <c r="I4119" i="16" s="1"/>
  <c r="G4127" i="16"/>
  <c r="I4127" i="16" s="1"/>
  <c r="O4158" i="16"/>
  <c r="H4121" i="16"/>
  <c r="H4114" i="16"/>
  <c r="U4155" i="16"/>
  <c r="E4270" i="16"/>
  <c r="W4158" i="16"/>
  <c r="T4158" i="16"/>
  <c r="M4157" i="16"/>
  <c r="M4150" i="16"/>
  <c r="M4153" i="16"/>
  <c r="S4158" i="16"/>
  <c r="L4155" i="16"/>
  <c r="Y4151" i="16"/>
  <c r="Q4155" i="16"/>
  <c r="D4158" i="16"/>
  <c r="G4158" i="16"/>
  <c r="K4155" i="16"/>
  <c r="Q4151" i="16"/>
  <c r="M4149" i="16"/>
  <c r="X4158" i="16"/>
  <c r="E4155" i="16"/>
  <c r="C4158" i="16"/>
  <c r="I4111" i="16"/>
  <c r="G4114" i="16"/>
  <c r="I4107" i="16"/>
  <c r="V623" i="4"/>
  <c r="I4155" i="16"/>
  <c r="K4151" i="16"/>
  <c r="U4151" i="16"/>
  <c r="Y4155" i="16"/>
  <c r="L4151" i="16"/>
  <c r="P4158" i="16"/>
  <c r="E4151" i="16"/>
  <c r="R622" i="4"/>
  <c r="V621" i="4"/>
  <c r="R545" i="4"/>
  <c r="R514" i="4" s="1"/>
  <c r="S514" i="4" s="1"/>
  <c r="T514" i="4" s="1"/>
  <c r="U514" i="4" s="1"/>
  <c r="V514" i="4" s="1"/>
  <c r="R621" i="4"/>
  <c r="S591" i="4"/>
  <c r="T591" i="4" s="1"/>
  <c r="S623" i="4"/>
  <c r="T623" i="4"/>
  <c r="U623" i="4"/>
  <c r="R512" i="4"/>
  <c r="S512" i="4" s="1"/>
  <c r="T512" i="4" s="1"/>
  <c r="S621" i="4"/>
  <c r="T621" i="4"/>
  <c r="U621" i="4"/>
  <c r="R523" i="4"/>
  <c r="R620" i="4" s="1"/>
  <c r="Q513" i="4"/>
  <c r="R513" i="4" s="1"/>
  <c r="S513" i="4" s="1"/>
  <c r="V558" i="4"/>
  <c r="AJ113" i="17" s="1"/>
  <c r="S558" i="4"/>
  <c r="AG113" i="17" s="1"/>
  <c r="P558" i="4"/>
  <c r="H4128" i="16" l="1"/>
  <c r="K119" i="24"/>
  <c r="D97" i="24" s="1"/>
  <c r="G4121" i="16"/>
  <c r="I4121" i="16" s="1"/>
  <c r="O167" i="24"/>
  <c r="N150" i="24"/>
  <c r="G4125" i="16"/>
  <c r="Q4158" i="16"/>
  <c r="I4114" i="16"/>
  <c r="Y4158" i="16"/>
  <c r="K4158" i="16"/>
  <c r="M4155" i="16"/>
  <c r="U4158" i="16"/>
  <c r="L4158" i="16"/>
  <c r="E4158" i="16"/>
  <c r="I4151" i="16"/>
  <c r="M4151" i="16"/>
  <c r="S622" i="4"/>
  <c r="U591" i="4"/>
  <c r="T622" i="4"/>
  <c r="S523" i="4"/>
  <c r="G4128" i="16" l="1"/>
  <c r="I4128" i="16" s="1"/>
  <c r="P167" i="24"/>
  <c r="O150" i="24"/>
  <c r="I4125" i="16"/>
  <c r="M4158" i="16"/>
  <c r="V591" i="4"/>
  <c r="V622" i="4" s="1"/>
  <c r="U622" i="4"/>
  <c r="S620" i="4"/>
  <c r="T523" i="4"/>
  <c r="AU318" i="20"/>
  <c r="AU319" i="20"/>
  <c r="AU317" i="20"/>
  <c r="B557" i="4"/>
  <c r="B592" i="4" s="1"/>
  <c r="B623" i="4" s="1"/>
  <c r="B556" i="4"/>
  <c r="B591" i="4" s="1"/>
  <c r="B622" i="4" s="1"/>
  <c r="B554" i="4"/>
  <c r="B589" i="4" s="1"/>
  <c r="B620" i="4" s="1"/>
  <c r="P574" i="4"/>
  <c r="Q574" i="4" s="1"/>
  <c r="R574" i="4" s="1"/>
  <c r="S574" i="4" s="1"/>
  <c r="T574" i="4" s="1"/>
  <c r="U574" i="4" s="1"/>
  <c r="V574" i="4" s="1"/>
  <c r="P588" i="4"/>
  <c r="O619" i="4"/>
  <c r="P150" i="24" l="1"/>
  <c r="Q167" i="24"/>
  <c r="T620" i="4"/>
  <c r="U523" i="4"/>
  <c r="U620" i="4" s="1"/>
  <c r="Q588" i="4"/>
  <c r="R588" i="4" s="1"/>
  <c r="Z72" i="13"/>
  <c r="X72" i="13"/>
  <c r="W72" i="13"/>
  <c r="V72" i="13"/>
  <c r="Z71" i="13"/>
  <c r="X71" i="13"/>
  <c r="W71" i="13"/>
  <c r="V71" i="13"/>
  <c r="Z70" i="13"/>
  <c r="X70" i="13"/>
  <c r="W70" i="13"/>
  <c r="V70" i="13"/>
  <c r="Z69" i="13"/>
  <c r="X69" i="13"/>
  <c r="W69" i="13"/>
  <c r="V69" i="13"/>
  <c r="Z68" i="13"/>
  <c r="X68" i="13"/>
  <c r="W68" i="13"/>
  <c r="V68" i="13"/>
  <c r="Z67" i="13"/>
  <c r="X67" i="13"/>
  <c r="W67" i="13"/>
  <c r="V67" i="13"/>
  <c r="Z66" i="13"/>
  <c r="X66" i="13"/>
  <c r="W66" i="13"/>
  <c r="V66" i="13"/>
  <c r="Z65" i="13"/>
  <c r="X65" i="13"/>
  <c r="W65" i="13"/>
  <c r="V65" i="13"/>
  <c r="Z64" i="13"/>
  <c r="X64" i="13"/>
  <c r="W64" i="13"/>
  <c r="V64" i="13"/>
  <c r="Z38" i="13"/>
  <c r="Z37" i="13"/>
  <c r="Z36" i="13"/>
  <c r="Z35" i="13"/>
  <c r="Z34" i="13"/>
  <c r="Z33" i="13"/>
  <c r="Z32" i="13"/>
  <c r="Y38" i="13"/>
  <c r="Y37" i="13"/>
  <c r="Y36" i="13"/>
  <c r="Y35" i="13"/>
  <c r="Y34" i="13"/>
  <c r="Y33" i="13"/>
  <c r="Y32" i="13"/>
  <c r="X38" i="13"/>
  <c r="X37" i="13"/>
  <c r="X36" i="13"/>
  <c r="X35" i="13"/>
  <c r="X34" i="13"/>
  <c r="X33" i="13"/>
  <c r="X32" i="13"/>
  <c r="W38" i="13"/>
  <c r="W37" i="13"/>
  <c r="W36" i="13"/>
  <c r="W35" i="13"/>
  <c r="W34" i="13"/>
  <c r="W33" i="13"/>
  <c r="W32" i="13"/>
  <c r="U28" i="13"/>
  <c r="V28" i="13" s="1"/>
  <c r="W28" i="13" s="1"/>
  <c r="X28" i="13" s="1"/>
  <c r="Y28" i="13" s="1"/>
  <c r="Z28" i="13" s="1"/>
  <c r="Z51" i="13" s="1"/>
  <c r="V37" i="13"/>
  <c r="V36" i="13"/>
  <c r="V35" i="13"/>
  <c r="V34" i="13"/>
  <c r="V33" i="13"/>
  <c r="V32" i="13"/>
  <c r="V475" i="4"/>
  <c r="V463" i="4"/>
  <c r="V452" i="4"/>
  <c r="V234" i="4" s="1"/>
  <c r="V434" i="4"/>
  <c r="V424" i="4"/>
  <c r="V413" i="4"/>
  <c r="V403" i="4"/>
  <c r="V399" i="4"/>
  <c r="V286" i="4"/>
  <c r="V238" i="4"/>
  <c r="V237" i="4"/>
  <c r="V236" i="4"/>
  <c r="V233" i="4"/>
  <c r="V232" i="4"/>
  <c r="V230" i="4"/>
  <c r="V229" i="4"/>
  <c r="V228" i="4"/>
  <c r="V209" i="4"/>
  <c r="V207" i="4"/>
  <c r="V205" i="4"/>
  <c r="V203" i="4"/>
  <c r="V193" i="4"/>
  <c r="V154" i="4"/>
  <c r="V188" i="4" s="1"/>
  <c r="V243" i="4" s="1"/>
  <c r="V259" i="4" s="1"/>
  <c r="V284" i="4" s="1"/>
  <c r="V39" i="4"/>
  <c r="U475" i="4"/>
  <c r="U463" i="4"/>
  <c r="U452" i="4"/>
  <c r="U214" i="4" s="1"/>
  <c r="AI141" i="17" s="1"/>
  <c r="U434" i="4"/>
  <c r="U424" i="4"/>
  <c r="U413" i="4"/>
  <c r="U403" i="4"/>
  <c r="U399" i="4"/>
  <c r="U286" i="4"/>
  <c r="U238" i="4"/>
  <c r="U237" i="4"/>
  <c r="U236" i="4"/>
  <c r="U233" i="4"/>
  <c r="U232" i="4"/>
  <c r="U230" i="4"/>
  <c r="U229" i="4"/>
  <c r="U228" i="4"/>
  <c r="U209" i="4"/>
  <c r="U207" i="4"/>
  <c r="U205" i="4"/>
  <c r="U203" i="4"/>
  <c r="U193" i="4"/>
  <c r="U154" i="4"/>
  <c r="U188" i="4" s="1"/>
  <c r="U243" i="4" s="1"/>
  <c r="U259" i="4" s="1"/>
  <c r="U284" i="4" s="1"/>
  <c r="U39" i="4"/>
  <c r="T475" i="4"/>
  <c r="T463" i="4"/>
  <c r="T452" i="4"/>
  <c r="T434" i="4"/>
  <c r="T424" i="4"/>
  <c r="T413" i="4"/>
  <c r="T403" i="4"/>
  <c r="T399" i="4"/>
  <c r="T286" i="4"/>
  <c r="T238" i="4"/>
  <c r="T237" i="4"/>
  <c r="T236" i="4"/>
  <c r="T233" i="4"/>
  <c r="T232" i="4"/>
  <c r="T230" i="4"/>
  <c r="T229" i="4"/>
  <c r="T228" i="4"/>
  <c r="T209" i="4"/>
  <c r="T207" i="4"/>
  <c r="T205" i="4"/>
  <c r="T203" i="4"/>
  <c r="T193" i="4"/>
  <c r="T154" i="4"/>
  <c r="T188" i="4" s="1"/>
  <c r="T243" i="4" s="1"/>
  <c r="T259" i="4" s="1"/>
  <c r="T284" i="4" s="1"/>
  <c r="T39" i="4"/>
  <c r="S475" i="4"/>
  <c r="S463" i="4"/>
  <c r="S434" i="4"/>
  <c r="S424" i="4"/>
  <c r="S413" i="4"/>
  <c r="S403" i="4"/>
  <c r="S399" i="4"/>
  <c r="S286" i="4"/>
  <c r="S238" i="4"/>
  <c r="S237" i="4"/>
  <c r="S236" i="4"/>
  <c r="S233" i="4"/>
  <c r="S232" i="4"/>
  <c r="S230" i="4"/>
  <c r="S229" i="4"/>
  <c r="S228" i="4"/>
  <c r="S209" i="4"/>
  <c r="S207" i="4"/>
  <c r="S205" i="4"/>
  <c r="S203" i="4"/>
  <c r="S193" i="4"/>
  <c r="S154" i="4"/>
  <c r="S188" i="4" s="1"/>
  <c r="S243" i="4" s="1"/>
  <c r="S259" i="4" s="1"/>
  <c r="S284" i="4" s="1"/>
  <c r="S39" i="4"/>
  <c r="B588" i="4"/>
  <c r="B619" i="4" s="1"/>
  <c r="B553" i="4"/>
  <c r="AW320" i="20"/>
  <c r="AZ320" i="20" s="1"/>
  <c r="T234" i="4" l="1"/>
  <c r="G31" i="6"/>
  <c r="AH139" i="17"/>
  <c r="S27" i="5"/>
  <c r="AI139" i="17"/>
  <c r="T27" i="5"/>
  <c r="U27" i="5"/>
  <c r="AJ139" i="17"/>
  <c r="J4251" i="16"/>
  <c r="F4267" i="16" s="1"/>
  <c r="F4276" i="16" s="1"/>
  <c r="AG139" i="17"/>
  <c r="R27" i="5"/>
  <c r="H17" i="32" s="1"/>
  <c r="BB320" i="20"/>
  <c r="BB321" i="20" s="1"/>
  <c r="D4246" i="16"/>
  <c r="D4247" i="16" s="1"/>
  <c r="AW368" i="20"/>
  <c r="V51" i="13"/>
  <c r="X51" i="13"/>
  <c r="Y51" i="13"/>
  <c r="U51" i="13"/>
  <c r="Q150" i="24"/>
  <c r="R167" i="24"/>
  <c r="R150" i="24" s="1"/>
  <c r="W51" i="13"/>
  <c r="V523" i="4"/>
  <c r="V620" i="4" s="1"/>
  <c r="V214" i="4"/>
  <c r="AJ141" i="17" s="1"/>
  <c r="V456" i="4"/>
  <c r="T456" i="4"/>
  <c r="T214" i="4"/>
  <c r="AH141" i="17" s="1"/>
  <c r="Q619" i="4"/>
  <c r="P619" i="4"/>
  <c r="R619" i="4"/>
  <c r="S588" i="4"/>
  <c r="T343" i="4"/>
  <c r="T363" i="4" s="1"/>
  <c r="T381" i="4" s="1"/>
  <c r="T412" i="4" s="1"/>
  <c r="T420" i="4" s="1"/>
  <c r="T431" i="4" s="1"/>
  <c r="T446" i="4" s="1"/>
  <c r="T458" i="4" s="1"/>
  <c r="T498" i="4" s="1"/>
  <c r="T324" i="4"/>
  <c r="S343" i="4"/>
  <c r="S363" i="4" s="1"/>
  <c r="S381" i="4" s="1"/>
  <c r="S412" i="4" s="1"/>
  <c r="S420" i="4" s="1"/>
  <c r="S431" i="4" s="1"/>
  <c r="S446" i="4" s="1"/>
  <c r="S458" i="4" s="1"/>
  <c r="S498" i="4" s="1"/>
  <c r="S324" i="4"/>
  <c r="U343" i="4"/>
  <c r="U363" i="4" s="1"/>
  <c r="U381" i="4" s="1"/>
  <c r="U412" i="4" s="1"/>
  <c r="U420" i="4" s="1"/>
  <c r="U431" i="4" s="1"/>
  <c r="U446" i="4" s="1"/>
  <c r="U458" i="4" s="1"/>
  <c r="U498" i="4" s="1"/>
  <c r="U324" i="4"/>
  <c r="V343" i="4"/>
  <c r="V363" i="4" s="1"/>
  <c r="V381" i="4" s="1"/>
  <c r="V412" i="4" s="1"/>
  <c r="V420" i="4" s="1"/>
  <c r="V431" i="4" s="1"/>
  <c r="V446" i="4" s="1"/>
  <c r="V458" i="4" s="1"/>
  <c r="V498" i="4" s="1"/>
  <c r="V324" i="4"/>
  <c r="U234" i="4"/>
  <c r="U456" i="4"/>
  <c r="S619" i="4" l="1"/>
  <c r="T588" i="4"/>
  <c r="D4795" i="8"/>
  <c r="AW271" i="20"/>
  <c r="AW272" i="20" s="1"/>
  <c r="AT264" i="20"/>
  <c r="AS264" i="20"/>
  <c r="AR264" i="20"/>
  <c r="AW262" i="20"/>
  <c r="AW264" i="20" s="1"/>
  <c r="W98" i="28"/>
  <c r="W96" i="28"/>
  <c r="W113" i="28"/>
  <c r="W117" i="28"/>
  <c r="AW17" i="20"/>
  <c r="AW16" i="20" s="1"/>
  <c r="R223" i="29" l="1"/>
  <c r="C4213" i="16"/>
  <c r="D4193" i="16"/>
  <c r="C4194" i="16" s="1"/>
  <c r="C4195" i="16" s="1"/>
  <c r="C4196" i="16" s="1"/>
  <c r="C4197" i="16" s="1"/>
  <c r="C4198" i="16" s="1"/>
  <c r="C4199" i="16" s="1"/>
  <c r="C4200" i="16" s="1"/>
  <c r="D4201" i="16" s="1"/>
  <c r="T619" i="4"/>
  <c r="U588" i="4"/>
  <c r="DK488" i="20"/>
  <c r="DK487" i="20"/>
  <c r="DK486" i="20"/>
  <c r="DK485" i="20"/>
  <c r="DK482" i="20"/>
  <c r="DK481" i="20"/>
  <c r="DK480" i="20"/>
  <c r="DK466" i="20"/>
  <c r="DK465" i="20"/>
  <c r="DK464" i="20"/>
  <c r="DK463" i="20"/>
  <c r="DK460" i="20"/>
  <c r="DK459" i="20"/>
  <c r="DK458" i="20"/>
  <c r="DK455" i="20"/>
  <c r="DK454" i="20"/>
  <c r="DK453" i="20"/>
  <c r="DK452" i="20"/>
  <c r="DK448" i="20"/>
  <c r="DK447" i="20"/>
  <c r="DK446" i="20"/>
  <c r="DK443" i="20"/>
  <c r="DK442" i="20"/>
  <c r="DK441" i="20"/>
  <c r="DK437" i="20"/>
  <c r="DK436" i="20"/>
  <c r="DK435" i="20"/>
  <c r="DK432" i="20"/>
  <c r="DK431" i="20"/>
  <c r="DK430" i="20"/>
  <c r="DK429" i="20"/>
  <c r="DK425" i="20"/>
  <c r="DK424" i="20"/>
  <c r="DK423" i="20"/>
  <c r="DK420" i="20"/>
  <c r="DK419" i="20"/>
  <c r="DK418" i="20"/>
  <c r="DK417" i="20"/>
  <c r="DK414" i="20"/>
  <c r="DK413" i="20"/>
  <c r="DK412" i="20"/>
  <c r="DJ488" i="20"/>
  <c r="DJ487" i="20"/>
  <c r="DJ486" i="20"/>
  <c r="DJ485" i="20"/>
  <c r="DJ482" i="20"/>
  <c r="DJ481" i="20"/>
  <c r="DJ480" i="20"/>
  <c r="DJ466" i="20"/>
  <c r="DJ465" i="20"/>
  <c r="DJ464" i="20"/>
  <c r="DJ463" i="20"/>
  <c r="DJ460" i="20"/>
  <c r="DJ459" i="20"/>
  <c r="DJ458" i="20"/>
  <c r="DJ455" i="20"/>
  <c r="DJ454" i="20"/>
  <c r="DJ453" i="20"/>
  <c r="DJ452" i="20"/>
  <c r="DJ448" i="20"/>
  <c r="DJ447" i="20"/>
  <c r="DJ446" i="20"/>
  <c r="DJ443" i="20"/>
  <c r="DJ442" i="20"/>
  <c r="DJ441" i="20"/>
  <c r="DJ437" i="20"/>
  <c r="DJ436" i="20"/>
  <c r="DJ435" i="20"/>
  <c r="DJ432" i="20"/>
  <c r="DJ431" i="20"/>
  <c r="DJ430" i="20"/>
  <c r="DJ429" i="20"/>
  <c r="DJ425" i="20"/>
  <c r="DJ424" i="20"/>
  <c r="DJ423" i="20"/>
  <c r="DJ420" i="20"/>
  <c r="DJ419" i="20"/>
  <c r="DJ418" i="20"/>
  <c r="DJ417" i="20"/>
  <c r="DJ414" i="20"/>
  <c r="DJ413" i="20"/>
  <c r="DJ412" i="20"/>
  <c r="AH598" i="20"/>
  <c r="AH588" i="20"/>
  <c r="AH586" i="20"/>
  <c r="AH585" i="20"/>
  <c r="AH584" i="20"/>
  <c r="AH587" i="20" s="1"/>
  <c r="AH583" i="20"/>
  <c r="AH582" i="20"/>
  <c r="AH579" i="20"/>
  <c r="AH577" i="20"/>
  <c r="AH576" i="20"/>
  <c r="AH575" i="20"/>
  <c r="AH578" i="20" s="1"/>
  <c r="AH574" i="20"/>
  <c r="AH573" i="20"/>
  <c r="AH570" i="20"/>
  <c r="AH568" i="20"/>
  <c r="AH567" i="20"/>
  <c r="AH566" i="20"/>
  <c r="AH569" i="20" s="1"/>
  <c r="AH565" i="20"/>
  <c r="AH564" i="20"/>
  <c r="AH560" i="20"/>
  <c r="AH559" i="20"/>
  <c r="AH558" i="20"/>
  <c r="AH561" i="20" s="1"/>
  <c r="AH557" i="20"/>
  <c r="AH556" i="20"/>
  <c r="AH553" i="20"/>
  <c r="AH551" i="20"/>
  <c r="AH550" i="20"/>
  <c r="AH549" i="20"/>
  <c r="AH552" i="20" s="1"/>
  <c r="AH548" i="20"/>
  <c r="AH547" i="20"/>
  <c r="AH544" i="20"/>
  <c r="AH542" i="20"/>
  <c r="AH541" i="20"/>
  <c r="AH540" i="20"/>
  <c r="AH543" i="20" s="1"/>
  <c r="AH539" i="20"/>
  <c r="AH538" i="20"/>
  <c r="AH537" i="20"/>
  <c r="AH590" i="20" s="1"/>
  <c r="AG598" i="20"/>
  <c r="AG588" i="20"/>
  <c r="AG586" i="20"/>
  <c r="AG585" i="20"/>
  <c r="AG584" i="20"/>
  <c r="AG583" i="20"/>
  <c r="AG582" i="20"/>
  <c r="AG579" i="20"/>
  <c r="AG577" i="20"/>
  <c r="AG576" i="20"/>
  <c r="AG575" i="20"/>
  <c r="AG574" i="20"/>
  <c r="AG573" i="20"/>
  <c r="AG570" i="20"/>
  <c r="AG568" i="20"/>
  <c r="AG567" i="20"/>
  <c r="AG566" i="20"/>
  <c r="AG569" i="20" s="1"/>
  <c r="AG565" i="20"/>
  <c r="AG564" i="20"/>
  <c r="AG560" i="20"/>
  <c r="AG559" i="20"/>
  <c r="AG558" i="20"/>
  <c r="AG561" i="20" s="1"/>
  <c r="AG557" i="20"/>
  <c r="AG556" i="20"/>
  <c r="AG553" i="20"/>
  <c r="AG551" i="20"/>
  <c r="AG550" i="20"/>
  <c r="AG549" i="20"/>
  <c r="AG552" i="20" s="1"/>
  <c r="AG548" i="20"/>
  <c r="AG547" i="20"/>
  <c r="AG544" i="20"/>
  <c r="AG542" i="20"/>
  <c r="AG541" i="20"/>
  <c r="AG540" i="20"/>
  <c r="AG539" i="20"/>
  <c r="AG538" i="20"/>
  <c r="AG537" i="20"/>
  <c r="AG590" i="20" s="1"/>
  <c r="AH535" i="20"/>
  <c r="AH533" i="20"/>
  <c r="AH532" i="20"/>
  <c r="AH531" i="20"/>
  <c r="AH530" i="20"/>
  <c r="AH529" i="20"/>
  <c r="AG535" i="20"/>
  <c r="AG533" i="20"/>
  <c r="AG532" i="20"/>
  <c r="AG531" i="20"/>
  <c r="AG530" i="20"/>
  <c r="AG529" i="20"/>
  <c r="AH516" i="20"/>
  <c r="AH528" i="20" s="1"/>
  <c r="AH526" i="20"/>
  <c r="AH525" i="20"/>
  <c r="AG526" i="20"/>
  <c r="AG525" i="20"/>
  <c r="AG516" i="20"/>
  <c r="AG528" i="20" s="1"/>
  <c r="AT347" i="12"/>
  <c r="AH521" i="20" s="1"/>
  <c r="AT344" i="12"/>
  <c r="AH518" i="20" s="1"/>
  <c r="AT346" i="12"/>
  <c r="AH520" i="20" s="1"/>
  <c r="AT345" i="12"/>
  <c r="AH519" i="20" s="1"/>
  <c r="AT343" i="12"/>
  <c r="AH517" i="20" s="1"/>
  <c r="AT338" i="12"/>
  <c r="AT332" i="12"/>
  <c r="AT339" i="12" s="1"/>
  <c r="AU348" i="12" s="1"/>
  <c r="AT327" i="12"/>
  <c r="AI498" i="20"/>
  <c r="AI497" i="20"/>
  <c r="AI496" i="20"/>
  <c r="AI495" i="20"/>
  <c r="AI493" i="20"/>
  <c r="AI492" i="20"/>
  <c r="AI491" i="20"/>
  <c r="AI483" i="20"/>
  <c r="AI484" i="20" s="1"/>
  <c r="AI472" i="20"/>
  <c r="AI473" i="20" s="1"/>
  <c r="AI461" i="20"/>
  <c r="AI462" i="20" s="1"/>
  <c r="AI450" i="20"/>
  <c r="AI451" i="20" s="1"/>
  <c r="AI449" i="20"/>
  <c r="AI439" i="20"/>
  <c r="AI440" i="20" s="1"/>
  <c r="AI438" i="20"/>
  <c r="AI427" i="20"/>
  <c r="AI428" i="20" s="1"/>
  <c r="AI426" i="20"/>
  <c r="AI415" i="20"/>
  <c r="T79" i="28"/>
  <c r="T77" i="28"/>
  <c r="S79" i="28"/>
  <c r="S77" i="28"/>
  <c r="T86" i="28"/>
  <c r="D21" i="28"/>
  <c r="D19" i="28"/>
  <c r="T75" i="28"/>
  <c r="T83" i="28" s="1"/>
  <c r="D12" i="28"/>
  <c r="D11" i="28"/>
  <c r="D9" i="28"/>
  <c r="S63" i="28"/>
  <c r="S86" i="28" s="1"/>
  <c r="S56" i="28"/>
  <c r="S54" i="28"/>
  <c r="S43" i="28"/>
  <c r="C22" i="28" s="1"/>
  <c r="S42" i="28"/>
  <c r="S41" i="28"/>
  <c r="C20" i="28" s="1"/>
  <c r="S39" i="28"/>
  <c r="C19" i="28" s="1"/>
  <c r="S37" i="28"/>
  <c r="S45" i="28" s="1"/>
  <c r="S52" i="28" s="1"/>
  <c r="S60" i="28" s="1"/>
  <c r="S68" i="28" s="1"/>
  <c r="S75" i="28" s="1"/>
  <c r="S83" i="28" s="1"/>
  <c r="S35" i="28"/>
  <c r="C13" i="28" s="1"/>
  <c r="S33" i="28"/>
  <c r="C11" i="28" s="1"/>
  <c r="S30" i="28"/>
  <c r="C9" i="28" s="1"/>
  <c r="C6" i="28" s="1"/>
  <c r="AW321" i="20"/>
  <c r="AW327" i="20" s="1"/>
  <c r="AW304" i="20"/>
  <c r="AW294" i="20"/>
  <c r="S65" i="28" l="1"/>
  <c r="S88" i="28" s="1"/>
  <c r="C21" i="28"/>
  <c r="D6" i="28"/>
  <c r="AT340" i="12"/>
  <c r="AI494" i="20"/>
  <c r="AH591" i="20"/>
  <c r="AW324" i="20"/>
  <c r="AH534" i="20"/>
  <c r="AH597" i="20"/>
  <c r="V588" i="4"/>
  <c r="V619" i="4" s="1"/>
  <c r="U619" i="4"/>
  <c r="S62" i="28"/>
  <c r="S85" i="28" s="1"/>
  <c r="S64" i="28"/>
  <c r="S72" i="28" s="1"/>
  <c r="T81" i="28"/>
  <c r="AH592" i="20"/>
  <c r="AH596" i="20"/>
  <c r="AG595" i="20"/>
  <c r="AG591" i="20"/>
  <c r="AG578" i="20"/>
  <c r="AH595" i="20"/>
  <c r="AH594" i="20"/>
  <c r="AH522" i="20"/>
  <c r="AG543" i="20"/>
  <c r="AG592" i="20"/>
  <c r="AH599" i="20"/>
  <c r="T88" i="28"/>
  <c r="S50" i="28"/>
  <c r="AG534" i="20"/>
  <c r="AG599" i="20"/>
  <c r="AG596" i="20"/>
  <c r="S58" i="28"/>
  <c r="S66" i="28" s="1"/>
  <c r="S73" i="28" s="1"/>
  <c r="S81" i="28"/>
  <c r="AG587" i="20"/>
  <c r="AG555" i="20"/>
  <c r="AH555" i="20"/>
  <c r="AG594" i="20"/>
  <c r="AH546" i="20"/>
  <c r="AG546" i="20"/>
  <c r="T85" i="28"/>
  <c r="S49" i="28"/>
  <c r="AW300" i="20"/>
  <c r="AW299" i="20"/>
  <c r="AW298" i="20"/>
  <c r="AW297" i="20"/>
  <c r="AW237" i="20"/>
  <c r="AW232" i="20"/>
  <c r="G4396" i="16" s="1"/>
  <c r="G4394" i="16" s="1"/>
  <c r="AW211" i="20"/>
  <c r="AW60" i="20"/>
  <c r="AW65" i="20"/>
  <c r="AU65" i="20"/>
  <c r="AW192" i="20"/>
  <c r="AW287" i="20" s="1"/>
  <c r="AW191" i="20"/>
  <c r="AW190" i="20"/>
  <c r="AW189" i="20"/>
  <c r="AW284" i="20" s="1"/>
  <c r="AW331" i="20" s="1"/>
  <c r="AW390" i="20" s="1"/>
  <c r="AW39" i="20"/>
  <c r="CO39" i="20" s="1"/>
  <c r="AW21" i="20"/>
  <c r="S34" i="28" s="1"/>
  <c r="C12" i="28" s="1"/>
  <c r="Q141" i="29"/>
  <c r="Q135" i="29" s="1"/>
  <c r="Q145" i="29"/>
  <c r="Q128" i="29"/>
  <c r="Q241" i="29"/>
  <c r="Q231" i="29"/>
  <c r="E52" i="6"/>
  <c r="C4183" i="16"/>
  <c r="D4183" i="16" s="1"/>
  <c r="C4189" i="16"/>
  <c r="D4189" i="16" s="1"/>
  <c r="C4166" i="16"/>
  <c r="C4168" i="16" s="1"/>
  <c r="E4144" i="16"/>
  <c r="D4144" i="16"/>
  <c r="C4144" i="16"/>
  <c r="F4144" i="16"/>
  <c r="B4139" i="16"/>
  <c r="B4137" i="16"/>
  <c r="B4136" i="16"/>
  <c r="B4135" i="16"/>
  <c r="B4133" i="16"/>
  <c r="B4132" i="16"/>
  <c r="B4131" i="16"/>
  <c r="L4113" i="16"/>
  <c r="L4127" i="16" s="1"/>
  <c r="K4113" i="16"/>
  <c r="L4112" i="16"/>
  <c r="K4112" i="16"/>
  <c r="L4110" i="16"/>
  <c r="L4124" i="16" s="1"/>
  <c r="K4110" i="16"/>
  <c r="K4124" i="16" s="1"/>
  <c r="L4109" i="16"/>
  <c r="L4123" i="16" s="1"/>
  <c r="K4109" i="16"/>
  <c r="K4123" i="16" s="1"/>
  <c r="L4106" i="16"/>
  <c r="L4120" i="16" s="1"/>
  <c r="K4106" i="16"/>
  <c r="L4105" i="16"/>
  <c r="L4119" i="16" s="1"/>
  <c r="K4105" i="16"/>
  <c r="K4119" i="16" s="1"/>
  <c r="M4116" i="16"/>
  <c r="X4127" i="16"/>
  <c r="W4127" i="16"/>
  <c r="X4124" i="16"/>
  <c r="W4124" i="16"/>
  <c r="X4123" i="16"/>
  <c r="W4123" i="16"/>
  <c r="X4120" i="16"/>
  <c r="W4120" i="16"/>
  <c r="X4119" i="16"/>
  <c r="W4119" i="16"/>
  <c r="Y4116" i="16"/>
  <c r="Y4113" i="16"/>
  <c r="X4111" i="16"/>
  <c r="W4111" i="16"/>
  <c r="Y4110" i="16"/>
  <c r="Y4109" i="16"/>
  <c r="X4107" i="16"/>
  <c r="W4107" i="16"/>
  <c r="Y4106" i="16"/>
  <c r="Y4105" i="16"/>
  <c r="T4127" i="16"/>
  <c r="S4127" i="16"/>
  <c r="T4124" i="16"/>
  <c r="S4124" i="16"/>
  <c r="T4123" i="16"/>
  <c r="S4123" i="16"/>
  <c r="T4120" i="16"/>
  <c r="S4120" i="16"/>
  <c r="T4119" i="16"/>
  <c r="S4119" i="16"/>
  <c r="U4116" i="16"/>
  <c r="U4113" i="16"/>
  <c r="T4111" i="16"/>
  <c r="S4111" i="16"/>
  <c r="U4110" i="16"/>
  <c r="U4109" i="16"/>
  <c r="T4107" i="16"/>
  <c r="S4107" i="16"/>
  <c r="U4106" i="16"/>
  <c r="U4105" i="16"/>
  <c r="P4127" i="16"/>
  <c r="O4127" i="16"/>
  <c r="P4124" i="16"/>
  <c r="O4124" i="16"/>
  <c r="P4123" i="16"/>
  <c r="O4123" i="16"/>
  <c r="P4120" i="16"/>
  <c r="O4120" i="16"/>
  <c r="P4119" i="16"/>
  <c r="O4119" i="16"/>
  <c r="Q4116" i="16"/>
  <c r="Q4113" i="16"/>
  <c r="P4111" i="16"/>
  <c r="O4111" i="16"/>
  <c r="Q4110" i="16"/>
  <c r="Q4109" i="16"/>
  <c r="P4107" i="16"/>
  <c r="O4107" i="16"/>
  <c r="Q4106" i="16"/>
  <c r="Q4105" i="16"/>
  <c r="E4113" i="16"/>
  <c r="E4110" i="16"/>
  <c r="E4109" i="16"/>
  <c r="E4106" i="16"/>
  <c r="E4116" i="16"/>
  <c r="E4105" i="16"/>
  <c r="D4127" i="16"/>
  <c r="C4127" i="16"/>
  <c r="D4124" i="16"/>
  <c r="C4124" i="16"/>
  <c r="D4123" i="16"/>
  <c r="C4123" i="16"/>
  <c r="D4120" i="16"/>
  <c r="C4120" i="16"/>
  <c r="D4119" i="16"/>
  <c r="C4119" i="16"/>
  <c r="C4111" i="16"/>
  <c r="D4111" i="16"/>
  <c r="C4107" i="16"/>
  <c r="D4107" i="16"/>
  <c r="C4098" i="16"/>
  <c r="C4099" i="16" s="1"/>
  <c r="B4098" i="16"/>
  <c r="C4090" i="16"/>
  <c r="C4092" i="16"/>
  <c r="D4089" i="16" s="1"/>
  <c r="C4088" i="16"/>
  <c r="C1056" i="12"/>
  <c r="C1063" i="12" s="1"/>
  <c r="B1065" i="12"/>
  <c r="C1062" i="12"/>
  <c r="C1061" i="12"/>
  <c r="C1058" i="12"/>
  <c r="B1056" i="12"/>
  <c r="B1063" i="12" s="1"/>
  <c r="B1055" i="12"/>
  <c r="B1062" i="12" s="1"/>
  <c r="B1054" i="12"/>
  <c r="B1061" i="12" s="1"/>
  <c r="C1050" i="12"/>
  <c r="C1049" i="12"/>
  <c r="AW352" i="20" l="1"/>
  <c r="AW359" i="20" s="1"/>
  <c r="BB324" i="20"/>
  <c r="BB352" i="20" s="1"/>
  <c r="D4232" i="16"/>
  <c r="AW229" i="20"/>
  <c r="C4317" i="16" s="1"/>
  <c r="AG597" i="20"/>
  <c r="R136" i="29"/>
  <c r="R232" i="29"/>
  <c r="R224" i="29"/>
  <c r="D4233" i="16"/>
  <c r="C4167" i="16"/>
  <c r="D4167" i="16" s="1"/>
  <c r="D4168" i="16" s="1"/>
  <c r="C4178" i="16"/>
  <c r="E4124" i="16"/>
  <c r="M4110" i="16"/>
  <c r="M4109" i="16"/>
  <c r="M4106" i="16"/>
  <c r="M4113" i="16"/>
  <c r="D4121" i="16"/>
  <c r="K4107" i="16"/>
  <c r="E4111" i="16"/>
  <c r="K4111" i="16"/>
  <c r="U4124" i="16"/>
  <c r="D4136" i="16" s="1"/>
  <c r="Y4120" i="16"/>
  <c r="C4132" i="16" s="1"/>
  <c r="K4120" i="16"/>
  <c r="K4121" i="16" s="1"/>
  <c r="S4125" i="16"/>
  <c r="W4121" i="16"/>
  <c r="W4114" i="16"/>
  <c r="E4107" i="16"/>
  <c r="K4127" i="16"/>
  <c r="M4127" i="16" s="1"/>
  <c r="F4139" i="16" s="1"/>
  <c r="L4121" i="16"/>
  <c r="AW43" i="20"/>
  <c r="G4387" i="16" s="1"/>
  <c r="W95" i="28"/>
  <c r="W97" i="28" s="1"/>
  <c r="S87" i="28"/>
  <c r="S89" i="28"/>
  <c r="AW208" i="20"/>
  <c r="AW286" i="20"/>
  <c r="AW193" i="20"/>
  <c r="AW194" i="20" s="1"/>
  <c r="AW216" i="20"/>
  <c r="S38" i="28"/>
  <c r="AW55" i="20"/>
  <c r="AW285" i="20"/>
  <c r="AH572" i="20"/>
  <c r="AH581" i="20" s="1"/>
  <c r="AH563" i="20"/>
  <c r="AG572" i="20"/>
  <c r="AG581" i="20" s="1"/>
  <c r="AG563" i="20"/>
  <c r="C4188" i="16"/>
  <c r="D4188" i="16" s="1"/>
  <c r="C4184" i="16"/>
  <c r="D4184" i="16" s="1"/>
  <c r="D4185" i="16" s="1"/>
  <c r="E4119" i="16"/>
  <c r="E4127" i="16"/>
  <c r="M4105" i="16"/>
  <c r="C4121" i="16"/>
  <c r="E4120" i="16"/>
  <c r="P4114" i="16"/>
  <c r="X4114" i="16"/>
  <c r="D4125" i="16"/>
  <c r="K4125" i="16"/>
  <c r="Q4111" i="16"/>
  <c r="Y4111" i="16"/>
  <c r="L4111" i="16"/>
  <c r="O4125" i="16"/>
  <c r="S4121" i="16"/>
  <c r="W4125" i="16"/>
  <c r="L4107" i="16"/>
  <c r="U4120" i="16"/>
  <c r="D4132" i="16" s="1"/>
  <c r="Y4124" i="16"/>
  <c r="C4136" i="16" s="1"/>
  <c r="M4124" i="16"/>
  <c r="F4136" i="16" s="1"/>
  <c r="M4119" i="16"/>
  <c r="F4131" i="16" s="1"/>
  <c r="L4125" i="16"/>
  <c r="S4114" i="16"/>
  <c r="M4123" i="16"/>
  <c r="F4135" i="16" s="1"/>
  <c r="T4114" i="16"/>
  <c r="U4127" i="16"/>
  <c r="D4139" i="16" s="1"/>
  <c r="Y4123" i="16"/>
  <c r="C4135" i="16" s="1"/>
  <c r="E4123" i="16"/>
  <c r="Q4127" i="16"/>
  <c r="E4139" i="16" s="1"/>
  <c r="U4111" i="16"/>
  <c r="T4125" i="16"/>
  <c r="X4121" i="16"/>
  <c r="Y4127" i="16"/>
  <c r="C4139" i="16" s="1"/>
  <c r="X4125" i="16"/>
  <c r="Y4119" i="16"/>
  <c r="C4131" i="16" s="1"/>
  <c r="Y4107" i="16"/>
  <c r="T4121" i="16"/>
  <c r="U4119" i="16"/>
  <c r="D4131" i="16" s="1"/>
  <c r="U4123" i="16"/>
  <c r="D4135" i="16" s="1"/>
  <c r="U4107" i="16"/>
  <c r="P4121" i="16"/>
  <c r="Q4123" i="16"/>
  <c r="E4135" i="16" s="1"/>
  <c r="O4114" i="16"/>
  <c r="O4121" i="16"/>
  <c r="Q4124" i="16"/>
  <c r="E4136" i="16" s="1"/>
  <c r="Q4120" i="16"/>
  <c r="E4132" i="16" s="1"/>
  <c r="Q4119" i="16"/>
  <c r="E4131" i="16" s="1"/>
  <c r="P4125" i="16"/>
  <c r="Q4107" i="16"/>
  <c r="C4125" i="16"/>
  <c r="D4114" i="16"/>
  <c r="C4114" i="16"/>
  <c r="D4099" i="16"/>
  <c r="D4097" i="16"/>
  <c r="D4098" i="16"/>
  <c r="D4088" i="16"/>
  <c r="D4090" i="16"/>
  <c r="D4087" i="16"/>
  <c r="C4091" i="16"/>
  <c r="D4091" i="16" s="1"/>
  <c r="C1051" i="12"/>
  <c r="C1065" i="12"/>
  <c r="C1057" i="12"/>
  <c r="C1064" i="12" s="1"/>
  <c r="Q4058" i="16"/>
  <c r="P4058" i="16"/>
  <c r="O4058" i="16"/>
  <c r="J123" i="25"/>
  <c r="K123" i="25"/>
  <c r="K4392" i="16" l="1"/>
  <c r="G4402" i="16"/>
  <c r="G4385" i="16"/>
  <c r="D4236" i="16"/>
  <c r="D4240" i="16" s="1"/>
  <c r="AW227" i="20"/>
  <c r="AW228" i="20" s="1"/>
  <c r="CO43" i="20"/>
  <c r="R226" i="29"/>
  <c r="R230" i="29" s="1"/>
  <c r="S243" i="29"/>
  <c r="K124" i="25"/>
  <c r="K125" i="25" s="1"/>
  <c r="D4128" i="16"/>
  <c r="E4121" i="16"/>
  <c r="M4111" i="16"/>
  <c r="M4107" i="16"/>
  <c r="M4125" i="16"/>
  <c r="F4137" i="16" s="1"/>
  <c r="W4128" i="16"/>
  <c r="M4120" i="16"/>
  <c r="F4132" i="16" s="1"/>
  <c r="S4128" i="16"/>
  <c r="K4128" i="16"/>
  <c r="K4114" i="16"/>
  <c r="M4121" i="16"/>
  <c r="F4133" i="16" s="1"/>
  <c r="L4128" i="16"/>
  <c r="Y4114" i="16"/>
  <c r="U4121" i="16"/>
  <c r="D4133" i="16" s="1"/>
  <c r="AW57" i="20"/>
  <c r="AW56" i="20" s="1"/>
  <c r="AT351" i="12" s="1"/>
  <c r="AW46" i="20"/>
  <c r="AW288" i="20"/>
  <c r="AW347" i="20"/>
  <c r="S61" i="28"/>
  <c r="S46" i="28"/>
  <c r="Y4125" i="16"/>
  <c r="C4137" i="16" s="1"/>
  <c r="Q4121" i="16"/>
  <c r="E4133" i="16" s="1"/>
  <c r="Q4114" i="16"/>
  <c r="Q4125" i="16"/>
  <c r="E4137" i="16" s="1"/>
  <c r="E4114" i="16"/>
  <c r="L4114" i="16"/>
  <c r="X4128" i="16"/>
  <c r="T4128" i="16"/>
  <c r="U4114" i="16"/>
  <c r="U4125" i="16"/>
  <c r="D4137" i="16" s="1"/>
  <c r="Y4121" i="16"/>
  <c r="C4133" i="16" s="1"/>
  <c r="C4128" i="16"/>
  <c r="E4125" i="16"/>
  <c r="O4128" i="16"/>
  <c r="P4128" i="16"/>
  <c r="D4092" i="16"/>
  <c r="D4100" i="16"/>
  <c r="B300" i="20"/>
  <c r="K13" i="32"/>
  <c r="G31" i="31"/>
  <c r="C46" i="6"/>
  <c r="C45" i="6"/>
  <c r="G4400" i="16" l="1"/>
  <c r="K4390" i="16"/>
  <c r="AW230" i="20"/>
  <c r="K126" i="25"/>
  <c r="E4128" i="16"/>
  <c r="Y4128" i="16"/>
  <c r="C4140" i="16" s="1"/>
  <c r="S31" i="28"/>
  <c r="C10" i="28" s="1"/>
  <c r="R127" i="29"/>
  <c r="M4128" i="16"/>
  <c r="F4140" i="16" s="1"/>
  <c r="U4128" i="16"/>
  <c r="D4140" i="16" s="1"/>
  <c r="M4114" i="16"/>
  <c r="S69" i="28"/>
  <c r="S84" i="28"/>
  <c r="Q4128" i="16"/>
  <c r="E4140" i="16" s="1"/>
  <c r="E4665" i="8"/>
  <c r="F4635" i="8"/>
  <c r="O470" i="4"/>
  <c r="N470" i="4"/>
  <c r="E4633" i="8"/>
  <c r="N73" i="5"/>
  <c r="N72" i="5"/>
  <c r="N71" i="5"/>
  <c r="D20" i="28"/>
  <c r="BH236" i="20"/>
  <c r="BH264" i="20" s="1"/>
  <c r="E4232" i="16"/>
  <c r="AU232" i="20"/>
  <c r="F17" i="28"/>
  <c r="J31" i="23"/>
  <c r="I31" i="23"/>
  <c r="CJ13" i="20"/>
  <c r="O361" i="4"/>
  <c r="O326" i="4"/>
  <c r="O210" i="4"/>
  <c r="O318" i="4"/>
  <c r="O309" i="4" s="1"/>
  <c r="O320" i="4"/>
  <c r="O322" i="4" s="1"/>
  <c r="O357" i="4"/>
  <c r="O349" i="4"/>
  <c r="N318" i="4"/>
  <c r="AU229" i="20" l="1"/>
  <c r="F4396" i="16"/>
  <c r="L17" i="28"/>
  <c r="G17" i="28"/>
  <c r="F4234" i="16"/>
  <c r="V41" i="28"/>
  <c r="F4232" i="16"/>
  <c r="E4234" i="16"/>
  <c r="F16" i="28"/>
  <c r="G16" i="28" s="1"/>
  <c r="S47" i="28"/>
  <c r="S70" i="28"/>
  <c r="O475" i="4"/>
  <c r="O350" i="4"/>
  <c r="D4213" i="16"/>
  <c r="E4213" i="16"/>
  <c r="O22" i="4"/>
  <c r="N309" i="4"/>
  <c r="O624" i="4"/>
  <c r="O286" i="4"/>
  <c r="AU313" i="20"/>
  <c r="AU311" i="20"/>
  <c r="K2275" i="16"/>
  <c r="J2275" i="16"/>
  <c r="J263" i="23"/>
  <c r="K19" i="25"/>
  <c r="K17" i="25"/>
  <c r="K15" i="25"/>
  <c r="K9" i="25"/>
  <c r="K6" i="25"/>
  <c r="K132" i="25"/>
  <c r="J132" i="25"/>
  <c r="K117" i="25"/>
  <c r="C4362" i="16" s="1"/>
  <c r="K68" i="25"/>
  <c r="J143" i="23"/>
  <c r="J139" i="23"/>
  <c r="J134" i="23"/>
  <c r="J136" i="23" s="1"/>
  <c r="J133" i="23"/>
  <c r="J131" i="23"/>
  <c r="I131" i="23"/>
  <c r="J129" i="23"/>
  <c r="I129" i="23"/>
  <c r="J123" i="23"/>
  <c r="I123" i="23"/>
  <c r="J106" i="23"/>
  <c r="J102" i="23"/>
  <c r="J96" i="23"/>
  <c r="I96" i="23"/>
  <c r="J94" i="23"/>
  <c r="J92" i="23"/>
  <c r="I92" i="23"/>
  <c r="J86" i="23"/>
  <c r="J69" i="23"/>
  <c r="J65" i="23"/>
  <c r="J60" i="23"/>
  <c r="J62" i="23" s="1"/>
  <c r="I60" i="23"/>
  <c r="J59" i="23"/>
  <c r="J57" i="23"/>
  <c r="J55" i="23"/>
  <c r="I55" i="23"/>
  <c r="J29" i="23"/>
  <c r="J218" i="23"/>
  <c r="AU15" i="20"/>
  <c r="AU14" i="20"/>
  <c r="AU12" i="20"/>
  <c r="AU5" i="20"/>
  <c r="J22" i="23"/>
  <c r="J16" i="23"/>
  <c r="J14" i="23"/>
  <c r="J12" i="23"/>
  <c r="J6" i="23"/>
  <c r="J176" i="23"/>
  <c r="J171" i="23"/>
  <c r="J173" i="23" s="1"/>
  <c r="J170" i="23"/>
  <c r="J166" i="23"/>
  <c r="J168" i="23"/>
  <c r="J161" i="23"/>
  <c r="AS347" i="12"/>
  <c r="AG521" i="20" s="1"/>
  <c r="AS346" i="12"/>
  <c r="AG520" i="20" s="1"/>
  <c r="AS345" i="12"/>
  <c r="AG519" i="20" s="1"/>
  <c r="AS344" i="12"/>
  <c r="AG518" i="20" s="1"/>
  <c r="AS343" i="12"/>
  <c r="AG517" i="20" s="1"/>
  <c r="AS338" i="12"/>
  <c r="AS336" i="12"/>
  <c r="AU49" i="20" s="1"/>
  <c r="AS332" i="12"/>
  <c r="AS339" i="12" s="1"/>
  <c r="AS327" i="12"/>
  <c r="AH498" i="20"/>
  <c r="AH497" i="20"/>
  <c r="AH496" i="20"/>
  <c r="AH495" i="20"/>
  <c r="AH493" i="20"/>
  <c r="AH492" i="20"/>
  <c r="AH491" i="20"/>
  <c r="AG498" i="20"/>
  <c r="AG497" i="20"/>
  <c r="AG496" i="20"/>
  <c r="AG495" i="20"/>
  <c r="AG493" i="20"/>
  <c r="AG492" i="20"/>
  <c r="AG491" i="20"/>
  <c r="AH483" i="20"/>
  <c r="F18" i="28" l="1"/>
  <c r="L16" i="28"/>
  <c r="K133" i="25"/>
  <c r="C4369" i="16"/>
  <c r="V49" i="28"/>
  <c r="F20" i="28"/>
  <c r="AS340" i="12"/>
  <c r="AT348" i="12"/>
  <c r="AG522" i="20"/>
  <c r="AH524" i="20"/>
  <c r="C4172" i="16"/>
  <c r="C4174" i="16" s="1"/>
  <c r="C4173" i="16" s="1"/>
  <c r="C4171" i="16" s="1"/>
  <c r="D4171" i="16" s="1"/>
  <c r="D4174" i="16" s="1"/>
  <c r="T87" i="28"/>
  <c r="J61" i="23"/>
  <c r="AH484" i="20"/>
  <c r="AH472" i="20"/>
  <c r="AH461" i="20"/>
  <c r="DK461" i="20" s="1"/>
  <c r="AG461" i="20"/>
  <c r="AH450" i="20"/>
  <c r="DK450" i="20" s="1"/>
  <c r="AH449" i="20"/>
  <c r="AH439" i="20"/>
  <c r="DK439" i="20" s="1"/>
  <c r="AH438" i="20"/>
  <c r="AH427" i="20"/>
  <c r="DK427" i="20" s="1"/>
  <c r="AH426" i="20"/>
  <c r="AH415" i="20"/>
  <c r="DK415" i="20" s="1"/>
  <c r="L20" i="28" l="1"/>
  <c r="G20" i="28"/>
  <c r="L18" i="28"/>
  <c r="G18" i="28"/>
  <c r="AH473" i="20"/>
  <c r="I21" i="22"/>
  <c r="D24" i="32"/>
  <c r="C4370" i="16"/>
  <c r="V38" i="28"/>
  <c r="V46" i="28" s="1"/>
  <c r="AH451" i="20"/>
  <c r="AH462" i="20"/>
  <c r="DJ461" i="20"/>
  <c r="AH440" i="20"/>
  <c r="AH428" i="20"/>
  <c r="AH494" i="20"/>
  <c r="J4533" i="8"/>
  <c r="K4533" i="8" s="1"/>
  <c r="AU262" i="20"/>
  <c r="AU264" i="20" s="1"/>
  <c r="J4490" i="8"/>
  <c r="C4053" i="16"/>
  <c r="D4492" i="8"/>
  <c r="E4492" i="8" s="1"/>
  <c r="D4042" i="16"/>
  <c r="C4043" i="16" s="1"/>
  <c r="D4031" i="16"/>
  <c r="C4032" i="16" s="1"/>
  <c r="G4512" i="8"/>
  <c r="H4512" i="8" s="1"/>
  <c r="E4512" i="8"/>
  <c r="I129" i="22" l="1"/>
  <c r="I22" i="22"/>
  <c r="J22" i="22" s="1"/>
  <c r="F4233" i="16"/>
  <c r="F4236" i="16" s="1"/>
  <c r="F4239" i="16" s="1"/>
  <c r="F4492" i="8"/>
  <c r="I4512" i="8"/>
  <c r="V43" i="28" l="1"/>
  <c r="G4492" i="8"/>
  <c r="F4241" i="16" l="1"/>
  <c r="F4240" i="16" s="1"/>
  <c r="V142" i="28"/>
  <c r="V130" i="28"/>
  <c r="V117" i="28"/>
  <c r="AU60" i="20"/>
  <c r="AU42" i="20"/>
  <c r="K100" i="25" s="1"/>
  <c r="C4347" i="16" s="1"/>
  <c r="AU41" i="20"/>
  <c r="AU40" i="20"/>
  <c r="F4386" i="16" s="1"/>
  <c r="F4395" i="16" s="1"/>
  <c r="F4394" i="16" s="1"/>
  <c r="AU38" i="20"/>
  <c r="AU37" i="20"/>
  <c r="D4503" i="8"/>
  <c r="F4503" i="8" s="1"/>
  <c r="F4502" i="8"/>
  <c r="I4481" i="8"/>
  <c r="J4481" i="8" s="1"/>
  <c r="E4489" i="8"/>
  <c r="E4490" i="8"/>
  <c r="C4483" i="8"/>
  <c r="C4484" i="8" s="1"/>
  <c r="C4485" i="8" s="1"/>
  <c r="F4252" i="16" l="1"/>
  <c r="F24" i="28"/>
  <c r="G24" i="28" s="1"/>
  <c r="F4247" i="16"/>
  <c r="AU39" i="20"/>
  <c r="V95" i="28" s="1"/>
  <c r="K96" i="25"/>
  <c r="C4344" i="16" s="1"/>
  <c r="K98" i="25"/>
  <c r="C4346" i="16" s="1"/>
  <c r="K62" i="25"/>
  <c r="K70" i="25" s="1"/>
  <c r="V96" i="28"/>
  <c r="F4490" i="8"/>
  <c r="G4490" i="8" s="1"/>
  <c r="V98" i="28"/>
  <c r="E4491" i="8"/>
  <c r="E4493" i="8"/>
  <c r="I4484" i="8"/>
  <c r="K4481" i="8"/>
  <c r="L4481" i="8" s="1"/>
  <c r="F4489" i="8"/>
  <c r="F4493" i="8" s="1"/>
  <c r="AU55" i="20" l="1"/>
  <c r="K4490" i="8"/>
  <c r="L4490" i="8" s="1"/>
  <c r="V97" i="28"/>
  <c r="G4494" i="8"/>
  <c r="G4495" i="8" s="1"/>
  <c r="H4490" i="8"/>
  <c r="F4491" i="8"/>
  <c r="G4489" i="8"/>
  <c r="G4491" i="8" l="1"/>
  <c r="D4032" i="16" s="1"/>
  <c r="D4034" i="16" s="1"/>
  <c r="G4493" i="8"/>
  <c r="D4043" i="16" s="1"/>
  <c r="D4045" i="16" s="1"/>
  <c r="AU387" i="20"/>
  <c r="AU43" i="20"/>
  <c r="R79" i="28"/>
  <c r="R77" i="28"/>
  <c r="R63" i="28"/>
  <c r="R86" i="28" s="1"/>
  <c r="R54" i="28"/>
  <c r="R43" i="28"/>
  <c r="R42" i="28"/>
  <c r="R65" i="28" s="1"/>
  <c r="R88" i="28" s="1"/>
  <c r="R41" i="28"/>
  <c r="R39" i="28"/>
  <c r="R37" i="28"/>
  <c r="R45" i="28" s="1"/>
  <c r="R52" i="28" s="1"/>
  <c r="R60" i="28" s="1"/>
  <c r="R68" i="28" s="1"/>
  <c r="R75" i="28" s="1"/>
  <c r="R83" i="28" s="1"/>
  <c r="R35" i="28"/>
  <c r="R33" i="28"/>
  <c r="AU192" i="20"/>
  <c r="AU287" i="20" s="1"/>
  <c r="AU191" i="20"/>
  <c r="AU286" i="20" s="1"/>
  <c r="AU17" i="20"/>
  <c r="Q223" i="29" s="1"/>
  <c r="AU304" i="20"/>
  <c r="AU299" i="20"/>
  <c r="AU298" i="20"/>
  <c r="AU294" i="20"/>
  <c r="AU237" i="20"/>
  <c r="AU189" i="20"/>
  <c r="AU208" i="20" s="1"/>
  <c r="D52" i="6"/>
  <c r="H51" i="6"/>
  <c r="B47" i="6"/>
  <c r="B46" i="6"/>
  <c r="B45" i="6"/>
  <c r="AU227" i="20" l="1"/>
  <c r="AU228" i="20" s="1"/>
  <c r="F4387" i="16"/>
  <c r="AU211" i="20"/>
  <c r="AU300" i="20"/>
  <c r="AU190" i="20"/>
  <c r="AU284" i="20"/>
  <c r="AU331" i="20" s="1"/>
  <c r="AU390" i="20" s="1"/>
  <c r="R81" i="28"/>
  <c r="AU57" i="20"/>
  <c r="Q127" i="29" s="1"/>
  <c r="AU46" i="20"/>
  <c r="R30" i="28"/>
  <c r="R62" i="28"/>
  <c r="R85" i="28" s="1"/>
  <c r="C4033" i="16"/>
  <c r="C4034" i="16" s="1"/>
  <c r="C4035" i="16" s="1"/>
  <c r="C4044" i="16"/>
  <c r="C4045" i="16" s="1"/>
  <c r="R50" i="28"/>
  <c r="R49" i="28"/>
  <c r="F4142" i="16" s="1"/>
  <c r="AU21" i="20"/>
  <c r="AU297" i="20"/>
  <c r="I248" i="23"/>
  <c r="AU230" i="20" l="1"/>
  <c r="F4385" i="16"/>
  <c r="F4400" i="16" s="1"/>
  <c r="F4402" i="16"/>
  <c r="R38" i="28"/>
  <c r="R61" i="28" s="1"/>
  <c r="R84" i="28" s="1"/>
  <c r="Q224" i="29"/>
  <c r="AU285" i="20"/>
  <c r="AU216" i="20"/>
  <c r="R34" i="28"/>
  <c r="AU193" i="20"/>
  <c r="AU194" i="20" s="1"/>
  <c r="R31" i="28"/>
  <c r="AU56" i="20"/>
  <c r="AS351" i="12" s="1"/>
  <c r="C4036" i="16"/>
  <c r="C4037" i="16" s="1"/>
  <c r="D4038" i="16" s="1"/>
  <c r="C4046" i="16"/>
  <c r="C4047" i="16" s="1"/>
  <c r="C4048" i="16" s="1"/>
  <c r="D4049" i="16" s="1"/>
  <c r="M5" i="5"/>
  <c r="C5" i="32" s="1"/>
  <c r="N23" i="32"/>
  <c r="R23" i="32" s="1"/>
  <c r="O23" i="32"/>
  <c r="P23" i="32"/>
  <c r="K20" i="32"/>
  <c r="B14" i="32"/>
  <c r="B15" i="32"/>
  <c r="B16" i="32"/>
  <c r="B17" i="32"/>
  <c r="B18" i="32"/>
  <c r="B13" i="32"/>
  <c r="D4" i="32"/>
  <c r="R3" i="32"/>
  <c r="P3" i="32"/>
  <c r="O3" i="32"/>
  <c r="N3" i="32"/>
  <c r="M3" i="32"/>
  <c r="K3" i="32"/>
  <c r="R243" i="29" l="1"/>
  <c r="R69" i="28"/>
  <c r="R46" i="28"/>
  <c r="C6" i="32"/>
  <c r="R47" i="28"/>
  <c r="AU288" i="20"/>
  <c r="AU347" i="20"/>
  <c r="R70" i="28"/>
  <c r="K158" i="24"/>
  <c r="L158" i="24" s="1"/>
  <c r="L159" i="24" s="1"/>
  <c r="P141" i="29" l="1"/>
  <c r="P135" i="29" s="1"/>
  <c r="Q136" i="29" s="1"/>
  <c r="P128" i="29"/>
  <c r="P231" i="29"/>
  <c r="Q232" i="29" s="1"/>
  <c r="AZ189" i="20"/>
  <c r="CQ39" i="20"/>
  <c r="CN27" i="20"/>
  <c r="R4057" i="16" s="1"/>
  <c r="Q4057" i="16"/>
  <c r="P4057" i="16"/>
  <c r="O4057" i="16"/>
  <c r="CI41" i="20"/>
  <c r="CI40" i="20"/>
  <c r="M4058" i="16" s="1"/>
  <c r="CI38" i="20"/>
  <c r="CI37" i="20"/>
  <c r="CI27" i="20"/>
  <c r="M4057" i="16" s="1"/>
  <c r="CI15" i="20"/>
  <c r="CI14" i="20"/>
  <c r="CI13" i="20"/>
  <c r="CI12" i="20"/>
  <c r="CI5" i="20"/>
  <c r="C4466" i="8"/>
  <c r="AT269" i="20"/>
  <c r="AT271" i="20" s="1"/>
  <c r="AT272" i="20" s="1"/>
  <c r="DH488" i="20"/>
  <c r="DI488" i="20" s="1"/>
  <c r="DH487" i="20"/>
  <c r="DI487" i="20" s="1"/>
  <c r="DH486" i="20"/>
  <c r="DI486" i="20" s="1"/>
  <c r="DH485" i="20"/>
  <c r="DI485" i="20" s="1"/>
  <c r="DH482" i="20"/>
  <c r="DI482" i="20" s="1"/>
  <c r="DH481" i="20"/>
  <c r="DI481" i="20" s="1"/>
  <c r="DH480" i="20"/>
  <c r="DI480" i="20" s="1"/>
  <c r="AG483" i="20"/>
  <c r="AG484" i="20" s="1"/>
  <c r="AG472" i="20"/>
  <c r="AG473" i="20" s="1"/>
  <c r="AG462" i="20"/>
  <c r="AG450" i="20"/>
  <c r="AG449" i="20"/>
  <c r="AG439" i="20"/>
  <c r="AG438" i="20"/>
  <c r="AG427" i="20"/>
  <c r="AG426" i="20"/>
  <c r="AG415" i="20"/>
  <c r="DJ415" i="20" s="1"/>
  <c r="AT11" i="20"/>
  <c r="U98" i="28"/>
  <c r="U96" i="28"/>
  <c r="AT393" i="20"/>
  <c r="AT387" i="20"/>
  <c r="AS353" i="20"/>
  <c r="AT353" i="20" s="1"/>
  <c r="AT320" i="20"/>
  <c r="AS320" i="20"/>
  <c r="AT237" i="20"/>
  <c r="AT232" i="20"/>
  <c r="AT314" i="20"/>
  <c r="AT304" i="20"/>
  <c r="AT299" i="20"/>
  <c r="AT298" i="20"/>
  <c r="AT294" i="20"/>
  <c r="AT192" i="20"/>
  <c r="AT287" i="20" s="1"/>
  <c r="AT191" i="20"/>
  <c r="AT189" i="20"/>
  <c r="AT208" i="20" s="1"/>
  <c r="AT65" i="20"/>
  <c r="AT60" i="20"/>
  <c r="AY61" i="20" s="1"/>
  <c r="AT43" i="20"/>
  <c r="AT39" i="20"/>
  <c r="AT17" i="20"/>
  <c r="AT229" i="20" l="1"/>
  <c r="E4396" i="16"/>
  <c r="CM43" i="20"/>
  <c r="E4387" i="16"/>
  <c r="U95" i="28"/>
  <c r="U97" i="28" s="1"/>
  <c r="U111" i="28" s="1"/>
  <c r="CM39" i="20"/>
  <c r="AY62" i="20"/>
  <c r="AY199" i="20" s="1"/>
  <c r="CM17" i="20"/>
  <c r="P223" i="29"/>
  <c r="AY196" i="20"/>
  <c r="AT57" i="20"/>
  <c r="P127" i="29" s="1"/>
  <c r="AT227" i="20"/>
  <c r="AG440" i="20"/>
  <c r="DJ439" i="20"/>
  <c r="AG451" i="20"/>
  <c r="DJ450" i="20"/>
  <c r="AG428" i="20"/>
  <c r="DJ427" i="20"/>
  <c r="AT211" i="20"/>
  <c r="P224" i="29" s="1"/>
  <c r="Q243" i="29" s="1"/>
  <c r="AT300" i="20"/>
  <c r="V31" i="28"/>
  <c r="F10" i="28" s="1"/>
  <c r="AZ208" i="20"/>
  <c r="AZ284" i="20"/>
  <c r="AZ331" i="20" s="1"/>
  <c r="AZ390" i="20" s="1"/>
  <c r="D10" i="28"/>
  <c r="AG494" i="20"/>
  <c r="D46" i="6"/>
  <c r="AT46" i="20"/>
  <c r="AT284" i="20"/>
  <c r="AT331" i="20" s="1"/>
  <c r="AT390" i="20" s="1"/>
  <c r="AT190" i="20"/>
  <c r="AT286" i="20"/>
  <c r="AT55" i="20"/>
  <c r="AT297" i="20"/>
  <c r="AT321" i="20"/>
  <c r="U142" i="28"/>
  <c r="U130" i="28"/>
  <c r="U115" i="28"/>
  <c r="U117" i="28" s="1"/>
  <c r="U113" i="28"/>
  <c r="U104" i="28"/>
  <c r="Q79" i="28"/>
  <c r="Q77" i="28"/>
  <c r="AF598" i="20"/>
  <c r="AF537" i="20"/>
  <c r="AF546" i="20" s="1"/>
  <c r="AR338" i="12"/>
  <c r="AR336" i="12"/>
  <c r="AR332" i="12"/>
  <c r="AR327" i="12"/>
  <c r="AR347" i="12"/>
  <c r="AF521" i="20" s="1"/>
  <c r="AR346" i="12"/>
  <c r="AF520" i="20" s="1"/>
  <c r="AR345" i="12"/>
  <c r="AF519" i="20" s="1"/>
  <c r="AR344" i="12"/>
  <c r="AF518" i="20" s="1"/>
  <c r="AR343" i="12"/>
  <c r="AF517" i="20" s="1"/>
  <c r="AF533" i="20"/>
  <c r="AF532" i="20"/>
  <c r="AF531" i="20"/>
  <c r="AF530" i="20"/>
  <c r="AF529" i="20"/>
  <c r="AF535" i="20"/>
  <c r="AF588" i="20"/>
  <c r="AF586" i="20"/>
  <c r="AF585" i="20"/>
  <c r="AF584" i="20"/>
  <c r="AF583" i="20"/>
  <c r="AF582" i="20"/>
  <c r="AE533" i="20"/>
  <c r="AE532" i="20"/>
  <c r="AE531" i="20"/>
  <c r="AE530" i="20"/>
  <c r="AQ347" i="12"/>
  <c r="AE521" i="20" s="1"/>
  <c r="AQ346" i="12"/>
  <c r="AE520" i="20" s="1"/>
  <c r="AQ345" i="12"/>
  <c r="AE519" i="20" s="1"/>
  <c r="AQ344" i="12"/>
  <c r="AE518" i="20" s="1"/>
  <c r="AQ343" i="12"/>
  <c r="AE517" i="20" s="1"/>
  <c r="AQ338" i="12"/>
  <c r="AQ336" i="12"/>
  <c r="AS49" i="20" s="1"/>
  <c r="AQ327" i="12"/>
  <c r="AQ332" i="12"/>
  <c r="AQ339" i="12" s="1"/>
  <c r="AQ340" i="12" s="1"/>
  <c r="AF526" i="20"/>
  <c r="AF525" i="20"/>
  <c r="AF516" i="20"/>
  <c r="AF528" i="20" s="1"/>
  <c r="AE598" i="20"/>
  <c r="AE537" i="20"/>
  <c r="AE555" i="20" s="1"/>
  <c r="AE535" i="20"/>
  <c r="AE529" i="20"/>
  <c r="AE526" i="20"/>
  <c r="AE525" i="20"/>
  <c r="AE516" i="20"/>
  <c r="AE528" i="20" s="1"/>
  <c r="DF488" i="20"/>
  <c r="DG488" i="20" s="1"/>
  <c r="AE588" i="20" s="1"/>
  <c r="DF487" i="20"/>
  <c r="DG487" i="20" s="1"/>
  <c r="AE586" i="20" s="1"/>
  <c r="DF486" i="20"/>
  <c r="DG486" i="20" s="1"/>
  <c r="AE585" i="20" s="1"/>
  <c r="DF485" i="20"/>
  <c r="DG485" i="20" s="1"/>
  <c r="AE584" i="20" s="1"/>
  <c r="DF482" i="20"/>
  <c r="DG482" i="20" s="1"/>
  <c r="AE583" i="20" s="1"/>
  <c r="DF481" i="20"/>
  <c r="DG481" i="20" s="1"/>
  <c r="AE582" i="20" s="1"/>
  <c r="DF480" i="20"/>
  <c r="DG480" i="20" s="1"/>
  <c r="DF466" i="20"/>
  <c r="DG466" i="20" s="1"/>
  <c r="AE579" i="20" s="1"/>
  <c r="DF465" i="20"/>
  <c r="DG465" i="20" s="1"/>
  <c r="AE577" i="20" s="1"/>
  <c r="DF464" i="20"/>
  <c r="DG464" i="20" s="1"/>
  <c r="AE576" i="20" s="1"/>
  <c r="DF463" i="20"/>
  <c r="DG463" i="20" s="1"/>
  <c r="AE575" i="20" s="1"/>
  <c r="DF460" i="20"/>
  <c r="DG460" i="20" s="1"/>
  <c r="AE574" i="20" s="1"/>
  <c r="DF459" i="20"/>
  <c r="DG459" i="20" s="1"/>
  <c r="AE573" i="20" s="1"/>
  <c r="DF458" i="20"/>
  <c r="DG458" i="20" s="1"/>
  <c r="DF455" i="20"/>
  <c r="DG455" i="20" s="1"/>
  <c r="AE570" i="20" s="1"/>
  <c r="DF454" i="20"/>
  <c r="DG454" i="20" s="1"/>
  <c r="AE568" i="20" s="1"/>
  <c r="DF453" i="20"/>
  <c r="DG453" i="20" s="1"/>
  <c r="AE567" i="20" s="1"/>
  <c r="DF452" i="20"/>
  <c r="DG452" i="20" s="1"/>
  <c r="AE566" i="20" s="1"/>
  <c r="DF448" i="20"/>
  <c r="DG448" i="20" s="1"/>
  <c r="AE565" i="20" s="1"/>
  <c r="DF447" i="20"/>
  <c r="DG447" i="20" s="1"/>
  <c r="AE564" i="20" s="1"/>
  <c r="DF446" i="20"/>
  <c r="DG446" i="20" s="1"/>
  <c r="DF443" i="20"/>
  <c r="DG443" i="20" s="1"/>
  <c r="AE560" i="20" s="1"/>
  <c r="DF442" i="20"/>
  <c r="DG442" i="20" s="1"/>
  <c r="AE559" i="20" s="1"/>
  <c r="DF441" i="20"/>
  <c r="DG441" i="20" s="1"/>
  <c r="AE558" i="20" s="1"/>
  <c r="DF437" i="20"/>
  <c r="DG437" i="20" s="1"/>
  <c r="AE557" i="20" s="1"/>
  <c r="DF436" i="20"/>
  <c r="DG436" i="20" s="1"/>
  <c r="AE556" i="20" s="1"/>
  <c r="DF435" i="20"/>
  <c r="DG435" i="20" s="1"/>
  <c r="DF432" i="20"/>
  <c r="DG432" i="20" s="1"/>
  <c r="AE553" i="20" s="1"/>
  <c r="DF431" i="20"/>
  <c r="DG431" i="20" s="1"/>
  <c r="AE551" i="20" s="1"/>
  <c r="DF430" i="20"/>
  <c r="DG430" i="20" s="1"/>
  <c r="AE550" i="20" s="1"/>
  <c r="DF429" i="20"/>
  <c r="DG429" i="20" s="1"/>
  <c r="AE549" i="20" s="1"/>
  <c r="DF425" i="20"/>
  <c r="DG425" i="20" s="1"/>
  <c r="AE548" i="20" s="1"/>
  <c r="DF424" i="20"/>
  <c r="DG424" i="20" s="1"/>
  <c r="AE547" i="20" s="1"/>
  <c r="DF423" i="20"/>
  <c r="DG423" i="20" s="1"/>
  <c r="DF420" i="20"/>
  <c r="DG420" i="20" s="1"/>
  <c r="AE544" i="20" s="1"/>
  <c r="DF419" i="20"/>
  <c r="DG419" i="20" s="1"/>
  <c r="AE542" i="20" s="1"/>
  <c r="DF418" i="20"/>
  <c r="DG418" i="20" s="1"/>
  <c r="AE541" i="20" s="1"/>
  <c r="DF417" i="20"/>
  <c r="DG417" i="20" s="1"/>
  <c r="AE540" i="20" s="1"/>
  <c r="DF414" i="20"/>
  <c r="DG414" i="20" s="1"/>
  <c r="AE539" i="20" s="1"/>
  <c r="DF413" i="20"/>
  <c r="DG413" i="20" s="1"/>
  <c r="AE538" i="20" s="1"/>
  <c r="DF412" i="20"/>
  <c r="DG412" i="20" s="1"/>
  <c r="DH466" i="20"/>
  <c r="DI466" i="20" s="1"/>
  <c r="AF579" i="20" s="1"/>
  <c r="DH465" i="20"/>
  <c r="DI465" i="20" s="1"/>
  <c r="AF577" i="20" s="1"/>
  <c r="DH464" i="20"/>
  <c r="DI464" i="20" s="1"/>
  <c r="AF576" i="20" s="1"/>
  <c r="DH463" i="20"/>
  <c r="DI463" i="20" s="1"/>
  <c r="AF575" i="20" s="1"/>
  <c r="DH460" i="20"/>
  <c r="DI460" i="20" s="1"/>
  <c r="AF574" i="20" s="1"/>
  <c r="DH459" i="20"/>
  <c r="DI459" i="20" s="1"/>
  <c r="AF573" i="20" s="1"/>
  <c r="DH458" i="20"/>
  <c r="DI458" i="20" s="1"/>
  <c r="DH455" i="20"/>
  <c r="DI455" i="20" s="1"/>
  <c r="AF570" i="20" s="1"/>
  <c r="DH454" i="20"/>
  <c r="DI454" i="20" s="1"/>
  <c r="AF568" i="20" s="1"/>
  <c r="DH453" i="20"/>
  <c r="DI453" i="20" s="1"/>
  <c r="AF567" i="20" s="1"/>
  <c r="DH452" i="20"/>
  <c r="DI452" i="20" s="1"/>
  <c r="AF566" i="20" s="1"/>
  <c r="DH448" i="20"/>
  <c r="DI448" i="20" s="1"/>
  <c r="AF565" i="20" s="1"/>
  <c r="DH447" i="20"/>
  <c r="DI447" i="20" s="1"/>
  <c r="AF564" i="20" s="1"/>
  <c r="DH446" i="20"/>
  <c r="DI446" i="20" s="1"/>
  <c r="DH443" i="20"/>
  <c r="DI443" i="20" s="1"/>
  <c r="AF560" i="20" s="1"/>
  <c r="DH442" i="20"/>
  <c r="DI442" i="20" s="1"/>
  <c r="AF559" i="20" s="1"/>
  <c r="DH441" i="20"/>
  <c r="DI441" i="20" s="1"/>
  <c r="AF558" i="20" s="1"/>
  <c r="DH437" i="20"/>
  <c r="DI437" i="20" s="1"/>
  <c r="AF557" i="20" s="1"/>
  <c r="DH436" i="20"/>
  <c r="DI436" i="20" s="1"/>
  <c r="AF556" i="20" s="1"/>
  <c r="DH435" i="20"/>
  <c r="DI435" i="20" s="1"/>
  <c r="DH432" i="20"/>
  <c r="DI432" i="20" s="1"/>
  <c r="AF553" i="20" s="1"/>
  <c r="DH431" i="20"/>
  <c r="DI431" i="20" s="1"/>
  <c r="AF551" i="20" s="1"/>
  <c r="DH430" i="20"/>
  <c r="DI430" i="20" s="1"/>
  <c r="AF550" i="20" s="1"/>
  <c r="DH429" i="20"/>
  <c r="DI429" i="20" s="1"/>
  <c r="AF549" i="20" s="1"/>
  <c r="DH425" i="20"/>
  <c r="DI425" i="20" s="1"/>
  <c r="AF548" i="20" s="1"/>
  <c r="DH424" i="20"/>
  <c r="DI424" i="20" s="1"/>
  <c r="AF547" i="20" s="1"/>
  <c r="DH423" i="20"/>
  <c r="DI423" i="20" s="1"/>
  <c r="DH420" i="20"/>
  <c r="DI420" i="20" s="1"/>
  <c r="AF544" i="20" s="1"/>
  <c r="DH419" i="20"/>
  <c r="DI419" i="20" s="1"/>
  <c r="AF542" i="20" s="1"/>
  <c r="DH418" i="20"/>
  <c r="DI418" i="20" s="1"/>
  <c r="AF541" i="20" s="1"/>
  <c r="DH417" i="20"/>
  <c r="DI417" i="20" s="1"/>
  <c r="AF540" i="20" s="1"/>
  <c r="DH414" i="20"/>
  <c r="DI414" i="20" s="1"/>
  <c r="AF539" i="20" s="1"/>
  <c r="DH413" i="20"/>
  <c r="DI413" i="20" s="1"/>
  <c r="AF538" i="20" s="1"/>
  <c r="DH412" i="20"/>
  <c r="DI412" i="20" s="1"/>
  <c r="AF498" i="20"/>
  <c r="AF497" i="20"/>
  <c r="AF496" i="20"/>
  <c r="AF495" i="20"/>
  <c r="AF493" i="20"/>
  <c r="AF492" i="20"/>
  <c r="AF491" i="20"/>
  <c r="AF483" i="20"/>
  <c r="AF484" i="20" s="1"/>
  <c r="AF472" i="20"/>
  <c r="AF473" i="20" s="1"/>
  <c r="AF461" i="20"/>
  <c r="AF462" i="20" s="1"/>
  <c r="AF450" i="20"/>
  <c r="AF451" i="20" s="1"/>
  <c r="AF449" i="20"/>
  <c r="AF439" i="20"/>
  <c r="AF440" i="20" s="1"/>
  <c r="AF438" i="20"/>
  <c r="AF427" i="20"/>
  <c r="DH427" i="20" s="1"/>
  <c r="DI427" i="20" s="1"/>
  <c r="AF426" i="20"/>
  <c r="AF415" i="20"/>
  <c r="DH415" i="20" s="1"/>
  <c r="DI415" i="20" s="1"/>
  <c r="Q63" i="28"/>
  <c r="Q86" i="28" s="1"/>
  <c r="Q56" i="28"/>
  <c r="Q54" i="28"/>
  <c r="Q43" i="28"/>
  <c r="Q42" i="28"/>
  <c r="Q65" i="28" s="1"/>
  <c r="Q88" i="28" s="1"/>
  <c r="Q41" i="28"/>
  <c r="Q39" i="28"/>
  <c r="Q37" i="28"/>
  <c r="Q45" i="28" s="1"/>
  <c r="Q52" i="28" s="1"/>
  <c r="Q60" i="28" s="1"/>
  <c r="Q68" i="28" s="1"/>
  <c r="Q75" i="28" s="1"/>
  <c r="Q83" i="28" s="1"/>
  <c r="Q35" i="28"/>
  <c r="Q33" i="28"/>
  <c r="AT16" i="20"/>
  <c r="O144" i="29"/>
  <c r="K144" i="29"/>
  <c r="L144" i="29" s="1"/>
  <c r="M144" i="29" s="1"/>
  <c r="G144" i="29"/>
  <c r="H144" i="29" s="1"/>
  <c r="C144" i="29"/>
  <c r="D144" i="29" s="1"/>
  <c r="O240" i="29"/>
  <c r="K240" i="29"/>
  <c r="G240" i="29"/>
  <c r="H240" i="29" s="1"/>
  <c r="C240" i="29"/>
  <c r="D240" i="29" s="1"/>
  <c r="AT228" i="20" l="1"/>
  <c r="E4385" i="16"/>
  <c r="I4392" i="16"/>
  <c r="E4402" i="16"/>
  <c r="E4394" i="16"/>
  <c r="Q31" i="28"/>
  <c r="Q47" i="28" s="1"/>
  <c r="L10" i="28"/>
  <c r="G10" i="28"/>
  <c r="AT56" i="20"/>
  <c r="AR351" i="12" s="1"/>
  <c r="AV352" i="12" s="1"/>
  <c r="V47" i="28"/>
  <c r="CQ43" i="20"/>
  <c r="AT230" i="20"/>
  <c r="Q38" i="28"/>
  <c r="Q61" i="28" s="1"/>
  <c r="Q84" i="28" s="1"/>
  <c r="AG524" i="20"/>
  <c r="AT49" i="20"/>
  <c r="AU50" i="20" s="1"/>
  <c r="AU52" i="20" s="1"/>
  <c r="P240" i="29"/>
  <c r="Q240" i="29" s="1"/>
  <c r="P144" i="29"/>
  <c r="Q144" i="29" s="1"/>
  <c r="AF524" i="20"/>
  <c r="AT285" i="20"/>
  <c r="E46" i="6"/>
  <c r="AE522" i="20"/>
  <c r="I144" i="29"/>
  <c r="AF534" i="20"/>
  <c r="AE599" i="20"/>
  <c r="AE592" i="20"/>
  <c r="Q81" i="28"/>
  <c r="AF590" i="20"/>
  <c r="AT216" i="20"/>
  <c r="AE578" i="20"/>
  <c r="AE534" i="20"/>
  <c r="AF587" i="20"/>
  <c r="AT324" i="20"/>
  <c r="AT352" i="20" s="1"/>
  <c r="AT327" i="20"/>
  <c r="AF592" i="20"/>
  <c r="AF594" i="20"/>
  <c r="AF595" i="20"/>
  <c r="AF596" i="20"/>
  <c r="AF591" i="20"/>
  <c r="AF599" i="20"/>
  <c r="AF543" i="20"/>
  <c r="AR339" i="12"/>
  <c r="AF522" i="20"/>
  <c r="AE561" i="20"/>
  <c r="AE587" i="20"/>
  <c r="AE552" i="20"/>
  <c r="AE591" i="20"/>
  <c r="AE595" i="20"/>
  <c r="AE596" i="20"/>
  <c r="AF561" i="20"/>
  <c r="AF578" i="20"/>
  <c r="AF552" i="20"/>
  <c r="AE543" i="20"/>
  <c r="AF569" i="20"/>
  <c r="AF555" i="20"/>
  <c r="AE569" i="20"/>
  <c r="AE572" i="20"/>
  <c r="AE581" i="20" s="1"/>
  <c r="AE563" i="20"/>
  <c r="AE594" i="20"/>
  <c r="AE590" i="20"/>
  <c r="AE546" i="20"/>
  <c r="AF428" i="20"/>
  <c r="Q30" i="28"/>
  <c r="AF494" i="20"/>
  <c r="DH450" i="20"/>
  <c r="DI450" i="20" s="1"/>
  <c r="DH461" i="20"/>
  <c r="DI461" i="20" s="1"/>
  <c r="DH439" i="20"/>
  <c r="DI439" i="20" s="1"/>
  <c r="Q62" i="28"/>
  <c r="Q49" i="28"/>
  <c r="E4142" i="16" s="1"/>
  <c r="Q50" i="28"/>
  <c r="Q58" i="28"/>
  <c r="Q66" i="28" s="1"/>
  <c r="Q73" i="28" s="1"/>
  <c r="Q64" i="28"/>
  <c r="AT21" i="20"/>
  <c r="E144" i="29"/>
  <c r="I240" i="29"/>
  <c r="E240" i="29"/>
  <c r="L240" i="29"/>
  <c r="M240" i="29" s="1"/>
  <c r="C132" i="29"/>
  <c r="D132" i="29" s="1"/>
  <c r="E132" i="29" s="1"/>
  <c r="C131" i="29"/>
  <c r="D131" i="29" s="1"/>
  <c r="E131" i="29" s="1"/>
  <c r="E133" i="29"/>
  <c r="G133" i="29"/>
  <c r="H133" i="29" s="1"/>
  <c r="I133" i="29" s="1"/>
  <c r="G132" i="29"/>
  <c r="H132" i="29" s="1"/>
  <c r="I132" i="29" s="1"/>
  <c r="G131" i="29"/>
  <c r="K133" i="29"/>
  <c r="L133" i="29" s="1"/>
  <c r="K132" i="29"/>
  <c r="L132" i="29" s="1"/>
  <c r="M132" i="29" s="1"/>
  <c r="K131" i="29"/>
  <c r="L131" i="29" s="1"/>
  <c r="M131" i="29" s="1"/>
  <c r="O133" i="29"/>
  <c r="O132" i="29"/>
  <c r="O131" i="29"/>
  <c r="C129" i="29"/>
  <c r="D129" i="29" s="1"/>
  <c r="G129" i="29"/>
  <c r="H129" i="29" s="1"/>
  <c r="K129" i="29"/>
  <c r="L129" i="29" s="1"/>
  <c r="M129" i="29" s="1"/>
  <c r="O129" i="29"/>
  <c r="B141" i="29"/>
  <c r="B135" i="29" s="1"/>
  <c r="C141" i="29"/>
  <c r="C135" i="29" s="1"/>
  <c r="D141" i="29"/>
  <c r="D135" i="29" s="1"/>
  <c r="F141" i="29"/>
  <c r="F135" i="29" s="1"/>
  <c r="G141" i="29"/>
  <c r="G135" i="29" s="1"/>
  <c r="E141" i="29"/>
  <c r="E135" i="29" s="1"/>
  <c r="H141" i="29"/>
  <c r="H135" i="29" s="1"/>
  <c r="J141" i="29"/>
  <c r="J135" i="29" s="1"/>
  <c r="K141" i="29"/>
  <c r="K135" i="29" s="1"/>
  <c r="I141" i="29"/>
  <c r="I135" i="29" s="1"/>
  <c r="L141" i="29"/>
  <c r="L135" i="29" s="1"/>
  <c r="N141" i="29"/>
  <c r="N135" i="29" s="1"/>
  <c r="O142" i="29"/>
  <c r="M141" i="29"/>
  <c r="M135" i="29" s="1"/>
  <c r="O141" i="29"/>
  <c r="O128" i="29"/>
  <c r="N128" i="29"/>
  <c r="N130" i="29" s="1"/>
  <c r="N134" i="29" s="1"/>
  <c r="M128" i="29"/>
  <c r="L128" i="29"/>
  <c r="K128" i="29"/>
  <c r="J128" i="29"/>
  <c r="J130" i="29" s="1"/>
  <c r="J134" i="29" s="1"/>
  <c r="I128" i="29"/>
  <c r="H128" i="29"/>
  <c r="G128" i="29"/>
  <c r="F128" i="29"/>
  <c r="F130" i="29" s="1"/>
  <c r="F134" i="29" s="1"/>
  <c r="S149" i="29"/>
  <c r="T246" i="29"/>
  <c r="C229" i="29"/>
  <c r="D229" i="29" s="1"/>
  <c r="E229" i="29" s="1"/>
  <c r="C228" i="29"/>
  <c r="D228" i="29" s="1"/>
  <c r="E228" i="29" s="1"/>
  <c r="C227" i="29"/>
  <c r="D227" i="29" s="1"/>
  <c r="E227" i="29" s="1"/>
  <c r="G229" i="29"/>
  <c r="H229" i="29" s="1"/>
  <c r="G228" i="29"/>
  <c r="H228" i="29" s="1"/>
  <c r="I228" i="29" s="1"/>
  <c r="G227" i="29"/>
  <c r="H227" i="29" s="1"/>
  <c r="I227" i="29" s="1"/>
  <c r="K228" i="29"/>
  <c r="L228" i="29" s="1"/>
  <c r="M228" i="29" s="1"/>
  <c r="K227" i="29"/>
  <c r="L227" i="29" s="1"/>
  <c r="M227" i="29" s="1"/>
  <c r="O228" i="29"/>
  <c r="O227" i="29"/>
  <c r="N231" i="29"/>
  <c r="M231" i="29"/>
  <c r="L231" i="29"/>
  <c r="K231" i="29"/>
  <c r="J231" i="29"/>
  <c r="I231" i="29"/>
  <c r="H231" i="29"/>
  <c r="G231" i="29"/>
  <c r="F231" i="29"/>
  <c r="E231" i="29"/>
  <c r="D231" i="29"/>
  <c r="C231" i="29"/>
  <c r="B231" i="29"/>
  <c r="O231" i="29"/>
  <c r="P232" i="29" s="1"/>
  <c r="K229" i="29"/>
  <c r="L229" i="29" s="1"/>
  <c r="O229" i="29"/>
  <c r="C225" i="29"/>
  <c r="D225" i="29" s="1"/>
  <c r="G225" i="29"/>
  <c r="K225" i="29"/>
  <c r="L225" i="29" s="1"/>
  <c r="O225" i="29"/>
  <c r="D224" i="29"/>
  <c r="C224" i="29"/>
  <c r="E223" i="29"/>
  <c r="D223" i="29"/>
  <c r="C223" i="29"/>
  <c r="B224" i="29"/>
  <c r="B223" i="29"/>
  <c r="AD23" i="5"/>
  <c r="AC23" i="5"/>
  <c r="AB23" i="5"/>
  <c r="AA23" i="5"/>
  <c r="AD24" i="5"/>
  <c r="AC24" i="5"/>
  <c r="AB24" i="5"/>
  <c r="AA24" i="5"/>
  <c r="AB22" i="5"/>
  <c r="AC22" i="5" s="1"/>
  <c r="AD22" i="5" s="1"/>
  <c r="AV366" i="20"/>
  <c r="AY287" i="4"/>
  <c r="AY286" i="4"/>
  <c r="AY285" i="4"/>
  <c r="J609" i="4"/>
  <c r="K609" i="4"/>
  <c r="K608" i="4"/>
  <c r="I624" i="4"/>
  <c r="J624" i="4"/>
  <c r="K624" i="4"/>
  <c r="N609" i="4"/>
  <c r="M609" i="4"/>
  <c r="L609" i="4"/>
  <c r="L608" i="4"/>
  <c r="B587" i="4"/>
  <c r="B618" i="4" s="1"/>
  <c r="N624" i="4"/>
  <c r="O582" i="4"/>
  <c r="B582" i="4"/>
  <c r="B615" i="4" s="1"/>
  <c r="O579" i="4"/>
  <c r="O578" i="4"/>
  <c r="P563" i="4"/>
  <c r="Q563" i="4" s="1"/>
  <c r="R563" i="4" s="1"/>
  <c r="B580" i="4"/>
  <c r="B613" i="4" s="1"/>
  <c r="B579" i="4"/>
  <c r="B612" i="4" s="1"/>
  <c r="B578" i="4"/>
  <c r="B611" i="4" s="1"/>
  <c r="P516" i="4"/>
  <c r="Q516" i="4" s="1"/>
  <c r="B547" i="4"/>
  <c r="B545" i="4"/>
  <c r="B544" i="4"/>
  <c r="B543" i="4"/>
  <c r="M501" i="4"/>
  <c r="O558" i="4"/>
  <c r="N558" i="4"/>
  <c r="B552" i="4"/>
  <c r="O521" i="4"/>
  <c r="P521" i="4" s="1"/>
  <c r="Q521" i="4" s="1"/>
  <c r="R521" i="4" s="1"/>
  <c r="S521" i="4" s="1"/>
  <c r="T521" i="4" s="1"/>
  <c r="U521" i="4" s="1"/>
  <c r="V521" i="4" s="1"/>
  <c r="E4400" i="16" l="1"/>
  <c r="I4390" i="16"/>
  <c r="AR375" i="12"/>
  <c r="O130" i="29"/>
  <c r="O134" i="29" s="1"/>
  <c r="AT50" i="20"/>
  <c r="AT52" i="20" s="1"/>
  <c r="P132" i="29"/>
  <c r="Q132" i="29" s="1"/>
  <c r="P225" i="29"/>
  <c r="P226" i="29" s="1"/>
  <c r="P133" i="29"/>
  <c r="Q133" i="29" s="1"/>
  <c r="P229" i="29"/>
  <c r="P227" i="29"/>
  <c r="Q227" i="29" s="1"/>
  <c r="P228" i="29"/>
  <c r="Q228" i="29" s="1"/>
  <c r="P129" i="29"/>
  <c r="P130" i="29" s="1"/>
  <c r="P131" i="29"/>
  <c r="Q131" i="29" s="1"/>
  <c r="R547" i="4"/>
  <c r="R516" i="4" s="1"/>
  <c r="S516" i="4" s="1"/>
  <c r="T516" i="4" s="1"/>
  <c r="U516" i="4" s="1"/>
  <c r="V516" i="4" s="1"/>
  <c r="T544" i="4"/>
  <c r="R613" i="4"/>
  <c r="R579" i="4"/>
  <c r="R612" i="4" s="1"/>
  <c r="S563" i="4"/>
  <c r="O502" i="4"/>
  <c r="G16" i="6"/>
  <c r="AR348" i="12"/>
  <c r="AS348" i="12"/>
  <c r="O618" i="4"/>
  <c r="P613" i="4"/>
  <c r="P618" i="4"/>
  <c r="D243" i="29"/>
  <c r="AA26" i="5"/>
  <c r="AD26" i="5"/>
  <c r="B226" i="29"/>
  <c r="B230" i="29" s="1"/>
  <c r="C243" i="29"/>
  <c r="AE597" i="20"/>
  <c r="Q34" i="28"/>
  <c r="AT193" i="20"/>
  <c r="AT194" i="20" s="1"/>
  <c r="AF597" i="20"/>
  <c r="AR340" i="12"/>
  <c r="Q72" i="28"/>
  <c r="Q87" i="28"/>
  <c r="Q70" i="28"/>
  <c r="Q85" i="28"/>
  <c r="Q89" i="28"/>
  <c r="Q46" i="28"/>
  <c r="Q69" i="28"/>
  <c r="AF572" i="20"/>
  <c r="AF581" i="20" s="1"/>
  <c r="AF563" i="20"/>
  <c r="AB26" i="5"/>
  <c r="H130" i="29"/>
  <c r="M133" i="29"/>
  <c r="O135" i="29"/>
  <c r="K130" i="29"/>
  <c r="K134" i="29" s="1"/>
  <c r="M130" i="29"/>
  <c r="H131" i="29"/>
  <c r="I131" i="29" s="1"/>
  <c r="E129" i="29"/>
  <c r="G130" i="29"/>
  <c r="G134" i="29" s="1"/>
  <c r="I129" i="29"/>
  <c r="I130" i="29" s="1"/>
  <c r="L130" i="29"/>
  <c r="L134" i="29" s="1"/>
  <c r="D136" i="29"/>
  <c r="G136" i="29"/>
  <c r="H136" i="29"/>
  <c r="I136" i="29"/>
  <c r="L136" i="29"/>
  <c r="J136" i="29"/>
  <c r="C136" i="29"/>
  <c r="K136" i="29"/>
  <c r="E136" i="29"/>
  <c r="M136" i="29"/>
  <c r="F136" i="29"/>
  <c r="N136" i="29"/>
  <c r="M225" i="29"/>
  <c r="L232" i="29"/>
  <c r="D226" i="29"/>
  <c r="D230" i="29" s="1"/>
  <c r="M229" i="29"/>
  <c r="H225" i="29"/>
  <c r="I229" i="29"/>
  <c r="C232" i="29"/>
  <c r="D232" i="29"/>
  <c r="E232" i="29"/>
  <c r="G232" i="29"/>
  <c r="H232" i="29"/>
  <c r="I232" i="29"/>
  <c r="F232" i="29"/>
  <c r="K232" i="29"/>
  <c r="M232" i="29"/>
  <c r="J232" i="29"/>
  <c r="N232" i="29"/>
  <c r="O232" i="29"/>
  <c r="C226" i="29"/>
  <c r="C230" i="29" s="1"/>
  <c r="E225" i="29"/>
  <c r="AC26" i="5"/>
  <c r="O611" i="4"/>
  <c r="O612" i="4"/>
  <c r="Q613" i="4"/>
  <c r="O615" i="4"/>
  <c r="O613" i="4"/>
  <c r="Q579" i="4"/>
  <c r="Q612" i="4" s="1"/>
  <c r="Q582" i="4"/>
  <c r="Q615" i="4" s="1"/>
  <c r="P578" i="4"/>
  <c r="P611" i="4" s="1"/>
  <c r="R582" i="4"/>
  <c r="Q578" i="4"/>
  <c r="Q611" i="4" s="1"/>
  <c r="R578" i="4"/>
  <c r="R611" i="4" s="1"/>
  <c r="P582" i="4"/>
  <c r="P615" i="4" s="1"/>
  <c r="P579" i="4"/>
  <c r="P612" i="4" s="1"/>
  <c r="G46" i="6" l="1"/>
  <c r="V35" i="28"/>
  <c r="F13" i="28" s="1"/>
  <c r="Q129" i="29"/>
  <c r="Q130" i="29" s="1"/>
  <c r="Q134" i="29" s="1"/>
  <c r="P230" i="29"/>
  <c r="Q229" i="29"/>
  <c r="P134" i="29"/>
  <c r="Q225" i="29"/>
  <c r="Q226" i="29" s="1"/>
  <c r="R615" i="4"/>
  <c r="T558" i="4"/>
  <c r="AH113" i="17" s="1"/>
  <c r="T513" i="4"/>
  <c r="U513" i="4" s="1"/>
  <c r="V513" i="4" s="1"/>
  <c r="S582" i="4"/>
  <c r="S615" i="4" s="1"/>
  <c r="S579" i="4"/>
  <c r="S612" i="4" s="1"/>
  <c r="S578" i="4"/>
  <c r="S611" i="4" s="1"/>
  <c r="T563" i="4"/>
  <c r="R618" i="4"/>
  <c r="S613" i="4"/>
  <c r="Q618" i="4"/>
  <c r="D13" i="28"/>
  <c r="O136" i="29"/>
  <c r="P136" i="29"/>
  <c r="AB27" i="5"/>
  <c r="AD27" i="5"/>
  <c r="AT288" i="20"/>
  <c r="AT347" i="20"/>
  <c r="AC27" i="5"/>
  <c r="M134" i="29"/>
  <c r="I134" i="29"/>
  <c r="H134" i="29"/>
  <c r="I225" i="29"/>
  <c r="CH41" i="20"/>
  <c r="CH40" i="20"/>
  <c r="L4058" i="16" s="1"/>
  <c r="CH38" i="20"/>
  <c r="CH37" i="20"/>
  <c r="CH15" i="20"/>
  <c r="CH14" i="20"/>
  <c r="CH13" i="20"/>
  <c r="CH12" i="20"/>
  <c r="CH5" i="20"/>
  <c r="CH27" i="20"/>
  <c r="L4057" i="16" s="1"/>
  <c r="CJ412" i="20"/>
  <c r="CJ413" i="20"/>
  <c r="CJ414" i="20"/>
  <c r="CJ417" i="20"/>
  <c r="CJ418" i="20"/>
  <c r="CJ419" i="20"/>
  <c r="CJ420" i="20"/>
  <c r="CJ423" i="20"/>
  <c r="CJ424" i="20"/>
  <c r="CJ425" i="20"/>
  <c r="CJ429" i="20"/>
  <c r="CJ430" i="20"/>
  <c r="CJ431" i="20"/>
  <c r="CJ432" i="20"/>
  <c r="CJ435" i="20"/>
  <c r="CJ436" i="20"/>
  <c r="CJ437" i="20"/>
  <c r="CJ441" i="20"/>
  <c r="CJ442" i="20"/>
  <c r="CJ443" i="20"/>
  <c r="CJ446" i="20"/>
  <c r="CJ447" i="20"/>
  <c r="CJ448" i="20"/>
  <c r="CJ452" i="20"/>
  <c r="CJ453" i="20"/>
  <c r="CJ454" i="20"/>
  <c r="CJ455" i="20"/>
  <c r="CJ458" i="20"/>
  <c r="CJ459" i="20"/>
  <c r="CJ460" i="20"/>
  <c r="CJ463" i="20"/>
  <c r="CJ464" i="20"/>
  <c r="CJ465" i="20"/>
  <c r="CJ466" i="20"/>
  <c r="CJ480" i="20"/>
  <c r="CJ481" i="20"/>
  <c r="CJ482" i="20"/>
  <c r="CJ485" i="20"/>
  <c r="CJ486" i="20"/>
  <c r="CJ487" i="20"/>
  <c r="CJ488" i="20"/>
  <c r="AS355" i="20"/>
  <c r="AT355" i="20" s="1"/>
  <c r="AS356" i="20"/>
  <c r="AT356" i="20" s="1"/>
  <c r="AS358" i="20"/>
  <c r="AS357" i="20"/>
  <c r="AS354" i="20"/>
  <c r="AT354" i="20" s="1"/>
  <c r="AS387" i="20"/>
  <c r="AS11" i="20"/>
  <c r="AS269" i="20"/>
  <c r="P56" i="28" s="1"/>
  <c r="AN294" i="20"/>
  <c r="T113" i="28"/>
  <c r="G22" i="20"/>
  <c r="E22" i="20"/>
  <c r="E21" i="20"/>
  <c r="E20" i="20"/>
  <c r="E18" i="20"/>
  <c r="E17" i="20"/>
  <c r="E16" i="20"/>
  <c r="E13" i="20"/>
  <c r="E12" i="20"/>
  <c r="E11" i="20"/>
  <c r="E9" i="20"/>
  <c r="E8" i="20"/>
  <c r="E7" i="20"/>
  <c r="E6" i="20"/>
  <c r="AW258" i="28"/>
  <c r="AW257" i="28"/>
  <c r="AW256" i="28"/>
  <c r="D15" i="20"/>
  <c r="C15" i="20"/>
  <c r="G13" i="20"/>
  <c r="G11" i="20"/>
  <c r="G9" i="20"/>
  <c r="G8" i="20"/>
  <c r="AV32" i="28"/>
  <c r="AV37" i="28" s="1"/>
  <c r="AS43" i="20"/>
  <c r="D4387" i="16" s="1"/>
  <c r="AV17" i="28"/>
  <c r="AS17" i="20"/>
  <c r="AX62" i="20" s="1"/>
  <c r="AX199" i="20" s="1"/>
  <c r="I21" i="20"/>
  <c r="I20" i="20"/>
  <c r="I11" i="20"/>
  <c r="I10" i="20"/>
  <c r="I9" i="20"/>
  <c r="I8" i="20"/>
  <c r="P79" i="28"/>
  <c r="P77" i="28"/>
  <c r="P63" i="28"/>
  <c r="P86" i="28" s="1"/>
  <c r="P54" i="28"/>
  <c r="P43" i="28"/>
  <c r="P42" i="28"/>
  <c r="P65" i="28" s="1"/>
  <c r="P88" i="28" s="1"/>
  <c r="P41" i="28"/>
  <c r="P39" i="28"/>
  <c r="P37" i="28"/>
  <c r="P45" i="28" s="1"/>
  <c r="P52" i="28" s="1"/>
  <c r="P60" i="28" s="1"/>
  <c r="P68" i="28" s="1"/>
  <c r="P75" i="28" s="1"/>
  <c r="P83" i="28" s="1"/>
  <c r="P35" i="28"/>
  <c r="P33" i="28"/>
  <c r="T142" i="28"/>
  <c r="T130" i="28"/>
  <c r="T115" i="28"/>
  <c r="T117" i="28" s="1"/>
  <c r="T104" i="28"/>
  <c r="T98" i="28"/>
  <c r="T96" i="28"/>
  <c r="X112" i="28" s="1"/>
  <c r="AS393" i="20"/>
  <c r="AS314" i="20"/>
  <c r="AS304" i="20"/>
  <c r="AS299" i="20"/>
  <c r="AS298" i="20"/>
  <c r="AS294" i="20"/>
  <c r="AS237" i="20"/>
  <c r="AS232" i="20"/>
  <c r="AS192" i="20"/>
  <c r="AS287" i="20" s="1"/>
  <c r="AS191" i="20"/>
  <c r="AS189" i="20"/>
  <c r="AS284" i="20" s="1"/>
  <c r="AS331" i="20" s="1"/>
  <c r="AS390" i="20" s="1"/>
  <c r="AS65" i="20"/>
  <c r="AS60" i="20"/>
  <c r="AX61" i="20" s="1"/>
  <c r="AS39" i="20"/>
  <c r="CL39" i="20" s="1"/>
  <c r="AF172" i="17"/>
  <c r="AF187" i="17" s="1"/>
  <c r="AF62" i="17"/>
  <c r="AF55" i="17"/>
  <c r="AF52" i="17"/>
  <c r="AF45" i="17"/>
  <c r="AF14" i="17"/>
  <c r="AF10" i="17"/>
  <c r="Q77" i="5"/>
  <c r="Q17" i="5"/>
  <c r="Q10" i="5"/>
  <c r="Q49" i="5" s="1"/>
  <c r="Q9" i="5"/>
  <c r="AF147" i="17" s="1"/>
  <c r="R475" i="4"/>
  <c r="R463" i="4"/>
  <c r="R434" i="4"/>
  <c r="R424" i="4"/>
  <c r="R413" i="4"/>
  <c r="R403" i="4"/>
  <c r="R399" i="4"/>
  <c r="R286" i="4"/>
  <c r="R238" i="4"/>
  <c r="R237" i="4"/>
  <c r="R236" i="4"/>
  <c r="R233" i="4"/>
  <c r="R232" i="4"/>
  <c r="R230" i="4"/>
  <c r="R229" i="4"/>
  <c r="R228" i="4"/>
  <c r="R209" i="4"/>
  <c r="R207" i="4"/>
  <c r="R205" i="4"/>
  <c r="J4245" i="16" s="1"/>
  <c r="R203" i="4"/>
  <c r="J4243" i="16" s="1"/>
  <c r="R193" i="4"/>
  <c r="R154" i="4"/>
  <c r="R188" i="4" s="1"/>
  <c r="R243" i="4" s="1"/>
  <c r="R259" i="4" s="1"/>
  <c r="R284" i="4" s="1"/>
  <c r="R39" i="4"/>
  <c r="AE103" i="14"/>
  <c r="AE101" i="14"/>
  <c r="AE113" i="14"/>
  <c r="AE137" i="14"/>
  <c r="AE111" i="14"/>
  <c r="AE110" i="14"/>
  <c r="AE25" i="14"/>
  <c r="AE196" i="14"/>
  <c r="AE264" i="14"/>
  <c r="AE263" i="14"/>
  <c r="AE262" i="14"/>
  <c r="AE261" i="14"/>
  <c r="AE257" i="14"/>
  <c r="AE254" i="14"/>
  <c r="AE252" i="14"/>
  <c r="AE251" i="14"/>
  <c r="AE250" i="14"/>
  <c r="AE249" i="14"/>
  <c r="AE248" i="14"/>
  <c r="AE247" i="14"/>
  <c r="AE246" i="14"/>
  <c r="AE245" i="14"/>
  <c r="AE244" i="14"/>
  <c r="AE243" i="14"/>
  <c r="AE242" i="14"/>
  <c r="AE241" i="14"/>
  <c r="AE237" i="14"/>
  <c r="AE236" i="14"/>
  <c r="AE235" i="14"/>
  <c r="AE234" i="14"/>
  <c r="AE230" i="14"/>
  <c r="AE227" i="14"/>
  <c r="AE225" i="14"/>
  <c r="AE224" i="14"/>
  <c r="AE223" i="14"/>
  <c r="AE222" i="14"/>
  <c r="AE221" i="14"/>
  <c r="AE220" i="14"/>
  <c r="AE219" i="14"/>
  <c r="AE218" i="14"/>
  <c r="AE217" i="14"/>
  <c r="AE216" i="14"/>
  <c r="AE215" i="14"/>
  <c r="AE214" i="14"/>
  <c r="AE211" i="14"/>
  <c r="AE210" i="14"/>
  <c r="AE204" i="14"/>
  <c r="AE201" i="14"/>
  <c r="AE195" i="14"/>
  <c r="AE192" i="14"/>
  <c r="AE191" i="14"/>
  <c r="AE190" i="14"/>
  <c r="AE189" i="14"/>
  <c r="AE147" i="14"/>
  <c r="AE141" i="14"/>
  <c r="AE140" i="14"/>
  <c r="AE136" i="14"/>
  <c r="AE135" i="14"/>
  <c r="AE115" i="14"/>
  <c r="AE109" i="14"/>
  <c r="AE108" i="14"/>
  <c r="AE105" i="14"/>
  <c r="AE102" i="14"/>
  <c r="AE86" i="14"/>
  <c r="AE84" i="14"/>
  <c r="AE83" i="14"/>
  <c r="AE82" i="14"/>
  <c r="AE81" i="14"/>
  <c r="AE71" i="14"/>
  <c r="AE39" i="14"/>
  <c r="AE35" i="14"/>
  <c r="AE32" i="14"/>
  <c r="AE30" i="14"/>
  <c r="AE28" i="14"/>
  <c r="AE24" i="14"/>
  <c r="AE21" i="14"/>
  <c r="AE14" i="14"/>
  <c r="AE11" i="14"/>
  <c r="AE10" i="14"/>
  <c r="E335" i="28"/>
  <c r="F335" i="28" s="1"/>
  <c r="G335" i="28" s="1"/>
  <c r="H335" i="28" s="1"/>
  <c r="AS229" i="20" l="1"/>
  <c r="D4396" i="16"/>
  <c r="H4392" i="16"/>
  <c r="D4385" i="16"/>
  <c r="H4390" i="16" s="1"/>
  <c r="L13" i="28"/>
  <c r="G13" i="28"/>
  <c r="V50" i="28"/>
  <c r="CL43" i="20"/>
  <c r="AS227" i="20"/>
  <c r="AS228" i="20" s="1"/>
  <c r="Q230" i="29"/>
  <c r="CL17" i="20"/>
  <c r="AX196" i="20"/>
  <c r="AE233" i="14"/>
  <c r="AE260" i="14"/>
  <c r="AE253" i="14"/>
  <c r="AE226" i="14"/>
  <c r="AE122" i="14"/>
  <c r="Q27" i="5"/>
  <c r="G17" i="32" s="1"/>
  <c r="I4251" i="16"/>
  <c r="E4267" i="16" s="1"/>
  <c r="E4276" i="16" s="1"/>
  <c r="AT357" i="20"/>
  <c r="AU357" i="20" s="1"/>
  <c r="U543" i="4"/>
  <c r="T613" i="4"/>
  <c r="T579" i="4"/>
  <c r="T612" i="4" s="1"/>
  <c r="U563" i="4"/>
  <c r="T582" i="4"/>
  <c r="T615" i="4" s="1"/>
  <c r="T578" i="4"/>
  <c r="T611" i="4" s="1"/>
  <c r="S618" i="4"/>
  <c r="O223" i="29"/>
  <c r="T95" i="28"/>
  <c r="T97" i="28" s="1"/>
  <c r="AS211" i="20"/>
  <c r="AS300" i="20"/>
  <c r="R234" i="4"/>
  <c r="R214" i="4"/>
  <c r="AF141" i="17" s="1"/>
  <c r="R456" i="4"/>
  <c r="E15" i="20"/>
  <c r="AS57" i="20"/>
  <c r="O127" i="29" s="1"/>
  <c r="AS46" i="20"/>
  <c r="AS368" i="20"/>
  <c r="AT358" i="20"/>
  <c r="AT368" i="20" s="1"/>
  <c r="AW255" i="28"/>
  <c r="P30" i="28"/>
  <c r="CH39" i="20"/>
  <c r="AF139" i="17"/>
  <c r="AS21" i="20"/>
  <c r="P54" i="20" s="1"/>
  <c r="AS271" i="20"/>
  <c r="AS272" i="20" s="1"/>
  <c r="AS297" i="20"/>
  <c r="AS190" i="20"/>
  <c r="AS208" i="20"/>
  <c r="AS16" i="20"/>
  <c r="P81" i="28"/>
  <c r="AS321" i="20"/>
  <c r="P58" i="28"/>
  <c r="P66" i="28" s="1"/>
  <c r="P73" i="28" s="1"/>
  <c r="P64" i="28"/>
  <c r="P87" i="28" s="1"/>
  <c r="AS55" i="20"/>
  <c r="AS286" i="20"/>
  <c r="P62" i="28"/>
  <c r="P85" i="28" s="1"/>
  <c r="P50" i="28"/>
  <c r="P49" i="28"/>
  <c r="D4142" i="16" s="1"/>
  <c r="R343" i="4"/>
  <c r="R363" i="4" s="1"/>
  <c r="R381" i="4" s="1"/>
  <c r="R412" i="4" s="1"/>
  <c r="R420" i="4" s="1"/>
  <c r="R431" i="4" s="1"/>
  <c r="R446" i="4" s="1"/>
  <c r="R458" i="4" s="1"/>
  <c r="R498" i="4" s="1"/>
  <c r="R324" i="4"/>
  <c r="AE118" i="14"/>
  <c r="AE207" i="14"/>
  <c r="AE33" i="14"/>
  <c r="AE208" i="14"/>
  <c r="AE70" i="14"/>
  <c r="AE198" i="14"/>
  <c r="AE134" i="14"/>
  <c r="AE20" i="14"/>
  <c r="AE72" i="14"/>
  <c r="AE194" i="14"/>
  <c r="AE125" i="14"/>
  <c r="AE193" i="14"/>
  <c r="AE85" i="14"/>
  <c r="AE188" i="14"/>
  <c r="AE79" i="14"/>
  <c r="AE197" i="14"/>
  <c r="AE80" i="14"/>
  <c r="AE73" i="14"/>
  <c r="AE22" i="14"/>
  <c r="AE199" i="14"/>
  <c r="AE123" i="14"/>
  <c r="K182" i="24"/>
  <c r="L182" i="24" s="1"/>
  <c r="A45" i="29"/>
  <c r="A44" i="29"/>
  <c r="A43" i="29"/>
  <c r="E99" i="29"/>
  <c r="A185" i="29"/>
  <c r="A186" i="29"/>
  <c r="A184" i="29"/>
  <c r="F99" i="29"/>
  <c r="J154" i="25"/>
  <c r="J156" i="25" s="1"/>
  <c r="I154" i="25"/>
  <c r="F58" i="31"/>
  <c r="H39" i="31"/>
  <c r="I39" i="31" s="1"/>
  <c r="J39" i="31" s="1"/>
  <c r="K39" i="31" s="1"/>
  <c r="L39" i="31" s="1"/>
  <c r="M39" i="31" s="1"/>
  <c r="N39" i="31" s="1"/>
  <c r="N58" i="31" s="1"/>
  <c r="A99" i="29"/>
  <c r="A100" i="29"/>
  <c r="A98" i="29"/>
  <c r="E57" i="31"/>
  <c r="E59" i="31" s="1"/>
  <c r="F57" i="31"/>
  <c r="D57" i="31"/>
  <c r="D59" i="31" s="1"/>
  <c r="D56" i="31"/>
  <c r="D4402" i="16" l="1"/>
  <c r="D4394" i="16"/>
  <c r="D4400" i="16" s="1"/>
  <c r="AS230" i="20"/>
  <c r="T111" i="28"/>
  <c r="X111" i="28"/>
  <c r="AE74" i="14"/>
  <c r="S234" i="4"/>
  <c r="S214" i="4"/>
  <c r="AG141" i="17" s="1"/>
  <c r="S456" i="4"/>
  <c r="L58" i="31"/>
  <c r="J185" i="29" s="1"/>
  <c r="K58" i="31"/>
  <c r="I185" i="29" s="1"/>
  <c r="AT359" i="20"/>
  <c r="E44" i="29"/>
  <c r="AU358" i="20"/>
  <c r="U558" i="4"/>
  <c r="AI113" i="17" s="1"/>
  <c r="U512" i="4"/>
  <c r="V512" i="4" s="1"/>
  <c r="T618" i="4"/>
  <c r="U579" i="4"/>
  <c r="U612" i="4" s="1"/>
  <c r="U578" i="4"/>
  <c r="U582" i="4"/>
  <c r="U615" i="4" s="1"/>
  <c r="V563" i="4"/>
  <c r="U613" i="4"/>
  <c r="V613" i="4"/>
  <c r="P38" i="28"/>
  <c r="P61" i="28" s="1"/>
  <c r="P69" i="28" s="1"/>
  <c r="O224" i="29"/>
  <c r="O226" i="29" s="1"/>
  <c r="O230" i="29" s="1"/>
  <c r="AS285" i="20"/>
  <c r="AS56" i="20"/>
  <c r="AQ351" i="12" s="1"/>
  <c r="AU352" i="12" s="1"/>
  <c r="P42" i="20"/>
  <c r="P31" i="28"/>
  <c r="P70" i="28" s="1"/>
  <c r="P34" i="28"/>
  <c r="AS193" i="20"/>
  <c r="AS194" i="20" s="1"/>
  <c r="AS347" i="20" s="1"/>
  <c r="AS216" i="20"/>
  <c r="P72" i="28"/>
  <c r="AS324" i="20"/>
  <c r="AS327" i="20"/>
  <c r="P89" i="28"/>
  <c r="AE200" i="14"/>
  <c r="AE104" i="14"/>
  <c r="AE119" i="14" s="1"/>
  <c r="G58" i="31"/>
  <c r="E185" i="29" s="1"/>
  <c r="J58" i="31"/>
  <c r="H185" i="29" s="1"/>
  <c r="I58" i="31"/>
  <c r="G185" i="29" s="1"/>
  <c r="H58" i="31"/>
  <c r="F185" i="29" s="1"/>
  <c r="M58" i="31"/>
  <c r="M182" i="24"/>
  <c r="G44" i="29" s="1"/>
  <c r="F44" i="29"/>
  <c r="M155" i="25"/>
  <c r="F59" i="31"/>
  <c r="U611" i="4" l="1"/>
  <c r="P46" i="28"/>
  <c r="N182" i="24"/>
  <c r="O182" i="24" s="1"/>
  <c r="P243" i="29"/>
  <c r="V579" i="4"/>
  <c r="V612" i="4" s="1"/>
  <c r="V578" i="4"/>
  <c r="V611" i="4" s="1"/>
  <c r="V582" i="4"/>
  <c r="V615" i="4" s="1"/>
  <c r="V618" i="4"/>
  <c r="U618" i="4"/>
  <c r="P47" i="28"/>
  <c r="P84" i="28"/>
  <c r="AS352" i="20"/>
  <c r="AS359" i="20" s="1"/>
  <c r="AS288" i="20"/>
  <c r="AE106" i="14"/>
  <c r="AE120" i="14" s="1"/>
  <c r="N155" i="25"/>
  <c r="G99" i="29"/>
  <c r="H44" i="29" l="1"/>
  <c r="AE27" i="14"/>
  <c r="AE144" i="14" s="1"/>
  <c r="AE9" i="14"/>
  <c r="AE209" i="14"/>
  <c r="P182" i="24"/>
  <c r="I44" i="29"/>
  <c r="O155" i="25"/>
  <c r="H99" i="29"/>
  <c r="J44" i="29" l="1"/>
  <c r="P155" i="25"/>
  <c r="I99" i="29"/>
  <c r="Q155" i="25" l="1"/>
  <c r="R155" i="25" s="1"/>
  <c r="J99" i="29"/>
  <c r="H281" i="28" l="1"/>
  <c r="G281" i="28"/>
  <c r="F281" i="28"/>
  <c r="E281" i="28"/>
  <c r="D281" i="28"/>
  <c r="C281" i="28"/>
  <c r="H280" i="28"/>
  <c r="G280" i="28"/>
  <c r="F280" i="28"/>
  <c r="E280" i="28"/>
  <c r="D280" i="28"/>
  <c r="C280" i="28"/>
  <c r="D258" i="28"/>
  <c r="L258" i="28"/>
  <c r="J258" i="28"/>
  <c r="I258" i="28"/>
  <c r="H258" i="28"/>
  <c r="F258" i="28"/>
  <c r="E258" i="28"/>
  <c r="L255" i="28"/>
  <c r="K255" i="28"/>
  <c r="J255" i="28"/>
  <c r="I255" i="28"/>
  <c r="H255" i="28"/>
  <c r="G255" i="28"/>
  <c r="F255" i="28"/>
  <c r="E255" i="28"/>
  <c r="L254" i="28"/>
  <c r="K254" i="28"/>
  <c r="J254" i="28"/>
  <c r="I254" i="28"/>
  <c r="H254" i="28"/>
  <c r="G254" i="28"/>
  <c r="F254" i="28"/>
  <c r="E254" i="28"/>
  <c r="M233" i="28"/>
  <c r="L233" i="28"/>
  <c r="N232" i="28"/>
  <c r="M232" i="28"/>
  <c r="L232" i="28"/>
  <c r="K232" i="28"/>
  <c r="L253" i="28" s="1"/>
  <c r="L257" i="28" s="1"/>
  <c r="J232" i="28"/>
  <c r="K253" i="28" s="1"/>
  <c r="K257" i="28" s="1"/>
  <c r="I232" i="28"/>
  <c r="J253" i="28" s="1"/>
  <c r="J257" i="28" s="1"/>
  <c r="H232" i="28"/>
  <c r="I253" i="28" s="1"/>
  <c r="I257" i="28" s="1"/>
  <c r="G232" i="28"/>
  <c r="H253" i="28" s="1"/>
  <c r="H257" i="28" s="1"/>
  <c r="F232" i="28"/>
  <c r="G253" i="28" s="1"/>
  <c r="G257" i="28" s="1"/>
  <c r="E232" i="28"/>
  <c r="F253" i="28" s="1"/>
  <c r="F257" i="28" s="1"/>
  <c r="D232" i="28"/>
  <c r="E253" i="28" s="1"/>
  <c r="E257" i="28" s="1"/>
  <c r="C232" i="28"/>
  <c r="K233" i="28"/>
  <c r="I233" i="28"/>
  <c r="H233" i="28"/>
  <c r="G233" i="28"/>
  <c r="E233" i="28"/>
  <c r="D233" i="28"/>
  <c r="C233" i="28"/>
  <c r="C196" i="29"/>
  <c r="C197" i="29"/>
  <c r="C198" i="29"/>
  <c r="C199" i="29"/>
  <c r="C200" i="29"/>
  <c r="C201" i="29"/>
  <c r="C195" i="29"/>
  <c r="A199" i="29"/>
  <c r="F48" i="31"/>
  <c r="D178" i="29" s="1"/>
  <c r="C175" i="29"/>
  <c r="D175" i="29"/>
  <c r="C176" i="29"/>
  <c r="D176" i="29"/>
  <c r="C178" i="29"/>
  <c r="E178" i="29"/>
  <c r="F178" i="29"/>
  <c r="G178" i="29"/>
  <c r="H178" i="29"/>
  <c r="I178" i="29"/>
  <c r="J178" i="29"/>
  <c r="C179" i="29"/>
  <c r="D179" i="29"/>
  <c r="E179" i="29"/>
  <c r="F179" i="29"/>
  <c r="G179" i="29"/>
  <c r="H179" i="29"/>
  <c r="I179" i="29"/>
  <c r="J179" i="29"/>
  <c r="F180" i="29"/>
  <c r="G180" i="29"/>
  <c r="H180" i="29"/>
  <c r="I180" i="29"/>
  <c r="J180" i="29"/>
  <c r="B175" i="29"/>
  <c r="B176" i="29"/>
  <c r="B178" i="29"/>
  <c r="B179" i="29"/>
  <c r="A175" i="29"/>
  <c r="A176" i="29"/>
  <c r="A177" i="29"/>
  <c r="A178" i="29"/>
  <c r="A179" i="29"/>
  <c r="A180" i="29"/>
  <c r="A181" i="29"/>
  <c r="A182" i="29"/>
  <c r="A174" i="29"/>
  <c r="D112" i="31"/>
  <c r="B130" i="31"/>
  <c r="B129" i="31"/>
  <c r="B128" i="31"/>
  <c r="B127" i="31"/>
  <c r="B126" i="31"/>
  <c r="B125" i="31"/>
  <c r="B124" i="31"/>
  <c r="F119" i="31"/>
  <c r="E118" i="31"/>
  <c r="D118" i="31"/>
  <c r="D47" i="31"/>
  <c r="B177" i="29" s="1"/>
  <c r="E91" i="31"/>
  <c r="E92" i="31" s="1"/>
  <c r="D82" i="31"/>
  <c r="D79" i="31"/>
  <c r="D102" i="31"/>
  <c r="D70" i="31"/>
  <c r="D43" i="31"/>
  <c r="D26" i="31"/>
  <c r="D29" i="31"/>
  <c r="D31" i="31" s="1"/>
  <c r="B188" i="29" s="1"/>
  <c r="E47" i="31"/>
  <c r="C177" i="29" s="1"/>
  <c r="F47" i="31"/>
  <c r="D177" i="29" s="1"/>
  <c r="E66" i="31" l="1"/>
  <c r="F66" i="31"/>
  <c r="E29" i="31"/>
  <c r="F29" i="31"/>
  <c r="F91" i="31"/>
  <c r="F92" i="31" s="1"/>
  <c r="F82" i="31"/>
  <c r="F97" i="31" s="1"/>
  <c r="E82" i="31"/>
  <c r="E97" i="31" s="1"/>
  <c r="F79" i="31"/>
  <c r="E79" i="31"/>
  <c r="F31" i="31" l="1"/>
  <c r="D188" i="29" s="1"/>
  <c r="G94" i="31"/>
  <c r="G95" i="31" s="1"/>
  <c r="H27" i="31"/>
  <c r="I27" i="31" s="1"/>
  <c r="E175" i="29"/>
  <c r="F94" i="31"/>
  <c r="F95" i="31" s="1"/>
  <c r="E31" i="31"/>
  <c r="C188" i="29" s="1"/>
  <c r="E94" i="31"/>
  <c r="E95" i="31" s="1"/>
  <c r="F71" i="31"/>
  <c r="E71" i="31"/>
  <c r="I252" i="23"/>
  <c r="G202" i="23"/>
  <c r="G200" i="23"/>
  <c r="G199" i="23"/>
  <c r="H202" i="23"/>
  <c r="H200" i="23"/>
  <c r="H199" i="23"/>
  <c r="D193" i="23"/>
  <c r="D198" i="23" s="1"/>
  <c r="C193" i="23"/>
  <c r="C198" i="23" s="1"/>
  <c r="BA18" i="20"/>
  <c r="E18" i="31"/>
  <c r="F18" i="31"/>
  <c r="D8" i="31"/>
  <c r="D61" i="31" s="1"/>
  <c r="E2" i="31"/>
  <c r="E56" i="31" s="1"/>
  <c r="B110" i="29"/>
  <c r="A95" i="29"/>
  <c r="J94" i="29"/>
  <c r="I94" i="29"/>
  <c r="H94" i="29"/>
  <c r="G94" i="29"/>
  <c r="F94" i="29"/>
  <c r="E94" i="29"/>
  <c r="D94" i="29"/>
  <c r="J93" i="29"/>
  <c r="I93" i="29"/>
  <c r="H93" i="29"/>
  <c r="G93" i="29"/>
  <c r="F93" i="29"/>
  <c r="E93" i="29"/>
  <c r="D93" i="29"/>
  <c r="J92" i="29"/>
  <c r="I92" i="29"/>
  <c r="H92" i="29"/>
  <c r="G92" i="29"/>
  <c r="F92" i="29"/>
  <c r="E92" i="29"/>
  <c r="D92" i="29"/>
  <c r="C94" i="29"/>
  <c r="C93" i="29"/>
  <c r="C92" i="29"/>
  <c r="C90" i="29"/>
  <c r="C89" i="29"/>
  <c r="A94" i="29"/>
  <c r="A93" i="29"/>
  <c r="A92" i="29"/>
  <c r="A91" i="29"/>
  <c r="A90" i="29"/>
  <c r="A89" i="29"/>
  <c r="A88" i="29"/>
  <c r="D78" i="29"/>
  <c r="C78" i="29"/>
  <c r="G203" i="23" l="1"/>
  <c r="G201" i="23"/>
  <c r="H201" i="23"/>
  <c r="H203" i="23"/>
  <c r="D79" i="29"/>
  <c r="E89" i="31"/>
  <c r="C157" i="29"/>
  <c r="F89" i="31"/>
  <c r="D157" i="29"/>
  <c r="F2" i="31"/>
  <c r="F56" i="31" s="1"/>
  <c r="E112" i="31"/>
  <c r="E70" i="31"/>
  <c r="E102" i="31"/>
  <c r="E43" i="31"/>
  <c r="E26" i="31"/>
  <c r="D72" i="31"/>
  <c r="D32" i="31"/>
  <c r="B189" i="29" s="1"/>
  <c r="J27" i="31"/>
  <c r="J184" i="25"/>
  <c r="J185" i="25" s="1"/>
  <c r="J187" i="25"/>
  <c r="J188" i="25" s="1"/>
  <c r="J175" i="25"/>
  <c r="J190" i="25" s="1"/>
  <c r="I175" i="25"/>
  <c r="I190" i="25" s="1"/>
  <c r="I172" i="25"/>
  <c r="J172" i="25"/>
  <c r="I132" i="25"/>
  <c r="I146" i="25"/>
  <c r="J146" i="25"/>
  <c r="J145" i="25"/>
  <c r="D90" i="29" s="1"/>
  <c r="J144" i="25"/>
  <c r="D89" i="29" s="1"/>
  <c r="D158" i="29" l="1"/>
  <c r="E89" i="29"/>
  <c r="D102" i="29"/>
  <c r="C102" i="29"/>
  <c r="I156" i="25"/>
  <c r="C91" i="29"/>
  <c r="D91" i="29"/>
  <c r="D74" i="31"/>
  <c r="B160" i="29"/>
  <c r="G2" i="31"/>
  <c r="G56" i="31" s="1"/>
  <c r="F43" i="31"/>
  <c r="F112" i="31"/>
  <c r="F70" i="31"/>
  <c r="F102" i="31"/>
  <c r="F26" i="31"/>
  <c r="K27" i="31"/>
  <c r="L27" i="31" s="1"/>
  <c r="M27" i="31" s="1"/>
  <c r="N27" i="31" s="1"/>
  <c r="CG15" i="20"/>
  <c r="CE15" i="20"/>
  <c r="CD15" i="20"/>
  <c r="CG14" i="20"/>
  <c r="CE14" i="20"/>
  <c r="CD14" i="20"/>
  <c r="CG13" i="20"/>
  <c r="CF13" i="20"/>
  <c r="CE13" i="20"/>
  <c r="CD13" i="20"/>
  <c r="CG12" i="20"/>
  <c r="CE12" i="20"/>
  <c r="CD12" i="20"/>
  <c r="CG8" i="20"/>
  <c r="CG5" i="20"/>
  <c r="CE5" i="20"/>
  <c r="CD5" i="20"/>
  <c r="CC15" i="20"/>
  <c r="CC14" i="20"/>
  <c r="CC13" i="20"/>
  <c r="CC12" i="20"/>
  <c r="CC8" i="20"/>
  <c r="CC5" i="20"/>
  <c r="CB13" i="20"/>
  <c r="H2" i="31" l="1"/>
  <c r="H56" i="31" s="1"/>
  <c r="G26" i="31"/>
  <c r="G70" i="31"/>
  <c r="G112" i="31"/>
  <c r="G102" i="31"/>
  <c r="G43" i="31"/>
  <c r="CG41" i="20"/>
  <c r="CG40" i="20"/>
  <c r="K4058" i="16" s="1"/>
  <c r="CG38" i="20"/>
  <c r="CG37" i="20"/>
  <c r="CG27" i="20"/>
  <c r="K4057" i="16" s="1"/>
  <c r="J80" i="25"/>
  <c r="J73" i="25" s="1"/>
  <c r="I105" i="25"/>
  <c r="J105" i="25"/>
  <c r="R111" i="25"/>
  <c r="Q111" i="25"/>
  <c r="P111" i="25"/>
  <c r="H4356" i="16" s="1"/>
  <c r="O111" i="25"/>
  <c r="G4356" i="16" s="1"/>
  <c r="N111" i="25"/>
  <c r="F4356" i="16" s="1"/>
  <c r="M111" i="25"/>
  <c r="E4356" i="16" s="1"/>
  <c r="L111" i="25"/>
  <c r="D4356" i="16" s="1"/>
  <c r="K111" i="25"/>
  <c r="C4356" i="16" s="1"/>
  <c r="J111" i="25"/>
  <c r="I111" i="25"/>
  <c r="R109" i="25"/>
  <c r="Q109" i="25"/>
  <c r="P109" i="25"/>
  <c r="H4354" i="16" s="1"/>
  <c r="O109" i="25"/>
  <c r="G4354" i="16" s="1"/>
  <c r="N109" i="25"/>
  <c r="F4354" i="16" s="1"/>
  <c r="M109" i="25"/>
  <c r="E4354" i="16" s="1"/>
  <c r="L109" i="25"/>
  <c r="D4354" i="16" s="1"/>
  <c r="K109" i="25"/>
  <c r="C4354" i="16" s="1"/>
  <c r="J109" i="25"/>
  <c r="I109" i="25"/>
  <c r="B102" i="25"/>
  <c r="B4348" i="16" s="1"/>
  <c r="B100" i="25"/>
  <c r="B4347" i="16" s="1"/>
  <c r="B98" i="25"/>
  <c r="B4346" i="16" s="1"/>
  <c r="B96" i="25"/>
  <c r="B4344" i="16" s="1"/>
  <c r="B93" i="25"/>
  <c r="B4341" i="16" s="1"/>
  <c r="B92" i="25"/>
  <c r="B4340" i="16" s="1"/>
  <c r="B90" i="25"/>
  <c r="B4338" i="16" s="1"/>
  <c r="B52" i="29"/>
  <c r="B51" i="29"/>
  <c r="C38" i="29"/>
  <c r="J37" i="29"/>
  <c r="I37" i="29"/>
  <c r="H37" i="29"/>
  <c r="G37" i="29"/>
  <c r="F37" i="29"/>
  <c r="G29" i="29"/>
  <c r="F29" i="29"/>
  <c r="E37" i="29"/>
  <c r="E29" i="29"/>
  <c r="F23" i="29"/>
  <c r="H23" i="29"/>
  <c r="I23" i="29"/>
  <c r="J23" i="29"/>
  <c r="E23" i="29"/>
  <c r="I3943" i="16"/>
  <c r="J3943" i="16" s="1"/>
  <c r="K3943" i="16" s="1"/>
  <c r="M3943" i="16"/>
  <c r="M3944" i="16" s="1"/>
  <c r="P3944" i="16"/>
  <c r="L3944" i="16"/>
  <c r="N3913" i="16"/>
  <c r="M3913" i="16"/>
  <c r="L3913" i="16"/>
  <c r="P3913" i="16"/>
  <c r="K113" i="25" l="1"/>
  <c r="J113" i="25"/>
  <c r="N3943" i="16"/>
  <c r="O3943" i="16" s="1"/>
  <c r="O3944" i="16" s="1"/>
  <c r="E313" i="28"/>
  <c r="J158" i="25"/>
  <c r="D313" i="28"/>
  <c r="I158" i="25"/>
  <c r="I2" i="31"/>
  <c r="I56" i="31" s="1"/>
  <c r="H102" i="31"/>
  <c r="H26" i="31"/>
  <c r="H112" i="31"/>
  <c r="H70" i="31"/>
  <c r="H43" i="31"/>
  <c r="J165" i="25"/>
  <c r="J167" i="25" s="1"/>
  <c r="D74" i="29"/>
  <c r="I165" i="25"/>
  <c r="I167" i="25" s="1"/>
  <c r="C74" i="29"/>
  <c r="J119" i="25"/>
  <c r="J143" i="25" s="1"/>
  <c r="I119" i="25"/>
  <c r="I143" i="25" s="1"/>
  <c r="I133" i="25"/>
  <c r="C103" i="29" s="1"/>
  <c r="J133" i="25"/>
  <c r="I113" i="25"/>
  <c r="P3923" i="16"/>
  <c r="P3922" i="16"/>
  <c r="P3921" i="16"/>
  <c r="B3923" i="16"/>
  <c r="B3922" i="16"/>
  <c r="B3921" i="16"/>
  <c r="K3912" i="16"/>
  <c r="O3912" i="16"/>
  <c r="O3913" i="16" s="1"/>
  <c r="M3918" i="16"/>
  <c r="L3918" i="16"/>
  <c r="K3918" i="16"/>
  <c r="J3918" i="16"/>
  <c r="I3918" i="16"/>
  <c r="H3918" i="16"/>
  <c r="G3918" i="16"/>
  <c r="F3918" i="16"/>
  <c r="E3918" i="16"/>
  <c r="D3918" i="16"/>
  <c r="M3917" i="16"/>
  <c r="L3917" i="16"/>
  <c r="K3917" i="16"/>
  <c r="J3917" i="16"/>
  <c r="I3917" i="16"/>
  <c r="H3917" i="16"/>
  <c r="G3917" i="16"/>
  <c r="F3917" i="16"/>
  <c r="E3917" i="16"/>
  <c r="D3917" i="16"/>
  <c r="M3916" i="16"/>
  <c r="L3916" i="16"/>
  <c r="K3916" i="16"/>
  <c r="J3916" i="16"/>
  <c r="I3916" i="16"/>
  <c r="H3916" i="16"/>
  <c r="G3916" i="16"/>
  <c r="F3916" i="16"/>
  <c r="E3916" i="16"/>
  <c r="D3916" i="16"/>
  <c r="N3917" i="16"/>
  <c r="O3922" i="16" s="1"/>
  <c r="N3918" i="16"/>
  <c r="O3923" i="16" s="1"/>
  <c r="N3916" i="16"/>
  <c r="O3921" i="16" s="1"/>
  <c r="O3915" i="16"/>
  <c r="P3915" i="16"/>
  <c r="K114" i="25" l="1"/>
  <c r="C4359" i="16" s="1"/>
  <c r="C4358" i="16"/>
  <c r="D103" i="29"/>
  <c r="C24" i="32"/>
  <c r="N3944" i="16"/>
  <c r="L3923" i="16"/>
  <c r="L3922" i="16"/>
  <c r="J3923" i="16"/>
  <c r="I3921" i="16"/>
  <c r="M3923" i="16"/>
  <c r="K3921" i="16"/>
  <c r="I3922" i="16"/>
  <c r="P3920" i="16"/>
  <c r="J3921" i="16"/>
  <c r="H3922" i="16"/>
  <c r="J3922" i="16"/>
  <c r="M3921" i="16"/>
  <c r="K3922" i="16"/>
  <c r="I3923" i="16"/>
  <c r="H3923" i="16"/>
  <c r="M3922" i="16"/>
  <c r="K3923" i="16"/>
  <c r="L3921" i="16"/>
  <c r="H3921" i="16"/>
  <c r="J2" i="31"/>
  <c r="J56" i="31" s="1"/>
  <c r="I102" i="31"/>
  <c r="I26" i="31"/>
  <c r="I112" i="31"/>
  <c r="I70" i="31"/>
  <c r="I43" i="31"/>
  <c r="I150" i="25"/>
  <c r="C88" i="29"/>
  <c r="C82" i="29"/>
  <c r="J150" i="25"/>
  <c r="D88" i="29"/>
  <c r="D82" i="29"/>
  <c r="D75" i="29"/>
  <c r="N3921" i="16"/>
  <c r="N3922" i="16"/>
  <c r="N3923" i="16"/>
  <c r="P3926" i="16"/>
  <c r="K2" i="31" l="1"/>
  <c r="K56" i="31" s="1"/>
  <c r="J43" i="31"/>
  <c r="J112" i="31"/>
  <c r="J102" i="31"/>
  <c r="J26" i="31"/>
  <c r="J70" i="31"/>
  <c r="J151" i="25"/>
  <c r="D96" i="29" s="1"/>
  <c r="D95" i="29"/>
  <c r="E314" i="28" s="1"/>
  <c r="D83" i="29"/>
  <c r="I151" i="25"/>
  <c r="C96" i="29" s="1"/>
  <c r="C95" i="29"/>
  <c r="D314" i="28" s="1"/>
  <c r="G3931" i="16"/>
  <c r="G3938" i="16" s="1"/>
  <c r="F3931" i="16"/>
  <c r="F3938" i="16" s="1"/>
  <c r="E3931" i="16"/>
  <c r="E3938" i="16" s="1"/>
  <c r="D3931" i="16"/>
  <c r="D3938" i="16" s="1"/>
  <c r="G3930" i="16"/>
  <c r="G3909" i="16" s="1"/>
  <c r="F3930" i="16"/>
  <c r="F3909" i="16" s="1"/>
  <c r="E3930" i="16"/>
  <c r="E3909" i="16" s="1"/>
  <c r="D3930" i="16"/>
  <c r="D3909" i="16" s="1"/>
  <c r="J3931" i="16"/>
  <c r="J3938" i="16" s="1"/>
  <c r="J3946" i="16" s="1"/>
  <c r="I3931" i="16"/>
  <c r="I3938" i="16" s="1"/>
  <c r="I3946" i="16" s="1"/>
  <c r="H3931" i="16"/>
  <c r="H3938" i="16" s="1"/>
  <c r="H3946" i="16" s="1"/>
  <c r="J3930" i="16"/>
  <c r="J3909" i="16" s="1"/>
  <c r="I3930" i="16"/>
  <c r="I3909" i="16" s="1"/>
  <c r="H3930" i="16"/>
  <c r="H3909" i="16" s="1"/>
  <c r="O3938" i="16"/>
  <c r="N3938" i="16"/>
  <c r="M3938" i="16"/>
  <c r="P3910" i="16"/>
  <c r="P3938" i="16"/>
  <c r="L3938" i="16"/>
  <c r="H3947" i="16" l="1"/>
  <c r="I3913" i="16"/>
  <c r="I3944" i="16"/>
  <c r="P3939" i="16"/>
  <c r="P3946" i="16"/>
  <c r="P3947" i="16" s="1"/>
  <c r="L3939" i="16"/>
  <c r="L3946" i="16"/>
  <c r="L3947" i="16" s="1"/>
  <c r="J3913" i="16"/>
  <c r="J3944" i="16"/>
  <c r="I3947" i="16"/>
  <c r="M3941" i="16"/>
  <c r="M3946" i="16"/>
  <c r="M3947" i="16" s="1"/>
  <c r="N3941" i="16"/>
  <c r="N3946" i="16"/>
  <c r="N3947" i="16" s="1"/>
  <c r="J3947" i="16"/>
  <c r="O3941" i="16"/>
  <c r="O3946" i="16"/>
  <c r="O3947" i="16" s="1"/>
  <c r="H3913" i="16"/>
  <c r="H3944" i="16"/>
  <c r="K26" i="31"/>
  <c r="K43" i="31"/>
  <c r="K102" i="31"/>
  <c r="K112" i="31"/>
  <c r="K70" i="31"/>
  <c r="L2" i="31"/>
  <c r="L56" i="31" s="1"/>
  <c r="G3941" i="16"/>
  <c r="H3910" i="16"/>
  <c r="I3910" i="16"/>
  <c r="J3910" i="16"/>
  <c r="E3941" i="16"/>
  <c r="E3939" i="16"/>
  <c r="D3941" i="16"/>
  <c r="D3939" i="16"/>
  <c r="F3941" i="16"/>
  <c r="F3939" i="16"/>
  <c r="G3939" i="16"/>
  <c r="L3910" i="16"/>
  <c r="H3941" i="16"/>
  <c r="N3910" i="16"/>
  <c r="J3941" i="16"/>
  <c r="H3939" i="16"/>
  <c r="I3939" i="16"/>
  <c r="M3910" i="16"/>
  <c r="I3941" i="16"/>
  <c r="J3939" i="16"/>
  <c r="M3939" i="16"/>
  <c r="O3939" i="16"/>
  <c r="L3941" i="16"/>
  <c r="N3939" i="16"/>
  <c r="P3941" i="16"/>
  <c r="M2" i="31" l="1"/>
  <c r="M56" i="31" s="1"/>
  <c r="L102" i="31"/>
  <c r="L43" i="31"/>
  <c r="L26" i="31"/>
  <c r="L112" i="31"/>
  <c r="L70" i="31"/>
  <c r="R3941" i="16"/>
  <c r="N2" i="31" l="1"/>
  <c r="N56" i="31" s="1"/>
  <c r="M112" i="31"/>
  <c r="M70" i="31"/>
  <c r="M102" i="31"/>
  <c r="M43" i="31"/>
  <c r="M26" i="31"/>
  <c r="N112" i="31" l="1"/>
  <c r="N70" i="31"/>
  <c r="N43" i="31"/>
  <c r="N102" i="31"/>
  <c r="N26" i="31"/>
  <c r="G30" i="29"/>
  <c r="F30" i="29"/>
  <c r="K159" i="24"/>
  <c r="E30" i="29" s="1"/>
  <c r="J164" i="24" l="1"/>
  <c r="J161" i="24"/>
  <c r="D32" i="29" s="1"/>
  <c r="B164" i="24"/>
  <c r="C110" i="24"/>
  <c r="C107" i="24"/>
  <c r="J163" i="24" s="1"/>
  <c r="R49" i="13"/>
  <c r="Q49" i="13"/>
  <c r="J71" i="24"/>
  <c r="J65" i="24"/>
  <c r="J60" i="24"/>
  <c r="J62" i="24" s="1"/>
  <c r="AO317" i="12"/>
  <c r="AK277" i="12"/>
  <c r="AG277" i="12"/>
  <c r="C591" i="20"/>
  <c r="AD535" i="20"/>
  <c r="AB535" i="20"/>
  <c r="AA535" i="20"/>
  <c r="Z535" i="20"/>
  <c r="Y535" i="20"/>
  <c r="AC535" i="20"/>
  <c r="AM17" i="20"/>
  <c r="J223" i="29" s="1"/>
  <c r="AR269" i="20"/>
  <c r="AU269" i="20" l="1"/>
  <c r="D33" i="29"/>
  <c r="D34" i="29"/>
  <c r="F33" i="29"/>
  <c r="K150" i="24"/>
  <c r="E22" i="29" s="1"/>
  <c r="AD533" i="20"/>
  <c r="AD532" i="20"/>
  <c r="AD531" i="20"/>
  <c r="AD530" i="20"/>
  <c r="AD529" i="20"/>
  <c r="DD488" i="20"/>
  <c r="DE488" i="20" s="1"/>
  <c r="DD487" i="20"/>
  <c r="DE487" i="20" s="1"/>
  <c r="DD486" i="20"/>
  <c r="DE486" i="20" s="1"/>
  <c r="DD485" i="20"/>
  <c r="DE485" i="20" s="1"/>
  <c r="DD482" i="20"/>
  <c r="DE482" i="20" s="1"/>
  <c r="DD481" i="20"/>
  <c r="DE481" i="20" s="1"/>
  <c r="DD480" i="20"/>
  <c r="DE480" i="20" s="1"/>
  <c r="DD466" i="20"/>
  <c r="DE466" i="20" s="1"/>
  <c r="AD579" i="20" s="1"/>
  <c r="DD465" i="20"/>
  <c r="DE465" i="20" s="1"/>
  <c r="AD577" i="20" s="1"/>
  <c r="DD464" i="20"/>
  <c r="DE464" i="20" s="1"/>
  <c r="AD576" i="20" s="1"/>
  <c r="DD463" i="20"/>
  <c r="DE463" i="20" s="1"/>
  <c r="AD575" i="20" s="1"/>
  <c r="DD460" i="20"/>
  <c r="DE460" i="20" s="1"/>
  <c r="AD574" i="20" s="1"/>
  <c r="DD459" i="20"/>
  <c r="DE459" i="20" s="1"/>
  <c r="AD573" i="20" s="1"/>
  <c r="DD458" i="20"/>
  <c r="DE458" i="20" s="1"/>
  <c r="DD455" i="20"/>
  <c r="DE455" i="20" s="1"/>
  <c r="AD570" i="20" s="1"/>
  <c r="DD454" i="20"/>
  <c r="DE454" i="20" s="1"/>
  <c r="AD568" i="20" s="1"/>
  <c r="DD453" i="20"/>
  <c r="DE453" i="20" s="1"/>
  <c r="AD567" i="20" s="1"/>
  <c r="DD452" i="20"/>
  <c r="DE452" i="20" s="1"/>
  <c r="AD566" i="20" s="1"/>
  <c r="DD448" i="20"/>
  <c r="DE448" i="20" s="1"/>
  <c r="AD565" i="20" s="1"/>
  <c r="DD447" i="20"/>
  <c r="DE447" i="20" s="1"/>
  <c r="AD564" i="20" s="1"/>
  <c r="DD446" i="20"/>
  <c r="DE446" i="20" s="1"/>
  <c r="DD443" i="20"/>
  <c r="DE443" i="20" s="1"/>
  <c r="AD560" i="20" s="1"/>
  <c r="DD442" i="20"/>
  <c r="DE442" i="20" s="1"/>
  <c r="AD559" i="20" s="1"/>
  <c r="DD441" i="20"/>
  <c r="DE441" i="20" s="1"/>
  <c r="AD558" i="20" s="1"/>
  <c r="DD437" i="20"/>
  <c r="DE437" i="20" s="1"/>
  <c r="AD557" i="20" s="1"/>
  <c r="DD436" i="20"/>
  <c r="DE436" i="20" s="1"/>
  <c r="AD556" i="20" s="1"/>
  <c r="DD435" i="20"/>
  <c r="DE435" i="20" s="1"/>
  <c r="DD432" i="20"/>
  <c r="DE432" i="20" s="1"/>
  <c r="AD553" i="20" s="1"/>
  <c r="DD431" i="20"/>
  <c r="DE431" i="20" s="1"/>
  <c r="AD551" i="20" s="1"/>
  <c r="DD430" i="20"/>
  <c r="DE430" i="20" s="1"/>
  <c r="AD550" i="20" s="1"/>
  <c r="DD429" i="20"/>
  <c r="DE429" i="20" s="1"/>
  <c r="AD549" i="20" s="1"/>
  <c r="DD425" i="20"/>
  <c r="DE425" i="20" s="1"/>
  <c r="AD548" i="20" s="1"/>
  <c r="DD424" i="20"/>
  <c r="DE424" i="20" s="1"/>
  <c r="AD547" i="20" s="1"/>
  <c r="DD423" i="20"/>
  <c r="DE423" i="20" s="1"/>
  <c r="DD420" i="20"/>
  <c r="DE420" i="20" s="1"/>
  <c r="AD544" i="20" s="1"/>
  <c r="DD419" i="20"/>
  <c r="DE419" i="20" s="1"/>
  <c r="AD542" i="20" s="1"/>
  <c r="DD418" i="20"/>
  <c r="DE418" i="20" s="1"/>
  <c r="AD541" i="20" s="1"/>
  <c r="DD417" i="20"/>
  <c r="DE417" i="20" s="1"/>
  <c r="AD540" i="20" s="1"/>
  <c r="DD414" i="20"/>
  <c r="DE414" i="20" s="1"/>
  <c r="AD539" i="20" s="1"/>
  <c r="DD413" i="20"/>
  <c r="DE413" i="20" s="1"/>
  <c r="AD538" i="20" s="1"/>
  <c r="DD412" i="20"/>
  <c r="DE412" i="20" s="1"/>
  <c r="DB488" i="20"/>
  <c r="DC488" i="20" s="1"/>
  <c r="AC588" i="20" s="1"/>
  <c r="DB487" i="20"/>
  <c r="DC487" i="20" s="1"/>
  <c r="AC586" i="20" s="1"/>
  <c r="DB486" i="20"/>
  <c r="DC486" i="20" s="1"/>
  <c r="AC585" i="20" s="1"/>
  <c r="DB485" i="20"/>
  <c r="DC485" i="20" s="1"/>
  <c r="AC584" i="20" s="1"/>
  <c r="DB482" i="20"/>
  <c r="DC482" i="20" s="1"/>
  <c r="AC583" i="20" s="1"/>
  <c r="DB481" i="20"/>
  <c r="DC481" i="20" s="1"/>
  <c r="AC582" i="20" s="1"/>
  <c r="DB480" i="20"/>
  <c r="DC480" i="20" s="1"/>
  <c r="DB466" i="20"/>
  <c r="DC466" i="20" s="1"/>
  <c r="AC579" i="20" s="1"/>
  <c r="DB465" i="20"/>
  <c r="DC465" i="20" s="1"/>
  <c r="AC577" i="20" s="1"/>
  <c r="DB464" i="20"/>
  <c r="DC464" i="20" s="1"/>
  <c r="AC576" i="20" s="1"/>
  <c r="DB463" i="20"/>
  <c r="DC463" i="20" s="1"/>
  <c r="AC575" i="20" s="1"/>
  <c r="DB460" i="20"/>
  <c r="DC460" i="20" s="1"/>
  <c r="AC574" i="20" s="1"/>
  <c r="DB459" i="20"/>
  <c r="DC459" i="20" s="1"/>
  <c r="AC573" i="20" s="1"/>
  <c r="DB458" i="20"/>
  <c r="DC458" i="20" s="1"/>
  <c r="DB455" i="20"/>
  <c r="DC455" i="20" s="1"/>
  <c r="AC570" i="20" s="1"/>
  <c r="DB454" i="20"/>
  <c r="DC454" i="20" s="1"/>
  <c r="AC568" i="20" s="1"/>
  <c r="DB453" i="20"/>
  <c r="DC453" i="20" s="1"/>
  <c r="AC567" i="20" s="1"/>
  <c r="DB452" i="20"/>
  <c r="DC452" i="20" s="1"/>
  <c r="AC566" i="20" s="1"/>
  <c r="DB448" i="20"/>
  <c r="DC448" i="20" s="1"/>
  <c r="AC565" i="20" s="1"/>
  <c r="DB447" i="20"/>
  <c r="DC447" i="20" s="1"/>
  <c r="AC564" i="20" s="1"/>
  <c r="DB446" i="20"/>
  <c r="DC446" i="20" s="1"/>
  <c r="DB443" i="20"/>
  <c r="DC443" i="20" s="1"/>
  <c r="AC560" i="20" s="1"/>
  <c r="DB442" i="20"/>
  <c r="DC442" i="20" s="1"/>
  <c r="AC559" i="20" s="1"/>
  <c r="DB441" i="20"/>
  <c r="DC441" i="20" s="1"/>
  <c r="AC558" i="20" s="1"/>
  <c r="DB437" i="20"/>
  <c r="DC437" i="20" s="1"/>
  <c r="AC557" i="20" s="1"/>
  <c r="DB436" i="20"/>
  <c r="DC436" i="20" s="1"/>
  <c r="AC556" i="20" s="1"/>
  <c r="DB435" i="20"/>
  <c r="DC435" i="20" s="1"/>
  <c r="DB432" i="20"/>
  <c r="DC432" i="20" s="1"/>
  <c r="AC553" i="20" s="1"/>
  <c r="DB431" i="20"/>
  <c r="DC431" i="20" s="1"/>
  <c r="AC551" i="20" s="1"/>
  <c r="DB430" i="20"/>
  <c r="DC430" i="20" s="1"/>
  <c r="AC550" i="20" s="1"/>
  <c r="DB429" i="20"/>
  <c r="DC429" i="20" s="1"/>
  <c r="AC549" i="20" s="1"/>
  <c r="DB425" i="20"/>
  <c r="DC425" i="20" s="1"/>
  <c r="AC548" i="20" s="1"/>
  <c r="DB424" i="20"/>
  <c r="DC424" i="20" s="1"/>
  <c r="AC547" i="20" s="1"/>
  <c r="DB423" i="20"/>
  <c r="DC423" i="20" s="1"/>
  <c r="DB420" i="20"/>
  <c r="DC420" i="20" s="1"/>
  <c r="AC544" i="20" s="1"/>
  <c r="DB419" i="20"/>
  <c r="DC419" i="20" s="1"/>
  <c r="AC542" i="20" s="1"/>
  <c r="DB418" i="20"/>
  <c r="DC418" i="20" s="1"/>
  <c r="AC541" i="20" s="1"/>
  <c r="DB417" i="20"/>
  <c r="DC417" i="20" s="1"/>
  <c r="AC540" i="20" s="1"/>
  <c r="DB414" i="20"/>
  <c r="DC414" i="20" s="1"/>
  <c r="AC539" i="20" s="1"/>
  <c r="DB412" i="20"/>
  <c r="DC412" i="20" s="1"/>
  <c r="AD537" i="20"/>
  <c r="AD555" i="20" s="1"/>
  <c r="AC537" i="20"/>
  <c r="AC546" i="20" s="1"/>
  <c r="AD498" i="20"/>
  <c r="AD497" i="20"/>
  <c r="AD496" i="20"/>
  <c r="AD495" i="20"/>
  <c r="AD493" i="20"/>
  <c r="AD492" i="20"/>
  <c r="AD491" i="20"/>
  <c r="AD500" i="20" s="1"/>
  <c r="AD483" i="20"/>
  <c r="AD484" i="20" s="1"/>
  <c r="AD472" i="20"/>
  <c r="AD461" i="20"/>
  <c r="AD462" i="20" s="1"/>
  <c r="AD450" i="20"/>
  <c r="AD451" i="20" s="1"/>
  <c r="AD449" i="20"/>
  <c r="AD439" i="20"/>
  <c r="AD440" i="20" s="1"/>
  <c r="AD438" i="20"/>
  <c r="AD427" i="20"/>
  <c r="AD428" i="20" s="1"/>
  <c r="AD426" i="20"/>
  <c r="AD415" i="20"/>
  <c r="AE498" i="20"/>
  <c r="AE497" i="20"/>
  <c r="AE496" i="20"/>
  <c r="AE495" i="20"/>
  <c r="AE493" i="20"/>
  <c r="AE492" i="20"/>
  <c r="AE491" i="20"/>
  <c r="AE483" i="20"/>
  <c r="AE472" i="20"/>
  <c r="AE473" i="20" s="1"/>
  <c r="AE461" i="20"/>
  <c r="AE450" i="20"/>
  <c r="AE449" i="20"/>
  <c r="AE439" i="20"/>
  <c r="AE438" i="20"/>
  <c r="AE427" i="20"/>
  <c r="AE426" i="20"/>
  <c r="AE415" i="20"/>
  <c r="DF415" i="20" s="1"/>
  <c r="DG415" i="20" s="1"/>
  <c r="AC533" i="20"/>
  <c r="AC532" i="20"/>
  <c r="AC531" i="20"/>
  <c r="AC530" i="20"/>
  <c r="AC529" i="20"/>
  <c r="AP347" i="12"/>
  <c r="AD521" i="20" s="1"/>
  <c r="AP346" i="12"/>
  <c r="AD520" i="20" s="1"/>
  <c r="AP345" i="12"/>
  <c r="AD519" i="20" s="1"/>
  <c r="AP344" i="12"/>
  <c r="AD518" i="20" s="1"/>
  <c r="AP343" i="12"/>
  <c r="AD517" i="20" s="1"/>
  <c r="AP336" i="12"/>
  <c r="AR49" i="20" s="1"/>
  <c r="AD526" i="20"/>
  <c r="AD525" i="20"/>
  <c r="AC526" i="20"/>
  <c r="AC525" i="20"/>
  <c r="AD516" i="20"/>
  <c r="AD528" i="20" s="1"/>
  <c r="AC516" i="20"/>
  <c r="AC528" i="20" s="1"/>
  <c r="B134" i="28"/>
  <c r="B133" i="28"/>
  <c r="B132" i="28"/>
  <c r="B131" i="28"/>
  <c r="AO8" i="20"/>
  <c r="CI8" i="20" s="1"/>
  <c r="AP8" i="20"/>
  <c r="CJ8" i="20" s="1"/>
  <c r="AM298" i="20"/>
  <c r="B17" i="28"/>
  <c r="S142" i="28"/>
  <c r="S130" i="28"/>
  <c r="S115" i="28"/>
  <c r="S117" i="28" s="1"/>
  <c r="S113" i="28"/>
  <c r="S98" i="28"/>
  <c r="S96" i="28"/>
  <c r="W112" i="28" s="1"/>
  <c r="S110" i="28"/>
  <c r="S104" i="28"/>
  <c r="AR393" i="20"/>
  <c r="AR387" i="20"/>
  <c r="AR368" i="20"/>
  <c r="AR320" i="20"/>
  <c r="AU320" i="20" s="1"/>
  <c r="AR271" i="20"/>
  <c r="AR272" i="20" s="1"/>
  <c r="AR314" i="20"/>
  <c r="AM294" i="20"/>
  <c r="AR60" i="20"/>
  <c r="AW61" i="20" s="1"/>
  <c r="AR39" i="20"/>
  <c r="CK39" i="20" s="1"/>
  <c r="AR11" i="20"/>
  <c r="AU11" i="20" s="1"/>
  <c r="AR299" i="20"/>
  <c r="AR298" i="20"/>
  <c r="AR304" i="20"/>
  <c r="AR65" i="20"/>
  <c r="AR237" i="20"/>
  <c r="AR232" i="20"/>
  <c r="AR192" i="20"/>
  <c r="AR287" i="20" s="1"/>
  <c r="AR191" i="20"/>
  <c r="AR294" i="20"/>
  <c r="AR189" i="20"/>
  <c r="AR284" i="20" s="1"/>
  <c r="AR331" i="20" s="1"/>
  <c r="AR390" i="20" s="1"/>
  <c r="AR17" i="20"/>
  <c r="CK17" i="20" s="1"/>
  <c r="O79" i="28"/>
  <c r="O77" i="28"/>
  <c r="O56" i="28"/>
  <c r="O54" i="28"/>
  <c r="O43" i="28"/>
  <c r="O42" i="28"/>
  <c r="O65" i="28" s="1"/>
  <c r="O88" i="28" s="1"/>
  <c r="O41" i="28"/>
  <c r="O39" i="28"/>
  <c r="O35" i="28"/>
  <c r="O33" i="28"/>
  <c r="O37" i="28"/>
  <c r="O45" i="28" s="1"/>
  <c r="O52" i="28" s="1"/>
  <c r="O60" i="28" s="1"/>
  <c r="O68" i="28" s="1"/>
  <c r="O75" i="28" s="1"/>
  <c r="O83" i="28" s="1"/>
  <c r="M73" i="5"/>
  <c r="M72" i="5"/>
  <c r="M71" i="5"/>
  <c r="AP65" i="20"/>
  <c r="AO65" i="20"/>
  <c r="AN65" i="20"/>
  <c r="AM65" i="20"/>
  <c r="AR229" i="20" l="1"/>
  <c r="C4396" i="16"/>
  <c r="AD473" i="20"/>
  <c r="H21" i="22"/>
  <c r="AS50" i="20"/>
  <c r="AS52" i="20" s="1"/>
  <c r="AR50" i="20"/>
  <c r="R56" i="28"/>
  <c r="R64" i="28" s="1"/>
  <c r="AU271" i="20"/>
  <c r="AU272" i="20" s="1"/>
  <c r="AW196" i="20"/>
  <c r="AW62" i="20"/>
  <c r="AW199" i="20" s="1"/>
  <c r="AE524" i="20"/>
  <c r="N223" i="29"/>
  <c r="AR211" i="20"/>
  <c r="O38" i="28" s="1"/>
  <c r="O61" i="28" s="1"/>
  <c r="O84" i="28" s="1"/>
  <c r="AR300" i="20"/>
  <c r="AU16" i="20"/>
  <c r="K59" i="25"/>
  <c r="K64" i="25" s="1"/>
  <c r="AE484" i="20"/>
  <c r="DF483" i="20"/>
  <c r="DG483" i="20" s="1"/>
  <c r="AD588" i="20"/>
  <c r="AD599" i="20" s="1"/>
  <c r="AD582" i="20"/>
  <c r="AD591" i="20" s="1"/>
  <c r="AD583" i="20"/>
  <c r="AD592" i="20" s="1"/>
  <c r="AD586" i="20"/>
  <c r="AD596" i="20" s="1"/>
  <c r="AD584" i="20"/>
  <c r="AD585" i="20"/>
  <c r="AD595" i="20" s="1"/>
  <c r="AE440" i="20"/>
  <c r="DF439" i="20"/>
  <c r="DG439" i="20" s="1"/>
  <c r="AE451" i="20"/>
  <c r="DF450" i="20"/>
  <c r="DG450" i="20" s="1"/>
  <c r="AE462" i="20"/>
  <c r="DF461" i="20"/>
  <c r="DG461" i="20" s="1"/>
  <c r="AE428" i="20"/>
  <c r="DF427" i="20"/>
  <c r="DG427" i="20" s="1"/>
  <c r="AD534" i="20"/>
  <c r="E34" i="29"/>
  <c r="L150" i="24"/>
  <c r="F22" i="29" s="1"/>
  <c r="E33" i="29"/>
  <c r="DD415" i="20"/>
  <c r="DE415" i="20" s="1"/>
  <c r="AC596" i="20"/>
  <c r="AR23" i="20"/>
  <c r="CG17" i="20"/>
  <c r="S95" i="28"/>
  <c r="S97" i="28" s="1"/>
  <c r="W111" i="28" s="1"/>
  <c r="CG39" i="20"/>
  <c r="AN8" i="20"/>
  <c r="CE8" i="20"/>
  <c r="AC595" i="20"/>
  <c r="AC599" i="20"/>
  <c r="AD543" i="20"/>
  <c r="AR21" i="20"/>
  <c r="O34" i="28" s="1"/>
  <c r="AR55" i="20"/>
  <c r="AC591" i="20"/>
  <c r="AC592" i="20"/>
  <c r="AC594" i="20"/>
  <c r="AD561" i="20"/>
  <c r="AD546" i="20"/>
  <c r="G22" i="29"/>
  <c r="AC569" i="20"/>
  <c r="AD572" i="20"/>
  <c r="AD581" i="20" s="1"/>
  <c r="AD563" i="20"/>
  <c r="AC578" i="20"/>
  <c r="AD569" i="20"/>
  <c r="AD552" i="20"/>
  <c r="AC552" i="20"/>
  <c r="AC587" i="20"/>
  <c r="AD578" i="20"/>
  <c r="AE494" i="20"/>
  <c r="AD590" i="20"/>
  <c r="AC555" i="20"/>
  <c r="DD450" i="20"/>
  <c r="DE450" i="20" s="1"/>
  <c r="DD461" i="20"/>
  <c r="DE461" i="20" s="1"/>
  <c r="DD483" i="20"/>
  <c r="DE483" i="20" s="1"/>
  <c r="DD427" i="20"/>
  <c r="DE427" i="20" s="1"/>
  <c r="DD439" i="20"/>
  <c r="DE439" i="20" s="1"/>
  <c r="AR321" i="20"/>
  <c r="AR327" i="20" s="1"/>
  <c r="AC590" i="20"/>
  <c r="AR43" i="20"/>
  <c r="C4387" i="16" s="1"/>
  <c r="AC561" i="20"/>
  <c r="AC543" i="20"/>
  <c r="AD494" i="20"/>
  <c r="AR208" i="20"/>
  <c r="AR297" i="20"/>
  <c r="AR16" i="20"/>
  <c r="O30" i="28"/>
  <c r="AR190" i="20"/>
  <c r="AD522" i="20"/>
  <c r="AC534" i="20"/>
  <c r="AC598" i="20" s="1"/>
  <c r="AD598" i="20"/>
  <c r="O81" i="28"/>
  <c r="O62" i="28"/>
  <c r="O85" i="28" s="1"/>
  <c r="O64" i="28"/>
  <c r="O87" i="28" s="1"/>
  <c r="O58" i="28"/>
  <c r="O66" i="28" s="1"/>
  <c r="O63" i="28"/>
  <c r="O86" i="28" s="1"/>
  <c r="AR286" i="20"/>
  <c r="N210" i="4"/>
  <c r="N326" i="4"/>
  <c r="N221" i="4"/>
  <c r="N527" i="4"/>
  <c r="N502" i="4" s="1"/>
  <c r="N357" i="4"/>
  <c r="N320" i="4"/>
  <c r="N322" i="4" s="1"/>
  <c r="N350" i="4"/>
  <c r="N22" i="4"/>
  <c r="N14" i="4"/>
  <c r="I185" i="23"/>
  <c r="I30" i="22"/>
  <c r="H30" i="22"/>
  <c r="F8" i="31"/>
  <c r="F61" i="31" s="1"/>
  <c r="C25" i="32" s="1"/>
  <c r="AN266" i="20"/>
  <c r="AM266" i="20"/>
  <c r="AJ266" i="20"/>
  <c r="AI266" i="20"/>
  <c r="AH266" i="20"/>
  <c r="B267" i="20"/>
  <c r="B266" i="20"/>
  <c r="J68" i="25"/>
  <c r="J9" i="25"/>
  <c r="AH55" i="20"/>
  <c r="AI55" i="20"/>
  <c r="AJ55" i="20"/>
  <c r="AN55" i="20"/>
  <c r="AM55" i="20"/>
  <c r="I218" i="23"/>
  <c r="J219" i="23" s="1"/>
  <c r="I176" i="23"/>
  <c r="I171" i="23"/>
  <c r="I173" i="23" s="1"/>
  <c r="I170" i="23"/>
  <c r="I168" i="23"/>
  <c r="I166" i="23"/>
  <c r="I151" i="23"/>
  <c r="I148" i="23"/>
  <c r="F117" i="31" s="1"/>
  <c r="I139" i="23"/>
  <c r="I134" i="23"/>
  <c r="I133" i="23"/>
  <c r="I114" i="23"/>
  <c r="I111" i="23"/>
  <c r="F116" i="31" s="1"/>
  <c r="I106" i="23"/>
  <c r="I102" i="23"/>
  <c r="I94" i="23"/>
  <c r="I86" i="23"/>
  <c r="I77" i="23"/>
  <c r="I74" i="23"/>
  <c r="F115" i="31" s="1"/>
  <c r="I69" i="23"/>
  <c r="I65" i="23"/>
  <c r="I59" i="23"/>
  <c r="I57" i="23"/>
  <c r="I40" i="23"/>
  <c r="I37" i="23"/>
  <c r="F114" i="31" s="1"/>
  <c r="I29" i="23"/>
  <c r="I22" i="23"/>
  <c r="I16" i="23"/>
  <c r="I14" i="23"/>
  <c r="I12" i="23"/>
  <c r="I6" i="23"/>
  <c r="AP393" i="20"/>
  <c r="AP264" i="20"/>
  <c r="AK42" i="20"/>
  <c r="I100" i="25" s="1"/>
  <c r="AK41" i="20"/>
  <c r="I98" i="25" s="1"/>
  <c r="AP41" i="20"/>
  <c r="AK40" i="20"/>
  <c r="AP40" i="20"/>
  <c r="AP38" i="20"/>
  <c r="CJ38" i="20" s="1"/>
  <c r="AK38" i="20"/>
  <c r="AK37" i="20"/>
  <c r="AP37" i="20"/>
  <c r="AP15" i="20"/>
  <c r="CJ15" i="20" s="1"/>
  <c r="AP14" i="20"/>
  <c r="CJ14" i="20" s="1"/>
  <c r="AP12" i="20"/>
  <c r="CJ12" i="20" s="1"/>
  <c r="AP5" i="20"/>
  <c r="CJ5" i="20" s="1"/>
  <c r="C4385" i="16" l="1"/>
  <c r="G4390" i="16" s="1"/>
  <c r="G4392" i="16"/>
  <c r="C4394" i="16"/>
  <c r="C4402" i="16"/>
  <c r="H22" i="22"/>
  <c r="H129" i="22"/>
  <c r="I130" i="22" s="1"/>
  <c r="J130" i="22" s="1"/>
  <c r="K130" i="22" s="1"/>
  <c r="L130" i="22" s="1"/>
  <c r="M130" i="22" s="1"/>
  <c r="N130" i="22" s="1"/>
  <c r="O130" i="22" s="1"/>
  <c r="P130" i="22" s="1"/>
  <c r="CK43" i="20"/>
  <c r="AR227" i="20"/>
  <c r="R58" i="28"/>
  <c r="R66" i="28" s="1"/>
  <c r="R89" i="28" s="1"/>
  <c r="F233" i="28"/>
  <c r="I136" i="23"/>
  <c r="J135" i="23"/>
  <c r="G33" i="29"/>
  <c r="S111" i="28"/>
  <c r="N224" i="29"/>
  <c r="N226" i="29" s="1"/>
  <c r="N230" i="29" s="1"/>
  <c r="AR285" i="20"/>
  <c r="V113" i="28"/>
  <c r="CJ40" i="20"/>
  <c r="N4058" i="16" s="1"/>
  <c r="J98" i="25"/>
  <c r="K99" i="25" s="1"/>
  <c r="CJ41" i="20"/>
  <c r="AR46" i="20"/>
  <c r="J233" i="28"/>
  <c r="CJ37" i="20"/>
  <c r="AD587" i="20"/>
  <c r="AD597" i="20" s="1"/>
  <c r="R72" i="28"/>
  <c r="R87" i="28"/>
  <c r="F118" i="31"/>
  <c r="AD594" i="20"/>
  <c r="AN298" i="20"/>
  <c r="CH8" i="20"/>
  <c r="J96" i="25"/>
  <c r="K97" i="25" s="1"/>
  <c r="C4345" i="16" s="1"/>
  <c r="K258" i="28"/>
  <c r="I96" i="25"/>
  <c r="G258" i="28"/>
  <c r="F34" i="29"/>
  <c r="F72" i="31"/>
  <c r="F32" i="31"/>
  <c r="D189" i="29" s="1"/>
  <c r="F20" i="31"/>
  <c r="AR324" i="20"/>
  <c r="CD8" i="20"/>
  <c r="AR193" i="20"/>
  <c r="AR194" i="20" s="1"/>
  <c r="AP60" i="20"/>
  <c r="AU61" i="20" s="1"/>
  <c r="AR57" i="20"/>
  <c r="N127" i="29" s="1"/>
  <c r="I154" i="23"/>
  <c r="I177" i="23"/>
  <c r="AC597" i="20"/>
  <c r="H22" i="29"/>
  <c r="AC572" i="20"/>
  <c r="AC581" i="20" s="1"/>
  <c r="AC563" i="20"/>
  <c r="AR216" i="20"/>
  <c r="O89" i="28"/>
  <c r="CF41" i="20"/>
  <c r="CF38" i="20"/>
  <c r="CF40" i="20"/>
  <c r="J4058" i="16" s="1"/>
  <c r="J62" i="25"/>
  <c r="J90" i="25" s="1"/>
  <c r="CF37" i="20"/>
  <c r="AK39" i="20"/>
  <c r="AK55" i="20" s="1"/>
  <c r="I62" i="25"/>
  <c r="I90" i="25" s="1"/>
  <c r="AP39" i="20"/>
  <c r="CJ39" i="20" s="1"/>
  <c r="C4400" i="16" l="1"/>
  <c r="R73" i="28"/>
  <c r="AR228" i="20"/>
  <c r="AR230" i="20"/>
  <c r="J99" i="25"/>
  <c r="O243" i="29"/>
  <c r="H33" i="29"/>
  <c r="AR352" i="20"/>
  <c r="AR359" i="20" s="1"/>
  <c r="J97" i="25"/>
  <c r="G34" i="29"/>
  <c r="F74" i="31"/>
  <c r="D160" i="29"/>
  <c r="AR56" i="20"/>
  <c r="O31" i="28"/>
  <c r="L98" i="25"/>
  <c r="AZ41" i="20" s="1"/>
  <c r="L96" i="25"/>
  <c r="AZ40" i="20" s="1"/>
  <c r="J4386" i="16" s="1"/>
  <c r="J91" i="25"/>
  <c r="I22" i="29"/>
  <c r="AR288" i="20"/>
  <c r="AR347" i="20"/>
  <c r="CF39" i="20"/>
  <c r="AK266" i="20"/>
  <c r="AP55" i="20"/>
  <c r="AP266" i="20"/>
  <c r="H4132" i="8"/>
  <c r="F4103" i="8"/>
  <c r="F4100" i="8"/>
  <c r="J4395" i="16" l="1"/>
  <c r="J4391" i="16"/>
  <c r="CN40" i="20"/>
  <c r="R4058" i="16" s="1"/>
  <c r="D4344" i="16"/>
  <c r="CN41" i="20"/>
  <c r="D4346" i="16"/>
  <c r="I33" i="29"/>
  <c r="AP351" i="12"/>
  <c r="AT352" i="12" s="1"/>
  <c r="K42" i="25"/>
  <c r="M96" i="25"/>
  <c r="E4344" i="16" s="1"/>
  <c r="M98" i="25"/>
  <c r="E4346" i="16" s="1"/>
  <c r="H34" i="29"/>
  <c r="D162" i="29"/>
  <c r="J22" i="29"/>
  <c r="F4105" i="8"/>
  <c r="N98" i="25" l="1"/>
  <c r="BE41" i="20"/>
  <c r="CR41" i="20" s="1"/>
  <c r="N96" i="25"/>
  <c r="BE40" i="20"/>
  <c r="J33" i="29"/>
  <c r="J34" i="29"/>
  <c r="I34" i="29"/>
  <c r="AP323" i="20"/>
  <c r="AP318" i="20"/>
  <c r="AP317" i="20"/>
  <c r="AP316" i="20"/>
  <c r="AP313" i="20"/>
  <c r="AP311" i="20"/>
  <c r="AP310" i="20"/>
  <c r="AP368" i="20"/>
  <c r="CR40" i="20" l="1"/>
  <c r="N4386" i="16"/>
  <c r="O96" i="25"/>
  <c r="F4344" i="16"/>
  <c r="O98" i="25"/>
  <c r="F4346" i="16"/>
  <c r="AP314" i="20"/>
  <c r="N4395" i="16" l="1"/>
  <c r="N4391" i="16"/>
  <c r="P98" i="25"/>
  <c r="G4346" i="16"/>
  <c r="P96" i="25"/>
  <c r="G4344" i="16"/>
  <c r="N98" i="28"/>
  <c r="R98" i="28"/>
  <c r="N97" i="28"/>
  <c r="R97" i="28"/>
  <c r="V111" i="28" s="1"/>
  <c r="N95" i="28"/>
  <c r="R95" i="28"/>
  <c r="E225" i="28"/>
  <c r="E226" i="28" s="1"/>
  <c r="E228" i="28" s="1"/>
  <c r="AN371" i="20"/>
  <c r="R142" i="28"/>
  <c r="AP260" i="20"/>
  <c r="AP237" i="20"/>
  <c r="AP232" i="20"/>
  <c r="AP304" i="20"/>
  <c r="AP298" i="20"/>
  <c r="AP299" i="20"/>
  <c r="AP294" i="20"/>
  <c r="AP211" i="20" s="1"/>
  <c r="M224" i="29" s="1"/>
  <c r="AO294" i="20"/>
  <c r="AP192" i="20"/>
  <c r="AP287" i="20" s="1"/>
  <c r="AP191" i="20"/>
  <c r="AP17" i="20"/>
  <c r="CJ17" i="20" s="1"/>
  <c r="AO347" i="12"/>
  <c r="AC521" i="20" s="1"/>
  <c r="AO346" i="12"/>
  <c r="AC520" i="20" s="1"/>
  <c r="AO345" i="12"/>
  <c r="AC519" i="20" s="1"/>
  <c r="AO344" i="12"/>
  <c r="AC518" i="20" s="1"/>
  <c r="AO343" i="12"/>
  <c r="AC517" i="20" s="1"/>
  <c r="AO339" i="12"/>
  <c r="AO338" i="12"/>
  <c r="K260" i="28" s="1"/>
  <c r="AO336" i="12"/>
  <c r="AP49" i="20" s="1"/>
  <c r="AO327" i="12"/>
  <c r="AO332" i="12"/>
  <c r="Q96" i="25" l="1"/>
  <c r="R96" i="25" s="1"/>
  <c r="H4344" i="16"/>
  <c r="Q98" i="25"/>
  <c r="R98" i="25" s="1"/>
  <c r="H4346" i="16"/>
  <c r="AD524" i="20"/>
  <c r="AC522" i="20"/>
  <c r="M223" i="29"/>
  <c r="AU62" i="20"/>
  <c r="AU199" i="20" s="1"/>
  <c r="AU196" i="20"/>
  <c r="M226" i="29"/>
  <c r="M230" i="29" s="1"/>
  <c r="N243" i="29"/>
  <c r="R96" i="28"/>
  <c r="V112" i="28" s="1"/>
  <c r="AP297" i="20"/>
  <c r="N96" i="28"/>
  <c r="AP190" i="20"/>
  <c r="AP285" i="20" s="1"/>
  <c r="AP21" i="20"/>
  <c r="AP193" i="20" s="1"/>
  <c r="AP286" i="20"/>
  <c r="AO340" i="12"/>
  <c r="E227" i="28"/>
  <c r="R115" i="28"/>
  <c r="R117" i="28" s="1"/>
  <c r="R113" i="28"/>
  <c r="R111" i="28"/>
  <c r="R110" i="28"/>
  <c r="R104" i="28"/>
  <c r="N79" i="28"/>
  <c r="N77" i="28"/>
  <c r="N54" i="28"/>
  <c r="N43" i="28"/>
  <c r="N42" i="28"/>
  <c r="N65" i="28" s="1"/>
  <c r="N88" i="28" s="1"/>
  <c r="N41" i="28"/>
  <c r="N63" i="28"/>
  <c r="N39" i="28"/>
  <c r="N38" i="28"/>
  <c r="N37" i="28"/>
  <c r="N45" i="28" s="1"/>
  <c r="N52" i="28" s="1"/>
  <c r="N60" i="28" s="1"/>
  <c r="N68" i="28" s="1"/>
  <c r="N75" i="28" s="1"/>
  <c r="N83" i="28" s="1"/>
  <c r="N35" i="28"/>
  <c r="N33" i="28"/>
  <c r="N30" i="28"/>
  <c r="AP189" i="20"/>
  <c r="R112" i="28" l="1"/>
  <c r="D4649" i="8"/>
  <c r="AP216" i="20"/>
  <c r="AP194" i="20"/>
  <c r="AP288" i="20" s="1"/>
  <c r="N34" i="28"/>
  <c r="AP284" i="20"/>
  <c r="AP331" i="20" s="1"/>
  <c r="AP390" i="20" s="1"/>
  <c r="AP208" i="20"/>
  <c r="N62" i="28"/>
  <c r="N85" i="28" s="1"/>
  <c r="N50" i="28"/>
  <c r="N81" i="28"/>
  <c r="N49" i="28"/>
  <c r="N46" i="28"/>
  <c r="N86" i="28"/>
  <c r="N61" i="28"/>
  <c r="K4" i="5"/>
  <c r="J4" i="5" s="1"/>
  <c r="I4" i="5" s="1"/>
  <c r="H4" i="5" s="1"/>
  <c r="G4" i="5" s="1"/>
  <c r="F4" i="5" s="1"/>
  <c r="E4" i="5" s="1"/>
  <c r="D4" i="5" s="1"/>
  <c r="M4" i="5"/>
  <c r="N4" i="5" s="1"/>
  <c r="O4" i="5" s="1"/>
  <c r="P4" i="5" s="1"/>
  <c r="Q4" i="5" s="1"/>
  <c r="R4" i="5" s="1"/>
  <c r="S4" i="5" s="1"/>
  <c r="T4" i="5" s="1"/>
  <c r="U4" i="5" s="1"/>
  <c r="AP347" i="20" l="1"/>
  <c r="N84" i="28"/>
  <c r="N69" i="28"/>
  <c r="E3853" i="16"/>
  <c r="D3853" i="16" s="1"/>
  <c r="D3855" i="16"/>
  <c r="D3854" i="16"/>
  <c r="E3852" i="16"/>
  <c r="D3852" i="16" s="1"/>
  <c r="E3857" i="16"/>
  <c r="D3857" i="16" s="1"/>
  <c r="E3851" i="16"/>
  <c r="D3851" i="16" s="1"/>
  <c r="E3856" i="16"/>
  <c r="D3856" i="16" s="1"/>
  <c r="Q3772" i="16"/>
  <c r="V3772" i="16"/>
  <c r="X3766" i="16"/>
  <c r="X3772" i="16" s="1"/>
  <c r="K3836" i="16"/>
  <c r="J3836" i="16"/>
  <c r="I3836" i="16"/>
  <c r="H3836" i="16"/>
  <c r="K3829" i="16"/>
  <c r="J3829" i="16"/>
  <c r="I3829" i="16"/>
  <c r="H3829" i="16"/>
  <c r="K3822" i="16"/>
  <c r="J3822" i="16"/>
  <c r="I3822" i="16"/>
  <c r="H3822" i="16"/>
  <c r="N3818" i="16"/>
  <c r="O3818" i="16" s="1"/>
  <c r="P3818" i="16" s="1"/>
  <c r="K3844" i="16"/>
  <c r="H3844" i="16"/>
  <c r="K3842" i="16"/>
  <c r="J3842" i="16"/>
  <c r="I3842" i="16"/>
  <c r="H3842" i="16"/>
  <c r="K3841" i="16"/>
  <c r="J3841" i="16"/>
  <c r="I3841" i="16"/>
  <c r="H3841" i="16"/>
  <c r="K3840" i="16"/>
  <c r="J3840" i="16"/>
  <c r="I3840" i="16"/>
  <c r="H3840" i="16"/>
  <c r="I3839" i="16"/>
  <c r="J3839" i="16" s="1"/>
  <c r="K3839" i="16" s="1"/>
  <c r="I3832" i="16"/>
  <c r="J3832" i="16" s="1"/>
  <c r="K3832" i="16" s="1"/>
  <c r="J3844" i="16"/>
  <c r="I3844" i="16"/>
  <c r="I3825" i="16"/>
  <c r="J3825" i="16" s="1"/>
  <c r="K3825" i="16" s="1"/>
  <c r="I3818" i="16"/>
  <c r="J3818" i="16" s="1"/>
  <c r="K3818" i="16" s="1"/>
  <c r="D3839" i="16"/>
  <c r="E3839" i="16" s="1"/>
  <c r="F3839" i="16" s="1"/>
  <c r="D3832" i="16"/>
  <c r="E3832" i="16" s="1"/>
  <c r="F3832" i="16" s="1"/>
  <c r="D3825" i="16"/>
  <c r="E3825" i="16" s="1"/>
  <c r="F3825" i="16" s="1"/>
  <c r="D3818" i="16"/>
  <c r="E3818" i="16" s="1"/>
  <c r="F3818" i="16" s="1"/>
  <c r="L3756" i="16"/>
  <c r="M3756" i="16"/>
  <c r="N3756" i="16"/>
  <c r="G3761" i="16"/>
  <c r="H3761" i="16"/>
  <c r="I3761" i="16"/>
  <c r="J3761" i="16"/>
  <c r="R3766" i="16"/>
  <c r="R3772" i="16" s="1"/>
  <c r="W3766" i="16"/>
  <c r="W3772" i="16" s="1"/>
  <c r="G3770" i="16"/>
  <c r="S3770" i="16" s="1"/>
  <c r="H3770" i="16"/>
  <c r="I3770" i="16"/>
  <c r="J3770" i="16"/>
  <c r="P3772" i="16"/>
  <c r="U3772" i="16"/>
  <c r="L3782" i="16"/>
  <c r="I3795" i="16" s="1"/>
  <c r="H3795" i="16" s="1"/>
  <c r="M3782" i="16"/>
  <c r="N3782" i="16"/>
  <c r="I3793" i="16"/>
  <c r="H3793" i="16" s="1"/>
  <c r="AO394" i="20"/>
  <c r="AO401" i="20"/>
  <c r="AO399" i="20"/>
  <c r="N567" i="4"/>
  <c r="W309" i="4"/>
  <c r="AO393" i="20" l="1"/>
  <c r="N452" i="4"/>
  <c r="J3843" i="16"/>
  <c r="I3843" i="16"/>
  <c r="K3843" i="16"/>
  <c r="H3779" i="16"/>
  <c r="M3761" i="16"/>
  <c r="H3843" i="16"/>
  <c r="J3779" i="16"/>
  <c r="G3779" i="16"/>
  <c r="L3761" i="16"/>
  <c r="I3779" i="16"/>
  <c r="N3761" i="16"/>
  <c r="N3770" i="16"/>
  <c r="M3770" i="16"/>
  <c r="L3770" i="16"/>
  <c r="L3779" i="16" l="1"/>
  <c r="N3779" i="16"/>
  <c r="M3779" i="16"/>
  <c r="AK293" i="20" l="1"/>
  <c r="AN299" i="20"/>
  <c r="AM299" i="20"/>
  <c r="AH299" i="20"/>
  <c r="AI299" i="20"/>
  <c r="AJ294" i="20"/>
  <c r="AO211" i="20"/>
  <c r="L224" i="29" s="1"/>
  <c r="AJ299" i="20"/>
  <c r="AO299" i="20"/>
  <c r="AJ298" i="20"/>
  <c r="AO298" i="20"/>
  <c r="B299" i="20"/>
  <c r="B298" i="20"/>
  <c r="B297" i="20"/>
  <c r="AJ285" i="20"/>
  <c r="AK43" i="20"/>
  <c r="CJ27" i="20"/>
  <c r="N4057" i="16" s="1"/>
  <c r="CF27" i="20"/>
  <c r="J4057" i="16" s="1"/>
  <c r="CE27" i="20"/>
  <c r="I4057" i="16" s="1"/>
  <c r="CD27" i="20"/>
  <c r="H4057" i="16" s="1"/>
  <c r="CC27" i="20"/>
  <c r="G4057" i="16" s="1"/>
  <c r="CE41" i="20"/>
  <c r="CD41" i="20"/>
  <c r="CC41" i="20"/>
  <c r="CE40" i="20"/>
  <c r="I4058" i="16" s="1"/>
  <c r="CD40" i="20"/>
  <c r="H4058" i="16" s="1"/>
  <c r="CC40" i="20"/>
  <c r="G4058" i="16" s="1"/>
  <c r="CD39" i="20"/>
  <c r="CC39" i="20"/>
  <c r="CE38" i="20"/>
  <c r="CD38" i="20"/>
  <c r="CC38" i="20"/>
  <c r="CE37" i="20"/>
  <c r="CD37" i="20"/>
  <c r="CC37" i="20"/>
  <c r="AH43" i="20"/>
  <c r="AH46" i="20" s="1"/>
  <c r="AI43" i="20"/>
  <c r="AM43" i="20"/>
  <c r="AN42" i="20"/>
  <c r="AJ43" i="20"/>
  <c r="AJ46" i="20" s="1"/>
  <c r="AO39" i="20"/>
  <c r="AO320" i="20"/>
  <c r="AO314" i="20"/>
  <c r="AO260" i="20"/>
  <c r="AO17" i="20"/>
  <c r="CI17" i="20" s="1"/>
  <c r="AO11" i="20"/>
  <c r="CI11" i="20" s="1"/>
  <c r="L226" i="29" l="1"/>
  <c r="L230" i="29" s="1"/>
  <c r="M243" i="29"/>
  <c r="AO266" i="20"/>
  <c r="CI39" i="20"/>
  <c r="CG43" i="20"/>
  <c r="AM46" i="20"/>
  <c r="AK57" i="20"/>
  <c r="I127" i="29" s="1"/>
  <c r="AK46" i="20"/>
  <c r="L223" i="29"/>
  <c r="AT196" i="20"/>
  <c r="AT62" i="20"/>
  <c r="AT199" i="20" s="1"/>
  <c r="AI57" i="20"/>
  <c r="AI56" i="20" s="1"/>
  <c r="AI46" i="20"/>
  <c r="AH57" i="20"/>
  <c r="I102" i="25"/>
  <c r="I161" i="25" s="1"/>
  <c r="AM57" i="20"/>
  <c r="AO297" i="20"/>
  <c r="AN17" i="20"/>
  <c r="AO43" i="20"/>
  <c r="CI43" i="20" s="1"/>
  <c r="J59" i="25"/>
  <c r="J93" i="25" s="1"/>
  <c r="AO55" i="20"/>
  <c r="D3850" i="16"/>
  <c r="C3851" i="16" s="1"/>
  <c r="C3852" i="16" s="1"/>
  <c r="C3853" i="16" s="1"/>
  <c r="C3854" i="16" s="1"/>
  <c r="C3855" i="16" s="1"/>
  <c r="C3856" i="16" s="1"/>
  <c r="C3857" i="16" s="1"/>
  <c r="AJ57" i="20"/>
  <c r="AN43" i="20"/>
  <c r="AP42" i="20"/>
  <c r="AP43" i="20" s="1"/>
  <c r="CJ43" i="20" s="1"/>
  <c r="AK299" i="20"/>
  <c r="AK294" i="20"/>
  <c r="AO321" i="20"/>
  <c r="AO324" i="20" s="1"/>
  <c r="AO352" i="20" s="1"/>
  <c r="CE39" i="20"/>
  <c r="CC43" i="20"/>
  <c r="J102" i="25" l="1"/>
  <c r="J161" i="25" s="1"/>
  <c r="AK56" i="20"/>
  <c r="CH43" i="20"/>
  <c r="AN46" i="20"/>
  <c r="G127" i="29"/>
  <c r="CF43" i="20"/>
  <c r="AP46" i="20"/>
  <c r="AO57" i="20"/>
  <c r="L127" i="29" s="1"/>
  <c r="AO46" i="20"/>
  <c r="AH56" i="20"/>
  <c r="F127" i="29"/>
  <c r="CH17" i="20"/>
  <c r="K223" i="29"/>
  <c r="AJ56" i="20"/>
  <c r="H127" i="29"/>
  <c r="AM56" i="20"/>
  <c r="J127" i="29"/>
  <c r="AN57" i="20"/>
  <c r="AS196" i="20"/>
  <c r="AN297" i="20"/>
  <c r="AS62" i="20"/>
  <c r="AS199" i="20" s="1"/>
  <c r="C71" i="29"/>
  <c r="I117" i="25"/>
  <c r="I164" i="25"/>
  <c r="I182" i="25" s="1"/>
  <c r="D3858" i="16"/>
  <c r="E3859" i="16" s="1"/>
  <c r="J100" i="25"/>
  <c r="K101" i="25" s="1"/>
  <c r="CE43" i="20"/>
  <c r="I107" i="25"/>
  <c r="I114" i="25"/>
  <c r="AP57" i="20"/>
  <c r="AP267" i="20"/>
  <c r="AO267" i="20"/>
  <c r="CD43" i="20"/>
  <c r="J64" i="25"/>
  <c r="J74" i="25"/>
  <c r="AO327" i="20"/>
  <c r="K100" i="28"/>
  <c r="L100" i="28"/>
  <c r="M100" i="28"/>
  <c r="O100" i="28"/>
  <c r="P100" i="28"/>
  <c r="Q100" i="28"/>
  <c r="M54" i="28"/>
  <c r="AO269" i="20"/>
  <c r="G187" i="28"/>
  <c r="H187" i="28"/>
  <c r="N186" i="28"/>
  <c r="M186" i="28"/>
  <c r="L186" i="28"/>
  <c r="K186" i="28"/>
  <c r="J186" i="28"/>
  <c r="I186" i="28"/>
  <c r="N185" i="28"/>
  <c r="M185" i="28"/>
  <c r="L185" i="28"/>
  <c r="K185" i="28"/>
  <c r="J185" i="28"/>
  <c r="I185" i="28"/>
  <c r="H186" i="28"/>
  <c r="H185" i="28"/>
  <c r="AA526" i="20"/>
  <c r="Z526" i="20"/>
  <c r="Y526" i="20"/>
  <c r="X526" i="20"/>
  <c r="AA525" i="20"/>
  <c r="Z525" i="20"/>
  <c r="Y525" i="20"/>
  <c r="X525" i="20"/>
  <c r="AB526" i="20"/>
  <c r="AB525" i="20"/>
  <c r="AI336" i="12"/>
  <c r="AJ336" i="12"/>
  <c r="AJ49" i="20" s="1"/>
  <c r="AN336" i="12"/>
  <c r="AO49" i="20" s="1"/>
  <c r="AP50" i="20" s="1"/>
  <c r="AM336" i="12"/>
  <c r="AL336" i="12"/>
  <c r="AK336" i="12"/>
  <c r="AO239" i="20"/>
  <c r="AO232" i="20" s="1"/>
  <c r="AB588" i="20"/>
  <c r="CZ488" i="20"/>
  <c r="CZ487" i="20"/>
  <c r="DA487" i="20" s="1"/>
  <c r="CZ486" i="20"/>
  <c r="DA486" i="20" s="1"/>
  <c r="AB585" i="20" s="1"/>
  <c r="CZ485" i="20"/>
  <c r="DA485" i="20" s="1"/>
  <c r="AB584" i="20" s="1"/>
  <c r="CZ482" i="20"/>
  <c r="DA482" i="20" s="1"/>
  <c r="AB583" i="20" s="1"/>
  <c r="CZ481" i="20"/>
  <c r="DA481" i="20" s="1"/>
  <c r="AB582" i="20" s="1"/>
  <c r="CZ480" i="20"/>
  <c r="DA480" i="20" s="1"/>
  <c r="CZ466" i="20"/>
  <c r="DA466" i="20" s="1"/>
  <c r="AB579" i="20" s="1"/>
  <c r="CZ465" i="20"/>
  <c r="DA465" i="20" s="1"/>
  <c r="AB577" i="20" s="1"/>
  <c r="CZ464" i="20"/>
  <c r="DA464" i="20" s="1"/>
  <c r="AB576" i="20" s="1"/>
  <c r="CZ463" i="20"/>
  <c r="DA463" i="20" s="1"/>
  <c r="AB575" i="20" s="1"/>
  <c r="CZ460" i="20"/>
  <c r="DA460" i="20" s="1"/>
  <c r="AB574" i="20" s="1"/>
  <c r="CZ459" i="20"/>
  <c r="DA459" i="20" s="1"/>
  <c r="AB573" i="20" s="1"/>
  <c r="CZ458" i="20"/>
  <c r="DA458" i="20" s="1"/>
  <c r="CZ455" i="20"/>
  <c r="DA455" i="20" s="1"/>
  <c r="AB570" i="20" s="1"/>
  <c r="CZ454" i="20"/>
  <c r="DA454" i="20" s="1"/>
  <c r="AB568" i="20" s="1"/>
  <c r="CZ453" i="20"/>
  <c r="DA453" i="20" s="1"/>
  <c r="AB567" i="20" s="1"/>
  <c r="CZ452" i="20"/>
  <c r="DA452" i="20" s="1"/>
  <c r="AB566" i="20" s="1"/>
  <c r="CZ448" i="20"/>
  <c r="DA448" i="20" s="1"/>
  <c r="AB565" i="20" s="1"/>
  <c r="CZ447" i="20"/>
  <c r="DA447" i="20" s="1"/>
  <c r="AB564" i="20" s="1"/>
  <c r="CZ446" i="20"/>
  <c r="DA446" i="20" s="1"/>
  <c r="CZ443" i="20"/>
  <c r="DA443" i="20" s="1"/>
  <c r="AB560" i="20" s="1"/>
  <c r="CZ442" i="20"/>
  <c r="DA442" i="20" s="1"/>
  <c r="AB559" i="20" s="1"/>
  <c r="CZ441" i="20"/>
  <c r="DA441" i="20" s="1"/>
  <c r="AB558" i="20" s="1"/>
  <c r="CZ437" i="20"/>
  <c r="DA437" i="20" s="1"/>
  <c r="AB557" i="20" s="1"/>
  <c r="CZ436" i="20"/>
  <c r="DA436" i="20" s="1"/>
  <c r="AB556" i="20" s="1"/>
  <c r="CZ435" i="20"/>
  <c r="DA435" i="20" s="1"/>
  <c r="CZ432" i="20"/>
  <c r="DA432" i="20" s="1"/>
  <c r="AB553" i="20" s="1"/>
  <c r="CZ431" i="20"/>
  <c r="DA431" i="20" s="1"/>
  <c r="AB551" i="20" s="1"/>
  <c r="CZ430" i="20"/>
  <c r="DA430" i="20" s="1"/>
  <c r="AB550" i="20" s="1"/>
  <c r="CZ429" i="20"/>
  <c r="DA429" i="20" s="1"/>
  <c r="AB549" i="20" s="1"/>
  <c r="CZ425" i="20"/>
  <c r="DA425" i="20" s="1"/>
  <c r="AB548" i="20" s="1"/>
  <c r="CZ424" i="20"/>
  <c r="DA424" i="20" s="1"/>
  <c r="AB547" i="20" s="1"/>
  <c r="CZ423" i="20"/>
  <c r="DA423" i="20" s="1"/>
  <c r="CZ420" i="20"/>
  <c r="DA420" i="20" s="1"/>
  <c r="AB544" i="20" s="1"/>
  <c r="CZ419" i="20"/>
  <c r="DA419" i="20" s="1"/>
  <c r="AB542" i="20" s="1"/>
  <c r="CZ418" i="20"/>
  <c r="DA418" i="20" s="1"/>
  <c r="AB541" i="20" s="1"/>
  <c r="CZ417" i="20"/>
  <c r="DA417" i="20" s="1"/>
  <c r="AB540" i="20" s="1"/>
  <c r="CZ414" i="20"/>
  <c r="DA414" i="20" s="1"/>
  <c r="CZ412" i="20"/>
  <c r="DA412" i="20" s="1"/>
  <c r="M96" i="28"/>
  <c r="Q96" i="28"/>
  <c r="U112" i="28" s="1"/>
  <c r="Q113" i="28"/>
  <c r="Q111" i="28"/>
  <c r="AO264" i="20"/>
  <c r="AO237" i="20"/>
  <c r="AO192" i="20"/>
  <c r="AO287" i="20" s="1"/>
  <c r="AO190" i="20"/>
  <c r="N187" i="28" l="1"/>
  <c r="W524" i="20"/>
  <c r="AI49" i="20"/>
  <c r="Y524" i="20"/>
  <c r="AK49" i="20"/>
  <c r="AK50" i="20" s="1"/>
  <c r="L187" i="28"/>
  <c r="AM49" i="20"/>
  <c r="M187" i="28"/>
  <c r="AN49" i="20"/>
  <c r="AO50" i="20" s="1"/>
  <c r="I187" i="28"/>
  <c r="X524" i="20"/>
  <c r="Z524" i="20"/>
  <c r="AB524" i="20"/>
  <c r="AC524" i="20"/>
  <c r="J92" i="25"/>
  <c r="K65" i="25"/>
  <c r="AO56" i="20"/>
  <c r="AP56" i="20"/>
  <c r="AO351" i="12" s="1"/>
  <c r="AS352" i="12" s="1"/>
  <c r="M127" i="29"/>
  <c r="AN56" i="20"/>
  <c r="K127" i="29"/>
  <c r="J164" i="25"/>
  <c r="J182" i="25" s="1"/>
  <c r="D71" i="29"/>
  <c r="C80" i="29"/>
  <c r="C76" i="29"/>
  <c r="C84" i="29"/>
  <c r="AB595" i="20"/>
  <c r="J103" i="25"/>
  <c r="D72" i="29" s="1"/>
  <c r="J117" i="25"/>
  <c r="AB591" i="20"/>
  <c r="AB592" i="20"/>
  <c r="AB594" i="20"/>
  <c r="J101" i="25"/>
  <c r="L100" i="25"/>
  <c r="AZ42" i="20" s="1"/>
  <c r="J107" i="25"/>
  <c r="J114" i="25"/>
  <c r="N31" i="28"/>
  <c r="N47" i="28" s="1"/>
  <c r="AO271" i="20"/>
  <c r="AO272" i="20" s="1"/>
  <c r="AA524" i="20"/>
  <c r="K187" i="28"/>
  <c r="J187" i="28"/>
  <c r="I188" i="28"/>
  <c r="AB599" i="20"/>
  <c r="H188" i="28"/>
  <c r="DA415" i="20"/>
  <c r="AB539" i="20"/>
  <c r="DA483" i="20"/>
  <c r="AB586" i="20"/>
  <c r="AB596" i="20" s="1"/>
  <c r="AO216" i="20"/>
  <c r="Q112" i="28"/>
  <c r="N188" i="28" l="1"/>
  <c r="D4347" i="16"/>
  <c r="L188" i="28"/>
  <c r="L189" i="28" s="1"/>
  <c r="M188" i="28"/>
  <c r="M189" i="28" s="1"/>
  <c r="AN50" i="20"/>
  <c r="AM50" i="20"/>
  <c r="AJ50" i="20"/>
  <c r="AI50" i="20"/>
  <c r="J188" i="28"/>
  <c r="M100" i="25"/>
  <c r="E4347" i="16" s="1"/>
  <c r="J42" i="25"/>
  <c r="D80" i="29"/>
  <c r="D76" i="29"/>
  <c r="D84" i="29"/>
  <c r="N70" i="28"/>
  <c r="AB587" i="20"/>
  <c r="AB569" i="20"/>
  <c r="AB561" i="20"/>
  <c r="AB552" i="20"/>
  <c r="AB543" i="20"/>
  <c r="AB537" i="20"/>
  <c r="AB533" i="20"/>
  <c r="AB532" i="20"/>
  <c r="AB531" i="20"/>
  <c r="AB530" i="20"/>
  <c r="AB529" i="20"/>
  <c r="AB516" i="20"/>
  <c r="AB528" i="20" s="1"/>
  <c r="AC498" i="20"/>
  <c r="AC497" i="20"/>
  <c r="AC496" i="20"/>
  <c r="AC495" i="20"/>
  <c r="AC493" i="20"/>
  <c r="AC491" i="20"/>
  <c r="AC500" i="20" s="1"/>
  <c r="AC483" i="20"/>
  <c r="DB483" i="20" s="1"/>
  <c r="DC483" i="20" s="1"/>
  <c r="AC472" i="20"/>
  <c r="AC473" i="20" s="1"/>
  <c r="AC461" i="20"/>
  <c r="DB461" i="20" s="1"/>
  <c r="DC461" i="20" s="1"/>
  <c r="AC450" i="20"/>
  <c r="DB450" i="20" s="1"/>
  <c r="DC450" i="20" s="1"/>
  <c r="AC449" i="20"/>
  <c r="AC439" i="20"/>
  <c r="DB439" i="20" s="1"/>
  <c r="DC439" i="20" s="1"/>
  <c r="AC438" i="20"/>
  <c r="AC427" i="20"/>
  <c r="DB427" i="20" s="1"/>
  <c r="DC427" i="20" s="1"/>
  <c r="AC426" i="20"/>
  <c r="AC415" i="20"/>
  <c r="DB415" i="20" s="1"/>
  <c r="DC415" i="20" s="1"/>
  <c r="AC413" i="20"/>
  <c r="DB413" i="20" s="1"/>
  <c r="DC413" i="20" s="1"/>
  <c r="AC538" i="20" s="1"/>
  <c r="AN382" i="12"/>
  <c r="AN339" i="12"/>
  <c r="AO348" i="12" s="1"/>
  <c r="AN338" i="12"/>
  <c r="J260" i="28" s="1"/>
  <c r="AN332" i="12"/>
  <c r="AN327" i="12"/>
  <c r="AN347" i="12"/>
  <c r="AB521" i="20" s="1"/>
  <c r="AN346" i="12"/>
  <c r="AB520" i="20" s="1"/>
  <c r="AN345" i="12"/>
  <c r="AB519" i="20" s="1"/>
  <c r="AN344" i="12"/>
  <c r="AB518" i="20" s="1"/>
  <c r="AN343" i="12"/>
  <c r="AB517" i="20" s="1"/>
  <c r="AM347" i="12"/>
  <c r="AM346" i="12"/>
  <c r="AM344" i="12"/>
  <c r="AN272" i="12"/>
  <c r="AN266" i="12"/>
  <c r="AN244" i="12"/>
  <c r="AB514" i="20" s="1"/>
  <c r="AN243" i="12"/>
  <c r="AB512" i="20" s="1"/>
  <c r="AN242" i="12"/>
  <c r="AB511" i="20" s="1"/>
  <c r="AN241" i="12"/>
  <c r="AB510" i="20" s="1"/>
  <c r="AN240" i="12"/>
  <c r="AB509" i="20" s="1"/>
  <c r="AN239" i="12"/>
  <c r="AB508" i="20" s="1"/>
  <c r="AN238" i="12"/>
  <c r="AN235" i="12"/>
  <c r="AN233" i="12"/>
  <c r="AN231" i="12"/>
  <c r="N189" i="28" l="1"/>
  <c r="N100" i="25"/>
  <c r="BE42" i="20"/>
  <c r="AN340" i="12"/>
  <c r="AN274" i="12"/>
  <c r="AN276" i="12"/>
  <c r="N3931" i="16"/>
  <c r="AN232" i="12"/>
  <c r="N3915" i="16"/>
  <c r="AB590" i="20"/>
  <c r="AB546" i="20"/>
  <c r="AC428" i="20"/>
  <c r="AC484" i="20"/>
  <c r="AC440" i="20"/>
  <c r="AC451" i="20"/>
  <c r="AC492" i="20"/>
  <c r="AC462" i="20"/>
  <c r="AB534" i="20"/>
  <c r="AB522" i="20"/>
  <c r="AB513" i="20"/>
  <c r="AB578" i="20"/>
  <c r="AB597" i="20" s="1"/>
  <c r="AC494" i="20"/>
  <c r="AN267" i="12"/>
  <c r="BG247" i="12" s="1"/>
  <c r="AN268" i="12"/>
  <c r="AB555" i="20"/>
  <c r="AN273" i="12"/>
  <c r="O100" i="25" l="1"/>
  <c r="F4347" i="16"/>
  <c r="O3920" i="16"/>
  <c r="O3926" i="16"/>
  <c r="AB572" i="20"/>
  <c r="AB581" i="20" s="1"/>
  <c r="AB563" i="20"/>
  <c r="AN269" i="12"/>
  <c r="AO189" i="20"/>
  <c r="AO307" i="20"/>
  <c r="AO306" i="20"/>
  <c r="AO304" i="20"/>
  <c r="AO285" i="20"/>
  <c r="M79" i="28"/>
  <c r="M77" i="28"/>
  <c r="Q115" i="28"/>
  <c r="P115" i="28"/>
  <c r="O104" i="28"/>
  <c r="Q104" i="28"/>
  <c r="P104" i="28"/>
  <c r="Q140" i="28"/>
  <c r="Q130" i="28"/>
  <c r="Q116" i="28"/>
  <c r="Q110" i="28"/>
  <c r="Q109" i="28"/>
  <c r="M56" i="28"/>
  <c r="M58" i="28" s="1"/>
  <c r="M43" i="28"/>
  <c r="M42" i="28"/>
  <c r="M41" i="28"/>
  <c r="M40" i="28"/>
  <c r="M63" i="28" s="1"/>
  <c r="M39" i="28"/>
  <c r="M38" i="28"/>
  <c r="M37" i="28"/>
  <c r="M45" i="28" s="1"/>
  <c r="M52" i="28" s="1"/>
  <c r="M60" i="28" s="1"/>
  <c r="M68" i="28" s="1"/>
  <c r="M75" i="28" s="1"/>
  <c r="M83" i="28" s="1"/>
  <c r="M35" i="28"/>
  <c r="M33" i="28"/>
  <c r="M30" i="28"/>
  <c r="AO129" i="20"/>
  <c r="AO68" i="20"/>
  <c r="AO79" i="20" s="1"/>
  <c r="AO109" i="20" s="1"/>
  <c r="AO60" i="20"/>
  <c r="AT61" i="20" s="1"/>
  <c r="AO18" i="20"/>
  <c r="AO16" i="20"/>
  <c r="C3726" i="16"/>
  <c r="C3723" i="16"/>
  <c r="C3722" i="16"/>
  <c r="AK407" i="20"/>
  <c r="AM407" i="20"/>
  <c r="AN407" i="20"/>
  <c r="AN393" i="20"/>
  <c r="P100" i="25" l="1"/>
  <c r="G4347" i="16"/>
  <c r="M65" i="28"/>
  <c r="M88" i="28" s="1"/>
  <c r="M61" i="28"/>
  <c r="M69" i="28" s="1"/>
  <c r="M64" i="28"/>
  <c r="M72" i="28" s="1"/>
  <c r="AO21" i="20"/>
  <c r="AO191" i="20"/>
  <c r="M81" i="28"/>
  <c r="AO284" i="20"/>
  <c r="AO331" i="20" s="1"/>
  <c r="AO390" i="20" s="1"/>
  <c r="AO208" i="20"/>
  <c r="M66" i="28"/>
  <c r="M73" i="28" s="1"/>
  <c r="AO303" i="20"/>
  <c r="M32" i="28"/>
  <c r="M31" i="28"/>
  <c r="AN351" i="12"/>
  <c r="AR352" i="12" s="1"/>
  <c r="AO308" i="20"/>
  <c r="M50" i="28"/>
  <c r="M46" i="28"/>
  <c r="M62" i="28"/>
  <c r="M86" i="28"/>
  <c r="M49" i="28"/>
  <c r="F3729" i="16"/>
  <c r="C3725" i="16"/>
  <c r="F3725" i="16" s="1"/>
  <c r="Q100" i="25" l="1"/>
  <c r="R100" i="25" s="1"/>
  <c r="H4347" i="16"/>
  <c r="M84" i="28"/>
  <c r="M71" i="28"/>
  <c r="M87" i="28"/>
  <c r="M48" i="28"/>
  <c r="M89" i="28"/>
  <c r="AO286" i="20"/>
  <c r="M34" i="28"/>
  <c r="AO193" i="20"/>
  <c r="AO194" i="20" s="1"/>
  <c r="M47" i="28"/>
  <c r="AN383" i="12"/>
  <c r="M70" i="28"/>
  <c r="M85" i="28"/>
  <c r="C3727" i="16"/>
  <c r="E3698" i="16"/>
  <c r="F3698" i="16" s="1"/>
  <c r="G3698" i="16" s="1"/>
  <c r="H3698" i="16" s="1"/>
  <c r="L73" i="5"/>
  <c r="L72" i="5"/>
  <c r="L71" i="5"/>
  <c r="L70" i="5"/>
  <c r="H113" i="24"/>
  <c r="K113" i="24"/>
  <c r="L113" i="24" s="1"/>
  <c r="M113" i="24" s="1"/>
  <c r="N113" i="24" s="1"/>
  <c r="O113" i="24" s="1"/>
  <c r="P113" i="24" s="1"/>
  <c r="Q113" i="24" s="1"/>
  <c r="F114" i="24"/>
  <c r="D115" i="24"/>
  <c r="E115" i="24"/>
  <c r="F115" i="24"/>
  <c r="G115" i="24"/>
  <c r="H115" i="24"/>
  <c r="I115" i="24"/>
  <c r="I134" i="24" s="1"/>
  <c r="J115" i="24"/>
  <c r="J134" i="24" s="1"/>
  <c r="K115" i="24"/>
  <c r="L115" i="24"/>
  <c r="L134" i="24" s="1"/>
  <c r="M115" i="24"/>
  <c r="M134" i="24" s="1"/>
  <c r="N115" i="24"/>
  <c r="N134" i="24" s="1"/>
  <c r="O115" i="24"/>
  <c r="O134" i="24" s="1"/>
  <c r="P115" i="24"/>
  <c r="P134" i="24" s="1"/>
  <c r="D119" i="24"/>
  <c r="E119" i="24"/>
  <c r="F119" i="24"/>
  <c r="G119" i="24"/>
  <c r="H119" i="24"/>
  <c r="I121" i="24"/>
  <c r="J121" i="24"/>
  <c r="B128" i="24"/>
  <c r="B133" i="24"/>
  <c r="L143" i="24"/>
  <c r="M143" i="24"/>
  <c r="N143" i="24"/>
  <c r="O143" i="24"/>
  <c r="P143" i="24"/>
  <c r="K134" i="24" l="1"/>
  <c r="K124" i="24"/>
  <c r="R113" i="24"/>
  <c r="R146" i="24" s="1"/>
  <c r="Q146" i="24"/>
  <c r="F128" i="24"/>
  <c r="O124" i="24"/>
  <c r="G113" i="24"/>
  <c r="H146" i="24"/>
  <c r="H180" i="24" s="1"/>
  <c r="S134" i="24"/>
  <c r="S115" i="24"/>
  <c r="F116" i="24"/>
  <c r="AO288" i="20"/>
  <c r="AO347" i="20"/>
  <c r="E3772" i="8"/>
  <c r="F113" i="24" l="1"/>
  <c r="G146" i="24"/>
  <c r="G180" i="24" s="1"/>
  <c r="L138" i="5"/>
  <c r="L137" i="5"/>
  <c r="P104" i="5"/>
  <c r="D3660" i="16"/>
  <c r="C3660" i="16"/>
  <c r="H3661" i="16"/>
  <c r="H301" i="28" s="1"/>
  <c r="G3661" i="16"/>
  <c r="G301" i="28" s="1"/>
  <c r="F3661" i="16"/>
  <c r="F301" i="28" s="1"/>
  <c r="E3661" i="16"/>
  <c r="E301" i="28" s="1"/>
  <c r="D3661" i="16"/>
  <c r="D301" i="28" s="1"/>
  <c r="C3661" i="16"/>
  <c r="C301" i="28" s="1"/>
  <c r="H3659" i="16"/>
  <c r="G3659" i="16"/>
  <c r="F3659" i="16"/>
  <c r="E3659" i="16"/>
  <c r="D3659" i="16"/>
  <c r="C3659" i="16"/>
  <c r="H3655" i="16"/>
  <c r="H302" i="28" s="1"/>
  <c r="G3655" i="16"/>
  <c r="G302" i="28" s="1"/>
  <c r="F3655" i="16"/>
  <c r="E3655" i="16"/>
  <c r="E302" i="28" s="1"/>
  <c r="D3655" i="16"/>
  <c r="D302" i="28" s="1"/>
  <c r="C3655" i="16"/>
  <c r="C302" i="28" s="1"/>
  <c r="H3331" i="16"/>
  <c r="G3331" i="16"/>
  <c r="F3331" i="16"/>
  <c r="G3654" i="16"/>
  <c r="C3654" i="16"/>
  <c r="H3653" i="16"/>
  <c r="G3653" i="16"/>
  <c r="F3653" i="16"/>
  <c r="E3653" i="16"/>
  <c r="D3653" i="16"/>
  <c r="C3653" i="16"/>
  <c r="B3662" i="16"/>
  <c r="B3661" i="16"/>
  <c r="B3660" i="16"/>
  <c r="B3659" i="16"/>
  <c r="D3651" i="16"/>
  <c r="E3651" i="16" s="1"/>
  <c r="F3651" i="16" s="1"/>
  <c r="G3651" i="16" s="1"/>
  <c r="H3651" i="16" s="1"/>
  <c r="Q104" i="5" l="1"/>
  <c r="R104" i="5"/>
  <c r="I3803" i="16"/>
  <c r="H3803" i="16" s="1"/>
  <c r="F302" i="28"/>
  <c r="E113" i="24"/>
  <c r="F146" i="24"/>
  <c r="F180" i="24" s="1"/>
  <c r="I3786" i="16"/>
  <c r="H3786" i="16" s="1"/>
  <c r="I3805" i="16"/>
  <c r="H3805" i="16" s="1"/>
  <c r="I3802" i="16"/>
  <c r="H3802" i="16" s="1"/>
  <c r="I3789" i="16"/>
  <c r="H3789" i="16" s="1"/>
  <c r="I3790" i="16"/>
  <c r="H3790" i="16" s="1"/>
  <c r="I3806" i="16"/>
  <c r="H3806" i="16" s="1"/>
  <c r="I3787" i="16"/>
  <c r="H3787" i="16" s="1"/>
  <c r="D3662" i="16"/>
  <c r="C3662" i="16"/>
  <c r="C3656" i="16"/>
  <c r="G3656" i="16"/>
  <c r="I3653" i="16"/>
  <c r="I3655" i="16"/>
  <c r="S104" i="5" l="1"/>
  <c r="S105" i="5" s="1"/>
  <c r="R105" i="5"/>
  <c r="Q105" i="5"/>
  <c r="D113" i="24"/>
  <c r="D146" i="24" s="1"/>
  <c r="D180" i="24" s="1"/>
  <c r="E146" i="24"/>
  <c r="E180" i="24" s="1"/>
  <c r="C3664" i="16"/>
  <c r="C3665" i="16" s="1"/>
  <c r="T104" i="5" l="1"/>
  <c r="T105" i="5" s="1"/>
  <c r="S146" i="24"/>
  <c r="S180" i="24" s="1"/>
  <c r="J146" i="24"/>
  <c r="J180" i="24" s="1"/>
  <c r="I146" i="24"/>
  <c r="I180" i="24" s="1"/>
  <c r="U104" i="5" l="1"/>
  <c r="U105" i="5" s="1"/>
  <c r="I3627" i="16"/>
  <c r="H3627" i="16"/>
  <c r="G3627" i="16"/>
  <c r="F3627" i="16"/>
  <c r="X155" i="24" l="1"/>
  <c r="Z155" i="24" s="1"/>
  <c r="Z154" i="24"/>
  <c r="Z156" i="24" l="1"/>
  <c r="CI109" i="20"/>
  <c r="L3625" i="16"/>
  <c r="L3630" i="16" s="1"/>
  <c r="K3625" i="16"/>
  <c r="K3630" i="16" s="1"/>
  <c r="J3625" i="16"/>
  <c r="J3630" i="16" s="1"/>
  <c r="I3625" i="16"/>
  <c r="I3630" i="16" s="1"/>
  <c r="H3625" i="16"/>
  <c r="H3630" i="16" s="1"/>
  <c r="G3625" i="16"/>
  <c r="G3630" i="16" s="1"/>
  <c r="F3625" i="16"/>
  <c r="F3630" i="16" s="1"/>
  <c r="E3625" i="16"/>
  <c r="E3630" i="16" s="1"/>
  <c r="D3625" i="16"/>
  <c r="D3630" i="16" s="1"/>
  <c r="C3625" i="16"/>
  <c r="C3630" i="16" s="1"/>
  <c r="H49" i="24" l="1"/>
  <c r="I47" i="24"/>
  <c r="I42" i="24"/>
  <c r="I37" i="24"/>
  <c r="I32" i="24"/>
  <c r="C100" i="24"/>
  <c r="C225" i="24"/>
  <c r="C226" i="24" s="1"/>
  <c r="I123" i="24" s="1"/>
  <c r="L62" i="24"/>
  <c r="M62" i="24" s="1"/>
  <c r="K80" i="24"/>
  <c r="L80" i="24" s="1"/>
  <c r="M80" i="24" s="1"/>
  <c r="N80" i="24" s="1"/>
  <c r="O80" i="24" s="1"/>
  <c r="P80" i="24" s="1"/>
  <c r="Q80" i="24" s="1"/>
  <c r="R80" i="24" s="1"/>
  <c r="K79" i="24"/>
  <c r="L79" i="24" s="1"/>
  <c r="M79" i="24" s="1"/>
  <c r="N79" i="24" s="1"/>
  <c r="O79" i="24" s="1"/>
  <c r="P79" i="24" s="1"/>
  <c r="Q79" i="24" s="1"/>
  <c r="R79" i="24" s="1"/>
  <c r="I82" i="24"/>
  <c r="J72" i="24" s="1"/>
  <c r="K72" i="24" s="1"/>
  <c r="L72" i="24" s="1"/>
  <c r="M72" i="24" s="1"/>
  <c r="N72" i="24" s="1"/>
  <c r="O72" i="24" s="1"/>
  <c r="P72" i="24" s="1"/>
  <c r="Q72" i="24" s="1"/>
  <c r="R72" i="24" s="1"/>
  <c r="C202" i="24"/>
  <c r="I191" i="24" l="1"/>
  <c r="B53" i="29" s="1"/>
  <c r="J123" i="24"/>
  <c r="N62" i="24"/>
  <c r="O62" i="24" s="1"/>
  <c r="P62" i="24" s="1"/>
  <c r="Q62" i="24" s="1"/>
  <c r="R62" i="24" s="1"/>
  <c r="K123" i="24" l="1"/>
  <c r="P153" i="24"/>
  <c r="J24" i="29" s="1"/>
  <c r="O153" i="24"/>
  <c r="I24" i="29" s="1"/>
  <c r="N153" i="24"/>
  <c r="H24" i="29" s="1"/>
  <c r="G24" i="29"/>
  <c r="F24" i="29"/>
  <c r="E24" i="29"/>
  <c r="C236" i="24"/>
  <c r="C233" i="24"/>
  <c r="AN129" i="20"/>
  <c r="AM129" i="20"/>
  <c r="AR314" i="12"/>
  <c r="AS314" i="12" s="1"/>
  <c r="AT314" i="12" s="1"/>
  <c r="AU314" i="12" s="1"/>
  <c r="AQ313" i="12"/>
  <c r="AR313" i="12" s="1"/>
  <c r="AS313" i="12" s="1"/>
  <c r="AT313" i="12" s="1"/>
  <c r="AU313" i="12" s="1"/>
  <c r="AP313" i="12"/>
  <c r="C235" i="24" l="1"/>
  <c r="J241" i="24" l="1"/>
  <c r="G23" i="29"/>
  <c r="E3767" i="8"/>
  <c r="E3770" i="8" s="1"/>
  <c r="E3773" i="8" s="1"/>
  <c r="L139" i="5"/>
  <c r="O105" i="5"/>
  <c r="N105" i="5"/>
  <c r="M105" i="5"/>
  <c r="M134" i="5"/>
  <c r="N134" i="5" s="1"/>
  <c r="O134" i="5" s="1"/>
  <c r="P134" i="5" s="1"/>
  <c r="Q134" i="5" s="1"/>
  <c r="R134" i="5" s="1"/>
  <c r="S134" i="5" s="1"/>
  <c r="T134" i="5" s="1"/>
  <c r="U134" i="5" s="1"/>
  <c r="M133" i="5"/>
  <c r="N133" i="5" s="1"/>
  <c r="O133" i="5" s="1"/>
  <c r="P133" i="5" s="1"/>
  <c r="Q133" i="5" s="1"/>
  <c r="R133" i="5" s="1"/>
  <c r="S133" i="5" s="1"/>
  <c r="T133" i="5" s="1"/>
  <c r="U133" i="5" s="1"/>
  <c r="M130" i="5"/>
  <c r="N130" i="5" s="1"/>
  <c r="O130" i="5" s="1"/>
  <c r="P130" i="5" s="1"/>
  <c r="Q130" i="5" s="1"/>
  <c r="R130" i="5" s="1"/>
  <c r="S130" i="5" s="1"/>
  <c r="T130" i="5" s="1"/>
  <c r="U130" i="5" s="1"/>
  <c r="M129" i="5"/>
  <c r="N129" i="5" s="1"/>
  <c r="O129" i="5" s="1"/>
  <c r="P129" i="5" s="1"/>
  <c r="Q129" i="5" s="1"/>
  <c r="R129" i="5" s="1"/>
  <c r="S129" i="5" s="1"/>
  <c r="T129" i="5" s="1"/>
  <c r="U129" i="5" s="1"/>
  <c r="M97" i="5"/>
  <c r="N97" i="5" s="1"/>
  <c r="M96" i="5"/>
  <c r="M101" i="5"/>
  <c r="N101" i="5" s="1"/>
  <c r="O101" i="5" s="1"/>
  <c r="P101" i="5" s="1"/>
  <c r="Q101" i="5" s="1"/>
  <c r="R101" i="5" s="1"/>
  <c r="S101" i="5" s="1"/>
  <c r="T101" i="5" s="1"/>
  <c r="U101" i="5" s="1"/>
  <c r="M100" i="5"/>
  <c r="N100" i="5" s="1"/>
  <c r="O100" i="5" s="1"/>
  <c r="P100" i="5" s="1"/>
  <c r="Q100" i="5" s="1"/>
  <c r="R100" i="5" s="1"/>
  <c r="M113" i="5"/>
  <c r="N113" i="5" s="1"/>
  <c r="O113" i="5" s="1"/>
  <c r="P113" i="5" s="1"/>
  <c r="Q113" i="5" s="1"/>
  <c r="R113" i="5" s="1"/>
  <c r="S113" i="5" s="1"/>
  <c r="T113" i="5" s="1"/>
  <c r="U113" i="5" s="1"/>
  <c r="M112" i="5"/>
  <c r="N112" i="5" s="1"/>
  <c r="O112" i="5" s="1"/>
  <c r="P112" i="5" s="1"/>
  <c r="Q112" i="5" s="1"/>
  <c r="R112" i="5" s="1"/>
  <c r="S112" i="5" s="1"/>
  <c r="T112" i="5" s="1"/>
  <c r="U112" i="5" s="1"/>
  <c r="L115" i="5"/>
  <c r="M115" i="5" s="1"/>
  <c r="A113" i="5"/>
  <c r="A118" i="5" s="1"/>
  <c r="A122" i="5" s="1"/>
  <c r="A126" i="5" s="1"/>
  <c r="A112" i="5"/>
  <c r="A117" i="5" s="1"/>
  <c r="A121" i="5" s="1"/>
  <c r="A125" i="5" s="1"/>
  <c r="A130" i="5"/>
  <c r="A134" i="5" s="1"/>
  <c r="A138" i="5" s="1"/>
  <c r="A129" i="5"/>
  <c r="A133" i="5" s="1"/>
  <c r="A137" i="5" s="1"/>
  <c r="S100" i="5" l="1"/>
  <c r="T100" i="5" s="1"/>
  <c r="U100" i="5" s="1"/>
  <c r="N96" i="5"/>
  <c r="M108" i="5"/>
  <c r="O97" i="5"/>
  <c r="P97" i="5" s="1"/>
  <c r="Q97" i="5" s="1"/>
  <c r="N109" i="5"/>
  <c r="M109" i="5"/>
  <c r="C97" i="24"/>
  <c r="C103" i="24" s="1"/>
  <c r="C3729" i="16"/>
  <c r="P105" i="5"/>
  <c r="K241" i="24"/>
  <c r="K146" i="24"/>
  <c r="K180" i="24" s="1"/>
  <c r="P17" i="5"/>
  <c r="O17" i="5"/>
  <c r="N17" i="5"/>
  <c r="M17" i="5"/>
  <c r="M140" i="28"/>
  <c r="L140" i="28"/>
  <c r="K140" i="28"/>
  <c r="Q109" i="5" l="1"/>
  <c r="R97" i="5"/>
  <c r="O96" i="5"/>
  <c r="N108" i="5"/>
  <c r="P109" i="5"/>
  <c r="O109" i="5"/>
  <c r="N97" i="24"/>
  <c r="G3726" i="16"/>
  <c r="F3726" i="16" s="1"/>
  <c r="C3734" i="16"/>
  <c r="F3727" i="16" s="1"/>
  <c r="L241" i="24"/>
  <c r="L146" i="24"/>
  <c r="L180" i="24" s="1"/>
  <c r="M116" i="28"/>
  <c r="L116" i="28"/>
  <c r="K116" i="28"/>
  <c r="M115" i="28"/>
  <c r="M110" i="28"/>
  <c r="M109" i="28"/>
  <c r="M104" i="28"/>
  <c r="C3358" i="16"/>
  <c r="C203" i="24" s="1"/>
  <c r="C204" i="24" s="1"/>
  <c r="D3357" i="16"/>
  <c r="D202" i="24" s="1"/>
  <c r="S97" i="5" l="1"/>
  <c r="R109" i="5"/>
  <c r="P96" i="5"/>
  <c r="O108" i="5"/>
  <c r="M241" i="24"/>
  <c r="M146" i="24"/>
  <c r="M180" i="24" s="1"/>
  <c r="D3358" i="16"/>
  <c r="D203" i="24" s="1"/>
  <c r="D204" i="24" s="1"/>
  <c r="T97" i="5" l="1"/>
  <c r="S109" i="5"/>
  <c r="P108" i="5"/>
  <c r="Q96" i="5"/>
  <c r="N146" i="24"/>
  <c r="N180" i="24" s="1"/>
  <c r="AE500" i="20"/>
  <c r="AN358" i="20"/>
  <c r="AO358" i="20" s="1"/>
  <c r="AO368" i="20" s="1"/>
  <c r="AN355" i="20"/>
  <c r="AN354" i="20"/>
  <c r="AN357" i="20"/>
  <c r="AN11" i="20"/>
  <c r="CH11" i="20" s="1"/>
  <c r="T109" i="5" l="1"/>
  <c r="U97" i="5"/>
  <c r="U109" i="5" s="1"/>
  <c r="Q108" i="5"/>
  <c r="R96" i="5"/>
  <c r="AO357" i="20"/>
  <c r="AP357" i="20" s="1"/>
  <c r="AO355" i="20"/>
  <c r="AP355" i="20" s="1"/>
  <c r="AO354" i="20"/>
  <c r="AP354" i="20" s="1"/>
  <c r="P146" i="24"/>
  <c r="P180" i="24" s="1"/>
  <c r="O146" i="24"/>
  <c r="O180" i="24" s="1"/>
  <c r="E3702" i="8"/>
  <c r="S96" i="5" l="1"/>
  <c r="R108" i="5"/>
  <c r="P113" i="28"/>
  <c r="P111" i="28"/>
  <c r="P96" i="28"/>
  <c r="T112" i="28" s="1"/>
  <c r="L96" i="28"/>
  <c r="O96" i="28"/>
  <c r="S112" i="28" s="1"/>
  <c r="AM327" i="12"/>
  <c r="AM244" i="12"/>
  <c r="AM243" i="12"/>
  <c r="AM242" i="12"/>
  <c r="AM241" i="12"/>
  <c r="AM240" i="12"/>
  <c r="AM239" i="12"/>
  <c r="AM238" i="12"/>
  <c r="T96" i="5" l="1"/>
  <c r="S108" i="5"/>
  <c r="P112" i="28"/>
  <c r="L130" i="28"/>
  <c r="L127" i="28"/>
  <c r="L125" i="28"/>
  <c r="L124" i="28"/>
  <c r="L115" i="28"/>
  <c r="L110" i="28"/>
  <c r="L109" i="28"/>
  <c r="L104" i="28"/>
  <c r="AM269" i="20"/>
  <c r="L54" i="28"/>
  <c r="AN269" i="20"/>
  <c r="L56" i="28" s="1"/>
  <c r="AN211" i="20"/>
  <c r="AN190" i="20"/>
  <c r="AN239" i="20"/>
  <c r="AN18" i="20"/>
  <c r="AM235" i="12"/>
  <c r="AM233" i="12"/>
  <c r="AM231" i="12"/>
  <c r="AM272" i="12"/>
  <c r="M3931" i="16" s="1"/>
  <c r="AM266" i="12"/>
  <c r="AM332" i="12"/>
  <c r="AA520" i="20"/>
  <c r="AM345" i="12"/>
  <c r="AA519" i="20" s="1"/>
  <c r="AM343" i="12"/>
  <c r="AA517" i="20" s="1"/>
  <c r="AM339" i="12"/>
  <c r="AM338" i="12"/>
  <c r="I260" i="28" s="1"/>
  <c r="CY488" i="20"/>
  <c r="AA588" i="20" s="1"/>
  <c r="CY487" i="20"/>
  <c r="AA586" i="20" s="1"/>
  <c r="CY486" i="20"/>
  <c r="AA585" i="20" s="1"/>
  <c r="CY485" i="20"/>
  <c r="AA584" i="20" s="1"/>
  <c r="CY482" i="20"/>
  <c r="AA583" i="20" s="1"/>
  <c r="CY481" i="20"/>
  <c r="AA582" i="20" s="1"/>
  <c r="CY480" i="20"/>
  <c r="CY466" i="20"/>
  <c r="AA579" i="20" s="1"/>
  <c r="CY465" i="20"/>
  <c r="AA577" i="20" s="1"/>
  <c r="CY464" i="20"/>
  <c r="AA576" i="20" s="1"/>
  <c r="CY463" i="20"/>
  <c r="AA575" i="20" s="1"/>
  <c r="CY460" i="20"/>
  <c r="AA574" i="20" s="1"/>
  <c r="CY459" i="20"/>
  <c r="AA573" i="20" s="1"/>
  <c r="CY458" i="20"/>
  <c r="CY455" i="20"/>
  <c r="AA570" i="20" s="1"/>
  <c r="CY454" i="20"/>
  <c r="AA568" i="20" s="1"/>
  <c r="CY453" i="20"/>
  <c r="AA567" i="20" s="1"/>
  <c r="CY452" i="20"/>
  <c r="AA566" i="20" s="1"/>
  <c r="CY448" i="20"/>
  <c r="AA565" i="20" s="1"/>
  <c r="CY447" i="20"/>
  <c r="AA564" i="20" s="1"/>
  <c r="CY446" i="20"/>
  <c r="CY443" i="20"/>
  <c r="AA560" i="20" s="1"/>
  <c r="CY442" i="20"/>
  <c r="AA559" i="20" s="1"/>
  <c r="CY441" i="20"/>
  <c r="AA558" i="20" s="1"/>
  <c r="CY437" i="20"/>
  <c r="AA557" i="20" s="1"/>
  <c r="CY436" i="20"/>
  <c r="AA556" i="20" s="1"/>
  <c r="CY435" i="20"/>
  <c r="CY432" i="20"/>
  <c r="AA553" i="20" s="1"/>
  <c r="CY431" i="20"/>
  <c r="AA551" i="20" s="1"/>
  <c r="CY430" i="20"/>
  <c r="AA550" i="20" s="1"/>
  <c r="CY429" i="20"/>
  <c r="AA549" i="20" s="1"/>
  <c r="CY425" i="20"/>
  <c r="AA548" i="20" s="1"/>
  <c r="CY424" i="20"/>
  <c r="AA547" i="20" s="1"/>
  <c r="CY423" i="20"/>
  <c r="CY420" i="20"/>
  <c r="AA544" i="20" s="1"/>
  <c r="CY419" i="20"/>
  <c r="AA542" i="20" s="1"/>
  <c r="CY418" i="20"/>
  <c r="AA541" i="20" s="1"/>
  <c r="CY417" i="20"/>
  <c r="AA540" i="20" s="1"/>
  <c r="CY414" i="20"/>
  <c r="AA539" i="20" s="1"/>
  <c r="CY412" i="20"/>
  <c r="AA537" i="20"/>
  <c r="AA533" i="20"/>
  <c r="AA532" i="20"/>
  <c r="AA531" i="20"/>
  <c r="AA530" i="20"/>
  <c r="AA529" i="20"/>
  <c r="AA521" i="20"/>
  <c r="AA518" i="20"/>
  <c r="AA516" i="20"/>
  <c r="AA528" i="20" s="1"/>
  <c r="AA514" i="20"/>
  <c r="AA512" i="20"/>
  <c r="AA511" i="20"/>
  <c r="AA510" i="20"/>
  <c r="AA509" i="20"/>
  <c r="AA508" i="20"/>
  <c r="P130" i="28"/>
  <c r="O127" i="28"/>
  <c r="O125" i="28"/>
  <c r="O124" i="28"/>
  <c r="P110" i="28"/>
  <c r="P109" i="28"/>
  <c r="L79" i="28"/>
  <c r="L77" i="28"/>
  <c r="L43" i="28"/>
  <c r="L42" i="28"/>
  <c r="L65" i="28" s="1"/>
  <c r="L88" i="28" s="1"/>
  <c r="L41" i="28"/>
  <c r="L39" i="28"/>
  <c r="L37" i="28"/>
  <c r="L45" i="28" s="1"/>
  <c r="L52" i="28" s="1"/>
  <c r="L60" i="28" s="1"/>
  <c r="L68" i="28" s="1"/>
  <c r="L75" i="28" s="1"/>
  <c r="L83" i="28" s="1"/>
  <c r="L35" i="28"/>
  <c r="L33" i="28"/>
  <c r="I537" i="20"/>
  <c r="J537" i="20"/>
  <c r="K537" i="20"/>
  <c r="L537" i="20"/>
  <c r="M537" i="20"/>
  <c r="N537" i="20"/>
  <c r="O537" i="20"/>
  <c r="P537" i="20"/>
  <c r="Q537" i="20"/>
  <c r="Q546" i="20" s="1"/>
  <c r="R537" i="20"/>
  <c r="R546" i="20" s="1"/>
  <c r="S537" i="20"/>
  <c r="S546" i="20" s="1"/>
  <c r="T537" i="20"/>
  <c r="T546" i="20" s="1"/>
  <c r="U537" i="20"/>
  <c r="U546" i="20" s="1"/>
  <c r="V537" i="20"/>
  <c r="V546" i="20" s="1"/>
  <c r="W537" i="20"/>
  <c r="W546" i="20" s="1"/>
  <c r="X537" i="20"/>
  <c r="X546" i="20" s="1"/>
  <c r="Y537" i="20"/>
  <c r="Y546" i="20" s="1"/>
  <c r="Z537" i="20"/>
  <c r="Z546" i="20" s="1"/>
  <c r="AB498" i="20"/>
  <c r="AB497" i="20"/>
  <c r="AB496" i="20"/>
  <c r="AB495" i="20"/>
  <c r="AB493" i="20"/>
  <c r="AB491" i="20"/>
  <c r="AB500" i="20" s="1"/>
  <c r="AB483" i="20"/>
  <c r="CZ483" i="20" s="1"/>
  <c r="AB472" i="20"/>
  <c r="AB473" i="20" s="1"/>
  <c r="AB461" i="20"/>
  <c r="AB450" i="20"/>
  <c r="AB449" i="20"/>
  <c r="AB439" i="20"/>
  <c r="AB438" i="20"/>
  <c r="AB427" i="20"/>
  <c r="AB426" i="20"/>
  <c r="AB413" i="20"/>
  <c r="AB415" i="20"/>
  <c r="CZ415" i="20" s="1"/>
  <c r="AN368" i="20"/>
  <c r="AN314" i="20"/>
  <c r="AN321" i="20" s="1"/>
  <c r="AN306" i="20"/>
  <c r="AN304" i="20"/>
  <c r="AN264" i="20"/>
  <c r="AN307" i="20" s="1"/>
  <c r="AN260" i="20"/>
  <c r="AN237" i="20"/>
  <c r="AN192" i="20"/>
  <c r="AN287" i="20" s="1"/>
  <c r="AN189" i="20"/>
  <c r="AN208" i="20" s="1"/>
  <c r="AN90" i="20"/>
  <c r="AN68" i="20"/>
  <c r="AN79" i="20" s="1"/>
  <c r="AN109" i="20" s="1"/>
  <c r="CK109" i="20" s="1"/>
  <c r="AN60" i="20"/>
  <c r="AS61" i="20" s="1"/>
  <c r="L31" i="28"/>
  <c r="V263" i="17"/>
  <c r="W257" i="17"/>
  <c r="V257" i="17"/>
  <c r="W254" i="17"/>
  <c r="W250" i="17"/>
  <c r="V250" i="17"/>
  <c r="V248" i="17"/>
  <c r="V247" i="17"/>
  <c r="V246" i="17"/>
  <c r="V245" i="17"/>
  <c r="V244" i="17"/>
  <c r="V243" i="17"/>
  <c r="V241" i="17"/>
  <c r="U263" i="17"/>
  <c r="U257" i="17"/>
  <c r="U250" i="17"/>
  <c r="U248" i="17"/>
  <c r="U247" i="17"/>
  <c r="U246" i="17"/>
  <c r="U245" i="17"/>
  <c r="U244" i="17"/>
  <c r="U243" i="17"/>
  <c r="U241" i="17"/>
  <c r="W237" i="17"/>
  <c r="V237" i="17"/>
  <c r="W236" i="17"/>
  <c r="V236" i="17"/>
  <c r="W230" i="17"/>
  <c r="W239" i="17" s="1"/>
  <c r="V230" i="17"/>
  <c r="V239" i="17" s="1"/>
  <c r="W227" i="17"/>
  <c r="W238" i="17" s="1"/>
  <c r="V227" i="17"/>
  <c r="W223" i="17"/>
  <c r="V223" i="17"/>
  <c r="W221" i="17"/>
  <c r="V221" i="17"/>
  <c r="V220" i="17"/>
  <c r="W219" i="17"/>
  <c r="W218" i="17"/>
  <c r="V218" i="17"/>
  <c r="W217" i="17"/>
  <c r="V217" i="17"/>
  <c r="V216" i="17"/>
  <c r="V215" i="17"/>
  <c r="V214" i="17"/>
  <c r="U237" i="17"/>
  <c r="U236" i="17"/>
  <c r="U230" i="17"/>
  <c r="U239" i="17" s="1"/>
  <c r="U223" i="17"/>
  <c r="U221" i="17"/>
  <c r="U220" i="17"/>
  <c r="U218" i="17"/>
  <c r="U217" i="17"/>
  <c r="U216" i="17"/>
  <c r="U215" i="17"/>
  <c r="U214" i="17"/>
  <c r="AE172" i="17"/>
  <c r="AE187" i="17" s="1"/>
  <c r="AE213" i="17" s="1"/>
  <c r="AE55" i="17"/>
  <c r="AE14" i="17"/>
  <c r="AE10" i="17"/>
  <c r="C3598" i="16"/>
  <c r="C3599" i="16" s="1"/>
  <c r="C3600" i="16" s="1"/>
  <c r="C3601" i="16" s="1"/>
  <c r="C3580" i="16"/>
  <c r="C3579" i="16"/>
  <c r="T108" i="5" l="1"/>
  <c r="U96" i="5"/>
  <c r="U108" i="5" s="1"/>
  <c r="V233" i="17"/>
  <c r="W260" i="17"/>
  <c r="V238" i="17"/>
  <c r="AM232" i="12"/>
  <c r="M3915" i="16"/>
  <c r="O121" i="28"/>
  <c r="O122" i="28" s="1"/>
  <c r="K224" i="29"/>
  <c r="AA595" i="20"/>
  <c r="AA596" i="20"/>
  <c r="AA591" i="20"/>
  <c r="AA592" i="20"/>
  <c r="AA594" i="20"/>
  <c r="AA590" i="20"/>
  <c r="AA546" i="20"/>
  <c r="AM382" i="12"/>
  <c r="AN267" i="20"/>
  <c r="AN271" i="20"/>
  <c r="AN272" i="20" s="1"/>
  <c r="AP269" i="20"/>
  <c r="AA599" i="20"/>
  <c r="L30" i="28"/>
  <c r="AB440" i="20"/>
  <c r="CZ439" i="20"/>
  <c r="DA439" i="20" s="1"/>
  <c r="AB428" i="20"/>
  <c r="CZ427" i="20"/>
  <c r="DA427" i="20" s="1"/>
  <c r="AB451" i="20"/>
  <c r="CZ450" i="20"/>
  <c r="DA450" i="20" s="1"/>
  <c r="AB462" i="20"/>
  <c r="CZ461" i="20"/>
  <c r="DA461" i="20" s="1"/>
  <c r="AB492" i="20"/>
  <c r="CZ413" i="20"/>
  <c r="DA413" i="20" s="1"/>
  <c r="AB538" i="20" s="1"/>
  <c r="AN348" i="12"/>
  <c r="AN375" i="12"/>
  <c r="L3628" i="16"/>
  <c r="L3627" i="16"/>
  <c r="AN21" i="20"/>
  <c r="AM268" i="12"/>
  <c r="P116" i="28"/>
  <c r="AM276" i="12"/>
  <c r="P140" i="28"/>
  <c r="AA513" i="20"/>
  <c r="AA534" i="20"/>
  <c r="AM340" i="12"/>
  <c r="AB484" i="20"/>
  <c r="AA578" i="20"/>
  <c r="AA569" i="20"/>
  <c r="AA561" i="20"/>
  <c r="AA552" i="20"/>
  <c r="AA543" i="20"/>
  <c r="AM351" i="12"/>
  <c r="AQ352" i="12" s="1"/>
  <c r="L38" i="28"/>
  <c r="AM267" i="12"/>
  <c r="AM273" i="12"/>
  <c r="AM274" i="12"/>
  <c r="AA522" i="20"/>
  <c r="AA587" i="20"/>
  <c r="L47" i="28"/>
  <c r="L49" i="28"/>
  <c r="L58" i="28"/>
  <c r="L66" i="28" s="1"/>
  <c r="L81" i="28"/>
  <c r="L62" i="28"/>
  <c r="L85" i="28" s="1"/>
  <c r="L64" i="28"/>
  <c r="L87" i="28" s="1"/>
  <c r="L50" i="28"/>
  <c r="AA555" i="20"/>
  <c r="AB494" i="20"/>
  <c r="AN284" i="20"/>
  <c r="AN331" i="20" s="1"/>
  <c r="AN390" i="20" s="1"/>
  <c r="AN16" i="20"/>
  <c r="AN308" i="20"/>
  <c r="AN327" i="20"/>
  <c r="AN324" i="20"/>
  <c r="AN352" i="20" s="1"/>
  <c r="AN285" i="20"/>
  <c r="AN216" i="20"/>
  <c r="W233" i="17"/>
  <c r="I3573" i="16"/>
  <c r="H3573" i="16"/>
  <c r="G3573" i="16"/>
  <c r="L3626" i="16" l="1"/>
  <c r="BF247" i="12"/>
  <c r="N3926" i="16"/>
  <c r="N3920" i="16"/>
  <c r="K226" i="29"/>
  <c r="K230" i="29" s="1"/>
  <c r="L243" i="29"/>
  <c r="AA597" i="20"/>
  <c r="AA572" i="20"/>
  <c r="AA581" i="20" s="1"/>
  <c r="AA563" i="20"/>
  <c r="AP271" i="20"/>
  <c r="AP272" i="20" s="1"/>
  <c r="N56" i="28"/>
  <c r="L46" i="28"/>
  <c r="AM269" i="12"/>
  <c r="L61" i="28"/>
  <c r="L69" i="28" s="1"/>
  <c r="AM383" i="12"/>
  <c r="L70" i="28"/>
  <c r="L89" i="28"/>
  <c r="L72" i="28"/>
  <c r="L73" i="28"/>
  <c r="K3560" i="16"/>
  <c r="K3568" i="16" s="1"/>
  <c r="G3560" i="16"/>
  <c r="G3568" i="16" s="1"/>
  <c r="C3560" i="16"/>
  <c r="C3568" i="16" s="1"/>
  <c r="M3614" i="16"/>
  <c r="L3614" i="16"/>
  <c r="K3614" i="16"/>
  <c r="I3614" i="16"/>
  <c r="H3614" i="16"/>
  <c r="E3619" i="16"/>
  <c r="D3619" i="16"/>
  <c r="C3619" i="16"/>
  <c r="E3620" i="16"/>
  <c r="D3620" i="16"/>
  <c r="C3620" i="16"/>
  <c r="M3612" i="16"/>
  <c r="L3612" i="16"/>
  <c r="K3612" i="16"/>
  <c r="I3616" i="16"/>
  <c r="H3616" i="16"/>
  <c r="G3616" i="16"/>
  <c r="F3616" i="16"/>
  <c r="E3616" i="16"/>
  <c r="D3616" i="16"/>
  <c r="C3616" i="16"/>
  <c r="G3613" i="16"/>
  <c r="F3613" i="16"/>
  <c r="E3613" i="16"/>
  <c r="D3613" i="16"/>
  <c r="C3613" i="16"/>
  <c r="I3612" i="16"/>
  <c r="H3612" i="16"/>
  <c r="G3611" i="16"/>
  <c r="F3611" i="16"/>
  <c r="E3611" i="16"/>
  <c r="D3611" i="16"/>
  <c r="C3611" i="16"/>
  <c r="D3589" i="16"/>
  <c r="E3589" i="16" s="1"/>
  <c r="C3587" i="16"/>
  <c r="C3590" i="16"/>
  <c r="C3592" i="16" s="1"/>
  <c r="C3588" i="16"/>
  <c r="B3588" i="16"/>
  <c r="D3582" i="16"/>
  <c r="E3582" i="16" s="1"/>
  <c r="F3582" i="16" s="1"/>
  <c r="G3582" i="16" s="1"/>
  <c r="C3585" i="16" s="1"/>
  <c r="N58" i="28" l="1"/>
  <c r="N66" i="28" s="1"/>
  <c r="N64" i="28"/>
  <c r="E3621" i="16"/>
  <c r="L84" i="28"/>
  <c r="C3621" i="16"/>
  <c r="D3621" i="16"/>
  <c r="D3590" i="16"/>
  <c r="D3592" i="16" s="1"/>
  <c r="D3593" i="16" s="1"/>
  <c r="F3589" i="16"/>
  <c r="E3590" i="16"/>
  <c r="E3592" i="16" s="1"/>
  <c r="C3593" i="16"/>
  <c r="N87" i="28" l="1"/>
  <c r="N72" i="28"/>
  <c r="N89" i="28"/>
  <c r="N73" i="28"/>
  <c r="G3589" i="16"/>
  <c r="G3590" i="16" s="1"/>
  <c r="G3592" i="16" s="1"/>
  <c r="G3593" i="16" s="1"/>
  <c r="F3590" i="16"/>
  <c r="F3592" i="16" s="1"/>
  <c r="E3593" i="16"/>
  <c r="F3593" i="16" l="1"/>
  <c r="C3594" i="16" s="1"/>
  <c r="L3552" i="16" l="1"/>
  <c r="I3557" i="16"/>
  <c r="H3557" i="16"/>
  <c r="H3552" i="16"/>
  <c r="B3566" i="16"/>
  <c r="B3574" i="16" s="1"/>
  <c r="B3565" i="16"/>
  <c r="B3573" i="16" s="1"/>
  <c r="B3564" i="16"/>
  <c r="B3572" i="16" s="1"/>
  <c r="B3563" i="16"/>
  <c r="B3571" i="16" s="1"/>
  <c r="B3562" i="16"/>
  <c r="B3570" i="16" s="1"/>
  <c r="B3561" i="16"/>
  <c r="B3569" i="16" s="1"/>
  <c r="D3552" i="16"/>
  <c r="K39" i="28"/>
  <c r="K37" i="28"/>
  <c r="K45" i="28" s="1"/>
  <c r="K52" i="28" s="1"/>
  <c r="K60" i="28" s="1"/>
  <c r="K68" i="28" s="1"/>
  <c r="K75" i="28" s="1"/>
  <c r="K83" i="28" s="1"/>
  <c r="D31" i="28"/>
  <c r="C31" i="28"/>
  <c r="J39" i="28"/>
  <c r="I39" i="28"/>
  <c r="H39" i="28"/>
  <c r="G39" i="28"/>
  <c r="O141" i="28" l="1"/>
  <c r="M3611" i="16"/>
  <c r="K3611" i="16"/>
  <c r="N3611" i="16"/>
  <c r="L3611" i="16"/>
  <c r="I3552" i="16"/>
  <c r="I3560" i="16" s="1"/>
  <c r="I3568" i="16" s="1"/>
  <c r="H3560" i="16"/>
  <c r="H3568" i="16" s="1"/>
  <c r="E3552" i="16"/>
  <c r="E3560" i="16" s="1"/>
  <c r="E3568" i="16" s="1"/>
  <c r="D3560" i="16"/>
  <c r="D3568" i="16" s="1"/>
  <c r="M3552" i="16"/>
  <c r="M3560" i="16" s="1"/>
  <c r="M3568" i="16" s="1"/>
  <c r="L3560" i="16"/>
  <c r="L3568" i="16" s="1"/>
  <c r="AL231" i="12" l="1"/>
  <c r="AL233" i="12"/>
  <c r="AL235" i="12"/>
  <c r="AL238" i="12"/>
  <c r="AL239" i="12"/>
  <c r="AL240" i="12"/>
  <c r="G3614" i="16" s="1"/>
  <c r="AL241" i="12"/>
  <c r="AL242" i="12"/>
  <c r="AL243" i="12"/>
  <c r="AL244" i="12"/>
  <c r="AL246" i="12"/>
  <c r="BE245" i="12" s="1"/>
  <c r="AL266" i="12"/>
  <c r="AL272" i="12"/>
  <c r="L3931" i="16" s="1"/>
  <c r="AL327" i="12"/>
  <c r="AL332" i="12"/>
  <c r="AL338" i="12"/>
  <c r="H260" i="28" s="1"/>
  <c r="AL339" i="12"/>
  <c r="AL343" i="12"/>
  <c r="AL344" i="12"/>
  <c r="AL345" i="12"/>
  <c r="AL346" i="12"/>
  <c r="AL347" i="12"/>
  <c r="L3616" i="16"/>
  <c r="H3613" i="16"/>
  <c r="AL340" i="12" l="1"/>
  <c r="AO316" i="12"/>
  <c r="AL232" i="12"/>
  <c r="L3915" i="16"/>
  <c r="O140" i="28"/>
  <c r="K3627" i="16"/>
  <c r="AL273" i="12"/>
  <c r="K3616" i="16"/>
  <c r="O116" i="28"/>
  <c r="AM348" i="12"/>
  <c r="AM375" i="12"/>
  <c r="AL276" i="12"/>
  <c r="G3619" i="16"/>
  <c r="G3621" i="16" s="1"/>
  <c r="G3620" i="16"/>
  <c r="AL274" i="12"/>
  <c r="AL268" i="12"/>
  <c r="AL267" i="12"/>
  <c r="BE247" i="12" s="1"/>
  <c r="M3926" i="16" l="1"/>
  <c r="M3920" i="16"/>
  <c r="G3612" i="16"/>
  <c r="G3617" i="16"/>
  <c r="K3626" i="16"/>
  <c r="AL269" i="12"/>
  <c r="D3544" i="16" l="1"/>
  <c r="D3538" i="16"/>
  <c r="D3540" i="16" s="1"/>
  <c r="AA498" i="20"/>
  <c r="AA497" i="20"/>
  <c r="AA496" i="20"/>
  <c r="AA495" i="20"/>
  <c r="AA493" i="20"/>
  <c r="AA491" i="20"/>
  <c r="AA500" i="20" s="1"/>
  <c r="CX488" i="20"/>
  <c r="Z588" i="20" s="1"/>
  <c r="CX487" i="20"/>
  <c r="Z586" i="20" s="1"/>
  <c r="CX486" i="20"/>
  <c r="Z585" i="20" s="1"/>
  <c r="CX485" i="20"/>
  <c r="Z584" i="20" s="1"/>
  <c r="CX482" i="20"/>
  <c r="Z583" i="20" s="1"/>
  <c r="CX481" i="20"/>
  <c r="Z582" i="20" s="1"/>
  <c r="CX480" i="20"/>
  <c r="CX466" i="20"/>
  <c r="Z579" i="20" s="1"/>
  <c r="CX465" i="20"/>
  <c r="Z577" i="20" s="1"/>
  <c r="CX464" i="20"/>
  <c r="Z576" i="20" s="1"/>
  <c r="CX463" i="20"/>
  <c r="Z575" i="20" s="1"/>
  <c r="CX460" i="20"/>
  <c r="Z574" i="20" s="1"/>
  <c r="CX459" i="20"/>
  <c r="Z573" i="20" s="1"/>
  <c r="CX458" i="20"/>
  <c r="CX455" i="20"/>
  <c r="Z570" i="20" s="1"/>
  <c r="CX454" i="20"/>
  <c r="Z568" i="20" s="1"/>
  <c r="CX453" i="20"/>
  <c r="Z567" i="20" s="1"/>
  <c r="CX452" i="20"/>
  <c r="Z566" i="20" s="1"/>
  <c r="CX448" i="20"/>
  <c r="Z565" i="20" s="1"/>
  <c r="CX447" i="20"/>
  <c r="Z564" i="20" s="1"/>
  <c r="CX446" i="20"/>
  <c r="CX443" i="20"/>
  <c r="Z560" i="20" s="1"/>
  <c r="CX442" i="20"/>
  <c r="Z559" i="20" s="1"/>
  <c r="CX441" i="20"/>
  <c r="Z558" i="20" s="1"/>
  <c r="CX437" i="20"/>
  <c r="Z557" i="20" s="1"/>
  <c r="CX436" i="20"/>
  <c r="Z556" i="20" s="1"/>
  <c r="CX435" i="20"/>
  <c r="CX432" i="20"/>
  <c r="Z553" i="20" s="1"/>
  <c r="CX431" i="20"/>
  <c r="Z551" i="20" s="1"/>
  <c r="CX430" i="20"/>
  <c r="Z550" i="20" s="1"/>
  <c r="CX429" i="20"/>
  <c r="Z549" i="20" s="1"/>
  <c r="CX425" i="20"/>
  <c r="Z548" i="20" s="1"/>
  <c r="CX424" i="20"/>
  <c r="Z547" i="20" s="1"/>
  <c r="CX423" i="20"/>
  <c r="CX420" i="20"/>
  <c r="Z544" i="20" s="1"/>
  <c r="CX419" i="20"/>
  <c r="Z542" i="20" s="1"/>
  <c r="CX418" i="20"/>
  <c r="Z541" i="20" s="1"/>
  <c r="CX417" i="20"/>
  <c r="Z540" i="20" s="1"/>
  <c r="CX414" i="20"/>
  <c r="Z539" i="20" s="1"/>
  <c r="CX412" i="20"/>
  <c r="Z555" i="20"/>
  <c r="Z533" i="20"/>
  <c r="Z532" i="20"/>
  <c r="Z531" i="20"/>
  <c r="Z530" i="20"/>
  <c r="Z529" i="20"/>
  <c r="Z521" i="20"/>
  <c r="Z520" i="20"/>
  <c r="Z519" i="20"/>
  <c r="Z518" i="20"/>
  <c r="Z517" i="20"/>
  <c r="Z516" i="20"/>
  <c r="Z528" i="20" s="1"/>
  <c r="Z514" i="20"/>
  <c r="Z512" i="20"/>
  <c r="Z511" i="20"/>
  <c r="Z510" i="20"/>
  <c r="Z509" i="20"/>
  <c r="Z508" i="20"/>
  <c r="O113" i="28"/>
  <c r="O111" i="28"/>
  <c r="K96" i="28"/>
  <c r="O130" i="28"/>
  <c r="N127" i="28"/>
  <c r="N125" i="28"/>
  <c r="N124" i="28"/>
  <c r="O115" i="28"/>
  <c r="O110" i="28"/>
  <c r="O109" i="28"/>
  <c r="K130" i="28"/>
  <c r="K127" i="28"/>
  <c r="K125" i="28"/>
  <c r="K124" i="28"/>
  <c r="K115" i="28"/>
  <c r="K110" i="28"/>
  <c r="K109" i="28"/>
  <c r="K104" i="28"/>
  <c r="Z594" i="20" l="1"/>
  <c r="Z595" i="20"/>
  <c r="Z596" i="20"/>
  <c r="Z591" i="20"/>
  <c r="Z592" i="20"/>
  <c r="Z572" i="20"/>
  <c r="Z581" i="20" s="1"/>
  <c r="Z563" i="20"/>
  <c r="Z599" i="20"/>
  <c r="O112" i="28"/>
  <c r="Z522" i="20"/>
  <c r="Z513" i="20"/>
  <c r="Z587" i="20"/>
  <c r="Z552" i="20"/>
  <c r="Z578" i="20"/>
  <c r="Z561" i="20"/>
  <c r="Z569" i="20"/>
  <c r="Z534" i="20"/>
  <c r="Z590" i="20"/>
  <c r="Z543" i="20"/>
  <c r="AA483" i="20"/>
  <c r="CY483" i="20" s="1"/>
  <c r="AA472" i="20"/>
  <c r="AA473" i="20" s="1"/>
  <c r="AA461" i="20"/>
  <c r="CY461" i="20" s="1"/>
  <c r="AA450" i="20"/>
  <c r="CY450" i="20" s="1"/>
  <c r="AA449" i="20"/>
  <c r="AA439" i="20"/>
  <c r="CY439" i="20" s="1"/>
  <c r="AA438" i="20"/>
  <c r="AA427" i="20"/>
  <c r="CY427" i="20" s="1"/>
  <c r="AA426" i="20"/>
  <c r="AA415" i="20"/>
  <c r="CY415" i="20" s="1"/>
  <c r="AA413" i="20"/>
  <c r="CY413" i="20" s="1"/>
  <c r="AA538" i="20" s="1"/>
  <c r="AM11" i="20"/>
  <c r="AM356" i="20"/>
  <c r="AM353" i="20"/>
  <c r="AM320" i="20"/>
  <c r="AM314" i="20"/>
  <c r="AM239" i="20"/>
  <c r="AM211" i="20"/>
  <c r="J224" i="29" s="1"/>
  <c r="K31" i="28"/>
  <c r="AM18" i="20"/>
  <c r="AM191" i="20" s="1"/>
  <c r="K79" i="28"/>
  <c r="K77" i="28"/>
  <c r="K56" i="28"/>
  <c r="K54" i="28"/>
  <c r="K43" i="28"/>
  <c r="K42" i="28"/>
  <c r="K41" i="28"/>
  <c r="K35" i="28"/>
  <c r="K33" i="28"/>
  <c r="AM304" i="20"/>
  <c r="AM271" i="20"/>
  <c r="AM272" i="20" s="1"/>
  <c r="AM192" i="20"/>
  <c r="AM287" i="20" s="1"/>
  <c r="AM189" i="20"/>
  <c r="AM284" i="20" s="1"/>
  <c r="AM331" i="20" s="1"/>
  <c r="AM390" i="20" s="1"/>
  <c r="AM90" i="20"/>
  <c r="AM68" i="20"/>
  <c r="AM79" i="20" s="1"/>
  <c r="AM109" i="20" s="1"/>
  <c r="CJ109" i="20" s="1"/>
  <c r="AM60" i="20"/>
  <c r="AR61" i="20" s="1"/>
  <c r="L17" i="5"/>
  <c r="L20" i="5" s="1"/>
  <c r="J226" i="29" l="1"/>
  <c r="J230" i="29" s="1"/>
  <c r="K243" i="29"/>
  <c r="AP11" i="20"/>
  <c r="CJ11" i="20" s="1"/>
  <c r="CG11" i="20"/>
  <c r="Z597" i="20"/>
  <c r="AM190" i="20"/>
  <c r="AM285" i="20" s="1"/>
  <c r="AM297" i="20"/>
  <c r="AR196" i="20"/>
  <c r="AR62" i="20"/>
  <c r="AR199" i="20" s="1"/>
  <c r="AP320" i="20"/>
  <c r="AP321" i="20" s="1"/>
  <c r="AN353" i="20"/>
  <c r="AO353" i="20" s="1"/>
  <c r="AP353" i="20" s="1"/>
  <c r="AN356" i="20"/>
  <c r="AO356" i="20" s="1"/>
  <c r="N123" i="28"/>
  <c r="C3730" i="16"/>
  <c r="N121" i="28"/>
  <c r="N122" i="28" s="1"/>
  <c r="K32" i="28"/>
  <c r="K38" i="28"/>
  <c r="AM232" i="20"/>
  <c r="AM286" i="20" s="1"/>
  <c r="K40" i="28"/>
  <c r="AM303" i="20"/>
  <c r="K65" i="28"/>
  <c r="K88" i="28" s="1"/>
  <c r="K47" i="28"/>
  <c r="K81" i="28"/>
  <c r="AM208" i="20"/>
  <c r="K30" i="28"/>
  <c r="AA428" i="20"/>
  <c r="AA484" i="20"/>
  <c r="AA440" i="20"/>
  <c r="AM16" i="20"/>
  <c r="CX413" i="20"/>
  <c r="Z538" i="20" s="1"/>
  <c r="AA492" i="20"/>
  <c r="AA451" i="20"/>
  <c r="AM21" i="20"/>
  <c r="AM321" i="20"/>
  <c r="AM327" i="20" s="1"/>
  <c r="AA494" i="20"/>
  <c r="AA462" i="20"/>
  <c r="AL351" i="12"/>
  <c r="AP352" i="12" s="1"/>
  <c r="K64" i="28"/>
  <c r="K87" i="28" s="1"/>
  <c r="K58" i="28"/>
  <c r="K66" i="28" s="1"/>
  <c r="K50" i="28"/>
  <c r="K62" i="28"/>
  <c r="AM237" i="20"/>
  <c r="AM260" i="20"/>
  <c r="AM267" i="20" s="1"/>
  <c r="AM264" i="20"/>
  <c r="AM307" i="20" s="1"/>
  <c r="AM306" i="20"/>
  <c r="K49" i="28"/>
  <c r="B180" i="28"/>
  <c r="B179" i="28"/>
  <c r="B178" i="28"/>
  <c r="B177" i="28"/>
  <c r="B176" i="28"/>
  <c r="B175" i="28"/>
  <c r="D171" i="28"/>
  <c r="D170" i="28"/>
  <c r="C172" i="28"/>
  <c r="H160" i="28"/>
  <c r="G160" i="28"/>
  <c r="D160" i="28"/>
  <c r="D159" i="28"/>
  <c r="C161" i="28"/>
  <c r="C157" i="28"/>
  <c r="D150" i="28"/>
  <c r="C152" i="28"/>
  <c r="C148" i="28"/>
  <c r="B161" i="28"/>
  <c r="B172" i="28" s="1"/>
  <c r="B160" i="28"/>
  <c r="B171" i="28" s="1"/>
  <c r="B159" i="28"/>
  <c r="B170" i="28" s="1"/>
  <c r="B158" i="28"/>
  <c r="B169" i="28" s="1"/>
  <c r="B157" i="28"/>
  <c r="B168" i="28" s="1"/>
  <c r="B156" i="28"/>
  <c r="B167" i="28" s="1"/>
  <c r="B155" i="28"/>
  <c r="B166" i="28" s="1"/>
  <c r="B152" i="28"/>
  <c r="B151" i="28"/>
  <c r="B150" i="28"/>
  <c r="B149" i="28"/>
  <c r="B148" i="28"/>
  <c r="B147" i="28"/>
  <c r="B146" i="28"/>
  <c r="D145" i="28"/>
  <c r="E145" i="28" s="1"/>
  <c r="F145" i="28" s="1"/>
  <c r="G145" i="28" s="1"/>
  <c r="H145" i="28" s="1"/>
  <c r="AM216" i="20" l="1"/>
  <c r="AP16" i="20"/>
  <c r="AO359" i="20"/>
  <c r="AN359" i="20"/>
  <c r="AP356" i="20"/>
  <c r="AP327" i="20"/>
  <c r="AP324" i="20"/>
  <c r="AL382" i="12"/>
  <c r="AL383" i="12" s="1"/>
  <c r="J49" i="25"/>
  <c r="J50" i="25" s="1"/>
  <c r="N126" i="28"/>
  <c r="G3730" i="16"/>
  <c r="F3730" i="16" s="1"/>
  <c r="C3735" i="16"/>
  <c r="C3731" i="16"/>
  <c r="K61" i="28"/>
  <c r="K84" i="28" s="1"/>
  <c r="AM324" i="20"/>
  <c r="AM352" i="20" s="1"/>
  <c r="AM368" i="20" s="1"/>
  <c r="AM371" i="20" s="1"/>
  <c r="AM387" i="20" s="1"/>
  <c r="K63" i="28"/>
  <c r="K48" i="28"/>
  <c r="K46" i="28"/>
  <c r="AM308" i="20"/>
  <c r="K85" i="28"/>
  <c r="K70" i="28"/>
  <c r="AM193" i="20"/>
  <c r="AM194" i="20" s="1"/>
  <c r="AM288" i="20" s="1"/>
  <c r="K34" i="28"/>
  <c r="K89" i="28"/>
  <c r="K73" i="28"/>
  <c r="K72" i="28"/>
  <c r="M624" i="4"/>
  <c r="L624" i="4"/>
  <c r="AP352" i="20" l="1"/>
  <c r="AP359" i="20" s="1"/>
  <c r="F3731" i="16"/>
  <c r="C3736" i="16"/>
  <c r="K69" i="28"/>
  <c r="AM359" i="20"/>
  <c r="K71" i="28"/>
  <c r="K86" i="28"/>
  <c r="AM347" i="20"/>
  <c r="AC377" i="20"/>
  <c r="AC378" i="20"/>
  <c r="AH378" i="20"/>
  <c r="AH377" i="20"/>
  <c r="E3500" i="16"/>
  <c r="F3500" i="16" s="1"/>
  <c r="G3500" i="16" s="1"/>
  <c r="H3500" i="16" s="1"/>
  <c r="I3500" i="16" s="1"/>
  <c r="I3504" i="16" s="1"/>
  <c r="I3529" i="16" s="1"/>
  <c r="AK271" i="20"/>
  <c r="J56" i="28"/>
  <c r="H3504" i="16" l="1"/>
  <c r="H3529" i="16" s="1"/>
  <c r="G3504" i="16"/>
  <c r="G3529" i="16" s="1"/>
  <c r="E3504" i="16"/>
  <c r="E3529" i="16" s="1"/>
  <c r="F3504" i="16"/>
  <c r="F3529" i="16" s="1"/>
  <c r="J2297" i="16"/>
  <c r="K2296" i="16"/>
  <c r="K2295" i="16"/>
  <c r="AK272" i="20"/>
  <c r="K2297" i="16" l="1"/>
  <c r="C3413" i="16"/>
  <c r="G3445" i="16"/>
  <c r="H3445" i="16"/>
  <c r="F3445" i="16"/>
  <c r="E3445" i="16"/>
  <c r="H3446" i="16"/>
  <c r="G3446" i="16"/>
  <c r="F3446" i="16"/>
  <c r="E3446" i="16"/>
  <c r="L77" i="25"/>
  <c r="G45" i="22"/>
  <c r="D3654" i="16" s="1"/>
  <c r="D3656" i="16" s="1"/>
  <c r="D3664" i="16" s="1"/>
  <c r="D3665" i="16" s="1"/>
  <c r="D3670" i="16" s="1"/>
  <c r="K45" i="22"/>
  <c r="J77" i="25"/>
  <c r="K77" i="25"/>
  <c r="M78" i="4" l="1"/>
  <c r="L45" i="22"/>
  <c r="M45" i="22" s="1"/>
  <c r="N45" i="22" s="1"/>
  <c r="O45" i="22" s="1"/>
  <c r="P45" i="22" s="1"/>
  <c r="H3654" i="16"/>
  <c r="H3656" i="16" s="1"/>
  <c r="L210" i="4"/>
  <c r="M207" i="4"/>
  <c r="M205" i="4"/>
  <c r="M326" i="4"/>
  <c r="AK326" i="20" l="1"/>
  <c r="AK323" i="20"/>
  <c r="AK314" i="20"/>
  <c r="AK318" i="20"/>
  <c r="AK317" i="20"/>
  <c r="AK316" i="20"/>
  <c r="AK129" i="20"/>
  <c r="AJ124" i="20"/>
  <c r="AI127" i="20"/>
  <c r="AI126" i="20"/>
  <c r="AI125" i="20"/>
  <c r="AI124" i="20"/>
  <c r="AJ127" i="20"/>
  <c r="AJ126" i="20"/>
  <c r="AJ125" i="20"/>
  <c r="I80" i="25"/>
  <c r="I73" i="25" s="1"/>
  <c r="M470" i="4"/>
  <c r="L470" i="4"/>
  <c r="M210" i="4"/>
  <c r="M22" i="4"/>
  <c r="M318" i="4"/>
  <c r="M309" i="4" s="1"/>
  <c r="P314" i="4"/>
  <c r="Q314" i="4" s="1"/>
  <c r="R314" i="4" s="1"/>
  <c r="M357" i="4"/>
  <c r="M356" i="4"/>
  <c r="M346" i="4"/>
  <c r="M320" i="4"/>
  <c r="M322" i="4" s="1"/>
  <c r="I64" i="24"/>
  <c r="I133" i="24" s="1"/>
  <c r="I135" i="24" s="1"/>
  <c r="H252" i="23"/>
  <c r="E8" i="31" s="1"/>
  <c r="E61" i="31" s="1"/>
  <c r="N50" i="4"/>
  <c r="E151" i="28" s="1"/>
  <c r="M50" i="4"/>
  <c r="D151" i="28" s="1"/>
  <c r="G17" i="22"/>
  <c r="G14" i="22"/>
  <c r="I68" i="25"/>
  <c r="I18" i="25"/>
  <c r="J19" i="25" s="1"/>
  <c r="I16" i="25"/>
  <c r="J17" i="25" s="1"/>
  <c r="I14" i="25"/>
  <c r="J15" i="25" s="1"/>
  <c r="I8" i="25"/>
  <c r="I5" i="25"/>
  <c r="J6" i="25" s="1"/>
  <c r="AK317" i="12"/>
  <c r="AK272" i="12" s="1"/>
  <c r="AK316" i="12"/>
  <c r="AK266" i="12" s="1"/>
  <c r="AK247" i="12" s="1"/>
  <c r="BH247" i="12" s="1"/>
  <c r="AK246" i="12"/>
  <c r="BD245" i="12" s="1"/>
  <c r="I26" i="24"/>
  <c r="I21" i="24"/>
  <c r="I19" i="24"/>
  <c r="I17" i="24"/>
  <c r="I10" i="24"/>
  <c r="I8" i="24"/>
  <c r="I5" i="24"/>
  <c r="H189" i="23"/>
  <c r="H263" i="23"/>
  <c r="E11" i="31" s="1"/>
  <c r="C164" i="29" s="1"/>
  <c r="C166" i="29" s="1"/>
  <c r="AK17" i="20"/>
  <c r="I223" i="29" s="1"/>
  <c r="H229" i="23"/>
  <c r="AJ9" i="20"/>
  <c r="AJ10" i="20" s="1"/>
  <c r="AI9" i="20"/>
  <c r="AH9" i="20"/>
  <c r="AJ105" i="20"/>
  <c r="AK104" i="20"/>
  <c r="AK103" i="20"/>
  <c r="AK9" i="20" s="1"/>
  <c r="AJ101" i="20"/>
  <c r="AK99" i="20"/>
  <c r="AK100" i="20"/>
  <c r="AK96" i="20"/>
  <c r="AJ95" i="20"/>
  <c r="AJ97" i="20" s="1"/>
  <c r="AK94" i="20"/>
  <c r="AK93" i="20"/>
  <c r="AK92" i="20"/>
  <c r="H218" i="23"/>
  <c r="H210" i="23"/>
  <c r="H209" i="23"/>
  <c r="H186" i="23"/>
  <c r="H180" i="23"/>
  <c r="H176" i="23"/>
  <c r="H171" i="23"/>
  <c r="H170" i="23"/>
  <c r="H168" i="23"/>
  <c r="H166" i="23"/>
  <c r="H160" i="23"/>
  <c r="H151" i="23"/>
  <c r="H148" i="23"/>
  <c r="E117" i="31" s="1"/>
  <c r="H143" i="23"/>
  <c r="H139" i="23"/>
  <c r="H134" i="23"/>
  <c r="H133" i="23"/>
  <c r="H131" i="23"/>
  <c r="H129" i="23"/>
  <c r="H123" i="23"/>
  <c r="H114" i="23"/>
  <c r="H111" i="23"/>
  <c r="E116" i="31" s="1"/>
  <c r="H106" i="23"/>
  <c r="H102" i="23"/>
  <c r="H96" i="23"/>
  <c r="H94" i="23"/>
  <c r="H92" i="23"/>
  <c r="H86" i="23"/>
  <c r="H77" i="23"/>
  <c r="H74" i="23"/>
  <c r="E115" i="31" s="1"/>
  <c r="H69" i="23"/>
  <c r="H65" i="23"/>
  <c r="H59" i="23"/>
  <c r="H57" i="23"/>
  <c r="H55" i="23"/>
  <c r="H49" i="23"/>
  <c r="H40" i="23"/>
  <c r="H31" i="23"/>
  <c r="H22" i="23"/>
  <c r="H16" i="23"/>
  <c r="H14" i="23"/>
  <c r="H12" i="23"/>
  <c r="H6" i="23"/>
  <c r="AK15" i="20"/>
  <c r="AK14" i="20"/>
  <c r="AK12" i="20"/>
  <c r="AK8" i="20"/>
  <c r="AK5" i="20"/>
  <c r="CW488" i="20"/>
  <c r="Y588" i="20" s="1"/>
  <c r="CW487" i="20"/>
  <c r="Y586" i="20" s="1"/>
  <c r="CW486" i="20"/>
  <c r="Y585" i="20" s="1"/>
  <c r="CW485" i="20"/>
  <c r="Y584" i="20" s="1"/>
  <c r="CW482" i="20"/>
  <c r="Y583" i="20" s="1"/>
  <c r="CW481" i="20"/>
  <c r="Y582" i="20" s="1"/>
  <c r="CW480" i="20"/>
  <c r="CW466" i="20"/>
  <c r="Y579" i="20" s="1"/>
  <c r="CW465" i="20"/>
  <c r="Y577" i="20" s="1"/>
  <c r="CW464" i="20"/>
  <c r="Y576" i="20" s="1"/>
  <c r="CW463" i="20"/>
  <c r="Y575" i="20" s="1"/>
  <c r="CW460" i="20"/>
  <c r="Y574" i="20" s="1"/>
  <c r="CW459" i="20"/>
  <c r="Y573" i="20" s="1"/>
  <c r="CW458" i="20"/>
  <c r="CW455" i="20"/>
  <c r="Y570" i="20" s="1"/>
  <c r="CW454" i="20"/>
  <c r="Y568" i="20" s="1"/>
  <c r="CW453" i="20"/>
  <c r="Y567" i="20" s="1"/>
  <c r="CW452" i="20"/>
  <c r="Y566" i="20" s="1"/>
  <c r="CW448" i="20"/>
  <c r="Y565" i="20" s="1"/>
  <c r="CW447" i="20"/>
  <c r="Y564" i="20" s="1"/>
  <c r="CW446" i="20"/>
  <c r="CW443" i="20"/>
  <c r="Y560" i="20" s="1"/>
  <c r="CW442" i="20"/>
  <c r="Y559" i="20" s="1"/>
  <c r="CW441" i="20"/>
  <c r="Y558" i="20" s="1"/>
  <c r="CW437" i="20"/>
  <c r="Y557" i="20" s="1"/>
  <c r="CW436" i="20"/>
  <c r="Y556" i="20" s="1"/>
  <c r="CW435" i="20"/>
  <c r="CW432" i="20"/>
  <c r="Y553" i="20" s="1"/>
  <c r="CW431" i="20"/>
  <c r="Y551" i="20" s="1"/>
  <c r="CW430" i="20"/>
  <c r="Y550" i="20" s="1"/>
  <c r="CW429" i="20"/>
  <c r="Y549" i="20" s="1"/>
  <c r="CW425" i="20"/>
  <c r="Y548" i="20" s="1"/>
  <c r="CW424" i="20"/>
  <c r="Y547" i="20" s="1"/>
  <c r="CW423" i="20"/>
  <c r="CW420" i="20"/>
  <c r="Y544" i="20" s="1"/>
  <c r="CW419" i="20"/>
  <c r="Y542" i="20" s="1"/>
  <c r="CW418" i="20"/>
  <c r="Y541" i="20" s="1"/>
  <c r="CW417" i="20"/>
  <c r="Y540" i="20" s="1"/>
  <c r="CW414" i="20"/>
  <c r="Y539" i="20" s="1"/>
  <c r="CW413" i="20"/>
  <c r="Y538" i="20" s="1"/>
  <c r="CW412" i="20"/>
  <c r="Y555" i="20"/>
  <c r="Y533" i="20"/>
  <c r="Y532" i="20"/>
  <c r="Y531" i="20"/>
  <c r="Y530" i="20"/>
  <c r="Y529" i="20"/>
  <c r="Y516" i="20"/>
  <c r="Y528" i="20" s="1"/>
  <c r="AK347" i="12"/>
  <c r="Y521" i="20" s="1"/>
  <c r="AK346" i="12"/>
  <c r="Y520" i="20" s="1"/>
  <c r="AK345" i="12"/>
  <c r="Y519" i="20" s="1"/>
  <c r="AK344" i="12"/>
  <c r="Y518" i="20" s="1"/>
  <c r="AK343" i="12"/>
  <c r="Y517" i="20" s="1"/>
  <c r="AK339" i="12"/>
  <c r="AK338" i="12"/>
  <c r="G260" i="28" s="1"/>
  <c r="AK332" i="12"/>
  <c r="AK327" i="12"/>
  <c r="AK244" i="12"/>
  <c r="Y514" i="20" s="1"/>
  <c r="AK243" i="12"/>
  <c r="Y512" i="20" s="1"/>
  <c r="AK242" i="12"/>
  <c r="Y511" i="20" s="1"/>
  <c r="AK241" i="12"/>
  <c r="Y510" i="20" s="1"/>
  <c r="AK240" i="12"/>
  <c r="AK239" i="12"/>
  <c r="Y508" i="20" s="1"/>
  <c r="AK238" i="12"/>
  <c r="AK235" i="12"/>
  <c r="AK233" i="12"/>
  <c r="AK231" i="12"/>
  <c r="Z498" i="20"/>
  <c r="Z497" i="20"/>
  <c r="Z496" i="20"/>
  <c r="Z495" i="20"/>
  <c r="Z493" i="20"/>
  <c r="Z492" i="20"/>
  <c r="Z491" i="20"/>
  <c r="Z500" i="20" s="1"/>
  <c r="Z483" i="20"/>
  <c r="Z472" i="20"/>
  <c r="Z473" i="20" s="1"/>
  <c r="Z461" i="20"/>
  <c r="Z450" i="20"/>
  <c r="Z449" i="20"/>
  <c r="Z439" i="20"/>
  <c r="Z438" i="20"/>
  <c r="Z427" i="20"/>
  <c r="Z426" i="20"/>
  <c r="Z415" i="20"/>
  <c r="CX415" i="20" s="1"/>
  <c r="G18" i="22" l="1"/>
  <c r="H19" i="22"/>
  <c r="G128" i="22"/>
  <c r="I137" i="24"/>
  <c r="C11" i="29" s="1"/>
  <c r="I148" i="24"/>
  <c r="R172" i="4"/>
  <c r="S314" i="4"/>
  <c r="AK232" i="12"/>
  <c r="K3915" i="16"/>
  <c r="N475" i="4"/>
  <c r="M475" i="4"/>
  <c r="E72" i="31"/>
  <c r="E32" i="31"/>
  <c r="C189" i="29" s="1"/>
  <c r="E14" i="31"/>
  <c r="E44" i="31" s="1"/>
  <c r="C174" i="29" s="1"/>
  <c r="E20" i="31"/>
  <c r="Y591" i="20"/>
  <c r="CF15" i="20"/>
  <c r="Y592" i="20"/>
  <c r="CB17" i="20"/>
  <c r="CF17" i="20"/>
  <c r="CF8" i="20"/>
  <c r="Y594" i="20"/>
  <c r="CF5" i="20"/>
  <c r="CF12" i="20"/>
  <c r="CF14" i="20"/>
  <c r="I219" i="23"/>
  <c r="H154" i="23"/>
  <c r="H173" i="23"/>
  <c r="I172" i="23"/>
  <c r="H136" i="23"/>
  <c r="I135" i="23"/>
  <c r="Y595" i="20"/>
  <c r="Y596" i="20"/>
  <c r="K3930" i="16"/>
  <c r="K3909" i="16" s="1"/>
  <c r="K3931" i="16"/>
  <c r="K3938" i="16" s="1"/>
  <c r="AK278" i="12"/>
  <c r="Y572" i="20"/>
  <c r="Y581" i="20" s="1"/>
  <c r="Y563" i="20"/>
  <c r="AP62" i="20"/>
  <c r="AP199" i="20" s="1"/>
  <c r="AP196" i="20"/>
  <c r="AK297" i="20"/>
  <c r="Y599" i="20"/>
  <c r="J3616" i="16"/>
  <c r="N116" i="28"/>
  <c r="J3627" i="16"/>
  <c r="N140" i="28"/>
  <c r="M350" i="4"/>
  <c r="I9" i="25"/>
  <c r="I9" i="24"/>
  <c r="Y509" i="20"/>
  <c r="F3614" i="16"/>
  <c r="AK276" i="12"/>
  <c r="BD266" i="12" s="1"/>
  <c r="F3619" i="16"/>
  <c r="F3621" i="16" s="1"/>
  <c r="F3620" i="16"/>
  <c r="AL348" i="12"/>
  <c r="AL375" i="12"/>
  <c r="Z428" i="20"/>
  <c r="CX427" i="20"/>
  <c r="Z484" i="20"/>
  <c r="CX483" i="20"/>
  <c r="Z440" i="20"/>
  <c r="CX439" i="20"/>
  <c r="Z451" i="20"/>
  <c r="CX450" i="20"/>
  <c r="Z462" i="20"/>
  <c r="CX461" i="20"/>
  <c r="I11" i="24"/>
  <c r="AK274" i="12"/>
  <c r="AK10" i="20"/>
  <c r="Z494" i="20"/>
  <c r="Y587" i="20"/>
  <c r="Y578" i="20"/>
  <c r="Y590" i="20"/>
  <c r="AJ106" i="20"/>
  <c r="AJ107" i="20" s="1"/>
  <c r="H236" i="23"/>
  <c r="G21" i="22"/>
  <c r="Y552" i="20"/>
  <c r="Y534" i="20"/>
  <c r="AK105" i="20"/>
  <c r="Y513" i="20"/>
  <c r="H233" i="23"/>
  <c r="Y522" i="20"/>
  <c r="AK267" i="12"/>
  <c r="J3626" i="16" s="1"/>
  <c r="AK268" i="12"/>
  <c r="I52" i="24"/>
  <c r="I114" i="24" s="1"/>
  <c r="I116" i="24" s="1"/>
  <c r="AK273" i="12"/>
  <c r="I60" i="24"/>
  <c r="I119" i="24" s="1"/>
  <c r="AK101" i="20"/>
  <c r="AK95" i="20"/>
  <c r="AK97" i="20" s="1"/>
  <c r="Y561" i="20"/>
  <c r="Y569" i="20"/>
  <c r="Y543" i="20"/>
  <c r="AK340" i="12"/>
  <c r="G22" i="22" l="1"/>
  <c r="G129" i="22"/>
  <c r="T314" i="4"/>
  <c r="S172" i="4"/>
  <c r="L3926" i="16"/>
  <c r="L3920" i="16"/>
  <c r="E74" i="31"/>
  <c r="C160" i="29"/>
  <c r="E50" i="31"/>
  <c r="I138" i="24"/>
  <c r="C4" i="29"/>
  <c r="K3946" i="16"/>
  <c r="K3947" i="16" s="1"/>
  <c r="K3939" i="16"/>
  <c r="K3913" i="16"/>
  <c r="K3944" i="16"/>
  <c r="K3910" i="16"/>
  <c r="O3910" i="16"/>
  <c r="K3941" i="16"/>
  <c r="Y597" i="20"/>
  <c r="F3612" i="16"/>
  <c r="I141" i="24"/>
  <c r="I128" i="24"/>
  <c r="I83" i="24"/>
  <c r="I65" i="24"/>
  <c r="BD247" i="12"/>
  <c r="F3617" i="16"/>
  <c r="AK106" i="20"/>
  <c r="AK107" i="20" s="1"/>
  <c r="AK269" i="12"/>
  <c r="I61" i="24"/>
  <c r="I62" i="24"/>
  <c r="F139" i="28"/>
  <c r="N130" i="28"/>
  <c r="M127" i="28"/>
  <c r="M125" i="28"/>
  <c r="M124" i="28"/>
  <c r="M123" i="28"/>
  <c r="N104" i="28"/>
  <c r="N115" i="28"/>
  <c r="N110" i="28"/>
  <c r="AK196" i="20"/>
  <c r="N109" i="28"/>
  <c r="E139" i="28"/>
  <c r="B137" i="28"/>
  <c r="B136" i="28"/>
  <c r="J130" i="28"/>
  <c r="I130" i="28"/>
  <c r="H130" i="28"/>
  <c r="G130" i="28"/>
  <c r="I127" i="28"/>
  <c r="H127" i="28"/>
  <c r="G127" i="28"/>
  <c r="E127" i="28"/>
  <c r="E128" i="28" s="1"/>
  <c r="D127" i="28"/>
  <c r="E125" i="28"/>
  <c r="D125" i="28"/>
  <c r="C125" i="28"/>
  <c r="B125" i="28"/>
  <c r="B124" i="28"/>
  <c r="B122" i="28"/>
  <c r="I121" i="28"/>
  <c r="I122" i="28" s="1"/>
  <c r="H121" i="28"/>
  <c r="H122" i="28" s="1"/>
  <c r="G121" i="28"/>
  <c r="G122" i="28" s="1"/>
  <c r="E121" i="28"/>
  <c r="E122" i="28" s="1"/>
  <c r="D121" i="28"/>
  <c r="J115" i="28"/>
  <c r="I115" i="28"/>
  <c r="H115" i="28"/>
  <c r="G115" i="28"/>
  <c r="F115" i="28"/>
  <c r="E115" i="28"/>
  <c r="D115" i="28"/>
  <c r="C115" i="28"/>
  <c r="J110" i="28"/>
  <c r="I110" i="28"/>
  <c r="H110" i="28"/>
  <c r="G110" i="28"/>
  <c r="F110" i="28"/>
  <c r="E110" i="28"/>
  <c r="D110" i="28"/>
  <c r="C110" i="28"/>
  <c r="J109" i="28"/>
  <c r="I109" i="28"/>
  <c r="H109" i="28"/>
  <c r="G109" i="28"/>
  <c r="F109" i="28"/>
  <c r="E109" i="28"/>
  <c r="D109" i="28"/>
  <c r="C109" i="28"/>
  <c r="B123" i="28"/>
  <c r="J104" i="28"/>
  <c r="J105" i="28" s="1"/>
  <c r="I104" i="28"/>
  <c r="I105" i="28" s="1"/>
  <c r="H104" i="28"/>
  <c r="H105" i="28" s="1"/>
  <c r="G104" i="28"/>
  <c r="G105" i="28" s="1"/>
  <c r="F104" i="28"/>
  <c r="E104" i="28"/>
  <c r="D104" i="28"/>
  <c r="C104" i="28"/>
  <c r="F130" i="28"/>
  <c r="E130" i="28"/>
  <c r="D130" i="28"/>
  <c r="C130" i="28"/>
  <c r="J37" i="28"/>
  <c r="J45" i="28" s="1"/>
  <c r="J52" i="28" s="1"/>
  <c r="J60" i="28" s="1"/>
  <c r="J68" i="28" s="1"/>
  <c r="J75" i="28" s="1"/>
  <c r="J83" i="28" s="1"/>
  <c r="AK90" i="20"/>
  <c r="AK68" i="20"/>
  <c r="AK79" i="20" s="1"/>
  <c r="AK109" i="20" s="1"/>
  <c r="CH109" i="20" s="1"/>
  <c r="J81" i="28"/>
  <c r="J54" i="28"/>
  <c r="J58" i="28" s="1"/>
  <c r="J43" i="28"/>
  <c r="J42" i="28"/>
  <c r="J41" i="28"/>
  <c r="J40" i="28"/>
  <c r="J35" i="28"/>
  <c r="J33" i="28"/>
  <c r="J32" i="28"/>
  <c r="AK304" i="20"/>
  <c r="AK303" i="20"/>
  <c r="AK232" i="20"/>
  <c r="AK211" i="20"/>
  <c r="AK193" i="20"/>
  <c r="AK192" i="20"/>
  <c r="AK287" i="20" s="1"/>
  <c r="AK191" i="20"/>
  <c r="AK189" i="20"/>
  <c r="AK284" i="20" s="1"/>
  <c r="AK331" i="20" s="1"/>
  <c r="AK390" i="20" s="1"/>
  <c r="AK60" i="20"/>
  <c r="C3497" i="16"/>
  <c r="C3496" i="16"/>
  <c r="H130" i="22" l="1"/>
  <c r="U314" i="4"/>
  <c r="T172" i="4"/>
  <c r="J38" i="28"/>
  <c r="J61" i="28" s="1"/>
  <c r="J84" i="28" s="1"/>
  <c r="I224" i="29"/>
  <c r="C168" i="29"/>
  <c r="C161" i="29"/>
  <c r="C162" i="29"/>
  <c r="D161" i="29"/>
  <c r="E51" i="31"/>
  <c r="C180" i="29"/>
  <c r="C13" i="29"/>
  <c r="J64" i="28"/>
  <c r="J72" i="28" s="1"/>
  <c r="AK62" i="20"/>
  <c r="AK199" i="20" s="1"/>
  <c r="AP61" i="20"/>
  <c r="J63" i="28"/>
  <c r="J71" i="28" s="1"/>
  <c r="C3493" i="16"/>
  <c r="C3491" i="16" s="1"/>
  <c r="B135" i="28"/>
  <c r="AK208" i="20"/>
  <c r="M121" i="28"/>
  <c r="M122" i="28" s="1"/>
  <c r="I59" i="25"/>
  <c r="I93" i="25" s="1"/>
  <c r="J94" i="25" s="1"/>
  <c r="AK23" i="20"/>
  <c r="AK286" i="20"/>
  <c r="AK306" i="20"/>
  <c r="J30" i="28"/>
  <c r="J48" i="28"/>
  <c r="B121" i="28"/>
  <c r="G128" i="28"/>
  <c r="AK190" i="20"/>
  <c r="AK216" i="20" s="1"/>
  <c r="AK260" i="20"/>
  <c r="AK267" i="20" s="1"/>
  <c r="AK264" i="20"/>
  <c r="AK307" i="20" s="1"/>
  <c r="AK237" i="20"/>
  <c r="J65" i="28"/>
  <c r="J88" i="28" s="1"/>
  <c r="J66" i="28"/>
  <c r="J89" i="28" s="1"/>
  <c r="J50" i="28"/>
  <c r="J49" i="28"/>
  <c r="AK351" i="12"/>
  <c r="AO352" i="12" s="1"/>
  <c r="B13" i="28"/>
  <c r="B12" i="28"/>
  <c r="B21" i="28" s="1"/>
  <c r="B11" i="28"/>
  <c r="B20" i="28" s="1"/>
  <c r="B10" i="28"/>
  <c r="B19" i="28" s="1"/>
  <c r="B15" i="28"/>
  <c r="I81" i="28"/>
  <c r="H81" i="28"/>
  <c r="G81" i="28"/>
  <c r="F81" i="28"/>
  <c r="E81" i="28"/>
  <c r="D81" i="28"/>
  <c r="C81" i="28"/>
  <c r="F58" i="28"/>
  <c r="E58" i="28"/>
  <c r="D58" i="28"/>
  <c r="C58" i="28"/>
  <c r="I54" i="28"/>
  <c r="I58" i="28" s="1"/>
  <c r="H54" i="28"/>
  <c r="H58" i="28" s="1"/>
  <c r="G54" i="28"/>
  <c r="G58" i="28" s="1"/>
  <c r="I43" i="28"/>
  <c r="I42" i="28"/>
  <c r="I41" i="28"/>
  <c r="H43" i="28"/>
  <c r="P142" i="28" s="1"/>
  <c r="H42" i="28"/>
  <c r="H65" i="28" s="1"/>
  <c r="H88" i="28" s="1"/>
  <c r="H41" i="28"/>
  <c r="H64" i="28" s="1"/>
  <c r="H87" i="28" s="1"/>
  <c r="G43" i="28"/>
  <c r="O142" i="28" s="1"/>
  <c r="E43" i="28"/>
  <c r="M142" i="28" s="1"/>
  <c r="D43" i="28"/>
  <c r="L142" i="28" s="1"/>
  <c r="G42" i="28"/>
  <c r="G65" i="28" s="1"/>
  <c r="G88" i="28" s="1"/>
  <c r="F42" i="28"/>
  <c r="F65" i="28" s="1"/>
  <c r="F88" i="28" s="1"/>
  <c r="E42" i="28"/>
  <c r="E65" i="28" s="1"/>
  <c r="E88" i="28" s="1"/>
  <c r="D42" i="28"/>
  <c r="D65" i="28" s="1"/>
  <c r="D88" i="28" s="1"/>
  <c r="G41" i="28"/>
  <c r="G64" i="28" s="1"/>
  <c r="G87" i="28" s="1"/>
  <c r="E38" i="28"/>
  <c r="E61" i="28" s="1"/>
  <c r="E84" i="28" s="1"/>
  <c r="D38" i="28"/>
  <c r="D61" i="28" s="1"/>
  <c r="D84" i="28" s="1"/>
  <c r="C43" i="28"/>
  <c r="K142" i="28" s="1"/>
  <c r="C42" i="28"/>
  <c r="C65" i="28" s="1"/>
  <c r="C88" i="28" s="1"/>
  <c r="C38" i="28"/>
  <c r="C61" i="28" s="1"/>
  <c r="C84" i="28" s="1"/>
  <c r="I35" i="28"/>
  <c r="H35" i="28"/>
  <c r="P117" i="28" s="1"/>
  <c r="G35" i="28"/>
  <c r="O117" i="28" s="1"/>
  <c r="F35" i="28"/>
  <c r="N117" i="28" s="1"/>
  <c r="E35" i="28"/>
  <c r="M117" i="28" s="1"/>
  <c r="D35" i="28"/>
  <c r="L117" i="28" s="1"/>
  <c r="I33" i="28"/>
  <c r="H33" i="28"/>
  <c r="G33" i="28"/>
  <c r="H32" i="28"/>
  <c r="G32" i="28"/>
  <c r="F30" i="28"/>
  <c r="E30" i="28"/>
  <c r="D30" i="28"/>
  <c r="C35" i="28"/>
  <c r="K117" i="28" s="1"/>
  <c r="C30" i="28"/>
  <c r="I131" i="22" l="1"/>
  <c r="U172" i="4"/>
  <c r="V314" i="4"/>
  <c r="V172" i="4" s="1"/>
  <c r="I226" i="29"/>
  <c r="I230" i="29" s="1"/>
  <c r="J243" i="29"/>
  <c r="C170" i="29"/>
  <c r="E52" i="31"/>
  <c r="C182" i="29" s="1"/>
  <c r="C181" i="29"/>
  <c r="J87" i="28"/>
  <c r="J86" i="28"/>
  <c r="I64" i="25"/>
  <c r="I92" i="25" s="1"/>
  <c r="I74" i="25"/>
  <c r="I64" i="28"/>
  <c r="I87" i="28" s="1"/>
  <c r="I65" i="28"/>
  <c r="I88" i="28" s="1"/>
  <c r="Q117" i="28"/>
  <c r="D66" i="28"/>
  <c r="D89" i="28" s="1"/>
  <c r="E66" i="28"/>
  <c r="E73" i="28" s="1"/>
  <c r="M126" i="28"/>
  <c r="J73" i="28"/>
  <c r="AK382" i="12"/>
  <c r="AK383" i="12" s="1"/>
  <c r="J46" i="28"/>
  <c r="J69" i="28"/>
  <c r="J62" i="28"/>
  <c r="J31" i="28"/>
  <c r="AK194" i="20"/>
  <c r="AK285" i="20"/>
  <c r="AK308" i="20"/>
  <c r="C66" i="28"/>
  <c r="C73" i="28" s="1"/>
  <c r="G62" i="28"/>
  <c r="G66" i="28"/>
  <c r="G89" i="28" s="1"/>
  <c r="I66" i="28"/>
  <c r="I89" i="28" s="1"/>
  <c r="H62" i="28"/>
  <c r="H66" i="28"/>
  <c r="H89" i="28" s="1"/>
  <c r="I62" i="28"/>
  <c r="H72" i="28"/>
  <c r="C46" i="28"/>
  <c r="G72" i="28"/>
  <c r="C50" i="28"/>
  <c r="D46" i="28"/>
  <c r="D50" i="28"/>
  <c r="G49" i="28"/>
  <c r="C69" i="28"/>
  <c r="E46" i="28"/>
  <c r="E50" i="28"/>
  <c r="G50" i="28"/>
  <c r="D69" i="28"/>
  <c r="H49" i="28"/>
  <c r="H50" i="28"/>
  <c r="E69" i="28"/>
  <c r="I49" i="28"/>
  <c r="I50" i="28"/>
  <c r="L78" i="4"/>
  <c r="L79" i="4" s="1"/>
  <c r="C163" i="28" s="1"/>
  <c r="D73" i="28" l="1"/>
  <c r="I72" i="28"/>
  <c r="J65" i="25"/>
  <c r="J47" i="28"/>
  <c r="E89" i="28"/>
  <c r="H85" i="28"/>
  <c r="J85" i="28"/>
  <c r="J70" i="28"/>
  <c r="G85" i="28"/>
  <c r="I85" i="28"/>
  <c r="C89" i="28"/>
  <c r="AK288" i="20"/>
  <c r="AK347" i="20"/>
  <c r="G73" i="28"/>
  <c r="H73" i="28"/>
  <c r="I73" i="28"/>
  <c r="H73" i="25"/>
  <c r="H74" i="25" s="1"/>
  <c r="AJ306" i="20"/>
  <c r="AI306" i="20"/>
  <c r="AH306" i="20"/>
  <c r="AJ264" i="20"/>
  <c r="AJ307" i="20" s="1"/>
  <c r="AI264" i="20"/>
  <c r="AI307" i="20" s="1"/>
  <c r="AH264" i="20"/>
  <c r="AH307" i="20" s="1"/>
  <c r="AJ129" i="20"/>
  <c r="AJ133" i="20" s="1"/>
  <c r="AI129" i="20"/>
  <c r="AH129" i="20"/>
  <c r="AJ118" i="20"/>
  <c r="AJ115" i="20"/>
  <c r="AJ117" i="20" s="1"/>
  <c r="CA15" i="20"/>
  <c r="CA14" i="20"/>
  <c r="CA13" i="20"/>
  <c r="CA12" i="20"/>
  <c r="CA8" i="20"/>
  <c r="CA5" i="20"/>
  <c r="BZ15" i="20"/>
  <c r="BZ14" i="20"/>
  <c r="BZ13" i="20"/>
  <c r="BZ12" i="20"/>
  <c r="BZ8" i="20"/>
  <c r="BZ5" i="20"/>
  <c r="AJ304" i="20"/>
  <c r="AI304" i="20"/>
  <c r="AH304" i="20"/>
  <c r="B308" i="20"/>
  <c r="B305" i="20"/>
  <c r="B304" i="20"/>
  <c r="AJ123" i="20" l="1"/>
  <c r="J3611" i="16"/>
  <c r="I3611" i="16"/>
  <c r="H3611" i="16"/>
  <c r="AJ132" i="20"/>
  <c r="AJ135" i="20"/>
  <c r="AJ136" i="20"/>
  <c r="AJ134" i="20"/>
  <c r="AJ137" i="20"/>
  <c r="AJ138" i="20"/>
  <c r="AI134" i="20" l="1"/>
  <c r="BD353" i="12"/>
  <c r="BD354" i="12"/>
  <c r="BD355" i="12"/>
  <c r="BD356" i="12"/>
  <c r="AJ368" i="12"/>
  <c r="AJ365" i="12"/>
  <c r="AJ362" i="12"/>
  <c r="AJ357" i="12"/>
  <c r="AJ359" i="12" l="1"/>
  <c r="AI133" i="20"/>
  <c r="AI132" i="20"/>
  <c r="AI138" i="20"/>
  <c r="AI136" i="20"/>
  <c r="AI135" i="20"/>
  <c r="AJ240" i="12"/>
  <c r="E3614" i="16" s="1"/>
  <c r="AJ239" i="12"/>
  <c r="D82" i="22"/>
  <c r="D83" i="22"/>
  <c r="D84" i="22"/>
  <c r="E84" i="22"/>
  <c r="C84" i="22"/>
  <c r="D86" i="22"/>
  <c r="E86" i="22"/>
  <c r="F86" i="22"/>
  <c r="C86" i="22"/>
  <c r="B86" i="22"/>
  <c r="B84" i="22"/>
  <c r="B102" i="22" s="1"/>
  <c r="B85" i="22"/>
  <c r="B103" i="22" s="1"/>
  <c r="C83" i="22"/>
  <c r="C82" i="22"/>
  <c r="F76" i="22"/>
  <c r="G76" i="22"/>
  <c r="H76" i="22"/>
  <c r="I76" i="22"/>
  <c r="J76" i="22"/>
  <c r="K76" i="22"/>
  <c r="L76" i="22"/>
  <c r="M76" i="22"/>
  <c r="N76" i="22"/>
  <c r="O76" i="22"/>
  <c r="P76" i="22"/>
  <c r="F74" i="22"/>
  <c r="G74" i="22"/>
  <c r="J74" i="22"/>
  <c r="K74" i="22"/>
  <c r="L74" i="22"/>
  <c r="M74" i="22"/>
  <c r="N74" i="22"/>
  <c r="O74" i="22"/>
  <c r="P74" i="22"/>
  <c r="F72" i="22"/>
  <c r="G72" i="22"/>
  <c r="J72" i="22"/>
  <c r="K72" i="22"/>
  <c r="L72" i="22"/>
  <c r="M72" i="22"/>
  <c r="N72" i="22"/>
  <c r="O72" i="22"/>
  <c r="P72" i="22"/>
  <c r="B72" i="22"/>
  <c r="B73" i="22"/>
  <c r="B74" i="22"/>
  <c r="B75" i="22"/>
  <c r="B76" i="22"/>
  <c r="B77" i="22"/>
  <c r="B78" i="22"/>
  <c r="B79" i="22"/>
  <c r="C79" i="22"/>
  <c r="D79" i="22"/>
  <c r="E79" i="22"/>
  <c r="F79" i="22"/>
  <c r="B81" i="22"/>
  <c r="B92" i="22" s="1"/>
  <c r="B82" i="22"/>
  <c r="B93" i="22" s="1"/>
  <c r="B83" i="22"/>
  <c r="N2286" i="16"/>
  <c r="O2286" i="16"/>
  <c r="P2286" i="16"/>
  <c r="Q2286" i="16"/>
  <c r="R2286" i="16"/>
  <c r="D70" i="22"/>
  <c r="D92" i="22" s="1"/>
  <c r="C70" i="22"/>
  <c r="C92" i="22" s="1"/>
  <c r="B71" i="22"/>
  <c r="F3455" i="8" l="1"/>
  <c r="X516" i="20" l="1"/>
  <c r="X528" i="20" s="1"/>
  <c r="W516" i="20"/>
  <c r="W528" i="20" s="1"/>
  <c r="V516" i="20"/>
  <c r="V528" i="20" s="1"/>
  <c r="AE279" i="20"/>
  <c r="AF279" i="20"/>
  <c r="AE57" i="20"/>
  <c r="W808" i="20"/>
  <c r="V808" i="20"/>
  <c r="U808" i="20"/>
  <c r="N1082" i="20"/>
  <c r="N1074" i="20"/>
  <c r="M1074" i="20"/>
  <c r="AJ327" i="12"/>
  <c r="X590" i="20"/>
  <c r="X533" i="20"/>
  <c r="X532" i="20"/>
  <c r="X531" i="20"/>
  <c r="X530" i="20"/>
  <c r="X529" i="20"/>
  <c r="Y498" i="20"/>
  <c r="Y497" i="20"/>
  <c r="Y496" i="20"/>
  <c r="Y495" i="20"/>
  <c r="Y493" i="20"/>
  <c r="Y492" i="20"/>
  <c r="Y491" i="20"/>
  <c r="Y500" i="20" s="1"/>
  <c r="Y483" i="20"/>
  <c r="Y472" i="20"/>
  <c r="Y473" i="20" s="1"/>
  <c r="Y461" i="20"/>
  <c r="Y450" i="20"/>
  <c r="Y449" i="20"/>
  <c r="Y439" i="20"/>
  <c r="Y438" i="20"/>
  <c r="Y427" i="20"/>
  <c r="Y426" i="20"/>
  <c r="Y415" i="20"/>
  <c r="CW415" i="20" s="1"/>
  <c r="AJ393" i="20"/>
  <c r="AJ320" i="20"/>
  <c r="AJ314" i="20"/>
  <c r="C795" i="20" s="1"/>
  <c r="AJ211" i="20"/>
  <c r="H224" i="29" s="1"/>
  <c r="AJ60" i="20"/>
  <c r="AO61" i="20" s="1"/>
  <c r="AJ351" i="12"/>
  <c r="AN352" i="12" s="1"/>
  <c r="AJ23" i="20"/>
  <c r="AJ18" i="20"/>
  <c r="AJ17" i="20"/>
  <c r="H223" i="29" s="1"/>
  <c r="AJ11" i="20"/>
  <c r="CE11" i="20" s="1"/>
  <c r="F772" i="20"/>
  <c r="F761" i="20"/>
  <c r="D799" i="20"/>
  <c r="D798" i="20"/>
  <c r="D781" i="20"/>
  <c r="D779" i="20"/>
  <c r="D770" i="20"/>
  <c r="D768" i="20"/>
  <c r="C798" i="20"/>
  <c r="C781" i="20"/>
  <c r="C780" i="20" s="1"/>
  <c r="C779" i="20"/>
  <c r="C778" i="20"/>
  <c r="C772" i="20"/>
  <c r="C770" i="20"/>
  <c r="W807" i="20"/>
  <c r="CV488" i="20"/>
  <c r="X588" i="20" s="1"/>
  <c r="CV487" i="20"/>
  <c r="X586" i="20" s="1"/>
  <c r="CV486" i="20"/>
  <c r="X585" i="20" s="1"/>
  <c r="CV485" i="20"/>
  <c r="X584" i="20" s="1"/>
  <c r="CV482" i="20"/>
  <c r="X583" i="20" s="1"/>
  <c r="CV481" i="20"/>
  <c r="X582" i="20" s="1"/>
  <c r="CV480" i="20"/>
  <c r="CV466" i="20"/>
  <c r="X579" i="20" s="1"/>
  <c r="CV465" i="20"/>
  <c r="X577" i="20" s="1"/>
  <c r="CV464" i="20"/>
  <c r="X576" i="20" s="1"/>
  <c r="CV463" i="20"/>
  <c r="X575" i="20" s="1"/>
  <c r="CV460" i="20"/>
  <c r="X574" i="20" s="1"/>
  <c r="CV459" i="20"/>
  <c r="X573" i="20" s="1"/>
  <c r="CV458" i="20"/>
  <c r="CV455" i="20"/>
  <c r="X570" i="20" s="1"/>
  <c r="CV454" i="20"/>
  <c r="X568" i="20" s="1"/>
  <c r="CV453" i="20"/>
  <c r="X567" i="20" s="1"/>
  <c r="CV452" i="20"/>
  <c r="X566" i="20" s="1"/>
  <c r="CV448" i="20"/>
  <c r="X565" i="20" s="1"/>
  <c r="CV447" i="20"/>
  <c r="X564" i="20" s="1"/>
  <c r="CV446" i="20"/>
  <c r="CV443" i="20"/>
  <c r="X560" i="20" s="1"/>
  <c r="CV442" i="20"/>
  <c r="X559" i="20" s="1"/>
  <c r="CV441" i="20"/>
  <c r="X558" i="20" s="1"/>
  <c r="CV437" i="20"/>
  <c r="X557" i="20" s="1"/>
  <c r="CV436" i="20"/>
  <c r="X556" i="20" s="1"/>
  <c r="CV435" i="20"/>
  <c r="CV432" i="20"/>
  <c r="X553" i="20" s="1"/>
  <c r="CV431" i="20"/>
  <c r="X551" i="20" s="1"/>
  <c r="CV430" i="20"/>
  <c r="X550" i="20" s="1"/>
  <c r="CV429" i="20"/>
  <c r="X549" i="20" s="1"/>
  <c r="CV425" i="20"/>
  <c r="X548" i="20" s="1"/>
  <c r="CV424" i="20"/>
  <c r="X547" i="20" s="1"/>
  <c r="CV423" i="20"/>
  <c r="CV420" i="20"/>
  <c r="X544" i="20" s="1"/>
  <c r="CV419" i="20"/>
  <c r="X542" i="20" s="1"/>
  <c r="CV418" i="20"/>
  <c r="X541" i="20" s="1"/>
  <c r="CV417" i="20"/>
  <c r="X540" i="20" s="1"/>
  <c r="CV414" i="20"/>
  <c r="X539" i="20" s="1"/>
  <c r="CV413" i="20"/>
  <c r="X538" i="20" s="1"/>
  <c r="CV412" i="20"/>
  <c r="AJ260" i="20"/>
  <c r="AJ267" i="20" s="1"/>
  <c r="AJ239" i="20"/>
  <c r="AJ379" i="12"/>
  <c r="AJ378" i="12"/>
  <c r="AJ377" i="12"/>
  <c r="AJ339" i="12"/>
  <c r="AJ338" i="12"/>
  <c r="F260" i="28" s="1"/>
  <c r="AJ332" i="12"/>
  <c r="AJ233" i="12"/>
  <c r="AJ231" i="12"/>
  <c r="AJ276" i="12"/>
  <c r="BC266" i="12" s="1"/>
  <c r="AJ274" i="12"/>
  <c r="AJ273" i="12"/>
  <c r="AJ268" i="12"/>
  <c r="AJ267" i="12"/>
  <c r="I3626" i="16" s="1"/>
  <c r="AJ246" i="12"/>
  <c r="BC245" i="12" s="1"/>
  <c r="AJ244" i="12"/>
  <c r="X514" i="20" s="1"/>
  <c r="AJ243" i="12"/>
  <c r="X512" i="20" s="1"/>
  <c r="AJ242" i="12"/>
  <c r="X511" i="20" s="1"/>
  <c r="AJ241" i="12"/>
  <c r="X510" i="20" s="1"/>
  <c r="X509" i="20"/>
  <c r="X508" i="20"/>
  <c r="AJ238" i="12"/>
  <c r="AJ235" i="12"/>
  <c r="AJ347" i="12"/>
  <c r="X521" i="20" s="1"/>
  <c r="AJ346" i="12"/>
  <c r="X520" i="20" s="1"/>
  <c r="AJ345" i="12"/>
  <c r="X519" i="20" s="1"/>
  <c r="AJ344" i="12"/>
  <c r="X518" i="20" s="1"/>
  <c r="AJ343" i="12"/>
  <c r="X517" i="20" s="1"/>
  <c r="AJ237" i="20"/>
  <c r="AJ192" i="20"/>
  <c r="AJ189" i="20"/>
  <c r="AJ208" i="20" s="1"/>
  <c r="AJ90" i="20"/>
  <c r="AJ68" i="20"/>
  <c r="AJ79" i="20" s="1"/>
  <c r="AJ109" i="20" s="1"/>
  <c r="CG109" i="20" s="1"/>
  <c r="T49" i="13"/>
  <c r="U49" i="13" s="1"/>
  <c r="V38" i="13" s="1"/>
  <c r="AE26" i="14" l="1"/>
  <c r="AE38" i="14"/>
  <c r="AE47" i="14" s="1"/>
  <c r="AE239" i="14"/>
  <c r="AE238" i="14"/>
  <c r="AJ232" i="12"/>
  <c r="J3915" i="16"/>
  <c r="H226" i="29"/>
  <c r="H230" i="29" s="1"/>
  <c r="I243" i="29"/>
  <c r="X591" i="20"/>
  <c r="E31" i="28"/>
  <c r="D127" i="29"/>
  <c r="AJ297" i="20"/>
  <c r="CE17" i="20"/>
  <c r="X594" i="20"/>
  <c r="X595" i="20"/>
  <c r="X596" i="20"/>
  <c r="X592" i="20"/>
  <c r="X599" i="20"/>
  <c r="AO196" i="20"/>
  <c r="AO62" i="20"/>
  <c r="AO199" i="20" s="1"/>
  <c r="E3612" i="16"/>
  <c r="AN270" i="12"/>
  <c r="BC247" i="12"/>
  <c r="E3617" i="16"/>
  <c r="Y440" i="20"/>
  <c r="CW439" i="20"/>
  <c r="Y451" i="20"/>
  <c r="CW450" i="20"/>
  <c r="Y462" i="20"/>
  <c r="CW461" i="20"/>
  <c r="Y484" i="20"/>
  <c r="CW483" i="20"/>
  <c r="Y428" i="20"/>
  <c r="CW427" i="20"/>
  <c r="AK348" i="12"/>
  <c r="AK375" i="12"/>
  <c r="AJ269" i="12"/>
  <c r="C776" i="20"/>
  <c r="I40" i="28"/>
  <c r="I30" i="28"/>
  <c r="AJ191" i="20"/>
  <c r="I32" i="28"/>
  <c r="AJ308" i="20"/>
  <c r="I38" i="28"/>
  <c r="AJ62" i="20"/>
  <c r="AJ199" i="20" s="1"/>
  <c r="AJ196" i="20"/>
  <c r="CA17" i="20"/>
  <c r="AJ232" i="20"/>
  <c r="AJ303" i="20"/>
  <c r="W809" i="20"/>
  <c r="AJ287" i="20"/>
  <c r="AJ277" i="20"/>
  <c r="AJ382" i="12"/>
  <c r="AJ383" i="12" s="1"/>
  <c r="Y494" i="20"/>
  <c r="X552" i="20"/>
  <c r="AJ284" i="20"/>
  <c r="AJ331" i="20" s="1"/>
  <c r="AJ390" i="20" s="1"/>
  <c r="I31" i="28"/>
  <c r="X110" i="28" s="1"/>
  <c r="X578" i="20"/>
  <c r="C774" i="20"/>
  <c r="AJ21" i="20"/>
  <c r="X587" i="20"/>
  <c r="AJ352" i="12"/>
  <c r="X513" i="20"/>
  <c r="X534" i="20"/>
  <c r="X561" i="20"/>
  <c r="X543" i="20"/>
  <c r="AJ321" i="20"/>
  <c r="X522" i="20"/>
  <c r="AJ340" i="12"/>
  <c r="X555" i="20"/>
  <c r="X569" i="20"/>
  <c r="C767" i="20"/>
  <c r="AJ190" i="20"/>
  <c r="AJ16" i="20"/>
  <c r="AH175" i="20"/>
  <c r="AI175" i="20"/>
  <c r="AI182" i="20"/>
  <c r="AH166" i="20"/>
  <c r="AI166" i="20"/>
  <c r="AH169" i="20"/>
  <c r="B183" i="20"/>
  <c r="B182" i="20"/>
  <c r="B181" i="20"/>
  <c r="AI170" i="20"/>
  <c r="B171" i="20"/>
  <c r="B170" i="20"/>
  <c r="B169" i="20"/>
  <c r="AH161" i="20"/>
  <c r="AI161" i="20"/>
  <c r="BB353" i="12"/>
  <c r="BC356" i="12"/>
  <c r="BC355" i="12"/>
  <c r="BC354" i="12"/>
  <c r="BC353" i="12"/>
  <c r="AH95" i="20"/>
  <c r="AI10" i="20"/>
  <c r="AH105" i="20"/>
  <c r="AH101" i="20"/>
  <c r="AI152" i="20"/>
  <c r="AH152" i="20"/>
  <c r="AI145" i="20"/>
  <c r="AI143" i="20"/>
  <c r="AI142" i="20"/>
  <c r="AI141" i="20"/>
  <c r="AH145" i="20"/>
  <c r="AI379" i="12"/>
  <c r="AI378" i="12"/>
  <c r="AI377" i="12"/>
  <c r="AH360" i="12"/>
  <c r="AH362" i="12" s="1"/>
  <c r="AH144" i="20" s="1"/>
  <c r="AH358" i="12"/>
  <c r="AH356" i="12"/>
  <c r="AH379" i="12" s="1"/>
  <c r="AH355" i="12"/>
  <c r="AH378" i="12" s="1"/>
  <c r="AH354" i="12"/>
  <c r="AH377" i="12" s="1"/>
  <c r="AI368" i="12"/>
  <c r="AI357" i="12"/>
  <c r="AI359" i="12" s="1"/>
  <c r="AI362" i="12"/>
  <c r="AI144" i="20" s="1"/>
  <c r="AH364" i="12"/>
  <c r="AH363" i="12"/>
  <c r="AH367" i="12"/>
  <c r="AH368" i="12" s="1"/>
  <c r="AI365" i="12"/>
  <c r="AH116" i="20"/>
  <c r="AH114" i="20"/>
  <c r="AH113" i="20"/>
  <c r="AH112" i="20"/>
  <c r="AH111" i="20"/>
  <c r="AH110" i="20"/>
  <c r="AI118" i="20"/>
  <c r="AI115" i="20"/>
  <c r="AI105" i="20"/>
  <c r="AI101" i="20"/>
  <c r="AI95" i="20"/>
  <c r="AI97" i="20" s="1"/>
  <c r="AD376" i="20"/>
  <c r="AE376" i="20" s="1"/>
  <c r="AF376" i="20" s="1"/>
  <c r="AD375" i="20"/>
  <c r="AI376" i="20"/>
  <c r="AI375" i="20"/>
  <c r="X373" i="20"/>
  <c r="AC373" i="20"/>
  <c r="K3926" i="16" l="1"/>
  <c r="K3920" i="16"/>
  <c r="X597" i="20"/>
  <c r="X601" i="20" s="1"/>
  <c r="X572" i="20"/>
  <c r="X581" i="20" s="1"/>
  <c r="X563" i="20"/>
  <c r="I63" i="28"/>
  <c r="I71" i="28" s="1"/>
  <c r="I47" i="28"/>
  <c r="I70" i="28"/>
  <c r="AJ376" i="20"/>
  <c r="AK376" i="20" s="1"/>
  <c r="AJ286" i="20"/>
  <c r="AH97" i="20"/>
  <c r="AH106" i="20" s="1"/>
  <c r="AH107" i="20" s="1"/>
  <c r="H226" i="23"/>
  <c r="AH365" i="12"/>
  <c r="I48" i="28"/>
  <c r="I61" i="28"/>
  <c r="I46" i="28"/>
  <c r="AI153" i="20"/>
  <c r="AI154" i="20" s="1"/>
  <c r="AI117" i="20"/>
  <c r="AI137" i="20"/>
  <c r="AI155" i="20" s="1"/>
  <c r="AJ193" i="20"/>
  <c r="AJ194" i="20" s="1"/>
  <c r="AJ375" i="20"/>
  <c r="C796" i="20"/>
  <c r="AJ327" i="20"/>
  <c r="AJ324" i="20"/>
  <c r="AJ352" i="20" s="1"/>
  <c r="AJ216" i="20"/>
  <c r="C765" i="20"/>
  <c r="W805" i="20"/>
  <c r="AI177" i="20"/>
  <c r="AI106" i="20"/>
  <c r="AI107" i="20" s="1"/>
  <c r="AH132" i="20"/>
  <c r="AH176" i="20" s="1"/>
  <c r="AH135" i="20"/>
  <c r="AH136" i="20"/>
  <c r="AI151" i="20"/>
  <c r="AI163" i="20"/>
  <c r="AH115" i="20"/>
  <c r="AH137" i="20" s="1"/>
  <c r="AH155" i="20" s="1"/>
  <c r="AI176" i="20"/>
  <c r="AI162" i="20"/>
  <c r="AH138" i="20"/>
  <c r="AH118" i="20"/>
  <c r="AH143" i="20"/>
  <c r="AH141" i="20"/>
  <c r="AH133" i="20"/>
  <c r="AH357" i="12"/>
  <c r="AH134" i="20"/>
  <c r="AI146" i="20"/>
  <c r="AH142" i="20"/>
  <c r="AE375" i="20"/>
  <c r="AI370" i="20"/>
  <c r="AI366" i="20"/>
  <c r="AI365" i="20"/>
  <c r="AI364" i="20"/>
  <c r="AI362" i="20"/>
  <c r="AI360" i="20"/>
  <c r="AI355" i="20"/>
  <c r="AI358" i="20"/>
  <c r="AI378" i="20" s="1"/>
  <c r="AI357" i="20"/>
  <c r="AI354" i="20"/>
  <c r="AI313" i="20"/>
  <c r="AH368" i="20"/>
  <c r="AH356" i="20"/>
  <c r="AH353" i="20"/>
  <c r="AH320" i="20"/>
  <c r="AK320" i="20" s="1"/>
  <c r="AK321" i="20" s="1"/>
  <c r="AH314" i="20"/>
  <c r="AE387" i="20"/>
  <c r="AC387" i="20"/>
  <c r="AF384" i="20"/>
  <c r="Y357" i="20"/>
  <c r="Z357" i="20" s="1"/>
  <c r="AD357" i="20"/>
  <c r="AC353" i="20"/>
  <c r="D778" i="20"/>
  <c r="I86" i="28" l="1"/>
  <c r="AI123" i="20"/>
  <c r="AF375" i="20"/>
  <c r="AI377" i="20"/>
  <c r="AK375" i="20"/>
  <c r="AJ357" i="20"/>
  <c r="AK357" i="20" s="1"/>
  <c r="AK327" i="20"/>
  <c r="AK324" i="20"/>
  <c r="AK352" i="20" s="1"/>
  <c r="AJ355" i="20"/>
  <c r="AK355" i="20" s="1"/>
  <c r="AJ358" i="20"/>
  <c r="AJ354" i="20"/>
  <c r="AK354" i="20" s="1"/>
  <c r="I84" i="28"/>
  <c r="I69" i="28"/>
  <c r="W810" i="20"/>
  <c r="AJ347" i="20"/>
  <c r="AJ288" i="20"/>
  <c r="C761" i="20"/>
  <c r="C763" i="20" s="1"/>
  <c r="AI353" i="20"/>
  <c r="AJ353" i="20" s="1"/>
  <c r="AK353" i="20" s="1"/>
  <c r="C797" i="20"/>
  <c r="AI356" i="20"/>
  <c r="AI178" i="20"/>
  <c r="W806" i="20"/>
  <c r="AH177" i="20"/>
  <c r="AH178" i="20" s="1"/>
  <c r="AH117" i="20"/>
  <c r="AH163" i="20"/>
  <c r="AI164" i="20"/>
  <c r="AH151" i="20"/>
  <c r="AH146" i="20"/>
  <c r="AH359" i="12"/>
  <c r="AI314" i="20"/>
  <c r="AI321" i="20" s="1"/>
  <c r="AI324" i="20" s="1"/>
  <c r="AI352" i="20" s="1"/>
  <c r="AH162" i="20"/>
  <c r="AH321" i="20"/>
  <c r="AI368" i="20"/>
  <c r="AI371" i="20" s="1"/>
  <c r="AI387" i="20" s="1"/>
  <c r="AH371" i="20"/>
  <c r="AH387" i="20" s="1"/>
  <c r="AD353" i="20"/>
  <c r="AE353" i="20" s="1"/>
  <c r="AF365" i="20"/>
  <c r="AF364" i="20"/>
  <c r="AF362" i="20"/>
  <c r="AF360" i="20"/>
  <c r="AF332" i="20"/>
  <c r="AF326" i="20"/>
  <c r="AA326" i="20"/>
  <c r="AF313" i="20"/>
  <c r="AF323" i="20"/>
  <c r="AA323" i="20"/>
  <c r="AF318" i="20"/>
  <c r="AF317" i="20"/>
  <c r="AF316" i="20"/>
  <c r="AF333" i="20" l="1"/>
  <c r="AK358" i="20"/>
  <c r="AJ378" i="20"/>
  <c r="AJ377" i="20"/>
  <c r="AJ356" i="20"/>
  <c r="AK356" i="20" s="1"/>
  <c r="AK359" i="20" s="1"/>
  <c r="AI359" i="20"/>
  <c r="AH164" i="20"/>
  <c r="AI327" i="20"/>
  <c r="AH327" i="20"/>
  <c r="AH324" i="20"/>
  <c r="AF353" i="20"/>
  <c r="AJ359" i="20" l="1"/>
  <c r="AJ368" i="20" s="1"/>
  <c r="AJ371" i="20" s="1"/>
  <c r="AJ387" i="20" s="1"/>
  <c r="AH352" i="20"/>
  <c r="AH359" i="20" s="1"/>
  <c r="AK368" i="20"/>
  <c r="AK371" i="20" s="1"/>
  <c r="AK387" i="20" s="1"/>
  <c r="AK378" i="20"/>
  <c r="AK377" i="20"/>
  <c r="I3376" i="16"/>
  <c r="L3369" i="16"/>
  <c r="C799" i="20" l="1"/>
  <c r="D3434" i="16"/>
  <c r="E3434" i="16" s="1"/>
  <c r="F3434" i="16" s="1"/>
  <c r="G3434" i="16" s="1"/>
  <c r="H3434" i="16" s="1"/>
  <c r="E3420" i="16"/>
  <c r="C3425" i="16"/>
  <c r="D3425" i="16" s="1"/>
  <c r="D3424" i="16"/>
  <c r="C3424" i="16"/>
  <c r="L3373" i="16"/>
  <c r="C3408" i="16"/>
  <c r="C3403" i="16"/>
  <c r="C3401" i="16"/>
  <c r="B3403" i="16"/>
  <c r="B3402" i="16"/>
  <c r="B3401" i="16"/>
  <c r="D3468" i="16"/>
  <c r="D3377" i="16"/>
  <c r="D3376" i="16"/>
  <c r="D3373" i="16"/>
  <c r="D3372" i="16"/>
  <c r="C3396" i="16"/>
  <c r="D3356" i="16"/>
  <c r="D3355" i="16"/>
  <c r="D3354" i="16"/>
  <c r="C3394" i="16"/>
  <c r="C3382" i="16"/>
  <c r="C3374" i="16"/>
  <c r="C3378" i="16"/>
  <c r="D3378" i="16" s="1"/>
  <c r="C3388" i="16"/>
  <c r="J243" i="24" l="1"/>
  <c r="J245" i="24" s="1"/>
  <c r="L3371" i="16"/>
  <c r="D3388" i="16"/>
  <c r="F3439" i="16"/>
  <c r="E3439" i="16"/>
  <c r="H3439" i="16"/>
  <c r="G3439" i="16"/>
  <c r="D3382" i="16"/>
  <c r="C3379" i="16"/>
  <c r="I122" i="24" s="1"/>
  <c r="K243" i="24" l="1"/>
  <c r="L243" i="24" s="1"/>
  <c r="M243" i="24" s="1"/>
  <c r="J122" i="24"/>
  <c r="C98" i="24" s="1"/>
  <c r="I124" i="24"/>
  <c r="M249" i="24"/>
  <c r="L249" i="24"/>
  <c r="K249" i="24"/>
  <c r="J249" i="24"/>
  <c r="C3381" i="16"/>
  <c r="L3370" i="16"/>
  <c r="K3370" i="16" s="1"/>
  <c r="K3371" i="16" s="1"/>
  <c r="D3379" i="16"/>
  <c r="N98" i="24" l="1"/>
  <c r="I129" i="24"/>
  <c r="I142" i="24"/>
  <c r="I144" i="24" s="1"/>
  <c r="I149" i="24" s="1"/>
  <c r="I125" i="24"/>
  <c r="I147" i="24" s="1"/>
  <c r="K122" i="24"/>
  <c r="D98" i="24" s="1"/>
  <c r="J124" i="24"/>
  <c r="C104" i="24"/>
  <c r="C3383" i="16"/>
  <c r="L3372" i="16" s="1"/>
  <c r="K3373" i="16" s="1"/>
  <c r="L3374" i="16" s="1"/>
  <c r="D3381" i="16"/>
  <c r="H98" i="24" l="1"/>
  <c r="I98" i="24" s="1"/>
  <c r="J98" i="24" s="1"/>
  <c r="O98" i="24" s="1"/>
  <c r="I130" i="24"/>
  <c r="C7" i="29"/>
  <c r="C111" i="24"/>
  <c r="J169" i="24" s="1"/>
  <c r="D36" i="29" s="1"/>
  <c r="J165" i="24"/>
  <c r="J142" i="24"/>
  <c r="J129" i="24"/>
  <c r="K142" i="24"/>
  <c r="K162" i="24" s="1"/>
  <c r="E3444" i="16"/>
  <c r="E98" i="24"/>
  <c r="D104" i="24"/>
  <c r="E104" i="24" s="1"/>
  <c r="C3385" i="16"/>
  <c r="D3412" i="16" s="1"/>
  <c r="D3383" i="16"/>
  <c r="K168" i="24" l="1"/>
  <c r="K169" i="24"/>
  <c r="D35" i="29"/>
  <c r="J181" i="24"/>
  <c r="J183" i="24" s="1"/>
  <c r="C15" i="29"/>
  <c r="C9" i="29"/>
  <c r="J206" i="24"/>
  <c r="C220" i="24" s="1"/>
  <c r="L124" i="24"/>
  <c r="L142" i="24" s="1"/>
  <c r="L162" i="24" s="1"/>
  <c r="D3385" i="16"/>
  <c r="D3414" i="16" s="1"/>
  <c r="C21" i="29" l="1"/>
  <c r="C17" i="29"/>
  <c r="K210" i="24"/>
  <c r="M124" i="24"/>
  <c r="M142" i="24" s="1"/>
  <c r="B3384" i="16"/>
  <c r="N124" i="24" l="1"/>
  <c r="N142" i="24" s="1"/>
  <c r="E3314" i="16"/>
  <c r="F3314" i="16" s="1"/>
  <c r="I194" i="23" s="1"/>
  <c r="F3320" i="16" l="1"/>
  <c r="F3338" i="16" s="1"/>
  <c r="I179" i="23"/>
  <c r="O142" i="24"/>
  <c r="P124" i="24"/>
  <c r="G3314" i="16"/>
  <c r="H3314" i="16" s="1"/>
  <c r="E3321" i="16"/>
  <c r="D3320" i="16"/>
  <c r="E3316" i="16"/>
  <c r="F3316" i="16" s="1"/>
  <c r="E3309" i="16"/>
  <c r="F3309" i="16" s="1"/>
  <c r="G3309" i="16" s="1"/>
  <c r="H3309" i="16" s="1"/>
  <c r="I3309" i="16" s="1"/>
  <c r="D3315" i="16"/>
  <c r="C3325" i="16" s="1"/>
  <c r="C3312" i="16"/>
  <c r="E3413" i="8"/>
  <c r="F3412" i="8" s="1"/>
  <c r="G3320" i="16" l="1"/>
  <c r="J196" i="23" s="1"/>
  <c r="J188" i="23" s="1"/>
  <c r="J194" i="23"/>
  <c r="J179" i="23" s="1"/>
  <c r="I188" i="23"/>
  <c r="I263" i="23" s="1"/>
  <c r="I196" i="23"/>
  <c r="I199" i="23"/>
  <c r="I186" i="23"/>
  <c r="I180" i="23"/>
  <c r="P142" i="24"/>
  <c r="S124" i="24"/>
  <c r="F3344" i="16"/>
  <c r="G3344" i="16" s="1"/>
  <c r="H3344" i="16" s="1"/>
  <c r="I3344" i="16" s="1"/>
  <c r="E3320" i="16"/>
  <c r="D3323" i="16"/>
  <c r="F3315" i="16"/>
  <c r="F3318" i="16" s="1"/>
  <c r="I195" i="23" s="1"/>
  <c r="I200" i="23" s="1"/>
  <c r="G3315" i="16"/>
  <c r="G3318" i="16" s="1"/>
  <c r="J195" i="23" s="1"/>
  <c r="J185" i="23" s="1"/>
  <c r="E3315" i="16"/>
  <c r="I3330" i="16"/>
  <c r="F3410" i="8"/>
  <c r="F3409" i="8"/>
  <c r="F3411" i="8"/>
  <c r="M1082" i="20"/>
  <c r="L1074" i="20"/>
  <c r="K1074" i="20"/>
  <c r="J186" i="23" l="1"/>
  <c r="I189" i="23"/>
  <c r="I202" i="23"/>
  <c r="I203" i="23" s="1"/>
  <c r="J189" i="23"/>
  <c r="K189" i="23" s="1"/>
  <c r="L189" i="23" s="1"/>
  <c r="M189" i="23" s="1"/>
  <c r="N189" i="23" s="1"/>
  <c r="O189" i="23" s="1"/>
  <c r="P189" i="23" s="1"/>
  <c r="Q189" i="23" s="1"/>
  <c r="G3338" i="16"/>
  <c r="H3320" i="16"/>
  <c r="H3338" i="16" s="1"/>
  <c r="K194" i="23"/>
  <c r="I201" i="23"/>
  <c r="I223" i="23"/>
  <c r="F3" i="31" s="1"/>
  <c r="F4" i="31" s="1"/>
  <c r="F11" i="31"/>
  <c r="D164" i="29" s="1"/>
  <c r="D166" i="29" s="1"/>
  <c r="I249" i="23"/>
  <c r="D336" i="28"/>
  <c r="H3315" i="16"/>
  <c r="I3331" i="16"/>
  <c r="G3335" i="16"/>
  <c r="F3335" i="16"/>
  <c r="I3314" i="16"/>
  <c r="L194" i="23" s="1"/>
  <c r="M194" i="23" s="1"/>
  <c r="N194" i="23" s="1"/>
  <c r="O194" i="23" s="1"/>
  <c r="P194" i="23" s="1"/>
  <c r="Q194" i="23" s="1"/>
  <c r="AH125" i="20"/>
  <c r="AH126" i="20"/>
  <c r="AH124" i="20"/>
  <c r="AH127" i="20"/>
  <c r="E3323" i="16"/>
  <c r="F3323" i="16"/>
  <c r="V807" i="20"/>
  <c r="AI237" i="20"/>
  <c r="AH237" i="20"/>
  <c r="AI260" i="20"/>
  <c r="AI267" i="20" s="1"/>
  <c r="AH23" i="20"/>
  <c r="AI23" i="20"/>
  <c r="CU488" i="20"/>
  <c r="W588" i="20" s="1"/>
  <c r="CU487" i="20"/>
  <c r="W586" i="20" s="1"/>
  <c r="CU486" i="20"/>
  <c r="W585" i="20" s="1"/>
  <c r="CU485" i="20"/>
  <c r="W584" i="20" s="1"/>
  <c r="CU482" i="20"/>
  <c r="W583" i="20" s="1"/>
  <c r="CU481" i="20"/>
  <c r="W582" i="20" s="1"/>
  <c r="CU480" i="20"/>
  <c r="CU466" i="20"/>
  <c r="W579" i="20" s="1"/>
  <c r="CU465" i="20"/>
  <c r="W577" i="20" s="1"/>
  <c r="CU464" i="20"/>
  <c r="W576" i="20" s="1"/>
  <c r="CU463" i="20"/>
  <c r="W575" i="20" s="1"/>
  <c r="CU460" i="20"/>
  <c r="W574" i="20" s="1"/>
  <c r="CU459" i="20"/>
  <c r="W573" i="20" s="1"/>
  <c r="CU458" i="20"/>
  <c r="CU455" i="20"/>
  <c r="W570" i="20" s="1"/>
  <c r="CU454" i="20"/>
  <c r="W568" i="20" s="1"/>
  <c r="CU453" i="20"/>
  <c r="W567" i="20" s="1"/>
  <c r="CU452" i="20"/>
  <c r="W566" i="20" s="1"/>
  <c r="CU448" i="20"/>
  <c r="W565" i="20" s="1"/>
  <c r="CU447" i="20"/>
  <c r="W564" i="20" s="1"/>
  <c r="CU446" i="20"/>
  <c r="CU443" i="20"/>
  <c r="W560" i="20" s="1"/>
  <c r="CU442" i="20"/>
  <c r="W559" i="20" s="1"/>
  <c r="CU441" i="20"/>
  <c r="W558" i="20" s="1"/>
  <c r="CU437" i="20"/>
  <c r="W557" i="20" s="1"/>
  <c r="CU436" i="20"/>
  <c r="W556" i="20" s="1"/>
  <c r="CU435" i="20"/>
  <c r="CU432" i="20"/>
  <c r="W553" i="20" s="1"/>
  <c r="CU431" i="20"/>
  <c r="W551" i="20" s="1"/>
  <c r="CU430" i="20"/>
  <c r="W550" i="20" s="1"/>
  <c r="CU429" i="20"/>
  <c r="W549" i="20" s="1"/>
  <c r="CU425" i="20"/>
  <c r="W548" i="20" s="1"/>
  <c r="CU424" i="20"/>
  <c r="W547" i="20" s="1"/>
  <c r="CU423" i="20"/>
  <c r="CU420" i="20"/>
  <c r="W544" i="20" s="1"/>
  <c r="CU419" i="20"/>
  <c r="W542" i="20" s="1"/>
  <c r="CU418" i="20"/>
  <c r="W541" i="20" s="1"/>
  <c r="CU417" i="20"/>
  <c r="W540" i="20" s="1"/>
  <c r="CU414" i="20"/>
  <c r="W539" i="20" s="1"/>
  <c r="CU413" i="20"/>
  <c r="W538" i="20" s="1"/>
  <c r="CU412" i="20"/>
  <c r="AI339" i="12"/>
  <c r="AI338" i="12"/>
  <c r="E260" i="28" s="1"/>
  <c r="AI332" i="12"/>
  <c r="W590" i="20"/>
  <c r="W533" i="20"/>
  <c r="W532" i="20"/>
  <c r="W531" i="20"/>
  <c r="W530" i="20"/>
  <c r="W529" i="20"/>
  <c r="X498" i="20"/>
  <c r="X497" i="20"/>
  <c r="X496" i="20"/>
  <c r="X495" i="20"/>
  <c r="X493" i="20"/>
  <c r="X492" i="20"/>
  <c r="X491" i="20"/>
  <c r="X500" i="20" s="1"/>
  <c r="X483" i="20"/>
  <c r="CV483" i="20" s="1"/>
  <c r="X472" i="20"/>
  <c r="X473" i="20" s="1"/>
  <c r="X461" i="20"/>
  <c r="X450" i="20"/>
  <c r="X449" i="20"/>
  <c r="X439" i="20"/>
  <c r="X438" i="20"/>
  <c r="X427" i="20"/>
  <c r="X426" i="20"/>
  <c r="X415" i="20"/>
  <c r="CV415" i="20" s="1"/>
  <c r="AI233" i="12"/>
  <c r="AI382" i="12"/>
  <c r="AI351" i="12"/>
  <c r="AM352" i="12" s="1"/>
  <c r="AH351" i="12"/>
  <c r="D337" i="28" l="1"/>
  <c r="K196" i="23"/>
  <c r="F9" i="31"/>
  <c r="F12" i="31"/>
  <c r="F14" i="31"/>
  <c r="F44" i="31" s="1"/>
  <c r="D174" i="29" s="1"/>
  <c r="F120" i="31"/>
  <c r="N69" i="4"/>
  <c r="D168" i="29"/>
  <c r="D169" i="29" s="1"/>
  <c r="D165" i="29"/>
  <c r="W595" i="20"/>
  <c r="W596" i="20"/>
  <c r="W591" i="20"/>
  <c r="W592" i="20"/>
  <c r="W594" i="20"/>
  <c r="W599" i="20"/>
  <c r="H3335" i="16"/>
  <c r="H3336" i="16" s="1"/>
  <c r="H3318" i="16"/>
  <c r="K195" i="23" s="1"/>
  <c r="F3336" i="16"/>
  <c r="F3340" i="16"/>
  <c r="F3341" i="16" s="1"/>
  <c r="F3346" i="16" s="1"/>
  <c r="G3336" i="16"/>
  <c r="G3340" i="16"/>
  <c r="I3315" i="16"/>
  <c r="D769" i="20"/>
  <c r="AL352" i="12"/>
  <c r="AI308" i="20"/>
  <c r="H31" i="28"/>
  <c r="AI277" i="20"/>
  <c r="AJ348" i="12"/>
  <c r="AJ375" i="12"/>
  <c r="AI383" i="12"/>
  <c r="AD237" i="20"/>
  <c r="AI280" i="20" s="1"/>
  <c r="X428" i="20"/>
  <c r="CV427" i="20"/>
  <c r="X440" i="20"/>
  <c r="CV439" i="20"/>
  <c r="X451" i="20"/>
  <c r="CV450" i="20"/>
  <c r="X462" i="20"/>
  <c r="CV461" i="20"/>
  <c r="AI340" i="12"/>
  <c r="G3323" i="16"/>
  <c r="X494" i="20"/>
  <c r="W534" i="20"/>
  <c r="W555" i="20"/>
  <c r="W569" i="20"/>
  <c r="W561" i="20"/>
  <c r="W587" i="20"/>
  <c r="W543" i="20"/>
  <c r="W552" i="20"/>
  <c r="W578" i="20"/>
  <c r="X484" i="20"/>
  <c r="AI192" i="20"/>
  <c r="AI191" i="20"/>
  <c r="AI90" i="20"/>
  <c r="AI68" i="20"/>
  <c r="AI79" i="20" s="1"/>
  <c r="AI109" i="20" s="1"/>
  <c r="CF109" i="20" s="1"/>
  <c r="AI60" i="20"/>
  <c r="AN61" i="20" s="1"/>
  <c r="AI17" i="20"/>
  <c r="AI11" i="20"/>
  <c r="CD11" i="20" s="1"/>
  <c r="AI239" i="20"/>
  <c r="L123" i="28" s="1"/>
  <c r="AI211" i="20"/>
  <c r="AI189" i="20"/>
  <c r="AI284" i="20" s="1"/>
  <c r="AI331" i="20" s="1"/>
  <c r="AI390" i="20" s="1"/>
  <c r="AI352" i="12"/>
  <c r="AI347" i="12"/>
  <c r="W521" i="20" s="1"/>
  <c r="AI346" i="12"/>
  <c r="W520" i="20" s="1"/>
  <c r="AI345" i="12"/>
  <c r="W519" i="20" s="1"/>
  <c r="AI344" i="12"/>
  <c r="W518" i="20" s="1"/>
  <c r="AI343" i="12"/>
  <c r="W517" i="20" s="1"/>
  <c r="AI327" i="12"/>
  <c r="AI276" i="12"/>
  <c r="BB266" i="12" s="1"/>
  <c r="AI274" i="12"/>
  <c r="AI273" i="12"/>
  <c r="AI268" i="12"/>
  <c r="AM270" i="12" s="1"/>
  <c r="AI267" i="12"/>
  <c r="H3626" i="16" s="1"/>
  <c r="AI246" i="12"/>
  <c r="BB245" i="12" s="1"/>
  <c r="AI244" i="12"/>
  <c r="W514" i="20" s="1"/>
  <c r="AI243" i="12"/>
  <c r="W512" i="20" s="1"/>
  <c r="AI242" i="12"/>
  <c r="W511" i="20" s="1"/>
  <c r="AI241" i="12"/>
  <c r="W510" i="20" s="1"/>
  <c r="AI240" i="12"/>
  <c r="AI239" i="12"/>
  <c r="W508" i="20" s="1"/>
  <c r="AI238" i="12"/>
  <c r="AI235" i="12"/>
  <c r="AI231" i="12"/>
  <c r="C3305" i="16"/>
  <c r="B3298" i="16"/>
  <c r="B3295" i="16"/>
  <c r="B3302" i="16" s="1"/>
  <c r="B3294" i="16"/>
  <c r="B3301" i="16" s="1"/>
  <c r="C3296" i="16"/>
  <c r="C3289" i="16"/>
  <c r="D3288" i="16"/>
  <c r="B3289" i="16"/>
  <c r="C3282" i="16"/>
  <c r="D3281" i="16"/>
  <c r="B3281" i="16"/>
  <c r="B3280" i="16"/>
  <c r="B3279" i="16"/>
  <c r="B3278" i="16"/>
  <c r="B3277" i="16"/>
  <c r="B3276" i="16"/>
  <c r="B3275" i="16"/>
  <c r="B3274" i="16"/>
  <c r="B3273" i="16"/>
  <c r="B3272" i="16"/>
  <c r="B3271" i="16"/>
  <c r="D170" i="29" l="1"/>
  <c r="AI232" i="12"/>
  <c r="I3915" i="16"/>
  <c r="F50" i="31"/>
  <c r="F51" i="31" s="1"/>
  <c r="F121" i="31"/>
  <c r="L121" i="28"/>
  <c r="L122" i="28" s="1"/>
  <c r="G224" i="29"/>
  <c r="CD17" i="20"/>
  <c r="G223" i="29"/>
  <c r="W597" i="20"/>
  <c r="W601" i="20" s="1"/>
  <c r="W572" i="20"/>
  <c r="W581" i="20" s="1"/>
  <c r="W563" i="20"/>
  <c r="H3340" i="16"/>
  <c r="I3335" i="16"/>
  <c r="I3336" i="16" s="1"/>
  <c r="I3318" i="16"/>
  <c r="L195" i="23" s="1"/>
  <c r="M195" i="23" s="1"/>
  <c r="N195" i="23" s="1"/>
  <c r="O195" i="23" s="1"/>
  <c r="P195" i="23" s="1"/>
  <c r="Q195" i="23" s="1"/>
  <c r="I3320" i="16"/>
  <c r="BB247" i="12"/>
  <c r="D3617" i="16"/>
  <c r="D3612" i="16"/>
  <c r="W509" i="20"/>
  <c r="D3614" i="16"/>
  <c r="H30" i="28"/>
  <c r="AN62" i="20"/>
  <c r="AN199" i="20" s="1"/>
  <c r="AN196" i="20"/>
  <c r="H47" i="28"/>
  <c r="H70" i="28"/>
  <c r="H38" i="28"/>
  <c r="AI303" i="20"/>
  <c r="H40" i="28"/>
  <c r="BZ17" i="20"/>
  <c r="AI62" i="20"/>
  <c r="AI199" i="20" s="1"/>
  <c r="V809" i="20"/>
  <c r="AI150" i="20"/>
  <c r="AI149" i="20"/>
  <c r="AI208" i="20"/>
  <c r="G3341" i="16"/>
  <c r="G3346" i="16" s="1"/>
  <c r="C3303" i="16"/>
  <c r="AI16" i="20"/>
  <c r="AI287" i="20"/>
  <c r="W513" i="20"/>
  <c r="AI21" i="20"/>
  <c r="AI190" i="20"/>
  <c r="AI196" i="20"/>
  <c r="W522" i="20"/>
  <c r="AI232" i="20"/>
  <c r="AI286" i="20" s="1"/>
  <c r="AI269" i="12"/>
  <c r="D180" i="29" l="1"/>
  <c r="J3926" i="16"/>
  <c r="J3920" i="16"/>
  <c r="F127" i="31"/>
  <c r="F125" i="31"/>
  <c r="F129" i="31"/>
  <c r="F126" i="31"/>
  <c r="F124" i="31"/>
  <c r="F128" i="31"/>
  <c r="F130" i="31"/>
  <c r="G226" i="29"/>
  <c r="G230" i="29" s="1"/>
  <c r="H243" i="29"/>
  <c r="L126" i="28"/>
  <c r="F52" i="31"/>
  <c r="D182" i="29" s="1"/>
  <c r="D181" i="29"/>
  <c r="I3338" i="16"/>
  <c r="L196" i="23"/>
  <c r="I3340" i="16"/>
  <c r="I3323" i="16"/>
  <c r="H3323" i="16"/>
  <c r="AI193" i="20"/>
  <c r="AI194" i="20" s="1"/>
  <c r="H63" i="28"/>
  <c r="H48" i="28"/>
  <c r="H61" i="28"/>
  <c r="H46" i="28"/>
  <c r="V805" i="20"/>
  <c r="AI285" i="20"/>
  <c r="AI216" i="20"/>
  <c r="AH239" i="20"/>
  <c r="K123" i="28" s="1"/>
  <c r="M196" i="23" l="1"/>
  <c r="H3341" i="16"/>
  <c r="H3346" i="16" s="1"/>
  <c r="I3341" i="16"/>
  <c r="I3346" i="16" s="1"/>
  <c r="H84" i="28"/>
  <c r="H69" i="28"/>
  <c r="H86" i="28"/>
  <c r="H71" i="28"/>
  <c r="AH303" i="20"/>
  <c r="G40" i="28"/>
  <c r="AI347" i="20"/>
  <c r="V810" i="20"/>
  <c r="AI288" i="20"/>
  <c r="V806" i="20"/>
  <c r="AL16" i="20"/>
  <c r="AH260" i="20"/>
  <c r="AH267" i="20" s="1"/>
  <c r="N196" i="23" l="1"/>
  <c r="I49" i="25"/>
  <c r="D157" i="28" s="1"/>
  <c r="G63" i="28"/>
  <c r="G48" i="28"/>
  <c r="AH277" i="20"/>
  <c r="E3281" i="16"/>
  <c r="L3215" i="8"/>
  <c r="L3214" i="8"/>
  <c r="F3213" i="8"/>
  <c r="F3215" i="8"/>
  <c r="F3214" i="8"/>
  <c r="K3208" i="8"/>
  <c r="K3209" i="8"/>
  <c r="AG274" i="12"/>
  <c r="AF274" i="12"/>
  <c r="AE274" i="12"/>
  <c r="AD274" i="12"/>
  <c r="AC274" i="12"/>
  <c r="AH274" i="12"/>
  <c r="O196" i="23" l="1"/>
  <c r="G86" i="28"/>
  <c r="G71" i="28"/>
  <c r="U807" i="20"/>
  <c r="AH382" i="12"/>
  <c r="V590" i="20"/>
  <c r="CT488" i="20"/>
  <c r="V588" i="20" s="1"/>
  <c r="CT487" i="20"/>
  <c r="V586" i="20" s="1"/>
  <c r="CT486" i="20"/>
  <c r="V585" i="20" s="1"/>
  <c r="CT485" i="20"/>
  <c r="V584" i="20" s="1"/>
  <c r="CT482" i="20"/>
  <c r="V583" i="20" s="1"/>
  <c r="CT481" i="20"/>
  <c r="V582" i="20" s="1"/>
  <c r="CT480" i="20"/>
  <c r="CT466" i="20"/>
  <c r="V579" i="20" s="1"/>
  <c r="CT465" i="20"/>
  <c r="V577" i="20" s="1"/>
  <c r="CT464" i="20"/>
  <c r="V576" i="20" s="1"/>
  <c r="CT463" i="20"/>
  <c r="V575" i="20" s="1"/>
  <c r="CT460" i="20"/>
  <c r="V574" i="20" s="1"/>
  <c r="CT459" i="20"/>
  <c r="V573" i="20" s="1"/>
  <c r="CT458" i="20"/>
  <c r="CT455" i="20"/>
  <c r="V570" i="20" s="1"/>
  <c r="CT454" i="20"/>
  <c r="V568" i="20" s="1"/>
  <c r="CT453" i="20"/>
  <c r="V567" i="20" s="1"/>
  <c r="CT452" i="20"/>
  <c r="V566" i="20" s="1"/>
  <c r="CT448" i="20"/>
  <c r="V565" i="20" s="1"/>
  <c r="CT447" i="20"/>
  <c r="V564" i="20" s="1"/>
  <c r="CT446" i="20"/>
  <c r="CT443" i="20"/>
  <c r="V560" i="20" s="1"/>
  <c r="CT442" i="20"/>
  <c r="V559" i="20" s="1"/>
  <c r="CT441" i="20"/>
  <c r="V558" i="20" s="1"/>
  <c r="CT437" i="20"/>
  <c r="V557" i="20" s="1"/>
  <c r="CT436" i="20"/>
  <c r="V556" i="20" s="1"/>
  <c r="CT435" i="20"/>
  <c r="CT432" i="20"/>
  <c r="V553" i="20" s="1"/>
  <c r="CT431" i="20"/>
  <c r="V551" i="20" s="1"/>
  <c r="CT430" i="20"/>
  <c r="V550" i="20" s="1"/>
  <c r="CT429" i="20"/>
  <c r="V549" i="20" s="1"/>
  <c r="CT425" i="20"/>
  <c r="V548" i="20" s="1"/>
  <c r="CT424" i="20"/>
  <c r="V547" i="20" s="1"/>
  <c r="CT423" i="20"/>
  <c r="CT420" i="20"/>
  <c r="V544" i="20" s="1"/>
  <c r="CT419" i="20"/>
  <c r="V542" i="20" s="1"/>
  <c r="CT418" i="20"/>
  <c r="V541" i="20" s="1"/>
  <c r="CT417" i="20"/>
  <c r="V540" i="20" s="1"/>
  <c r="CT414" i="20"/>
  <c r="V539" i="20" s="1"/>
  <c r="CT413" i="20"/>
  <c r="V538" i="20" s="1"/>
  <c r="CT412" i="20"/>
  <c r="V533" i="20"/>
  <c r="V532" i="20"/>
  <c r="V531" i="20"/>
  <c r="V530" i="20"/>
  <c r="V529" i="20"/>
  <c r="AH276" i="12"/>
  <c r="BA266" i="12" s="1"/>
  <c r="AH273" i="12"/>
  <c r="AH268" i="12"/>
  <c r="AH267" i="12"/>
  <c r="G3626" i="16" s="1"/>
  <c r="AH246" i="12"/>
  <c r="BA245" i="12" s="1"/>
  <c r="AH244" i="12"/>
  <c r="V514" i="20" s="1"/>
  <c r="AH243" i="12"/>
  <c r="V512" i="20" s="1"/>
  <c r="AH242" i="12"/>
  <c r="V511" i="20" s="1"/>
  <c r="AH241" i="12"/>
  <c r="V510" i="20" s="1"/>
  <c r="AH240" i="12"/>
  <c r="AH239" i="12"/>
  <c r="V508" i="20" s="1"/>
  <c r="AH238" i="12"/>
  <c r="AH235" i="12"/>
  <c r="AH233" i="12"/>
  <c r="AH231" i="12"/>
  <c r="AH352" i="12"/>
  <c r="AH347" i="12"/>
  <c r="V521" i="20" s="1"/>
  <c r="AH346" i="12"/>
  <c r="V520" i="20" s="1"/>
  <c r="AH345" i="12"/>
  <c r="V519" i="20" s="1"/>
  <c r="AH344" i="12"/>
  <c r="V518" i="20" s="1"/>
  <c r="AH343" i="12"/>
  <c r="V517" i="20" s="1"/>
  <c r="AH339" i="12"/>
  <c r="AH338" i="12"/>
  <c r="D260" i="28" s="1"/>
  <c r="AH332" i="12"/>
  <c r="AH327" i="12"/>
  <c r="W498" i="20"/>
  <c r="W497" i="20"/>
  <c r="W496" i="20"/>
  <c r="W495" i="20"/>
  <c r="W493" i="20"/>
  <c r="W492" i="20"/>
  <c r="W491" i="20"/>
  <c r="W500" i="20" s="1"/>
  <c r="W483" i="20"/>
  <c r="W472" i="20"/>
  <c r="W473" i="20" s="1"/>
  <c r="W461" i="20"/>
  <c r="W450" i="20"/>
  <c r="W449" i="20"/>
  <c r="W439" i="20"/>
  <c r="W438" i="20"/>
  <c r="W427" i="20"/>
  <c r="W426" i="20"/>
  <c r="W415" i="20"/>
  <c r="CU415" i="20" s="1"/>
  <c r="AH10" i="20"/>
  <c r="AH153" i="20" s="1"/>
  <c r="AH154" i="20" s="1"/>
  <c r="BY15" i="20"/>
  <c r="BY14" i="20"/>
  <c r="BY13" i="20"/>
  <c r="BY12" i="20"/>
  <c r="BY8" i="20"/>
  <c r="BY5" i="20"/>
  <c r="BX17" i="20"/>
  <c r="L1082" i="20"/>
  <c r="K1082" i="20"/>
  <c r="AH90" i="20"/>
  <c r="AH68" i="20"/>
  <c r="AH79" i="20" s="1"/>
  <c r="AH109" i="20" s="1"/>
  <c r="CE109" i="20" s="1"/>
  <c r="AH60" i="20"/>
  <c r="AM61" i="20" s="1"/>
  <c r="AH11" i="20"/>
  <c r="CC11" i="20" s="1"/>
  <c r="V591" i="20" l="1"/>
  <c r="AH232" i="12"/>
  <c r="H3915" i="16"/>
  <c r="P196" i="23"/>
  <c r="V599" i="20"/>
  <c r="V592" i="20"/>
  <c r="V594" i="20"/>
  <c r="V595" i="20"/>
  <c r="V596" i="20"/>
  <c r="BA247" i="12"/>
  <c r="C3617" i="16"/>
  <c r="AL270" i="12"/>
  <c r="C3612" i="16"/>
  <c r="V509" i="20"/>
  <c r="C3614" i="16"/>
  <c r="AK11" i="20"/>
  <c r="AH269" i="12"/>
  <c r="AH62" i="20"/>
  <c r="AI348" i="12"/>
  <c r="AI375" i="12"/>
  <c r="W440" i="20"/>
  <c r="CU439" i="20"/>
  <c r="W428" i="20"/>
  <c r="CU427" i="20"/>
  <c r="W451" i="20"/>
  <c r="CU450" i="20"/>
  <c r="W484" i="20"/>
  <c r="CU483" i="20"/>
  <c r="W462" i="20"/>
  <c r="CU461" i="20"/>
  <c r="AH340" i="12"/>
  <c r="AH383" i="12"/>
  <c r="W494" i="20"/>
  <c r="V561" i="20"/>
  <c r="V513" i="20"/>
  <c r="V587" i="20"/>
  <c r="V543" i="20"/>
  <c r="V578" i="20"/>
  <c r="V552" i="20"/>
  <c r="V522" i="20"/>
  <c r="V534" i="20"/>
  <c r="V555" i="20"/>
  <c r="V569" i="20"/>
  <c r="I3926" i="16" l="1"/>
  <c r="I3920" i="16"/>
  <c r="Q196" i="23"/>
  <c r="AK16" i="20"/>
  <c r="CF11" i="20"/>
  <c r="V597" i="20"/>
  <c r="V601" i="20" s="1"/>
  <c r="V572" i="20"/>
  <c r="V581" i="20" s="1"/>
  <c r="V563" i="20"/>
  <c r="H781" i="20" l="1"/>
  <c r="I42" i="25"/>
  <c r="I50" i="25" l="1"/>
  <c r="D148" i="28"/>
  <c r="AH308" i="20"/>
  <c r="G31" i="28"/>
  <c r="G772" i="20"/>
  <c r="AH192" i="20"/>
  <c r="AH191" i="20"/>
  <c r="AH232" i="20"/>
  <c r="AH211" i="20"/>
  <c r="AH189" i="20"/>
  <c r="AH208" i="20" s="1"/>
  <c r="AH17" i="20"/>
  <c r="CC17" i="20" l="1"/>
  <c r="F223" i="29"/>
  <c r="K121" i="28"/>
  <c r="K122" i="28" s="1"/>
  <c r="F224" i="29"/>
  <c r="G47" i="28"/>
  <c r="G70" i="28"/>
  <c r="AM62" i="20"/>
  <c r="AM199" i="20" s="1"/>
  <c r="AM196" i="20"/>
  <c r="G38" i="28"/>
  <c r="G61" i="28" s="1"/>
  <c r="G30" i="28"/>
  <c r="D767" i="20"/>
  <c r="AH149" i="20"/>
  <c r="AH150" i="20"/>
  <c r="AH190" i="20"/>
  <c r="AH285" i="20" s="1"/>
  <c r="AH286" i="20"/>
  <c r="AH284" i="20"/>
  <c r="AH331" i="20" s="1"/>
  <c r="AH390" i="20" s="1"/>
  <c r="AH287" i="20"/>
  <c r="U809" i="20"/>
  <c r="BY17" i="20"/>
  <c r="AH16" i="20"/>
  <c r="AH21" i="20"/>
  <c r="C3170" i="8"/>
  <c r="C3171" i="8" s="1"/>
  <c r="C3168" i="8"/>
  <c r="F226" i="29" l="1"/>
  <c r="F230" i="29" s="1"/>
  <c r="G243" i="29"/>
  <c r="K126" i="28"/>
  <c r="G46" i="28"/>
  <c r="G84" i="28"/>
  <c r="G69" i="28"/>
  <c r="U805" i="20"/>
  <c r="U806" i="20" s="1"/>
  <c r="AH216" i="20"/>
  <c r="AH193" i="20"/>
  <c r="AH194" i="20" s="1"/>
  <c r="E3244" i="16"/>
  <c r="F3244" i="16" s="1"/>
  <c r="C3217" i="16"/>
  <c r="C3222" i="16" s="1"/>
  <c r="C3215" i="16"/>
  <c r="G3204" i="16"/>
  <c r="F3204" i="16"/>
  <c r="E3204" i="16"/>
  <c r="D3204" i="16"/>
  <c r="C3204" i="16"/>
  <c r="G3203" i="16"/>
  <c r="F3203" i="16"/>
  <c r="E3203" i="16"/>
  <c r="D3203" i="16"/>
  <c r="C3203" i="16"/>
  <c r="D3199" i="16"/>
  <c r="E3199" i="16" s="1"/>
  <c r="F3199" i="16" s="1"/>
  <c r="G3199" i="16" s="1"/>
  <c r="G3217" i="16" s="1"/>
  <c r="G3222" i="16" s="1"/>
  <c r="C3155" i="8"/>
  <c r="C3157" i="8" s="1"/>
  <c r="C3158" i="8" s="1"/>
  <c r="C3159" i="8" s="1"/>
  <c r="U810" i="20" l="1"/>
  <c r="F3217" i="16"/>
  <c r="F3222" i="16" s="1"/>
  <c r="E3205" i="16"/>
  <c r="E3206" i="16" s="1"/>
  <c r="G761" i="20"/>
  <c r="AH347" i="20"/>
  <c r="D3217" i="16"/>
  <c r="D3222" i="16" s="1"/>
  <c r="E3217" i="16"/>
  <c r="E3222" i="16" s="1"/>
  <c r="AH288" i="20"/>
  <c r="G3244" i="16"/>
  <c r="F3205" i="16"/>
  <c r="F3206" i="16" s="1"/>
  <c r="D3205" i="16"/>
  <c r="D3206" i="16" s="1"/>
  <c r="C3205" i="16"/>
  <c r="C3206" i="16" s="1"/>
  <c r="G3205" i="16"/>
  <c r="G3206" i="16" s="1"/>
  <c r="AF152" i="20" l="1"/>
  <c r="AE152" i="20"/>
  <c r="AF9" i="20"/>
  <c r="C3186" i="16"/>
  <c r="C3224" i="16" s="1"/>
  <c r="C3185" i="16"/>
  <c r="C3183" i="16"/>
  <c r="B322" i="23"/>
  <c r="D3224" i="16" l="1"/>
  <c r="E3224" i="16" s="1"/>
  <c r="F3224" i="16" s="1"/>
  <c r="G3224" i="16" s="1"/>
  <c r="C3193" i="16"/>
  <c r="D3193" i="16" s="1"/>
  <c r="E3193" i="16" s="1"/>
  <c r="F3193" i="16" s="1"/>
  <c r="G3193" i="16" s="1"/>
  <c r="C3188" i="16"/>
  <c r="C3195" i="16" l="1"/>
  <c r="D3195" i="16" s="1"/>
  <c r="E3195" i="16" s="1"/>
  <c r="F3195" i="16" s="1"/>
  <c r="G3195" i="16" s="1"/>
  <c r="C3192" i="16"/>
  <c r="C3194" i="16" s="1"/>
  <c r="C3213" i="16"/>
  <c r="C3214" i="16" s="1"/>
  <c r="D3229" i="16" s="1"/>
  <c r="D3192" i="16"/>
  <c r="D3194" i="16" s="1"/>
  <c r="F3192" i="16"/>
  <c r="F3194" i="16" s="1"/>
  <c r="G3192" i="16"/>
  <c r="G3194" i="16" s="1"/>
  <c r="E3192" i="16"/>
  <c r="E3194" i="16" s="1"/>
  <c r="C3223" i="16" l="1"/>
  <c r="C3196" i="16"/>
  <c r="D3196" i="16"/>
  <c r="G3196" i="16"/>
  <c r="F3196" i="16"/>
  <c r="E3196" i="16"/>
  <c r="E3229" i="16"/>
  <c r="F3229" i="16" s="1"/>
  <c r="G3229" i="16" s="1"/>
  <c r="D3230" i="16"/>
  <c r="C3225" i="16" l="1"/>
  <c r="C3226" i="16" s="1"/>
  <c r="D3223" i="16"/>
  <c r="E3223" i="16" s="1"/>
  <c r="E3230" i="16"/>
  <c r="F3230" i="16" s="1"/>
  <c r="G3230" i="16" s="1"/>
  <c r="D3225" i="16" l="1"/>
  <c r="D3226" i="16" s="1"/>
  <c r="D3227" i="16" s="1"/>
  <c r="F3223" i="16"/>
  <c r="E3225" i="16"/>
  <c r="E3226" i="16" s="1"/>
  <c r="E3227" i="16" l="1"/>
  <c r="G3223" i="16"/>
  <c r="G3225" i="16" s="1"/>
  <c r="G3226" i="16" s="1"/>
  <c r="F3225" i="16"/>
  <c r="F3226" i="16" s="1"/>
  <c r="F3227" i="16" l="1"/>
  <c r="G3227" i="16" s="1"/>
  <c r="CC116" i="20" l="1"/>
  <c r="CC114" i="20"/>
  <c r="CC113" i="20"/>
  <c r="CC112" i="20"/>
  <c r="CC111" i="20"/>
  <c r="CC110" i="20"/>
  <c r="AE143" i="20"/>
  <c r="AE142" i="20"/>
  <c r="AI171" i="20" s="1"/>
  <c r="AE141" i="20"/>
  <c r="AI183" i="20" s="1"/>
  <c r="AE127" i="20"/>
  <c r="AE126" i="20"/>
  <c r="AE125" i="20"/>
  <c r="AE124" i="20"/>
  <c r="AE118" i="20"/>
  <c r="AE115" i="20"/>
  <c r="AE117" i="20" s="1"/>
  <c r="AE123" i="20" l="1"/>
  <c r="CG117" i="20"/>
  <c r="BA353" i="12"/>
  <c r="BA376" i="12" s="1"/>
  <c r="AZ353" i="12"/>
  <c r="AZ376" i="12" s="1"/>
  <c r="AW356" i="12"/>
  <c r="AW379" i="12" s="1"/>
  <c r="AW355" i="12"/>
  <c r="AW378" i="12" s="1"/>
  <c r="AW354" i="12"/>
  <c r="AW377" i="12" s="1"/>
  <c r="L67" i="25"/>
  <c r="M67" i="25" s="1"/>
  <c r="N67" i="25" s="1"/>
  <c r="O67" i="25" s="1"/>
  <c r="P67" i="25" s="1"/>
  <c r="Q67" i="25" s="1"/>
  <c r="R67" i="25" s="1"/>
  <c r="H62" i="25"/>
  <c r="H70" i="25" s="1"/>
  <c r="L2959" i="16"/>
  <c r="L2967" i="16" s="1"/>
  <c r="L2958" i="16"/>
  <c r="L2966" i="16" s="1"/>
  <c r="L2957" i="16"/>
  <c r="K2959" i="16"/>
  <c r="K2967" i="16" s="1"/>
  <c r="K2958" i="16"/>
  <c r="K2966" i="16" s="1"/>
  <c r="K2957" i="16"/>
  <c r="O2955" i="16"/>
  <c r="N2955" i="16"/>
  <c r="M2955" i="16"/>
  <c r="L2955" i="16"/>
  <c r="K2955" i="16"/>
  <c r="AY356" i="12"/>
  <c r="AY355" i="12"/>
  <c r="AY354" i="12"/>
  <c r="AZ356" i="12"/>
  <c r="AZ355" i="12"/>
  <c r="AZ354" i="12"/>
  <c r="AF56" i="20"/>
  <c r="AG347" i="12"/>
  <c r="AF379" i="12"/>
  <c r="AE379" i="12"/>
  <c r="AB379" i="12"/>
  <c r="AA379" i="12"/>
  <c r="Z379" i="12"/>
  <c r="AF378" i="12"/>
  <c r="AE378" i="12"/>
  <c r="AB378" i="12"/>
  <c r="AA378" i="12"/>
  <c r="Z378" i="12"/>
  <c r="AF377" i="12"/>
  <c r="AE377" i="12"/>
  <c r="AB377" i="12"/>
  <c r="AA377" i="12"/>
  <c r="Z377" i="12"/>
  <c r="AG365" i="12"/>
  <c r="AC367" i="12"/>
  <c r="AG367" i="12"/>
  <c r="AG368" i="12" s="1"/>
  <c r="AF362" i="12"/>
  <c r="AE144" i="20" s="1"/>
  <c r="AF357" i="12"/>
  <c r="H39" i="25"/>
  <c r="AF359" i="12" l="1"/>
  <c r="BD359" i="12" s="1"/>
  <c r="BD357" i="12"/>
  <c r="I781" i="20"/>
  <c r="AF57" i="20"/>
  <c r="K2968" i="16"/>
  <c r="L2968" i="16"/>
  <c r="L2965" i="16"/>
  <c r="K2965" i="16"/>
  <c r="AZ379" i="12"/>
  <c r="AY377" i="12"/>
  <c r="AZ377" i="12"/>
  <c r="AY378" i="12"/>
  <c r="AZ378" i="12"/>
  <c r="AY379" i="12"/>
  <c r="H64" i="25"/>
  <c r="I65" i="25" s="1"/>
  <c r="AF366" i="12" l="1"/>
  <c r="AE145" i="20" s="1"/>
  <c r="AE146" i="20" s="1"/>
  <c r="F31" i="28"/>
  <c r="E127" i="29"/>
  <c r="H65" i="25"/>
  <c r="L335" i="4"/>
  <c r="I70" i="25" l="1"/>
  <c r="M568" i="4"/>
  <c r="N568" i="4" s="1"/>
  <c r="M572" i="4"/>
  <c r="N572" i="4" s="1"/>
  <c r="M571" i="4"/>
  <c r="N571" i="4" s="1"/>
  <c r="L604" i="4"/>
  <c r="L603" i="4"/>
  <c r="B572" i="4"/>
  <c r="B604" i="4" s="1"/>
  <c r="B571" i="4"/>
  <c r="B603" i="4" s="1"/>
  <c r="L535" i="4"/>
  <c r="B537" i="4"/>
  <c r="B536" i="4"/>
  <c r="M506" i="4"/>
  <c r="M505" i="4"/>
  <c r="L567" i="4"/>
  <c r="K92" i="25" l="1"/>
  <c r="C4340" i="16" s="1"/>
  <c r="L64" i="25"/>
  <c r="AZ38" i="20" s="1"/>
  <c r="I71" i="25"/>
  <c r="AL55" i="20"/>
  <c r="M604" i="4"/>
  <c r="I60" i="25"/>
  <c r="M603" i="4"/>
  <c r="N603" i="4"/>
  <c r="CN38" i="20" l="1"/>
  <c r="L92" i="25"/>
  <c r="D4340" i="16" s="1"/>
  <c r="N604" i="4"/>
  <c r="M64" i="25"/>
  <c r="M92" i="25" l="1"/>
  <c r="E4340" i="16" s="1"/>
  <c r="BE38" i="20"/>
  <c r="CR38" i="20" s="1"/>
  <c r="AQ55" i="20"/>
  <c r="N64" i="25"/>
  <c r="N92" i="25" s="1"/>
  <c r="F4340" i="16" s="1"/>
  <c r="O64" i="25" l="1"/>
  <c r="O92" i="25" s="1"/>
  <c r="G4340" i="16" s="1"/>
  <c r="C3088" i="8"/>
  <c r="C3097" i="8" s="1"/>
  <c r="C3084" i="8"/>
  <c r="C3184" i="16" s="1"/>
  <c r="K73" i="5"/>
  <c r="K72" i="5"/>
  <c r="K79" i="5" s="1"/>
  <c r="K71" i="5"/>
  <c r="K70" i="5"/>
  <c r="L22" i="4"/>
  <c r="L318" i="4"/>
  <c r="L309" i="4" s="1"/>
  <c r="L527" i="4"/>
  <c r="L502" i="4" s="1"/>
  <c r="L357" i="4"/>
  <c r="L320" i="4"/>
  <c r="L322" i="4" s="1"/>
  <c r="G263" i="23"/>
  <c r="D11" i="31" s="1"/>
  <c r="B164" i="29" s="1"/>
  <c r="L49" i="4"/>
  <c r="L42" i="4"/>
  <c r="C3273" i="16" s="1"/>
  <c r="L41" i="4"/>
  <c r="C3272" i="16" s="1"/>
  <c r="L48" i="4"/>
  <c r="I83" i="25"/>
  <c r="I52" i="25" s="1"/>
  <c r="L71" i="4"/>
  <c r="H83" i="25"/>
  <c r="H86" i="25" s="1"/>
  <c r="H81" i="25"/>
  <c r="E57" i="25"/>
  <c r="D57" i="25"/>
  <c r="G242" i="23"/>
  <c r="G236" i="23"/>
  <c r="H237" i="23" s="1"/>
  <c r="G233" i="23"/>
  <c r="H234" i="23" s="1"/>
  <c r="G218" i="23"/>
  <c r="H219" i="23" s="1"/>
  <c r="G210" i="23"/>
  <c r="H211" i="23" s="1"/>
  <c r="G209" i="23"/>
  <c r="F189" i="23"/>
  <c r="G189" i="23"/>
  <c r="G186" i="23"/>
  <c r="F186" i="23"/>
  <c r="G180" i="23"/>
  <c r="G176" i="23"/>
  <c r="G171" i="23"/>
  <c r="G170" i="23"/>
  <c r="G168" i="23"/>
  <c r="G166" i="23"/>
  <c r="G160" i="23"/>
  <c r="G151" i="23"/>
  <c r="G148" i="23"/>
  <c r="D117" i="31" s="1"/>
  <c r="G139" i="23"/>
  <c r="G134" i="23"/>
  <c r="G133" i="23"/>
  <c r="G131" i="23"/>
  <c r="G129" i="23"/>
  <c r="G123" i="23"/>
  <c r="G114" i="23"/>
  <c r="G111" i="23"/>
  <c r="D116" i="31" s="1"/>
  <c r="G106" i="23"/>
  <c r="G102" i="23"/>
  <c r="G97" i="23"/>
  <c r="G99" i="23" s="1"/>
  <c r="G96" i="23"/>
  <c r="G94" i="23"/>
  <c r="G92" i="23"/>
  <c r="G86" i="23"/>
  <c r="G77" i="23"/>
  <c r="G74" i="23"/>
  <c r="D115" i="31" s="1"/>
  <c r="G65" i="23"/>
  <c r="G59" i="23"/>
  <c r="G57" i="23"/>
  <c r="G55" i="23"/>
  <c r="G49" i="23"/>
  <c r="G40" i="23"/>
  <c r="G37" i="23"/>
  <c r="D114" i="31" s="1"/>
  <c r="G31" i="23"/>
  <c r="H32" i="23" s="1"/>
  <c r="G22" i="23"/>
  <c r="F17" i="23"/>
  <c r="G16" i="23"/>
  <c r="G14" i="23"/>
  <c r="G12" i="23"/>
  <c r="G6" i="23"/>
  <c r="F48" i="22"/>
  <c r="F43" i="22" s="1"/>
  <c r="F37" i="22"/>
  <c r="G30" i="22"/>
  <c r="F30" i="22"/>
  <c r="F17" i="22"/>
  <c r="F14" i="22"/>
  <c r="H18" i="25"/>
  <c r="I19" i="25" s="1"/>
  <c r="H16" i="25"/>
  <c r="I17" i="25" s="1"/>
  <c r="H14" i="25"/>
  <c r="I15" i="25" s="1"/>
  <c r="H8" i="25"/>
  <c r="H5" i="25"/>
  <c r="H50" i="25"/>
  <c r="P49" i="13"/>
  <c r="H61" i="24"/>
  <c r="H10" i="24"/>
  <c r="H8" i="24"/>
  <c r="H5" i="24"/>
  <c r="H21" i="24"/>
  <c r="H19" i="24"/>
  <c r="I38" i="24" s="1"/>
  <c r="H26" i="24"/>
  <c r="H17" i="24"/>
  <c r="I33" i="24" s="1"/>
  <c r="AF105" i="20"/>
  <c r="AF101" i="20"/>
  <c r="AF95" i="20"/>
  <c r="AF97" i="20" s="1"/>
  <c r="AF15" i="20"/>
  <c r="CB15" i="20" s="1"/>
  <c r="AF14" i="20"/>
  <c r="CB14" i="20" s="1"/>
  <c r="AF12" i="20"/>
  <c r="CB12" i="20" s="1"/>
  <c r="AF8" i="20"/>
  <c r="CB8" i="20" s="1"/>
  <c r="AF5" i="20"/>
  <c r="CB5" i="20" s="1"/>
  <c r="F18" i="22" l="1"/>
  <c r="F128" i="22"/>
  <c r="G19" i="22"/>
  <c r="C165" i="29"/>
  <c r="B168" i="29"/>
  <c r="D14" i="31"/>
  <c r="D44" i="31" s="1"/>
  <c r="G136" i="23"/>
  <c r="H135" i="23"/>
  <c r="G173" i="23"/>
  <c r="H172" i="23"/>
  <c r="C3286" i="16"/>
  <c r="C156" i="28"/>
  <c r="C3279" i="16"/>
  <c r="C147" i="28"/>
  <c r="C3280" i="16"/>
  <c r="C150" i="28"/>
  <c r="I22" i="24"/>
  <c r="I43" i="24"/>
  <c r="I53" i="25"/>
  <c r="D168" i="28"/>
  <c r="F44" i="22"/>
  <c r="H18" i="24"/>
  <c r="I18" i="24"/>
  <c r="H20" i="24"/>
  <c r="I20" i="24"/>
  <c r="H6" i="25"/>
  <c r="I6" i="25"/>
  <c r="H27" i="24"/>
  <c r="I27" i="24"/>
  <c r="H6" i="24"/>
  <c r="I6" i="24"/>
  <c r="H22" i="24"/>
  <c r="F49" i="22"/>
  <c r="L350" i="4"/>
  <c r="H52" i="25"/>
  <c r="AF10" i="20"/>
  <c r="H43" i="24"/>
  <c r="P64" i="25"/>
  <c r="P92" i="25" s="1"/>
  <c r="H4340" i="16" s="1"/>
  <c r="H38" i="24"/>
  <c r="I39" i="24" s="1"/>
  <c r="H19" i="25"/>
  <c r="H36" i="25"/>
  <c r="H15" i="25"/>
  <c r="H26" i="25"/>
  <c r="H33" i="24"/>
  <c r="I34" i="24" s="1"/>
  <c r="H17" i="25"/>
  <c r="H31" i="25"/>
  <c r="H9" i="25"/>
  <c r="AF106" i="20"/>
  <c r="AF107" i="20" s="1"/>
  <c r="F19" i="23"/>
  <c r="H9" i="24"/>
  <c r="H11" i="24"/>
  <c r="D50" i="31" l="1"/>
  <c r="D51" i="31" s="1"/>
  <c r="B174" i="29"/>
  <c r="C169" i="29"/>
  <c r="H53" i="25"/>
  <c r="C168" i="28"/>
  <c r="I44" i="24"/>
  <c r="AF153" i="20"/>
  <c r="Q64" i="25"/>
  <c r="Q92" i="25" s="1"/>
  <c r="AG233" i="12"/>
  <c r="AF233" i="12"/>
  <c r="AE233" i="12"/>
  <c r="AD233" i="12"/>
  <c r="AC233" i="12"/>
  <c r="AB233" i="12"/>
  <c r="AA233" i="12"/>
  <c r="Z233" i="12"/>
  <c r="Y233" i="12"/>
  <c r="X233" i="12"/>
  <c r="W233" i="12"/>
  <c r="V233" i="12"/>
  <c r="U233" i="12"/>
  <c r="T233" i="12"/>
  <c r="S233" i="12"/>
  <c r="R233" i="12"/>
  <c r="Q233" i="12"/>
  <c r="P233" i="12"/>
  <c r="O233" i="12"/>
  <c r="N233" i="12"/>
  <c r="M233" i="12"/>
  <c r="L233" i="12"/>
  <c r="K233" i="12"/>
  <c r="D3012" i="8"/>
  <c r="B180" i="29" l="1"/>
  <c r="D52" i="31"/>
  <c r="B182" i="29" s="1"/>
  <c r="B181" i="29"/>
  <c r="D1082" i="20"/>
  <c r="E1082" i="20"/>
  <c r="F1082" i="20"/>
  <c r="H1082" i="20"/>
  <c r="I1082" i="20"/>
  <c r="J1082" i="20"/>
  <c r="AF211" i="20"/>
  <c r="E224" i="29" s="1"/>
  <c r="AF236" i="20"/>
  <c r="E781" i="20"/>
  <c r="B781" i="20"/>
  <c r="AF129" i="20"/>
  <c r="B774" i="20"/>
  <c r="C773" i="20"/>
  <c r="CS488" i="20"/>
  <c r="U588" i="20" s="1"/>
  <c r="CS487" i="20"/>
  <c r="U586" i="20" s="1"/>
  <c r="CS486" i="20"/>
  <c r="U585" i="20" s="1"/>
  <c r="CS485" i="20"/>
  <c r="U584" i="20" s="1"/>
  <c r="CS482" i="20"/>
  <c r="U583" i="20" s="1"/>
  <c r="CS481" i="20"/>
  <c r="U582" i="20" s="1"/>
  <c r="CS480" i="20"/>
  <c r="CS466" i="20"/>
  <c r="U579" i="20" s="1"/>
  <c r="CS465" i="20"/>
  <c r="U577" i="20" s="1"/>
  <c r="CS464" i="20"/>
  <c r="U576" i="20" s="1"/>
  <c r="CS463" i="20"/>
  <c r="U575" i="20" s="1"/>
  <c r="CS460" i="20"/>
  <c r="U574" i="20" s="1"/>
  <c r="CS459" i="20"/>
  <c r="U573" i="20" s="1"/>
  <c r="CS458" i="20"/>
  <c r="CS455" i="20"/>
  <c r="U570" i="20" s="1"/>
  <c r="CS454" i="20"/>
  <c r="U568" i="20" s="1"/>
  <c r="CS453" i="20"/>
  <c r="U567" i="20" s="1"/>
  <c r="CS452" i="20"/>
  <c r="U566" i="20" s="1"/>
  <c r="CS448" i="20"/>
  <c r="U565" i="20" s="1"/>
  <c r="CS447" i="20"/>
  <c r="U564" i="20" s="1"/>
  <c r="CS446" i="20"/>
  <c r="CS443" i="20"/>
  <c r="U560" i="20" s="1"/>
  <c r="CS442" i="20"/>
  <c r="U559" i="20" s="1"/>
  <c r="CS441" i="20"/>
  <c r="U558" i="20" s="1"/>
  <c r="CS437" i="20"/>
  <c r="U557" i="20" s="1"/>
  <c r="CS436" i="20"/>
  <c r="U556" i="20" s="1"/>
  <c r="CS435" i="20"/>
  <c r="CS432" i="20"/>
  <c r="U553" i="20" s="1"/>
  <c r="CS431" i="20"/>
  <c r="U551" i="20" s="1"/>
  <c r="CS430" i="20"/>
  <c r="U550" i="20" s="1"/>
  <c r="CS429" i="20"/>
  <c r="U549" i="20" s="1"/>
  <c r="CS425" i="20"/>
  <c r="U548" i="20" s="1"/>
  <c r="CS424" i="20"/>
  <c r="U547" i="20" s="1"/>
  <c r="CS423" i="20"/>
  <c r="CS420" i="20"/>
  <c r="U544" i="20" s="1"/>
  <c r="CS419" i="20"/>
  <c r="U542" i="20" s="1"/>
  <c r="CS418" i="20"/>
  <c r="U541" i="20" s="1"/>
  <c r="CS417" i="20"/>
  <c r="U540" i="20" s="1"/>
  <c r="CS414" i="20"/>
  <c r="U539" i="20" s="1"/>
  <c r="CS413" i="20"/>
  <c r="U538" i="20" s="1"/>
  <c r="CS412" i="20"/>
  <c r="U555" i="20"/>
  <c r="U531" i="20"/>
  <c r="U533" i="20"/>
  <c r="U532" i="20"/>
  <c r="U530" i="20"/>
  <c r="U529" i="20"/>
  <c r="AG276" i="12"/>
  <c r="AZ266" i="12" s="1"/>
  <c r="AG244" i="12"/>
  <c r="U514" i="20" s="1"/>
  <c r="AG243" i="12"/>
  <c r="U512" i="20" s="1"/>
  <c r="AG242" i="12"/>
  <c r="U511" i="20" s="1"/>
  <c r="AG241" i="12"/>
  <c r="U510" i="20" s="1"/>
  <c r="AG240" i="12"/>
  <c r="U509" i="20" s="1"/>
  <c r="AG239" i="12"/>
  <c r="U508" i="20" s="1"/>
  <c r="AG238" i="12"/>
  <c r="AG235" i="12"/>
  <c r="AG231" i="12"/>
  <c r="U521" i="20"/>
  <c r="AG346" i="12"/>
  <c r="U520" i="20" s="1"/>
  <c r="AG345" i="12"/>
  <c r="U519" i="20" s="1"/>
  <c r="AG344" i="12"/>
  <c r="U518" i="20" s="1"/>
  <c r="AG343" i="12"/>
  <c r="U517" i="20" s="1"/>
  <c r="AG339" i="12"/>
  <c r="AG338" i="12"/>
  <c r="AG332" i="12"/>
  <c r="AG327" i="12"/>
  <c r="V498" i="20"/>
  <c r="V497" i="20"/>
  <c r="V496" i="20"/>
  <c r="V495" i="20"/>
  <c r="V493" i="20"/>
  <c r="V492" i="20"/>
  <c r="V491" i="20"/>
  <c r="V500" i="20" s="1"/>
  <c r="V483" i="20"/>
  <c r="CT483" i="20" s="1"/>
  <c r="V472" i="20"/>
  <c r="V461" i="20"/>
  <c r="V450" i="20"/>
  <c r="V449" i="20"/>
  <c r="V439" i="20"/>
  <c r="CT439" i="20" s="1"/>
  <c r="V438" i="20"/>
  <c r="V427" i="20"/>
  <c r="V426" i="20"/>
  <c r="V415" i="20"/>
  <c r="CT415" i="20" s="1"/>
  <c r="AF393" i="20"/>
  <c r="AF197" i="20"/>
  <c r="AF90" i="20"/>
  <c r="AG382" i="12"/>
  <c r="AG351" i="12"/>
  <c r="AK352" i="12" s="1"/>
  <c r="AF23" i="20"/>
  <c r="AG268" i="12"/>
  <c r="AK270" i="12" s="1"/>
  <c r="AG273" i="12"/>
  <c r="AG267" i="12"/>
  <c r="AG246" i="12"/>
  <c r="AZ245" i="12" s="1"/>
  <c r="AF189" i="20"/>
  <c r="AF208" i="20" s="1"/>
  <c r="AF68" i="20"/>
  <c r="AF79" i="20" s="1"/>
  <c r="AF109" i="20" s="1"/>
  <c r="CD109" i="20" s="1"/>
  <c r="AE197" i="20"/>
  <c r="AG317" i="12"/>
  <c r="AG316" i="12"/>
  <c r="AF18" i="20" s="1"/>
  <c r="AG232" i="12" l="1"/>
  <c r="G3915" i="16"/>
  <c r="E226" i="29"/>
  <c r="E230" i="29" s="1"/>
  <c r="F243" i="29"/>
  <c r="E243" i="29"/>
  <c r="U591" i="20"/>
  <c r="U594" i="20"/>
  <c r="U595" i="20"/>
  <c r="U596" i="20"/>
  <c r="U592" i="20"/>
  <c r="U572" i="20"/>
  <c r="U581" i="20" s="1"/>
  <c r="U563" i="20"/>
  <c r="U599" i="20"/>
  <c r="AZ247" i="12"/>
  <c r="F3626" i="16"/>
  <c r="J127" i="28"/>
  <c r="T808" i="20"/>
  <c r="F38" i="28"/>
  <c r="F61" i="28" s="1"/>
  <c r="J121" i="28"/>
  <c r="AF191" i="20"/>
  <c r="AF346" i="20" s="1"/>
  <c r="F32" i="28"/>
  <c r="AF237" i="20"/>
  <c r="F43" i="28"/>
  <c r="N142" i="28" s="1"/>
  <c r="AF349" i="20"/>
  <c r="AF314" i="20"/>
  <c r="AH375" i="12"/>
  <c r="AH348" i="12"/>
  <c r="V462" i="20"/>
  <c r="CT461" i="20"/>
  <c r="V428" i="20"/>
  <c r="CT427" i="20"/>
  <c r="V451" i="20"/>
  <c r="CT450" i="20"/>
  <c r="U569" i="20"/>
  <c r="C777" i="20"/>
  <c r="R64" i="25"/>
  <c r="R92" i="25" s="1"/>
  <c r="AG352" i="12"/>
  <c r="AG340" i="12"/>
  <c r="AF190" i="20"/>
  <c r="V473" i="20"/>
  <c r="F21" i="22"/>
  <c r="AF233" i="20"/>
  <c r="E271" i="29" s="1"/>
  <c r="C769" i="20"/>
  <c r="H780" i="20" s="1"/>
  <c r="T807" i="20"/>
  <c r="AF239" i="20"/>
  <c r="AG383" i="12"/>
  <c r="AF242" i="20"/>
  <c r="E128" i="29" s="1"/>
  <c r="E130" i="29" s="1"/>
  <c r="E134" i="29" s="1"/>
  <c r="AG269" i="12"/>
  <c r="C768" i="20"/>
  <c r="C782" i="20"/>
  <c r="U552" i="20"/>
  <c r="AF75" i="20"/>
  <c r="U534" i="20"/>
  <c r="U522" i="20"/>
  <c r="U513" i="20"/>
  <c r="U561" i="20"/>
  <c r="U587" i="20"/>
  <c r="U578" i="20"/>
  <c r="U543" i="20"/>
  <c r="AF20" i="20"/>
  <c r="E270" i="29" s="1"/>
  <c r="AF284" i="20"/>
  <c r="AF331" i="20" s="1"/>
  <c r="AF390" i="20" s="1"/>
  <c r="V494" i="20"/>
  <c r="U590" i="20"/>
  <c r="AF196" i="20"/>
  <c r="V440" i="20"/>
  <c r="V484" i="20"/>
  <c r="AF396" i="20"/>
  <c r="F2224" i="16"/>
  <c r="G2224" i="16" s="1"/>
  <c r="E2222" i="16"/>
  <c r="E273" i="29" l="1"/>
  <c r="E277" i="29" s="1"/>
  <c r="F290" i="29"/>
  <c r="BZ20" i="20"/>
  <c r="F22" i="22"/>
  <c r="F129" i="22"/>
  <c r="G130" i="22" s="1"/>
  <c r="H131" i="22" s="1"/>
  <c r="H3926" i="16"/>
  <c r="H3920" i="16"/>
  <c r="AF285" i="20"/>
  <c r="AF345" i="20"/>
  <c r="U597" i="20"/>
  <c r="U601" i="20" s="1"/>
  <c r="J124" i="28"/>
  <c r="F39" i="28"/>
  <c r="F46" i="28"/>
  <c r="F40" i="28"/>
  <c r="J123" i="28"/>
  <c r="F41" i="28"/>
  <c r="F64" i="28" s="1"/>
  <c r="J125" i="28"/>
  <c r="J122" i="28"/>
  <c r="F66" i="28"/>
  <c r="F50" i="28"/>
  <c r="AF192" i="20"/>
  <c r="T809" i="20" s="1"/>
  <c r="F33" i="28"/>
  <c r="F84" i="28"/>
  <c r="F69" i="28"/>
  <c r="AF303" i="20"/>
  <c r="AF260" i="20"/>
  <c r="AF304" i="20"/>
  <c r="AF21" i="20"/>
  <c r="AF216" i="20"/>
  <c r="AF217" i="20" s="1"/>
  <c r="AF232" i="20"/>
  <c r="AF286" i="20" s="1"/>
  <c r="T805" i="20"/>
  <c r="T806" i="20" s="1"/>
  <c r="C766" i="20"/>
  <c r="D2942" i="16"/>
  <c r="D2941" i="16"/>
  <c r="D2940" i="16"/>
  <c r="D2938" i="16"/>
  <c r="D2937" i="16"/>
  <c r="D2936" i="16"/>
  <c r="F48" i="28" l="1"/>
  <c r="F47" i="28"/>
  <c r="F62" i="28"/>
  <c r="AF287" i="20"/>
  <c r="F63" i="28"/>
  <c r="F86" i="28" s="1"/>
  <c r="F49" i="28"/>
  <c r="J126" i="28"/>
  <c r="AF193" i="20"/>
  <c r="AF194" i="20" s="1"/>
  <c r="AF347" i="20" s="1"/>
  <c r="F34" i="28"/>
  <c r="F87" i="28"/>
  <c r="F72" i="28"/>
  <c r="F89" i="28"/>
  <c r="F73" i="28"/>
  <c r="C762" i="20"/>
  <c r="D3120" i="16"/>
  <c r="C3120" i="16"/>
  <c r="B3150" i="16"/>
  <c r="B3149" i="16"/>
  <c r="B3148" i="16"/>
  <c r="D3142" i="16"/>
  <c r="D3147" i="16" s="1"/>
  <c r="C3109" i="16"/>
  <c r="C3056" i="16"/>
  <c r="B3102" i="16"/>
  <c r="E3129" i="16"/>
  <c r="F3129" i="16" s="1"/>
  <c r="G3129" i="16" s="1"/>
  <c r="H3129" i="16" s="1"/>
  <c r="H3120" i="16" s="1"/>
  <c r="C3099" i="16"/>
  <c r="C3101" i="16" s="1"/>
  <c r="C3105" i="16" s="1"/>
  <c r="C3107" i="16" s="1"/>
  <c r="C3106" i="16"/>
  <c r="C3072" i="16"/>
  <c r="C3073" i="16"/>
  <c r="B3126" i="16"/>
  <c r="B3125" i="16"/>
  <c r="B3124" i="16"/>
  <c r="B3123" i="16"/>
  <c r="B3122" i="16"/>
  <c r="C3125" i="16"/>
  <c r="C3123" i="16"/>
  <c r="C3122" i="16"/>
  <c r="D3118" i="16"/>
  <c r="D3125" i="16" s="1"/>
  <c r="H3116" i="16"/>
  <c r="G3116" i="16"/>
  <c r="F3116" i="16"/>
  <c r="E3116" i="16"/>
  <c r="D3116" i="16"/>
  <c r="C3116" i="16"/>
  <c r="C3126" i="16" s="1"/>
  <c r="C3127" i="16" s="1"/>
  <c r="H3114" i="16"/>
  <c r="G3114" i="16"/>
  <c r="F3114" i="16"/>
  <c r="E3114" i="16"/>
  <c r="D3114" i="16"/>
  <c r="C3114" i="16"/>
  <c r="C3075" i="16"/>
  <c r="B3076" i="16"/>
  <c r="B3075" i="16"/>
  <c r="B3074" i="16"/>
  <c r="B3073" i="16"/>
  <c r="B3072" i="16"/>
  <c r="H3069" i="16"/>
  <c r="G3069" i="16"/>
  <c r="F3069" i="16"/>
  <c r="E3069" i="16"/>
  <c r="D3069" i="16"/>
  <c r="C3069" i="16"/>
  <c r="H3067" i="16"/>
  <c r="G3067" i="16"/>
  <c r="F3067" i="16"/>
  <c r="E3067" i="16"/>
  <c r="D3067" i="16"/>
  <c r="C3067" i="16"/>
  <c r="D3062" i="16"/>
  <c r="E3062" i="16" s="1"/>
  <c r="F3062" i="16" s="1"/>
  <c r="G3062" i="16" s="1"/>
  <c r="H3062" i="16" s="1"/>
  <c r="H3073" i="16" s="1"/>
  <c r="E3058" i="16"/>
  <c r="F3058" i="16" s="1"/>
  <c r="G3058" i="16" s="1"/>
  <c r="H3058" i="16" s="1"/>
  <c r="C3053" i="16"/>
  <c r="C3046" i="16"/>
  <c r="C3048" i="16" s="1"/>
  <c r="C3052" i="16" s="1"/>
  <c r="C3054" i="16" s="1"/>
  <c r="F85" i="28" l="1"/>
  <c r="F70" i="28"/>
  <c r="F71" i="28"/>
  <c r="AF288" i="20"/>
  <c r="T810" i="20"/>
  <c r="G3142" i="16"/>
  <c r="G3147" i="16" s="1"/>
  <c r="D3130" i="16"/>
  <c r="D3131" i="16" s="1"/>
  <c r="E3120" i="16"/>
  <c r="D3126" i="16"/>
  <c r="D3127" i="16" s="1"/>
  <c r="D3059" i="16"/>
  <c r="D3060" i="16" s="1"/>
  <c r="E3118" i="16"/>
  <c r="E3125" i="16" s="1"/>
  <c r="D3122" i="16"/>
  <c r="H3142" i="16"/>
  <c r="H3147" i="16" s="1"/>
  <c r="F3120" i="16"/>
  <c r="F3075" i="16"/>
  <c r="D3123" i="16"/>
  <c r="E3142" i="16"/>
  <c r="E3147" i="16" s="1"/>
  <c r="G3120" i="16"/>
  <c r="C3124" i="16"/>
  <c r="F3142" i="16"/>
  <c r="F3147" i="16" s="1"/>
  <c r="F3072" i="16"/>
  <c r="G3073" i="16"/>
  <c r="C3076" i="16"/>
  <c r="C3077" i="16" s="1"/>
  <c r="G3072" i="16"/>
  <c r="F3073" i="16"/>
  <c r="G3075" i="16"/>
  <c r="D3072" i="16"/>
  <c r="H3072" i="16"/>
  <c r="H3074" i="16" s="1"/>
  <c r="E3073" i="16"/>
  <c r="D3075" i="16"/>
  <c r="H3075" i="16"/>
  <c r="H3076" i="16" s="1"/>
  <c r="H3077" i="16" s="1"/>
  <c r="E3072" i="16"/>
  <c r="D3073" i="16"/>
  <c r="C3049" i="16" s="1"/>
  <c r="E3075" i="16"/>
  <c r="C3074" i="16"/>
  <c r="E3123" i="16" l="1"/>
  <c r="E3122" i="16"/>
  <c r="D3124" i="16"/>
  <c r="G3074" i="16"/>
  <c r="G3076" i="16"/>
  <c r="G3077" i="16" s="1"/>
  <c r="E3130" i="16"/>
  <c r="F3130" i="16" s="1"/>
  <c r="G3130" i="16" s="1"/>
  <c r="H3130" i="16" s="1"/>
  <c r="E3126" i="16"/>
  <c r="E3127" i="16" s="1"/>
  <c r="E3059" i="16"/>
  <c r="F3059" i="16" s="1"/>
  <c r="G3059" i="16" s="1"/>
  <c r="H3059" i="16" s="1"/>
  <c r="F3118" i="16"/>
  <c r="F3122" i="16" s="1"/>
  <c r="C3102" i="16"/>
  <c r="E3076" i="16"/>
  <c r="E3077" i="16" s="1"/>
  <c r="E3074" i="16"/>
  <c r="F3076" i="16"/>
  <c r="F3077" i="16" s="1"/>
  <c r="F3074" i="16"/>
  <c r="D3076" i="16"/>
  <c r="D3077" i="16" s="1"/>
  <c r="D3074" i="16"/>
  <c r="E3124" i="16" l="1"/>
  <c r="E3131" i="16"/>
  <c r="F3131" i="16" s="1"/>
  <c r="G3131" i="16" s="1"/>
  <c r="H3131" i="16" s="1"/>
  <c r="E3060" i="16"/>
  <c r="F3060" i="16" s="1"/>
  <c r="G3060" i="16" s="1"/>
  <c r="H3060" i="16" s="1"/>
  <c r="G3118" i="16"/>
  <c r="F3126" i="16"/>
  <c r="F3127" i="16" s="1"/>
  <c r="F3125" i="16"/>
  <c r="F3123" i="16"/>
  <c r="F3124" i="16" s="1"/>
  <c r="E170" i="5"/>
  <c r="E169" i="5"/>
  <c r="E168" i="5"/>
  <c r="C153" i="5"/>
  <c r="D153" i="5" s="1"/>
  <c r="E153" i="5" s="1"/>
  <c r="C171" i="5"/>
  <c r="D158" i="5"/>
  <c r="C158" i="5"/>
  <c r="D157" i="5"/>
  <c r="C157" i="5"/>
  <c r="B152" i="5"/>
  <c r="C165" i="5"/>
  <c r="E158" i="5"/>
  <c r="E157" i="5"/>
  <c r="B159" i="5"/>
  <c r="B158" i="5"/>
  <c r="B164" i="5" s="1"/>
  <c r="B157" i="5"/>
  <c r="B163" i="5" s="1"/>
  <c r="E171" i="5" l="1"/>
  <c r="H3118" i="16"/>
  <c r="G3123" i="16"/>
  <c r="G3125" i="16"/>
  <c r="G3126" i="16"/>
  <c r="G3127" i="16" s="1"/>
  <c r="G3122" i="16"/>
  <c r="H3002" i="16"/>
  <c r="G3002" i="16"/>
  <c r="F3002" i="16"/>
  <c r="E3002" i="16"/>
  <c r="D3002" i="16"/>
  <c r="E3039" i="16"/>
  <c r="E3038" i="16"/>
  <c r="E3037" i="16"/>
  <c r="E3036" i="16"/>
  <c r="D3039" i="16"/>
  <c r="D3038" i="16"/>
  <c r="D3037" i="16"/>
  <c r="D3036" i="16"/>
  <c r="D3034" i="16"/>
  <c r="D3033" i="16"/>
  <c r="D3032" i="16"/>
  <c r="D3031" i="16"/>
  <c r="C3023" i="16"/>
  <c r="C3022" i="16"/>
  <c r="C3021" i="16"/>
  <c r="D3027" i="16"/>
  <c r="D3026" i="16"/>
  <c r="D3025" i="16"/>
  <c r="E3027" i="16"/>
  <c r="E3026" i="16"/>
  <c r="E3025" i="16"/>
  <c r="D2992" i="16"/>
  <c r="D2993" i="16"/>
  <c r="D2994" i="16"/>
  <c r="D2998" i="16"/>
  <c r="D2997" i="16"/>
  <c r="D2996" i="16"/>
  <c r="D2983" i="16"/>
  <c r="D2984" i="16"/>
  <c r="D2989" i="16"/>
  <c r="D2988" i="16"/>
  <c r="D2987" i="16"/>
  <c r="D2985" i="16"/>
  <c r="D2962" i="16"/>
  <c r="E2963" i="16"/>
  <c r="E2968" i="16" s="1"/>
  <c r="E2962" i="16"/>
  <c r="E2967" i="16" s="1"/>
  <c r="E2961" i="16"/>
  <c r="E2966" i="16" s="1"/>
  <c r="E2965" i="16" s="1"/>
  <c r="E2951" i="16"/>
  <c r="E2950" i="16"/>
  <c r="E2949" i="16"/>
  <c r="E2947" i="16"/>
  <c r="E2946" i="16"/>
  <c r="E2945" i="16"/>
  <c r="E2942" i="16"/>
  <c r="E2941" i="16"/>
  <c r="E2940" i="16"/>
  <c r="E2938" i="16"/>
  <c r="E2937" i="16"/>
  <c r="E2936" i="16"/>
  <c r="E2933" i="16"/>
  <c r="E2932" i="16"/>
  <c r="E2931" i="16"/>
  <c r="E2929" i="16"/>
  <c r="E2928" i="16"/>
  <c r="E2927" i="16"/>
  <c r="K2951" i="16"/>
  <c r="K2950" i="16"/>
  <c r="K2949" i="16"/>
  <c r="F2951" i="16"/>
  <c r="F2950" i="16"/>
  <c r="F2949" i="16"/>
  <c r="K2947" i="16"/>
  <c r="K2946" i="16"/>
  <c r="L2945" i="16"/>
  <c r="K2945" i="16" s="1"/>
  <c r="F2942" i="16"/>
  <c r="F2941" i="16"/>
  <c r="F2940" i="16"/>
  <c r="F2933" i="16"/>
  <c r="F2932" i="16"/>
  <c r="F2931" i="16"/>
  <c r="G3124" i="16" l="1"/>
  <c r="H3125" i="16"/>
  <c r="H3123" i="16"/>
  <c r="H3122" i="16"/>
  <c r="H3126" i="16"/>
  <c r="H3127" i="16" s="1"/>
  <c r="AD152" i="20"/>
  <c r="AC152" i="20"/>
  <c r="AD143" i="20"/>
  <c r="AD142" i="20"/>
  <c r="AH171" i="20" s="1"/>
  <c r="AD141" i="20"/>
  <c r="AH183" i="20" s="1"/>
  <c r="AE362" i="12"/>
  <c r="AD144" i="20" s="1"/>
  <c r="AD360" i="12"/>
  <c r="AD358" i="12"/>
  <c r="AG358" i="12" s="1"/>
  <c r="AD356" i="12"/>
  <c r="BB356" i="12" s="1"/>
  <c r="AD355" i="12"/>
  <c r="BB355" i="12" s="1"/>
  <c r="AD354" i="12"/>
  <c r="BB354" i="12" s="1"/>
  <c r="AE357" i="12"/>
  <c r="BC357" i="12" s="1"/>
  <c r="H3124" i="16" l="1"/>
  <c r="AC143" i="20"/>
  <c r="AD357" i="12"/>
  <c r="BB357" i="12" s="1"/>
  <c r="AD377" i="12"/>
  <c r="AX377" i="12" s="1"/>
  <c r="AG354" i="12"/>
  <c r="AF141" i="20" s="1"/>
  <c r="AX354" i="12"/>
  <c r="AD362" i="12"/>
  <c r="AC144" i="20" s="1"/>
  <c r="AG360" i="12"/>
  <c r="AC142" i="20"/>
  <c r="AX355" i="12"/>
  <c r="AG355" i="12"/>
  <c r="AF142" i="20" s="1"/>
  <c r="AD378" i="12"/>
  <c r="AX378" i="12" s="1"/>
  <c r="AD379" i="12"/>
  <c r="AX379" i="12" s="1"/>
  <c r="AG356" i="12"/>
  <c r="AF143" i="20" s="1"/>
  <c r="AX356" i="12"/>
  <c r="AE359" i="12"/>
  <c r="BC359" i="12" s="1"/>
  <c r="AC141" i="20"/>
  <c r="AG362" i="12" l="1"/>
  <c r="AF144" i="20" s="1"/>
  <c r="AG379" i="12"/>
  <c r="AG377" i="12"/>
  <c r="AG357" i="12"/>
  <c r="AG378" i="12"/>
  <c r="AD359" i="12"/>
  <c r="BB359" i="12" s="1"/>
  <c r="J2915" i="16"/>
  <c r="I2915" i="16"/>
  <c r="H2915" i="16"/>
  <c r="G2915" i="16"/>
  <c r="E2913" i="16"/>
  <c r="E2914" i="16"/>
  <c r="E2918" i="16" s="1"/>
  <c r="D2914" i="16"/>
  <c r="D2918" i="16" s="1"/>
  <c r="C2914" i="16"/>
  <c r="C2918" i="16" s="1"/>
  <c r="AG359" i="12" l="1"/>
  <c r="AD370" i="20"/>
  <c r="AD354" i="20"/>
  <c r="AE314" i="20"/>
  <c r="AE321" i="20" s="1"/>
  <c r="AE327" i="20" s="1"/>
  <c r="AE349" i="20"/>
  <c r="AE350" i="20" s="1"/>
  <c r="AE333" i="20"/>
  <c r="D2174" i="16"/>
  <c r="AE370" i="20" l="1"/>
  <c r="AF370" i="20" s="1"/>
  <c r="AE354" i="20"/>
  <c r="AF354" i="20" s="1"/>
  <c r="AG366" i="12"/>
  <c r="AE324" i="20"/>
  <c r="AE352" i="20" s="1"/>
  <c r="AG370" i="12" l="1"/>
  <c r="AF145" i="20"/>
  <c r="AF146" i="20" s="1"/>
  <c r="C2905" i="16"/>
  <c r="C2902" i="16"/>
  <c r="C2901" i="16"/>
  <c r="E2901" i="16"/>
  <c r="F2901" i="16" s="1"/>
  <c r="G2901" i="16" s="1"/>
  <c r="H2901" i="16" s="1"/>
  <c r="I2901" i="16" s="1"/>
  <c r="D2902" i="16"/>
  <c r="D2903" i="16" s="1"/>
  <c r="G12" i="24"/>
  <c r="F12" i="24"/>
  <c r="E12" i="24"/>
  <c r="D12" i="24"/>
  <c r="C12" i="24"/>
  <c r="F9" i="24"/>
  <c r="E9" i="24"/>
  <c r="D9" i="24"/>
  <c r="C9" i="24"/>
  <c r="G9" i="24"/>
  <c r="E2900" i="16"/>
  <c r="F2900" i="16" s="1"/>
  <c r="G2900" i="16" s="1"/>
  <c r="H2900" i="16" s="1"/>
  <c r="I2900" i="16" s="1"/>
  <c r="C2903" i="16" l="1"/>
  <c r="C2906" i="16"/>
  <c r="J9" i="24"/>
  <c r="K9" i="24" l="1"/>
  <c r="L9" i="24" l="1"/>
  <c r="M9" i="24" l="1"/>
  <c r="N9" i="24" l="1"/>
  <c r="O9" i="24" l="1"/>
  <c r="P9" i="24" l="1"/>
  <c r="Q9" i="24" l="1"/>
  <c r="R9" i="24" l="1"/>
  <c r="AF352" i="12" l="1"/>
  <c r="AE352" i="12"/>
  <c r="AD352" i="12"/>
  <c r="AC352" i="12"/>
  <c r="Z352" i="12"/>
  <c r="Y352" i="12"/>
  <c r="V352" i="12"/>
  <c r="U352" i="12"/>
  <c r="T352" i="12"/>
  <c r="CB116" i="20"/>
  <c r="BY116" i="20"/>
  <c r="CB114" i="20"/>
  <c r="BY114" i="20"/>
  <c r="CB113" i="20"/>
  <c r="BY113" i="20"/>
  <c r="CB112" i="20"/>
  <c r="BY112" i="20"/>
  <c r="CB111" i="20"/>
  <c r="BY111" i="20"/>
  <c r="CB110" i="20"/>
  <c r="BY110" i="20"/>
  <c r="BZ109" i="20"/>
  <c r="AE129" i="20"/>
  <c r="AD129" i="20"/>
  <c r="AD138" i="20" s="1"/>
  <c r="AC129" i="20"/>
  <c r="AA129" i="20"/>
  <c r="Z129" i="20"/>
  <c r="Y129" i="20"/>
  <c r="X129" i="20"/>
  <c r="AD118" i="20"/>
  <c r="AD127" i="20"/>
  <c r="AD126" i="20"/>
  <c r="AD125" i="20"/>
  <c r="AD124" i="20"/>
  <c r="AC114" i="20"/>
  <c r="AC113" i="20"/>
  <c r="AC112" i="20"/>
  <c r="AC111" i="20"/>
  <c r="AC116" i="20"/>
  <c r="AD115" i="20"/>
  <c r="AD117" i="20" s="1"/>
  <c r="AC110" i="20"/>
  <c r="AD123" i="20" l="1"/>
  <c r="CF117" i="20"/>
  <c r="AF110" i="20"/>
  <c r="AF124" i="20" s="1"/>
  <c r="AH182" i="20"/>
  <c r="AF111" i="20"/>
  <c r="AF133" i="20" s="1"/>
  <c r="AF150" i="20" s="1"/>
  <c r="AH170" i="20"/>
  <c r="AH172" i="20" s="1"/>
  <c r="AC126" i="20"/>
  <c r="AF112" i="20"/>
  <c r="CA113" i="20"/>
  <c r="AF113" i="20"/>
  <c r="CA116" i="20"/>
  <c r="AF116" i="20"/>
  <c r="CA114" i="20"/>
  <c r="AF114" i="20"/>
  <c r="AE133" i="20"/>
  <c r="AE134" i="20"/>
  <c r="AE151" i="20" s="1"/>
  <c r="AE136" i="20"/>
  <c r="AE132" i="20"/>
  <c r="AE135" i="20"/>
  <c r="AE138" i="20"/>
  <c r="AE137" i="20"/>
  <c r="AE155" i="20" s="1"/>
  <c r="H2913" i="16"/>
  <c r="J2913" i="16"/>
  <c r="BE353" i="12"/>
  <c r="AD136" i="20"/>
  <c r="AC118" i="20"/>
  <c r="AC135" i="20"/>
  <c r="AC115" i="20"/>
  <c r="AC117" i="20" s="1"/>
  <c r="AC127" i="20"/>
  <c r="AD132" i="20"/>
  <c r="AD135" i="20"/>
  <c r="AC124" i="20"/>
  <c r="AC125" i="20"/>
  <c r="AC138" i="20"/>
  <c r="CA110" i="20"/>
  <c r="CA112" i="20"/>
  <c r="CA111" i="20"/>
  <c r="AC132" i="20"/>
  <c r="AC136" i="20"/>
  <c r="AC133" i="20"/>
  <c r="AD133" i="20"/>
  <c r="AD137" i="20"/>
  <c r="AC134" i="20"/>
  <c r="AC151" i="20" s="1"/>
  <c r="AD134" i="20"/>
  <c r="AD151" i="20" s="1"/>
  <c r="J112" i="23"/>
  <c r="K112" i="23" s="1"/>
  <c r="L112" i="23" s="1"/>
  <c r="M112" i="23" s="1"/>
  <c r="N112" i="23" s="1"/>
  <c r="O112" i="23" s="1"/>
  <c r="P112" i="23" s="1"/>
  <c r="Q112" i="23" s="1"/>
  <c r="C2255" i="16"/>
  <c r="AC123" i="20" l="1"/>
  <c r="CE117" i="20"/>
  <c r="AF132" i="20"/>
  <c r="AF149" i="20" s="1"/>
  <c r="AF125" i="20"/>
  <c r="AF118" i="20"/>
  <c r="AF136" i="20"/>
  <c r="AF154" i="20" s="1"/>
  <c r="AF135" i="20"/>
  <c r="AF127" i="20"/>
  <c r="AF115" i="20"/>
  <c r="AF117" i="20" s="1"/>
  <c r="AF138" i="20"/>
  <c r="AF134" i="20"/>
  <c r="AF151" i="20" s="1"/>
  <c r="AF126" i="20"/>
  <c r="G2913" i="16"/>
  <c r="I2913" i="16"/>
  <c r="AC137" i="20"/>
  <c r="M2173" i="16"/>
  <c r="AE75" i="20"/>
  <c r="AE401" i="20"/>
  <c r="AF123" i="20" l="1"/>
  <c r="AF137" i="20"/>
  <c r="AF155" i="20" s="1"/>
  <c r="AE393" i="20"/>
  <c r="AF395" i="20" s="1"/>
  <c r="AD349" i="20"/>
  <c r="AC349" i="20"/>
  <c r="AC350" i="20" s="1"/>
  <c r="AE68" i="20"/>
  <c r="AE79" i="20" s="1"/>
  <c r="AE109" i="20" s="1"/>
  <c r="CC109" i="20" s="1"/>
  <c r="CQ488" i="20"/>
  <c r="T588" i="20" s="1"/>
  <c r="CQ487" i="20"/>
  <c r="T586" i="20" s="1"/>
  <c r="CQ486" i="20"/>
  <c r="T585" i="20" s="1"/>
  <c r="CQ485" i="20"/>
  <c r="T584" i="20" s="1"/>
  <c r="CQ482" i="20"/>
  <c r="T583" i="20" s="1"/>
  <c r="CQ481" i="20"/>
  <c r="T582" i="20" s="1"/>
  <c r="CQ480" i="20"/>
  <c r="CQ466" i="20"/>
  <c r="T579" i="20" s="1"/>
  <c r="CQ465" i="20"/>
  <c r="T577" i="20" s="1"/>
  <c r="CQ464" i="20"/>
  <c r="T576" i="20" s="1"/>
  <c r="CQ463" i="20"/>
  <c r="T575" i="20" s="1"/>
  <c r="CQ460" i="20"/>
  <c r="T574" i="20" s="1"/>
  <c r="CQ459" i="20"/>
  <c r="T573" i="20" s="1"/>
  <c r="CQ458" i="20"/>
  <c r="CQ455" i="20"/>
  <c r="T570" i="20" s="1"/>
  <c r="CQ454" i="20"/>
  <c r="T568" i="20" s="1"/>
  <c r="CQ453" i="20"/>
  <c r="T567" i="20" s="1"/>
  <c r="CQ452" i="20"/>
  <c r="T566" i="20" s="1"/>
  <c r="CQ448" i="20"/>
  <c r="T565" i="20" s="1"/>
  <c r="CQ447" i="20"/>
  <c r="T564" i="20" s="1"/>
  <c r="CQ446" i="20"/>
  <c r="CQ443" i="20"/>
  <c r="T560" i="20" s="1"/>
  <c r="CQ442" i="20"/>
  <c r="T559" i="20" s="1"/>
  <c r="CQ441" i="20"/>
  <c r="T558" i="20" s="1"/>
  <c r="CQ437" i="20"/>
  <c r="T557" i="20" s="1"/>
  <c r="CQ436" i="20"/>
  <c r="T556" i="20" s="1"/>
  <c r="CQ435" i="20"/>
  <c r="CQ432" i="20"/>
  <c r="T553" i="20" s="1"/>
  <c r="CQ431" i="20"/>
  <c r="T551" i="20" s="1"/>
  <c r="CQ430" i="20"/>
  <c r="T550" i="20" s="1"/>
  <c r="CQ429" i="20"/>
  <c r="T549" i="20" s="1"/>
  <c r="CQ425" i="20"/>
  <c r="T548" i="20" s="1"/>
  <c r="CQ424" i="20"/>
  <c r="T547" i="20" s="1"/>
  <c r="CQ423" i="20"/>
  <c r="CQ420" i="20"/>
  <c r="T544" i="20" s="1"/>
  <c r="CQ419" i="20"/>
  <c r="T542" i="20" s="1"/>
  <c r="CQ418" i="20"/>
  <c r="T541" i="20" s="1"/>
  <c r="CQ417" i="20"/>
  <c r="T540" i="20" s="1"/>
  <c r="CQ414" i="20"/>
  <c r="T539" i="20" s="1"/>
  <c r="CQ413" i="20"/>
  <c r="T538" i="20" s="1"/>
  <c r="CQ412" i="20"/>
  <c r="T590" i="20"/>
  <c r="T533" i="20"/>
  <c r="T532" i="20"/>
  <c r="T531" i="20"/>
  <c r="T530" i="20"/>
  <c r="T529" i="20"/>
  <c r="T516" i="20"/>
  <c r="T528" i="20" s="1"/>
  <c r="U498" i="20"/>
  <c r="U497" i="20"/>
  <c r="U496" i="20"/>
  <c r="U495" i="20"/>
  <c r="U493" i="20"/>
  <c r="U492" i="20"/>
  <c r="U491" i="20"/>
  <c r="U500" i="20" s="1"/>
  <c r="U483" i="20"/>
  <c r="CS483" i="20" s="1"/>
  <c r="U472" i="20"/>
  <c r="U473" i="20" s="1"/>
  <c r="U461" i="20"/>
  <c r="U450" i="20"/>
  <c r="U449" i="20"/>
  <c r="U439" i="20"/>
  <c r="U438" i="20"/>
  <c r="U427" i="20"/>
  <c r="U426" i="20"/>
  <c r="U415" i="20"/>
  <c r="CS415" i="20" s="1"/>
  <c r="T591" i="20" l="1"/>
  <c r="T592" i="20"/>
  <c r="T595" i="20"/>
  <c r="T596" i="20"/>
  <c r="T594" i="20"/>
  <c r="T599" i="20"/>
  <c r="U451" i="20"/>
  <c r="CS450" i="20"/>
  <c r="U462" i="20"/>
  <c r="CS461" i="20"/>
  <c r="U440" i="20"/>
  <c r="CS439" i="20"/>
  <c r="U428" i="20"/>
  <c r="CS427" i="20"/>
  <c r="T569" i="20"/>
  <c r="T534" i="20"/>
  <c r="T543" i="20"/>
  <c r="T552" i="20"/>
  <c r="T578" i="20"/>
  <c r="T561" i="20"/>
  <c r="U494" i="20"/>
  <c r="T555" i="20"/>
  <c r="AE396" i="20"/>
  <c r="T587" i="20"/>
  <c r="U484" i="20"/>
  <c r="T597" i="20" l="1"/>
  <c r="T601" i="20" s="1"/>
  <c r="T572" i="20"/>
  <c r="T581" i="20" s="1"/>
  <c r="T563" i="20"/>
  <c r="S808" i="20" l="1"/>
  <c r="AF244" i="12"/>
  <c r="T514" i="20" s="1"/>
  <c r="AF243" i="12"/>
  <c r="T512" i="20" s="1"/>
  <c r="AF242" i="12"/>
  <c r="T511" i="20" s="1"/>
  <c r="AF241" i="12"/>
  <c r="T510" i="20" s="1"/>
  <c r="AF240" i="12"/>
  <c r="T509" i="20" s="1"/>
  <c r="AF239" i="12"/>
  <c r="T508" i="20" s="1"/>
  <c r="AF238" i="12"/>
  <c r="AF235" i="12"/>
  <c r="AF231" i="12"/>
  <c r="AF347" i="12"/>
  <c r="T521" i="20" s="1"/>
  <c r="AF346" i="12"/>
  <c r="T520" i="20" s="1"/>
  <c r="AF345" i="12"/>
  <c r="T519" i="20" s="1"/>
  <c r="AF344" i="12"/>
  <c r="T518" i="20" s="1"/>
  <c r="AF343" i="12"/>
  <c r="T517" i="20" s="1"/>
  <c r="AF339" i="12"/>
  <c r="AF338" i="12"/>
  <c r="AF332" i="12"/>
  <c r="AF327" i="12"/>
  <c r="BW17" i="20"/>
  <c r="J1095" i="20" s="1"/>
  <c r="BW15" i="20"/>
  <c r="J1094" i="20" s="1"/>
  <c r="BW14" i="20"/>
  <c r="J1093" i="20" s="1"/>
  <c r="BW13" i="20"/>
  <c r="J1092" i="20" s="1"/>
  <c r="J1075" i="20" s="1"/>
  <c r="BW12" i="20"/>
  <c r="J1091" i="20" s="1"/>
  <c r="BW8" i="20"/>
  <c r="J1087" i="20" s="1"/>
  <c r="BW5" i="20"/>
  <c r="J1086" i="20" s="1"/>
  <c r="AE105" i="20"/>
  <c r="AE101" i="20"/>
  <c r="AE95" i="20"/>
  <c r="AE97" i="20" s="1"/>
  <c r="AI167" i="20" s="1"/>
  <c r="AE90" i="20"/>
  <c r="BZ104" i="20"/>
  <c r="BZ103" i="20"/>
  <c r="BZ100" i="20"/>
  <c r="BZ99" i="20"/>
  <c r="BZ96" i="20"/>
  <c r="BZ94" i="20"/>
  <c r="BZ93" i="20"/>
  <c r="BZ92" i="20"/>
  <c r="BZ91" i="20"/>
  <c r="J1085" i="20" s="1"/>
  <c r="AF383" i="12"/>
  <c r="AE242" i="20"/>
  <c r="D128" i="29" s="1"/>
  <c r="D130" i="29" s="1"/>
  <c r="D134" i="29" s="1"/>
  <c r="AE196" i="20"/>
  <c r="AE190" i="20"/>
  <c r="AE189" i="20"/>
  <c r="AE208" i="20" s="1"/>
  <c r="AE11" i="20"/>
  <c r="AE9" i="20"/>
  <c r="AE10" i="20" s="1"/>
  <c r="AE153" i="20" s="1"/>
  <c r="AE60" i="20"/>
  <c r="AF273" i="12"/>
  <c r="AF268" i="12"/>
  <c r="AJ270" i="12" s="1"/>
  <c r="AF246" i="12"/>
  <c r="AY245" i="12" s="1"/>
  <c r="AF317" i="12"/>
  <c r="AE233" i="20" s="1"/>
  <c r="D271" i="29" s="1"/>
  <c r="AF316" i="12"/>
  <c r="E290" i="29" l="1"/>
  <c r="D273" i="29"/>
  <c r="D277" i="29" s="1"/>
  <c r="AF232" i="12"/>
  <c r="F3915" i="16"/>
  <c r="I124" i="28"/>
  <c r="E39" i="28"/>
  <c r="E41" i="28"/>
  <c r="E64" i="28" s="1"/>
  <c r="I125" i="28"/>
  <c r="AE16" i="20"/>
  <c r="CA11" i="20"/>
  <c r="AE260" i="20"/>
  <c r="AE304" i="20"/>
  <c r="AE62" i="20"/>
  <c r="AE199" i="20" s="1"/>
  <c r="AE200" i="20" s="1"/>
  <c r="AJ61" i="20"/>
  <c r="AI181" i="20"/>
  <c r="AI184" i="20" s="1"/>
  <c r="AI169" i="20"/>
  <c r="AI172" i="20" s="1"/>
  <c r="AE154" i="20"/>
  <c r="AF340" i="12"/>
  <c r="AG375" i="12"/>
  <c r="AG348" i="12"/>
  <c r="AF269" i="12"/>
  <c r="AE216" i="20"/>
  <c r="AE217" i="20" s="1"/>
  <c r="AE345" i="20"/>
  <c r="AE106" i="20"/>
  <c r="AE107" i="20" s="1"/>
  <c r="T522" i="20"/>
  <c r="AE239" i="20"/>
  <c r="T513" i="20"/>
  <c r="S807" i="20"/>
  <c r="AE18" i="20"/>
  <c r="S805" i="20"/>
  <c r="AE284" i="20"/>
  <c r="AE331" i="20" s="1"/>
  <c r="AE390" i="20" s="1"/>
  <c r="AE285" i="20"/>
  <c r="BV104" i="20"/>
  <c r="F1062" i="20" s="1"/>
  <c r="BV103" i="20"/>
  <c r="F1061" i="20" s="1"/>
  <c r="BV100" i="20"/>
  <c r="F1058" i="20" s="1"/>
  <c r="BV99" i="20"/>
  <c r="F1057" i="20" s="1"/>
  <c r="BV96" i="20"/>
  <c r="F1054" i="20" s="1"/>
  <c r="BV94" i="20"/>
  <c r="F1052" i="20" s="1"/>
  <c r="BV93" i="20"/>
  <c r="F1051" i="20" s="1"/>
  <c r="BV92" i="20"/>
  <c r="F1050" i="20" s="1"/>
  <c r="E47" i="28" l="1"/>
  <c r="E62" i="28"/>
  <c r="AE277" i="20"/>
  <c r="AJ278" i="20" s="1"/>
  <c r="E40" i="28"/>
  <c r="E63" i="28" s="1"/>
  <c r="I123" i="28"/>
  <c r="S806" i="20"/>
  <c r="AE20" i="20"/>
  <c r="D270" i="29" s="1"/>
  <c r="E32" i="28"/>
  <c r="E87" i="28"/>
  <c r="AE303" i="20"/>
  <c r="AE191" i="20"/>
  <c r="AE346" i="20" s="1"/>
  <c r="AE232" i="20"/>
  <c r="J2746" i="8"/>
  <c r="D2734" i="8"/>
  <c r="AE21" i="20" l="1"/>
  <c r="E34" i="28" s="1"/>
  <c r="BY20" i="20"/>
  <c r="BT20" i="20"/>
  <c r="E48" i="28"/>
  <c r="I126" i="28"/>
  <c r="AE192" i="20"/>
  <c r="E33" i="28"/>
  <c r="E86" i="28"/>
  <c r="E71" i="28"/>
  <c r="AE286" i="20"/>
  <c r="L438" i="4"/>
  <c r="L439" i="4" s="1"/>
  <c r="AE193" i="20" l="1"/>
  <c r="AE194" i="20" s="1"/>
  <c r="AE288" i="20" s="1"/>
  <c r="S809" i="20"/>
  <c r="AE149" i="20"/>
  <c r="AE150" i="20"/>
  <c r="AE287" i="20"/>
  <c r="E49" i="28"/>
  <c r="E72" i="28"/>
  <c r="AA156" i="20"/>
  <c r="AA152" i="20"/>
  <c r="Z143" i="20"/>
  <c r="Z142" i="20"/>
  <c r="Z141" i="20"/>
  <c r="Y143" i="20"/>
  <c r="Y142" i="20"/>
  <c r="Y141" i="20"/>
  <c r="X143" i="20"/>
  <c r="X142" i="20"/>
  <c r="X141" i="20"/>
  <c r="S810" i="20" l="1"/>
  <c r="AE347" i="20"/>
  <c r="H2730" i="16"/>
  <c r="H2728" i="16"/>
  <c r="H2727" i="16"/>
  <c r="H2726" i="16"/>
  <c r="L442" i="4"/>
  <c r="J470" i="4"/>
  <c r="K470" i="4"/>
  <c r="L475" i="4" s="1"/>
  <c r="H2731" i="16" l="1"/>
  <c r="K475" i="4"/>
  <c r="B2887" i="16" l="1"/>
  <c r="B2895" i="16" s="1"/>
  <c r="B2886" i="16"/>
  <c r="B2894" i="16" s="1"/>
  <c r="B2885" i="16"/>
  <c r="B2893" i="16" s="1"/>
  <c r="B2884" i="16"/>
  <c r="B2892" i="16" s="1"/>
  <c r="B2883" i="16"/>
  <c r="B2891" i="16" s="1"/>
  <c r="B2882" i="16"/>
  <c r="B2890" i="16" s="1"/>
  <c r="E2300" i="16"/>
  <c r="E2301" i="16" s="1"/>
  <c r="F2299" i="16"/>
  <c r="H29" i="23"/>
  <c r="G29" i="23"/>
  <c r="D2752" i="8" l="1"/>
  <c r="D2744" i="8"/>
  <c r="C2758" i="8"/>
  <c r="E2744" i="8"/>
  <c r="C2726" i="8"/>
  <c r="C2727" i="8" s="1"/>
  <c r="C2720" i="8"/>
  <c r="CO488" i="20"/>
  <c r="S588" i="20" s="1"/>
  <c r="CO487" i="20"/>
  <c r="S586" i="20" s="1"/>
  <c r="CO486" i="20"/>
  <c r="S585" i="20" s="1"/>
  <c r="CO485" i="20"/>
  <c r="S584" i="20" s="1"/>
  <c r="CO482" i="20"/>
  <c r="S583" i="20" s="1"/>
  <c r="CO481" i="20"/>
  <c r="S582" i="20" s="1"/>
  <c r="CO480" i="20"/>
  <c r="S555" i="20"/>
  <c r="S533" i="20"/>
  <c r="S532" i="20"/>
  <c r="S531" i="20"/>
  <c r="S530" i="20"/>
  <c r="S529" i="20"/>
  <c r="AE347" i="12"/>
  <c r="S521" i="20" s="1"/>
  <c r="AE346" i="12"/>
  <c r="S520" i="20" s="1"/>
  <c r="AE345" i="12"/>
  <c r="S519" i="20" s="1"/>
  <c r="AE344" i="12"/>
  <c r="S518" i="20" s="1"/>
  <c r="AE343" i="12"/>
  <c r="S517" i="20" s="1"/>
  <c r="AE339" i="12"/>
  <c r="AE338" i="12"/>
  <c r="AE332" i="12"/>
  <c r="AE327" i="12"/>
  <c r="AE268" i="12"/>
  <c r="AI270" i="12" s="1"/>
  <c r="AE244" i="12"/>
  <c r="S514" i="20" s="1"/>
  <c r="AE243" i="12"/>
  <c r="S512" i="20" s="1"/>
  <c r="AE242" i="12"/>
  <c r="S511" i="20" s="1"/>
  <c r="AE241" i="12"/>
  <c r="S510" i="20" s="1"/>
  <c r="AE240" i="12"/>
  <c r="S509" i="20" s="1"/>
  <c r="AE239" i="12"/>
  <c r="S508" i="20" s="1"/>
  <c r="AE238" i="12"/>
  <c r="AE235" i="12"/>
  <c r="AE231" i="12"/>
  <c r="S516" i="20"/>
  <c r="S528" i="20" s="1"/>
  <c r="T498" i="20"/>
  <c r="T497" i="20"/>
  <c r="T496" i="20"/>
  <c r="T495" i="20"/>
  <c r="T493" i="20"/>
  <c r="T492" i="20"/>
  <c r="T491" i="20"/>
  <c r="T500" i="20" s="1"/>
  <c r="T483" i="20"/>
  <c r="CQ483" i="20" s="1"/>
  <c r="CO466" i="20"/>
  <c r="S579" i="20" s="1"/>
  <c r="CO465" i="20"/>
  <c r="S577" i="20" s="1"/>
  <c r="CO464" i="20"/>
  <c r="S576" i="20" s="1"/>
  <c r="CO463" i="20"/>
  <c r="S575" i="20" s="1"/>
  <c r="CO460" i="20"/>
  <c r="S574" i="20" s="1"/>
  <c r="CO459" i="20"/>
  <c r="S573" i="20" s="1"/>
  <c r="CO458" i="20"/>
  <c r="CO455" i="20"/>
  <c r="S570" i="20" s="1"/>
  <c r="CO454" i="20"/>
  <c r="S568" i="20" s="1"/>
  <c r="CO453" i="20"/>
  <c r="S567" i="20" s="1"/>
  <c r="CO452" i="20"/>
  <c r="S566" i="20" s="1"/>
  <c r="CO448" i="20"/>
  <c r="S565" i="20" s="1"/>
  <c r="CO447" i="20"/>
  <c r="S564" i="20" s="1"/>
  <c r="CO446" i="20"/>
  <c r="CO443" i="20"/>
  <c r="S560" i="20" s="1"/>
  <c r="CO442" i="20"/>
  <c r="S559" i="20" s="1"/>
  <c r="CO441" i="20"/>
  <c r="S558" i="20" s="1"/>
  <c r="CO437" i="20"/>
  <c r="S557" i="20" s="1"/>
  <c r="CO436" i="20"/>
  <c r="S556" i="20" s="1"/>
  <c r="CO435" i="20"/>
  <c r="CO432" i="20"/>
  <c r="S553" i="20" s="1"/>
  <c r="CO431" i="20"/>
  <c r="S551" i="20" s="1"/>
  <c r="CO430" i="20"/>
  <c r="S550" i="20" s="1"/>
  <c r="CO429" i="20"/>
  <c r="S549" i="20" s="1"/>
  <c r="CO425" i="20"/>
  <c r="S548" i="20" s="1"/>
  <c r="CO424" i="20"/>
  <c r="S547" i="20" s="1"/>
  <c r="CO423" i="20"/>
  <c r="CO420" i="20"/>
  <c r="S544" i="20" s="1"/>
  <c r="CO419" i="20"/>
  <c r="S542" i="20" s="1"/>
  <c r="CO418" i="20"/>
  <c r="S541" i="20" s="1"/>
  <c r="CO417" i="20"/>
  <c r="S540" i="20" s="1"/>
  <c r="CO414" i="20"/>
  <c r="S539" i="20" s="1"/>
  <c r="CO413" i="20"/>
  <c r="S538" i="20" s="1"/>
  <c r="CO412" i="20"/>
  <c r="T472" i="20"/>
  <c r="T473" i="20" s="1"/>
  <c r="T461" i="20"/>
  <c r="T450" i="20"/>
  <c r="T449" i="20"/>
  <c r="T439" i="20"/>
  <c r="CQ439" i="20" s="1"/>
  <c r="T438" i="20"/>
  <c r="T427" i="20"/>
  <c r="T426" i="20"/>
  <c r="T415" i="20"/>
  <c r="CQ415" i="20" s="1"/>
  <c r="AE317" i="12"/>
  <c r="AD233" i="20" s="1"/>
  <c r="AE316" i="12"/>
  <c r="R807" i="20" s="1"/>
  <c r="AE273" i="12"/>
  <c r="R808" i="20"/>
  <c r="R805" i="20"/>
  <c r="AD393" i="20"/>
  <c r="AD383" i="20"/>
  <c r="AD356" i="20"/>
  <c r="AD355" i="20"/>
  <c r="AD345" i="20"/>
  <c r="AC332" i="20"/>
  <c r="AD333" i="20"/>
  <c r="AD314" i="20"/>
  <c r="AD105" i="20"/>
  <c r="AD101" i="20"/>
  <c r="AD95" i="20"/>
  <c r="AD11" i="20"/>
  <c r="AD9" i="20"/>
  <c r="AD197" i="20"/>
  <c r="AD196" i="20"/>
  <c r="AD75" i="20"/>
  <c r="AD60" i="20"/>
  <c r="AD19" i="20"/>
  <c r="AD56" i="20" s="1"/>
  <c r="AD216" i="20"/>
  <c r="AD285" i="20"/>
  <c r="AE383" i="12"/>
  <c r="AD242" i="20"/>
  <c r="AD189" i="20"/>
  <c r="AD284" i="20" s="1"/>
  <c r="AD331" i="20" s="1"/>
  <c r="AD390" i="20" s="1"/>
  <c r="BV17" i="20"/>
  <c r="I1095" i="20" s="1"/>
  <c r="BV15" i="20"/>
  <c r="I1094" i="20" s="1"/>
  <c r="BV14" i="20"/>
  <c r="I1093" i="20" s="1"/>
  <c r="BV13" i="20"/>
  <c r="I1092" i="20" s="1"/>
  <c r="I1075" i="20" s="1"/>
  <c r="BV12" i="20"/>
  <c r="I1091" i="20" s="1"/>
  <c r="BV8" i="20"/>
  <c r="I1087" i="20" s="1"/>
  <c r="BV5" i="20"/>
  <c r="I1086" i="20" s="1"/>
  <c r="I1070" i="20"/>
  <c r="AD90" i="20"/>
  <c r="BY104" i="20"/>
  <c r="I1062" i="20" s="1"/>
  <c r="BY103" i="20"/>
  <c r="I1061" i="20" s="1"/>
  <c r="BY100" i="20"/>
  <c r="I1058" i="20" s="1"/>
  <c r="BY99" i="20"/>
  <c r="I1057" i="20" s="1"/>
  <c r="BY96" i="20"/>
  <c r="I1054" i="20" s="1"/>
  <c r="BY94" i="20"/>
  <c r="I1052" i="20" s="1"/>
  <c r="BY93" i="20"/>
  <c r="I1051" i="20" s="1"/>
  <c r="BY92" i="20"/>
  <c r="I1050" i="20" s="1"/>
  <c r="AA236" i="20"/>
  <c r="AE223" i="12"/>
  <c r="AE246" i="12" s="1"/>
  <c r="AX245" i="12" s="1"/>
  <c r="AD68" i="20"/>
  <c r="AD79" i="20" s="1"/>
  <c r="D2279" i="16"/>
  <c r="E2279" i="16"/>
  <c r="C2267" i="16"/>
  <c r="C2265" i="16"/>
  <c r="D2267" i="16"/>
  <c r="D2265" i="16"/>
  <c r="C2281" i="16"/>
  <c r="D2281" i="16"/>
  <c r="D2277" i="16"/>
  <c r="C2277" i="16" s="1"/>
  <c r="G2332" i="16"/>
  <c r="H2332" i="16" s="1"/>
  <c r="I2332" i="16" s="1"/>
  <c r="J2332" i="16" s="1"/>
  <c r="K2332" i="16" s="1"/>
  <c r="K2320" i="16"/>
  <c r="G2280" i="16"/>
  <c r="E83" i="22" s="1"/>
  <c r="E98" i="22" s="1"/>
  <c r="A2304" i="16"/>
  <c r="F2693" i="8"/>
  <c r="I2691" i="8"/>
  <c r="L2691" i="8"/>
  <c r="K2691" i="8"/>
  <c r="K2690" i="8"/>
  <c r="L2688" i="8"/>
  <c r="H125" i="28" l="1"/>
  <c r="C271" i="29"/>
  <c r="S596" i="20"/>
  <c r="AE232" i="12"/>
  <c r="E3915" i="16"/>
  <c r="D39" i="28"/>
  <c r="D62" i="28" s="1"/>
  <c r="C128" i="29"/>
  <c r="C130" i="29" s="1"/>
  <c r="C134" i="29" s="1"/>
  <c r="S595" i="20"/>
  <c r="S594" i="20"/>
  <c r="S591" i="20"/>
  <c r="S592" i="20"/>
  <c r="S572" i="20"/>
  <c r="S581" i="20" s="1"/>
  <c r="S563" i="20"/>
  <c r="S599" i="20"/>
  <c r="AD304" i="20"/>
  <c r="H124" i="28"/>
  <c r="F127" i="28"/>
  <c r="J139" i="28"/>
  <c r="R806" i="20"/>
  <c r="D41" i="28"/>
  <c r="AD10" i="20"/>
  <c r="BZ9" i="20"/>
  <c r="AD16" i="20"/>
  <c r="BZ11" i="20"/>
  <c r="AD260" i="20"/>
  <c r="AD387" i="20"/>
  <c r="AD373" i="20"/>
  <c r="AF383" i="20"/>
  <c r="AD62" i="20"/>
  <c r="AD199" i="20" s="1"/>
  <c r="AD200" i="20" s="1"/>
  <c r="AI61" i="20"/>
  <c r="AD18" i="20"/>
  <c r="AE269" i="12"/>
  <c r="AE355" i="20"/>
  <c r="AE356" i="20"/>
  <c r="AF356" i="20" s="1"/>
  <c r="AE357" i="20"/>
  <c r="AF357" i="20" s="1"/>
  <c r="BY91" i="20"/>
  <c r="I1049" i="20" s="1"/>
  <c r="I1066" i="20" s="1"/>
  <c r="I1074" i="20" s="1"/>
  <c r="AD109" i="20"/>
  <c r="CB109" i="20" s="1"/>
  <c r="AD350" i="20"/>
  <c r="T451" i="20"/>
  <c r="CQ450" i="20"/>
  <c r="T462" i="20"/>
  <c r="CQ461" i="20"/>
  <c r="AD396" i="20"/>
  <c r="AE395" i="20"/>
  <c r="T428" i="20"/>
  <c r="CQ427" i="20"/>
  <c r="AD239" i="20"/>
  <c r="AF348" i="12"/>
  <c r="AF375" i="12"/>
  <c r="AE340" i="12"/>
  <c r="E2740" i="8"/>
  <c r="AD97" i="20"/>
  <c r="S569" i="20"/>
  <c r="F2744" i="8"/>
  <c r="AD217" i="20"/>
  <c r="AD208" i="20"/>
  <c r="AD321" i="20"/>
  <c r="AD327" i="20" s="1"/>
  <c r="D2737" i="8"/>
  <c r="D2740" i="8" s="1"/>
  <c r="AE322" i="12"/>
  <c r="S534" i="20"/>
  <c r="S552" i="20"/>
  <c r="S578" i="20"/>
  <c r="S561" i="20"/>
  <c r="S522" i="20"/>
  <c r="S590" i="20"/>
  <c r="T440" i="20"/>
  <c r="T494" i="20"/>
  <c r="S587" i="20"/>
  <c r="S543" i="20"/>
  <c r="S513" i="20"/>
  <c r="T484" i="20"/>
  <c r="D2268" i="16"/>
  <c r="D2266" i="16"/>
  <c r="C2268" i="16"/>
  <c r="C273" i="29" l="1"/>
  <c r="C277" i="29" s="1"/>
  <c r="D290" i="29"/>
  <c r="S597" i="20"/>
  <c r="S601" i="20" s="1"/>
  <c r="F128" i="28"/>
  <c r="D40" i="28"/>
  <c r="D63" i="28" s="1"/>
  <c r="H123" i="28"/>
  <c r="AD20" i="20"/>
  <c r="C270" i="29" s="1"/>
  <c r="D32" i="28"/>
  <c r="D64" i="28"/>
  <c r="AD153" i="20"/>
  <c r="AD154" i="20" s="1"/>
  <c r="BZ10" i="20"/>
  <c r="AD232" i="20"/>
  <c r="AD303" i="20"/>
  <c r="AD277" i="20"/>
  <c r="AI278" i="20" s="1"/>
  <c r="AD106" i="20"/>
  <c r="AD107" i="20" s="1"/>
  <c r="AH167" i="20"/>
  <c r="AH181" i="20" s="1"/>
  <c r="AH184" i="20" s="1"/>
  <c r="AF387" i="20"/>
  <c r="AF355" i="20"/>
  <c r="AE373" i="20"/>
  <c r="AF350" i="20"/>
  <c r="AE359" i="20"/>
  <c r="AD191" i="20"/>
  <c r="D2913" i="16"/>
  <c r="AY353" i="12"/>
  <c r="AY376" i="12" s="1"/>
  <c r="F2740" i="8"/>
  <c r="F2750" i="8"/>
  <c r="E152" i="5"/>
  <c r="I1085" i="20"/>
  <c r="D2738" i="8"/>
  <c r="F2745" i="8" s="1"/>
  <c r="F2746" i="8" s="1"/>
  <c r="F2747" i="8" s="1"/>
  <c r="AD324" i="20"/>
  <c r="AD352" i="20" s="1"/>
  <c r="AD359" i="20" s="1"/>
  <c r="D2758" i="8"/>
  <c r="F2741" i="8"/>
  <c r="G2311" i="16"/>
  <c r="AD21" i="20" l="1"/>
  <c r="AD193" i="20" s="1"/>
  <c r="BS20" i="20"/>
  <c r="BX20" i="20"/>
  <c r="D48" i="28"/>
  <c r="AD286" i="20"/>
  <c r="H126" i="28"/>
  <c r="D87" i="28"/>
  <c r="AD192" i="20"/>
  <c r="D33" i="28"/>
  <c r="D49" i="28" s="1"/>
  <c r="D86" i="28"/>
  <c r="D71" i="28"/>
  <c r="AF373" i="20"/>
  <c r="AD346" i="20"/>
  <c r="F2742" i="8"/>
  <c r="D152" i="5"/>
  <c r="E159" i="5"/>
  <c r="E160" i="5" s="1"/>
  <c r="C152" i="5"/>
  <c r="E154" i="5"/>
  <c r="C2303" i="16"/>
  <c r="D34" i="28" l="1"/>
  <c r="AD194" i="20"/>
  <c r="AD347" i="20" s="1"/>
  <c r="AD150" i="20"/>
  <c r="AD287" i="20"/>
  <c r="R809" i="20"/>
  <c r="AD149" i="20"/>
  <c r="D72" i="28"/>
  <c r="C154" i="5"/>
  <c r="C159" i="5"/>
  <c r="C160" i="5" s="1"/>
  <c r="C172" i="5" s="1"/>
  <c r="D154" i="5"/>
  <c r="D159" i="5"/>
  <c r="D160" i="5" s="1"/>
  <c r="J2320" i="16"/>
  <c r="I2320" i="16"/>
  <c r="H2320" i="16"/>
  <c r="G2320" i="16"/>
  <c r="F2283" i="16"/>
  <c r="E2283" i="16"/>
  <c r="D2283" i="16" s="1"/>
  <c r="F2284" i="16"/>
  <c r="E2284" i="16"/>
  <c r="E2275" i="16"/>
  <c r="E2269" i="16" s="1"/>
  <c r="C75" i="22" s="1"/>
  <c r="F2279" i="16"/>
  <c r="E2281" i="16"/>
  <c r="F2281" i="16"/>
  <c r="G2278" i="16"/>
  <c r="E82" i="22" s="1"/>
  <c r="E93" i="22" s="1"/>
  <c r="E99" i="22" s="1"/>
  <c r="C2305" i="16"/>
  <c r="C2307" i="16" s="1"/>
  <c r="G2275" i="16"/>
  <c r="G2269" i="16" s="1"/>
  <c r="E75" i="22" s="1"/>
  <c r="F2275" i="16"/>
  <c r="F2269" i="16" s="1"/>
  <c r="D75" i="22" s="1"/>
  <c r="C2327" i="16"/>
  <c r="G2315" i="16"/>
  <c r="H2315" i="16" s="1"/>
  <c r="I2315" i="16" s="1"/>
  <c r="J2315" i="16" s="1"/>
  <c r="K2315" i="16" s="1"/>
  <c r="H2277" i="16"/>
  <c r="I2277" i="16" s="1"/>
  <c r="J2277" i="16" s="1"/>
  <c r="K2277" i="16" s="1"/>
  <c r="L2277" i="16" s="1"/>
  <c r="M2277" i="16" s="1"/>
  <c r="N2277" i="16" s="1"/>
  <c r="O2277" i="16" s="1"/>
  <c r="P2277" i="16" s="1"/>
  <c r="Q2277" i="16" s="1"/>
  <c r="R2277" i="16" s="1"/>
  <c r="H2264" i="16"/>
  <c r="I2264" i="16" s="1"/>
  <c r="J2264" i="16" s="1"/>
  <c r="K2264" i="16" s="1"/>
  <c r="L2264" i="16" s="1"/>
  <c r="M2264" i="16" s="1"/>
  <c r="N2264" i="16" s="1"/>
  <c r="O2264" i="16" s="1"/>
  <c r="P2264" i="16" s="1"/>
  <c r="Q2264" i="16" s="1"/>
  <c r="R2264" i="16" s="1"/>
  <c r="F2226" i="16"/>
  <c r="G2226" i="16" s="1"/>
  <c r="H2226" i="16" s="1"/>
  <c r="I2226" i="16" s="1"/>
  <c r="J2226" i="16" s="1"/>
  <c r="AD288" i="20" l="1"/>
  <c r="R810" i="20"/>
  <c r="E2285" i="16"/>
  <c r="C85" i="22"/>
  <c r="F2285" i="16"/>
  <c r="D85" i="22"/>
  <c r="D2282" i="16"/>
  <c r="D2284" i="16" s="1"/>
  <c r="D2285" i="16" s="1"/>
  <c r="C2283" i="16"/>
  <c r="C2282" i="16" s="1"/>
  <c r="G2312" i="16"/>
  <c r="G2313" i="16" s="1"/>
  <c r="G2265" i="16"/>
  <c r="E71" i="22" s="1"/>
  <c r="G2267" i="16"/>
  <c r="E73" i="22" s="1"/>
  <c r="G2283" i="16"/>
  <c r="F2267" i="16"/>
  <c r="F2265" i="16"/>
  <c r="D71" i="22" s="1"/>
  <c r="E2267" i="16"/>
  <c r="C73" i="22" s="1"/>
  <c r="E2265" i="16"/>
  <c r="C71" i="22" s="1"/>
  <c r="E2684" i="8"/>
  <c r="E2683" i="8"/>
  <c r="E2644" i="8"/>
  <c r="E2642" i="8"/>
  <c r="F2271" i="16" l="1"/>
  <c r="D77" i="22" s="1"/>
  <c r="D73" i="22"/>
  <c r="G2266" i="16"/>
  <c r="E72" i="22" s="1"/>
  <c r="G2270" i="16"/>
  <c r="E76" i="22" s="1"/>
  <c r="V2274" i="16"/>
  <c r="D2269" i="16"/>
  <c r="D2270" i="16" s="1"/>
  <c r="G2271" i="16"/>
  <c r="V2275" i="16"/>
  <c r="C2269" i="16"/>
  <c r="C2284" i="16"/>
  <c r="C2285" i="16" s="1"/>
  <c r="E2270" i="16"/>
  <c r="C76" i="22" s="1"/>
  <c r="E2266" i="16"/>
  <c r="C72" i="22" s="1"/>
  <c r="H2265" i="16"/>
  <c r="F71" i="22" s="1"/>
  <c r="E2268" i="16"/>
  <c r="C74" i="22" s="1"/>
  <c r="E2271" i="16"/>
  <c r="F2266" i="16"/>
  <c r="D72" i="22" s="1"/>
  <c r="G2268" i="16"/>
  <c r="E74" i="22" s="1"/>
  <c r="F2270" i="16"/>
  <c r="D76" i="22" s="1"/>
  <c r="F2268" i="16"/>
  <c r="D74" i="22" s="1"/>
  <c r="E2685" i="8"/>
  <c r="C2849" i="16"/>
  <c r="E2835" i="16"/>
  <c r="B2850" i="16"/>
  <c r="B2858" i="16" s="1"/>
  <c r="B2866" i="16" s="1"/>
  <c r="B2849" i="16"/>
  <c r="B2857" i="16" s="1"/>
  <c r="B2865" i="16" s="1"/>
  <c r="B2848" i="16"/>
  <c r="B2856" i="16" s="1"/>
  <c r="B2864" i="16" s="1"/>
  <c r="B2847" i="16"/>
  <c r="B2855" i="16" s="1"/>
  <c r="B2863" i="16" s="1"/>
  <c r="B2846" i="16"/>
  <c r="B2854" i="16" s="1"/>
  <c r="B2862" i="16" s="1"/>
  <c r="B2845" i="16"/>
  <c r="B2853" i="16" s="1"/>
  <c r="B2861" i="16" s="1"/>
  <c r="F2272" i="16" l="1"/>
  <c r="D78" i="22" s="1"/>
  <c r="G2272" i="16"/>
  <c r="E78" i="22" s="1"/>
  <c r="E77" i="22"/>
  <c r="E2272" i="16"/>
  <c r="C78" i="22" s="1"/>
  <c r="C77" i="22"/>
  <c r="H2267" i="16"/>
  <c r="F73" i="22" s="1"/>
  <c r="D2271" i="16"/>
  <c r="D2272" i="16" s="1"/>
  <c r="C2270" i="16"/>
  <c r="C2271" i="16"/>
  <c r="C2272" i="16" s="1"/>
  <c r="F2835" i="16"/>
  <c r="D2873" i="16"/>
  <c r="I2265" i="16"/>
  <c r="G71" i="22" s="1"/>
  <c r="H2269" i="16"/>
  <c r="F75" i="22" s="1"/>
  <c r="C2826" i="16"/>
  <c r="C2823" i="16"/>
  <c r="C2822" i="16"/>
  <c r="C2821" i="16"/>
  <c r="C2820" i="16"/>
  <c r="C2819" i="16"/>
  <c r="C2817" i="16"/>
  <c r="C2816" i="16"/>
  <c r="C2815" i="16"/>
  <c r="C2814" i="16"/>
  <c r="C2813" i="16"/>
  <c r="B2809" i="16"/>
  <c r="B2808" i="16"/>
  <c r="B2799" i="16"/>
  <c r="D2782" i="16"/>
  <c r="C2782" i="16"/>
  <c r="A46" i="4"/>
  <c r="A45" i="4"/>
  <c r="A44" i="4"/>
  <c r="A43" i="4"/>
  <c r="A42" i="4"/>
  <c r="A41" i="4"/>
  <c r="A40" i="4"/>
  <c r="D2756" i="16"/>
  <c r="E2756" i="16" s="1"/>
  <c r="F2756" i="16" s="1"/>
  <c r="G2756" i="16" s="1"/>
  <c r="H2756" i="16" s="1"/>
  <c r="B2761" i="16"/>
  <c r="B2760" i="16"/>
  <c r="B2759" i="16"/>
  <c r="B2758" i="16"/>
  <c r="B2757" i="16"/>
  <c r="BT466" i="20"/>
  <c r="BT465" i="20"/>
  <c r="BT464" i="20"/>
  <c r="BT463" i="20"/>
  <c r="BT460" i="20"/>
  <c r="BT459" i="20"/>
  <c r="BT458" i="20"/>
  <c r="BT455" i="20"/>
  <c r="BT454" i="20"/>
  <c r="BT453" i="20"/>
  <c r="BT452" i="20"/>
  <c r="BT448" i="20"/>
  <c r="BT447" i="20"/>
  <c r="BT446" i="20"/>
  <c r="BT443" i="20"/>
  <c r="BT442" i="20"/>
  <c r="BT441" i="20"/>
  <c r="BT437" i="20"/>
  <c r="BT436" i="20"/>
  <c r="BT435" i="20"/>
  <c r="BT432" i="20"/>
  <c r="BT431" i="20"/>
  <c r="BT430" i="20"/>
  <c r="BT429" i="20"/>
  <c r="BT425" i="20"/>
  <c r="BT424" i="20"/>
  <c r="BT423" i="20"/>
  <c r="BT420" i="20"/>
  <c r="BT419" i="20"/>
  <c r="BT418" i="20"/>
  <c r="BT417" i="20"/>
  <c r="BT414" i="20"/>
  <c r="BT413" i="20"/>
  <c r="BT412" i="20"/>
  <c r="O2564" i="16"/>
  <c r="N2564" i="16"/>
  <c r="M2564" i="16"/>
  <c r="L2564" i="16"/>
  <c r="K2564" i="16"/>
  <c r="J2564" i="16"/>
  <c r="C2564" i="16"/>
  <c r="AA211" i="20"/>
  <c r="G2730" i="16"/>
  <c r="E2730" i="16"/>
  <c r="D2730" i="16"/>
  <c r="N2726" i="16"/>
  <c r="M2726" i="16"/>
  <c r="L2726" i="16"/>
  <c r="K2726" i="16"/>
  <c r="G2728" i="16"/>
  <c r="F2728" i="16"/>
  <c r="E2728" i="16"/>
  <c r="D2728" i="16"/>
  <c r="C2728" i="16"/>
  <c r="J2726" i="16"/>
  <c r="I2726" i="16"/>
  <c r="G2726" i="16"/>
  <c r="F2726" i="16"/>
  <c r="E2726" i="16"/>
  <c r="D2726" i="16"/>
  <c r="C2726" i="16"/>
  <c r="G2727" i="16"/>
  <c r="F2727" i="16"/>
  <c r="E2727" i="16"/>
  <c r="D2727" i="16"/>
  <c r="C2727" i="16"/>
  <c r="K2598" i="16"/>
  <c r="L2598" i="16" s="1"/>
  <c r="M2598" i="16" s="1"/>
  <c r="N2598" i="16" s="1"/>
  <c r="O2598" i="16" s="1"/>
  <c r="J75" i="23"/>
  <c r="K75" i="23" s="1"/>
  <c r="D2676" i="16"/>
  <c r="C2676" i="16"/>
  <c r="J131" i="28" l="1"/>
  <c r="F121" i="28"/>
  <c r="I2269" i="16"/>
  <c r="G75" i="22" s="1"/>
  <c r="F2730" i="16"/>
  <c r="F2731" i="16" s="1"/>
  <c r="K2727" i="16"/>
  <c r="D765" i="20"/>
  <c r="D766" i="20" s="1"/>
  <c r="I2267" i="16"/>
  <c r="G2835" i="16"/>
  <c r="E2873" i="16"/>
  <c r="H2271" i="16"/>
  <c r="L2727" i="16"/>
  <c r="M2727" i="16"/>
  <c r="G2731" i="16"/>
  <c r="D2731" i="16"/>
  <c r="E2731" i="16"/>
  <c r="C2673" i="16"/>
  <c r="D2673" i="16"/>
  <c r="D2672" i="16"/>
  <c r="C2672" i="16"/>
  <c r="D2674" i="16"/>
  <c r="C2674" i="16"/>
  <c r="F122" i="28" l="1"/>
  <c r="I2271" i="16"/>
  <c r="G73" i="22"/>
  <c r="H2272" i="16"/>
  <c r="F78" i="22" s="1"/>
  <c r="F77" i="22"/>
  <c r="D776" i="20"/>
  <c r="D777" i="20" s="1"/>
  <c r="H2835" i="16"/>
  <c r="F2873" i="16"/>
  <c r="D2670" i="16"/>
  <c r="C2670" i="16"/>
  <c r="I2272" i="16" l="1"/>
  <c r="G78" i="22" s="1"/>
  <c r="G77" i="22"/>
  <c r="D761" i="20"/>
  <c r="L2730" i="16"/>
  <c r="L2731" i="16" s="1"/>
  <c r="L2732" i="16"/>
  <c r="K2730" i="16"/>
  <c r="K2731" i="16" s="1"/>
  <c r="M2730" i="16"/>
  <c r="M2731" i="16" s="1"/>
  <c r="K2728" i="16"/>
  <c r="I2835" i="16"/>
  <c r="H2873" i="16" s="1"/>
  <c r="G2873" i="16"/>
  <c r="N2666" i="16"/>
  <c r="N2665" i="16"/>
  <c r="N2664" i="16"/>
  <c r="N2663" i="16"/>
  <c r="N2662" i="16"/>
  <c r="N2661" i="16"/>
  <c r="N2660" i="16"/>
  <c r="N2659" i="16"/>
  <c r="N2658" i="16"/>
  <c r="M2666" i="16"/>
  <c r="M2665" i="16"/>
  <c r="M2664" i="16"/>
  <c r="M2663" i="16"/>
  <c r="M2662" i="16"/>
  <c r="M2661" i="16"/>
  <c r="M2660" i="16"/>
  <c r="M2659" i="16"/>
  <c r="M2658" i="16"/>
  <c r="L2666" i="16"/>
  <c r="L2665" i="16"/>
  <c r="L2664" i="16"/>
  <c r="L2663" i="16"/>
  <c r="L2662" i="16"/>
  <c r="L2661" i="16"/>
  <c r="L2660" i="16"/>
  <c r="L2659" i="16"/>
  <c r="L2658" i="16"/>
  <c r="D763" i="20" l="1"/>
  <c r="D762" i="20"/>
  <c r="O2561" i="16"/>
  <c r="N2561" i="16"/>
  <c r="M2561" i="16"/>
  <c r="L2561" i="16"/>
  <c r="K2561" i="16"/>
  <c r="J2561" i="16"/>
  <c r="K2580" i="16" l="1"/>
  <c r="J2580" i="16"/>
  <c r="I2583" i="16"/>
  <c r="AC198" i="20"/>
  <c r="AC196" i="20"/>
  <c r="AC197" i="20"/>
  <c r="E148" i="5" l="1"/>
  <c r="D148" i="5"/>
  <c r="C148" i="5"/>
  <c r="E146" i="5"/>
  <c r="D146" i="5"/>
  <c r="C146" i="5"/>
  <c r="D149" i="5" l="1"/>
  <c r="C149" i="5"/>
  <c r="C147" i="5"/>
  <c r="D147" i="5"/>
  <c r="C2510" i="8"/>
  <c r="Q808" i="20" l="1"/>
  <c r="D787" i="20" s="1"/>
  <c r="D789" i="20"/>
  <c r="D790" i="20"/>
  <c r="AD327" i="12"/>
  <c r="AD231" i="12"/>
  <c r="R590" i="20"/>
  <c r="AC393" i="20"/>
  <c r="AC366" i="20"/>
  <c r="AC320" i="20"/>
  <c r="AC314" i="20"/>
  <c r="BU17" i="20"/>
  <c r="H1095" i="20" s="1"/>
  <c r="BU15" i="20"/>
  <c r="H1094" i="20" s="1"/>
  <c r="BU14" i="20"/>
  <c r="H1093" i="20" s="1"/>
  <c r="BU13" i="20"/>
  <c r="H1092" i="20" s="1"/>
  <c r="H1075" i="20" s="1"/>
  <c r="BU12" i="20"/>
  <c r="H1091" i="20" s="1"/>
  <c r="BU8" i="20"/>
  <c r="H1087" i="20" s="1"/>
  <c r="BU5" i="20"/>
  <c r="H1086" i="20" s="1"/>
  <c r="H1070" i="20"/>
  <c r="BX104" i="20"/>
  <c r="H1062" i="20" s="1"/>
  <c r="BX103" i="20"/>
  <c r="H1061" i="20" s="1"/>
  <c r="BX100" i="20"/>
  <c r="H1058" i="20" s="1"/>
  <c r="BX99" i="20"/>
  <c r="H1057" i="20" s="1"/>
  <c r="BX96" i="20"/>
  <c r="H1054" i="20" s="1"/>
  <c r="BX94" i="20"/>
  <c r="H1052" i="20" s="1"/>
  <c r="BX93" i="20"/>
  <c r="H1051" i="20" s="1"/>
  <c r="BX92" i="20"/>
  <c r="H1050" i="20" s="1"/>
  <c r="AC105" i="20"/>
  <c r="AC101" i="20"/>
  <c r="AC95" i="20"/>
  <c r="G226" i="23" s="1"/>
  <c r="AC11" i="20"/>
  <c r="AC9" i="20"/>
  <c r="BY9" i="20" s="1"/>
  <c r="AD317" i="12"/>
  <c r="AC233" i="20" s="1"/>
  <c r="B271" i="29" s="1"/>
  <c r="AD383" i="12"/>
  <c r="AD316" i="12"/>
  <c r="Q807" i="20" s="1"/>
  <c r="D786" i="20" s="1"/>
  <c r="AC19" i="20"/>
  <c r="B273" i="29" l="1"/>
  <c r="B277" i="29" s="1"/>
  <c r="C290" i="29"/>
  <c r="AD232" i="12"/>
  <c r="D3915" i="16"/>
  <c r="C41" i="28"/>
  <c r="C64" i="28" s="1"/>
  <c r="G125" i="28"/>
  <c r="AC56" i="20"/>
  <c r="AF366" i="20"/>
  <c r="AF320" i="20"/>
  <c r="AF321" i="20" s="1"/>
  <c r="AF11" i="20"/>
  <c r="BY11" i="20"/>
  <c r="Q848" i="20"/>
  <c r="AC18" i="20"/>
  <c r="AC396" i="20"/>
  <c r="AD395" i="20"/>
  <c r="AC321" i="20"/>
  <c r="AC324" i="20" s="1"/>
  <c r="AC10" i="20"/>
  <c r="E2780" i="16"/>
  <c r="AC97" i="20"/>
  <c r="AC106" i="20" s="1"/>
  <c r="R555" i="20"/>
  <c r="AC242" i="20"/>
  <c r="B128" i="29" s="1"/>
  <c r="B130" i="29" s="1"/>
  <c r="B134" i="29" s="1"/>
  <c r="AC239" i="20"/>
  <c r="CN488" i="20"/>
  <c r="R588" i="20" s="1"/>
  <c r="CN487" i="20"/>
  <c r="R586" i="20" s="1"/>
  <c r="CN486" i="20"/>
  <c r="R585" i="20" s="1"/>
  <c r="CN485" i="20"/>
  <c r="R584" i="20" s="1"/>
  <c r="CN482" i="20"/>
  <c r="R583" i="20" s="1"/>
  <c r="CN481" i="20"/>
  <c r="R582" i="20" s="1"/>
  <c r="CN480" i="20"/>
  <c r="CN466" i="20"/>
  <c r="R579" i="20" s="1"/>
  <c r="CN465" i="20"/>
  <c r="R577" i="20" s="1"/>
  <c r="CN464" i="20"/>
  <c r="R576" i="20" s="1"/>
  <c r="CN463" i="20"/>
  <c r="R575" i="20" s="1"/>
  <c r="CN460" i="20"/>
  <c r="R574" i="20" s="1"/>
  <c r="CN459" i="20"/>
  <c r="R573" i="20" s="1"/>
  <c r="CN458" i="20"/>
  <c r="CN455" i="20"/>
  <c r="R570" i="20" s="1"/>
  <c r="CN454" i="20"/>
  <c r="R568" i="20" s="1"/>
  <c r="CN453" i="20"/>
  <c r="R567" i="20" s="1"/>
  <c r="CN452" i="20"/>
  <c r="R566" i="20" s="1"/>
  <c r="CN448" i="20"/>
  <c r="R565" i="20" s="1"/>
  <c r="CN447" i="20"/>
  <c r="R564" i="20" s="1"/>
  <c r="CN446" i="20"/>
  <c r="CN443" i="20"/>
  <c r="R560" i="20" s="1"/>
  <c r="CN442" i="20"/>
  <c r="R559" i="20" s="1"/>
  <c r="CN441" i="20"/>
  <c r="R558" i="20" s="1"/>
  <c r="CN437" i="20"/>
  <c r="R557" i="20" s="1"/>
  <c r="CN436" i="20"/>
  <c r="R556" i="20" s="1"/>
  <c r="CN435" i="20"/>
  <c r="CN432" i="20"/>
  <c r="R553" i="20" s="1"/>
  <c r="CN431" i="20"/>
  <c r="R551" i="20" s="1"/>
  <c r="CN430" i="20"/>
  <c r="R550" i="20" s="1"/>
  <c r="CN429" i="20"/>
  <c r="R549" i="20" s="1"/>
  <c r="CN425" i="20"/>
  <c r="R548" i="20" s="1"/>
  <c r="CN424" i="20"/>
  <c r="R547" i="20" s="1"/>
  <c r="CN423" i="20"/>
  <c r="CN420" i="20"/>
  <c r="R544" i="20" s="1"/>
  <c r="CN419" i="20"/>
  <c r="R542" i="20" s="1"/>
  <c r="CN418" i="20"/>
  <c r="R541" i="20" s="1"/>
  <c r="CN417" i="20"/>
  <c r="R540" i="20" s="1"/>
  <c r="CN414" i="20"/>
  <c r="R539" i="20" s="1"/>
  <c r="CN413" i="20"/>
  <c r="R538" i="20" s="1"/>
  <c r="CN412" i="20"/>
  <c r="R533" i="20"/>
  <c r="R532" i="20"/>
  <c r="R531" i="20"/>
  <c r="R530" i="20"/>
  <c r="R529" i="20"/>
  <c r="AD339" i="12"/>
  <c r="AD338" i="12"/>
  <c r="AD332" i="12"/>
  <c r="AD347" i="12"/>
  <c r="R521" i="20" s="1"/>
  <c r="AD346" i="12"/>
  <c r="R520" i="20" s="1"/>
  <c r="AD345" i="12"/>
  <c r="R519" i="20" s="1"/>
  <c r="AD344" i="12"/>
  <c r="R518" i="20" s="1"/>
  <c r="AD343" i="12"/>
  <c r="R517" i="20" s="1"/>
  <c r="R516" i="20"/>
  <c r="R528" i="20" s="1"/>
  <c r="AD268" i="12"/>
  <c r="AH270" i="12" s="1"/>
  <c r="AD244" i="12"/>
  <c r="R514" i="20" s="1"/>
  <c r="AD243" i="12"/>
  <c r="R512" i="20" s="1"/>
  <c r="AD242" i="12"/>
  <c r="R511" i="20" s="1"/>
  <c r="AD241" i="12"/>
  <c r="R510" i="20" s="1"/>
  <c r="AD240" i="12"/>
  <c r="R509" i="20" s="1"/>
  <c r="AD239" i="12"/>
  <c r="R508" i="20" s="1"/>
  <c r="AD238" i="12"/>
  <c r="AD235" i="12"/>
  <c r="AD223" i="12"/>
  <c r="AD322" i="12" s="1"/>
  <c r="S498" i="20"/>
  <c r="S497" i="20"/>
  <c r="S496" i="20"/>
  <c r="S495" i="20"/>
  <c r="S493" i="20"/>
  <c r="S492" i="20"/>
  <c r="S491" i="20"/>
  <c r="S500" i="20" s="1"/>
  <c r="S483" i="20"/>
  <c r="S472" i="20"/>
  <c r="S473" i="20" s="1"/>
  <c r="S461" i="20"/>
  <c r="S450" i="20"/>
  <c r="S449" i="20"/>
  <c r="S439" i="20"/>
  <c r="S438" i="20"/>
  <c r="S427" i="20"/>
  <c r="S426" i="20"/>
  <c r="S415" i="20"/>
  <c r="CO415" i="20" s="1"/>
  <c r="AC333" i="20"/>
  <c r="AC190" i="20"/>
  <c r="AC216" i="20" s="1"/>
  <c r="AC189" i="20"/>
  <c r="AC284" i="20" s="1"/>
  <c r="AC331" i="20" s="1"/>
  <c r="AC390" i="20" s="1"/>
  <c r="AC90" i="20"/>
  <c r="AC75" i="20"/>
  <c r="AC68" i="20"/>
  <c r="AC79" i="20" s="1"/>
  <c r="AC60" i="20"/>
  <c r="AH61" i="20" s="1"/>
  <c r="AC16" i="20"/>
  <c r="R596" i="20" l="1"/>
  <c r="AF16" i="20"/>
  <c r="AG16" i="20" s="1"/>
  <c r="CB11" i="20"/>
  <c r="R591" i="20"/>
  <c r="R592" i="20"/>
  <c r="R594" i="20"/>
  <c r="R595" i="20"/>
  <c r="R572" i="20"/>
  <c r="R581" i="20" s="1"/>
  <c r="R563" i="20"/>
  <c r="R599" i="20"/>
  <c r="K136" i="28"/>
  <c r="C39" i="28"/>
  <c r="C62" i="28" s="1"/>
  <c r="G124" i="28"/>
  <c r="D792" i="20" s="1"/>
  <c r="C40" i="28"/>
  <c r="C63" i="28" s="1"/>
  <c r="G123" i="28"/>
  <c r="D791" i="20" s="1"/>
  <c r="AC304" i="20"/>
  <c r="AC260" i="20"/>
  <c r="AC20" i="20"/>
  <c r="B270" i="29" s="1"/>
  <c r="C32" i="28"/>
  <c r="C87" i="28"/>
  <c r="AC303" i="20"/>
  <c r="AF324" i="20"/>
  <c r="AF352" i="20" s="1"/>
  <c r="AF359" i="20" s="1"/>
  <c r="AF327" i="20"/>
  <c r="AC153" i="20"/>
  <c r="AC154" i="20" s="1"/>
  <c r="BY10" i="20"/>
  <c r="C2913" i="16"/>
  <c r="AX353" i="12"/>
  <c r="AX376" i="12" s="1"/>
  <c r="AC191" i="20"/>
  <c r="AC346" i="20" s="1"/>
  <c r="AD269" i="12"/>
  <c r="E2781" i="16"/>
  <c r="H2781" i="16" s="1"/>
  <c r="AC352" i="20"/>
  <c r="AC359" i="20" s="1"/>
  <c r="BX91" i="20"/>
  <c r="H1049" i="20" s="1"/>
  <c r="H1066" i="20" s="1"/>
  <c r="H1074" i="20" s="1"/>
  <c r="AC109" i="20"/>
  <c r="CA109" i="20" s="1"/>
  <c r="AE348" i="12"/>
  <c r="AE375" i="12"/>
  <c r="AC327" i="20"/>
  <c r="S440" i="20"/>
  <c r="CO439" i="20"/>
  <c r="S484" i="20"/>
  <c r="CO483" i="20"/>
  <c r="S428" i="20"/>
  <c r="CO427" i="20"/>
  <c r="S451" i="20"/>
  <c r="CO450" i="20"/>
  <c r="S462" i="20"/>
  <c r="CO461" i="20"/>
  <c r="AC368" i="20"/>
  <c r="AD340" i="12"/>
  <c r="D2510" i="8"/>
  <c r="G2780" i="16"/>
  <c r="H2780" i="16"/>
  <c r="AC217" i="20"/>
  <c r="K2732" i="16"/>
  <c r="AC62" i="20"/>
  <c r="AC199" i="20" s="1"/>
  <c r="AC200" i="20" s="1"/>
  <c r="R561" i="20"/>
  <c r="AD246" i="12"/>
  <c r="AW245" i="12" s="1"/>
  <c r="R552" i="20"/>
  <c r="R578" i="20"/>
  <c r="AC345" i="20"/>
  <c r="Q805" i="20"/>
  <c r="R543" i="20"/>
  <c r="R569" i="20"/>
  <c r="R587" i="20"/>
  <c r="AC107" i="20"/>
  <c r="S494" i="20"/>
  <c r="AC208" i="20"/>
  <c r="R513" i="20"/>
  <c r="R534" i="20"/>
  <c r="R522" i="20"/>
  <c r="AD273" i="12"/>
  <c r="J2666" i="16"/>
  <c r="J2665" i="16"/>
  <c r="J2664" i="16"/>
  <c r="J2663" i="16"/>
  <c r="J2662" i="16"/>
  <c r="J2661" i="16"/>
  <c r="J2660" i="16"/>
  <c r="J2659" i="16"/>
  <c r="J2658" i="16"/>
  <c r="J2655" i="16"/>
  <c r="I2655" i="16"/>
  <c r="C33" i="28" l="1"/>
  <c r="C49" i="28" s="1"/>
  <c r="BW20" i="20"/>
  <c r="R597" i="20"/>
  <c r="R601" i="20" s="1"/>
  <c r="AC21" i="20"/>
  <c r="AC193" i="20" s="1"/>
  <c r="D793" i="20"/>
  <c r="C48" i="28"/>
  <c r="D785" i="20"/>
  <c r="G126" i="28"/>
  <c r="C86" i="28"/>
  <c r="C71" i="28"/>
  <c r="AC192" i="20"/>
  <c r="Q809" i="20" s="1"/>
  <c r="AD358" i="20"/>
  <c r="G2781" i="16"/>
  <c r="H1085" i="20"/>
  <c r="C2809" i="16"/>
  <c r="J2781" i="16"/>
  <c r="C2808" i="16"/>
  <c r="J2780" i="16"/>
  <c r="Q806" i="20"/>
  <c r="C72" i="28" l="1"/>
  <c r="C34" i="28"/>
  <c r="AG21" i="20"/>
  <c r="AD368" i="20"/>
  <c r="AD378" i="20"/>
  <c r="AD377" i="20"/>
  <c r="AC150" i="20"/>
  <c r="AC149" i="20"/>
  <c r="AC194" i="20"/>
  <c r="Q810" i="20" s="1"/>
  <c r="AC287" i="20"/>
  <c r="AE358" i="20"/>
  <c r="AC347" i="20" l="1"/>
  <c r="AE368" i="20"/>
  <c r="AE378" i="20"/>
  <c r="AE377" i="20"/>
  <c r="D784" i="20"/>
  <c r="AF358" i="20"/>
  <c r="C2685" i="16"/>
  <c r="AF368" i="20" l="1"/>
  <c r="AF378" i="20"/>
  <c r="AF377" i="20"/>
  <c r="D2692" i="16"/>
  <c r="E2699" i="16" l="1"/>
  <c r="B2694" i="16"/>
  <c r="B2695" i="16" s="1"/>
  <c r="B2696" i="16" s="1"/>
  <c r="B2697" i="16" s="1"/>
  <c r="B2698" i="16" s="1"/>
  <c r="B2699" i="16" s="1"/>
  <c r="B2700" i="16" s="1"/>
  <c r="B2701" i="16" s="1"/>
  <c r="E2700" i="16"/>
  <c r="W2624" i="16"/>
  <c r="W2621" i="16"/>
  <c r="W2617" i="16"/>
  <c r="W2622" i="16"/>
  <c r="W2618" i="16"/>
  <c r="W2620" i="16"/>
  <c r="D2682" i="16"/>
  <c r="E2682" i="16" s="1"/>
  <c r="F2682" i="16" s="1"/>
  <c r="G2682" i="16" s="1"/>
  <c r="H2682" i="16" s="1"/>
  <c r="H2666" i="16" l="1"/>
  <c r="H2663" i="16"/>
  <c r="H2665" i="16"/>
  <c r="H2662" i="16"/>
  <c r="H2664" i="16"/>
  <c r="H2661" i="16"/>
  <c r="H2660" i="16"/>
  <c r="H2659" i="16"/>
  <c r="H2658" i="16"/>
  <c r="I2666" i="16"/>
  <c r="I2663" i="16"/>
  <c r="I2665" i="16"/>
  <c r="I2662" i="16"/>
  <c r="I2664" i="16"/>
  <c r="I2661" i="16"/>
  <c r="I2660" i="16"/>
  <c r="I2659" i="16"/>
  <c r="I2658" i="16"/>
  <c r="G2625" i="16" l="1"/>
  <c r="B2652" i="16" l="1"/>
  <c r="B2650" i="16"/>
  <c r="B2648" i="16"/>
  <c r="B2646" i="16"/>
  <c r="B2644" i="16"/>
  <c r="B2642" i="16"/>
  <c r="B2640" i="16"/>
  <c r="B2638" i="16"/>
  <c r="B2637" i="16"/>
  <c r="B2635" i="16"/>
  <c r="F2634" i="16"/>
  <c r="H2634" i="16" s="1"/>
  <c r="J2634" i="16" s="1"/>
  <c r="L2634" i="16" s="1"/>
  <c r="E2634" i="16"/>
  <c r="G2634" i="16" s="1"/>
  <c r="I2634" i="16" s="1"/>
  <c r="K2634" i="16" s="1"/>
  <c r="G2623" i="16"/>
  <c r="E2621" i="16"/>
  <c r="O2620" i="16"/>
  <c r="P2620" i="16" s="1"/>
  <c r="N2619" i="16"/>
  <c r="N2621" i="16" s="1"/>
  <c r="C2617" i="16"/>
  <c r="G2617" i="16" s="1"/>
  <c r="P2615" i="16"/>
  <c r="O2615" i="16"/>
  <c r="C2613" i="16" s="1"/>
  <c r="N2615" i="16"/>
  <c r="E2613" i="16" s="1"/>
  <c r="D2613" i="16" s="1"/>
  <c r="C2615" i="16"/>
  <c r="Q2613" i="16"/>
  <c r="O2621" i="16" l="1"/>
  <c r="C2619" i="16" s="1"/>
  <c r="D2619" i="16"/>
  <c r="E2619" i="16" s="1"/>
  <c r="P2619" i="16"/>
  <c r="F2621" i="16"/>
  <c r="F2613" i="16"/>
  <c r="G2613" i="16" s="1"/>
  <c r="D2598" i="16"/>
  <c r="E2598" i="16" s="1"/>
  <c r="F2598" i="16" s="1"/>
  <c r="G2598" i="16" s="1"/>
  <c r="H2598" i="16" s="1"/>
  <c r="D2589" i="16"/>
  <c r="E2589" i="16" s="1"/>
  <c r="F2589" i="16" s="1"/>
  <c r="G2589" i="16" s="1"/>
  <c r="H2589" i="16" s="1"/>
  <c r="D2583" i="16"/>
  <c r="E2583" i="16" s="1"/>
  <c r="F2583" i="16" s="1"/>
  <c r="G2583" i="16" s="1"/>
  <c r="H2583" i="16" s="1"/>
  <c r="G2621" i="16" l="1"/>
  <c r="W2623" i="16"/>
  <c r="P2621" i="16"/>
  <c r="G2619" i="16"/>
  <c r="N2504" i="16"/>
  <c r="N2522" i="16" s="1"/>
  <c r="B2573" i="16" l="1"/>
  <c r="B2572" i="16"/>
  <c r="B2571" i="16"/>
  <c r="B2558" i="16" l="1"/>
  <c r="D2552" i="16"/>
  <c r="B2545" i="16"/>
  <c r="D2539" i="16"/>
  <c r="E2539" i="16" s="1"/>
  <c r="F2539" i="16" s="1"/>
  <c r="G2539" i="16" s="1"/>
  <c r="H2539" i="16" s="1"/>
  <c r="B2544" i="16"/>
  <c r="B2557" i="16" s="1"/>
  <c r="B2569" i="16" s="1"/>
  <c r="B2543" i="16"/>
  <c r="B2556" i="16" s="1"/>
  <c r="B2568" i="16" s="1"/>
  <c r="B2542" i="16"/>
  <c r="B2555" i="16" s="1"/>
  <c r="B2567" i="16" s="1"/>
  <c r="B2541" i="16"/>
  <c r="B2554" i="16" s="1"/>
  <c r="B2566" i="16" s="1"/>
  <c r="B2540" i="16"/>
  <c r="B2553" i="16" s="1"/>
  <c r="B2565" i="16" s="1"/>
  <c r="J2514" i="16"/>
  <c r="I2514" i="16"/>
  <c r="H2514" i="16"/>
  <c r="G2514" i="16"/>
  <c r="F2514" i="16"/>
  <c r="J2510" i="16"/>
  <c r="I2510" i="16"/>
  <c r="H2510" i="16"/>
  <c r="G2510" i="16"/>
  <c r="F2510" i="16"/>
  <c r="J2521" i="16"/>
  <c r="I2521" i="16"/>
  <c r="C2514" i="16"/>
  <c r="J2523" i="16"/>
  <c r="I2523" i="16"/>
  <c r="H2523" i="16"/>
  <c r="G2523" i="16"/>
  <c r="F2523" i="16"/>
  <c r="E2523" i="16"/>
  <c r="D2523" i="16"/>
  <c r="E2552" i="16" l="1"/>
  <c r="D2564" i="16"/>
  <c r="D2376" i="16"/>
  <c r="D2357" i="16"/>
  <c r="C2357" i="16"/>
  <c r="D2355" i="16"/>
  <c r="E2364" i="16"/>
  <c r="D2364" i="16"/>
  <c r="G2279" i="16" l="1"/>
  <c r="F2552" i="16"/>
  <c r="E2564" i="16"/>
  <c r="C2534" i="16"/>
  <c r="C2535" i="16" s="1"/>
  <c r="D2529" i="16" s="1"/>
  <c r="C2189" i="16"/>
  <c r="G2281" i="16" l="1"/>
  <c r="G2284" i="16"/>
  <c r="G2552" i="16"/>
  <c r="F2564" i="16"/>
  <c r="D2531" i="16"/>
  <c r="D2532" i="16"/>
  <c r="D2533" i="16"/>
  <c r="D2530" i="16"/>
  <c r="D2534" i="16"/>
  <c r="C2190" i="16"/>
  <c r="E2503" i="16"/>
  <c r="F2503" i="16" s="1"/>
  <c r="G2503" i="16" s="1"/>
  <c r="H2503" i="16" s="1"/>
  <c r="I2503" i="16" s="1"/>
  <c r="J2503" i="16" s="1"/>
  <c r="C2503" i="16"/>
  <c r="B2520" i="16"/>
  <c r="B2516" i="16"/>
  <c r="B2512" i="16"/>
  <c r="B2508" i="16"/>
  <c r="B2504" i="16"/>
  <c r="K617" i="4"/>
  <c r="K616" i="4"/>
  <c r="K614" i="4"/>
  <c r="K611" i="4"/>
  <c r="K610" i="4"/>
  <c r="K607" i="4"/>
  <c r="K606" i="4"/>
  <c r="K601" i="4"/>
  <c r="K598" i="4"/>
  <c r="O584" i="4"/>
  <c r="M581" i="4"/>
  <c r="N581" i="4" s="1"/>
  <c r="O581" i="4" s="1"/>
  <c r="O577" i="4"/>
  <c r="K567" i="4"/>
  <c r="K599" i="4" s="1"/>
  <c r="L564" i="4"/>
  <c r="M564" i="4" s="1"/>
  <c r="B586" i="4"/>
  <c r="B585" i="4"/>
  <c r="B584" i="4"/>
  <c r="B617" i="4" s="1"/>
  <c r="B583" i="4"/>
  <c r="B616" i="4" s="1"/>
  <c r="B581" i="4"/>
  <c r="B614" i="4" s="1"/>
  <c r="B577" i="4"/>
  <c r="B610" i="4" s="1"/>
  <c r="B576" i="4"/>
  <c r="B609" i="4" s="1"/>
  <c r="B575" i="4"/>
  <c r="B574" i="4"/>
  <c r="B573" i="4"/>
  <c r="B605" i="4" s="1"/>
  <c r="B570" i="4"/>
  <c r="B602" i="4" s="1"/>
  <c r="B569" i="4"/>
  <c r="B601" i="4" s="1"/>
  <c r="B568" i="4"/>
  <c r="B600" i="4" s="1"/>
  <c r="B567" i="4"/>
  <c r="B599" i="4" s="1"/>
  <c r="B566" i="4"/>
  <c r="B598" i="4" s="1"/>
  <c r="P518" i="4"/>
  <c r="Q518" i="4" s="1"/>
  <c r="P517" i="4"/>
  <c r="M515" i="4"/>
  <c r="P511" i="4"/>
  <c r="Q511" i="4" s="1"/>
  <c r="R511" i="4" s="1"/>
  <c r="S511" i="4" s="1"/>
  <c r="T511" i="4" s="1"/>
  <c r="U511" i="4" s="1"/>
  <c r="V511" i="4" s="1"/>
  <c r="M509" i="4"/>
  <c r="N509" i="4" s="1"/>
  <c r="O509" i="4" s="1"/>
  <c r="M508" i="4"/>
  <c r="M507" i="4"/>
  <c r="N507" i="4" s="1"/>
  <c r="O507" i="4" s="1"/>
  <c r="P507" i="4" s="1"/>
  <c r="Q507" i="4" s="1"/>
  <c r="M504" i="4"/>
  <c r="N504" i="4" s="1"/>
  <c r="O504" i="4" s="1"/>
  <c r="M503" i="4"/>
  <c r="N503" i="4" s="1"/>
  <c r="M500" i="4"/>
  <c r="N500" i="4" s="1"/>
  <c r="O500" i="4" s="1"/>
  <c r="P500" i="4" s="1"/>
  <c r="Q500" i="4" s="1"/>
  <c r="B550" i="4"/>
  <c r="B549" i="4"/>
  <c r="B548" i="4"/>
  <c r="B546" i="4"/>
  <c r="B542" i="4"/>
  <c r="B541" i="4"/>
  <c r="B540" i="4"/>
  <c r="B539" i="4"/>
  <c r="B538" i="4"/>
  <c r="B535" i="4"/>
  <c r="B534" i="4"/>
  <c r="B533" i="4"/>
  <c r="B532" i="4"/>
  <c r="B531" i="4"/>
  <c r="B530" i="4"/>
  <c r="K502" i="4"/>
  <c r="K325" i="4"/>
  <c r="G90" i="24"/>
  <c r="J74" i="5"/>
  <c r="K318" i="4"/>
  <c r="K350" i="4" s="1"/>
  <c r="K320" i="4"/>
  <c r="K322" i="4" s="1"/>
  <c r="J70" i="5"/>
  <c r="J77" i="5" s="1"/>
  <c r="J73" i="5"/>
  <c r="J80" i="5" s="1"/>
  <c r="J72" i="5"/>
  <c r="J79" i="5" s="1"/>
  <c r="J71" i="5"/>
  <c r="J78" i="5" s="1"/>
  <c r="K384" i="4"/>
  <c r="K22" i="4"/>
  <c r="K357" i="4"/>
  <c r="E48" i="22"/>
  <c r="E30" i="22"/>
  <c r="D30" i="22"/>
  <c r="G53" i="25"/>
  <c r="G49" i="25"/>
  <c r="G50" i="25" s="1"/>
  <c r="G19" i="25"/>
  <c r="G17" i="25"/>
  <c r="G15" i="25"/>
  <c r="G9" i="25"/>
  <c r="G6" i="25"/>
  <c r="G61" i="24"/>
  <c r="AC358" i="12"/>
  <c r="AC356" i="12"/>
  <c r="AC355" i="12"/>
  <c r="AC354" i="12"/>
  <c r="BA354" i="12" s="1"/>
  <c r="AB362" i="12"/>
  <c r="Z144" i="20" s="1"/>
  <c r="AB357" i="12"/>
  <c r="AA362" i="12"/>
  <c r="Y144" i="20" s="1"/>
  <c r="AA357" i="12"/>
  <c r="Z138" i="20"/>
  <c r="Z136" i="20"/>
  <c r="Z135" i="20"/>
  <c r="Z134" i="20"/>
  <c r="Z133" i="20"/>
  <c r="Z132" i="20"/>
  <c r="Y138" i="20"/>
  <c r="Y136" i="20"/>
  <c r="Y135" i="20"/>
  <c r="Y134" i="20"/>
  <c r="Y133" i="20"/>
  <c r="Y132" i="20"/>
  <c r="X136" i="20"/>
  <c r="AA116" i="20"/>
  <c r="CD116" i="20" s="1"/>
  <c r="AA114" i="20"/>
  <c r="CD114" i="20" s="1"/>
  <c r="AA113" i="20"/>
  <c r="CD113" i="20" s="1"/>
  <c r="AA112" i="20"/>
  <c r="CD112" i="20" s="1"/>
  <c r="AA111" i="20"/>
  <c r="CD111" i="20" s="1"/>
  <c r="D3172" i="16" s="1"/>
  <c r="AA110" i="20"/>
  <c r="CD110" i="20" s="1"/>
  <c r="Z127" i="20"/>
  <c r="Z126" i="20"/>
  <c r="Z125" i="20"/>
  <c r="Z124" i="20"/>
  <c r="Z118" i="20"/>
  <c r="CC118" i="20" s="1"/>
  <c r="Z115" i="20"/>
  <c r="CC115" i="20" s="1"/>
  <c r="G27" i="24"/>
  <c r="G22" i="24"/>
  <c r="G20" i="24"/>
  <c r="G18" i="24"/>
  <c r="G11" i="24"/>
  <c r="G6" i="24"/>
  <c r="AA333" i="20"/>
  <c r="F242" i="23"/>
  <c r="F236" i="23"/>
  <c r="F233" i="23"/>
  <c r="F171" i="23"/>
  <c r="F176" i="23"/>
  <c r="F170" i="23"/>
  <c r="F168" i="23"/>
  <c r="F166" i="23"/>
  <c r="F160" i="23"/>
  <c r="F151" i="23"/>
  <c r="F148" i="23"/>
  <c r="F139" i="23"/>
  <c r="F134" i="23"/>
  <c r="F133" i="23"/>
  <c r="F131" i="23"/>
  <c r="F129" i="23"/>
  <c r="F123" i="23"/>
  <c r="F114" i="23"/>
  <c r="F106" i="23"/>
  <c r="F102" i="23"/>
  <c r="F97" i="23"/>
  <c r="F96" i="23"/>
  <c r="F94" i="23"/>
  <c r="F92" i="23"/>
  <c r="F86" i="23"/>
  <c r="F77" i="23"/>
  <c r="F74" i="23"/>
  <c r="F65" i="23"/>
  <c r="F60" i="23"/>
  <c r="F62" i="23" s="1"/>
  <c r="F59" i="23"/>
  <c r="F57" i="23"/>
  <c r="F55" i="23"/>
  <c r="F49" i="23"/>
  <c r="F31" i="23"/>
  <c r="G32" i="23" s="1"/>
  <c r="F22" i="23"/>
  <c r="F16" i="23"/>
  <c r="F12" i="23"/>
  <c r="F14" i="23"/>
  <c r="F6" i="23"/>
  <c r="R549" i="4" l="1"/>
  <c r="R518" i="4" s="1"/>
  <c r="S518" i="4" s="1"/>
  <c r="T518" i="4" s="1"/>
  <c r="U518" i="4" s="1"/>
  <c r="V518" i="4" s="1"/>
  <c r="Q548" i="4"/>
  <c r="Q517" i="4" s="1"/>
  <c r="M608" i="4"/>
  <c r="O617" i="4"/>
  <c r="O610" i="4"/>
  <c r="P581" i="4"/>
  <c r="O614" i="4"/>
  <c r="P577" i="4"/>
  <c r="P610" i="4" s="1"/>
  <c r="P509" i="4"/>
  <c r="Q509" i="4" s="1"/>
  <c r="R509" i="4" s="1"/>
  <c r="S509" i="4" s="1"/>
  <c r="T509" i="4" s="1"/>
  <c r="U509" i="4" s="1"/>
  <c r="V509" i="4" s="1"/>
  <c r="O606" i="4"/>
  <c r="P510" i="4"/>
  <c r="O607" i="4"/>
  <c r="P584" i="4"/>
  <c r="P504" i="4"/>
  <c r="Q504" i="4" s="1"/>
  <c r="R504" i="4" s="1"/>
  <c r="S504" i="4" s="1"/>
  <c r="T504" i="4" s="1"/>
  <c r="U504" i="4" s="1"/>
  <c r="V504" i="4" s="1"/>
  <c r="O601" i="4"/>
  <c r="B606" i="4"/>
  <c r="B608" i="4"/>
  <c r="B607" i="4"/>
  <c r="O503" i="4"/>
  <c r="R507" i="4"/>
  <c r="R605" i="4" s="1"/>
  <c r="R500" i="4"/>
  <c r="L326" i="4"/>
  <c r="G2285" i="16"/>
  <c r="E85" i="22"/>
  <c r="F99" i="23"/>
  <c r="G98" i="23"/>
  <c r="F136" i="23"/>
  <c r="G135" i="23"/>
  <c r="F173" i="23"/>
  <c r="G172" i="23"/>
  <c r="AB359" i="12"/>
  <c r="AZ359" i="12" s="1"/>
  <c r="AZ357" i="12"/>
  <c r="AC379" i="12"/>
  <c r="BA379" i="12" s="1"/>
  <c r="BA356" i="12"/>
  <c r="AC378" i="12"/>
  <c r="BA378" i="12" s="1"/>
  <c r="BA355" i="12"/>
  <c r="D3167" i="16" s="1"/>
  <c r="AA359" i="12"/>
  <c r="AY359" i="12" s="1"/>
  <c r="AY357" i="12"/>
  <c r="AA141" i="20"/>
  <c r="AC377" i="12"/>
  <c r="BA377" i="12" s="1"/>
  <c r="D2508" i="16"/>
  <c r="O2508" i="16" s="1"/>
  <c r="G234" i="23"/>
  <c r="E2510" i="16" s="1"/>
  <c r="D2512" i="16"/>
  <c r="O2512" i="16" s="1"/>
  <c r="G237" i="23"/>
  <c r="E2514" i="16" s="1"/>
  <c r="D2520" i="16"/>
  <c r="G243" i="23"/>
  <c r="E2521" i="16" s="1"/>
  <c r="AE366" i="12"/>
  <c r="AD145" i="20" s="1"/>
  <c r="AD366" i="12"/>
  <c r="AC145" i="20" s="1"/>
  <c r="AA125" i="20"/>
  <c r="AA138" i="20"/>
  <c r="G46" i="24"/>
  <c r="H47" i="24" s="1"/>
  <c r="AA124" i="20"/>
  <c r="AA136" i="20"/>
  <c r="Z137" i="20"/>
  <c r="AA126" i="20"/>
  <c r="G29" i="25"/>
  <c r="AA142" i="20"/>
  <c r="G34" i="25"/>
  <c r="AA143" i="20"/>
  <c r="L610" i="4"/>
  <c r="J75" i="5"/>
  <c r="AA393" i="20" s="1"/>
  <c r="AA396" i="20" s="1"/>
  <c r="F66" i="23"/>
  <c r="F103" i="23"/>
  <c r="P598" i="4"/>
  <c r="M605" i="4"/>
  <c r="Q598" i="4"/>
  <c r="N605" i="4"/>
  <c r="M614" i="4"/>
  <c r="L598" i="4"/>
  <c r="Q605" i="4"/>
  <c r="L614" i="4"/>
  <c r="M598" i="4"/>
  <c r="N601" i="4"/>
  <c r="M616" i="4"/>
  <c r="M599" i="4"/>
  <c r="N564" i="4"/>
  <c r="N606" i="4"/>
  <c r="K309" i="4"/>
  <c r="L607" i="4"/>
  <c r="L611" i="4"/>
  <c r="L599" i="4"/>
  <c r="N598" i="4"/>
  <c r="L601" i="4"/>
  <c r="L606" i="4"/>
  <c r="M607" i="4"/>
  <c r="M611" i="4"/>
  <c r="N614" i="4"/>
  <c r="L616" i="4"/>
  <c r="N617" i="4"/>
  <c r="L617" i="4"/>
  <c r="M617" i="4"/>
  <c r="O598" i="4"/>
  <c r="M601" i="4"/>
  <c r="L605" i="4"/>
  <c r="P605" i="4"/>
  <c r="M606" i="4"/>
  <c r="N607" i="4"/>
  <c r="N611" i="4"/>
  <c r="H2552" i="16"/>
  <c r="H2564" i="16" s="1"/>
  <c r="G2564" i="16"/>
  <c r="AA132" i="20"/>
  <c r="AA127" i="20"/>
  <c r="Z117" i="20"/>
  <c r="CC117" i="20" s="1"/>
  <c r="AA133" i="20"/>
  <c r="AA118" i="20"/>
  <c r="CD118" i="20" s="1"/>
  <c r="AA134" i="20"/>
  <c r="G31" i="24"/>
  <c r="H32" i="24" s="1"/>
  <c r="G41" i="24"/>
  <c r="AA115" i="20"/>
  <c r="CD115" i="20" s="1"/>
  <c r="AA135" i="20"/>
  <c r="G36" i="24"/>
  <c r="H37" i="24" s="1"/>
  <c r="AC357" i="12"/>
  <c r="G24" i="25"/>
  <c r="R548" i="4" l="1"/>
  <c r="R558" i="4" s="1"/>
  <c r="AF113" i="17" s="1"/>
  <c r="Q510" i="4"/>
  <c r="Q558" i="4"/>
  <c r="R598" i="4"/>
  <c r="S500" i="4"/>
  <c r="S598" i="4" s="1"/>
  <c r="R607" i="4"/>
  <c r="S607" i="4"/>
  <c r="S507" i="4"/>
  <c r="S605" i="4" s="1"/>
  <c r="Q607" i="4"/>
  <c r="P607" i="4"/>
  <c r="N608" i="4"/>
  <c r="Q577" i="4"/>
  <c r="Q610" i="4" s="1"/>
  <c r="Q581" i="4"/>
  <c r="P614" i="4"/>
  <c r="Q584" i="4"/>
  <c r="P617" i="4"/>
  <c r="P503" i="4"/>
  <c r="AB366" i="12"/>
  <c r="Z145" i="20" s="1"/>
  <c r="Z146" i="20" s="1"/>
  <c r="AA366" i="12"/>
  <c r="Y145" i="20" s="1"/>
  <c r="Y146" i="20" s="1"/>
  <c r="AC359" i="12"/>
  <c r="BA359" i="12" s="1"/>
  <c r="BA357" i="12"/>
  <c r="C3167" i="16" s="1"/>
  <c r="G31" i="25"/>
  <c r="H32" i="25" s="1"/>
  <c r="H30" i="25"/>
  <c r="G36" i="25"/>
  <c r="H37" i="25" s="1"/>
  <c r="H35" i="25"/>
  <c r="G26" i="25"/>
  <c r="H27" i="25" s="1"/>
  <c r="H25" i="25"/>
  <c r="G43" i="24"/>
  <c r="H44" i="24" s="1"/>
  <c r="H42" i="24"/>
  <c r="AC146" i="20"/>
  <c r="AC155" i="20"/>
  <c r="AD146" i="20"/>
  <c r="AD155" i="20"/>
  <c r="AA137" i="20"/>
  <c r="Z123" i="20"/>
  <c r="AA151" i="20"/>
  <c r="AC395" i="20"/>
  <c r="N599" i="4"/>
  <c r="O583" i="4"/>
  <c r="O616" i="4" s="1"/>
  <c r="N616" i="4"/>
  <c r="AA117" i="20"/>
  <c r="CD117" i="20" s="1"/>
  <c r="C3172" i="16" s="1"/>
  <c r="G38" i="24"/>
  <c r="H39" i="24" s="1"/>
  <c r="G33" i="24"/>
  <c r="H34" i="24" s="1"/>
  <c r="R517" i="4" l="1"/>
  <c r="S517" i="4" s="1"/>
  <c r="R510" i="4"/>
  <c r="T607" i="4"/>
  <c r="T500" i="4"/>
  <c r="T598" i="4" s="1"/>
  <c r="T507" i="4"/>
  <c r="T605" i="4" s="1"/>
  <c r="O608" i="4"/>
  <c r="O605" i="4"/>
  <c r="P508" i="4"/>
  <c r="R584" i="4"/>
  <c r="Q617" i="4"/>
  <c r="R581" i="4"/>
  <c r="Q614" i="4"/>
  <c r="R577" i="4"/>
  <c r="R610" i="4" s="1"/>
  <c r="Q503" i="4"/>
  <c r="R503" i="4" s="1"/>
  <c r="P601" i="4"/>
  <c r="AA123" i="20"/>
  <c r="P583" i="4"/>
  <c r="P616" i="4" s="1"/>
  <c r="X20" i="20"/>
  <c r="D14" i="22"/>
  <c r="E14" i="22"/>
  <c r="D17" i="22"/>
  <c r="E17" i="22"/>
  <c r="E19" i="22" l="1"/>
  <c r="E128" i="22"/>
  <c r="F19" i="22"/>
  <c r="D128" i="22"/>
  <c r="D19" i="22"/>
  <c r="T517" i="4"/>
  <c r="P608" i="4"/>
  <c r="Q508" i="4"/>
  <c r="R508" i="4" s="1"/>
  <c r="S508" i="4" s="1"/>
  <c r="T508" i="4" s="1"/>
  <c r="U508" i="4" s="1"/>
  <c r="V508" i="4" s="1"/>
  <c r="S510" i="4"/>
  <c r="R614" i="4"/>
  <c r="S581" i="4"/>
  <c r="U507" i="4"/>
  <c r="R617" i="4"/>
  <c r="S584" i="4"/>
  <c r="R601" i="4"/>
  <c r="S503" i="4"/>
  <c r="S577" i="4"/>
  <c r="S610" i="4" s="1"/>
  <c r="U500" i="4"/>
  <c r="U598" i="4" s="1"/>
  <c r="Q601" i="4"/>
  <c r="U607" i="4"/>
  <c r="P606" i="4"/>
  <c r="Q583" i="4"/>
  <c r="Q616" i="4" s="1"/>
  <c r="D18" i="22"/>
  <c r="E18" i="22"/>
  <c r="G1070" i="20"/>
  <c r="C1070" i="20"/>
  <c r="D1070" i="20"/>
  <c r="E1070" i="20"/>
  <c r="F1070" i="20"/>
  <c r="BN105" i="20"/>
  <c r="N533" i="20"/>
  <c r="N532" i="20"/>
  <c r="N531" i="20"/>
  <c r="N618" i="20" s="1"/>
  <c r="N530" i="20"/>
  <c r="N529" i="20"/>
  <c r="O533" i="20"/>
  <c r="O532" i="20"/>
  <c r="O531" i="20"/>
  <c r="O530" i="20"/>
  <c r="O529" i="20"/>
  <c r="P533" i="20"/>
  <c r="P532" i="20"/>
  <c r="P531" i="20"/>
  <c r="P530" i="20"/>
  <c r="P529" i="20"/>
  <c r="Q533" i="20"/>
  <c r="Q532" i="20"/>
  <c r="Q531" i="20"/>
  <c r="Q530" i="20"/>
  <c r="Q529" i="20"/>
  <c r="B477" i="20"/>
  <c r="B473" i="20"/>
  <c r="R498" i="20"/>
  <c r="Q498" i="20"/>
  <c r="P498" i="20"/>
  <c r="O498" i="20"/>
  <c r="R497" i="20"/>
  <c r="Q497" i="20"/>
  <c r="P497" i="20"/>
  <c r="O497" i="20"/>
  <c r="R496" i="20"/>
  <c r="Q496" i="20"/>
  <c r="P496" i="20"/>
  <c r="O496" i="20"/>
  <c r="R495" i="20"/>
  <c r="Q495" i="20"/>
  <c r="P495" i="20"/>
  <c r="O495" i="20"/>
  <c r="R493" i="20"/>
  <c r="Q493" i="20"/>
  <c r="P493" i="20"/>
  <c r="O493" i="20"/>
  <c r="R492" i="20"/>
  <c r="Q492" i="20"/>
  <c r="P492" i="20"/>
  <c r="O492" i="20"/>
  <c r="R491" i="20"/>
  <c r="R500" i="20" s="1"/>
  <c r="Q491" i="20"/>
  <c r="Q500" i="20" s="1"/>
  <c r="P491" i="20"/>
  <c r="P500" i="20" s="1"/>
  <c r="O491" i="20"/>
  <c r="O500" i="20" s="1"/>
  <c r="N496" i="20"/>
  <c r="N498" i="20"/>
  <c r="N497" i="20"/>
  <c r="N495" i="20"/>
  <c r="N493" i="20"/>
  <c r="N492" i="20"/>
  <c r="N491" i="20"/>
  <c r="N472" i="20"/>
  <c r="O472" i="20"/>
  <c r="O473" i="20" s="1"/>
  <c r="P472" i="20"/>
  <c r="P473" i="20" s="1"/>
  <c r="Q472" i="20"/>
  <c r="Q473" i="20" s="1"/>
  <c r="R472" i="20"/>
  <c r="Q516" i="20"/>
  <c r="Q528" i="20" s="1"/>
  <c r="P516" i="20"/>
  <c r="P528" i="20" s="1"/>
  <c r="O516" i="20"/>
  <c r="O528" i="20" s="1"/>
  <c r="N516" i="20"/>
  <c r="N528" i="20" s="1"/>
  <c r="M516" i="20"/>
  <c r="M528" i="20" s="1"/>
  <c r="L516" i="20"/>
  <c r="L528" i="20" s="1"/>
  <c r="K516" i="20"/>
  <c r="K528" i="20" s="1"/>
  <c r="J516" i="20"/>
  <c r="J528" i="20" s="1"/>
  <c r="I516" i="20"/>
  <c r="I528" i="20" s="1"/>
  <c r="U517" i="4" l="1"/>
  <c r="T510" i="4"/>
  <c r="T503" i="4"/>
  <c r="V500" i="4"/>
  <c r="V598" i="4" s="1"/>
  <c r="V507" i="4"/>
  <c r="V605" i="4" s="1"/>
  <c r="T577" i="4"/>
  <c r="T610" i="4" s="1"/>
  <c r="U605" i="4"/>
  <c r="V607" i="4"/>
  <c r="T584" i="4"/>
  <c r="S617" i="4"/>
  <c r="T581" i="4"/>
  <c r="S614" i="4"/>
  <c r="S601" i="4"/>
  <c r="Q608" i="4"/>
  <c r="Q606" i="4"/>
  <c r="R583" i="4"/>
  <c r="H2312" i="16"/>
  <c r="H2313" i="16" s="1"/>
  <c r="I2286" i="16"/>
  <c r="P534" i="20"/>
  <c r="R473" i="20"/>
  <c r="E21" i="22"/>
  <c r="E129" i="22" s="1"/>
  <c r="N473" i="20"/>
  <c r="D21" i="22"/>
  <c r="O618" i="20"/>
  <c r="O606" i="20"/>
  <c r="Q534" i="20"/>
  <c r="Q606" i="20"/>
  <c r="Q618" i="20"/>
  <c r="N606" i="20"/>
  <c r="N534" i="20"/>
  <c r="P606" i="20"/>
  <c r="P618" i="20"/>
  <c r="O534" i="20"/>
  <c r="D22" i="22" l="1"/>
  <c r="D129" i="22"/>
  <c r="V517" i="4"/>
  <c r="U510" i="4"/>
  <c r="U577" i="4"/>
  <c r="U610" i="4" s="1"/>
  <c r="U503" i="4"/>
  <c r="U601" i="4" s="1"/>
  <c r="U581" i="4"/>
  <c r="T614" i="4"/>
  <c r="R616" i="4"/>
  <c r="S583" i="4"/>
  <c r="U584" i="4"/>
  <c r="T617" i="4"/>
  <c r="T601" i="4"/>
  <c r="R608" i="4"/>
  <c r="R606" i="4"/>
  <c r="E22" i="22"/>
  <c r="F40" i="22"/>
  <c r="I2312" i="16"/>
  <c r="J2286" i="16"/>
  <c r="E37" i="22"/>
  <c r="F218" i="23"/>
  <c r="F210" i="23"/>
  <c r="G211" i="23" s="1"/>
  <c r="F209" i="23"/>
  <c r="L452" i="4"/>
  <c r="V510" i="4" l="1"/>
  <c r="U614" i="4"/>
  <c r="V581" i="4"/>
  <c r="V614" i="4" s="1"/>
  <c r="S608" i="4"/>
  <c r="V503" i="4"/>
  <c r="V601" i="4" s="1"/>
  <c r="T583" i="4"/>
  <c r="S616" i="4"/>
  <c r="S606" i="4"/>
  <c r="V584" i="4"/>
  <c r="V617" i="4" s="1"/>
  <c r="U617" i="4"/>
  <c r="V577" i="4"/>
  <c r="V610" i="4" s="1"/>
  <c r="F219" i="23"/>
  <c r="G219" i="23"/>
  <c r="E40" i="22"/>
  <c r="F41" i="22" s="1"/>
  <c r="E49" i="22"/>
  <c r="J2312" i="16"/>
  <c r="K2286" i="16"/>
  <c r="I2313" i="16"/>
  <c r="J2252" i="16"/>
  <c r="J2253" i="16" s="1"/>
  <c r="U583" i="4" l="1"/>
  <c r="T616" i="4"/>
  <c r="T608" i="4"/>
  <c r="U606" i="4"/>
  <c r="T606" i="4"/>
  <c r="J2313" i="16"/>
  <c r="K2312" i="16"/>
  <c r="M2286" i="16" s="1"/>
  <c r="L2286" i="16"/>
  <c r="AA75" i="20"/>
  <c r="AA68" i="20"/>
  <c r="AA79" i="20" s="1"/>
  <c r="AA105" i="20"/>
  <c r="AA101" i="20"/>
  <c r="AA95" i="20"/>
  <c r="AA97" i="20" s="1"/>
  <c r="AA20" i="20"/>
  <c r="BU20" i="20" s="1"/>
  <c r="AA15" i="20"/>
  <c r="BX15" i="20" s="1"/>
  <c r="AA14" i="20"/>
  <c r="BX14" i="20" s="1"/>
  <c r="AA13" i="20"/>
  <c r="BX13" i="20" s="1"/>
  <c r="AA12" i="20"/>
  <c r="BX12" i="20" s="1"/>
  <c r="AA9" i="20"/>
  <c r="BX9" i="20" s="1"/>
  <c r="AA8" i="20"/>
  <c r="BX8" i="20" s="1"/>
  <c r="AA5" i="20"/>
  <c r="BX5" i="20" s="1"/>
  <c r="AA233" i="20"/>
  <c r="AC316" i="12"/>
  <c r="AA318" i="20"/>
  <c r="AA317" i="20"/>
  <c r="AA316" i="20"/>
  <c r="AA313" i="20"/>
  <c r="AA311" i="20"/>
  <c r="AA358" i="20"/>
  <c r="AA381" i="20"/>
  <c r="AA383" i="20"/>
  <c r="AA360" i="20"/>
  <c r="AA366" i="20"/>
  <c r="AA365" i="20"/>
  <c r="AA364" i="20"/>
  <c r="AA362" i="20"/>
  <c r="AA349" i="20"/>
  <c r="V608" i="4" l="1"/>
  <c r="V606" i="4"/>
  <c r="U608" i="4"/>
  <c r="U616" i="4"/>
  <c r="V583" i="4"/>
  <c r="V616" i="4" s="1"/>
  <c r="AC317" i="12"/>
  <c r="AA239" i="20" s="1"/>
  <c r="F123" i="28" s="1"/>
  <c r="F125" i="28"/>
  <c r="AA60" i="20"/>
  <c r="AA65" i="20" s="1"/>
  <c r="G1082" i="20"/>
  <c r="K2313" i="16"/>
  <c r="AA350" i="20"/>
  <c r="AA10" i="20"/>
  <c r="BX10" i="20" s="1"/>
  <c r="AA368" i="20"/>
  <c r="AA387" i="20" s="1"/>
  <c r="AA242" i="20"/>
  <c r="F124" i="28" s="1"/>
  <c r="AA192" i="20"/>
  <c r="AA190" i="20"/>
  <c r="AA216" i="20" s="1"/>
  <c r="AF218" i="20" s="1"/>
  <c r="AA189" i="20"/>
  <c r="AA284" i="20" s="1"/>
  <c r="AA331" i="20" s="1"/>
  <c r="AA390" i="20" s="1"/>
  <c r="CL488" i="20"/>
  <c r="CM488" i="20" s="1"/>
  <c r="Q588" i="20" s="1"/>
  <c r="CL487" i="20"/>
  <c r="CM487" i="20" s="1"/>
  <c r="Q586" i="20" s="1"/>
  <c r="CL486" i="20"/>
  <c r="CM486" i="20" s="1"/>
  <c r="Q585" i="20" s="1"/>
  <c r="CL485" i="20"/>
  <c r="CM485" i="20" s="1"/>
  <c r="Q584" i="20" s="1"/>
  <c r="CL482" i="20"/>
  <c r="CM482" i="20" s="1"/>
  <c r="Q583" i="20" s="1"/>
  <c r="CL481" i="20"/>
  <c r="CM481" i="20" s="1"/>
  <c r="Q582" i="20" s="1"/>
  <c r="CL480" i="20"/>
  <c r="CM480" i="20" s="1"/>
  <c r="CL466" i="20"/>
  <c r="Q579" i="20" s="1"/>
  <c r="CL465" i="20"/>
  <c r="Q577" i="20" s="1"/>
  <c r="CL464" i="20"/>
  <c r="Q576" i="20" s="1"/>
  <c r="CL463" i="20"/>
  <c r="Q575" i="20" s="1"/>
  <c r="CL460" i="20"/>
  <c r="Q574" i="20" s="1"/>
  <c r="CL459" i="20"/>
  <c r="Q573" i="20" s="1"/>
  <c r="CL458" i="20"/>
  <c r="CL455" i="20"/>
  <c r="Q570" i="20" s="1"/>
  <c r="CL454" i="20"/>
  <c r="Q568" i="20" s="1"/>
  <c r="CL453" i="20"/>
  <c r="Q567" i="20" s="1"/>
  <c r="CL452" i="20"/>
  <c r="Q566" i="20" s="1"/>
  <c r="CL448" i="20"/>
  <c r="Q565" i="20" s="1"/>
  <c r="CL447" i="20"/>
  <c r="Q564" i="20" s="1"/>
  <c r="CL446" i="20"/>
  <c r="CL443" i="20"/>
  <c r="Q560" i="20" s="1"/>
  <c r="CL442" i="20"/>
  <c r="Q559" i="20" s="1"/>
  <c r="CL441" i="20"/>
  <c r="Q558" i="20" s="1"/>
  <c r="CL437" i="20"/>
  <c r="Q557" i="20" s="1"/>
  <c r="CL436" i="20"/>
  <c r="Q556" i="20" s="1"/>
  <c r="CL435" i="20"/>
  <c r="CL432" i="20"/>
  <c r="Q553" i="20" s="1"/>
  <c r="CL431" i="20"/>
  <c r="Q551" i="20" s="1"/>
  <c r="CL430" i="20"/>
  <c r="Q550" i="20" s="1"/>
  <c r="CL429" i="20"/>
  <c r="Q549" i="20" s="1"/>
  <c r="CL425" i="20"/>
  <c r="Q548" i="20" s="1"/>
  <c r="CL424" i="20"/>
  <c r="Q547" i="20" s="1"/>
  <c r="CL423" i="20"/>
  <c r="CL420" i="20"/>
  <c r="Q544" i="20" s="1"/>
  <c r="CL419" i="20"/>
  <c r="Q542" i="20" s="1"/>
  <c r="CL418" i="20"/>
  <c r="Q541" i="20" s="1"/>
  <c r="CL417" i="20"/>
  <c r="Q540" i="20" s="1"/>
  <c r="CL414" i="20"/>
  <c r="Q539" i="20" s="1"/>
  <c r="CL413" i="20"/>
  <c r="Q538" i="20" s="1"/>
  <c r="CL412" i="20"/>
  <c r="Q590" i="20"/>
  <c r="Q603" i="20" s="1"/>
  <c r="Q615" i="20" s="1"/>
  <c r="Q627" i="20" s="1"/>
  <c r="B1095" i="20"/>
  <c r="B1094" i="20"/>
  <c r="B1093" i="20"/>
  <c r="B1092" i="20"/>
  <c r="B1091" i="20"/>
  <c r="B1090" i="20"/>
  <c r="B1089" i="20"/>
  <c r="B1088" i="20"/>
  <c r="B1087" i="20"/>
  <c r="B1086" i="20"/>
  <c r="BT17" i="20"/>
  <c r="G1095" i="20" s="1"/>
  <c r="BT4" i="20"/>
  <c r="AA106" i="20"/>
  <c r="AA107" i="20" s="1"/>
  <c r="AA90" i="20"/>
  <c r="BW91" i="20"/>
  <c r="G1085" i="20" s="1"/>
  <c r="Q599" i="20" l="1"/>
  <c r="Q591" i="20"/>
  <c r="Q592" i="20"/>
  <c r="Q594" i="20"/>
  <c r="Q595" i="20"/>
  <c r="Q596" i="20"/>
  <c r="F126" i="28"/>
  <c r="AA153" i="20"/>
  <c r="AA287" i="20"/>
  <c r="AA150" i="20"/>
  <c r="AA149" i="20"/>
  <c r="AA345" i="20"/>
  <c r="AA208" i="20"/>
  <c r="Q578" i="20"/>
  <c r="Q569" i="20"/>
  <c r="Q543" i="20"/>
  <c r="Q555" i="20"/>
  <c r="Q552" i="20"/>
  <c r="Q561" i="20"/>
  <c r="Q587" i="20"/>
  <c r="AA285" i="20"/>
  <c r="AA232" i="20"/>
  <c r="G1049" i="20"/>
  <c r="G1066" i="20" s="1"/>
  <c r="G1074" i="20" s="1"/>
  <c r="C789" i="20"/>
  <c r="C792" i="20"/>
  <c r="C791" i="20"/>
  <c r="C790" i="20"/>
  <c r="P808" i="20"/>
  <c r="C787" i="20" s="1"/>
  <c r="O808" i="20"/>
  <c r="N808" i="20"/>
  <c r="M808" i="20"/>
  <c r="P807" i="20"/>
  <c r="C786" i="20" s="1"/>
  <c r="P809" i="20"/>
  <c r="P805" i="20"/>
  <c r="AC231" i="12"/>
  <c r="AC232" i="12" s="1"/>
  <c r="AC383" i="12"/>
  <c r="AC381" i="12"/>
  <c r="AC347" i="12"/>
  <c r="Q521" i="20" s="1"/>
  <c r="AC346" i="12"/>
  <c r="Q520" i="20" s="1"/>
  <c r="AC345" i="12"/>
  <c r="Q519" i="20" s="1"/>
  <c r="AC344" i="12"/>
  <c r="Q518" i="20" s="1"/>
  <c r="AC343" i="12"/>
  <c r="Q517" i="20" s="1"/>
  <c r="AC339" i="12"/>
  <c r="AC338" i="12"/>
  <c r="AC332" i="12"/>
  <c r="AC327" i="12"/>
  <c r="AC268" i="12"/>
  <c r="AG270" i="12" s="1"/>
  <c r="AC243" i="12"/>
  <c r="Q512" i="20" s="1"/>
  <c r="AC242" i="12"/>
  <c r="Q511" i="20" s="1"/>
  <c r="AC241" i="12"/>
  <c r="Q510" i="20" s="1"/>
  <c r="AC240" i="12"/>
  <c r="Q509" i="20" s="1"/>
  <c r="AC239" i="12"/>
  <c r="Q508" i="20" s="1"/>
  <c r="AC238" i="12"/>
  <c r="AC244" i="12"/>
  <c r="Q514" i="20" s="1"/>
  <c r="AC235" i="12"/>
  <c r="AC223" i="12"/>
  <c r="AC246" i="12" s="1"/>
  <c r="R483" i="20"/>
  <c r="CN483" i="20" s="1"/>
  <c r="R461" i="20"/>
  <c r="CN461" i="20" s="1"/>
  <c r="R449" i="20"/>
  <c r="R450" i="20"/>
  <c r="CN450" i="20" s="1"/>
  <c r="R439" i="20"/>
  <c r="CN439" i="20" s="1"/>
  <c r="R438" i="20"/>
  <c r="R427" i="20"/>
  <c r="CN427" i="20" s="1"/>
  <c r="R426" i="20"/>
  <c r="R415" i="20"/>
  <c r="CN415" i="20" s="1"/>
  <c r="Q597" i="20" l="1"/>
  <c r="Q601" i="20" s="1"/>
  <c r="Q572" i="20"/>
  <c r="Q581" i="20" s="1"/>
  <c r="Q563" i="20"/>
  <c r="C785" i="20"/>
  <c r="C793" i="20"/>
  <c r="AC269" i="12"/>
  <c r="P806" i="20"/>
  <c r="AD348" i="12"/>
  <c r="AD375" i="12"/>
  <c r="AC340" i="12"/>
  <c r="R494" i="20"/>
  <c r="R451" i="20"/>
  <c r="R428" i="20"/>
  <c r="R462" i="20"/>
  <c r="R440" i="20"/>
  <c r="R484" i="20"/>
  <c r="AC322" i="12"/>
  <c r="Q513" i="20"/>
  <c r="Q522" i="20"/>
  <c r="AC273" i="12"/>
  <c r="K2476" i="16"/>
  <c r="L2476" i="16" s="1"/>
  <c r="M2476" i="16" s="1"/>
  <c r="N2476" i="16" s="1"/>
  <c r="O2476" i="16" s="1"/>
  <c r="P2476" i="16" s="1"/>
  <c r="D2479" i="16"/>
  <c r="C2479" i="16"/>
  <c r="E2478" i="16"/>
  <c r="D2478" i="16"/>
  <c r="C2478" i="16"/>
  <c r="E2477" i="16"/>
  <c r="D2477" i="16"/>
  <c r="C2477" i="16"/>
  <c r="F2478" i="16"/>
  <c r="F2477" i="16"/>
  <c r="H2479" i="16"/>
  <c r="G2479" i="16"/>
  <c r="H2478" i="16"/>
  <c r="G2478" i="16"/>
  <c r="I2479" i="16"/>
  <c r="I2478" i="16"/>
  <c r="G2477" i="16"/>
  <c r="H2477" i="16"/>
  <c r="I2477" i="16"/>
  <c r="I2480" i="16"/>
  <c r="H2480" i="16"/>
  <c r="G2480" i="16"/>
  <c r="D2480" i="16"/>
  <c r="C2480" i="16"/>
  <c r="F2476" i="16"/>
  <c r="E2476" i="16"/>
  <c r="D2476" i="16"/>
  <c r="C2476" i="16"/>
  <c r="C2355" i="16" l="1"/>
  <c r="D175" i="16" l="1"/>
  <c r="D2458" i="16" l="1"/>
  <c r="E2458" i="16" s="1"/>
  <c r="F2458" i="16" s="1"/>
  <c r="D2360" i="16" l="1"/>
  <c r="E2360" i="16" s="1"/>
  <c r="F2360" i="16" s="1"/>
  <c r="E2352" i="16"/>
  <c r="E2356" i="16" s="1"/>
  <c r="M1897" i="16"/>
  <c r="C1956" i="16"/>
  <c r="M1896" i="16"/>
  <c r="G2360" i="16" l="1"/>
  <c r="H2360" i="16" s="1"/>
  <c r="I2360" i="16" s="1"/>
  <c r="J2360" i="16" s="1"/>
  <c r="F2352" i="16"/>
  <c r="F2356" i="16" s="1"/>
  <c r="E2354" i="16"/>
  <c r="E1999" i="16"/>
  <c r="I1999" i="16"/>
  <c r="H1999" i="16"/>
  <c r="G1999" i="16"/>
  <c r="F1999" i="16"/>
  <c r="E1996" i="16"/>
  <c r="C1992" i="16"/>
  <c r="C1993" i="16" s="1"/>
  <c r="C1988" i="16"/>
  <c r="F2354" i="16" l="1"/>
  <c r="G2352" i="16"/>
  <c r="G2356" i="16" s="1"/>
  <c r="E1997" i="16"/>
  <c r="H2352" i="16" l="1"/>
  <c r="H2356" i="16" s="1"/>
  <c r="G2354" i="16"/>
  <c r="E1998" i="16"/>
  <c r="F1997" i="16"/>
  <c r="C2216" i="8"/>
  <c r="C2219" i="8" s="1"/>
  <c r="C2222" i="8" s="1"/>
  <c r="M610" i="4"/>
  <c r="B551" i="4"/>
  <c r="AE113" i="17"/>
  <c r="L558" i="4"/>
  <c r="I2352" i="16" l="1"/>
  <c r="I2356" i="16" s="1"/>
  <c r="H2354" i="16"/>
  <c r="F1998" i="16"/>
  <c r="G1997" i="16"/>
  <c r="N610" i="4"/>
  <c r="J2352" i="16" l="1"/>
  <c r="I2354" i="16"/>
  <c r="G1998" i="16"/>
  <c r="H1997" i="16"/>
  <c r="O576" i="4"/>
  <c r="O609" i="4" s="1"/>
  <c r="O600" i="4" s="1"/>
  <c r="O568" i="4" s="1"/>
  <c r="J2354" i="16" l="1"/>
  <c r="J2356" i="16"/>
  <c r="H1998" i="16"/>
  <c r="I1997" i="16"/>
  <c r="P576" i="4"/>
  <c r="P609" i="4" s="1"/>
  <c r="I1998" i="16" l="1"/>
  <c r="Q576" i="4"/>
  <c r="Q609" i="4" s="1"/>
  <c r="R576" i="4" l="1"/>
  <c r="R609" i="4" s="1"/>
  <c r="AG189" i="20"/>
  <c r="AG208" i="20" s="1"/>
  <c r="AG90" i="20"/>
  <c r="E2206" i="16"/>
  <c r="S576" i="4" l="1"/>
  <c r="S609" i="4" s="1"/>
  <c r="I2727" i="16"/>
  <c r="F2913" i="16"/>
  <c r="AG284" i="20"/>
  <c r="AG331" i="20" s="1"/>
  <c r="AG390" i="20" s="1"/>
  <c r="J2399" i="16"/>
  <c r="I2399" i="16"/>
  <c r="H2399" i="16"/>
  <c r="G2399" i="16"/>
  <c r="F2399" i="16"/>
  <c r="E2399" i="16"/>
  <c r="C2406" i="16"/>
  <c r="T576" i="4" l="1"/>
  <c r="T609" i="4" s="1"/>
  <c r="D2453" i="16"/>
  <c r="E2453" i="16" s="1"/>
  <c r="U576" i="4" l="1"/>
  <c r="U609" i="4" s="1"/>
  <c r="L2728" i="16"/>
  <c r="M2728" i="16"/>
  <c r="I2730" i="16"/>
  <c r="I2731" i="16" s="1"/>
  <c r="F2394" i="16"/>
  <c r="G2394" i="16" s="1"/>
  <c r="H2394" i="16" s="1"/>
  <c r="I2394" i="16" s="1"/>
  <c r="J2394" i="16" s="1"/>
  <c r="E2371" i="16"/>
  <c r="D2371" i="16"/>
  <c r="C2371" i="16"/>
  <c r="E2369" i="16"/>
  <c r="D2369" i="16"/>
  <c r="C2369" i="16"/>
  <c r="E2367" i="16"/>
  <c r="D2367" i="16"/>
  <c r="C2367" i="16"/>
  <c r="J2358" i="16"/>
  <c r="J2359" i="16" s="1"/>
  <c r="I2358" i="16"/>
  <c r="H2358" i="16"/>
  <c r="G2358" i="16"/>
  <c r="G2359" i="16" s="1"/>
  <c r="F2358" i="16"/>
  <c r="E2358" i="16"/>
  <c r="D2358" i="16"/>
  <c r="C2358" i="16"/>
  <c r="C2359" i="16" s="1"/>
  <c r="E2351" i="16"/>
  <c r="F2351" i="16" s="1"/>
  <c r="G2351" i="16" s="1"/>
  <c r="H2351" i="16" s="1"/>
  <c r="I2351" i="16" s="1"/>
  <c r="J2351" i="16" s="1"/>
  <c r="E2366" i="16"/>
  <c r="F2366" i="16" s="1"/>
  <c r="G2366" i="16" s="1"/>
  <c r="H2366" i="16" s="1"/>
  <c r="I2366" i="16" s="1"/>
  <c r="J2366" i="16" s="1"/>
  <c r="V576" i="4" l="1"/>
  <c r="V609" i="4" s="1"/>
  <c r="M2732" i="16"/>
  <c r="D2373" i="16"/>
  <c r="D2374" i="16" s="1"/>
  <c r="D2359" i="16"/>
  <c r="D2361" i="16"/>
  <c r="D2375" i="16" s="1"/>
  <c r="H2359" i="16"/>
  <c r="H2361" i="16"/>
  <c r="F2359" i="16"/>
  <c r="F2361" i="16"/>
  <c r="E2359" i="16"/>
  <c r="E2361" i="16"/>
  <c r="I2359" i="16"/>
  <c r="I2361" i="16"/>
  <c r="E2372" i="16"/>
  <c r="C2372" i="16"/>
  <c r="E2368" i="16"/>
  <c r="D2372" i="16"/>
  <c r="D2368" i="16"/>
  <c r="D2370" i="16"/>
  <c r="E2370" i="16" s="1"/>
  <c r="E2362" i="16" l="1"/>
  <c r="E2375" i="16"/>
  <c r="F2370" i="16"/>
  <c r="E2373" i="16"/>
  <c r="Z105" i="20"/>
  <c r="BZ105" i="20" s="1"/>
  <c r="Z101" i="20"/>
  <c r="BZ101" i="20" s="1"/>
  <c r="Z95" i="20"/>
  <c r="BZ95" i="20" s="1"/>
  <c r="AB16" i="20"/>
  <c r="Z97" i="20" l="1"/>
  <c r="BZ97" i="20" s="1"/>
  <c r="F2362" i="16"/>
  <c r="E2376" i="16"/>
  <c r="C2381" i="16" s="1"/>
  <c r="G2370" i="16"/>
  <c r="E2374" i="16"/>
  <c r="Z106" i="20" l="1"/>
  <c r="BZ106" i="20" s="1"/>
  <c r="G2361" i="16"/>
  <c r="H2370" i="16"/>
  <c r="Z107" i="20" l="1"/>
  <c r="G2362" i="16"/>
  <c r="H2362" i="16" s="1"/>
  <c r="I2370" i="16"/>
  <c r="B848" i="20"/>
  <c r="BS17" i="20"/>
  <c r="F1095" i="20" s="1"/>
  <c r="BS15" i="20"/>
  <c r="F1094" i="20" s="1"/>
  <c r="BS14" i="20"/>
  <c r="F1093" i="20" s="1"/>
  <c r="BS13" i="20"/>
  <c r="F1092" i="20" s="1"/>
  <c r="F1075" i="20" s="1"/>
  <c r="BS12" i="20"/>
  <c r="F1091" i="20" s="1"/>
  <c r="BS8" i="20"/>
  <c r="F1087" i="20" s="1"/>
  <c r="BS5" i="20"/>
  <c r="F1086" i="20" s="1"/>
  <c r="BS4" i="20"/>
  <c r="U11" i="20"/>
  <c r="Z11" i="20"/>
  <c r="Z9" i="20"/>
  <c r="P588" i="20"/>
  <c r="P586" i="20"/>
  <c r="P585" i="20"/>
  <c r="P584" i="20"/>
  <c r="P583" i="20"/>
  <c r="P582" i="20"/>
  <c r="P579" i="20"/>
  <c r="P577" i="20"/>
  <c r="P576" i="20"/>
  <c r="P575" i="20"/>
  <c r="P574" i="20"/>
  <c r="P573" i="20"/>
  <c r="P570" i="20"/>
  <c r="P568" i="20"/>
  <c r="P567" i="20"/>
  <c r="P566" i="20"/>
  <c r="P565" i="20"/>
  <c r="P564" i="20"/>
  <c r="P560" i="20"/>
  <c r="P559" i="20"/>
  <c r="P558" i="20"/>
  <c r="P557" i="20"/>
  <c r="P556" i="20"/>
  <c r="P553" i="20"/>
  <c r="P551" i="20"/>
  <c r="P550" i="20"/>
  <c r="P549" i="20"/>
  <c r="P548" i="20"/>
  <c r="P547" i="20"/>
  <c r="P544" i="20"/>
  <c r="P542" i="20"/>
  <c r="P541" i="20"/>
  <c r="P540" i="20"/>
  <c r="P539" i="20"/>
  <c r="P538" i="20"/>
  <c r="P555" i="20"/>
  <c r="P572" i="20" s="1"/>
  <c r="P581" i="20" s="1"/>
  <c r="AB339" i="12"/>
  <c r="AB338" i="12"/>
  <c r="AB332" i="12"/>
  <c r="AB327" i="12"/>
  <c r="AB244" i="12"/>
  <c r="P514" i="20" s="1"/>
  <c r="AB243" i="12"/>
  <c r="P512" i="20" s="1"/>
  <c r="AB242" i="12"/>
  <c r="P511" i="20" s="1"/>
  <c r="AB241" i="12"/>
  <c r="P510" i="20" s="1"/>
  <c r="AB240" i="12"/>
  <c r="P509" i="20" s="1"/>
  <c r="AB239" i="12"/>
  <c r="P508" i="20" s="1"/>
  <c r="AB238" i="12"/>
  <c r="AB235" i="12"/>
  <c r="AB231" i="12"/>
  <c r="AB232" i="12" s="1"/>
  <c r="Q483" i="20"/>
  <c r="Q461" i="20"/>
  <c r="Q450" i="20"/>
  <c r="Q449" i="20"/>
  <c r="Q439" i="20"/>
  <c r="Q438" i="20"/>
  <c r="Q427" i="20"/>
  <c r="Q426" i="20"/>
  <c r="Q415" i="20"/>
  <c r="Z393" i="20"/>
  <c r="Z368" i="20"/>
  <c r="Z387" i="20" s="1"/>
  <c r="Z349" i="20"/>
  <c r="Z350" i="20" s="1"/>
  <c r="Z333" i="20"/>
  <c r="Z320" i="20"/>
  <c r="Z314" i="20"/>
  <c r="Z242" i="20"/>
  <c r="E124" i="28" s="1"/>
  <c r="AB316" i="12"/>
  <c r="O807" i="20" s="1"/>
  <c r="AB317" i="12"/>
  <c r="AB272" i="12" s="1"/>
  <c r="Z18" i="20"/>
  <c r="Z21" i="20" s="1"/>
  <c r="Z60" i="20"/>
  <c r="Z75" i="20"/>
  <c r="AB383" i="12"/>
  <c r="AB381" i="12"/>
  <c r="AB347" i="12"/>
  <c r="P521" i="20" s="1"/>
  <c r="AB346" i="12"/>
  <c r="P520" i="20" s="1"/>
  <c r="AB345" i="12"/>
  <c r="P519" i="20" s="1"/>
  <c r="AB344" i="12"/>
  <c r="P518" i="20" s="1"/>
  <c r="AB343" i="12"/>
  <c r="P517" i="20" s="1"/>
  <c r="AB223" i="12"/>
  <c r="AB322" i="12" s="1"/>
  <c r="P594" i="20" l="1"/>
  <c r="P592" i="20"/>
  <c r="P595" i="20"/>
  <c r="P596" i="20"/>
  <c r="P591" i="20"/>
  <c r="AF276" i="12"/>
  <c r="AY266" i="12" s="1"/>
  <c r="E3627" i="16"/>
  <c r="Z239" i="20"/>
  <c r="E123" i="28" s="1"/>
  <c r="BW11" i="20"/>
  <c r="J1090" i="20" s="1"/>
  <c r="Z10" i="20"/>
  <c r="BW10" i="20" s="1"/>
  <c r="J1089" i="20" s="1"/>
  <c r="BW9" i="20"/>
  <c r="J1088" i="20" s="1"/>
  <c r="AE61" i="20"/>
  <c r="Z396" i="20"/>
  <c r="AA395" i="20"/>
  <c r="Z65" i="20"/>
  <c r="CL415" i="20"/>
  <c r="Q494" i="20"/>
  <c r="Q428" i="20"/>
  <c r="CL427" i="20"/>
  <c r="Q451" i="20"/>
  <c r="CL450" i="20"/>
  <c r="AA320" i="20"/>
  <c r="Q462" i="20"/>
  <c r="CL461" i="20"/>
  <c r="Q440" i="20"/>
  <c r="CL439" i="20"/>
  <c r="Q484" i="20"/>
  <c r="CL483" i="20"/>
  <c r="AC375" i="12"/>
  <c r="AC348" i="12"/>
  <c r="BS11" i="20"/>
  <c r="F1090" i="20" s="1"/>
  <c r="Z16" i="20"/>
  <c r="I2362" i="16"/>
  <c r="AB340" i="12"/>
  <c r="AB246" i="12"/>
  <c r="AB266" i="12"/>
  <c r="J2370" i="16"/>
  <c r="P590" i="20"/>
  <c r="P603" i="20" s="1"/>
  <c r="P615" i="20" s="1"/>
  <c r="P627" i="20" s="1"/>
  <c r="P513" i="20"/>
  <c r="P599" i="20"/>
  <c r="P578" i="20"/>
  <c r="P522" i="20"/>
  <c r="P552" i="20"/>
  <c r="P569" i="20"/>
  <c r="P587" i="20"/>
  <c r="P561" i="20"/>
  <c r="P543" i="20"/>
  <c r="Z371" i="20"/>
  <c r="Z321" i="20"/>
  <c r="Z327" i="20" s="1"/>
  <c r="Z193" i="20"/>
  <c r="Z192" i="20"/>
  <c r="Z191" i="20"/>
  <c r="Z190" i="20"/>
  <c r="Z216" i="20" s="1"/>
  <c r="AE218" i="20" s="1"/>
  <c r="Z189" i="20"/>
  <c r="Z90" i="20"/>
  <c r="Z68" i="20"/>
  <c r="Z79" i="20" s="1"/>
  <c r="BV91" i="20" s="1"/>
  <c r="AB274" i="12" l="1"/>
  <c r="AT266" i="12"/>
  <c r="CC120" i="20"/>
  <c r="P597" i="20"/>
  <c r="P601" i="20" s="1"/>
  <c r="E126" i="28"/>
  <c r="AB268" i="12"/>
  <c r="AF267" i="12"/>
  <c r="Z232" i="20"/>
  <c r="Z286" i="20" s="1"/>
  <c r="F1049" i="20"/>
  <c r="F1066" i="20" s="1"/>
  <c r="F1074" i="20" s="1"/>
  <c r="F1085" i="20"/>
  <c r="I2732" i="16"/>
  <c r="Z109" i="20"/>
  <c r="BY109" i="20" s="1"/>
  <c r="Z208" i="20"/>
  <c r="I2476" i="16"/>
  <c r="J2361" i="16"/>
  <c r="AB273" i="12"/>
  <c r="O809" i="20"/>
  <c r="Z345" i="20"/>
  <c r="O805" i="20"/>
  <c r="Z324" i="20"/>
  <c r="Z284" i="20"/>
  <c r="Z331" i="20" s="1"/>
  <c r="Z390" i="20" s="1"/>
  <c r="Z346" i="20"/>
  <c r="Z194" i="20"/>
  <c r="Z287" i="20"/>
  <c r="Z285" i="20"/>
  <c r="AA317" i="12"/>
  <c r="AY247" i="12" l="1"/>
  <c r="E3626" i="16"/>
  <c r="AB269" i="12"/>
  <c r="AF270" i="12"/>
  <c r="O806" i="20"/>
  <c r="Z347" i="20"/>
  <c r="O810" i="20"/>
  <c r="Z352" i="20"/>
  <c r="Z288" i="20"/>
  <c r="G85" i="24"/>
  <c r="M2516" i="16" s="1"/>
  <c r="O811" i="20" l="1"/>
  <c r="O848" i="20" s="1"/>
  <c r="G1311" i="16"/>
  <c r="G1314" i="16" s="1"/>
  <c r="C1327" i="16"/>
  <c r="C1326" i="16"/>
  <c r="C1323" i="16"/>
  <c r="C1319" i="16"/>
  <c r="C1318" i="16"/>
  <c r="G1271" i="16"/>
  <c r="G1300" i="16"/>
  <c r="G1307" i="16" s="1"/>
  <c r="G1291" i="16"/>
  <c r="C1322" i="16" l="1"/>
  <c r="C1329" i="16" s="1"/>
  <c r="O2187" i="16"/>
  <c r="O2199" i="16" s="1"/>
  <c r="O2201" i="16" s="1"/>
  <c r="O2183" i="16"/>
  <c r="M2207" i="16" l="1"/>
  <c r="M2206" i="16"/>
  <c r="M2208" i="16" l="1"/>
  <c r="C2186" i="16"/>
  <c r="E2178" i="16"/>
  <c r="F2178" i="16" s="1"/>
  <c r="C2200" i="16"/>
  <c r="E2207" i="16" s="1"/>
  <c r="F2207" i="16" s="1"/>
  <c r="G2207" i="16" s="1"/>
  <c r="H2207" i="16" s="1"/>
  <c r="I2207" i="16" s="1"/>
  <c r="J2207" i="16" s="1"/>
  <c r="E2169" i="16"/>
  <c r="F2169" i="16" s="1"/>
  <c r="G2169" i="16" s="1"/>
  <c r="H2169" i="16" s="1"/>
  <c r="I2169" i="16" s="1"/>
  <c r="J2169" i="16" s="1"/>
  <c r="G2178" i="16" l="1"/>
  <c r="E2208" i="16"/>
  <c r="C2201" i="16"/>
  <c r="C2203" i="16" s="1"/>
  <c r="C1936" i="16"/>
  <c r="H2178" i="16" l="1"/>
  <c r="F2208" i="16"/>
  <c r="F2029" i="16"/>
  <c r="I2029" i="16"/>
  <c r="H2029" i="16"/>
  <c r="G2029" i="16"/>
  <c r="E2029" i="16"/>
  <c r="I2178" i="16" l="1"/>
  <c r="G2208" i="16"/>
  <c r="M1894" i="16"/>
  <c r="M1893" i="16"/>
  <c r="M1892" i="16"/>
  <c r="N1882" i="16"/>
  <c r="O1882" i="16" s="1"/>
  <c r="P1882" i="16" s="1"/>
  <c r="Q1882" i="16" s="1"/>
  <c r="R1882" i="16" s="1"/>
  <c r="R1891" i="16" s="1"/>
  <c r="E1808" i="16"/>
  <c r="F1808" i="16" s="1"/>
  <c r="G1808" i="16" s="1"/>
  <c r="H1808" i="16" s="1"/>
  <c r="I1808" i="16" s="1"/>
  <c r="O1891" i="16" l="1"/>
  <c r="J2178" i="16"/>
  <c r="H2208" i="16"/>
  <c r="P1891" i="16"/>
  <c r="N1891" i="16"/>
  <c r="Q1891" i="16"/>
  <c r="I2208" i="16" l="1"/>
  <c r="J2208" i="16" s="1"/>
  <c r="B2053" i="16" l="1"/>
  <c r="B2052" i="16"/>
  <c r="B2051" i="16"/>
  <c r="B2050" i="16"/>
  <c r="D2050" i="16"/>
  <c r="D2037" i="16"/>
  <c r="D2040" i="16" s="1"/>
  <c r="B2045" i="16"/>
  <c r="D2043" i="16"/>
  <c r="B2043" i="16"/>
  <c r="B2042" i="16"/>
  <c r="B2041" i="16"/>
  <c r="B2040" i="16"/>
  <c r="B2038" i="16"/>
  <c r="B2037" i="16"/>
  <c r="B2036" i="16"/>
  <c r="B2035" i="16"/>
  <c r="D2023" i="16"/>
  <c r="D2020" i="16"/>
  <c r="D2018" i="16"/>
  <c r="I2023" i="16"/>
  <c r="H2023" i="16"/>
  <c r="G2023" i="16"/>
  <c r="F2023" i="16"/>
  <c r="E2023" i="16"/>
  <c r="E2026" i="16"/>
  <c r="D2051" i="16" s="1"/>
  <c r="I2020" i="16"/>
  <c r="H2020" i="16"/>
  <c r="G2020" i="16"/>
  <c r="F2020" i="16"/>
  <c r="E2020" i="16"/>
  <c r="I2018" i="16"/>
  <c r="H2018" i="16"/>
  <c r="G2018" i="16"/>
  <c r="F2018" i="16"/>
  <c r="E2018" i="16"/>
  <c r="F2015" i="16"/>
  <c r="G2015" i="16" s="1"/>
  <c r="H2015" i="16" s="1"/>
  <c r="I2015" i="16" s="1"/>
  <c r="C2012" i="16"/>
  <c r="C2013" i="16" s="1"/>
  <c r="C2008" i="16"/>
  <c r="E2027" i="16" l="1"/>
  <c r="F2027" i="16" l="1"/>
  <c r="E2028" i="16"/>
  <c r="F2028" i="16" l="1"/>
  <c r="G2027" i="16"/>
  <c r="H2027" i="16" l="1"/>
  <c r="G2028" i="16"/>
  <c r="I2027" i="16" l="1"/>
  <c r="H2028" i="16"/>
  <c r="I2028" i="16" l="1"/>
  <c r="BR5" i="20"/>
  <c r="E1086" i="20" s="1"/>
  <c r="Y127" i="20"/>
  <c r="Y126" i="20"/>
  <c r="Y125" i="20"/>
  <c r="Y124" i="20"/>
  <c r="Y118" i="20"/>
  <c r="CB118" i="20" s="1"/>
  <c r="Y115" i="20"/>
  <c r="CB115" i="20" s="1"/>
  <c r="BX116" i="20"/>
  <c r="BX114" i="20"/>
  <c r="BX113" i="20"/>
  <c r="BX112" i="20"/>
  <c r="BX111" i="20"/>
  <c r="BX110" i="20"/>
  <c r="Y393" i="20"/>
  <c r="Z395" i="20" s="1"/>
  <c r="AA357" i="20"/>
  <c r="Y354" i="20"/>
  <c r="Y356" i="20"/>
  <c r="Y355" i="20"/>
  <c r="Y373" i="20" s="1"/>
  <c r="Y310" i="20"/>
  <c r="AA310" i="20" s="1"/>
  <c r="Z354" i="20" l="1"/>
  <c r="AA354" i="20" s="1"/>
  <c r="Y117" i="20"/>
  <c r="CB117" i="20" s="1"/>
  <c r="Y137" i="20"/>
  <c r="AA314" i="20"/>
  <c r="AA352" i="20"/>
  <c r="Z356" i="20"/>
  <c r="AA356" i="20" s="1"/>
  <c r="Z355" i="20"/>
  <c r="Y314" i="20"/>
  <c r="Y242" i="20"/>
  <c r="D124" i="28" s="1"/>
  <c r="Y368" i="20"/>
  <c r="Y334" i="20"/>
  <c r="Y349" i="20" s="1"/>
  <c r="Y350" i="20" s="1"/>
  <c r="Y332" i="20"/>
  <c r="Y327" i="20"/>
  <c r="Y324" i="20"/>
  <c r="Y352" i="20" s="1"/>
  <c r="Y192" i="20"/>
  <c r="Y190" i="20"/>
  <c r="Y216" i="20" s="1"/>
  <c r="CG488" i="20"/>
  <c r="CH488" i="20" s="1"/>
  <c r="O588" i="20" s="1"/>
  <c r="CG487" i="20"/>
  <c r="CH487" i="20" s="1"/>
  <c r="O586" i="20" s="1"/>
  <c r="CG486" i="20"/>
  <c r="CH486" i="20" s="1"/>
  <c r="O585" i="20" s="1"/>
  <c r="CG485" i="20"/>
  <c r="CH485" i="20" s="1"/>
  <c r="O584" i="20" s="1"/>
  <c r="CG482" i="20"/>
  <c r="CH482" i="20" s="1"/>
  <c r="O583" i="20" s="1"/>
  <c r="CG481" i="20"/>
  <c r="CH481" i="20" s="1"/>
  <c r="O582" i="20" s="1"/>
  <c r="CG480" i="20"/>
  <c r="CH480" i="20" s="1"/>
  <c r="CG466" i="20"/>
  <c r="O579" i="20" s="1"/>
  <c r="CG465" i="20"/>
  <c r="O577" i="20" s="1"/>
  <c r="CG464" i="20"/>
  <c r="O576" i="20" s="1"/>
  <c r="CG463" i="20"/>
  <c r="O575" i="20" s="1"/>
  <c r="CG460" i="20"/>
  <c r="O574" i="20" s="1"/>
  <c r="CG459" i="20"/>
  <c r="O573" i="20" s="1"/>
  <c r="CG458" i="20"/>
  <c r="CG455" i="20"/>
  <c r="O570" i="20" s="1"/>
  <c r="CG454" i="20"/>
  <c r="O568" i="20" s="1"/>
  <c r="CG453" i="20"/>
  <c r="O567" i="20" s="1"/>
  <c r="CG452" i="20"/>
  <c r="O566" i="20" s="1"/>
  <c r="CG448" i="20"/>
  <c r="O565" i="20" s="1"/>
  <c r="CG447" i="20"/>
  <c r="O564" i="20" s="1"/>
  <c r="CG446" i="20"/>
  <c r="CG443" i="20"/>
  <c r="O560" i="20" s="1"/>
  <c r="CG442" i="20"/>
  <c r="O559" i="20" s="1"/>
  <c r="CG441" i="20"/>
  <c r="O558" i="20" s="1"/>
  <c r="CG437" i="20"/>
  <c r="O557" i="20" s="1"/>
  <c r="CG436" i="20"/>
  <c r="O556" i="20" s="1"/>
  <c r="CG435" i="20"/>
  <c r="CG432" i="20"/>
  <c r="CH432" i="20" s="1"/>
  <c r="O553" i="20" s="1"/>
  <c r="CG431" i="20"/>
  <c r="CH431" i="20" s="1"/>
  <c r="O551" i="20" s="1"/>
  <c r="CG430" i="20"/>
  <c r="CH430" i="20" s="1"/>
  <c r="O550" i="20" s="1"/>
  <c r="CG429" i="20"/>
  <c r="CH429" i="20" s="1"/>
  <c r="O549" i="20" s="1"/>
  <c r="CG425" i="20"/>
  <c r="CH425" i="20" s="1"/>
  <c r="O548" i="20" s="1"/>
  <c r="CG424" i="20"/>
  <c r="CH424" i="20" s="1"/>
  <c r="O547" i="20" s="1"/>
  <c r="CG423" i="20"/>
  <c r="CH423" i="20" s="1"/>
  <c r="CG420" i="20"/>
  <c r="O544" i="20" s="1"/>
  <c r="CG419" i="20"/>
  <c r="O542" i="20" s="1"/>
  <c r="CG418" i="20"/>
  <c r="O541" i="20" s="1"/>
  <c r="CG417" i="20"/>
  <c r="O540" i="20" s="1"/>
  <c r="CG414" i="20"/>
  <c r="O539" i="20" s="1"/>
  <c r="CG413" i="20"/>
  <c r="O538" i="20" s="1"/>
  <c r="CG412" i="20"/>
  <c r="O590" i="20"/>
  <c r="O603" i="20" s="1"/>
  <c r="O615" i="20" s="1"/>
  <c r="O627" i="20" s="1"/>
  <c r="AA347" i="12"/>
  <c r="O521" i="20" s="1"/>
  <c r="AA346" i="12"/>
  <c r="O520" i="20" s="1"/>
  <c r="AA345" i="12"/>
  <c r="O519" i="20" s="1"/>
  <c r="AA344" i="12"/>
  <c r="O518" i="20" s="1"/>
  <c r="AA343" i="12"/>
  <c r="O517" i="20" s="1"/>
  <c r="AA339" i="12"/>
  <c r="AA338" i="12"/>
  <c r="AA332" i="12"/>
  <c r="AA327" i="12"/>
  <c r="AA383" i="12"/>
  <c r="AA381" i="12"/>
  <c r="AA272" i="12"/>
  <c r="D3627" i="16" s="1"/>
  <c r="AA316" i="12"/>
  <c r="AA266" i="12" s="1"/>
  <c r="AA244" i="12"/>
  <c r="O514" i="20" s="1"/>
  <c r="AA243" i="12"/>
  <c r="O512" i="20" s="1"/>
  <c r="AA242" i="12"/>
  <c r="O511" i="20" s="1"/>
  <c r="AA241" i="12"/>
  <c r="O510" i="20" s="1"/>
  <c r="AA240" i="12"/>
  <c r="O509" i="20" s="1"/>
  <c r="AA239" i="12"/>
  <c r="O508" i="20" s="1"/>
  <c r="AA238" i="12"/>
  <c r="AA235" i="12"/>
  <c r="AA231" i="12"/>
  <c r="AA232" i="12" s="1"/>
  <c r="P483" i="20"/>
  <c r="CJ483" i="20" s="1"/>
  <c r="P461" i="20"/>
  <c r="CJ461" i="20" s="1"/>
  <c r="P450" i="20"/>
  <c r="CJ450" i="20" s="1"/>
  <c r="P449" i="20"/>
  <c r="P439" i="20"/>
  <c r="CJ439" i="20" s="1"/>
  <c r="P438" i="20"/>
  <c r="P427" i="20"/>
  <c r="CJ427" i="20" s="1"/>
  <c r="P426" i="20"/>
  <c r="P415" i="20"/>
  <c r="CJ415" i="20" s="1"/>
  <c r="T11" i="20"/>
  <c r="BR17" i="20"/>
  <c r="BR15" i="20"/>
  <c r="BR14" i="20"/>
  <c r="BR13" i="20"/>
  <c r="BR12" i="20"/>
  <c r="BR8" i="20"/>
  <c r="BR4" i="20"/>
  <c r="Y75" i="20"/>
  <c r="Y11" i="20"/>
  <c r="BV11" i="20" s="1"/>
  <c r="I1090" i="20" s="1"/>
  <c r="Y9" i="20"/>
  <c r="BU104" i="20"/>
  <c r="BU103" i="20"/>
  <c r="BU100" i="20"/>
  <c r="BU99" i="20"/>
  <c r="BU96" i="20"/>
  <c r="BU94" i="20"/>
  <c r="BU93" i="20"/>
  <c r="BU92" i="20"/>
  <c r="Y105" i="20"/>
  <c r="BY105" i="20" s="1"/>
  <c r="I1063" i="20" s="1"/>
  <c r="Y101" i="20"/>
  <c r="BY101" i="20" s="1"/>
  <c r="I1059" i="20" s="1"/>
  <c r="Y95" i="20"/>
  <c r="BY95" i="20" s="1"/>
  <c r="I1053" i="20" s="1"/>
  <c r="Y60" i="20"/>
  <c r="AD61" i="20" s="1"/>
  <c r="Y18" i="20"/>
  <c r="Y21" i="20" s="1"/>
  <c r="Y193" i="20" s="1"/>
  <c r="Y90" i="20"/>
  <c r="Y68" i="20"/>
  <c r="Y79" i="20" s="1"/>
  <c r="O594" i="20" l="1"/>
  <c r="O595" i="20"/>
  <c r="O596" i="20"/>
  <c r="O591" i="20"/>
  <c r="O592" i="20"/>
  <c r="AA355" i="20"/>
  <c r="AA373" i="20" s="1"/>
  <c r="Z373" i="20"/>
  <c r="AE267" i="12"/>
  <c r="AA274" i="12"/>
  <c r="Y123" i="20"/>
  <c r="AD218" i="20"/>
  <c r="H2732" i="16"/>
  <c r="AE276" i="12"/>
  <c r="C2728" i="8"/>
  <c r="AA268" i="12"/>
  <c r="C2721" i="8"/>
  <c r="Y10" i="20"/>
  <c r="BV10" i="20" s="1"/>
  <c r="I1089" i="20" s="1"/>
  <c r="BV9" i="20"/>
  <c r="I1088" i="20" s="1"/>
  <c r="Y16" i="20"/>
  <c r="Y65" i="20"/>
  <c r="P494" i="20"/>
  <c r="AA321" i="20"/>
  <c r="N807" i="20"/>
  <c r="E1050" i="20"/>
  <c r="E1057" i="20"/>
  <c r="E1051" i="20"/>
  <c r="E1058" i="20"/>
  <c r="E1052" i="20"/>
  <c r="E1061" i="20"/>
  <c r="E1054" i="20"/>
  <c r="E1062" i="20"/>
  <c r="E1087" i="20"/>
  <c r="E1094" i="20"/>
  <c r="E1091" i="20"/>
  <c r="E1095" i="20"/>
  <c r="E1093" i="20"/>
  <c r="E1092" i="20"/>
  <c r="E1075" i="20" s="1"/>
  <c r="AB375" i="12"/>
  <c r="AB348" i="12"/>
  <c r="Y287" i="20"/>
  <c r="N809" i="20"/>
  <c r="Y285" i="20"/>
  <c r="N805" i="20"/>
  <c r="P428" i="20"/>
  <c r="P451" i="20"/>
  <c r="P462" i="20"/>
  <c r="O552" i="20"/>
  <c r="O555" i="20"/>
  <c r="O572" i="20" s="1"/>
  <c r="O581" i="20" s="1"/>
  <c r="BU91" i="20"/>
  <c r="Y109" i="20"/>
  <c r="BX109" i="20" s="1"/>
  <c r="O513" i="20"/>
  <c r="O561" i="20"/>
  <c r="O587" i="20"/>
  <c r="AA273" i="12"/>
  <c r="O522" i="20"/>
  <c r="Y239" i="20"/>
  <c r="D123" i="28" s="1"/>
  <c r="Y191" i="20"/>
  <c r="Y194" i="20" s="1"/>
  <c r="N810" i="20" s="1"/>
  <c r="AA340" i="12"/>
  <c r="O599" i="20"/>
  <c r="Y333" i="20"/>
  <c r="Y345" i="20"/>
  <c r="O543" i="20"/>
  <c r="P440" i="20"/>
  <c r="P484" i="20"/>
  <c r="O569" i="20"/>
  <c r="O578" i="20"/>
  <c r="Y387" i="20"/>
  <c r="Y371" i="20"/>
  <c r="Y97" i="20"/>
  <c r="BY97" i="20" s="1"/>
  <c r="I1055" i="20" s="1"/>
  <c r="AA223" i="12"/>
  <c r="B778" i="20"/>
  <c r="Y189" i="20"/>
  <c r="H2476" i="16" s="1"/>
  <c r="O597" i="20" l="1"/>
  <c r="O601" i="20" s="1"/>
  <c r="AX247" i="12"/>
  <c r="D3626" i="16"/>
  <c r="CB120" i="20"/>
  <c r="AX266" i="12"/>
  <c r="D126" i="28"/>
  <c r="AA269" i="12"/>
  <c r="AE270" i="12"/>
  <c r="E1085" i="20"/>
  <c r="E1049" i="20"/>
  <c r="E1066" i="20" s="1"/>
  <c r="E1074" i="20" s="1"/>
  <c r="Y232" i="20"/>
  <c r="Y286" i="20" s="1"/>
  <c r="Y346" i="20"/>
  <c r="AA246" i="12"/>
  <c r="AA322" i="12"/>
  <c r="Y208" i="20"/>
  <c r="Y284" i="20"/>
  <c r="Y331" i="20" s="1"/>
  <c r="Y390" i="20" s="1"/>
  <c r="Y347" i="20"/>
  <c r="Y288" i="20"/>
  <c r="Y106" i="20"/>
  <c r="BY106" i="20" s="1"/>
  <c r="I1064" i="20" s="1"/>
  <c r="E2154" i="16"/>
  <c r="E2160" i="16"/>
  <c r="C2157" i="16"/>
  <c r="F2141" i="16"/>
  <c r="D2153" i="16" s="1"/>
  <c r="D2157" i="16" s="1"/>
  <c r="C2153" i="16"/>
  <c r="E2157" i="16" l="1"/>
  <c r="Y107" i="20"/>
  <c r="E2153" i="16"/>
  <c r="E2155" i="16" s="1"/>
  <c r="E2161" i="16" l="1"/>
  <c r="E2158" i="16"/>
  <c r="D2161" i="16" l="1"/>
  <c r="E2162" i="16"/>
  <c r="C2149" i="16" l="1"/>
  <c r="E1851" i="16" l="1"/>
  <c r="D1851" i="16"/>
  <c r="C1851" i="16"/>
  <c r="C1958" i="16" l="1"/>
  <c r="C1961" i="16" s="1"/>
  <c r="E1948" i="16"/>
  <c r="F1948" i="16" s="1"/>
  <c r="G1948" i="16" s="1"/>
  <c r="H1948" i="16" s="1"/>
  <c r="I1948" i="16" s="1"/>
  <c r="J1948" i="16" s="1"/>
  <c r="F1971" i="16"/>
  <c r="G1971" i="16" s="1"/>
  <c r="H1971" i="16" s="1"/>
  <c r="I1971" i="16" s="1"/>
  <c r="E1968" i="16" l="1"/>
  <c r="F1968" i="16" s="1"/>
  <c r="G1968" i="16" s="1"/>
  <c r="C1962" i="16"/>
  <c r="E1969" i="16" l="1"/>
  <c r="F1969" i="16" s="1"/>
  <c r="G1969" i="16" s="1"/>
  <c r="H1968" i="16"/>
  <c r="I1968" i="16" l="1"/>
  <c r="H1969" i="16"/>
  <c r="Q1709" i="16"/>
  <c r="Q1708" i="16"/>
  <c r="Q1707" i="16"/>
  <c r="B1785" i="16"/>
  <c r="B1780" i="16"/>
  <c r="B1784" i="16" s="1"/>
  <c r="B1779" i="16"/>
  <c r="B1783" i="16" s="1"/>
  <c r="D1850" i="16"/>
  <c r="E1850" i="16" s="1"/>
  <c r="F1850" i="16" s="1"/>
  <c r="G1850" i="16" s="1"/>
  <c r="H1850" i="16" s="1"/>
  <c r="P1816" i="16"/>
  <c r="Q1816" i="16" s="1"/>
  <c r="R1816" i="16" s="1"/>
  <c r="S1816" i="16" s="1"/>
  <c r="T1816" i="16" s="1"/>
  <c r="I1969" i="16" l="1"/>
  <c r="Q1710" i="16"/>
  <c r="J1926" i="16"/>
  <c r="I1926" i="16"/>
  <c r="H1926" i="16"/>
  <c r="G1926" i="16"/>
  <c r="F1926" i="16"/>
  <c r="E1926" i="16"/>
  <c r="D1926" i="16"/>
  <c r="C1926" i="16"/>
  <c r="W1700" i="16"/>
  <c r="X1700" i="16"/>
  <c r="Y1700" i="16"/>
  <c r="W1701" i="16"/>
  <c r="X1701" i="16"/>
  <c r="Y1701" i="16"/>
  <c r="W1702" i="16"/>
  <c r="X1702" i="16"/>
  <c r="Y1702" i="16"/>
  <c r="W1703" i="16"/>
  <c r="X1703" i="16"/>
  <c r="Y1703" i="16"/>
  <c r="W1704" i="16"/>
  <c r="X1704" i="16"/>
  <c r="Y1704" i="16"/>
  <c r="O1707" i="16"/>
  <c r="P1707" i="16"/>
  <c r="O1708" i="16"/>
  <c r="P1708" i="16"/>
  <c r="O1709" i="16"/>
  <c r="P1709" i="16"/>
  <c r="O1713" i="16"/>
  <c r="P1713" i="16"/>
  <c r="Q1713" i="16"/>
  <c r="O1710" i="16" l="1"/>
  <c r="O1711" i="16" s="1"/>
  <c r="P1710" i="16"/>
  <c r="P1711" i="16" s="1"/>
  <c r="X1711" i="16" s="1"/>
  <c r="Q1711" i="16"/>
  <c r="P1712" i="16" l="1"/>
  <c r="Q1712" i="16"/>
  <c r="Y1711" i="16"/>
  <c r="O1712" i="16"/>
  <c r="W1711" i="16"/>
  <c r="P10" i="5" l="1"/>
  <c r="P9" i="5"/>
  <c r="AE147" i="17" s="1"/>
  <c r="Q463" i="4"/>
  <c r="Q456" i="4"/>
  <c r="Q434" i="4"/>
  <c r="Q413" i="4"/>
  <c r="Q403" i="4"/>
  <c r="Q399" i="4"/>
  <c r="Q286" i="4"/>
  <c r="Q238" i="4"/>
  <c r="Q237" i="4"/>
  <c r="Q236" i="4"/>
  <c r="Q234" i="4"/>
  <c r="Q233" i="4"/>
  <c r="Q232" i="4"/>
  <c r="Q230" i="4"/>
  <c r="Q229" i="4"/>
  <c r="Q228" i="4"/>
  <c r="Q214" i="4"/>
  <c r="AE141" i="17" s="1"/>
  <c r="Q209" i="4"/>
  <c r="H4251" i="16" s="1"/>
  <c r="D4267" i="16" s="1"/>
  <c r="D4276" i="16" s="1"/>
  <c r="Q207" i="4"/>
  <c r="Q203" i="4"/>
  <c r="I4243" i="16" s="1"/>
  <c r="Q193" i="4"/>
  <c r="Q154" i="4"/>
  <c r="Q188" i="4" s="1"/>
  <c r="Q243" i="4" s="1"/>
  <c r="Q259" i="4" s="1"/>
  <c r="Q284" i="4" s="1"/>
  <c r="Q39" i="4"/>
  <c r="H3270" i="16" s="1"/>
  <c r="I1713" i="16"/>
  <c r="Y1713" i="16" s="1"/>
  <c r="I1712" i="16"/>
  <c r="Y1712" i="16" s="1"/>
  <c r="I1709" i="16"/>
  <c r="Y1709" i="16" s="1"/>
  <c r="I1708" i="16"/>
  <c r="I2056" i="16" s="1"/>
  <c r="I1707" i="16"/>
  <c r="Y1707" i="16" s="1"/>
  <c r="H1713" i="16"/>
  <c r="X1713" i="16" s="1"/>
  <c r="H1712" i="16"/>
  <c r="X1712" i="16" s="1"/>
  <c r="H1709" i="16"/>
  <c r="H1708" i="16"/>
  <c r="H1707" i="16"/>
  <c r="X1707" i="16" s="1"/>
  <c r="G1713" i="16"/>
  <c r="W1713" i="16" s="1"/>
  <c r="G1712" i="16"/>
  <c r="W1712" i="16" s="1"/>
  <c r="G1709" i="16"/>
  <c r="W1709" i="16" s="1"/>
  <c r="G1708" i="16"/>
  <c r="G2056" i="16" s="1"/>
  <c r="G1707" i="16"/>
  <c r="W1707" i="16" s="1"/>
  <c r="AE139" i="17" l="1"/>
  <c r="P27" i="5"/>
  <c r="X1708" i="16"/>
  <c r="H2056" i="16"/>
  <c r="I1710" i="16"/>
  <c r="Y1710" i="16" s="1"/>
  <c r="Y1708" i="16"/>
  <c r="G1710" i="16"/>
  <c r="W1710" i="16" s="1"/>
  <c r="W1708" i="16"/>
  <c r="H1710" i="16"/>
  <c r="X1710" i="16" s="1"/>
  <c r="X1709" i="16"/>
  <c r="Q343" i="4"/>
  <c r="Q363" i="4" s="1"/>
  <c r="Q381" i="4" s="1"/>
  <c r="Q412" i="4" s="1"/>
  <c r="Q420" i="4" s="1"/>
  <c r="Q431" i="4" s="1"/>
  <c r="Q446" i="4" s="1"/>
  <c r="Q458" i="4" s="1"/>
  <c r="Q498" i="4" s="1"/>
  <c r="Q324" i="4"/>
  <c r="F17" i="32" l="1"/>
  <c r="F1908" i="16"/>
  <c r="G1908" i="16" s="1"/>
  <c r="H1908" i="16" s="1"/>
  <c r="I1908" i="16" s="1"/>
  <c r="B1902" i="16"/>
  <c r="B1901" i="16"/>
  <c r="B1900" i="16"/>
  <c r="B1899" i="16"/>
  <c r="B1898" i="16"/>
  <c r="B1897" i="16"/>
  <c r="E1872" i="16"/>
  <c r="F1872" i="16" s="1"/>
  <c r="G1872" i="16" s="1"/>
  <c r="H1872" i="16" s="1"/>
  <c r="F1824" i="16"/>
  <c r="E1824" i="16"/>
  <c r="D1826" i="16"/>
  <c r="C1826" i="16"/>
  <c r="D1825" i="16"/>
  <c r="C1825" i="16"/>
  <c r="M1816" i="16" l="1"/>
  <c r="C1811" i="16" s="1"/>
  <c r="C1001" i="12"/>
  <c r="C1015" i="12"/>
  <c r="E1826" i="16" s="1"/>
  <c r="C1014" i="12"/>
  <c r="E1825" i="16" s="1"/>
  <c r="C1011" i="12"/>
  <c r="C1009" i="12"/>
  <c r="B1770" i="16"/>
  <c r="B1769" i="16"/>
  <c r="B1768" i="16"/>
  <c r="B1767" i="16"/>
  <c r="B1766" i="16"/>
  <c r="B1765" i="16"/>
  <c r="S1748" i="16"/>
  <c r="V1704" i="16"/>
  <c r="U1704" i="16"/>
  <c r="T1704" i="16"/>
  <c r="S1704" i="16"/>
  <c r="V1703" i="16"/>
  <c r="U1703" i="16"/>
  <c r="T1703" i="16"/>
  <c r="S1703" i="16"/>
  <c r="V1702" i="16"/>
  <c r="U1702" i="16"/>
  <c r="T1702" i="16"/>
  <c r="S1702" i="16"/>
  <c r="V1701" i="16"/>
  <c r="U1701" i="16"/>
  <c r="T1701" i="16"/>
  <c r="S1701" i="16"/>
  <c r="V1700" i="16"/>
  <c r="U1700" i="16"/>
  <c r="T1700" i="16"/>
  <c r="S1700" i="16"/>
  <c r="T1699" i="16"/>
  <c r="U1699" i="16" s="1"/>
  <c r="V1699" i="16" s="1"/>
  <c r="C1010" i="12" l="1"/>
  <c r="C1827" i="16"/>
  <c r="C1828" i="16" s="1"/>
  <c r="D1833" i="16" s="1"/>
  <c r="V1748" i="16"/>
  <c r="W1699" i="16"/>
  <c r="T1748" i="16"/>
  <c r="U1748" i="16"/>
  <c r="E1833" i="16" l="1"/>
  <c r="D1843" i="16"/>
  <c r="E1843" i="16" s="1"/>
  <c r="W1748" i="16"/>
  <c r="X1699" i="16"/>
  <c r="C2135" i="16"/>
  <c r="AB96" i="20"/>
  <c r="AG96" i="20" s="1"/>
  <c r="D223" i="23"/>
  <c r="D233" i="23"/>
  <c r="C229" i="23"/>
  <c r="D229" i="23"/>
  <c r="E229" i="23"/>
  <c r="K216" i="23"/>
  <c r="L216" i="23" s="1"/>
  <c r="M216" i="23" s="1"/>
  <c r="N216" i="23" s="1"/>
  <c r="O216" i="23" s="1"/>
  <c r="P216" i="23" s="1"/>
  <c r="Q216" i="23" s="1"/>
  <c r="E214" i="23"/>
  <c r="D214" i="23"/>
  <c r="Y1699" i="16" l="1"/>
  <c r="Y1748" i="16" s="1"/>
  <c r="X1748" i="16"/>
  <c r="D2122" i="16"/>
  <c r="D2121" i="16"/>
  <c r="C2129" i="16"/>
  <c r="C2121" i="16" s="1"/>
  <c r="C2122" i="16" l="1"/>
  <c r="E2129" i="16" l="1"/>
  <c r="F2129" i="16" l="1"/>
  <c r="E2121" i="16"/>
  <c r="E2122" i="16"/>
  <c r="D2118" i="16"/>
  <c r="E2118" i="16" s="1"/>
  <c r="F2118" i="16" s="1"/>
  <c r="G2118" i="16" s="1"/>
  <c r="H2118" i="16" s="1"/>
  <c r="I2118" i="16" s="1"/>
  <c r="J2118" i="16" s="1"/>
  <c r="G2129" i="16" l="1"/>
  <c r="F2122" i="16"/>
  <c r="F2121" i="16"/>
  <c r="H2129" i="16" l="1"/>
  <c r="G2121" i="16"/>
  <c r="G2122" i="16"/>
  <c r="B1022" i="20"/>
  <c r="B1036" i="20" s="1"/>
  <c r="B1021" i="20"/>
  <c r="B1028" i="20" s="1"/>
  <c r="B1020" i="20"/>
  <c r="B1027" i="20" s="1"/>
  <c r="B1019" i="20"/>
  <c r="B1026" i="20" s="1"/>
  <c r="B1018" i="20"/>
  <c r="B1025" i="20" s="1"/>
  <c r="B1014" i="20"/>
  <c r="B1008" i="20"/>
  <c r="B1000" i="20"/>
  <c r="B1007" i="20" s="1"/>
  <c r="B999" i="20"/>
  <c r="B1006" i="20" s="1"/>
  <c r="B998" i="20"/>
  <c r="B1005" i="20" s="1"/>
  <c r="D995" i="20"/>
  <c r="E995" i="20"/>
  <c r="F995" i="20"/>
  <c r="G995" i="20"/>
  <c r="H995" i="20"/>
  <c r="B995" i="20"/>
  <c r="B994" i="20"/>
  <c r="B993" i="20"/>
  <c r="B992" i="20"/>
  <c r="E986" i="20"/>
  <c r="F986" i="20"/>
  <c r="H986" i="20"/>
  <c r="B1035" i="20" l="1"/>
  <c r="I2129" i="16"/>
  <c r="H2121" i="16"/>
  <c r="H2122" i="16"/>
  <c r="B1032" i="20"/>
  <c r="B1033" i="20"/>
  <c r="B1029" i="20"/>
  <c r="H2111" i="16"/>
  <c r="H2103" i="16"/>
  <c r="G2111" i="16"/>
  <c r="G2103" i="16"/>
  <c r="F2108" i="16"/>
  <c r="F2107" i="16"/>
  <c r="C2108" i="16"/>
  <c r="C2107" i="16"/>
  <c r="H2101" i="16"/>
  <c r="G2108" i="16" l="1"/>
  <c r="J2129" i="16"/>
  <c r="I2121" i="16"/>
  <c r="I2122" i="16"/>
  <c r="G2107" i="16"/>
  <c r="C2101" i="16"/>
  <c r="J2122" i="16" l="1"/>
  <c r="J2121" i="16"/>
  <c r="G2101" i="16"/>
  <c r="C2113" i="16"/>
  <c r="L2070" i="16"/>
  <c r="J2071" i="16"/>
  <c r="X118" i="20"/>
  <c r="CA118" i="20" s="1"/>
  <c r="U118" i="20"/>
  <c r="BY118" i="20" s="1"/>
  <c r="T118" i="20"/>
  <c r="BX118" i="20" s="1"/>
  <c r="S118" i="20"/>
  <c r="Q118" i="20"/>
  <c r="P118" i="20"/>
  <c r="M118" i="20"/>
  <c r="L118" i="20"/>
  <c r="X125" i="20"/>
  <c r="X124" i="20"/>
  <c r="BW116" i="20"/>
  <c r="H1009" i="20" s="1"/>
  <c r="BW114" i="20"/>
  <c r="BW113" i="20"/>
  <c r="H1006" i="20" s="1"/>
  <c r="BW112" i="20"/>
  <c r="BW111" i="20"/>
  <c r="BW110" i="20"/>
  <c r="M2068" i="16"/>
  <c r="L2068" i="16"/>
  <c r="K2068" i="16"/>
  <c r="J2068" i="16"/>
  <c r="I2068" i="16"/>
  <c r="F2069" i="16"/>
  <c r="F2073" i="16" s="1"/>
  <c r="F2078" i="16" s="1"/>
  <c r="Z360" i="12"/>
  <c r="Z357" i="12"/>
  <c r="AX357" i="12" s="1"/>
  <c r="X138" i="20"/>
  <c r="X135" i="20"/>
  <c r="D2070" i="16" s="1"/>
  <c r="X134" i="20"/>
  <c r="X133" i="20"/>
  <c r="X132" i="20"/>
  <c r="X127" i="20"/>
  <c r="X126" i="20"/>
  <c r="X115" i="20"/>
  <c r="CA115" i="20" s="1"/>
  <c r="D2071" i="16"/>
  <c r="C2070" i="16"/>
  <c r="C2071" i="16"/>
  <c r="X117" i="20" l="1"/>
  <c r="G49" i="24"/>
  <c r="H50" i="24" s="1"/>
  <c r="Z362" i="12"/>
  <c r="X144" i="20" s="1"/>
  <c r="AC360" i="12"/>
  <c r="AC362" i="12" s="1"/>
  <c r="Z359" i="12"/>
  <c r="AX359" i="12" s="1"/>
  <c r="H1012" i="20"/>
  <c r="G1012" i="20" s="1"/>
  <c r="F1012" i="20" s="1"/>
  <c r="E1012" i="20" s="1"/>
  <c r="D1012" i="20" s="1"/>
  <c r="Z374" i="12"/>
  <c r="E2069" i="16"/>
  <c r="E2070" i="16"/>
  <c r="G2070" i="16" s="1"/>
  <c r="X137" i="20"/>
  <c r="J2070" i="16"/>
  <c r="H1007" i="20"/>
  <c r="D2069" i="16"/>
  <c r="D2073" i="16" s="1"/>
  <c r="BP118" i="20"/>
  <c r="BT118" i="20"/>
  <c r="E1005" i="20" s="1"/>
  <c r="BU118" i="20"/>
  <c r="F1005" i="20" s="1"/>
  <c r="BQ118" i="20"/>
  <c r="BW118" i="20"/>
  <c r="F2075" i="16"/>
  <c r="F2076" i="16" s="1"/>
  <c r="G2071" i="16"/>
  <c r="F2077" i="16"/>
  <c r="F2074" i="16"/>
  <c r="X123" i="20" l="1"/>
  <c r="CA117" i="20"/>
  <c r="AC366" i="12"/>
  <c r="AA145" i="20" s="1"/>
  <c r="AA155" i="20" s="1"/>
  <c r="AA144" i="20"/>
  <c r="Z366" i="12"/>
  <c r="X145" i="20" s="1"/>
  <c r="X146" i="20" s="1"/>
  <c r="M2520" i="16"/>
  <c r="O2520" i="16" s="1"/>
  <c r="G52" i="24"/>
  <c r="G114" i="24" s="1"/>
  <c r="E2073" i="16"/>
  <c r="E2075" i="16" s="1"/>
  <c r="E2076" i="16" s="1"/>
  <c r="J2069" i="16"/>
  <c r="H1005" i="20"/>
  <c r="D2074" i="16"/>
  <c r="D2078" i="16"/>
  <c r="D2075" i="16"/>
  <c r="D2076" i="16" s="1"/>
  <c r="D2077" i="16"/>
  <c r="G116" i="24" l="1"/>
  <c r="G128" i="24"/>
  <c r="G55" i="24"/>
  <c r="C2908" i="16" s="1"/>
  <c r="C2909" i="16"/>
  <c r="AA146" i="20"/>
  <c r="AA154" i="20"/>
  <c r="M2504" i="16"/>
  <c r="M2522" i="16" s="1"/>
  <c r="G62" i="24"/>
  <c r="G65" i="24"/>
  <c r="E2078" i="16"/>
  <c r="E2077" i="16"/>
  <c r="C1866" i="16"/>
  <c r="C1900" i="16" s="1"/>
  <c r="C1963" i="16" s="1"/>
  <c r="C1964" i="16" s="1"/>
  <c r="K1723" i="16"/>
  <c r="I1809" i="16"/>
  <c r="H1809" i="16"/>
  <c r="G1809" i="16"/>
  <c r="F1809" i="16"/>
  <c r="E1809" i="16"/>
  <c r="E1811" i="16" s="1"/>
  <c r="E2000" i="16" s="1"/>
  <c r="N1888" i="16" s="1"/>
  <c r="D1809" i="16"/>
  <c r="D1810" i="16" s="1"/>
  <c r="F1811" i="16" l="1"/>
  <c r="F2000" i="16" s="1"/>
  <c r="O1888" i="16" s="1"/>
  <c r="E1817" i="16"/>
  <c r="N1883" i="16" s="1"/>
  <c r="E2030" i="16"/>
  <c r="S1723" i="16"/>
  <c r="E2001" i="16" l="1"/>
  <c r="N1886" i="16"/>
  <c r="E2031" i="16"/>
  <c r="G1811" i="16"/>
  <c r="G2000" i="16" s="1"/>
  <c r="P1888" i="16" s="1"/>
  <c r="F2030" i="16"/>
  <c r="O1886" i="16" s="1"/>
  <c r="D1812" i="16"/>
  <c r="E1810" i="16"/>
  <c r="H1811" i="16" l="1"/>
  <c r="H2000" i="16" s="1"/>
  <c r="Q1888" i="16" s="1"/>
  <c r="G2030" i="16"/>
  <c r="P1886" i="16" s="1"/>
  <c r="E1812" i="16"/>
  <c r="E1813" i="16" s="1"/>
  <c r="F1810" i="16"/>
  <c r="I1811" i="16" l="1"/>
  <c r="I2000" i="16" s="1"/>
  <c r="R1888" i="16" s="1"/>
  <c r="H2030" i="16"/>
  <c r="Q1886" i="16" s="1"/>
  <c r="F1812" i="16"/>
  <c r="F1813" i="16" s="1"/>
  <c r="G1810" i="16"/>
  <c r="G1812" i="16" l="1"/>
  <c r="G1813" i="16" s="1"/>
  <c r="H1810" i="16"/>
  <c r="H1812" i="16" l="1"/>
  <c r="H1813" i="16" s="1"/>
  <c r="I1810" i="16"/>
  <c r="I1812" i="16"/>
  <c r="I1813" i="16" s="1"/>
  <c r="E1928" i="16" l="1"/>
  <c r="E1929" i="16"/>
  <c r="K1737" i="16" l="1"/>
  <c r="S1737" i="16" s="1"/>
  <c r="K1744" i="16"/>
  <c r="S1744" i="16" s="1"/>
  <c r="K1748" i="16" l="1"/>
  <c r="N1713" i="16" l="1"/>
  <c r="M1713" i="16"/>
  <c r="L1713" i="16"/>
  <c r="K1713" i="16"/>
  <c r="N1709" i="16"/>
  <c r="M1709" i="16"/>
  <c r="L1709" i="16"/>
  <c r="K1709" i="16"/>
  <c r="N1708" i="16"/>
  <c r="M1708" i="16"/>
  <c r="L1708" i="16"/>
  <c r="K1708" i="16"/>
  <c r="N1707" i="16"/>
  <c r="M1707" i="16"/>
  <c r="L1707" i="16"/>
  <c r="K1707" i="16"/>
  <c r="L1699" i="16"/>
  <c r="F1713" i="16"/>
  <c r="E1713" i="16"/>
  <c r="D1713" i="16"/>
  <c r="C1713" i="16"/>
  <c r="F1712" i="16"/>
  <c r="E1712" i="16"/>
  <c r="D1712" i="16"/>
  <c r="C1712" i="16"/>
  <c r="F1709" i="16"/>
  <c r="E1709" i="16"/>
  <c r="D1709" i="16"/>
  <c r="C1709" i="16"/>
  <c r="F1708" i="16"/>
  <c r="F2056" i="16" s="1"/>
  <c r="E1708" i="16"/>
  <c r="E2056" i="16" s="1"/>
  <c r="D1708" i="16"/>
  <c r="D2056" i="16" s="1"/>
  <c r="C1708" i="16"/>
  <c r="F1707" i="16"/>
  <c r="E1707" i="16"/>
  <c r="D1707" i="16"/>
  <c r="C1707" i="16"/>
  <c r="B1713" i="16"/>
  <c r="B1712" i="16"/>
  <c r="B1709" i="16"/>
  <c r="B1708" i="16"/>
  <c r="B1707" i="16"/>
  <c r="B1757" i="16"/>
  <c r="B1756" i="16"/>
  <c r="C1748" i="16"/>
  <c r="C1765" i="16" s="1"/>
  <c r="C1773" i="16" s="1"/>
  <c r="K1773" i="16" s="1"/>
  <c r="S1773" i="16" s="1"/>
  <c r="C1721" i="16"/>
  <c r="C1717" i="16"/>
  <c r="C1720" i="16" s="1"/>
  <c r="S1721" i="16" l="1"/>
  <c r="D2041" i="16"/>
  <c r="D2042" i="16" s="1"/>
  <c r="L1710" i="16"/>
  <c r="L1711" i="16" s="1"/>
  <c r="S1707" i="16"/>
  <c r="H1726" i="16"/>
  <c r="G1726" i="16"/>
  <c r="I1726" i="16"/>
  <c r="S1708" i="16"/>
  <c r="F1726" i="16"/>
  <c r="E1726" i="16"/>
  <c r="D1726" i="16"/>
  <c r="C1726" i="16"/>
  <c r="V1713" i="16"/>
  <c r="T1713" i="16"/>
  <c r="S1709" i="16"/>
  <c r="S1713" i="16"/>
  <c r="C1728" i="16"/>
  <c r="U1707" i="16"/>
  <c r="U1708" i="16"/>
  <c r="U1709" i="16"/>
  <c r="U1713" i="16"/>
  <c r="V1707" i="16"/>
  <c r="V1708" i="16"/>
  <c r="V1709" i="16"/>
  <c r="T1707" i="16"/>
  <c r="T1708" i="16"/>
  <c r="T1709" i="16"/>
  <c r="F1710" i="16"/>
  <c r="D1710" i="16"/>
  <c r="N1710" i="16"/>
  <c r="N1711" i="16" s="1"/>
  <c r="M1710" i="16"/>
  <c r="C1722" i="16"/>
  <c r="E1710" i="16"/>
  <c r="K1710" i="16"/>
  <c r="C1710" i="16"/>
  <c r="M1699" i="16"/>
  <c r="L1748" i="16"/>
  <c r="D2045" i="16" l="1"/>
  <c r="D2044" i="16"/>
  <c r="D2048" i="16" s="1"/>
  <c r="T1710" i="16"/>
  <c r="C1893" i="16"/>
  <c r="V1710" i="16"/>
  <c r="C1734" i="16"/>
  <c r="U1710" i="16"/>
  <c r="L1712" i="16"/>
  <c r="T1712" i="16" s="1"/>
  <c r="T1711" i="16"/>
  <c r="N1712" i="16"/>
  <c r="V1712" i="16" s="1"/>
  <c r="V1711" i="16"/>
  <c r="S1710" i="16"/>
  <c r="C1725" i="16"/>
  <c r="K1725" i="16" s="1"/>
  <c r="N1699" i="16"/>
  <c r="M1748" i="16"/>
  <c r="K1711" i="16"/>
  <c r="M1711" i="16"/>
  <c r="D2052" i="16" l="1"/>
  <c r="C1743" i="16"/>
  <c r="C1745" i="16" s="1"/>
  <c r="D1745" i="16" s="1"/>
  <c r="E1745" i="16" s="1"/>
  <c r="F1745" i="16" s="1"/>
  <c r="G1745" i="16" s="1"/>
  <c r="H1745" i="16" s="1"/>
  <c r="I1745" i="16" s="1"/>
  <c r="N1748" i="16"/>
  <c r="O1699" i="16"/>
  <c r="C1735" i="16"/>
  <c r="K1722" i="16"/>
  <c r="S1722" i="16" s="1"/>
  <c r="S1725" i="16"/>
  <c r="M1712" i="16"/>
  <c r="U1712" i="16" s="1"/>
  <c r="U1711" i="16"/>
  <c r="K1712" i="16"/>
  <c r="S1712" i="16" s="1"/>
  <c r="S1711" i="16"/>
  <c r="E2052" i="16" l="1"/>
  <c r="F2052" i="16" s="1"/>
  <c r="G2052" i="16" s="1"/>
  <c r="H2052" i="16" s="1"/>
  <c r="I2052" i="16" s="1"/>
  <c r="D2053" i="16"/>
  <c r="C1738" i="16"/>
  <c r="P1699" i="16"/>
  <c r="O1748" i="16"/>
  <c r="K1720" i="16"/>
  <c r="C1746" i="16"/>
  <c r="D1746" i="16" s="1"/>
  <c r="E2053" i="16" l="1"/>
  <c r="D2055" i="16"/>
  <c r="D2057" i="16" s="1"/>
  <c r="P1726" i="16"/>
  <c r="Q1726" i="16"/>
  <c r="O1726" i="16"/>
  <c r="Q1699" i="16"/>
  <c r="Q1748" i="16" s="1"/>
  <c r="P1748" i="16"/>
  <c r="S1720" i="16"/>
  <c r="L1726" i="16"/>
  <c r="K1726" i="16"/>
  <c r="N1726" i="16"/>
  <c r="M1726" i="16"/>
  <c r="K1728" i="16"/>
  <c r="K1734" i="16" s="1"/>
  <c r="K1743" i="16" s="1"/>
  <c r="C1894" i="16" s="1"/>
  <c r="C1937" i="16" s="1"/>
  <c r="E1941" i="16" s="1"/>
  <c r="E1942" i="16" s="1"/>
  <c r="E1746" i="16"/>
  <c r="F2053" i="16" l="1"/>
  <c r="E2055" i="16"/>
  <c r="E2057" i="16" s="1"/>
  <c r="X1726" i="16"/>
  <c r="W1726" i="16"/>
  <c r="Y1726" i="16"/>
  <c r="C1895" i="16"/>
  <c r="C1898" i="16" s="1"/>
  <c r="E1905" i="16" s="1"/>
  <c r="E1906" i="16" s="1"/>
  <c r="S1728" i="16"/>
  <c r="V1726" i="16"/>
  <c r="T1726" i="16"/>
  <c r="S1726" i="16"/>
  <c r="U1726" i="16"/>
  <c r="K1745" i="16"/>
  <c r="L1745" i="16" s="1"/>
  <c r="M1745" i="16" s="1"/>
  <c r="N1745" i="16" s="1"/>
  <c r="O1745" i="16" s="1"/>
  <c r="K1735" i="16"/>
  <c r="K1738" i="16" s="1"/>
  <c r="F1746" i="16"/>
  <c r="G1746" i="16" s="1"/>
  <c r="H1746" i="16" s="1"/>
  <c r="I1746" i="16" s="1"/>
  <c r="G2053" i="16" l="1"/>
  <c r="F2055" i="16"/>
  <c r="F2057" i="16" s="1"/>
  <c r="C1899" i="16"/>
  <c r="C1901" i="16" s="1"/>
  <c r="P1745" i="16"/>
  <c r="Q1745" i="16" s="1"/>
  <c r="S1734" i="16"/>
  <c r="S1743" i="16" s="1"/>
  <c r="S1745" i="16" s="1"/>
  <c r="T1745" i="16" s="1"/>
  <c r="U1745" i="16" s="1"/>
  <c r="V1745" i="16" s="1"/>
  <c r="W1745" i="16" s="1"/>
  <c r="X1745" i="16" s="1"/>
  <c r="Y1745" i="16" s="1"/>
  <c r="K1746" i="16"/>
  <c r="F1905" i="16"/>
  <c r="G1905" i="16" s="1"/>
  <c r="H1905" i="16" s="1"/>
  <c r="H2053" i="16" l="1"/>
  <c r="G2055" i="16"/>
  <c r="G2057" i="16" s="1"/>
  <c r="S1735" i="16"/>
  <c r="S1738" i="16" s="1"/>
  <c r="I1905" i="16"/>
  <c r="S1746" i="16"/>
  <c r="T1746" i="16" s="1"/>
  <c r="L1746" i="16"/>
  <c r="F1906" i="16"/>
  <c r="G1906" i="16" s="1"/>
  <c r="H1906" i="16" s="1"/>
  <c r="D1699" i="16"/>
  <c r="I2053" i="16" l="1"/>
  <c r="I2055" i="16" s="1"/>
  <c r="I2057" i="16" s="1"/>
  <c r="H2055" i="16"/>
  <c r="H2057" i="16" s="1"/>
  <c r="I1906" i="16"/>
  <c r="M1746" i="16"/>
  <c r="U1746" i="16"/>
  <c r="E1699" i="16"/>
  <c r="D1748" i="16"/>
  <c r="D1765" i="16" s="1"/>
  <c r="D1773" i="16" s="1"/>
  <c r="L1773" i="16" s="1"/>
  <c r="T1773" i="16" s="1"/>
  <c r="X393" i="20"/>
  <c r="Y395" i="20" s="1"/>
  <c r="N1746" i="16" l="1"/>
  <c r="O1746" i="16" s="1"/>
  <c r="P1746" i="16" s="1"/>
  <c r="Q1746" i="16" s="1"/>
  <c r="V1746" i="16"/>
  <c r="W1746" i="16" s="1"/>
  <c r="X1746" i="16" s="1"/>
  <c r="Y1746" i="16" s="1"/>
  <c r="F1699" i="16"/>
  <c r="E1748" i="16"/>
  <c r="E1765" i="16" s="1"/>
  <c r="E1773" i="16" s="1"/>
  <c r="M1773" i="16" s="1"/>
  <c r="U1773" i="16" s="1"/>
  <c r="C1688" i="16"/>
  <c r="C1691" i="16" s="1"/>
  <c r="C1693" i="16" s="1"/>
  <c r="F1748" i="16" l="1"/>
  <c r="F1765" i="16" s="1"/>
  <c r="F1773" i="16" s="1"/>
  <c r="N1773" i="16" s="1"/>
  <c r="V1773" i="16" s="1"/>
  <c r="G1699" i="16"/>
  <c r="AB59" i="20"/>
  <c r="BQ13" i="20"/>
  <c r="D1092" i="20" s="1"/>
  <c r="D1075" i="20" s="1"/>
  <c r="BQ8" i="20"/>
  <c r="D1087" i="20" s="1"/>
  <c r="BQ5" i="20"/>
  <c r="D1086" i="20" s="1"/>
  <c r="H1699" i="16" l="1"/>
  <c r="G1748" i="16"/>
  <c r="G1765" i="16" s="1"/>
  <c r="G1773" i="16" s="1"/>
  <c r="O1773" i="16" s="1"/>
  <c r="W1773" i="16" s="1"/>
  <c r="D1994" i="8"/>
  <c r="D1996" i="8" s="1"/>
  <c r="F1994" i="8"/>
  <c r="E1993" i="8"/>
  <c r="CE488" i="20"/>
  <c r="CE487" i="20"/>
  <c r="CE486" i="20"/>
  <c r="CE485" i="20"/>
  <c r="CE482" i="20"/>
  <c r="CE481" i="20"/>
  <c r="CE480" i="20"/>
  <c r="CE466" i="20"/>
  <c r="N579" i="20" s="1"/>
  <c r="Q635" i="20" s="1"/>
  <c r="CE465" i="20"/>
  <c r="N577" i="20" s="1"/>
  <c r="CE464" i="20"/>
  <c r="N576" i="20" s="1"/>
  <c r="Q611" i="20" s="1"/>
  <c r="CE463" i="20"/>
  <c r="N575" i="20" s="1"/>
  <c r="Q623" i="20" s="1"/>
  <c r="CE460" i="20"/>
  <c r="N574" i="20" s="1"/>
  <c r="CE459" i="20"/>
  <c r="N573" i="20" s="1"/>
  <c r="CE458" i="20"/>
  <c r="CE455" i="20"/>
  <c r="N570" i="20" s="1"/>
  <c r="Q634" i="20" s="1"/>
  <c r="CE454" i="20"/>
  <c r="N568" i="20" s="1"/>
  <c r="CE453" i="20"/>
  <c r="N567" i="20" s="1"/>
  <c r="Q610" i="20" s="1"/>
  <c r="CE452" i="20"/>
  <c r="N566" i="20" s="1"/>
  <c r="Q622" i="20" s="1"/>
  <c r="CE448" i="20"/>
  <c r="N565" i="20" s="1"/>
  <c r="CE447" i="20"/>
  <c r="N564" i="20" s="1"/>
  <c r="CE446" i="20"/>
  <c r="CE443" i="20"/>
  <c r="N560" i="20" s="1"/>
  <c r="CE442" i="20"/>
  <c r="N559" i="20" s="1"/>
  <c r="CE441" i="20"/>
  <c r="N558" i="20" s="1"/>
  <c r="CE437" i="20"/>
  <c r="N557" i="20" s="1"/>
  <c r="CE436" i="20"/>
  <c r="N556" i="20" s="1"/>
  <c r="CE435" i="20"/>
  <c r="CE432" i="20"/>
  <c r="CF432" i="20" s="1"/>
  <c r="N553" i="20" s="1"/>
  <c r="Q632" i="20" s="1"/>
  <c r="CE431" i="20"/>
  <c r="CF431" i="20" s="1"/>
  <c r="N551" i="20" s="1"/>
  <c r="CE430" i="20"/>
  <c r="CF430" i="20" s="1"/>
  <c r="N550" i="20" s="1"/>
  <c r="Q608" i="20" s="1"/>
  <c r="CE429" i="20"/>
  <c r="CF429" i="20" s="1"/>
  <c r="N549" i="20" s="1"/>
  <c r="Q620" i="20" s="1"/>
  <c r="CE425" i="20"/>
  <c r="CF425" i="20" s="1"/>
  <c r="N548" i="20" s="1"/>
  <c r="CE424" i="20"/>
  <c r="CF424" i="20" s="1"/>
  <c r="N547" i="20" s="1"/>
  <c r="CE423" i="20"/>
  <c r="CF423" i="20" s="1"/>
  <c r="CE420" i="20"/>
  <c r="N544" i="20" s="1"/>
  <c r="Q631" i="20" s="1"/>
  <c r="CE419" i="20"/>
  <c r="N542" i="20" s="1"/>
  <c r="CE418" i="20"/>
  <c r="N541" i="20" s="1"/>
  <c r="Q607" i="20" s="1"/>
  <c r="CE417" i="20"/>
  <c r="N540" i="20" s="1"/>
  <c r="Q619" i="20" s="1"/>
  <c r="CE414" i="20"/>
  <c r="N539" i="20" s="1"/>
  <c r="CE413" i="20"/>
  <c r="N538" i="20" s="1"/>
  <c r="CE412" i="20"/>
  <c r="X9" i="20"/>
  <c r="BU9" i="20" s="1"/>
  <c r="H1088" i="20" s="1"/>
  <c r="BQ17" i="20"/>
  <c r="BQ15" i="20"/>
  <c r="BQ14" i="20"/>
  <c r="D1093" i="20" s="1"/>
  <c r="BQ12" i="20"/>
  <c r="BQ4" i="20"/>
  <c r="Z317" i="12"/>
  <c r="S11" i="20"/>
  <c r="X11" i="20"/>
  <c r="BU11" i="20" s="1"/>
  <c r="H1090" i="20" s="1"/>
  <c r="Z316" i="12"/>
  <c r="M807" i="20" s="1"/>
  <c r="Q621" i="20" l="1"/>
  <c r="Q609" i="20"/>
  <c r="X16" i="20"/>
  <c r="AA11" i="20"/>
  <c r="BX11" i="20" s="1"/>
  <c r="D1091" i="20"/>
  <c r="D1094" i="20"/>
  <c r="D1095" i="20"/>
  <c r="I1699" i="16"/>
  <c r="I1748" i="16" s="1"/>
  <c r="I1765" i="16" s="1"/>
  <c r="I1773" i="16" s="1"/>
  <c r="Q1773" i="16" s="1"/>
  <c r="Y1773" i="16" s="1"/>
  <c r="H1748" i="16"/>
  <c r="H1765" i="16" s="1"/>
  <c r="H1773" i="16" s="1"/>
  <c r="P1773" i="16" s="1"/>
  <c r="X1773" i="16" s="1"/>
  <c r="X10" i="20"/>
  <c r="BU10" i="20" s="1"/>
  <c r="H1089" i="20" s="1"/>
  <c r="BQ11" i="20"/>
  <c r="N590" i="20"/>
  <c r="N603" i="20" s="1"/>
  <c r="N615" i="20" s="1"/>
  <c r="N627" i="20" s="1"/>
  <c r="M555" i="20"/>
  <c r="M572" i="20" s="1"/>
  <c r="M581" i="20" s="1"/>
  <c r="L555" i="20"/>
  <c r="L572" i="20" s="1"/>
  <c r="L581" i="20" s="1"/>
  <c r="K555" i="20"/>
  <c r="K572" i="20" s="1"/>
  <c r="K581" i="20" s="1"/>
  <c r="J555" i="20"/>
  <c r="J572" i="20" s="1"/>
  <c r="J581" i="20" s="1"/>
  <c r="I555" i="20"/>
  <c r="I572" i="20" s="1"/>
  <c r="I581" i="20" s="1"/>
  <c r="H521" i="20"/>
  <c r="G521" i="20"/>
  <c r="F521" i="20"/>
  <c r="E521" i="20"/>
  <c r="D521" i="20"/>
  <c r="C521" i="20"/>
  <c r="H520" i="20"/>
  <c r="G520" i="20"/>
  <c r="F520" i="20"/>
  <c r="E520" i="20"/>
  <c r="D520" i="20"/>
  <c r="C520" i="20"/>
  <c r="H519" i="20"/>
  <c r="G519" i="20"/>
  <c r="F519" i="20"/>
  <c r="E519" i="20"/>
  <c r="D519" i="20"/>
  <c r="C519" i="20"/>
  <c r="H518" i="20"/>
  <c r="G518" i="20"/>
  <c r="F518" i="20"/>
  <c r="E518" i="20"/>
  <c r="D518" i="20"/>
  <c r="C518" i="20"/>
  <c r="H517" i="20"/>
  <c r="G517" i="20"/>
  <c r="F517" i="20"/>
  <c r="E517" i="20"/>
  <c r="D517" i="20"/>
  <c r="H514" i="20"/>
  <c r="G514" i="20"/>
  <c r="F514" i="20"/>
  <c r="E514" i="20"/>
  <c r="H512" i="20"/>
  <c r="G512" i="20"/>
  <c r="F512" i="20"/>
  <c r="E512" i="20"/>
  <c r="H511" i="20"/>
  <c r="G511" i="20"/>
  <c r="F511" i="20"/>
  <c r="E511" i="20"/>
  <c r="H510" i="20"/>
  <c r="G510" i="20"/>
  <c r="F510" i="20"/>
  <c r="E510" i="20"/>
  <c r="H509" i="20"/>
  <c r="G509" i="20"/>
  <c r="F509" i="20"/>
  <c r="E509" i="20"/>
  <c r="D509" i="20"/>
  <c r="C509" i="20"/>
  <c r="H508" i="20"/>
  <c r="G508" i="20"/>
  <c r="D508" i="20"/>
  <c r="Q106" i="20"/>
  <c r="R106" i="20"/>
  <c r="S106" i="20"/>
  <c r="D989" i="20" s="1"/>
  <c r="T106" i="20"/>
  <c r="U106" i="20"/>
  <c r="BV106" i="20" s="1"/>
  <c r="F1064" i="20" s="1"/>
  <c r="V106" i="20"/>
  <c r="S81" i="20"/>
  <c r="N588" i="20"/>
  <c r="N586" i="20"/>
  <c r="N596" i="20" s="1"/>
  <c r="N585" i="20"/>
  <c r="N595" i="20" s="1"/>
  <c r="N584" i="20"/>
  <c r="N594" i="20" s="1"/>
  <c r="N583" i="20"/>
  <c r="N592" i="20" s="1"/>
  <c r="N582" i="20"/>
  <c r="N591" i="20" s="1"/>
  <c r="O483" i="20"/>
  <c r="CG483" i="20" s="1"/>
  <c r="CH483" i="20" s="1"/>
  <c r="O461" i="20"/>
  <c r="CG461" i="20" s="1"/>
  <c r="O450" i="20"/>
  <c r="CG450" i="20" s="1"/>
  <c r="O449" i="20"/>
  <c r="O439" i="20"/>
  <c r="CG439" i="20" s="1"/>
  <c r="O438" i="20"/>
  <c r="O427" i="20"/>
  <c r="CG427" i="20" s="1"/>
  <c r="CH427" i="20" s="1"/>
  <c r="O426" i="20"/>
  <c r="O415" i="20"/>
  <c r="X242" i="20"/>
  <c r="C124" i="28" s="1"/>
  <c r="X211" i="20"/>
  <c r="X333" i="20"/>
  <c r="X192" i="20"/>
  <c r="X190" i="20"/>
  <c r="X189" i="20"/>
  <c r="U143" i="20"/>
  <c r="U142" i="20"/>
  <c r="U141" i="20"/>
  <c r="BT94" i="20"/>
  <c r="BT93" i="20"/>
  <c r="BT104" i="20"/>
  <c r="BT96" i="20"/>
  <c r="BT92" i="20"/>
  <c r="X105" i="20"/>
  <c r="X101" i="20"/>
  <c r="BX101" i="20" s="1"/>
  <c r="H1059" i="20" s="1"/>
  <c r="X95" i="20"/>
  <c r="X75" i="20"/>
  <c r="X68" i="20"/>
  <c r="X79" i="20" s="1"/>
  <c r="X60" i="20"/>
  <c r="AC61" i="20" s="1"/>
  <c r="X19" i="20"/>
  <c r="L18" i="20"/>
  <c r="L19" i="20"/>
  <c r="Z387" i="12"/>
  <c r="Z383" i="12"/>
  <c r="Z381" i="12"/>
  <c r="Z339" i="12"/>
  <c r="Z338" i="12"/>
  <c r="Z327" i="12"/>
  <c r="Z332" i="12"/>
  <c r="Z347" i="12"/>
  <c r="N521" i="20" s="1"/>
  <c r="Z346" i="12"/>
  <c r="N520" i="20" s="1"/>
  <c r="Q605" i="20" s="1"/>
  <c r="Z345" i="12"/>
  <c r="N519" i="20" s="1"/>
  <c r="Q617" i="20" s="1"/>
  <c r="Z344" i="12"/>
  <c r="N518" i="20" s="1"/>
  <c r="Z343" i="12"/>
  <c r="N517" i="20" s="1"/>
  <c r="Z235" i="12"/>
  <c r="Z231" i="12"/>
  <c r="Z232" i="12" s="1"/>
  <c r="Z244" i="12"/>
  <c r="N514" i="20" s="1"/>
  <c r="Q628" i="20" s="1"/>
  <c r="Z243" i="12"/>
  <c r="N512" i="20" s="1"/>
  <c r="Z242" i="12"/>
  <c r="N511" i="20" s="1"/>
  <c r="Q604" i="20" s="1"/>
  <c r="Z241" i="12"/>
  <c r="N510" i="20" s="1"/>
  <c r="Q616" i="20" s="1"/>
  <c r="Z240" i="12"/>
  <c r="N509" i="20" s="1"/>
  <c r="Z239" i="12"/>
  <c r="N508" i="20" s="1"/>
  <c r="Z238" i="12"/>
  <c r="Z223" i="12"/>
  <c r="Z322" i="12" s="1"/>
  <c r="X90" i="20"/>
  <c r="C2730" i="16" l="1"/>
  <c r="C2731" i="16" s="1"/>
  <c r="C121" i="28"/>
  <c r="H513" i="20"/>
  <c r="M805" i="20"/>
  <c r="X216" i="20"/>
  <c r="F226" i="23"/>
  <c r="D2504" i="16" s="1"/>
  <c r="BX95" i="20"/>
  <c r="H1053" i="20" s="1"/>
  <c r="H987" i="20"/>
  <c r="BX105" i="20"/>
  <c r="H1063" i="20" s="1"/>
  <c r="X65" i="20"/>
  <c r="F252" i="23"/>
  <c r="Q624" i="20"/>
  <c r="Q625" i="20" s="1"/>
  <c r="R616" i="20" s="1"/>
  <c r="Q612" i="20"/>
  <c r="Q613" i="20" s="1"/>
  <c r="R604" i="20" s="1"/>
  <c r="N599" i="20"/>
  <c r="Q636" i="20"/>
  <c r="CG415" i="20"/>
  <c r="O494" i="20"/>
  <c r="AA16" i="20"/>
  <c r="BT11" i="20"/>
  <c r="G1090" i="20" s="1"/>
  <c r="D1050" i="20"/>
  <c r="D1052" i="20"/>
  <c r="D1054" i="20"/>
  <c r="D1062" i="20"/>
  <c r="D1051" i="20"/>
  <c r="D1090" i="20"/>
  <c r="G989" i="20"/>
  <c r="BW106" i="20"/>
  <c r="G1064" i="20" s="1"/>
  <c r="F989" i="20"/>
  <c r="G2476" i="16"/>
  <c r="AA348" i="12"/>
  <c r="AA375" i="12"/>
  <c r="X287" i="20"/>
  <c r="M809" i="20"/>
  <c r="N522" i="20"/>
  <c r="E989" i="20"/>
  <c r="BU106" i="20"/>
  <c r="X97" i="20"/>
  <c r="H985" i="20"/>
  <c r="O503" i="20"/>
  <c r="C2069" i="16"/>
  <c r="F2106" i="16"/>
  <c r="O504" i="20"/>
  <c r="C2106" i="16"/>
  <c r="C2109" i="16" s="1"/>
  <c r="Z340" i="12"/>
  <c r="Z246" i="12"/>
  <c r="N555" i="20"/>
  <c r="N572" i="20" s="1"/>
  <c r="N581" i="20" s="1"/>
  <c r="O428" i="20"/>
  <c r="O462" i="20"/>
  <c r="O451" i="20"/>
  <c r="O440" i="20"/>
  <c r="X285" i="20"/>
  <c r="X345" i="20"/>
  <c r="F522" i="20"/>
  <c r="N513" i="20"/>
  <c r="E522" i="20"/>
  <c r="X208" i="20"/>
  <c r="N552" i="20"/>
  <c r="N561" i="20"/>
  <c r="G513" i="20"/>
  <c r="BT91" i="20"/>
  <c r="X109" i="20"/>
  <c r="BW109" i="20" s="1"/>
  <c r="X284" i="20"/>
  <c r="X331" i="20" s="1"/>
  <c r="X390" i="20" s="1"/>
  <c r="O484" i="20"/>
  <c r="N578" i="20"/>
  <c r="N587" i="20"/>
  <c r="F513" i="20"/>
  <c r="C522" i="20"/>
  <c r="G522" i="20"/>
  <c r="D522" i="20"/>
  <c r="H522" i="20"/>
  <c r="N543" i="20"/>
  <c r="E513" i="20"/>
  <c r="N569" i="20"/>
  <c r="BR106" i="20"/>
  <c r="N597" i="20" l="1"/>
  <c r="N601" i="20" s="1"/>
  <c r="AC218" i="20"/>
  <c r="G2732" i="16"/>
  <c r="X106" i="20"/>
  <c r="BX106" i="20" s="1"/>
  <c r="H1064" i="20" s="1"/>
  <c r="BX97" i="20"/>
  <c r="H1055" i="20" s="1"/>
  <c r="R605" i="20"/>
  <c r="R631" i="20"/>
  <c r="R618" i="20"/>
  <c r="R629" i="20"/>
  <c r="R630" i="20"/>
  <c r="R622" i="20"/>
  <c r="R624" i="20"/>
  <c r="R619" i="20"/>
  <c r="R633" i="20"/>
  <c r="R621" i="20"/>
  <c r="R635" i="20"/>
  <c r="R632" i="20"/>
  <c r="R634" i="20"/>
  <c r="R623" i="20"/>
  <c r="R620" i="20"/>
  <c r="Q637" i="20"/>
  <c r="R628" i="20"/>
  <c r="R636" i="20"/>
  <c r="R606" i="20"/>
  <c r="R611" i="20"/>
  <c r="R607" i="20"/>
  <c r="R610" i="20"/>
  <c r="R612" i="20"/>
  <c r="R609" i="20"/>
  <c r="R608" i="20"/>
  <c r="R617" i="20"/>
  <c r="E1064" i="20"/>
  <c r="D1085" i="20"/>
  <c r="D1049" i="20"/>
  <c r="D1066" i="20" s="1"/>
  <c r="D1074" i="20" s="1"/>
  <c r="G2106" i="16"/>
  <c r="F2105" i="16"/>
  <c r="G2069" i="16"/>
  <c r="Y360" i="12"/>
  <c r="Y366" i="12"/>
  <c r="V145" i="20" s="1"/>
  <c r="Y358" i="12"/>
  <c r="Y356" i="12"/>
  <c r="V143" i="20" s="1"/>
  <c r="Y355" i="12"/>
  <c r="Y354" i="12"/>
  <c r="V141" i="20" l="1"/>
  <c r="Y377" i="12"/>
  <c r="V142" i="20"/>
  <c r="Y378" i="12"/>
  <c r="X107" i="20"/>
  <c r="C2074" i="16"/>
  <c r="C2073" i="16" s="1"/>
  <c r="C2077" i="16" s="1"/>
  <c r="H989" i="20"/>
  <c r="H988" i="20" s="1"/>
  <c r="BT106" i="20"/>
  <c r="D1064" i="20" s="1"/>
  <c r="F34" i="25"/>
  <c r="G2105" i="16"/>
  <c r="F2113" i="16"/>
  <c r="F24" i="25"/>
  <c r="F29" i="25"/>
  <c r="F29" i="23"/>
  <c r="C2078" i="16" l="1"/>
  <c r="C2072" i="16"/>
  <c r="G2072" i="16" s="1"/>
  <c r="C2076" i="16"/>
  <c r="G2073" i="16"/>
  <c r="G2075" i="16" s="1"/>
  <c r="C2075" i="16"/>
  <c r="F26" i="25"/>
  <c r="G27" i="25" s="1"/>
  <c r="G25" i="25"/>
  <c r="F36" i="25"/>
  <c r="G37" i="25" s="1"/>
  <c r="G35" i="25"/>
  <c r="F31" i="25"/>
  <c r="G32" i="25" s="1"/>
  <c r="G30" i="25"/>
  <c r="U145" i="20"/>
  <c r="T145" i="20"/>
  <c r="T143" i="20"/>
  <c r="T142" i="20"/>
  <c r="T141" i="20"/>
  <c r="S145" i="20"/>
  <c r="S143" i="20"/>
  <c r="S142" i="20"/>
  <c r="S141" i="20"/>
  <c r="V129" i="20"/>
  <c r="V116" i="20"/>
  <c r="V114" i="20"/>
  <c r="V113" i="20"/>
  <c r="V112" i="20"/>
  <c r="V111" i="20"/>
  <c r="V110" i="20"/>
  <c r="X327" i="12"/>
  <c r="W327" i="12"/>
  <c r="V327" i="12"/>
  <c r="U327" i="12"/>
  <c r="T327" i="12"/>
  <c r="S327" i="12"/>
  <c r="R327" i="12"/>
  <c r="Q327" i="12"/>
  <c r="P327" i="12"/>
  <c r="O327" i="12"/>
  <c r="N327" i="12"/>
  <c r="M327" i="12"/>
  <c r="L327" i="12"/>
  <c r="K327" i="12"/>
  <c r="Y327" i="12"/>
  <c r="G2076" i="16" l="1"/>
  <c r="F41" i="24"/>
  <c r="G42" i="24" s="1"/>
  <c r="BZ112" i="20"/>
  <c r="F36" i="24"/>
  <c r="G37" i="24" s="1"/>
  <c r="BZ111" i="20"/>
  <c r="BZ113" i="20"/>
  <c r="BZ116" i="20"/>
  <c r="BZ110" i="20"/>
  <c r="BZ114" i="20"/>
  <c r="G2077" i="16"/>
  <c r="G2078" i="16"/>
  <c r="V136" i="20"/>
  <c r="H1000" i="20" s="1"/>
  <c r="V134" i="20"/>
  <c r="V133" i="20"/>
  <c r="V132" i="20"/>
  <c r="V135" i="20"/>
  <c r="H999" i="20" s="1"/>
  <c r="F31" i="24"/>
  <c r="G32" i="24" s="1"/>
  <c r="V118" i="20"/>
  <c r="V127" i="20"/>
  <c r="F46" i="24"/>
  <c r="G47" i="24" s="1"/>
  <c r="V138" i="20"/>
  <c r="H1002" i="20" s="1"/>
  <c r="V124" i="20"/>
  <c r="V125" i="20"/>
  <c r="V115" i="20"/>
  <c r="V126" i="20"/>
  <c r="F43" i="24" l="1"/>
  <c r="G44" i="24" s="1"/>
  <c r="V137" i="20"/>
  <c r="H1001" i="20" s="1"/>
  <c r="H1021" i="20" s="1"/>
  <c r="BZ115" i="20"/>
  <c r="BZ118" i="20"/>
  <c r="F38" i="24"/>
  <c r="G39" i="24" s="1"/>
  <c r="F33" i="24"/>
  <c r="G34" i="24" s="1"/>
  <c r="H1019" i="20"/>
  <c r="H1026" i="20" s="1"/>
  <c r="H1020" i="20"/>
  <c r="H1027" i="20" s="1"/>
  <c r="H1022" i="20"/>
  <c r="H1029" i="20" s="1"/>
  <c r="H998" i="20"/>
  <c r="V117" i="20"/>
  <c r="V123" i="20" l="1"/>
  <c r="BZ117" i="20"/>
  <c r="H1018" i="20"/>
  <c r="H1025" i="20" s="1"/>
  <c r="Y65" i="17"/>
  <c r="X65" i="17"/>
  <c r="X64" i="17"/>
  <c r="W65" i="17"/>
  <c r="W64" i="17"/>
  <c r="Y55" i="17"/>
  <c r="X55" i="17"/>
  <c r="X54" i="17"/>
  <c r="W55" i="17"/>
  <c r="W54" i="17"/>
  <c r="X48" i="17"/>
  <c r="X47" i="17"/>
  <c r="W49" i="17"/>
  <c r="W48" i="17"/>
  <c r="W47" i="17"/>
  <c r="B48" i="17"/>
  <c r="B55" i="17" s="1"/>
  <c r="B65" i="17" s="1"/>
  <c r="B47" i="17"/>
  <c r="B54" i="17" s="1"/>
  <c r="B64" i="17" s="1"/>
  <c r="B46" i="17"/>
  <c r="B53" i="17" s="1"/>
  <c r="B63" i="17" s="1"/>
  <c r="B45" i="17"/>
  <c r="B52" i="17" s="1"/>
  <c r="B62" i="17" s="1"/>
  <c r="B44" i="17"/>
  <c r="B43" i="17"/>
  <c r="B42" i="17"/>
  <c r="B41" i="17"/>
  <c r="B40" i="17"/>
  <c r="B39" i="17"/>
  <c r="B38" i="17"/>
  <c r="I74" i="5"/>
  <c r="I81" i="5" s="1"/>
  <c r="I70" i="5"/>
  <c r="J318" i="4"/>
  <c r="J350" i="4" s="1"/>
  <c r="J527" i="4"/>
  <c r="J502" i="4" s="1"/>
  <c r="I73" i="5"/>
  <c r="I72" i="5"/>
  <c r="I79" i="5" s="1"/>
  <c r="I71" i="5"/>
  <c r="I78" i="5" s="1"/>
  <c r="J198" i="4"/>
  <c r="X135" i="17" s="1"/>
  <c r="G371" i="4"/>
  <c r="J384" i="4"/>
  <c r="I371" i="4"/>
  <c r="J371" i="4" s="1"/>
  <c r="K371" i="4" s="1"/>
  <c r="L371" i="4" s="1"/>
  <c r="M371" i="4" s="1"/>
  <c r="N371" i="4" s="1"/>
  <c r="O371" i="4" s="1"/>
  <c r="P371" i="4" s="1"/>
  <c r="Q371" i="4" s="1"/>
  <c r="R371" i="4" s="1"/>
  <c r="S371" i="4" s="1"/>
  <c r="T371" i="4" s="1"/>
  <c r="U371" i="4" s="1"/>
  <c r="V371" i="4" s="1"/>
  <c r="B324" i="23"/>
  <c r="J311" i="23"/>
  <c r="E311" i="23"/>
  <c r="I149" i="4"/>
  <c r="J149" i="4"/>
  <c r="D285" i="23"/>
  <c r="E285" i="23" s="1"/>
  <c r="F285" i="23" s="1"/>
  <c r="G285" i="23" s="1"/>
  <c r="H285" i="23" s="1"/>
  <c r="I285" i="23" s="1"/>
  <c r="J285" i="23" s="1"/>
  <c r="K285" i="23" s="1"/>
  <c r="L285" i="23" s="1"/>
  <c r="M285" i="23" s="1"/>
  <c r="N285" i="23" s="1"/>
  <c r="O285" i="23" s="1"/>
  <c r="P285" i="23" s="1"/>
  <c r="Q285" i="23" s="1"/>
  <c r="F92" i="24"/>
  <c r="J117" i="4" s="1"/>
  <c r="X62" i="17" s="1"/>
  <c r="J325" i="4"/>
  <c r="K326" i="4" s="1"/>
  <c r="J320" i="4"/>
  <c r="J322" i="4" s="1"/>
  <c r="F85" i="24"/>
  <c r="C2133" i="16" s="1"/>
  <c r="E85" i="24"/>
  <c r="D85" i="24"/>
  <c r="F49" i="25"/>
  <c r="J71" i="4" s="1"/>
  <c r="F42" i="25"/>
  <c r="D284" i="23"/>
  <c r="D283" i="23"/>
  <c r="E283" i="23" s="1"/>
  <c r="F283" i="23" s="1"/>
  <c r="D282" i="23"/>
  <c r="E282" i="23" s="1"/>
  <c r="F282" i="23" s="1"/>
  <c r="D281" i="23"/>
  <c r="E281" i="23" s="1"/>
  <c r="F281" i="23" s="1"/>
  <c r="D280" i="23"/>
  <c r="E280" i="23" s="1"/>
  <c r="F280" i="23" s="1"/>
  <c r="D278" i="23"/>
  <c r="E278" i="23" s="1"/>
  <c r="F278" i="23" s="1"/>
  <c r="D277" i="23"/>
  <c r="E277" i="23" s="1"/>
  <c r="F277" i="23" s="1"/>
  <c r="D276" i="23"/>
  <c r="E276" i="23" s="1"/>
  <c r="F276" i="23" s="1"/>
  <c r="D275" i="23"/>
  <c r="E275" i="23" s="1"/>
  <c r="F275" i="23" s="1"/>
  <c r="D279" i="23"/>
  <c r="E279" i="23" s="1"/>
  <c r="F279" i="23" s="1"/>
  <c r="E31" i="23"/>
  <c r="D31" i="23"/>
  <c r="C31" i="23"/>
  <c r="E29" i="23"/>
  <c r="D29" i="23"/>
  <c r="F61" i="24"/>
  <c r="E61" i="24"/>
  <c r="J148" i="4"/>
  <c r="I148" i="4"/>
  <c r="J135" i="4"/>
  <c r="B135" i="4"/>
  <c r="B148" i="4" s="1"/>
  <c r="J115" i="23"/>
  <c r="K115" i="23" s="1"/>
  <c r="L115" i="23" s="1"/>
  <c r="M115" i="23" s="1"/>
  <c r="N115" i="23" s="1"/>
  <c r="O115" i="23" s="1"/>
  <c r="P115" i="23" s="1"/>
  <c r="Q115" i="23" s="1"/>
  <c r="J118" i="4"/>
  <c r="X63" i="17" s="1"/>
  <c r="I118" i="4"/>
  <c r="W63" i="17" s="1"/>
  <c r="C223" i="23"/>
  <c r="C253" i="23" s="1"/>
  <c r="D253" i="23"/>
  <c r="E223" i="23"/>
  <c r="E264" i="23" s="1"/>
  <c r="E252" i="23"/>
  <c r="J103" i="4"/>
  <c r="C1964" i="8"/>
  <c r="I71" i="4"/>
  <c r="W53" i="17" s="1"/>
  <c r="H71" i="4"/>
  <c r="B73" i="4"/>
  <c r="B72" i="4"/>
  <c r="B3287" i="16" s="1"/>
  <c r="B71" i="4"/>
  <c r="B3286" i="16" s="1"/>
  <c r="B70" i="4"/>
  <c r="B3285" i="16" s="1"/>
  <c r="B69" i="4"/>
  <c r="B100" i="4" s="1"/>
  <c r="B68" i="4"/>
  <c r="B99" i="4" s="1"/>
  <c r="B67" i="4"/>
  <c r="B98" i="4" s="1"/>
  <c r="B66" i="4"/>
  <c r="B97" i="4" s="1"/>
  <c r="B65" i="4"/>
  <c r="B96" i="4" s="1"/>
  <c r="B64" i="4"/>
  <c r="B95" i="4" s="1"/>
  <c r="B63" i="4"/>
  <c r="B94" i="4" s="1"/>
  <c r="B323" i="23"/>
  <c r="B24" i="6" s="1"/>
  <c r="B321" i="23"/>
  <c r="B297" i="23"/>
  <c r="J310" i="23"/>
  <c r="J309" i="23"/>
  <c r="J308" i="23"/>
  <c r="E310" i="23"/>
  <c r="E309" i="23"/>
  <c r="E308" i="23"/>
  <c r="B295" i="23"/>
  <c r="B305" i="23"/>
  <c r="B318" i="23" s="1"/>
  <c r="B304" i="23"/>
  <c r="B317" i="23" s="1"/>
  <c r="B6" i="6" s="1"/>
  <c r="A198" i="29" s="1"/>
  <c r="B303" i="23"/>
  <c r="B302" i="23"/>
  <c r="B315" i="23" s="1"/>
  <c r="B4" i="6" s="1"/>
  <c r="B301" i="23"/>
  <c r="B314" i="23" s="1"/>
  <c r="B3" i="6" s="1"/>
  <c r="A195" i="29" s="1"/>
  <c r="B272" i="23"/>
  <c r="B307" i="23" s="1"/>
  <c r="B320" i="23" s="1"/>
  <c r="B9" i="6" s="1"/>
  <c r="A201" i="29" s="1"/>
  <c r="B271" i="23"/>
  <c r="B306" i="23" s="1"/>
  <c r="B319" i="23" s="1"/>
  <c r="B8" i="6" s="1"/>
  <c r="A200" i="29" s="1"/>
  <c r="J307" i="23"/>
  <c r="E307" i="23"/>
  <c r="J306" i="23"/>
  <c r="E306" i="23"/>
  <c r="J305" i="23"/>
  <c r="E305" i="23"/>
  <c r="J304" i="23"/>
  <c r="E304" i="23"/>
  <c r="J303" i="23"/>
  <c r="E303" i="23"/>
  <c r="J302" i="23"/>
  <c r="E302" i="23"/>
  <c r="J301" i="23"/>
  <c r="E301" i="23"/>
  <c r="B2779" i="16" l="1"/>
  <c r="B2806" i="16" s="1"/>
  <c r="A196" i="29"/>
  <c r="B2796" i="16"/>
  <c r="B2810" i="16" s="1"/>
  <c r="B3288" i="16"/>
  <c r="E284" i="23"/>
  <c r="F284" i="23" s="1"/>
  <c r="G284" i="23" s="1"/>
  <c r="C2170" i="16"/>
  <c r="D2170" i="16" s="1"/>
  <c r="I77" i="5"/>
  <c r="B22" i="6"/>
  <c r="B2775" i="16"/>
  <c r="B21" i="6"/>
  <c r="B2777" i="16"/>
  <c r="B23" i="6"/>
  <c r="B2778" i="16"/>
  <c r="E32" i="23"/>
  <c r="F32" i="23"/>
  <c r="K77" i="5"/>
  <c r="B101" i="4"/>
  <c r="B2793" i="16"/>
  <c r="B2801" i="16" s="1"/>
  <c r="B102" i="4"/>
  <c r="B2794" i="16"/>
  <c r="B2802" i="16" s="1"/>
  <c r="B103" i="4"/>
  <c r="B2795" i="16"/>
  <c r="B2807" i="16" s="1"/>
  <c r="X53" i="17"/>
  <c r="I87" i="5"/>
  <c r="I88" i="5" s="1"/>
  <c r="L28" i="23"/>
  <c r="M28" i="23" s="1"/>
  <c r="N28" i="23" s="1"/>
  <c r="O28" i="23" s="1"/>
  <c r="P28" i="23" s="1"/>
  <c r="Q28" i="23" s="1"/>
  <c r="AG59" i="20"/>
  <c r="J309" i="4"/>
  <c r="K149" i="4"/>
  <c r="F298" i="23" s="1"/>
  <c r="E298" i="23"/>
  <c r="D298" i="23"/>
  <c r="D264" i="23"/>
  <c r="F311" i="23"/>
  <c r="G311" i="23" s="1"/>
  <c r="L311" i="23" s="1"/>
  <c r="E253" i="23"/>
  <c r="E245" i="23"/>
  <c r="J147" i="4"/>
  <c r="I75" i="5"/>
  <c r="I80" i="5"/>
  <c r="G276" i="23"/>
  <c r="F302" i="23"/>
  <c r="G302" i="23" s="1"/>
  <c r="L302" i="23" s="1"/>
  <c r="G281" i="23"/>
  <c r="F307" i="23"/>
  <c r="G307" i="23" s="1"/>
  <c r="L307" i="23" s="1"/>
  <c r="G282" i="23"/>
  <c r="H282" i="23" s="1"/>
  <c r="I282" i="23" s="1"/>
  <c r="J282" i="23" s="1"/>
  <c r="K282" i="23" s="1"/>
  <c r="L282" i="23" s="1"/>
  <c r="M282" i="23" s="1"/>
  <c r="N282" i="23" s="1"/>
  <c r="O282" i="23" s="1"/>
  <c r="P282" i="23" s="1"/>
  <c r="Q282" i="23" s="1"/>
  <c r="F308" i="23"/>
  <c r="G308" i="23" s="1"/>
  <c r="L308" i="23" s="1"/>
  <c r="G278" i="23"/>
  <c r="F304" i="23"/>
  <c r="G304" i="23" s="1"/>
  <c r="L304" i="23" s="1"/>
  <c r="G283" i="23"/>
  <c r="H283" i="23" s="1"/>
  <c r="F309" i="23"/>
  <c r="G309" i="23" s="1"/>
  <c r="L309" i="23" s="1"/>
  <c r="G277" i="23"/>
  <c r="F303" i="23"/>
  <c r="G303" i="23" s="1"/>
  <c r="L303" i="23" s="1"/>
  <c r="F301" i="23"/>
  <c r="G301" i="23" s="1"/>
  <c r="L301" i="23" s="1"/>
  <c r="G275" i="23"/>
  <c r="F306" i="23"/>
  <c r="G306" i="23" s="1"/>
  <c r="L306" i="23" s="1"/>
  <c r="G280" i="23"/>
  <c r="F305" i="23"/>
  <c r="G305" i="23" s="1"/>
  <c r="L305" i="23" s="1"/>
  <c r="G279" i="23"/>
  <c r="I147" i="4"/>
  <c r="B291" i="23"/>
  <c r="B278" i="23" s="1"/>
  <c r="B290" i="23"/>
  <c r="B277" i="23" s="1"/>
  <c r="B316" i="23"/>
  <c r="B5" i="6" s="1"/>
  <c r="B294" i="23"/>
  <c r="B281" i="23" s="1"/>
  <c r="B288" i="23"/>
  <c r="B275" i="23" s="1"/>
  <c r="B292" i="23"/>
  <c r="B279" i="23" s="1"/>
  <c r="B289" i="23"/>
  <c r="B276" i="23" s="1"/>
  <c r="B293" i="23"/>
  <c r="B280" i="23" s="1"/>
  <c r="B109" i="29" l="1"/>
  <c r="B111" i="29" s="1"/>
  <c r="B196" i="29"/>
  <c r="B199" i="29"/>
  <c r="B2817" i="16"/>
  <c r="F310" i="23"/>
  <c r="G310" i="23" s="1"/>
  <c r="L310" i="23" s="1"/>
  <c r="H280" i="23"/>
  <c r="D138" i="31"/>
  <c r="H276" i="23"/>
  <c r="D134" i="31"/>
  <c r="H279" i="23"/>
  <c r="D137" i="31"/>
  <c r="B197" i="29"/>
  <c r="B201" i="29"/>
  <c r="B200" i="29"/>
  <c r="H278" i="23"/>
  <c r="D136" i="31"/>
  <c r="H275" i="23"/>
  <c r="D133" i="31"/>
  <c r="H277" i="23"/>
  <c r="D135" i="31"/>
  <c r="H281" i="23"/>
  <c r="D139" i="31"/>
  <c r="B198" i="29"/>
  <c r="B195" i="29"/>
  <c r="B2776" i="16"/>
  <c r="B2803" i="16" s="1"/>
  <c r="A197" i="29"/>
  <c r="H284" i="23"/>
  <c r="I284" i="23" s="1"/>
  <c r="J284" i="23" s="1"/>
  <c r="K284" i="23" s="1"/>
  <c r="L284" i="23" s="1"/>
  <c r="M284" i="23" s="1"/>
  <c r="N284" i="23" s="1"/>
  <c r="O284" i="23" s="1"/>
  <c r="P284" i="23" s="1"/>
  <c r="Q284" i="23" s="1"/>
  <c r="I283" i="23"/>
  <c r="I296" i="23" s="1"/>
  <c r="D2175" i="16"/>
  <c r="E2170" i="16"/>
  <c r="D2173" i="16"/>
  <c r="D2177" i="16"/>
  <c r="D2179" i="16" s="1"/>
  <c r="D2181" i="16" s="1"/>
  <c r="B2816" i="16"/>
  <c r="B2805" i="16"/>
  <c r="B2804" i="16"/>
  <c r="B2813" i="16"/>
  <c r="B2800" i="16"/>
  <c r="B2814" i="16"/>
  <c r="L77" i="5"/>
  <c r="I82" i="5"/>
  <c r="K80" i="5"/>
  <c r="C345" i="22" l="1"/>
  <c r="B252" i="29"/>
  <c r="B254" i="29" s="1"/>
  <c r="I281" i="23"/>
  <c r="E139" i="31"/>
  <c r="I276" i="23"/>
  <c r="E134" i="31"/>
  <c r="I278" i="23"/>
  <c r="E136" i="31"/>
  <c r="I277" i="23"/>
  <c r="E135" i="31"/>
  <c r="I275" i="23"/>
  <c r="E133" i="31"/>
  <c r="I279" i="23"/>
  <c r="E137" i="31"/>
  <c r="I280" i="23"/>
  <c r="E138" i="31"/>
  <c r="B2815" i="16"/>
  <c r="J283" i="23"/>
  <c r="E2177" i="16"/>
  <c r="F2170" i="16"/>
  <c r="F2172" i="16" s="1"/>
  <c r="F2174" i="16" s="1"/>
  <c r="F2175" i="16" s="1"/>
  <c r="D2193" i="16"/>
  <c r="D2180" i="16"/>
  <c r="L2516" i="16"/>
  <c r="E2172" i="16"/>
  <c r="E2174" i="16" s="1"/>
  <c r="M77" i="5"/>
  <c r="L80" i="5"/>
  <c r="E2179" i="16" l="1"/>
  <c r="E2181" i="16" s="1"/>
  <c r="J280" i="23"/>
  <c r="F138" i="31"/>
  <c r="J279" i="23"/>
  <c r="F137" i="31"/>
  <c r="J276" i="23"/>
  <c r="F134" i="31"/>
  <c r="J277" i="23"/>
  <c r="F135" i="31"/>
  <c r="J278" i="23"/>
  <c r="F136" i="31"/>
  <c r="J275" i="23"/>
  <c r="F133" i="31"/>
  <c r="J281" i="23"/>
  <c r="F139" i="31"/>
  <c r="K283" i="23"/>
  <c r="G2170" i="16"/>
  <c r="G2172" i="16" s="1"/>
  <c r="G2174" i="16" s="1"/>
  <c r="G2175" i="16" s="1"/>
  <c r="E2175" i="16"/>
  <c r="F2177" i="16"/>
  <c r="F2179" i="16" s="1"/>
  <c r="F2181" i="16" s="1"/>
  <c r="F2210" i="16" s="1"/>
  <c r="M2177" i="16"/>
  <c r="H2173" i="16"/>
  <c r="N77" i="5"/>
  <c r="M79" i="5"/>
  <c r="M80" i="5"/>
  <c r="E2193" i="16" l="1"/>
  <c r="E2180" i="16"/>
  <c r="F141" i="31"/>
  <c r="K277" i="23"/>
  <c r="G135" i="31"/>
  <c r="K281" i="23"/>
  <c r="G139" i="31"/>
  <c r="K276" i="23"/>
  <c r="G134" i="31"/>
  <c r="K275" i="23"/>
  <c r="G133" i="31"/>
  <c r="K279" i="23"/>
  <c r="G137" i="31"/>
  <c r="K278" i="23"/>
  <c r="G136" i="31"/>
  <c r="K280" i="23"/>
  <c r="G138" i="31"/>
  <c r="H2170" i="16"/>
  <c r="H2172" i="16" s="1"/>
  <c r="H2174" i="16" s="1"/>
  <c r="L283" i="23"/>
  <c r="G2177" i="16"/>
  <c r="G2179" i="16" s="1"/>
  <c r="F2180" i="16"/>
  <c r="F2193" i="16"/>
  <c r="I2173" i="16"/>
  <c r="E2210" i="16"/>
  <c r="E2183" i="16"/>
  <c r="F2183" i="16" s="1"/>
  <c r="E2182" i="16"/>
  <c r="F2182" i="16" s="1"/>
  <c r="P77" i="5"/>
  <c r="O77" i="5"/>
  <c r="N80" i="5"/>
  <c r="O73" i="5"/>
  <c r="N79" i="5"/>
  <c r="L276" i="23" l="1"/>
  <c r="H134" i="31"/>
  <c r="L280" i="23"/>
  <c r="H138" i="31"/>
  <c r="L278" i="23"/>
  <c r="H136" i="31"/>
  <c r="L275" i="23"/>
  <c r="H133" i="31"/>
  <c r="H2177" i="16"/>
  <c r="H2179" i="16" s="1"/>
  <c r="H2193" i="16" s="1"/>
  <c r="I2170" i="16"/>
  <c r="I2172" i="16" s="1"/>
  <c r="I2174" i="16" s="1"/>
  <c r="I2175" i="16" s="1"/>
  <c r="L281" i="23"/>
  <c r="H139" i="31"/>
  <c r="L279" i="23"/>
  <c r="H137" i="31"/>
  <c r="L277" i="23"/>
  <c r="H135" i="31"/>
  <c r="M283" i="23"/>
  <c r="H2175" i="16"/>
  <c r="G2180" i="16"/>
  <c r="G2181" i="16"/>
  <c r="G2210" i="16" s="1"/>
  <c r="G2193" i="16"/>
  <c r="J2173" i="16"/>
  <c r="O80" i="5"/>
  <c r="P73" i="5"/>
  <c r="O72" i="5"/>
  <c r="O79" i="5" s="1"/>
  <c r="I2177" i="16" l="1"/>
  <c r="I2179" i="16" s="1"/>
  <c r="I2181" i="16" s="1"/>
  <c r="I2210" i="16" s="1"/>
  <c r="J2170" i="16"/>
  <c r="J2177" i="16" s="1"/>
  <c r="M275" i="23"/>
  <c r="I133" i="31"/>
  <c r="M278" i="23"/>
  <c r="I136" i="31"/>
  <c r="M277" i="23"/>
  <c r="I135" i="31"/>
  <c r="M281" i="23"/>
  <c r="I139" i="31"/>
  <c r="M279" i="23"/>
  <c r="I137" i="31"/>
  <c r="M280" i="23"/>
  <c r="I138" i="31"/>
  <c r="M276" i="23"/>
  <c r="I134" i="31"/>
  <c r="P80" i="5"/>
  <c r="Q73" i="5"/>
  <c r="N283" i="23"/>
  <c r="H2181" i="16"/>
  <c r="H2210" i="16" s="1"/>
  <c r="H2180" i="16"/>
  <c r="G2182" i="16"/>
  <c r="G2183" i="16"/>
  <c r="P72" i="5"/>
  <c r="H46" i="4"/>
  <c r="H45" i="4"/>
  <c r="H44" i="4"/>
  <c r="H43" i="4"/>
  <c r="H42" i="4"/>
  <c r="H41" i="4"/>
  <c r="H40" i="4"/>
  <c r="I46" i="4"/>
  <c r="W44" i="17" s="1"/>
  <c r="I45" i="4"/>
  <c r="W43" i="17" s="1"/>
  <c r="I44" i="4"/>
  <c r="I43" i="4"/>
  <c r="I42" i="4"/>
  <c r="I41" i="4"/>
  <c r="I40" i="4"/>
  <c r="J48" i="4"/>
  <c r="X46" i="17" s="1"/>
  <c r="F55" i="25"/>
  <c r="E55" i="25"/>
  <c r="D55" i="25"/>
  <c r="X379" i="12"/>
  <c r="W379" i="12"/>
  <c r="V379" i="12"/>
  <c r="T379" i="12"/>
  <c r="S379" i="12"/>
  <c r="X378" i="12"/>
  <c r="W378" i="12"/>
  <c r="V378" i="12"/>
  <c r="T378" i="12"/>
  <c r="S378" i="12"/>
  <c r="X377" i="12"/>
  <c r="W377" i="12"/>
  <c r="V377" i="12"/>
  <c r="T377" i="12"/>
  <c r="S377" i="12"/>
  <c r="Y346" i="12"/>
  <c r="M520" i="20" s="1"/>
  <c r="P605" i="20" s="1"/>
  <c r="Y345" i="12"/>
  <c r="M519" i="20" s="1"/>
  <c r="P617" i="20" s="1"/>
  <c r="F50" i="25"/>
  <c r="Y362" i="12"/>
  <c r="V144" i="20" s="1"/>
  <c r="V146" i="20" s="1"/>
  <c r="Y332" i="12"/>
  <c r="X332" i="12"/>
  <c r="W332" i="12"/>
  <c r="W340" i="12" s="1"/>
  <c r="V332" i="12"/>
  <c r="V340" i="12" s="1"/>
  <c r="U332" i="12"/>
  <c r="U340" i="12" s="1"/>
  <c r="T332" i="12"/>
  <c r="S332" i="12"/>
  <c r="R332" i="12"/>
  <c r="Q332" i="12"/>
  <c r="P332" i="12"/>
  <c r="O332" i="12"/>
  <c r="N332" i="12"/>
  <c r="M332" i="12"/>
  <c r="L332" i="12"/>
  <c r="K332" i="12"/>
  <c r="Y347" i="12"/>
  <c r="M521" i="20" s="1"/>
  <c r="Y344" i="12"/>
  <c r="M518" i="20" s="1"/>
  <c r="Y343" i="12"/>
  <c r="M517" i="20" s="1"/>
  <c r="X347" i="12"/>
  <c r="L521" i="20" s="1"/>
  <c r="X346" i="12"/>
  <c r="L520" i="20" s="1"/>
  <c r="X345" i="12"/>
  <c r="L519" i="20" s="1"/>
  <c r="X344" i="12"/>
  <c r="L518" i="20" s="1"/>
  <c r="X343" i="12"/>
  <c r="L517" i="20" s="1"/>
  <c r="W347" i="12"/>
  <c r="K521" i="20" s="1"/>
  <c r="W346" i="12"/>
  <c r="K520" i="20" s="1"/>
  <c r="W345" i="12"/>
  <c r="K519" i="20" s="1"/>
  <c r="W344" i="12"/>
  <c r="K518" i="20" s="1"/>
  <c r="W343" i="12"/>
  <c r="K517" i="20" s="1"/>
  <c r="V347" i="12"/>
  <c r="J521" i="20" s="1"/>
  <c r="V346" i="12"/>
  <c r="J520" i="20" s="1"/>
  <c r="V345" i="12"/>
  <c r="J519" i="20" s="1"/>
  <c r="V344" i="12"/>
  <c r="J518" i="20" s="1"/>
  <c r="V343" i="12"/>
  <c r="J517" i="20" s="1"/>
  <c r="U347" i="12"/>
  <c r="I521" i="20" s="1"/>
  <c r="U346" i="12"/>
  <c r="I520" i="20" s="1"/>
  <c r="U345" i="12"/>
  <c r="I519" i="20" s="1"/>
  <c r="U344" i="12"/>
  <c r="I518" i="20" s="1"/>
  <c r="U343" i="12"/>
  <c r="I517" i="20" s="1"/>
  <c r="W338" i="12"/>
  <c r="V362" i="12"/>
  <c r="S144" i="20" s="1"/>
  <c r="S146" i="20" s="1"/>
  <c r="V357" i="12"/>
  <c r="V359" i="12" s="1"/>
  <c r="W351" i="12"/>
  <c r="W362" i="12"/>
  <c r="T144" i="20" s="1"/>
  <c r="T146" i="20" s="1"/>
  <c r="W357" i="12"/>
  <c r="W359" i="12" s="1"/>
  <c r="X351" i="12"/>
  <c r="X362" i="12"/>
  <c r="U144" i="20" s="1"/>
  <c r="U146" i="20" s="1"/>
  <c r="X357" i="12"/>
  <c r="X359" i="12" s="1"/>
  <c r="F20" i="25"/>
  <c r="F11" i="25" s="1"/>
  <c r="E20" i="25"/>
  <c r="D20" i="25"/>
  <c r="D11" i="25" s="1"/>
  <c r="F19" i="25"/>
  <c r="E19" i="25"/>
  <c r="D19" i="25"/>
  <c r="F17" i="25"/>
  <c r="E17" i="25"/>
  <c r="F15" i="25"/>
  <c r="E15" i="25"/>
  <c r="D15" i="25"/>
  <c r="F9" i="25"/>
  <c r="E9" i="25"/>
  <c r="D9" i="25"/>
  <c r="C9" i="25"/>
  <c r="F6" i="25"/>
  <c r="E6" i="25"/>
  <c r="D6" i="25"/>
  <c r="F2" i="25"/>
  <c r="E92" i="24"/>
  <c r="I117" i="4" s="1"/>
  <c r="W62" i="17" s="1"/>
  <c r="E90" i="24"/>
  <c r="I70" i="4" s="1"/>
  <c r="F89" i="24"/>
  <c r="J47" i="4" s="1"/>
  <c r="X45" i="17" s="1"/>
  <c r="D92" i="24"/>
  <c r="F90" i="24"/>
  <c r="D90" i="24"/>
  <c r="F62" i="24"/>
  <c r="BU110" i="20"/>
  <c r="D23" i="24"/>
  <c r="D14" i="24" s="1"/>
  <c r="E23" i="24"/>
  <c r="E14" i="24" s="1"/>
  <c r="C11" i="24"/>
  <c r="D11" i="24"/>
  <c r="E11" i="24"/>
  <c r="F11" i="24"/>
  <c r="J11" i="24" s="1"/>
  <c r="K11" i="24" s="1"/>
  <c r="L11" i="24" s="1"/>
  <c r="M11" i="24" s="1"/>
  <c r="N11" i="24" s="1"/>
  <c r="O11" i="24" s="1"/>
  <c r="P11" i="24" s="1"/>
  <c r="Q11" i="24" s="1"/>
  <c r="R11" i="24" s="1"/>
  <c r="U115" i="20"/>
  <c r="BY115" i="20" s="1"/>
  <c r="T115" i="20"/>
  <c r="BX115" i="20" s="1"/>
  <c r="S115" i="20"/>
  <c r="N114" i="20"/>
  <c r="Q80" i="5" l="1"/>
  <c r="R73" i="5"/>
  <c r="J2172" i="16"/>
  <c r="J2174" i="16" s="1"/>
  <c r="J2179" i="16" s="1"/>
  <c r="J2180" i="16" s="1"/>
  <c r="N276" i="23"/>
  <c r="J134" i="31"/>
  <c r="N277" i="23"/>
  <c r="J135" i="31"/>
  <c r="N281" i="23"/>
  <c r="J139" i="31"/>
  <c r="N280" i="23"/>
  <c r="J138" i="31"/>
  <c r="N278" i="23"/>
  <c r="J136" i="31"/>
  <c r="N279" i="23"/>
  <c r="J137" i="31"/>
  <c r="N275" i="23"/>
  <c r="J133" i="31"/>
  <c r="P79" i="5"/>
  <c r="Q72" i="5"/>
  <c r="H2183" i="16"/>
  <c r="I2183" i="16" s="1"/>
  <c r="H2182" i="16"/>
  <c r="I2182" i="16" s="1"/>
  <c r="O283" i="23"/>
  <c r="G2" i="25"/>
  <c r="F57" i="25"/>
  <c r="F46" i="25"/>
  <c r="AB352" i="12"/>
  <c r="X352" i="12"/>
  <c r="AA352" i="12"/>
  <c r="W352" i="12"/>
  <c r="I2193" i="16"/>
  <c r="I2180" i="16"/>
  <c r="O617" i="20"/>
  <c r="N617" i="20"/>
  <c r="N605" i="20"/>
  <c r="O605" i="20"/>
  <c r="W52" i="17"/>
  <c r="I81" i="4"/>
  <c r="L522" i="20"/>
  <c r="M522" i="20"/>
  <c r="I522" i="20"/>
  <c r="X367" i="12"/>
  <c r="J522" i="20"/>
  <c r="K522" i="20"/>
  <c r="V367" i="12"/>
  <c r="F49" i="24"/>
  <c r="G50" i="24" s="1"/>
  <c r="BW115" i="20"/>
  <c r="W38" i="17"/>
  <c r="W42" i="17"/>
  <c r="W39" i="17"/>
  <c r="W40" i="17"/>
  <c r="W41" i="17"/>
  <c r="J70" i="4"/>
  <c r="F93" i="24"/>
  <c r="E295" i="23" s="1"/>
  <c r="H70" i="4"/>
  <c r="D93" i="24"/>
  <c r="I146" i="4"/>
  <c r="E93" i="24"/>
  <c r="D295" i="23" s="1"/>
  <c r="J133" i="4"/>
  <c r="J102" i="4"/>
  <c r="J134" i="4"/>
  <c r="W367" i="12"/>
  <c r="E11" i="25"/>
  <c r="E21" i="25"/>
  <c r="G20" i="25"/>
  <c r="F21" i="25"/>
  <c r="Q79" i="5" l="1"/>
  <c r="R72" i="5"/>
  <c r="S73" i="5"/>
  <c r="R80" i="5"/>
  <c r="O280" i="23"/>
  <c r="K138" i="31"/>
  <c r="O275" i="23"/>
  <c r="K133" i="31"/>
  <c r="O281" i="23"/>
  <c r="K139" i="31"/>
  <c r="O277" i="23"/>
  <c r="K135" i="31"/>
  <c r="O279" i="23"/>
  <c r="K137" i="31"/>
  <c r="O278" i="23"/>
  <c r="K136" i="31"/>
  <c r="O276" i="23"/>
  <c r="K134" i="31"/>
  <c r="P283" i="23"/>
  <c r="H2" i="25"/>
  <c r="G57" i="25"/>
  <c r="J2193" i="16"/>
  <c r="J2181" i="16"/>
  <c r="J2210" i="16" s="1"/>
  <c r="J2175" i="16"/>
  <c r="H20" i="25"/>
  <c r="H21" i="25" s="1"/>
  <c r="J146" i="4"/>
  <c r="X52" i="17"/>
  <c r="J101" i="4"/>
  <c r="G21" i="25"/>
  <c r="G11" i="25"/>
  <c r="S80" i="5" l="1"/>
  <c r="T73" i="5"/>
  <c r="S72" i="5"/>
  <c r="R79" i="5"/>
  <c r="P276" i="23"/>
  <c r="L134" i="31"/>
  <c r="P278" i="23"/>
  <c r="L136" i="31"/>
  <c r="P275" i="23"/>
  <c r="L133" i="31"/>
  <c r="P277" i="23"/>
  <c r="L135" i="31"/>
  <c r="P281" i="23"/>
  <c r="L139" i="31"/>
  <c r="P279" i="23"/>
  <c r="L137" i="31"/>
  <c r="P280" i="23"/>
  <c r="L138" i="31"/>
  <c r="C2195" i="16"/>
  <c r="C2196" i="16" s="1"/>
  <c r="L5" i="25"/>
  <c r="M5" i="25" s="1"/>
  <c r="N5" i="25" s="1"/>
  <c r="O5" i="25" s="1"/>
  <c r="P5" i="25" s="1"/>
  <c r="Q5" i="25" s="1"/>
  <c r="R5" i="25" s="1"/>
  <c r="Q283" i="23"/>
  <c r="I2" i="25"/>
  <c r="I88" i="25" s="1"/>
  <c r="I153" i="25" s="1"/>
  <c r="H57" i="25"/>
  <c r="C279" i="28" s="1"/>
  <c r="C300" i="28" s="1"/>
  <c r="D2905" i="16"/>
  <c r="D2906" i="16" s="1"/>
  <c r="H12" i="24"/>
  <c r="J5" i="24"/>
  <c r="E2902" i="16"/>
  <c r="E2903" i="16" s="1"/>
  <c r="C2194" i="16"/>
  <c r="J2182" i="16"/>
  <c r="J2183" i="16"/>
  <c r="I20" i="25"/>
  <c r="I21" i="25" s="1"/>
  <c r="H11" i="25"/>
  <c r="T80" i="5" l="1"/>
  <c r="U73" i="5"/>
  <c r="U80" i="5" s="1"/>
  <c r="S79" i="5"/>
  <c r="T72" i="5"/>
  <c r="Q280" i="23"/>
  <c r="N138" i="31" s="1"/>
  <c r="M138" i="31"/>
  <c r="Q275" i="23"/>
  <c r="N133" i="31" s="1"/>
  <c r="M133" i="31"/>
  <c r="Q277" i="23"/>
  <c r="N135" i="31" s="1"/>
  <c r="M135" i="31"/>
  <c r="Q279" i="23"/>
  <c r="N137" i="31" s="1"/>
  <c r="M137" i="31"/>
  <c r="Q278" i="23"/>
  <c r="N136" i="31" s="1"/>
  <c r="M136" i="31"/>
  <c r="Q281" i="23"/>
  <c r="N139" i="31" s="1"/>
  <c r="M139" i="31"/>
  <c r="Q276" i="23"/>
  <c r="N134" i="31" s="1"/>
  <c r="M134" i="31"/>
  <c r="AF500" i="20"/>
  <c r="I128" i="25"/>
  <c r="I195" i="25"/>
  <c r="I163" i="25"/>
  <c r="I142" i="25"/>
  <c r="C2197" i="16"/>
  <c r="L18" i="25"/>
  <c r="M18" i="25" s="1"/>
  <c r="N18" i="25" s="1"/>
  <c r="O18" i="25" s="1"/>
  <c r="P18" i="25" s="1"/>
  <c r="Q18" i="25" s="1"/>
  <c r="R18" i="25" s="1"/>
  <c r="L14" i="25"/>
  <c r="L16" i="25"/>
  <c r="M16" i="25" s="1"/>
  <c r="N16" i="25" s="1"/>
  <c r="O16" i="25" s="1"/>
  <c r="P16" i="25" s="1"/>
  <c r="Q16" i="25" s="1"/>
  <c r="R16" i="25" s="1"/>
  <c r="J2" i="25"/>
  <c r="J88" i="25" s="1"/>
  <c r="J153" i="25" s="1"/>
  <c r="I57" i="25"/>
  <c r="D279" i="28" s="1"/>
  <c r="K5" i="24"/>
  <c r="J8" i="24"/>
  <c r="F2902" i="16" s="1"/>
  <c r="F2903" i="16" s="1"/>
  <c r="I12" i="24"/>
  <c r="E2905" i="16"/>
  <c r="E2906" i="16" s="1"/>
  <c r="J20" i="25"/>
  <c r="J21" i="25" s="1"/>
  <c r="I11" i="25"/>
  <c r="J10" i="24"/>
  <c r="T79" i="5" l="1"/>
  <c r="U72" i="5"/>
  <c r="U79" i="5" s="1"/>
  <c r="AG500" i="20"/>
  <c r="D312" i="28"/>
  <c r="D300" i="28"/>
  <c r="J128" i="25"/>
  <c r="J195" i="25"/>
  <c r="J163" i="25"/>
  <c r="J142" i="25"/>
  <c r="K20" i="25"/>
  <c r="K21" i="25" s="1"/>
  <c r="J11" i="25"/>
  <c r="K2" i="25"/>
  <c r="K88" i="25" s="1"/>
  <c r="J57" i="25"/>
  <c r="E279" i="28" s="1"/>
  <c r="J12" i="24"/>
  <c r="F2905" i="16"/>
  <c r="F2906" i="16" s="1"/>
  <c r="L5" i="24"/>
  <c r="K8" i="24"/>
  <c r="G2902" i="16" s="1"/>
  <c r="G2903" i="16" s="1"/>
  <c r="M14" i="25"/>
  <c r="L20" i="25"/>
  <c r="K10" i="24"/>
  <c r="K153" i="25" l="1"/>
  <c r="C4337" i="16"/>
  <c r="AH500" i="20"/>
  <c r="E312" i="28"/>
  <c r="E300" i="28"/>
  <c r="K128" i="25"/>
  <c r="C4365" i="16" s="1"/>
  <c r="K195" i="25"/>
  <c r="K142" i="25"/>
  <c r="K163" i="25"/>
  <c r="K11" i="25"/>
  <c r="L2" i="25"/>
  <c r="L88" i="25" s="1"/>
  <c r="K57" i="25"/>
  <c r="F279" i="28" s="1"/>
  <c r="M5" i="24"/>
  <c r="L8" i="24"/>
  <c r="H2902" i="16" s="1"/>
  <c r="H2903" i="16" s="1"/>
  <c r="K12" i="24"/>
  <c r="G2905" i="16"/>
  <c r="G2906" i="16" s="1"/>
  <c r="M20" i="25"/>
  <c r="N14" i="25"/>
  <c r="L21" i="25"/>
  <c r="L8" i="25"/>
  <c r="L11" i="25" s="1"/>
  <c r="L10" i="24"/>
  <c r="L153" i="25" l="1"/>
  <c r="D4337" i="16"/>
  <c r="AI500" i="20"/>
  <c r="F312" i="28"/>
  <c r="F300" i="28"/>
  <c r="L128" i="25"/>
  <c r="D4365" i="16" s="1"/>
  <c r="L195" i="25"/>
  <c r="L142" i="25"/>
  <c r="L163" i="25"/>
  <c r="AP327" i="12"/>
  <c r="AP338" i="12"/>
  <c r="L260" i="28" s="1"/>
  <c r="AP332" i="12"/>
  <c r="AP339" i="12" s="1"/>
  <c r="M2" i="25"/>
  <c r="M88" i="25" s="1"/>
  <c r="L57" i="25"/>
  <c r="G279" i="28" s="1"/>
  <c r="H2905" i="16"/>
  <c r="H2906" i="16" s="1"/>
  <c r="L12" i="24"/>
  <c r="N5" i="24"/>
  <c r="M8" i="24"/>
  <c r="I2902" i="16" s="1"/>
  <c r="I2903" i="16" s="1"/>
  <c r="N20" i="25"/>
  <c r="O14" i="25"/>
  <c r="M21" i="25"/>
  <c r="M8" i="25"/>
  <c r="M11" i="25" s="1"/>
  <c r="M10" i="24"/>
  <c r="M153" i="25" l="1"/>
  <c r="E4337" i="16"/>
  <c r="AQ348" i="12"/>
  <c r="AP348" i="12"/>
  <c r="G312" i="28"/>
  <c r="G300" i="28"/>
  <c r="M128" i="25"/>
  <c r="E4365" i="16" s="1"/>
  <c r="M195" i="25"/>
  <c r="M142" i="25"/>
  <c r="M163" i="25"/>
  <c r="AP340" i="12"/>
  <c r="N2" i="25"/>
  <c r="N88" i="25" s="1"/>
  <c r="M57" i="25"/>
  <c r="H279" i="28" s="1"/>
  <c r="O5" i="24"/>
  <c r="N8" i="24"/>
  <c r="M12" i="24"/>
  <c r="I2905" i="16"/>
  <c r="I2906" i="16" s="1"/>
  <c r="P14" i="25"/>
  <c r="O20" i="25"/>
  <c r="N21" i="25"/>
  <c r="N8" i="25"/>
  <c r="N11" i="25" s="1"/>
  <c r="N10" i="24"/>
  <c r="N153" i="25" l="1"/>
  <c r="F4337" i="16"/>
  <c r="H312" i="28"/>
  <c r="H300" i="28"/>
  <c r="N128" i="25"/>
  <c r="F4365" i="16" s="1"/>
  <c r="N195" i="25"/>
  <c r="N142" i="25"/>
  <c r="N163" i="25"/>
  <c r="AP382" i="12"/>
  <c r="O2" i="25"/>
  <c r="O88" i="25" s="1"/>
  <c r="N57" i="25"/>
  <c r="N12" i="24"/>
  <c r="P5" i="24"/>
  <c r="O8" i="24"/>
  <c r="O8" i="25"/>
  <c r="O11" i="25" s="1"/>
  <c r="O21" i="25"/>
  <c r="Q14" i="25"/>
  <c r="P20" i="25"/>
  <c r="O10" i="24"/>
  <c r="O153" i="25" l="1"/>
  <c r="G4337" i="16"/>
  <c r="O128" i="25"/>
  <c r="G4365" i="16" s="1"/>
  <c r="O195" i="25"/>
  <c r="O163" i="25"/>
  <c r="O142" i="25"/>
  <c r="D780" i="20"/>
  <c r="I780" i="20" s="1"/>
  <c r="O12" i="24"/>
  <c r="P2" i="25"/>
  <c r="P88" i="25" s="1"/>
  <c r="O57" i="25"/>
  <c r="Q5" i="24"/>
  <c r="P8" i="24"/>
  <c r="P8" i="25"/>
  <c r="P11" i="25" s="1"/>
  <c r="P21" i="25"/>
  <c r="Q20" i="25"/>
  <c r="R14" i="25"/>
  <c r="R20" i="25" s="1"/>
  <c r="P10" i="24"/>
  <c r="P153" i="25" l="1"/>
  <c r="H4337" i="16"/>
  <c r="P128" i="25"/>
  <c r="H4365" i="16" s="1"/>
  <c r="P195" i="25"/>
  <c r="P163" i="25"/>
  <c r="P142" i="25"/>
  <c r="Q2" i="25"/>
  <c r="Q88" i="25" s="1"/>
  <c r="Q153" i="25" s="1"/>
  <c r="P57" i="25"/>
  <c r="P12" i="24"/>
  <c r="R5" i="24"/>
  <c r="R8" i="24" s="1"/>
  <c r="Q8" i="24"/>
  <c r="Q21" i="25"/>
  <c r="Q8" i="25"/>
  <c r="Q11" i="25" s="1"/>
  <c r="R8" i="25"/>
  <c r="R11" i="25" s="1"/>
  <c r="R21" i="25"/>
  <c r="Q10" i="24"/>
  <c r="Q128" i="25" l="1"/>
  <c r="Q195" i="25"/>
  <c r="Q142" i="25"/>
  <c r="Q163" i="25"/>
  <c r="D772" i="20"/>
  <c r="R10" i="24"/>
  <c r="R12" i="24" s="1"/>
  <c r="R2" i="25"/>
  <c r="Q57" i="25"/>
  <c r="Q12" i="24"/>
  <c r="D18" i="24"/>
  <c r="D22" i="24"/>
  <c r="D6" i="24"/>
  <c r="F18" i="24"/>
  <c r="E18" i="24"/>
  <c r="BT110" i="20"/>
  <c r="BT111" i="20"/>
  <c r="BU111" i="20"/>
  <c r="BT112" i="20"/>
  <c r="BU112" i="20"/>
  <c r="BT114" i="20"/>
  <c r="E1007" i="20" s="1"/>
  <c r="BU114" i="20"/>
  <c r="F1007" i="20" s="1"/>
  <c r="BT116" i="20"/>
  <c r="E1009" i="20" s="1"/>
  <c r="BU116" i="20"/>
  <c r="F1009" i="20" s="1"/>
  <c r="U129" i="20"/>
  <c r="U127" i="20"/>
  <c r="U126" i="20"/>
  <c r="U125" i="20"/>
  <c r="U124" i="20"/>
  <c r="T129" i="20"/>
  <c r="T133" i="20" s="1"/>
  <c r="BR126" i="20"/>
  <c r="T125" i="20"/>
  <c r="BR125" i="20" s="1"/>
  <c r="T124" i="20"/>
  <c r="BR124" i="20" s="1"/>
  <c r="S129" i="20"/>
  <c r="S127" i="20"/>
  <c r="S126" i="20"/>
  <c r="BQ126" i="20" s="1"/>
  <c r="S125" i="20"/>
  <c r="BQ125" i="20" s="1"/>
  <c r="S124" i="20"/>
  <c r="BQ124" i="20" s="1"/>
  <c r="T117" i="20"/>
  <c r="U117" i="20"/>
  <c r="F27" i="24"/>
  <c r="F23" i="24"/>
  <c r="F22" i="24"/>
  <c r="E22" i="24"/>
  <c r="F20" i="24"/>
  <c r="E20" i="24"/>
  <c r="F6" i="24"/>
  <c r="E6" i="24"/>
  <c r="F2" i="24"/>
  <c r="G2" i="24" s="1"/>
  <c r="H2" i="24" s="1"/>
  <c r="I2" i="24" s="1"/>
  <c r="J2" i="24" s="1"/>
  <c r="K2" i="24" s="1"/>
  <c r="L2" i="24" s="1"/>
  <c r="M2" i="24" s="1"/>
  <c r="N2" i="24" s="1"/>
  <c r="O2" i="24" s="1"/>
  <c r="P2" i="24" s="1"/>
  <c r="Q2" i="24" s="1"/>
  <c r="R2" i="24" s="1"/>
  <c r="S6" i="9"/>
  <c r="X216" i="17" s="1"/>
  <c r="S5" i="9"/>
  <c r="X215" i="17" s="1"/>
  <c r="S4" i="9"/>
  <c r="X214" i="17" s="1"/>
  <c r="J44" i="4"/>
  <c r="J43" i="4"/>
  <c r="X41" i="17" s="1"/>
  <c r="J42" i="4"/>
  <c r="X40" i="17" s="1"/>
  <c r="J41" i="4"/>
  <c r="J40" i="4"/>
  <c r="R57" i="25" l="1"/>
  <c r="R88" i="25"/>
  <c r="R153" i="25" s="1"/>
  <c r="D795" i="20"/>
  <c r="D774" i="20"/>
  <c r="D782" i="20"/>
  <c r="D773" i="20"/>
  <c r="U123" i="20"/>
  <c r="BY117" i="20"/>
  <c r="X38" i="17"/>
  <c r="T123" i="20"/>
  <c r="BX117" i="20"/>
  <c r="U135" i="20"/>
  <c r="G999" i="20" s="1"/>
  <c r="U136" i="20"/>
  <c r="G1000" i="20" s="1"/>
  <c r="T136" i="20"/>
  <c r="F1000" i="20" s="1"/>
  <c r="S138" i="20"/>
  <c r="E1002" i="20" s="1"/>
  <c r="E1022" i="20" s="1"/>
  <c r="S136" i="20"/>
  <c r="E1000" i="20" s="1"/>
  <c r="X39" i="17"/>
  <c r="X42" i="17"/>
  <c r="S132" i="20"/>
  <c r="T138" i="20"/>
  <c r="F1002" i="20" s="1"/>
  <c r="F1022" i="20" s="1"/>
  <c r="S137" i="20"/>
  <c r="E1001" i="20" s="1"/>
  <c r="U134" i="20"/>
  <c r="T132" i="20"/>
  <c r="U133" i="20"/>
  <c r="S135" i="20"/>
  <c r="E999" i="20" s="1"/>
  <c r="E1019" i="20" s="1"/>
  <c r="T137" i="20"/>
  <c r="F1001" i="20" s="1"/>
  <c r="U138" i="20"/>
  <c r="G1002" i="20" s="1"/>
  <c r="G1022" i="20" s="1"/>
  <c r="U132" i="20"/>
  <c r="S134" i="20"/>
  <c r="T135" i="20"/>
  <c r="F999" i="20" s="1"/>
  <c r="F1019" i="20" s="1"/>
  <c r="U137" i="20"/>
  <c r="G1001" i="20" s="1"/>
  <c r="S133" i="20"/>
  <c r="F28" i="24"/>
  <c r="F14" i="24"/>
  <c r="E24" i="24"/>
  <c r="F24" i="24"/>
  <c r="G23" i="24"/>
  <c r="G14" i="24" s="1"/>
  <c r="S57" i="9"/>
  <c r="X223" i="17" s="1"/>
  <c r="J46" i="4"/>
  <c r="X44" i="17" s="1"/>
  <c r="J45" i="4"/>
  <c r="X43" i="17" s="1"/>
  <c r="O100" i="20"/>
  <c r="D242" i="23" s="1"/>
  <c r="O99" i="20"/>
  <c r="S100" i="20"/>
  <c r="BT100" i="20" s="1"/>
  <c r="S99" i="20"/>
  <c r="S103" i="20"/>
  <c r="O103" i="20"/>
  <c r="D236" i="23" s="1"/>
  <c r="C1950" i="8"/>
  <c r="E260" i="23"/>
  <c r="J115" i="4" s="1"/>
  <c r="D260" i="23"/>
  <c r="C260" i="23"/>
  <c r="D206" i="23"/>
  <c r="D287" i="23" s="1"/>
  <c r="D274" i="23" s="1"/>
  <c r="C206" i="23"/>
  <c r="C287" i="23" s="1"/>
  <c r="C274" i="23" s="1"/>
  <c r="E248" i="23"/>
  <c r="D248" i="23"/>
  <c r="C248" i="23"/>
  <c r="R128" i="25" l="1"/>
  <c r="R195" i="25"/>
  <c r="R142" i="25"/>
  <c r="R163" i="25"/>
  <c r="D796" i="20"/>
  <c r="D1058" i="20"/>
  <c r="J55" i="4"/>
  <c r="BT103" i="20"/>
  <c r="F998" i="20"/>
  <c r="E1029" i="20"/>
  <c r="F1029" i="20"/>
  <c r="G998" i="20"/>
  <c r="E998" i="20"/>
  <c r="BT99" i="20"/>
  <c r="D986" i="20"/>
  <c r="J57" i="4"/>
  <c r="J131" i="4"/>
  <c r="I115" i="4"/>
  <c r="H68" i="4"/>
  <c r="J68" i="4"/>
  <c r="D271" i="23"/>
  <c r="D293" i="23" s="1"/>
  <c r="I68" i="4"/>
  <c r="C271" i="23"/>
  <c r="E271" i="23"/>
  <c r="E293" i="23" s="1"/>
  <c r="J52" i="4"/>
  <c r="X49" i="17" s="1"/>
  <c r="H23" i="24"/>
  <c r="D28" i="24"/>
  <c r="G28" i="24"/>
  <c r="G57" i="24" s="1"/>
  <c r="G24" i="24"/>
  <c r="E219" i="23"/>
  <c r="E209" i="23"/>
  <c r="E210" i="23"/>
  <c r="F211" i="23" s="1"/>
  <c r="D210" i="23"/>
  <c r="E151" i="23"/>
  <c r="J114" i="4" s="1"/>
  <c r="J130" i="4" s="1"/>
  <c r="D151" i="23"/>
  <c r="I114" i="4" s="1"/>
  <c r="I130" i="4" s="1"/>
  <c r="C151" i="23"/>
  <c r="E148" i="23"/>
  <c r="D148" i="23"/>
  <c r="C148" i="23"/>
  <c r="E143" i="23"/>
  <c r="D143" i="23"/>
  <c r="E139" i="23"/>
  <c r="K138" i="23"/>
  <c r="L138" i="23" s="1"/>
  <c r="M138" i="23" s="1"/>
  <c r="N138" i="23" s="1"/>
  <c r="O138" i="23" s="1"/>
  <c r="P138" i="23" s="1"/>
  <c r="Q138" i="23" s="1"/>
  <c r="E134" i="23"/>
  <c r="F135" i="23" s="1"/>
  <c r="D134" i="23"/>
  <c r="C134" i="23"/>
  <c r="E133" i="23"/>
  <c r="D133" i="23"/>
  <c r="K132" i="23"/>
  <c r="L132" i="23" s="1"/>
  <c r="M132" i="23" s="1"/>
  <c r="N132" i="23" s="1"/>
  <c r="O132" i="23" s="1"/>
  <c r="P132" i="23" s="1"/>
  <c r="Q132" i="23" s="1"/>
  <c r="E131" i="23"/>
  <c r="D131" i="23"/>
  <c r="K130" i="23"/>
  <c r="L130" i="23" s="1"/>
  <c r="M130" i="23" s="1"/>
  <c r="N130" i="23" s="1"/>
  <c r="O130" i="23" s="1"/>
  <c r="P130" i="23" s="1"/>
  <c r="Q130" i="23" s="1"/>
  <c r="E129" i="23"/>
  <c r="D129" i="23"/>
  <c r="E123" i="23"/>
  <c r="D123" i="23"/>
  <c r="E119" i="23"/>
  <c r="F119" i="23" s="1"/>
  <c r="G119" i="23" s="1"/>
  <c r="H119" i="23" s="1"/>
  <c r="I119" i="23" s="1"/>
  <c r="J119" i="23" s="1"/>
  <c r="K119" i="23" s="1"/>
  <c r="L119" i="23" s="1"/>
  <c r="M119" i="23" s="1"/>
  <c r="N119" i="23" s="1"/>
  <c r="O119" i="23" s="1"/>
  <c r="P119" i="23" s="1"/>
  <c r="Q119" i="23" s="1"/>
  <c r="E114" i="23"/>
  <c r="J112" i="4" s="1"/>
  <c r="J128" i="4" s="1"/>
  <c r="D114" i="23"/>
  <c r="I112" i="4" s="1"/>
  <c r="I128" i="4" s="1"/>
  <c r="C114" i="23"/>
  <c r="E111" i="23"/>
  <c r="D111" i="23"/>
  <c r="C111" i="23"/>
  <c r="E106" i="23"/>
  <c r="D106" i="23"/>
  <c r="E102" i="23"/>
  <c r="K101" i="23"/>
  <c r="L101" i="23" s="1"/>
  <c r="M101" i="23" s="1"/>
  <c r="N101" i="23" s="1"/>
  <c r="O101" i="23" s="1"/>
  <c r="P101" i="23" s="1"/>
  <c r="Q101" i="23" s="1"/>
  <c r="E97" i="23"/>
  <c r="F98" i="23" s="1"/>
  <c r="D97" i="23"/>
  <c r="C97" i="23"/>
  <c r="E96" i="23"/>
  <c r="D96" i="23"/>
  <c r="K95" i="23"/>
  <c r="L95" i="23" s="1"/>
  <c r="M95" i="23" s="1"/>
  <c r="N95" i="23" s="1"/>
  <c r="O95" i="23" s="1"/>
  <c r="P95" i="23" s="1"/>
  <c r="Q95" i="23" s="1"/>
  <c r="E94" i="23"/>
  <c r="D94" i="23"/>
  <c r="K93" i="23"/>
  <c r="L93" i="23" s="1"/>
  <c r="M93" i="23" s="1"/>
  <c r="N93" i="23" s="1"/>
  <c r="O93" i="23" s="1"/>
  <c r="P93" i="23" s="1"/>
  <c r="Q93" i="23" s="1"/>
  <c r="E92" i="23"/>
  <c r="D92" i="23"/>
  <c r="E86" i="23"/>
  <c r="D86" i="23"/>
  <c r="E77" i="23"/>
  <c r="J111" i="4" s="1"/>
  <c r="J127" i="4" s="1"/>
  <c r="D77" i="23"/>
  <c r="I111" i="4" s="1"/>
  <c r="I127" i="4" s="1"/>
  <c r="C77" i="23"/>
  <c r="E74" i="23"/>
  <c r="D74" i="23"/>
  <c r="C74" i="23"/>
  <c r="E69" i="23"/>
  <c r="D69" i="23"/>
  <c r="E65" i="23"/>
  <c r="K64" i="23"/>
  <c r="L64" i="23" s="1"/>
  <c r="M64" i="23" s="1"/>
  <c r="N64" i="23" s="1"/>
  <c r="O64" i="23" s="1"/>
  <c r="P64" i="23" s="1"/>
  <c r="Q64" i="23" s="1"/>
  <c r="E60" i="23"/>
  <c r="F61" i="23" s="1"/>
  <c r="D60" i="23"/>
  <c r="D62" i="23" s="1"/>
  <c r="C60" i="23"/>
  <c r="E59" i="23"/>
  <c r="D59" i="23"/>
  <c r="K58" i="23"/>
  <c r="L58" i="23" s="1"/>
  <c r="M58" i="23" s="1"/>
  <c r="N58" i="23" s="1"/>
  <c r="O58" i="23" s="1"/>
  <c r="P58" i="23" s="1"/>
  <c r="Q58" i="23" s="1"/>
  <c r="E57" i="23"/>
  <c r="D57" i="23"/>
  <c r="K56" i="23"/>
  <c r="L56" i="23" s="1"/>
  <c r="M56" i="23" s="1"/>
  <c r="N56" i="23" s="1"/>
  <c r="O56" i="23" s="1"/>
  <c r="P56" i="23" s="1"/>
  <c r="Q56" i="23" s="1"/>
  <c r="E55" i="23"/>
  <c r="D55" i="23"/>
  <c r="E49" i="23"/>
  <c r="D49" i="23"/>
  <c r="E82" i="23"/>
  <c r="F82" i="23" s="1"/>
  <c r="G82" i="23" s="1"/>
  <c r="H82" i="23" s="1"/>
  <c r="I82" i="23" s="1"/>
  <c r="J82" i="23" s="1"/>
  <c r="K82" i="23" s="1"/>
  <c r="L82" i="23" s="1"/>
  <c r="M82" i="23" s="1"/>
  <c r="N82" i="23" s="1"/>
  <c r="O82" i="23" s="1"/>
  <c r="P82" i="23" s="1"/>
  <c r="Q82" i="23" s="1"/>
  <c r="E45" i="23"/>
  <c r="E40" i="23"/>
  <c r="D40" i="23"/>
  <c r="I110" i="4" s="1"/>
  <c r="I126" i="4" s="1"/>
  <c r="C40" i="23"/>
  <c r="E37" i="23"/>
  <c r="D37" i="23"/>
  <c r="C37" i="23"/>
  <c r="E26" i="23"/>
  <c r="D26" i="23"/>
  <c r="E22" i="23"/>
  <c r="K21" i="23"/>
  <c r="L21" i="23" s="1"/>
  <c r="M21" i="23" s="1"/>
  <c r="N21" i="23" s="1"/>
  <c r="O21" i="23" s="1"/>
  <c r="P21" i="23" s="1"/>
  <c r="Q21" i="23" s="1"/>
  <c r="E17" i="23"/>
  <c r="D17" i="23"/>
  <c r="D19" i="23" s="1"/>
  <c r="C17" i="23"/>
  <c r="E16" i="23"/>
  <c r="D16" i="23"/>
  <c r="K15" i="23"/>
  <c r="L15" i="23" s="1"/>
  <c r="M15" i="23" s="1"/>
  <c r="N15" i="23" s="1"/>
  <c r="O15" i="23" s="1"/>
  <c r="P15" i="23" s="1"/>
  <c r="Q15" i="23" s="1"/>
  <c r="E14" i="23"/>
  <c r="D14" i="23"/>
  <c r="K13" i="23"/>
  <c r="L13" i="23" s="1"/>
  <c r="M13" i="23" s="1"/>
  <c r="N13" i="23" s="1"/>
  <c r="O13" i="23" s="1"/>
  <c r="P13" i="23" s="1"/>
  <c r="Q13" i="23" s="1"/>
  <c r="E12" i="23"/>
  <c r="D12" i="23"/>
  <c r="E6" i="23"/>
  <c r="D6" i="23"/>
  <c r="E2" i="23"/>
  <c r="F2" i="23" s="1"/>
  <c r="G2" i="23" s="1"/>
  <c r="H2" i="23" s="1"/>
  <c r="I2" i="23" s="1"/>
  <c r="J2" i="23" s="1"/>
  <c r="K2" i="23" s="1"/>
  <c r="L2" i="23" s="1"/>
  <c r="M2" i="23" s="1"/>
  <c r="N2" i="23" s="1"/>
  <c r="O2" i="23" s="1"/>
  <c r="P2" i="23" s="1"/>
  <c r="Q2" i="23" s="1"/>
  <c r="E188" i="23"/>
  <c r="J113" i="4" s="1"/>
  <c r="J129" i="4" s="1"/>
  <c r="D188" i="23"/>
  <c r="I113" i="4" s="1"/>
  <c r="I129" i="4" s="1"/>
  <c r="C188" i="23"/>
  <c r="E185" i="23"/>
  <c r="D185" i="23"/>
  <c r="C185" i="23"/>
  <c r="E180" i="23"/>
  <c r="D180" i="23"/>
  <c r="E176" i="23"/>
  <c r="K175" i="23"/>
  <c r="L175" i="23" s="1"/>
  <c r="M175" i="23" s="1"/>
  <c r="N175" i="23" s="1"/>
  <c r="O175" i="23" s="1"/>
  <c r="P175" i="23" s="1"/>
  <c r="Q175" i="23" s="1"/>
  <c r="E171" i="23"/>
  <c r="D171" i="23"/>
  <c r="C171" i="23"/>
  <c r="E170" i="23"/>
  <c r="D170" i="23"/>
  <c r="K169" i="23"/>
  <c r="L169" i="23" s="1"/>
  <c r="M169" i="23" s="1"/>
  <c r="N169" i="23" s="1"/>
  <c r="O169" i="23" s="1"/>
  <c r="P169" i="23" s="1"/>
  <c r="Q169" i="23" s="1"/>
  <c r="E168" i="23"/>
  <c r="D168" i="23"/>
  <c r="K167" i="23"/>
  <c r="L167" i="23" s="1"/>
  <c r="M167" i="23" s="1"/>
  <c r="N167" i="23" s="1"/>
  <c r="O167" i="23" s="1"/>
  <c r="P167" i="23" s="1"/>
  <c r="Q167" i="23" s="1"/>
  <c r="E166" i="23"/>
  <c r="D166" i="23"/>
  <c r="E160" i="23"/>
  <c r="D160" i="23"/>
  <c r="E156" i="23"/>
  <c r="W11" i="20"/>
  <c r="W10" i="20"/>
  <c r="V393" i="20"/>
  <c r="X395" i="20" s="1"/>
  <c r="M590" i="20"/>
  <c r="M588" i="20"/>
  <c r="P636" i="20" s="1"/>
  <c r="M584" i="20"/>
  <c r="P624" i="20" s="1"/>
  <c r="N504" i="20"/>
  <c r="O505" i="20" s="1"/>
  <c r="E2106" i="16" s="1"/>
  <c r="H2106" i="16" s="1"/>
  <c r="N500" i="20"/>
  <c r="R501" i="20" s="1"/>
  <c r="N483" i="20"/>
  <c r="CE483" i="20" s="1"/>
  <c r="N461" i="20"/>
  <c r="N450" i="20"/>
  <c r="N449" i="20"/>
  <c r="N439" i="20"/>
  <c r="N438" i="20"/>
  <c r="N427" i="20"/>
  <c r="N426" i="20"/>
  <c r="N415" i="20"/>
  <c r="CC488" i="20"/>
  <c r="CC487" i="20"/>
  <c r="CD487" i="20" s="1"/>
  <c r="M586" i="20" s="1"/>
  <c r="CC486" i="20"/>
  <c r="CD486" i="20" s="1"/>
  <c r="M585" i="20" s="1"/>
  <c r="P612" i="20" s="1"/>
  <c r="CC485" i="20"/>
  <c r="CC482" i="20"/>
  <c r="CD482" i="20" s="1"/>
  <c r="M583" i="20" s="1"/>
  <c r="CC481" i="20"/>
  <c r="CD481" i="20" s="1"/>
  <c r="M582" i="20" s="1"/>
  <c r="CC480" i="20"/>
  <c r="CD480" i="20" s="1"/>
  <c r="CC466" i="20"/>
  <c r="M579" i="20" s="1"/>
  <c r="P635" i="20" s="1"/>
  <c r="CC465" i="20"/>
  <c r="M577" i="20" s="1"/>
  <c r="CC464" i="20"/>
  <c r="M576" i="20" s="1"/>
  <c r="P611" i="20" s="1"/>
  <c r="CC463" i="20"/>
  <c r="M575" i="20" s="1"/>
  <c r="P623" i="20" s="1"/>
  <c r="CC460" i="20"/>
  <c r="M574" i="20" s="1"/>
  <c r="CC459" i="20"/>
  <c r="M573" i="20" s="1"/>
  <c r="CC458" i="20"/>
  <c r="CC455" i="20"/>
  <c r="M570" i="20" s="1"/>
  <c r="P634" i="20" s="1"/>
  <c r="CC454" i="20"/>
  <c r="M568" i="20" s="1"/>
  <c r="CC453" i="20"/>
  <c r="M567" i="20" s="1"/>
  <c r="P610" i="20" s="1"/>
  <c r="CC452" i="20"/>
  <c r="M566" i="20" s="1"/>
  <c r="P622" i="20" s="1"/>
  <c r="CC448" i="20"/>
  <c r="M565" i="20" s="1"/>
  <c r="CC447" i="20"/>
  <c r="M564" i="20" s="1"/>
  <c r="CC446" i="20"/>
  <c r="CC443" i="20"/>
  <c r="M560" i="20" s="1"/>
  <c r="CC442" i="20"/>
  <c r="M559" i="20" s="1"/>
  <c r="CC441" i="20"/>
  <c r="M558" i="20" s="1"/>
  <c r="CC437" i="20"/>
  <c r="M557" i="20" s="1"/>
  <c r="CC436" i="20"/>
  <c r="M556" i="20" s="1"/>
  <c r="CC435" i="20"/>
  <c r="CC432" i="20"/>
  <c r="M553" i="20" s="1"/>
  <c r="P632" i="20" s="1"/>
  <c r="CC431" i="20"/>
  <c r="M551" i="20" s="1"/>
  <c r="CC430" i="20"/>
  <c r="M550" i="20" s="1"/>
  <c r="P608" i="20" s="1"/>
  <c r="CC429" i="20"/>
  <c r="M549" i="20" s="1"/>
  <c r="P620" i="20" s="1"/>
  <c r="CC425" i="20"/>
  <c r="M548" i="20" s="1"/>
  <c r="CC424" i="20"/>
  <c r="M547" i="20" s="1"/>
  <c r="CC423" i="20"/>
  <c r="CC420" i="20"/>
  <c r="M544" i="20" s="1"/>
  <c r="P631" i="20" s="1"/>
  <c r="CC419" i="20"/>
  <c r="M542" i="20" s="1"/>
  <c r="CC418" i="20"/>
  <c r="M541" i="20" s="1"/>
  <c r="P607" i="20" s="1"/>
  <c r="CC417" i="20"/>
  <c r="M540" i="20" s="1"/>
  <c r="P619" i="20" s="1"/>
  <c r="CC414" i="20"/>
  <c r="M539" i="20" s="1"/>
  <c r="CC413" i="20"/>
  <c r="M538" i="20" s="1"/>
  <c r="CC412" i="20"/>
  <c r="P17" i="20"/>
  <c r="P106" i="20" s="1"/>
  <c r="Q11" i="20"/>
  <c r="Q16" i="20" s="1"/>
  <c r="M591" i="20" l="1"/>
  <c r="M592" i="20"/>
  <c r="F156" i="23"/>
  <c r="E193" i="23"/>
  <c r="E198" i="23" s="1"/>
  <c r="P621" i="20"/>
  <c r="M594" i="20"/>
  <c r="P609" i="20"/>
  <c r="M595" i="20"/>
  <c r="M596" i="20"/>
  <c r="D797" i="20"/>
  <c r="AV16" i="20"/>
  <c r="AQ16" i="20"/>
  <c r="E19" i="23"/>
  <c r="F18" i="23"/>
  <c r="J26" i="24"/>
  <c r="J17" i="24"/>
  <c r="E173" i="23"/>
  <c r="K173" i="23" s="1"/>
  <c r="L173" i="23" s="1"/>
  <c r="M173" i="23" s="1"/>
  <c r="N173" i="23" s="1"/>
  <c r="O173" i="23" s="1"/>
  <c r="P173" i="23" s="1"/>
  <c r="Q173" i="23" s="1"/>
  <c r="F172" i="23"/>
  <c r="CE415" i="20"/>
  <c r="N494" i="20"/>
  <c r="D1061" i="20"/>
  <c r="D1057" i="20"/>
  <c r="J56" i="4"/>
  <c r="D249" i="23"/>
  <c r="D257" i="23" s="1"/>
  <c r="D261" i="23"/>
  <c r="D268" i="23" s="1"/>
  <c r="D140" i="23"/>
  <c r="D136" i="23"/>
  <c r="E66" i="23"/>
  <c r="F71" i="23" s="1"/>
  <c r="E62" i="23"/>
  <c r="C103" i="23"/>
  <c r="C99" i="23"/>
  <c r="E140" i="23"/>
  <c r="E136" i="23"/>
  <c r="K136" i="23" s="1"/>
  <c r="L136" i="23" s="1"/>
  <c r="M136" i="23" s="1"/>
  <c r="N136" i="23" s="1"/>
  <c r="O136" i="23" s="1"/>
  <c r="P136" i="23" s="1"/>
  <c r="Q136" i="23" s="1"/>
  <c r="C23" i="23"/>
  <c r="C19" i="23"/>
  <c r="C177" i="23"/>
  <c r="C173" i="23"/>
  <c r="D103" i="23"/>
  <c r="D99" i="23"/>
  <c r="D177" i="23"/>
  <c r="D173" i="23"/>
  <c r="C66" i="23"/>
  <c r="C62" i="23"/>
  <c r="E103" i="23"/>
  <c r="E99" i="23"/>
  <c r="C140" i="23"/>
  <c r="C136" i="23"/>
  <c r="I2071" i="16"/>
  <c r="I2081" i="16" s="1"/>
  <c r="N451" i="20"/>
  <c r="CE450" i="20"/>
  <c r="N462" i="20"/>
  <c r="CE461" i="20"/>
  <c r="N428" i="20"/>
  <c r="CE427" i="20"/>
  <c r="CF427" i="20" s="1"/>
  <c r="N440" i="20"/>
  <c r="CE439" i="20"/>
  <c r="M552" i="20"/>
  <c r="I131" i="4"/>
  <c r="K46" i="4"/>
  <c r="J99" i="4"/>
  <c r="J144" i="4"/>
  <c r="I99" i="4"/>
  <c r="I144" i="4"/>
  <c r="J110" i="4"/>
  <c r="E261" i="23"/>
  <c r="C249" i="23"/>
  <c r="C272" i="23" s="1"/>
  <c r="C43" i="23"/>
  <c r="H63" i="4"/>
  <c r="C80" i="23"/>
  <c r="H64" i="4"/>
  <c r="E117" i="23"/>
  <c r="E290" i="23" s="1"/>
  <c r="J65" i="4"/>
  <c r="C191" i="23"/>
  <c r="H66" i="4"/>
  <c r="D43" i="23"/>
  <c r="D288" i="23" s="1"/>
  <c r="I63" i="4"/>
  <c r="D80" i="23"/>
  <c r="D289" i="23" s="1"/>
  <c r="I64" i="4"/>
  <c r="C154" i="23"/>
  <c r="H67" i="4"/>
  <c r="D191" i="23"/>
  <c r="D292" i="23" s="1"/>
  <c r="I66" i="4"/>
  <c r="E43" i="23"/>
  <c r="E288" i="23" s="1"/>
  <c r="J63" i="4"/>
  <c r="E80" i="23"/>
  <c r="E289" i="23" s="1"/>
  <c r="J64" i="4"/>
  <c r="C117" i="23"/>
  <c r="H65" i="4"/>
  <c r="D154" i="23"/>
  <c r="D291" i="23" s="1"/>
  <c r="I67" i="4"/>
  <c r="E249" i="23"/>
  <c r="E257" i="23" s="1"/>
  <c r="E191" i="23"/>
  <c r="E292" i="23" s="1"/>
  <c r="J66" i="4"/>
  <c r="D117" i="23"/>
  <c r="D290" i="23" s="1"/>
  <c r="I65" i="4"/>
  <c r="E154" i="23"/>
  <c r="E291" i="23" s="1"/>
  <c r="J67" i="4"/>
  <c r="H28" i="24"/>
  <c r="H14" i="24"/>
  <c r="I23" i="24"/>
  <c r="I14" i="24" s="1"/>
  <c r="H24" i="24"/>
  <c r="J21" i="24"/>
  <c r="J19" i="24"/>
  <c r="E211" i="23"/>
  <c r="F45" i="23"/>
  <c r="E206" i="23"/>
  <c r="E287" i="23" s="1"/>
  <c r="E274" i="23" s="1"/>
  <c r="K45" i="4"/>
  <c r="D172" i="23"/>
  <c r="E135" i="23"/>
  <c r="D135" i="23"/>
  <c r="E98" i="23"/>
  <c r="D98" i="23"/>
  <c r="G60" i="23"/>
  <c r="E61" i="23"/>
  <c r="D66" i="23"/>
  <c r="D61" i="23"/>
  <c r="D18" i="23"/>
  <c r="D23" i="23"/>
  <c r="E23" i="23"/>
  <c r="E18" i="23"/>
  <c r="E177" i="23"/>
  <c r="E172" i="23"/>
  <c r="M561" i="20"/>
  <c r="M599" i="20"/>
  <c r="M587" i="20"/>
  <c r="M543" i="20"/>
  <c r="M569" i="20"/>
  <c r="M578" i="20"/>
  <c r="N484" i="20"/>
  <c r="V366" i="20"/>
  <c r="V365" i="20"/>
  <c r="V364" i="20"/>
  <c r="V362" i="20"/>
  <c r="V360" i="20"/>
  <c r="V332" i="20"/>
  <c r="V345" i="20" s="1"/>
  <c r="V318" i="20"/>
  <c r="V317" i="20"/>
  <c r="V316" i="20"/>
  <c r="U313" i="20"/>
  <c r="V311" i="20"/>
  <c r="V310" i="20"/>
  <c r="V205" i="20"/>
  <c r="Y316" i="12"/>
  <c r="Y244" i="12"/>
  <c r="M514" i="20" s="1"/>
  <c r="P628" i="20" s="1"/>
  <c r="P637" i="20" s="1"/>
  <c r="Y243" i="12"/>
  <c r="M512" i="20" s="1"/>
  <c r="Y242" i="12"/>
  <c r="M511" i="20" s="1"/>
  <c r="P604" i="20" s="1"/>
  <c r="Y241" i="12"/>
  <c r="M510" i="20" s="1"/>
  <c r="P616" i="20" s="1"/>
  <c r="Y240" i="12"/>
  <c r="M509" i="20" s="1"/>
  <c r="Y239" i="12"/>
  <c r="M508" i="20" s="1"/>
  <c r="Y238" i="12"/>
  <c r="Y235" i="12"/>
  <c r="Y231" i="12"/>
  <c r="Y232" i="12" s="1"/>
  <c r="Y338" i="12"/>
  <c r="V204" i="20"/>
  <c r="Y317" i="12"/>
  <c r="Y382" i="12"/>
  <c r="V192" i="20"/>
  <c r="L809" i="20" s="1"/>
  <c r="V194" i="20"/>
  <c r="BP17" i="20"/>
  <c r="BP11" i="20"/>
  <c r="BP4" i="20"/>
  <c r="R99" i="20"/>
  <c r="R101" i="20" s="1"/>
  <c r="V104" i="20"/>
  <c r="V103" i="20"/>
  <c r="V100" i="20"/>
  <c r="BW100" i="20" s="1"/>
  <c r="G1058" i="20" s="1"/>
  <c r="V99" i="20"/>
  <c r="V96" i="20"/>
  <c r="V94" i="20"/>
  <c r="V93" i="20"/>
  <c r="V92" i="20"/>
  <c r="V12" i="20"/>
  <c r="BT12" i="20" s="1"/>
  <c r="G1091" i="20" s="1"/>
  <c r="V15" i="20"/>
  <c r="BT15" i="20" s="1"/>
  <c r="G1094" i="20" s="1"/>
  <c r="V14" i="20"/>
  <c r="BT14" i="20" s="1"/>
  <c r="G1093" i="20" s="1"/>
  <c r="V13" i="20"/>
  <c r="BT13" i="20" s="1"/>
  <c r="G1092" i="20" s="1"/>
  <c r="G1075" i="20" s="1"/>
  <c r="V8" i="20"/>
  <c r="BT8" i="20" s="1"/>
  <c r="G1087" i="20" s="1"/>
  <c r="V5" i="20"/>
  <c r="BT5" i="20" s="1"/>
  <c r="G1086" i="20" s="1"/>
  <c r="D108" i="23" l="1"/>
  <c r="P625" i="20"/>
  <c r="P613" i="20"/>
  <c r="D145" i="23"/>
  <c r="G156" i="23"/>
  <c r="F193" i="23"/>
  <c r="F198" i="23" s="1"/>
  <c r="G66" i="23"/>
  <c r="G71" i="23" s="1"/>
  <c r="G72" i="23" s="1"/>
  <c r="G62" i="23"/>
  <c r="I116" i="4"/>
  <c r="I121" i="4" s="1"/>
  <c r="E145" i="23"/>
  <c r="M597" i="20"/>
  <c r="M601" i="20" s="1"/>
  <c r="K221" i="23"/>
  <c r="BA16" i="20" s="1"/>
  <c r="AZ16" i="20" s="1"/>
  <c r="O50" i="4"/>
  <c r="K17" i="24"/>
  <c r="K26" i="24"/>
  <c r="M45" i="4"/>
  <c r="AH123" i="20"/>
  <c r="E71" i="23"/>
  <c r="F72" i="23" s="1"/>
  <c r="BW96" i="20"/>
  <c r="G1054" i="20" s="1"/>
  <c r="BW94" i="20"/>
  <c r="G1052" i="20" s="1"/>
  <c r="BW103" i="20"/>
  <c r="G1061" i="20" s="1"/>
  <c r="E182" i="23"/>
  <c r="E108" i="23"/>
  <c r="F108" i="23"/>
  <c r="V60" i="20"/>
  <c r="E233" i="23"/>
  <c r="C2508" i="16" s="1"/>
  <c r="BW104" i="20"/>
  <c r="G1062" i="20" s="1"/>
  <c r="BS92" i="20"/>
  <c r="BW92" i="20"/>
  <c r="G1050" i="20" s="1"/>
  <c r="G986" i="20"/>
  <c r="G1019" i="20" s="1"/>
  <c r="BW99" i="20"/>
  <c r="G1057" i="20" s="1"/>
  <c r="BS93" i="20"/>
  <c r="BW93" i="20"/>
  <c r="G1051" i="20" s="1"/>
  <c r="F2480" i="16"/>
  <c r="F2479" i="16"/>
  <c r="E242" i="23"/>
  <c r="C2520" i="16" s="1"/>
  <c r="D182" i="23"/>
  <c r="BS103" i="20"/>
  <c r="E236" i="23"/>
  <c r="C2512" i="16" s="1"/>
  <c r="E34" i="23"/>
  <c r="F23" i="23"/>
  <c r="F177" i="23"/>
  <c r="F182" i="23" s="1"/>
  <c r="D34" i="23"/>
  <c r="G140" i="23"/>
  <c r="G103" i="23"/>
  <c r="G108" i="23" s="1"/>
  <c r="M2081" i="16"/>
  <c r="Y387" i="12"/>
  <c r="Y383" i="12"/>
  <c r="V239" i="20"/>
  <c r="Y272" i="12"/>
  <c r="AC276" i="12" s="1"/>
  <c r="BZ120" i="20" s="1"/>
  <c r="M513" i="20"/>
  <c r="AB11" i="20"/>
  <c r="BP8" i="20"/>
  <c r="BP13" i="20"/>
  <c r="V313" i="20"/>
  <c r="J14" i="4" s="1"/>
  <c r="BP14" i="20"/>
  <c r="BP12" i="20"/>
  <c r="BP15" i="20"/>
  <c r="Y44" i="17"/>
  <c r="AB8" i="20"/>
  <c r="Y43" i="17"/>
  <c r="J139" i="4"/>
  <c r="J126" i="4"/>
  <c r="L46" i="4"/>
  <c r="C3277" i="16" s="1"/>
  <c r="J95" i="4"/>
  <c r="J140" i="4"/>
  <c r="J98" i="4"/>
  <c r="J143" i="4"/>
  <c r="J97" i="4"/>
  <c r="J142" i="4"/>
  <c r="J96" i="4"/>
  <c r="J141" i="4"/>
  <c r="I98" i="4"/>
  <c r="I143" i="4"/>
  <c r="I97" i="4"/>
  <c r="I142" i="4"/>
  <c r="I96" i="4"/>
  <c r="I141" i="4"/>
  <c r="I95" i="4"/>
  <c r="I140" i="4"/>
  <c r="I94" i="4"/>
  <c r="I139" i="4"/>
  <c r="E268" i="23"/>
  <c r="J116" i="4"/>
  <c r="J121" i="4" s="1"/>
  <c r="J94" i="4"/>
  <c r="H69" i="4"/>
  <c r="C257" i="23"/>
  <c r="I69" i="4"/>
  <c r="I88" i="4" s="1"/>
  <c r="D272" i="23"/>
  <c r="D294" i="23" s="1"/>
  <c r="J69" i="4"/>
  <c r="J84" i="4" s="1"/>
  <c r="J86" i="4" s="1"/>
  <c r="E272" i="23"/>
  <c r="E294" i="23" s="1"/>
  <c r="L45" i="4"/>
  <c r="C3276" i="16" s="1"/>
  <c r="V242" i="20"/>
  <c r="Y381" i="12"/>
  <c r="I24" i="24"/>
  <c r="I28" i="24"/>
  <c r="K21" i="24"/>
  <c r="J23" i="24"/>
  <c r="K19" i="24"/>
  <c r="V101" i="20"/>
  <c r="BS100" i="20"/>
  <c r="F248" i="23"/>
  <c r="F260" i="23"/>
  <c r="K115" i="4" s="1"/>
  <c r="G45" i="23"/>
  <c r="F206" i="23"/>
  <c r="F287" i="23" s="1"/>
  <c r="F274" i="23" s="1"/>
  <c r="D71" i="23"/>
  <c r="H60" i="23"/>
  <c r="F140" i="23"/>
  <c r="F145" i="23" s="1"/>
  <c r="H97" i="23"/>
  <c r="G61" i="23"/>
  <c r="K41" i="4"/>
  <c r="AB12" i="20" s="1"/>
  <c r="G17" i="23"/>
  <c r="G177" i="23"/>
  <c r="BP5" i="20"/>
  <c r="V105" i="20"/>
  <c r="V16" i="20"/>
  <c r="BS99" i="20"/>
  <c r="BS96" i="20"/>
  <c r="BS94" i="20"/>
  <c r="R105" i="20"/>
  <c r="BS104" i="20"/>
  <c r="V347" i="20"/>
  <c r="R95" i="20"/>
  <c r="R97" i="20" s="1"/>
  <c r="V333" i="20"/>
  <c r="V95" i="20"/>
  <c r="BW95" i="20" s="1"/>
  <c r="G1053" i="20" s="1"/>
  <c r="E146" i="23" l="1"/>
  <c r="E109" i="23"/>
  <c r="I132" i="4"/>
  <c r="H156" i="23"/>
  <c r="G193" i="23"/>
  <c r="G198" i="23" s="1"/>
  <c r="E72" i="23"/>
  <c r="E183" i="23"/>
  <c r="G109" i="23"/>
  <c r="G182" i="23"/>
  <c r="G183" i="23" s="1"/>
  <c r="H66" i="23"/>
  <c r="H71" i="23" s="1"/>
  <c r="H72" i="23" s="1"/>
  <c r="H62" i="23"/>
  <c r="H103" i="23"/>
  <c r="H99" i="23"/>
  <c r="H98" i="23"/>
  <c r="L17" i="24"/>
  <c r="M17" i="24" s="1"/>
  <c r="F3281" i="16"/>
  <c r="F151" i="28"/>
  <c r="L26" i="24"/>
  <c r="M26" i="24" s="1"/>
  <c r="N26" i="24" s="1"/>
  <c r="O26" i="24" s="1"/>
  <c r="P26" i="24" s="1"/>
  <c r="Q26" i="24" s="1"/>
  <c r="R26" i="24" s="1"/>
  <c r="L221" i="23"/>
  <c r="BF16" i="20" s="1"/>
  <c r="P50" i="4"/>
  <c r="G145" i="23"/>
  <c r="G146" i="23" s="1"/>
  <c r="F183" i="23"/>
  <c r="G19" i="23"/>
  <c r="G23" i="23"/>
  <c r="G18" i="23"/>
  <c r="F34" i="23"/>
  <c r="F35" i="23" s="1"/>
  <c r="F146" i="23"/>
  <c r="L44" i="4"/>
  <c r="C3275" i="16" s="1"/>
  <c r="K68" i="4"/>
  <c r="K144" i="4" s="1"/>
  <c r="F109" i="23"/>
  <c r="J88" i="4"/>
  <c r="V65" i="20"/>
  <c r="AA66" i="20" s="1"/>
  <c r="C2308" i="8" s="1"/>
  <c r="AA61" i="20"/>
  <c r="C2304" i="8" s="1"/>
  <c r="F237" i="23"/>
  <c r="D2514" i="16" s="1"/>
  <c r="E234" i="23"/>
  <c r="C2510" i="16" s="1"/>
  <c r="F234" i="23"/>
  <c r="D2510" i="16" s="1"/>
  <c r="F243" i="23"/>
  <c r="D2521" i="16" s="1"/>
  <c r="BS101" i="20"/>
  <c r="BW101" i="20"/>
  <c r="G1059" i="20" s="1"/>
  <c r="G987" i="20"/>
  <c r="G1020" i="20" s="1"/>
  <c r="BW105" i="20"/>
  <c r="G1063" i="20" s="1"/>
  <c r="Z43" i="17"/>
  <c r="AG8" i="20"/>
  <c r="Z44" i="17"/>
  <c r="AG11" i="20"/>
  <c r="AB103" i="20"/>
  <c r="E243" i="23"/>
  <c r="C2521" i="16" s="1"/>
  <c r="G248" i="23"/>
  <c r="D119" i="31" s="1"/>
  <c r="F229" i="23"/>
  <c r="G229" i="23"/>
  <c r="H230" i="23" s="1"/>
  <c r="K43" i="4"/>
  <c r="G985" i="20"/>
  <c r="N503" i="20"/>
  <c r="V232" i="20"/>
  <c r="BS105" i="20"/>
  <c r="R107" i="20"/>
  <c r="J123" i="4"/>
  <c r="K44" i="4"/>
  <c r="M46" i="4"/>
  <c r="J100" i="4"/>
  <c r="J145" i="4"/>
  <c r="I100" i="4"/>
  <c r="I145" i="4"/>
  <c r="J132" i="4"/>
  <c r="K131" i="4"/>
  <c r="J74" i="4"/>
  <c r="C2525" i="16" s="1"/>
  <c r="I84" i="5"/>
  <c r="I85" i="5" s="1"/>
  <c r="G260" i="23"/>
  <c r="G261" i="23" s="1"/>
  <c r="G268" i="23" s="1"/>
  <c r="K42" i="4"/>
  <c r="Y40" i="17" s="1"/>
  <c r="I208" i="23"/>
  <c r="F271" i="23"/>
  <c r="F293" i="23" s="1"/>
  <c r="J28" i="24"/>
  <c r="J14" i="24"/>
  <c r="L19" i="24"/>
  <c r="K23" i="24"/>
  <c r="J24" i="24"/>
  <c r="L21" i="24"/>
  <c r="H45" i="23"/>
  <c r="G206" i="23"/>
  <c r="G287" i="23" s="1"/>
  <c r="G274" i="23" s="1"/>
  <c r="J149" i="23"/>
  <c r="H140" i="23"/>
  <c r="H145" i="23" s="1"/>
  <c r="I97" i="23"/>
  <c r="Y39" i="17"/>
  <c r="H61" i="23"/>
  <c r="H17" i="23"/>
  <c r="H19" i="23" s="1"/>
  <c r="H177" i="23"/>
  <c r="I182" i="23" s="1"/>
  <c r="L43" i="4"/>
  <c r="C3274" i="16" s="1"/>
  <c r="E35" i="23"/>
  <c r="BS95" i="20"/>
  <c r="V97" i="20"/>
  <c r="BW97" i="20" s="1"/>
  <c r="G1055" i="20" s="1"/>
  <c r="V236" i="20"/>
  <c r="V209" i="20"/>
  <c r="V18" i="20"/>
  <c r="H146" i="23" l="1"/>
  <c r="I156" i="23"/>
  <c r="H193" i="23"/>
  <c r="H198" i="23" s="1"/>
  <c r="G34" i="23"/>
  <c r="G35" i="23" s="1"/>
  <c r="J208" i="23"/>
  <c r="K208" i="23" s="1"/>
  <c r="I210" i="23"/>
  <c r="H108" i="23"/>
  <c r="H109" i="23" s="1"/>
  <c r="I99" i="23"/>
  <c r="J99" i="23" s="1"/>
  <c r="K99" i="23" s="1"/>
  <c r="L99" i="23" s="1"/>
  <c r="M99" i="23" s="1"/>
  <c r="N99" i="23" s="1"/>
  <c r="O99" i="23" s="1"/>
  <c r="P99" i="23" s="1"/>
  <c r="Q99" i="23" s="1"/>
  <c r="I98" i="23"/>
  <c r="I62" i="23"/>
  <c r="K62" i="23" s="1"/>
  <c r="L62" i="23" s="1"/>
  <c r="M62" i="23" s="1"/>
  <c r="N62" i="23" s="1"/>
  <c r="O62" i="23" s="1"/>
  <c r="P62" i="23" s="1"/>
  <c r="Q62" i="23" s="1"/>
  <c r="I66" i="23"/>
  <c r="H182" i="23"/>
  <c r="H183" i="23" s="1"/>
  <c r="N3613" i="16"/>
  <c r="G3281" i="16"/>
  <c r="G151" i="28"/>
  <c r="M221" i="23"/>
  <c r="Q50" i="4"/>
  <c r="D3276" i="16"/>
  <c r="D3277" i="16"/>
  <c r="G230" i="23"/>
  <c r="H231" i="23" s="1"/>
  <c r="L68" i="4"/>
  <c r="L99" i="4" s="1"/>
  <c r="G249" i="23"/>
  <c r="D120" i="31" s="1"/>
  <c r="K99" i="4"/>
  <c r="M44" i="4"/>
  <c r="AA43" i="17"/>
  <c r="AL8" i="20"/>
  <c r="AA44" i="17"/>
  <c r="AL11" i="20"/>
  <c r="E2512" i="16"/>
  <c r="C2542" i="16"/>
  <c r="E2508" i="16"/>
  <c r="C2541" i="16"/>
  <c r="J107" i="4"/>
  <c r="J81" i="4"/>
  <c r="AB104" i="20"/>
  <c r="AB105" i="20" s="1"/>
  <c r="Z40" i="17"/>
  <c r="AG15" i="20"/>
  <c r="Z42" i="17"/>
  <c r="AG14" i="20"/>
  <c r="AG103" i="20"/>
  <c r="AG104" i="20"/>
  <c r="F223" i="23"/>
  <c r="G271" i="23"/>
  <c r="G293" i="23" s="1"/>
  <c r="AB100" i="20"/>
  <c r="H248" i="23"/>
  <c r="E119" i="31" s="1"/>
  <c r="G988" i="20"/>
  <c r="G1021" i="20" s="1"/>
  <c r="G1018" i="20"/>
  <c r="F143" i="23"/>
  <c r="K67" i="4"/>
  <c r="K98" i="4" s="1"/>
  <c r="AB13" i="20"/>
  <c r="J105" i="4"/>
  <c r="AB14" i="20"/>
  <c r="Y42" i="17"/>
  <c r="Y41" i="17"/>
  <c r="AB15" i="20"/>
  <c r="F111" i="23"/>
  <c r="K114" i="4"/>
  <c r="K130" i="4" s="1"/>
  <c r="N46" i="4"/>
  <c r="E3277" i="16" s="1"/>
  <c r="L115" i="4"/>
  <c r="L131" i="4" s="1"/>
  <c r="N45" i="4"/>
  <c r="E3276" i="16" s="1"/>
  <c r="K112" i="4"/>
  <c r="H260" i="23"/>
  <c r="H261" i="23" s="1"/>
  <c r="L23" i="24"/>
  <c r="L14" i="24" s="1"/>
  <c r="K24" i="24"/>
  <c r="K14" i="24"/>
  <c r="K28" i="24"/>
  <c r="M21" i="24"/>
  <c r="M19" i="24"/>
  <c r="N17" i="24"/>
  <c r="I45" i="23"/>
  <c r="H206" i="23"/>
  <c r="H287" i="23" s="1"/>
  <c r="H274" i="23" s="1"/>
  <c r="K128" i="23"/>
  <c r="I140" i="23"/>
  <c r="G143" i="23"/>
  <c r="L67" i="4"/>
  <c r="L114" i="4"/>
  <c r="L130" i="4" s="1"/>
  <c r="I103" i="23"/>
  <c r="L65" i="4"/>
  <c r="L112" i="4"/>
  <c r="L128" i="4" s="1"/>
  <c r="J97" i="23"/>
  <c r="K91" i="23"/>
  <c r="M42" i="4"/>
  <c r="K111" i="4"/>
  <c r="K127" i="4" s="1"/>
  <c r="F69" i="23"/>
  <c r="K64" i="4"/>
  <c r="I61" i="23"/>
  <c r="K165" i="23"/>
  <c r="K113" i="4"/>
  <c r="K129" i="4" s="1"/>
  <c r="F180" i="23"/>
  <c r="K66" i="4"/>
  <c r="I17" i="23"/>
  <c r="H23" i="23"/>
  <c r="H34" i="23" s="1"/>
  <c r="H18" i="23"/>
  <c r="BS97" i="20"/>
  <c r="V314" i="20"/>
  <c r="V349" i="20"/>
  <c r="L810" i="20"/>
  <c r="L808" i="20"/>
  <c r="L807" i="20"/>
  <c r="L805" i="20"/>
  <c r="V90" i="20"/>
  <c r="V75" i="20"/>
  <c r="V68" i="20"/>
  <c r="V79" i="20" s="1"/>
  <c r="V288" i="20"/>
  <c r="V284" i="20"/>
  <c r="V331" i="20" s="1"/>
  <c r="V390" i="20" s="1"/>
  <c r="V211" i="20"/>
  <c r="V216" i="20" s="1"/>
  <c r="F2732" i="16" s="1"/>
  <c r="V208" i="20"/>
  <c r="V193" i="20"/>
  <c r="H35" i="23" l="1"/>
  <c r="I71" i="23"/>
  <c r="I72" i="23" s="1"/>
  <c r="I108" i="23"/>
  <c r="I109" i="23" s="1"/>
  <c r="I145" i="23"/>
  <c r="I146" i="23" s="1"/>
  <c r="D121" i="31"/>
  <c r="D130" i="31" s="1"/>
  <c r="N221" i="23"/>
  <c r="R50" i="4"/>
  <c r="AF48" i="17" s="1"/>
  <c r="J156" i="23"/>
  <c r="I193" i="23"/>
  <c r="I198" i="23" s="1"/>
  <c r="I183" i="23"/>
  <c r="I211" i="23"/>
  <c r="J210" i="23"/>
  <c r="I229" i="23"/>
  <c r="I19" i="23"/>
  <c r="J19" i="23" s="1"/>
  <c r="K19" i="23" s="1"/>
  <c r="L19" i="23" s="1"/>
  <c r="M19" i="23" s="1"/>
  <c r="N19" i="23" s="1"/>
  <c r="O19" i="23" s="1"/>
  <c r="P19" i="23" s="1"/>
  <c r="Q19" i="23" s="1"/>
  <c r="M68" i="4"/>
  <c r="M99" i="4" s="1"/>
  <c r="H3281" i="16"/>
  <c r="AE48" i="17"/>
  <c r="H151" i="28"/>
  <c r="I3613" i="16"/>
  <c r="M3616" i="16"/>
  <c r="F105" i="28"/>
  <c r="D3273" i="16"/>
  <c r="D3275" i="16"/>
  <c r="N44" i="4"/>
  <c r="K65" i="4"/>
  <c r="K96" i="4" s="1"/>
  <c r="AB43" i="17"/>
  <c r="AQ8" i="20"/>
  <c r="AB44" i="17"/>
  <c r="AQ11" i="20"/>
  <c r="AA40" i="17"/>
  <c r="AL15" i="20"/>
  <c r="AA42" i="17"/>
  <c r="AL14" i="20"/>
  <c r="C2567" i="16"/>
  <c r="J2567" i="16"/>
  <c r="C2566" i="16"/>
  <c r="J2566" i="16"/>
  <c r="F2512" i="16"/>
  <c r="D2542" i="16"/>
  <c r="E2520" i="16"/>
  <c r="C2544" i="16"/>
  <c r="J2569" i="16" s="1"/>
  <c r="H271" i="23"/>
  <c r="H293" i="23" s="1"/>
  <c r="F2508" i="16"/>
  <c r="D2541" i="16"/>
  <c r="I233" i="23"/>
  <c r="I236" i="23"/>
  <c r="Z41" i="17"/>
  <c r="AG13" i="20"/>
  <c r="Z39" i="17"/>
  <c r="AG12" i="20"/>
  <c r="AG100" i="20"/>
  <c r="AG105" i="20"/>
  <c r="I260" i="23"/>
  <c r="I261" i="23" s="1"/>
  <c r="I268" i="23" s="1"/>
  <c r="F117" i="23"/>
  <c r="F290" i="23" s="1"/>
  <c r="F154" i="23"/>
  <c r="F291" i="23" s="1"/>
  <c r="K143" i="4"/>
  <c r="L144" i="4"/>
  <c r="O46" i="4"/>
  <c r="AV11" i="20" s="1"/>
  <c r="L98" i="4"/>
  <c r="L143" i="4"/>
  <c r="K97" i="4"/>
  <c r="K142" i="4"/>
  <c r="K95" i="4"/>
  <c r="K140" i="4"/>
  <c r="L96" i="4"/>
  <c r="L141" i="4"/>
  <c r="K128" i="4"/>
  <c r="M115" i="4"/>
  <c r="M131" i="4" s="1"/>
  <c r="K40" i="4"/>
  <c r="F245" i="23"/>
  <c r="K54" i="23"/>
  <c r="K60" i="23" s="1"/>
  <c r="K51" i="23" s="1"/>
  <c r="F191" i="23"/>
  <c r="F292" i="23" s="1"/>
  <c r="F80" i="23"/>
  <c r="F289" i="23" s="1"/>
  <c r="G117" i="23"/>
  <c r="G290" i="23" s="1"/>
  <c r="G154" i="23"/>
  <c r="G291" i="23" s="1"/>
  <c r="L28" i="24"/>
  <c r="M23" i="24"/>
  <c r="M14" i="24" s="1"/>
  <c r="L24" i="24"/>
  <c r="N19" i="24"/>
  <c r="N21" i="24"/>
  <c r="O17" i="24"/>
  <c r="J45" i="23"/>
  <c r="I206" i="23"/>
  <c r="I287" i="23" s="1"/>
  <c r="I274" i="23" s="1"/>
  <c r="K218" i="23"/>
  <c r="L208" i="23"/>
  <c r="K134" i="23"/>
  <c r="K125" i="23" s="1"/>
  <c r="L128" i="23"/>
  <c r="J140" i="23"/>
  <c r="J145" i="23" s="1"/>
  <c r="J146" i="23" s="1"/>
  <c r="L149" i="23"/>
  <c r="M114" i="4"/>
  <c r="M130" i="4" s="1"/>
  <c r="M112" i="4"/>
  <c r="M128" i="4" s="1"/>
  <c r="M65" i="4"/>
  <c r="K97" i="23"/>
  <c r="K88" i="23" s="1"/>
  <c r="L91" i="23"/>
  <c r="J103" i="23"/>
  <c r="J108" i="23" s="1"/>
  <c r="J98" i="23"/>
  <c r="N42" i="4"/>
  <c r="E3273" i="16" s="1"/>
  <c r="M41" i="4"/>
  <c r="J66" i="23"/>
  <c r="J71" i="23" s="1"/>
  <c r="G69" i="23"/>
  <c r="L111" i="4"/>
  <c r="L127" i="4" s="1"/>
  <c r="L64" i="4"/>
  <c r="M43" i="4"/>
  <c r="J17" i="23"/>
  <c r="K11" i="23"/>
  <c r="F37" i="23"/>
  <c r="F249" i="23" s="1"/>
  <c r="F40" i="23"/>
  <c r="F261" i="23" s="1"/>
  <c r="F26" i="23"/>
  <c r="K171" i="23"/>
  <c r="K162" i="23" s="1"/>
  <c r="L165" i="23"/>
  <c r="I23" i="23"/>
  <c r="I18" i="23"/>
  <c r="J177" i="23"/>
  <c r="J182" i="23" s="1"/>
  <c r="J183" i="23" s="1"/>
  <c r="J172" i="23"/>
  <c r="L66" i="4"/>
  <c r="V191" i="20"/>
  <c r="V346" i="20" s="1"/>
  <c r="V109" i="20"/>
  <c r="BV109" i="20" s="1"/>
  <c r="BS91" i="20"/>
  <c r="V107" i="20"/>
  <c r="BS106" i="20"/>
  <c r="V285" i="20"/>
  <c r="J109" i="23" l="1"/>
  <c r="J72" i="23"/>
  <c r="O221" i="23"/>
  <c r="S50" i="4"/>
  <c r="AG48" i="17" s="1"/>
  <c r="D129" i="31"/>
  <c r="D128" i="31"/>
  <c r="D125" i="31"/>
  <c r="D124" i="31"/>
  <c r="D126" i="31"/>
  <c r="D127" i="31"/>
  <c r="J229" i="23"/>
  <c r="K156" i="23"/>
  <c r="J193" i="23"/>
  <c r="J198" i="23" s="1"/>
  <c r="N115" i="4"/>
  <c r="N131" i="4" s="1"/>
  <c r="K210" i="23"/>
  <c r="E3275" i="16"/>
  <c r="H3617" i="16"/>
  <c r="AP316" i="12"/>
  <c r="I3617" i="16"/>
  <c r="D3274" i="16"/>
  <c r="D3272" i="16"/>
  <c r="AC44" i="17"/>
  <c r="F3277" i="16"/>
  <c r="E2776" i="16"/>
  <c r="K141" i="4"/>
  <c r="K58" i="4"/>
  <c r="C2837" i="16"/>
  <c r="AB40" i="17"/>
  <c r="AQ15" i="20"/>
  <c r="AB42" i="17"/>
  <c r="AQ14" i="20"/>
  <c r="AA41" i="17"/>
  <c r="AL13" i="20"/>
  <c r="AA39" i="17"/>
  <c r="AL12" i="20"/>
  <c r="N2586" i="16"/>
  <c r="D2567" i="16"/>
  <c r="K2567" i="16"/>
  <c r="D2566" i="16"/>
  <c r="K2566" i="16"/>
  <c r="C2569" i="16"/>
  <c r="C2575" i="16"/>
  <c r="E2542" i="16"/>
  <c r="G2512" i="16"/>
  <c r="L113" i="4"/>
  <c r="L129" i="4" s="1"/>
  <c r="G2508" i="16"/>
  <c r="E2541" i="16"/>
  <c r="J233" i="23"/>
  <c r="J236" i="23"/>
  <c r="I271" i="23"/>
  <c r="I293" i="23" s="1"/>
  <c r="Y38" i="17"/>
  <c r="N68" i="4"/>
  <c r="AB5" i="20"/>
  <c r="K110" i="4"/>
  <c r="F264" i="23"/>
  <c r="M144" i="4"/>
  <c r="M28" i="24"/>
  <c r="P46" i="4"/>
  <c r="BA11" i="20" s="1"/>
  <c r="AZ11" i="20" s="1"/>
  <c r="L97" i="4"/>
  <c r="L95" i="4"/>
  <c r="L140" i="4"/>
  <c r="M96" i="4"/>
  <c r="M141" i="4"/>
  <c r="K63" i="4"/>
  <c r="F253" i="23"/>
  <c r="L54" i="23"/>
  <c r="M54" i="23" s="1"/>
  <c r="L40" i="4"/>
  <c r="G223" i="23"/>
  <c r="H291" i="23"/>
  <c r="M67" i="4"/>
  <c r="G191" i="23"/>
  <c r="G292" i="23" s="1"/>
  <c r="H117" i="23"/>
  <c r="H290" i="23" s="1"/>
  <c r="F43" i="23"/>
  <c r="F288" i="23" s="1"/>
  <c r="G80" i="23"/>
  <c r="G289" i="23" s="1"/>
  <c r="M24" i="24"/>
  <c r="O21" i="24"/>
  <c r="N23" i="24"/>
  <c r="O19" i="24"/>
  <c r="P17" i="24"/>
  <c r="L218" i="23"/>
  <c r="Q46" i="4" s="1"/>
  <c r="BF11" i="20" s="1"/>
  <c r="K45" i="23"/>
  <c r="J206" i="23"/>
  <c r="J287" i="23" s="1"/>
  <c r="J274" i="23" s="1"/>
  <c r="M208" i="23"/>
  <c r="I143" i="23"/>
  <c r="N67" i="4"/>
  <c r="N114" i="4"/>
  <c r="N130" i="4" s="1"/>
  <c r="M149" i="23"/>
  <c r="L134" i="23"/>
  <c r="L125" i="23" s="1"/>
  <c r="M128" i="23"/>
  <c r="K140" i="23"/>
  <c r="K135" i="23"/>
  <c r="K108" i="23"/>
  <c r="O42" i="4"/>
  <c r="AV15" i="20" s="1"/>
  <c r="L97" i="23"/>
  <c r="L88" i="23" s="1"/>
  <c r="M91" i="23"/>
  <c r="K103" i="23"/>
  <c r="K98" i="23"/>
  <c r="N112" i="4"/>
  <c r="N128" i="4" s="1"/>
  <c r="N65" i="4"/>
  <c r="M64" i="4"/>
  <c r="N41" i="4"/>
  <c r="E3272" i="16" s="1"/>
  <c r="K66" i="23"/>
  <c r="K61" i="23"/>
  <c r="L171" i="23"/>
  <c r="L162" i="23" s="1"/>
  <c r="M165" i="23"/>
  <c r="K177" i="23"/>
  <c r="K172" i="23"/>
  <c r="K17" i="23"/>
  <c r="K8" i="23" s="1"/>
  <c r="K229" i="23" s="1"/>
  <c r="L11" i="23"/>
  <c r="G26" i="23"/>
  <c r="L63" i="4"/>
  <c r="J18" i="23"/>
  <c r="J23" i="23"/>
  <c r="V286" i="20"/>
  <c r="Y339" i="12"/>
  <c r="J1419" i="16"/>
  <c r="J1449" i="16"/>
  <c r="J1448" i="16"/>
  <c r="J1444" i="16"/>
  <c r="J1443" i="16"/>
  <c r="J1437" i="16"/>
  <c r="J1433" i="16"/>
  <c r="J1432" i="16"/>
  <c r="J1430" i="16"/>
  <c r="J1420" i="16"/>
  <c r="Y322" i="12"/>
  <c r="Y266" i="12"/>
  <c r="Y223" i="12"/>
  <c r="Y246" i="12" s="1"/>
  <c r="Y167" i="12"/>
  <c r="Y166" i="12"/>
  <c r="V9" i="20"/>
  <c r="BP9" i="20" s="1"/>
  <c r="D141" i="31" l="1"/>
  <c r="P221" i="23"/>
  <c r="T50" i="4"/>
  <c r="AH48" i="17" s="1"/>
  <c r="K193" i="23"/>
  <c r="K198" i="23" s="1"/>
  <c r="L156" i="23"/>
  <c r="G245" i="23"/>
  <c r="C2545" i="16" s="1"/>
  <c r="J2570" i="16" s="1"/>
  <c r="D3" i="31"/>
  <c r="D71" i="31" s="1"/>
  <c r="O45" i="4"/>
  <c r="J248" i="23"/>
  <c r="G119" i="31" s="1"/>
  <c r="J260" i="23"/>
  <c r="O115" i="4" s="1"/>
  <c r="L210" i="23"/>
  <c r="K207" i="23"/>
  <c r="E3274" i="16"/>
  <c r="H3277" i="16"/>
  <c r="AE44" i="17"/>
  <c r="C3271" i="16"/>
  <c r="C146" i="28"/>
  <c r="AP317" i="12"/>
  <c r="I3620" i="16"/>
  <c r="I3619" i="16"/>
  <c r="I3621" i="16" s="1"/>
  <c r="H3620" i="16"/>
  <c r="H3619" i="16"/>
  <c r="H3621" i="16" s="1"/>
  <c r="L32" i="28"/>
  <c r="AC40" i="17"/>
  <c r="F3273" i="16"/>
  <c r="AD44" i="17"/>
  <c r="G3277" i="16"/>
  <c r="M111" i="4"/>
  <c r="M127" i="4" s="1"/>
  <c r="M113" i="4"/>
  <c r="M129" i="4" s="1"/>
  <c r="E2775" i="16"/>
  <c r="G2776" i="16"/>
  <c r="H2776" i="16"/>
  <c r="J2776" i="16" s="1"/>
  <c r="E2779" i="16"/>
  <c r="L142" i="4"/>
  <c r="E796" i="20"/>
  <c r="L58" i="4"/>
  <c r="D2837" i="16"/>
  <c r="N99" i="4"/>
  <c r="AB39" i="17"/>
  <c r="AQ12" i="20"/>
  <c r="E2567" i="16"/>
  <c r="L2567" i="16"/>
  <c r="E2566" i="16"/>
  <c r="L2566" i="16"/>
  <c r="L59" i="4"/>
  <c r="L60" i="4" s="1"/>
  <c r="K2477" i="16" s="1"/>
  <c r="Y268" i="12"/>
  <c r="AC267" i="12"/>
  <c r="F2542" i="16"/>
  <c r="H2512" i="16"/>
  <c r="H2508" i="16"/>
  <c r="F2541" i="16"/>
  <c r="K233" i="23"/>
  <c r="K236" i="23"/>
  <c r="BT9" i="20"/>
  <c r="G1088" i="20" s="1"/>
  <c r="N144" i="4"/>
  <c r="Z38" i="17"/>
  <c r="AG5" i="20"/>
  <c r="AF60" i="20" s="1"/>
  <c r="AK61" i="20" s="1"/>
  <c r="L60" i="23"/>
  <c r="L51" i="23" s="1"/>
  <c r="Z375" i="12"/>
  <c r="E2108" i="16" s="1"/>
  <c r="H2108" i="16" s="1"/>
  <c r="Z348" i="12"/>
  <c r="J1447" i="16"/>
  <c r="K126" i="4"/>
  <c r="AB17" i="20"/>
  <c r="K139" i="4"/>
  <c r="L110" i="4"/>
  <c r="N98" i="4"/>
  <c r="N143" i="4"/>
  <c r="M95" i="4"/>
  <c r="N96" i="4"/>
  <c r="N141" i="4"/>
  <c r="M98" i="4"/>
  <c r="M143" i="4"/>
  <c r="K94" i="4"/>
  <c r="M40" i="4"/>
  <c r="D146" i="28" s="1"/>
  <c r="H223" i="23"/>
  <c r="H191" i="23"/>
  <c r="H292" i="23" s="1"/>
  <c r="M66" i="4"/>
  <c r="I291" i="23"/>
  <c r="H80" i="23"/>
  <c r="H289" i="23" s="1"/>
  <c r="I117" i="23"/>
  <c r="I290" i="23" s="1"/>
  <c r="G43" i="23"/>
  <c r="G288" i="23" s="1"/>
  <c r="J1442" i="16"/>
  <c r="J1445" i="16" s="1"/>
  <c r="J1431" i="16"/>
  <c r="Y340" i="12"/>
  <c r="J1424" i="16"/>
  <c r="O23" i="24"/>
  <c r="O14" i="24" s="1"/>
  <c r="N28" i="24"/>
  <c r="N14" i="24"/>
  <c r="P19" i="24"/>
  <c r="N24" i="24"/>
  <c r="P21" i="24"/>
  <c r="Q17" i="24"/>
  <c r="L45" i="23"/>
  <c r="K206" i="23"/>
  <c r="K287" i="23" s="1"/>
  <c r="K274" i="23" s="1"/>
  <c r="M218" i="23"/>
  <c r="R46" i="4" s="1"/>
  <c r="AF44" i="17" s="1"/>
  <c r="N208" i="23"/>
  <c r="L140" i="23"/>
  <c r="L135" i="23"/>
  <c r="N149" i="23"/>
  <c r="M134" i="23"/>
  <c r="M125" i="23" s="1"/>
  <c r="N128" i="23"/>
  <c r="M97" i="23"/>
  <c r="M88" i="23" s="1"/>
  <c r="N91" i="23"/>
  <c r="L103" i="23"/>
  <c r="L98" i="23"/>
  <c r="J114" i="23"/>
  <c r="O112" i="4" s="1"/>
  <c r="O128" i="4" s="1"/>
  <c r="J111" i="23"/>
  <c r="G116" i="31" s="1"/>
  <c r="K105" i="23"/>
  <c r="P42" i="4" s="1"/>
  <c r="BA15" i="20" s="1"/>
  <c r="AZ15" i="20" s="1"/>
  <c r="L108" i="23"/>
  <c r="M60" i="23"/>
  <c r="M51" i="23" s="1"/>
  <c r="N54" i="23"/>
  <c r="K71" i="23"/>
  <c r="O41" i="4"/>
  <c r="AV12" i="20" s="1"/>
  <c r="N111" i="4"/>
  <c r="N64" i="4"/>
  <c r="K182" i="23"/>
  <c r="K23" i="23"/>
  <c r="K18" i="23"/>
  <c r="H37" i="23"/>
  <c r="H26" i="23"/>
  <c r="M171" i="23"/>
  <c r="M162" i="23" s="1"/>
  <c r="N165" i="23"/>
  <c r="L17" i="23"/>
  <c r="L8" i="23" s="1"/>
  <c r="M11" i="23"/>
  <c r="L172" i="23"/>
  <c r="L177" i="23"/>
  <c r="V10" i="20"/>
  <c r="J1421" i="16"/>
  <c r="J1436" i="16"/>
  <c r="J1438" i="16" s="1"/>
  <c r="J1439" i="16" s="1"/>
  <c r="Y168" i="12"/>
  <c r="Y273" i="12"/>
  <c r="H249" i="23" l="1"/>
  <c r="E120" i="31" s="1"/>
  <c r="E114" i="31"/>
  <c r="C2570" i="16"/>
  <c r="C2638" i="16" s="1"/>
  <c r="Q221" i="23"/>
  <c r="V50" i="4" s="1"/>
  <c r="AJ48" i="17" s="1"/>
  <c r="U50" i="4"/>
  <c r="AI48" i="17" s="1"/>
  <c r="C2578" i="16"/>
  <c r="D89" i="31"/>
  <c r="B157" i="29"/>
  <c r="D9" i="31"/>
  <c r="D12" i="31"/>
  <c r="O43" i="4"/>
  <c r="AV13" i="20" s="1"/>
  <c r="L61" i="23"/>
  <c r="M156" i="23"/>
  <c r="L193" i="23"/>
  <c r="L198" i="23" s="1"/>
  <c r="O131" i="4"/>
  <c r="H245" i="23"/>
  <c r="D2545" i="16" s="1"/>
  <c r="K2570" i="16" s="1"/>
  <c r="E3" i="31"/>
  <c r="K260" i="23"/>
  <c r="P115" i="4" s="1"/>
  <c r="K248" i="23"/>
  <c r="H119" i="31" s="1"/>
  <c r="P45" i="4"/>
  <c r="BA8" i="20" s="1"/>
  <c r="M210" i="23"/>
  <c r="L207" i="23"/>
  <c r="L66" i="23"/>
  <c r="O68" i="4"/>
  <c r="J271" i="23"/>
  <c r="J293" i="23" s="1"/>
  <c r="AV8" i="20"/>
  <c r="AC43" i="17"/>
  <c r="F3276" i="16"/>
  <c r="AQ13" i="20"/>
  <c r="AB41" i="17"/>
  <c r="G3758" i="16"/>
  <c r="G3767" i="16"/>
  <c r="S3767" i="16" s="1"/>
  <c r="L229" i="23"/>
  <c r="AN191" i="20"/>
  <c r="M140" i="4"/>
  <c r="E2837" i="16"/>
  <c r="D3271" i="16"/>
  <c r="AD40" i="17"/>
  <c r="G3273" i="16"/>
  <c r="AC39" i="17"/>
  <c r="F3272" i="16"/>
  <c r="N127" i="4"/>
  <c r="C2803" i="16"/>
  <c r="G2779" i="16"/>
  <c r="H2779" i="16"/>
  <c r="C2806" i="16" s="1"/>
  <c r="AF62" i="20"/>
  <c r="AF199" i="20" s="1"/>
  <c r="AF200" i="20" s="1"/>
  <c r="AF61" i="20"/>
  <c r="Y269" i="12"/>
  <c r="AC270" i="12"/>
  <c r="E797" i="20"/>
  <c r="G2775" i="16"/>
  <c r="H2775" i="16"/>
  <c r="M58" i="4"/>
  <c r="E2778" i="16"/>
  <c r="AB23" i="20"/>
  <c r="AL5" i="20"/>
  <c r="F2567" i="16"/>
  <c r="M2567" i="16"/>
  <c r="F2566" i="16"/>
  <c r="M2566" i="16"/>
  <c r="G2542" i="16"/>
  <c r="I2512" i="16"/>
  <c r="I2508" i="16"/>
  <c r="G2541" i="16"/>
  <c r="L233" i="23"/>
  <c r="L236" i="23"/>
  <c r="BP10" i="20"/>
  <c r="BT10" i="20"/>
  <c r="G1089" i="20" s="1"/>
  <c r="AA38" i="17"/>
  <c r="M59" i="4"/>
  <c r="M60" i="4" s="1"/>
  <c r="AG60" i="20"/>
  <c r="AG17" i="20"/>
  <c r="O28" i="24"/>
  <c r="O24" i="24"/>
  <c r="L126" i="4"/>
  <c r="M110" i="4"/>
  <c r="L139" i="4"/>
  <c r="N95" i="4"/>
  <c r="N140" i="4"/>
  <c r="M97" i="4"/>
  <c r="M142" i="4"/>
  <c r="L94" i="4"/>
  <c r="N40" i="4"/>
  <c r="I245" i="23"/>
  <c r="E2545" i="16" s="1"/>
  <c r="L2570" i="16" s="1"/>
  <c r="J117" i="23"/>
  <c r="J290" i="23" s="1"/>
  <c r="O65" i="4"/>
  <c r="H43" i="23"/>
  <c r="H288" i="23" s="1"/>
  <c r="M63" i="4"/>
  <c r="I191" i="23"/>
  <c r="I292" i="23" s="1"/>
  <c r="I80" i="23"/>
  <c r="I289" i="23" s="1"/>
  <c r="J1423" i="16"/>
  <c r="J1426" i="16" s="1"/>
  <c r="J1425" i="16"/>
  <c r="P23" i="24"/>
  <c r="P14" i="24" s="1"/>
  <c r="Q21" i="24"/>
  <c r="Q19" i="24"/>
  <c r="R17" i="24"/>
  <c r="N218" i="23"/>
  <c r="S46" i="4" s="1"/>
  <c r="AG44" i="17" s="1"/>
  <c r="M45" i="23"/>
  <c r="L206" i="23"/>
  <c r="L287" i="23" s="1"/>
  <c r="L274" i="23" s="1"/>
  <c r="O208" i="23"/>
  <c r="N134" i="23"/>
  <c r="N125" i="23" s="1"/>
  <c r="O128" i="23"/>
  <c r="M140" i="23"/>
  <c r="M135" i="23"/>
  <c r="O149" i="23"/>
  <c r="K106" i="23"/>
  <c r="K114" i="23"/>
  <c r="P112" i="4" s="1"/>
  <c r="P128" i="4" s="1"/>
  <c r="K111" i="23"/>
  <c r="N97" i="23"/>
  <c r="N88" i="23" s="1"/>
  <c r="O91" i="23"/>
  <c r="M103" i="23"/>
  <c r="M98" i="23"/>
  <c r="M108" i="23"/>
  <c r="L105" i="23"/>
  <c r="Q42" i="4" s="1"/>
  <c r="BF15" i="20" s="1"/>
  <c r="J77" i="23"/>
  <c r="O111" i="4" s="1"/>
  <c r="J74" i="23"/>
  <c r="N60" i="23"/>
  <c r="N51" i="23" s="1"/>
  <c r="O54" i="23"/>
  <c r="K68" i="23"/>
  <c r="P41" i="4" s="1"/>
  <c r="BA12" i="20" s="1"/>
  <c r="AZ12" i="20" s="1"/>
  <c r="L71" i="23"/>
  <c r="M66" i="23"/>
  <c r="M61" i="23"/>
  <c r="M17" i="23"/>
  <c r="M8" i="23" s="1"/>
  <c r="M229" i="23" s="1"/>
  <c r="N11" i="23"/>
  <c r="L182" i="23"/>
  <c r="K179" i="23"/>
  <c r="L23" i="23"/>
  <c r="L18" i="23"/>
  <c r="J180" i="23"/>
  <c r="I26" i="23"/>
  <c r="N171" i="23"/>
  <c r="N162" i="23" s="1"/>
  <c r="O165" i="23"/>
  <c r="M177" i="23"/>
  <c r="M172" i="23"/>
  <c r="N61" i="13"/>
  <c r="AZ8" i="20" l="1"/>
  <c r="R7" i="28" s="1"/>
  <c r="M7" i="28" s="1"/>
  <c r="E121" i="31"/>
  <c r="E124" i="31" s="1"/>
  <c r="G115" i="31"/>
  <c r="P65" i="4"/>
  <c r="P141" i="4" s="1"/>
  <c r="H116" i="31"/>
  <c r="F3274" i="16"/>
  <c r="J203" i="23"/>
  <c r="O113" i="4"/>
  <c r="H3767" i="16" s="1"/>
  <c r="L3767" i="16" s="1"/>
  <c r="AC41" i="17"/>
  <c r="G118" i="31"/>
  <c r="C158" i="29"/>
  <c r="B162" i="29"/>
  <c r="B166" i="29"/>
  <c r="B170" i="29"/>
  <c r="E12" i="31"/>
  <c r="E4" i="31"/>
  <c r="K199" i="23"/>
  <c r="P43" i="4" s="1"/>
  <c r="BA13" i="20" s="1"/>
  <c r="D2570" i="16"/>
  <c r="D2638" i="16" s="1"/>
  <c r="N156" i="23"/>
  <c r="M193" i="23"/>
  <c r="M198" i="23" s="1"/>
  <c r="E6" i="31"/>
  <c r="E9" i="31"/>
  <c r="F6" i="31"/>
  <c r="O99" i="4"/>
  <c r="O144" i="4"/>
  <c r="Q45" i="4"/>
  <c r="BF8" i="20" s="1"/>
  <c r="L248" i="23"/>
  <c r="I119" i="31" s="1"/>
  <c r="L260" i="23"/>
  <c r="Q115" i="4" s="1"/>
  <c r="N210" i="23"/>
  <c r="M207" i="23"/>
  <c r="R45" i="4" s="1"/>
  <c r="AF43" i="17" s="1"/>
  <c r="AD43" i="17"/>
  <c r="G3276" i="16"/>
  <c r="P68" i="4"/>
  <c r="K271" i="23"/>
  <c r="K293" i="23" s="1"/>
  <c r="P131" i="4"/>
  <c r="N97" i="4"/>
  <c r="N142" i="4"/>
  <c r="N129" i="4"/>
  <c r="G3776" i="16"/>
  <c r="E146" i="28"/>
  <c r="C3553" i="16"/>
  <c r="K3553" i="16" s="1"/>
  <c r="H3273" i="16"/>
  <c r="AE40" i="17"/>
  <c r="AN193" i="20"/>
  <c r="AN194" i="20" s="1"/>
  <c r="AN288" i="20" s="1"/>
  <c r="L34" i="28"/>
  <c r="L40" i="28"/>
  <c r="O123" i="28"/>
  <c r="O126" i="28" s="1"/>
  <c r="AN303" i="20"/>
  <c r="AN232" i="20"/>
  <c r="AN286" i="20" s="1"/>
  <c r="E3271" i="16"/>
  <c r="AD39" i="17"/>
  <c r="G3272" i="16"/>
  <c r="O127" i="4"/>
  <c r="J2779" i="16"/>
  <c r="N58" i="4"/>
  <c r="F2837" i="16"/>
  <c r="G2778" i="16"/>
  <c r="H2778" i="16"/>
  <c r="E2777" i="16"/>
  <c r="C2804" i="16"/>
  <c r="J2775" i="16"/>
  <c r="AQ5" i="20"/>
  <c r="AL17" i="20"/>
  <c r="AG23" i="20"/>
  <c r="G2566" i="16"/>
  <c r="N2566" i="16"/>
  <c r="G2567" i="16"/>
  <c r="N2567" i="16"/>
  <c r="J2512" i="16"/>
  <c r="H2542" i="16"/>
  <c r="E2570" i="16"/>
  <c r="J2508" i="16"/>
  <c r="H2541" i="16"/>
  <c r="L2477" i="16"/>
  <c r="M233" i="23"/>
  <c r="N233" i="23" s="1"/>
  <c r="O233" i="23" s="1"/>
  <c r="P233" i="23" s="1"/>
  <c r="Q233" i="23" s="1"/>
  <c r="M236" i="23"/>
  <c r="N236" i="23" s="1"/>
  <c r="O236" i="23" s="1"/>
  <c r="P236" i="23" s="1"/>
  <c r="Q236" i="23" s="1"/>
  <c r="AB38" i="17"/>
  <c r="N59" i="4"/>
  <c r="N60" i="4" s="1"/>
  <c r="M126" i="4"/>
  <c r="M139" i="4"/>
  <c r="N110" i="4"/>
  <c r="O96" i="4"/>
  <c r="O141" i="4"/>
  <c r="M94" i="4"/>
  <c r="N63" i="4"/>
  <c r="J80" i="23"/>
  <c r="J289" i="23" s="1"/>
  <c r="O64" i="4"/>
  <c r="J191" i="23"/>
  <c r="J292" i="23" s="1"/>
  <c r="K117" i="23"/>
  <c r="K290" i="23" s="1"/>
  <c r="I43" i="23"/>
  <c r="I288" i="23" s="1"/>
  <c r="P24" i="24"/>
  <c r="P28" i="24"/>
  <c r="R19" i="24"/>
  <c r="R21" i="24"/>
  <c r="Q23" i="24"/>
  <c r="Q24" i="24" s="1"/>
  <c r="N45" i="23"/>
  <c r="M206" i="23"/>
  <c r="M287" i="23" s="1"/>
  <c r="M274" i="23" s="1"/>
  <c r="O218" i="23"/>
  <c r="T46" i="4" s="1"/>
  <c r="AH44" i="17" s="1"/>
  <c r="P208" i="23"/>
  <c r="O134" i="23"/>
  <c r="O125" i="23" s="1"/>
  <c r="P128" i="23"/>
  <c r="P149" i="23"/>
  <c r="N140" i="23"/>
  <c r="N135" i="23"/>
  <c r="N103" i="23"/>
  <c r="N98" i="23"/>
  <c r="L106" i="23"/>
  <c r="L114" i="23"/>
  <c r="Q112" i="4" s="1"/>
  <c r="Q128" i="4" s="1"/>
  <c r="L111" i="23"/>
  <c r="N108" i="23"/>
  <c r="M105" i="23"/>
  <c r="R42" i="4" s="1"/>
  <c r="AF40" i="17" s="1"/>
  <c r="O97" i="23"/>
  <c r="O88" i="23" s="1"/>
  <c r="P91" i="23"/>
  <c r="K69" i="23"/>
  <c r="K77" i="23"/>
  <c r="P111" i="4" s="1"/>
  <c r="K74" i="23"/>
  <c r="H115" i="31" s="1"/>
  <c r="O60" i="23"/>
  <c r="O51" i="23" s="1"/>
  <c r="P54" i="23"/>
  <c r="N66" i="23"/>
  <c r="N61" i="23"/>
  <c r="M71" i="23"/>
  <c r="L68" i="23"/>
  <c r="Q41" i="4" s="1"/>
  <c r="BF12" i="20" s="1"/>
  <c r="O171" i="23"/>
  <c r="O162" i="23" s="1"/>
  <c r="P165" i="23"/>
  <c r="M23" i="23"/>
  <c r="M18" i="23"/>
  <c r="N177" i="23"/>
  <c r="N172" i="23"/>
  <c r="K180" i="23"/>
  <c r="K188" i="23"/>
  <c r="K202" i="23" s="1"/>
  <c r="K185" i="23"/>
  <c r="H118" i="31" s="1"/>
  <c r="M182" i="23"/>
  <c r="L179" i="23"/>
  <c r="L199" i="23" s="1"/>
  <c r="Q43" i="4" s="1"/>
  <c r="BF13" i="20" s="1"/>
  <c r="N17" i="23"/>
  <c r="N8" i="23" s="1"/>
  <c r="N229" i="23" s="1"/>
  <c r="O11" i="23"/>
  <c r="C1929" i="13"/>
  <c r="C1929" i="8"/>
  <c r="E1929" i="8" s="1"/>
  <c r="AZ13" i="20" l="1"/>
  <c r="R8" i="28" s="1"/>
  <c r="M8" i="28" s="1"/>
  <c r="P96" i="4"/>
  <c r="E130" i="31"/>
  <c r="AZ292" i="20"/>
  <c r="R16" i="28" s="1"/>
  <c r="M16" i="28" s="1"/>
  <c r="CN8" i="20"/>
  <c r="E128" i="31"/>
  <c r="E127" i="31"/>
  <c r="E125" i="31"/>
  <c r="E126" i="31"/>
  <c r="E129" i="31"/>
  <c r="Q131" i="4"/>
  <c r="Q65" i="4"/>
  <c r="W65" i="4" s="1"/>
  <c r="I116" i="31"/>
  <c r="K203" i="23"/>
  <c r="P113" i="4"/>
  <c r="I3767" i="16" s="1"/>
  <c r="M3767" i="16" s="1"/>
  <c r="J201" i="23"/>
  <c r="O66" i="4"/>
  <c r="H3758" i="16" s="1"/>
  <c r="H3776" i="16" s="1"/>
  <c r="L3776" i="16" s="1"/>
  <c r="L3791" i="16" s="1"/>
  <c r="E336" i="28"/>
  <c r="E337" i="28" s="1"/>
  <c r="G3274" i="16"/>
  <c r="AD41" i="17"/>
  <c r="K200" i="23"/>
  <c r="O156" i="23"/>
  <c r="N193" i="23"/>
  <c r="N198" i="23" s="1"/>
  <c r="M248" i="23"/>
  <c r="M260" i="23"/>
  <c r="R115" i="4" s="1"/>
  <c r="R131" i="4" s="1"/>
  <c r="Q68" i="4"/>
  <c r="L271" i="23"/>
  <c r="L293" i="23" s="1"/>
  <c r="O210" i="23"/>
  <c r="N207" i="23"/>
  <c r="S45" i="4" s="1"/>
  <c r="AG43" i="17" s="1"/>
  <c r="AE43" i="17"/>
  <c r="H3276" i="16"/>
  <c r="P99" i="4"/>
  <c r="P144" i="4"/>
  <c r="AE41" i="17"/>
  <c r="O129" i="4"/>
  <c r="E2765" i="16"/>
  <c r="E2766" i="16" s="1"/>
  <c r="E2767" i="16" s="1"/>
  <c r="C3819" i="16"/>
  <c r="M3819" i="16" s="1"/>
  <c r="H3272" i="16"/>
  <c r="AE39" i="17"/>
  <c r="AN347" i="20"/>
  <c r="L63" i="28"/>
  <c r="L48" i="28"/>
  <c r="P127" i="4"/>
  <c r="J2727" i="16"/>
  <c r="W58" i="4"/>
  <c r="G2777" i="16"/>
  <c r="H2777" i="16"/>
  <c r="C2805" i="16"/>
  <c r="J2778" i="16"/>
  <c r="AQ17" i="20"/>
  <c r="N2727" i="16"/>
  <c r="H2567" i="16"/>
  <c r="O2567" i="16"/>
  <c r="H2566" i="16"/>
  <c r="O2566" i="16"/>
  <c r="M2477" i="16"/>
  <c r="N126" i="4"/>
  <c r="N139" i="4"/>
  <c r="O95" i="4"/>
  <c r="O140" i="4"/>
  <c r="N94" i="4"/>
  <c r="L117" i="23"/>
  <c r="L290" i="23" s="1"/>
  <c r="K191" i="23"/>
  <c r="K292" i="23" s="1"/>
  <c r="K80" i="23"/>
  <c r="K289" i="23" s="1"/>
  <c r="P64" i="4"/>
  <c r="Q28" i="24"/>
  <c r="Q14" i="24"/>
  <c r="R23" i="24"/>
  <c r="R14" i="24" s="1"/>
  <c r="P218" i="23"/>
  <c r="U46" i="4" s="1"/>
  <c r="AI44" i="17" s="1"/>
  <c r="O45" i="23"/>
  <c r="N206" i="23"/>
  <c r="N287" i="23" s="1"/>
  <c r="N274" i="23" s="1"/>
  <c r="Q208" i="23"/>
  <c r="O140" i="23"/>
  <c r="O135" i="23"/>
  <c r="Q149" i="23"/>
  <c r="P134" i="23"/>
  <c r="P125" i="23" s="1"/>
  <c r="Q128" i="23"/>
  <c r="Q134" i="23" s="1"/>
  <c r="Q125" i="23" s="1"/>
  <c r="O103" i="23"/>
  <c r="O98" i="23"/>
  <c r="M106" i="23"/>
  <c r="M114" i="23"/>
  <c r="R112" i="4" s="1"/>
  <c r="R128" i="4" s="1"/>
  <c r="M111" i="23"/>
  <c r="O108" i="23"/>
  <c r="N105" i="23"/>
  <c r="S42" i="4" s="1"/>
  <c r="AG40" i="17" s="1"/>
  <c r="P97" i="23"/>
  <c r="P88" i="23" s="1"/>
  <c r="Q91" i="23"/>
  <c r="Q97" i="23" s="1"/>
  <c r="Q88" i="23" s="1"/>
  <c r="O66" i="23"/>
  <c r="O61" i="23"/>
  <c r="L69" i="23"/>
  <c r="L77" i="23"/>
  <c r="Q111" i="4" s="1"/>
  <c r="L74" i="23"/>
  <c r="M68" i="23"/>
  <c r="R41" i="4" s="1"/>
  <c r="AF39" i="17" s="1"/>
  <c r="N71" i="23"/>
  <c r="Q54" i="23"/>
  <c r="Q60" i="23" s="1"/>
  <c r="Q51" i="23" s="1"/>
  <c r="P60" i="23"/>
  <c r="P51" i="23" s="1"/>
  <c r="O17" i="23"/>
  <c r="O8" i="23" s="1"/>
  <c r="O229" i="23" s="1"/>
  <c r="P11" i="23"/>
  <c r="P171" i="23"/>
  <c r="P162" i="23" s="1"/>
  <c r="Q165" i="23"/>
  <c r="Q171" i="23" s="1"/>
  <c r="Q162" i="23" s="1"/>
  <c r="N23" i="23"/>
  <c r="N18" i="23"/>
  <c r="O177" i="23"/>
  <c r="O172" i="23"/>
  <c r="L180" i="23"/>
  <c r="L188" i="23"/>
  <c r="L202" i="23" s="1"/>
  <c r="L185" i="23"/>
  <c r="I118" i="31" s="1"/>
  <c r="M179" i="23"/>
  <c r="M199" i="23" s="1"/>
  <c r="R43" i="4" s="1"/>
  <c r="AF41" i="17" s="1"/>
  <c r="N182" i="23"/>
  <c r="D303" i="16"/>
  <c r="E303" i="16" s="1"/>
  <c r="F303" i="16" s="1"/>
  <c r="CN13" i="20" l="1"/>
  <c r="AZ293" i="20"/>
  <c r="R17" i="28" s="1"/>
  <c r="M17" i="28" s="1"/>
  <c r="Q96" i="4"/>
  <c r="BA298" i="20"/>
  <c r="BF298" i="20"/>
  <c r="Q141" i="4"/>
  <c r="E141" i="31"/>
  <c r="R65" i="4"/>
  <c r="J116" i="31"/>
  <c r="Q64" i="4"/>
  <c r="W64" i="4" s="1"/>
  <c r="I115" i="31"/>
  <c r="O97" i="4"/>
  <c r="L203" i="23"/>
  <c r="Q113" i="4"/>
  <c r="J3767" i="16" s="1"/>
  <c r="N3767" i="16" s="1"/>
  <c r="O142" i="4"/>
  <c r="R68" i="4"/>
  <c r="J119" i="31"/>
  <c r="L3758" i="16"/>
  <c r="K201" i="23"/>
  <c r="F336" i="28"/>
  <c r="F337" i="28" s="1"/>
  <c r="P66" i="4"/>
  <c r="P97" i="4" s="1"/>
  <c r="L200" i="23"/>
  <c r="O193" i="23"/>
  <c r="O198" i="23" s="1"/>
  <c r="P156" i="23"/>
  <c r="P210" i="23"/>
  <c r="O207" i="23"/>
  <c r="T45" i="4" s="1"/>
  <c r="AH43" i="17" s="1"/>
  <c r="N260" i="23"/>
  <c r="S115" i="4" s="1"/>
  <c r="S131" i="4" s="1"/>
  <c r="N248" i="23"/>
  <c r="S68" i="4" s="1"/>
  <c r="W68" i="4"/>
  <c r="Q99" i="4"/>
  <c r="Q144" i="4"/>
  <c r="M271" i="23"/>
  <c r="M293" i="23" s="1"/>
  <c r="O46" i="28"/>
  <c r="O69" i="28"/>
  <c r="P129" i="4"/>
  <c r="H3274" i="16"/>
  <c r="L71" i="28"/>
  <c r="L86" i="28"/>
  <c r="Q127" i="4"/>
  <c r="E766" i="20"/>
  <c r="E765" i="20"/>
  <c r="C2800" i="16"/>
  <c r="J2777" i="16"/>
  <c r="P95" i="4"/>
  <c r="P140" i="4"/>
  <c r="L80" i="23"/>
  <c r="L289" i="23" s="1"/>
  <c r="L191" i="23"/>
  <c r="L292" i="23" s="1"/>
  <c r="M117" i="23"/>
  <c r="M290" i="23" s="1"/>
  <c r="R28" i="24"/>
  <c r="R24" i="24"/>
  <c r="P45" i="23"/>
  <c r="O206" i="23"/>
  <c r="O287" i="23" s="1"/>
  <c r="O274" i="23" s="1"/>
  <c r="Q218" i="23"/>
  <c r="V46" i="4" s="1"/>
  <c r="AJ44" i="17" s="1"/>
  <c r="Q140" i="23"/>
  <c r="Q135" i="23"/>
  <c r="P140" i="23"/>
  <c r="P135" i="23"/>
  <c r="Q103" i="23"/>
  <c r="Q98" i="23"/>
  <c r="N106" i="23"/>
  <c r="N114" i="23"/>
  <c r="S112" i="4" s="1"/>
  <c r="S128" i="4" s="1"/>
  <c r="N111" i="23"/>
  <c r="P103" i="23"/>
  <c r="P98" i="23"/>
  <c r="O105" i="23"/>
  <c r="T42" i="4" s="1"/>
  <c r="AH40" i="17" s="1"/>
  <c r="P108" i="23"/>
  <c r="O71" i="23"/>
  <c r="N68" i="23"/>
  <c r="S41" i="4" s="1"/>
  <c r="AG39" i="17" s="1"/>
  <c r="P66" i="23"/>
  <c r="P61" i="23"/>
  <c r="M69" i="23"/>
  <c r="M77" i="23"/>
  <c r="R111" i="4" s="1"/>
  <c r="R127" i="4" s="1"/>
  <c r="M74" i="23"/>
  <c r="Q66" i="23"/>
  <c r="Q61" i="23"/>
  <c r="P177" i="23"/>
  <c r="P172" i="23"/>
  <c r="N179" i="23"/>
  <c r="N199" i="23" s="1"/>
  <c r="S43" i="4" s="1"/>
  <c r="AG41" i="17" s="1"/>
  <c r="O182" i="23"/>
  <c r="P17" i="23"/>
  <c r="P8" i="23" s="1"/>
  <c r="P229" i="23" s="1"/>
  <c r="Q11" i="23"/>
  <c r="Q17" i="23" s="1"/>
  <c r="Q8" i="23" s="1"/>
  <c r="Q229" i="23" s="1"/>
  <c r="M180" i="23"/>
  <c r="M188" i="23"/>
  <c r="M202" i="23" s="1"/>
  <c r="M185" i="23"/>
  <c r="Q177" i="23"/>
  <c r="Q172" i="23"/>
  <c r="O18" i="23"/>
  <c r="O23" i="23"/>
  <c r="F221" i="16"/>
  <c r="E221" i="16"/>
  <c r="D221" i="16"/>
  <c r="AZ299" i="20" l="1"/>
  <c r="Q140" i="4"/>
  <c r="S144" i="4"/>
  <c r="S99" i="4"/>
  <c r="K116" i="31"/>
  <c r="S65" i="4"/>
  <c r="Q95" i="4"/>
  <c r="R141" i="4"/>
  <c r="R96" i="4"/>
  <c r="R64" i="4"/>
  <c r="J115" i="31"/>
  <c r="I3758" i="16"/>
  <c r="I3776" i="16" s="1"/>
  <c r="M3776" i="16" s="1"/>
  <c r="M3791" i="16" s="1"/>
  <c r="D47" i="6"/>
  <c r="M203" i="23"/>
  <c r="R113" i="4"/>
  <c r="R129" i="4" s="1"/>
  <c r="M200" i="23"/>
  <c r="M201" i="23" s="1"/>
  <c r="J118" i="31"/>
  <c r="N271" i="23"/>
  <c r="N293" i="23" s="1"/>
  <c r="K119" i="31"/>
  <c r="R144" i="4"/>
  <c r="R99" i="4"/>
  <c r="L201" i="23"/>
  <c r="G336" i="28"/>
  <c r="G337" i="28" s="1"/>
  <c r="Q66" i="4"/>
  <c r="P142" i="4"/>
  <c r="P193" i="23"/>
  <c r="P198" i="23" s="1"/>
  <c r="Q156" i="23"/>
  <c r="Q193" i="23" s="1"/>
  <c r="Q198" i="23" s="1"/>
  <c r="O260" i="23"/>
  <c r="T115" i="4" s="1"/>
  <c r="T131" i="4" s="1"/>
  <c r="O248" i="23"/>
  <c r="T68" i="4" s="1"/>
  <c r="Q210" i="23"/>
  <c r="Q207" i="23" s="1"/>
  <c r="P207" i="23"/>
  <c r="U45" i="4" s="1"/>
  <c r="AI43" i="17" s="1"/>
  <c r="Q129" i="4"/>
  <c r="N2728" i="16"/>
  <c r="M80" i="23"/>
  <c r="M289" i="23" s="1"/>
  <c r="N117" i="23"/>
  <c r="N290" i="23" s="1"/>
  <c r="M191" i="23"/>
  <c r="M292" i="23" s="1"/>
  <c r="Q45" i="23"/>
  <c r="Q206" i="23" s="1"/>
  <c r="Q287" i="23" s="1"/>
  <c r="Q274" i="23" s="1"/>
  <c r="P206" i="23"/>
  <c r="P287" i="23" s="1"/>
  <c r="P274" i="23" s="1"/>
  <c r="O106" i="23"/>
  <c r="O114" i="23"/>
  <c r="T112" i="4" s="1"/>
  <c r="T128" i="4" s="1"/>
  <c r="O111" i="23"/>
  <c r="P105" i="23"/>
  <c r="U42" i="4" s="1"/>
  <c r="AI40" i="17" s="1"/>
  <c r="Q108" i="23"/>
  <c r="Q105" i="23" s="1"/>
  <c r="V42" i="4" s="1"/>
  <c r="AJ40" i="17" s="1"/>
  <c r="N69" i="23"/>
  <c r="N77" i="23"/>
  <c r="S111" i="4" s="1"/>
  <c r="S127" i="4" s="1"/>
  <c r="N74" i="23"/>
  <c r="O68" i="23"/>
  <c r="T41" i="4" s="1"/>
  <c r="AH39" i="17" s="1"/>
  <c r="P71" i="23"/>
  <c r="P23" i="23"/>
  <c r="P18" i="23"/>
  <c r="O179" i="23"/>
  <c r="O199" i="23" s="1"/>
  <c r="T43" i="4" s="1"/>
  <c r="AH41" i="17" s="1"/>
  <c r="P182" i="23"/>
  <c r="Q23" i="23"/>
  <c r="Q18" i="23"/>
  <c r="N180" i="23"/>
  <c r="N188" i="23"/>
  <c r="N202" i="23" s="1"/>
  <c r="N185" i="23"/>
  <c r="K115" i="31" l="1"/>
  <c r="S64" i="4"/>
  <c r="Q248" i="23"/>
  <c r="V45" i="4"/>
  <c r="AJ43" i="17" s="1"/>
  <c r="T99" i="4"/>
  <c r="T144" i="4"/>
  <c r="S96" i="4"/>
  <c r="S141" i="4"/>
  <c r="L116" i="31"/>
  <c r="T65" i="4"/>
  <c r="N203" i="23"/>
  <c r="S113" i="4"/>
  <c r="S129" i="4" s="1"/>
  <c r="Q97" i="4"/>
  <c r="E47" i="6"/>
  <c r="M3758" i="16"/>
  <c r="R95" i="4"/>
  <c r="R140" i="4"/>
  <c r="H336" i="28"/>
  <c r="H337" i="28" s="1"/>
  <c r="R66" i="4"/>
  <c r="R142" i="4" s="1"/>
  <c r="Q142" i="4"/>
  <c r="N200" i="23"/>
  <c r="K118" i="31"/>
  <c r="O271" i="23"/>
  <c r="O293" i="23" s="1"/>
  <c r="L119" i="31"/>
  <c r="W66" i="4"/>
  <c r="J3758" i="16"/>
  <c r="J3776" i="16" s="1"/>
  <c r="N3776" i="16" s="1"/>
  <c r="P260" i="23"/>
  <c r="U115" i="4" s="1"/>
  <c r="U131" i="4" s="1"/>
  <c r="P248" i="23"/>
  <c r="U68" i="4" s="1"/>
  <c r="Q260" i="23"/>
  <c r="O117" i="23"/>
  <c r="O290" i="23" s="1"/>
  <c r="N191" i="23"/>
  <c r="N292" i="23" s="1"/>
  <c r="N80" i="23"/>
  <c r="N289" i="23" s="1"/>
  <c r="P106" i="23"/>
  <c r="P114" i="23"/>
  <c r="U112" i="4" s="1"/>
  <c r="U128" i="4" s="1"/>
  <c r="P111" i="23"/>
  <c r="Q106" i="23"/>
  <c r="Q114" i="23"/>
  <c r="V112" i="4" s="1"/>
  <c r="V128" i="4" s="1"/>
  <c r="Q111" i="23"/>
  <c r="Q71" i="23"/>
  <c r="Q68" i="23" s="1"/>
  <c r="V41" i="4" s="1"/>
  <c r="AJ39" i="17" s="1"/>
  <c r="P68" i="23"/>
  <c r="U41" i="4" s="1"/>
  <c r="AI39" i="17" s="1"/>
  <c r="O69" i="23"/>
  <c r="O77" i="23"/>
  <c r="T111" i="4" s="1"/>
  <c r="T127" i="4" s="1"/>
  <c r="O74" i="23"/>
  <c r="O180" i="23"/>
  <c r="O188" i="23"/>
  <c r="O202" i="23" s="1"/>
  <c r="O185" i="23"/>
  <c r="Q182" i="23"/>
  <c r="Q179" i="23" s="1"/>
  <c r="Q199" i="23" s="1"/>
  <c r="V43" i="4" s="1"/>
  <c r="AJ41" i="17" s="1"/>
  <c r="P179" i="23"/>
  <c r="P199" i="23" s="1"/>
  <c r="U43" i="4" s="1"/>
  <c r="AI41" i="17" s="1"/>
  <c r="N116" i="31" l="1"/>
  <c r="V65" i="4"/>
  <c r="Q271" i="23"/>
  <c r="Q293" i="23" s="1"/>
  <c r="V115" i="4"/>
  <c r="V131" i="4" s="1"/>
  <c r="L115" i="31"/>
  <c r="T64" i="4"/>
  <c r="N119" i="31"/>
  <c r="V68" i="4"/>
  <c r="T141" i="4"/>
  <c r="T96" i="4"/>
  <c r="S140" i="4"/>
  <c r="S95" i="4"/>
  <c r="U99" i="4"/>
  <c r="U144" i="4"/>
  <c r="M116" i="31"/>
  <c r="U65" i="4"/>
  <c r="O203" i="23"/>
  <c r="T113" i="4"/>
  <c r="T129" i="4" s="1"/>
  <c r="N201" i="23"/>
  <c r="S66" i="4"/>
  <c r="R97" i="4"/>
  <c r="O200" i="23"/>
  <c r="L118" i="31"/>
  <c r="N3758" i="16"/>
  <c r="P271" i="23"/>
  <c r="P293" i="23" s="1"/>
  <c r="M119" i="31"/>
  <c r="O80" i="23"/>
  <c r="O289" i="23" s="1"/>
  <c r="P117" i="23"/>
  <c r="P290" i="23" s="1"/>
  <c r="O191" i="23"/>
  <c r="O292" i="23" s="1"/>
  <c r="Q117" i="23"/>
  <c r="Q290" i="23" s="1"/>
  <c r="P69" i="23"/>
  <c r="P77" i="23"/>
  <c r="U111" i="4" s="1"/>
  <c r="U127" i="4" s="1"/>
  <c r="P74" i="23"/>
  <c r="Q69" i="23"/>
  <c r="Q77" i="23"/>
  <c r="V111" i="4" s="1"/>
  <c r="V127" i="4" s="1"/>
  <c r="Q74" i="23"/>
  <c r="P180" i="23"/>
  <c r="P188" i="23"/>
  <c r="P202" i="23" s="1"/>
  <c r="P185" i="23"/>
  <c r="Q180" i="23"/>
  <c r="Q188" i="23"/>
  <c r="Q202" i="23" s="1"/>
  <c r="Q185" i="23"/>
  <c r="K147" i="16"/>
  <c r="K149" i="16"/>
  <c r="H138" i="16"/>
  <c r="C316" i="23" l="1"/>
  <c r="C319" i="23"/>
  <c r="M115" i="31"/>
  <c r="U64" i="4"/>
  <c r="U141" i="4"/>
  <c r="U96" i="4"/>
  <c r="V141" i="4"/>
  <c r="V96" i="4"/>
  <c r="V99" i="4"/>
  <c r="V144" i="4"/>
  <c r="T95" i="4"/>
  <c r="T140" i="4"/>
  <c r="N115" i="31"/>
  <c r="V64" i="4"/>
  <c r="E319" i="23"/>
  <c r="F319" i="23" s="1"/>
  <c r="S97" i="4"/>
  <c r="S142" i="4"/>
  <c r="O201" i="23"/>
  <c r="T66" i="4"/>
  <c r="P203" i="23"/>
  <c r="U113" i="4"/>
  <c r="U129" i="4" s="1"/>
  <c r="Q203" i="23"/>
  <c r="V113" i="4"/>
  <c r="V129" i="4" s="1"/>
  <c r="P200" i="23"/>
  <c r="M118" i="31"/>
  <c r="Q200" i="23"/>
  <c r="N118" i="31"/>
  <c r="K148" i="16"/>
  <c r="J148" i="16" s="1"/>
  <c r="Q191" i="23"/>
  <c r="Q292" i="23" s="1"/>
  <c r="Q80" i="23"/>
  <c r="Q289" i="23" s="1"/>
  <c r="E316" i="23"/>
  <c r="F316" i="23" s="1"/>
  <c r="P191" i="23"/>
  <c r="P292" i="23" s="1"/>
  <c r="P80" i="23"/>
  <c r="P289" i="23" s="1"/>
  <c r="H295" i="16"/>
  <c r="H285" i="16"/>
  <c r="F295" i="16"/>
  <c r="F285" i="16"/>
  <c r="I242" i="16"/>
  <c r="K241" i="16"/>
  <c r="J241" i="16"/>
  <c r="I241" i="16"/>
  <c r="K240" i="16"/>
  <c r="J240" i="16"/>
  <c r="I240" i="16"/>
  <c r="K239" i="16"/>
  <c r="J239" i="16"/>
  <c r="I239" i="16"/>
  <c r="K234" i="16"/>
  <c r="J234" i="16"/>
  <c r="I234" i="16"/>
  <c r="I252" i="16"/>
  <c r="K251" i="16"/>
  <c r="J251" i="16"/>
  <c r="I251" i="16"/>
  <c r="K250" i="16"/>
  <c r="J250" i="16"/>
  <c r="I250" i="16"/>
  <c r="K249" i="16"/>
  <c r="J249" i="16"/>
  <c r="I249" i="16"/>
  <c r="K244" i="16"/>
  <c r="J244" i="16"/>
  <c r="I244" i="16"/>
  <c r="B246" i="16"/>
  <c r="B245" i="16"/>
  <c r="B241" i="16"/>
  <c r="B251" i="16" s="1"/>
  <c r="B240" i="16"/>
  <c r="B250" i="16" s="1"/>
  <c r="B239" i="16"/>
  <c r="B249" i="16" s="1"/>
  <c r="B238" i="16"/>
  <c r="B248" i="16" s="1"/>
  <c r="B237" i="16"/>
  <c r="B247" i="16" s="1"/>
  <c r="C315" i="23" l="1"/>
  <c r="C318" i="23"/>
  <c r="G319" i="23"/>
  <c r="G8" i="6" s="1"/>
  <c r="D8" i="6" s="1"/>
  <c r="V95" i="4"/>
  <c r="V140" i="4"/>
  <c r="U140" i="4"/>
  <c r="U95" i="4"/>
  <c r="Q201" i="23"/>
  <c r="V66" i="4"/>
  <c r="T142" i="4"/>
  <c r="T97" i="4"/>
  <c r="P201" i="23"/>
  <c r="U66" i="4"/>
  <c r="G316" i="23"/>
  <c r="E318" i="23"/>
  <c r="F318" i="23" s="1"/>
  <c r="E315" i="23"/>
  <c r="F315" i="23" s="1"/>
  <c r="C147" i="16"/>
  <c r="D200" i="29" l="1"/>
  <c r="V142" i="4"/>
  <c r="V97" i="4"/>
  <c r="U142" i="4"/>
  <c r="U97" i="4"/>
  <c r="G5" i="6"/>
  <c r="D5" i="6" s="1"/>
  <c r="D197" i="29"/>
  <c r="G318" i="23"/>
  <c r="D199" i="29" s="1"/>
  <c r="G315" i="23"/>
  <c r="D196" i="29" s="1"/>
  <c r="C1672" i="16"/>
  <c r="E1672" i="16" s="1"/>
  <c r="C1671" i="16"/>
  <c r="B1681" i="16"/>
  <c r="B1677" i="16"/>
  <c r="B1675" i="16"/>
  <c r="B1674" i="16"/>
  <c r="B1670" i="16"/>
  <c r="B1666" i="16"/>
  <c r="B1665" i="16"/>
  <c r="C1664" i="16"/>
  <c r="E1664" i="16" s="1"/>
  <c r="C1663" i="16"/>
  <c r="B1663" i="16"/>
  <c r="C1665" i="16"/>
  <c r="C1002" i="12"/>
  <c r="C1666" i="16" s="1"/>
  <c r="C1679" i="16"/>
  <c r="C1678" i="16"/>
  <c r="I209" i="16"/>
  <c r="C1657" i="16"/>
  <c r="D1657" i="16" s="1"/>
  <c r="E1657" i="16" s="1"/>
  <c r="C142" i="16"/>
  <c r="C1650" i="16"/>
  <c r="B1626" i="16"/>
  <c r="B1627" i="16"/>
  <c r="B1628" i="16"/>
  <c r="B1629" i="16"/>
  <c r="B1630" i="16"/>
  <c r="B1631" i="16"/>
  <c r="B1632" i="16"/>
  <c r="B1633" i="16"/>
  <c r="G4" i="6" l="1"/>
  <c r="D4" i="6" s="1"/>
  <c r="G7" i="6"/>
  <c r="C1016" i="12"/>
  <c r="C1673" i="16"/>
  <c r="E1673" i="16" s="1"/>
  <c r="C1667" i="16"/>
  <c r="E1679" i="16"/>
  <c r="E1663" i="16"/>
  <c r="E1667" i="16" s="1"/>
  <c r="C1675" i="16"/>
  <c r="E1671" i="16"/>
  <c r="G17" i="6" l="1"/>
  <c r="D7" i="6"/>
  <c r="C1680" i="16"/>
  <c r="E1827" i="16"/>
  <c r="C1682" i="16"/>
  <c r="C1674" i="16"/>
  <c r="C1681" i="16" s="1"/>
  <c r="E1678" i="16"/>
  <c r="E1674" i="16"/>
  <c r="E1675" i="16"/>
  <c r="E1682" i="16" s="1"/>
  <c r="G47" i="6" l="1"/>
  <c r="F47" i="6"/>
  <c r="D180" i="16"/>
  <c r="C135" i="16"/>
  <c r="H235" i="16" s="1"/>
  <c r="F262" i="16"/>
  <c r="E262" i="16"/>
  <c r="D262" i="16"/>
  <c r="C262" i="16"/>
  <c r="C144" i="16"/>
  <c r="H245" i="16" l="1"/>
  <c r="C245" i="16"/>
  <c r="C139" i="16"/>
  <c r="C140" i="16" s="1"/>
  <c r="H236" i="16" l="1"/>
  <c r="F290" i="16"/>
  <c r="H290" i="16"/>
  <c r="H246" i="16"/>
  <c r="C246" i="16"/>
  <c r="U401" i="20" l="1"/>
  <c r="S320" i="20" l="1"/>
  <c r="V320" i="20" s="1"/>
  <c r="V321" i="20" s="1"/>
  <c r="J452" i="4"/>
  <c r="BP112" i="20" l="1"/>
  <c r="BP111" i="20"/>
  <c r="BP110" i="20"/>
  <c r="BR94" i="20"/>
  <c r="BR93" i="20"/>
  <c r="BR92" i="20"/>
  <c r="AB90" i="20"/>
  <c r="W90" i="20"/>
  <c r="U90" i="20"/>
  <c r="T90" i="20"/>
  <c r="S90" i="20"/>
  <c r="R90" i="20"/>
  <c r="Q90" i="20"/>
  <c r="P90" i="20"/>
  <c r="O90" i="20"/>
  <c r="AB189" i="20"/>
  <c r="W189" i="20"/>
  <c r="W59" i="20"/>
  <c r="BO17" i="20"/>
  <c r="BO15" i="20"/>
  <c r="BN15" i="20"/>
  <c r="BM15" i="20"/>
  <c r="BL15" i="20"/>
  <c r="BK15" i="20"/>
  <c r="BJ15" i="20"/>
  <c r="BI15" i="20"/>
  <c r="BL14" i="20"/>
  <c r="BO8" i="20"/>
  <c r="BO5" i="20"/>
  <c r="T129" i="9"/>
  <c r="AB284" i="20" l="1"/>
  <c r="AB331" i="20" s="1"/>
  <c r="AB390" i="20" s="1"/>
  <c r="AB208" i="20"/>
  <c r="W284" i="20"/>
  <c r="W331" i="20" s="1"/>
  <c r="W390" i="20" s="1"/>
  <c r="W208" i="20"/>
  <c r="W387" i="12"/>
  <c r="W391" i="12" s="1"/>
  <c r="V387" i="12"/>
  <c r="V391" i="12" s="1"/>
  <c r="V392" i="12" s="1"/>
  <c r="N1428" i="16"/>
  <c r="M1428" i="16"/>
  <c r="L1428" i="16"/>
  <c r="O1424" i="16"/>
  <c r="N1424" i="16"/>
  <c r="M1424" i="16"/>
  <c r="L1424" i="16"/>
  <c r="K1424" i="16"/>
  <c r="K1425" i="16" s="1"/>
  <c r="I1448" i="16"/>
  <c r="I1444" i="16"/>
  <c r="C1633" i="16"/>
  <c r="C1630" i="16"/>
  <c r="C1629" i="16"/>
  <c r="C1627" i="16"/>
  <c r="C1626" i="16"/>
  <c r="W60" i="20"/>
  <c r="W392" i="12" l="1"/>
  <c r="W393" i="12" s="1"/>
  <c r="O1425" i="16"/>
  <c r="V393" i="12"/>
  <c r="AB60" i="20"/>
  <c r="L1425" i="16"/>
  <c r="M1420" i="16"/>
  <c r="N1420" i="16"/>
  <c r="M1425" i="16"/>
  <c r="N1425" i="16"/>
  <c r="C1628" i="16"/>
  <c r="L1420" i="16" l="1"/>
  <c r="I1437" i="16" l="1"/>
  <c r="I1432" i="16"/>
  <c r="I1430" i="16"/>
  <c r="K1423" i="16"/>
  <c r="I1425" i="16"/>
  <c r="X293" i="12"/>
  <c r="U333" i="20"/>
  <c r="BN107" i="20" l="1"/>
  <c r="BO14" i="20"/>
  <c r="BO13" i="20"/>
  <c r="BO12" i="20"/>
  <c r="BO4" i="20"/>
  <c r="BN14" i="20"/>
  <c r="BN13" i="20"/>
  <c r="BN12" i="20"/>
  <c r="BN5" i="20"/>
  <c r="BN4" i="20"/>
  <c r="U60" i="20"/>
  <c r="T60" i="20"/>
  <c r="S60" i="20"/>
  <c r="R60" i="20"/>
  <c r="Q60" i="20"/>
  <c r="P60" i="20"/>
  <c r="O60" i="20"/>
  <c r="U211" i="20"/>
  <c r="U216" i="20" s="1"/>
  <c r="E2732" i="16" s="1"/>
  <c r="U204" i="20"/>
  <c r="U194" i="20"/>
  <c r="U105" i="20"/>
  <c r="BV105" i="20" s="1"/>
  <c r="F1063" i="20" s="1"/>
  <c r="U101" i="20"/>
  <c r="X423" i="12"/>
  <c r="X422" i="12"/>
  <c r="X416" i="12"/>
  <c r="X411" i="12"/>
  <c r="X404" i="12"/>
  <c r="X339" i="12"/>
  <c r="Y348" i="12" s="1"/>
  <c r="X338" i="12"/>
  <c r="X272" i="12"/>
  <c r="AB276" i="12" s="1"/>
  <c r="BY120" i="20" s="1"/>
  <c r="X266" i="12"/>
  <c r="AB267" i="12" s="1"/>
  <c r="X244" i="12"/>
  <c r="L514" i="20" s="1"/>
  <c r="O628" i="20" s="1"/>
  <c r="X243" i="12"/>
  <c r="L512" i="20" s="1"/>
  <c r="X242" i="12"/>
  <c r="L511" i="20" s="1"/>
  <c r="O604" i="20" s="1"/>
  <c r="X241" i="12"/>
  <c r="L510" i="20" s="1"/>
  <c r="O616" i="20" s="1"/>
  <c r="X240" i="12"/>
  <c r="L509" i="20" s="1"/>
  <c r="X239" i="12"/>
  <c r="L508" i="20" s="1"/>
  <c r="X238" i="12"/>
  <c r="X235" i="12"/>
  <c r="X231" i="12"/>
  <c r="X232" i="12" s="1"/>
  <c r="U18" i="20"/>
  <c r="Q9" i="20"/>
  <c r="Q10" i="20" s="1"/>
  <c r="BV101" i="20" l="1"/>
  <c r="F1059" i="20" s="1"/>
  <c r="Y61" i="20"/>
  <c r="Z61" i="20"/>
  <c r="X61" i="20"/>
  <c r="F987" i="20"/>
  <c r="F1020" i="20" s="1"/>
  <c r="F1027" i="20" s="1"/>
  <c r="E2479" i="16"/>
  <c r="L513" i="20"/>
  <c r="I1449" i="16"/>
  <c r="I1447" i="16" s="1"/>
  <c r="Y390" i="12"/>
  <c r="X340" i="12"/>
  <c r="Y375" i="12"/>
  <c r="J1428" i="16" s="1"/>
  <c r="X268" i="12"/>
  <c r="L600" i="4"/>
  <c r="I1443" i="16"/>
  <c r="X273" i="12"/>
  <c r="U205" i="20"/>
  <c r="E2480" i="16" s="1"/>
  <c r="U393" i="20"/>
  <c r="CB488" i="20"/>
  <c r="L588" i="20" s="1"/>
  <c r="O636" i="20" s="1"/>
  <c r="CB487" i="20"/>
  <c r="L586" i="20" s="1"/>
  <c r="CB486" i="20"/>
  <c r="L585" i="20" s="1"/>
  <c r="CB485" i="20"/>
  <c r="L584" i="20" s="1"/>
  <c r="CB482" i="20"/>
  <c r="L583" i="20" s="1"/>
  <c r="CB481" i="20"/>
  <c r="L582" i="20" s="1"/>
  <c r="CB480" i="20"/>
  <c r="CB466" i="20"/>
  <c r="L579" i="20" s="1"/>
  <c r="O635" i="20" s="1"/>
  <c r="CB465" i="20"/>
  <c r="L577" i="20" s="1"/>
  <c r="CB464" i="20"/>
  <c r="L576" i="20" s="1"/>
  <c r="CB463" i="20"/>
  <c r="L575" i="20" s="1"/>
  <c r="CB460" i="20"/>
  <c r="L574" i="20" s="1"/>
  <c r="CB459" i="20"/>
  <c r="L573" i="20" s="1"/>
  <c r="CB458" i="20"/>
  <c r="CB455" i="20"/>
  <c r="L570" i="20" s="1"/>
  <c r="O634" i="20" s="1"/>
  <c r="CB454" i="20"/>
  <c r="L568" i="20" s="1"/>
  <c r="CB453" i="20"/>
  <c r="L567" i="20" s="1"/>
  <c r="CB452" i="20"/>
  <c r="L566" i="20" s="1"/>
  <c r="CB448" i="20"/>
  <c r="L565" i="20" s="1"/>
  <c r="CB447" i="20"/>
  <c r="L564" i="20" s="1"/>
  <c r="CB446" i="20"/>
  <c r="CB443" i="20"/>
  <c r="L560" i="20" s="1"/>
  <c r="CB442" i="20"/>
  <c r="L559" i="20" s="1"/>
  <c r="CB441" i="20"/>
  <c r="L558" i="20" s="1"/>
  <c r="CB437" i="20"/>
  <c r="L557" i="20" s="1"/>
  <c r="CB436" i="20"/>
  <c r="L556" i="20" s="1"/>
  <c r="CB435" i="20"/>
  <c r="CB432" i="20"/>
  <c r="L553" i="20" s="1"/>
  <c r="O632" i="20" s="1"/>
  <c r="CB431" i="20"/>
  <c r="L551" i="20" s="1"/>
  <c r="CB430" i="20"/>
  <c r="L550" i="20" s="1"/>
  <c r="O608" i="20" s="1"/>
  <c r="CB429" i="20"/>
  <c r="L549" i="20" s="1"/>
  <c r="O620" i="20" s="1"/>
  <c r="CB425" i="20"/>
  <c r="L548" i="20" s="1"/>
  <c r="CB424" i="20"/>
  <c r="L547" i="20" s="1"/>
  <c r="CB423" i="20"/>
  <c r="CB420" i="20"/>
  <c r="L544" i="20" s="1"/>
  <c r="O631" i="20" s="1"/>
  <c r="CB419" i="20"/>
  <c r="L542" i="20" s="1"/>
  <c r="CB418" i="20"/>
  <c r="L541" i="20" s="1"/>
  <c r="CB417" i="20"/>
  <c r="L540" i="20" s="1"/>
  <c r="CB414" i="20"/>
  <c r="L539" i="20" s="1"/>
  <c r="CB413" i="20"/>
  <c r="L538" i="20" s="1"/>
  <c r="CB412" i="20"/>
  <c r="BN106" i="20"/>
  <c r="B1064" i="20" s="1"/>
  <c r="B1063" i="20"/>
  <c r="B1069" i="20" s="1"/>
  <c r="BN104" i="20"/>
  <c r="B1062" i="20" s="1"/>
  <c r="BN103" i="20"/>
  <c r="B1061" i="20" s="1"/>
  <c r="BN101" i="20"/>
  <c r="B1059" i="20" s="1"/>
  <c r="B1068" i="20" s="1"/>
  <c r="BN100" i="20"/>
  <c r="B1058" i="20" s="1"/>
  <c r="BN99" i="20"/>
  <c r="B1057" i="20" s="1"/>
  <c r="BN97" i="20"/>
  <c r="B1055" i="20" s="1"/>
  <c r="B1067" i="20" s="1"/>
  <c r="BN96" i="20"/>
  <c r="B1054" i="20" s="1"/>
  <c r="BN95" i="20"/>
  <c r="B1053" i="20" s="1"/>
  <c r="BN94" i="20"/>
  <c r="B1052" i="20" s="1"/>
  <c r="BN93" i="20"/>
  <c r="B1051" i="20" s="1"/>
  <c r="BN92" i="20"/>
  <c r="B1050" i="20" s="1"/>
  <c r="BR104" i="20"/>
  <c r="BQ104" i="20"/>
  <c r="BP104" i="20"/>
  <c r="BR103" i="20"/>
  <c r="BQ103" i="20"/>
  <c r="BP103" i="20"/>
  <c r="BR100" i="20"/>
  <c r="BQ100" i="20"/>
  <c r="BP100" i="20"/>
  <c r="BR99" i="20"/>
  <c r="BQ99" i="20"/>
  <c r="BP99" i="20"/>
  <c r="BR96" i="20"/>
  <c r="BQ96" i="20"/>
  <c r="BP96" i="20"/>
  <c r="BQ94" i="20"/>
  <c r="BP94" i="20"/>
  <c r="BQ93" i="20"/>
  <c r="BP93" i="20"/>
  <c r="BQ92" i="20"/>
  <c r="BP92" i="20"/>
  <c r="Q105" i="20"/>
  <c r="Q101" i="20"/>
  <c r="BR101" i="20" s="1"/>
  <c r="Q95" i="20"/>
  <c r="Q97" i="20" s="1"/>
  <c r="U95" i="20"/>
  <c r="BV95" i="20" s="1"/>
  <c r="F1053" i="20" s="1"/>
  <c r="U75" i="20"/>
  <c r="U76" i="20" s="1"/>
  <c r="U22" i="20"/>
  <c r="U9" i="20"/>
  <c r="U236" i="20"/>
  <c r="K808" i="20"/>
  <c r="X382" i="12"/>
  <c r="U239" i="20"/>
  <c r="U285" i="20"/>
  <c r="U347" i="20"/>
  <c r="U345" i="20"/>
  <c r="K810" i="20"/>
  <c r="K807" i="20"/>
  <c r="K805" i="20"/>
  <c r="J810" i="20"/>
  <c r="J808" i="20"/>
  <c r="J807" i="20"/>
  <c r="J805" i="20"/>
  <c r="L590" i="20"/>
  <c r="M498" i="20"/>
  <c r="C1826" i="8" s="1"/>
  <c r="C1827" i="8" s="1"/>
  <c r="M497" i="20"/>
  <c r="M496" i="20"/>
  <c r="M495" i="20"/>
  <c r="M493" i="20"/>
  <c r="M504" i="20" s="1"/>
  <c r="N505" i="20" s="1"/>
  <c r="M492" i="20"/>
  <c r="M491" i="20"/>
  <c r="M500" i="20" s="1"/>
  <c r="M483" i="20"/>
  <c r="M461" i="20"/>
  <c r="M450" i="20"/>
  <c r="M449" i="20"/>
  <c r="M439" i="20"/>
  <c r="M438" i="20"/>
  <c r="M427" i="20"/>
  <c r="M426" i="20"/>
  <c r="M415" i="20"/>
  <c r="CC415" i="20" s="1"/>
  <c r="X322" i="12"/>
  <c r="X223" i="12"/>
  <c r="X246" i="12" s="1"/>
  <c r="U284" i="20"/>
  <c r="U331" i="20" s="1"/>
  <c r="U390" i="20" s="1"/>
  <c r="I1652" i="16" s="1"/>
  <c r="U208" i="20"/>
  <c r="U68" i="20"/>
  <c r="U79" i="20" s="1"/>
  <c r="U109" i="20" s="1"/>
  <c r="BU109" i="20" s="1"/>
  <c r="L596" i="20" l="1"/>
  <c r="L595" i="20"/>
  <c r="L591" i="20"/>
  <c r="L592" i="20"/>
  <c r="L594" i="20"/>
  <c r="E105" i="28"/>
  <c r="X269" i="12"/>
  <c r="AB270" i="12"/>
  <c r="O637" i="20"/>
  <c r="O623" i="20"/>
  <c r="O619" i="20"/>
  <c r="O622" i="20"/>
  <c r="O621" i="20"/>
  <c r="O624" i="20"/>
  <c r="O607" i="20"/>
  <c r="O610" i="20"/>
  <c r="O609" i="20"/>
  <c r="O612" i="20"/>
  <c r="O611" i="20"/>
  <c r="F985" i="20"/>
  <c r="F988" i="20" s="1"/>
  <c r="F1021" i="20" s="1"/>
  <c r="BO9" i="20"/>
  <c r="BS9" i="20"/>
  <c r="F1088" i="20" s="1"/>
  <c r="U97" i="20"/>
  <c r="M503" i="20"/>
  <c r="V396" i="20"/>
  <c r="V395" i="20"/>
  <c r="U396" i="20"/>
  <c r="I1653" i="16" s="1"/>
  <c r="M484" i="20"/>
  <c r="CC483" i="20"/>
  <c r="CD483" i="20" s="1"/>
  <c r="M428" i="20"/>
  <c r="CC427" i="20"/>
  <c r="M451" i="20"/>
  <c r="CC450" i="20"/>
  <c r="M440" i="20"/>
  <c r="CC439" i="20"/>
  <c r="M462" i="20"/>
  <c r="CC461" i="20"/>
  <c r="X387" i="12"/>
  <c r="X391" i="12" s="1"/>
  <c r="X405" i="12"/>
  <c r="M600" i="4"/>
  <c r="N600" i="4" s="1"/>
  <c r="U242" i="20"/>
  <c r="X375" i="12"/>
  <c r="I1428" i="16" s="1"/>
  <c r="X383" i="12"/>
  <c r="I1419" i="16"/>
  <c r="X166" i="12"/>
  <c r="X381" i="12"/>
  <c r="I1420" i="16"/>
  <c r="J1451" i="16" s="1"/>
  <c r="X420" i="12"/>
  <c r="X425" i="12" s="1"/>
  <c r="X167" i="12"/>
  <c r="X401" i="12"/>
  <c r="U19" i="20"/>
  <c r="U21" i="20" s="1"/>
  <c r="U193" i="20" s="1"/>
  <c r="U191" i="20" s="1"/>
  <c r="U346" i="20" s="1"/>
  <c r="X412" i="12"/>
  <c r="BR91" i="20"/>
  <c r="U10" i="20"/>
  <c r="L587" i="20"/>
  <c r="U288" i="20"/>
  <c r="U16" i="20"/>
  <c r="BO11" i="20"/>
  <c r="L552" i="20"/>
  <c r="BR105" i="20"/>
  <c r="Q107" i="20"/>
  <c r="L578" i="20"/>
  <c r="BR95" i="20"/>
  <c r="L543" i="20"/>
  <c r="L599" i="20"/>
  <c r="L569" i="20"/>
  <c r="L561" i="20"/>
  <c r="U314" i="20"/>
  <c r="U349" i="20"/>
  <c r="M494" i="20"/>
  <c r="L597" i="20" l="1"/>
  <c r="L601" i="20" s="1"/>
  <c r="X168" i="12"/>
  <c r="BV97" i="20"/>
  <c r="F1055" i="20" s="1"/>
  <c r="O625" i="20"/>
  <c r="O613" i="20"/>
  <c r="F1018" i="20"/>
  <c r="F1025" i="20" s="1"/>
  <c r="BO10" i="20"/>
  <c r="BS10" i="20"/>
  <c r="F1089" i="20" s="1"/>
  <c r="U232" i="20"/>
  <c r="U286" i="20" s="1"/>
  <c r="X392" i="12"/>
  <c r="X393" i="12" s="1"/>
  <c r="U23" i="20"/>
  <c r="BR97" i="20"/>
  <c r="U321" i="20"/>
  <c r="U107" i="20" l="1"/>
  <c r="U324" i="20"/>
  <c r="C1599" i="16"/>
  <c r="C1601" i="16" s="1"/>
  <c r="U352" i="20" l="1"/>
  <c r="P31" i="13"/>
  <c r="Q31" i="13" s="1"/>
  <c r="R31" i="13" s="1"/>
  <c r="S31" i="13" s="1"/>
  <c r="T31" i="13" s="1"/>
  <c r="U31" i="13" s="1"/>
  <c r="V31" i="13" s="1"/>
  <c r="P30" i="13"/>
  <c r="Q30" i="13" s="1"/>
  <c r="R30" i="13" s="1"/>
  <c r="S30" i="13" s="1"/>
  <c r="T30" i="13" s="1"/>
  <c r="U30" i="13" s="1"/>
  <c r="V30" i="13" s="1"/>
  <c r="W30" i="13" l="1"/>
  <c r="V53" i="13"/>
  <c r="V60" i="13"/>
  <c r="W31" i="13"/>
  <c r="V56" i="13"/>
  <c r="V54" i="13"/>
  <c r="V58" i="13"/>
  <c r="V59" i="13"/>
  <c r="V57" i="13"/>
  <c r="V55" i="13"/>
  <c r="V61" i="13"/>
  <c r="G1486" i="16"/>
  <c r="E1486" i="16"/>
  <c r="D1486" i="16"/>
  <c r="C1486" i="16"/>
  <c r="F1484" i="16"/>
  <c r="F1486" i="16" s="1"/>
  <c r="W55" i="13" l="1"/>
  <c r="X31" i="13"/>
  <c r="W56" i="13"/>
  <c r="W59" i="13"/>
  <c r="W54" i="13"/>
  <c r="W61" i="13"/>
  <c r="W57" i="13"/>
  <c r="W58" i="13"/>
  <c r="W60" i="13"/>
  <c r="W53" i="13"/>
  <c r="X30" i="13"/>
  <c r="E1545" i="16"/>
  <c r="D1545" i="16"/>
  <c r="C1545" i="16"/>
  <c r="E1517" i="16"/>
  <c r="E1516" i="16"/>
  <c r="I1517" i="16"/>
  <c r="H1517" i="16"/>
  <c r="G1517" i="16"/>
  <c r="F1517" i="16"/>
  <c r="I1515" i="16"/>
  <c r="H1515" i="16"/>
  <c r="G1515" i="16"/>
  <c r="F1515" i="16"/>
  <c r="I1513" i="16"/>
  <c r="I1505" i="16"/>
  <c r="I1506" i="16" s="1"/>
  <c r="I1516" i="16" s="1"/>
  <c r="I1493" i="16"/>
  <c r="I1500" i="16" s="1"/>
  <c r="I1508" i="16"/>
  <c r="G1506" i="16"/>
  <c r="G1516" i="16" s="1"/>
  <c r="C1506" i="16"/>
  <c r="H1505" i="16"/>
  <c r="H1506" i="16" s="1"/>
  <c r="H1516" i="16" s="1"/>
  <c r="H1513" i="16"/>
  <c r="H1508" i="16"/>
  <c r="H1493" i="16"/>
  <c r="H1494" i="16" s="1"/>
  <c r="I1494" i="16" s="1"/>
  <c r="H1497" i="16"/>
  <c r="G1493" i="16"/>
  <c r="X53" i="13" l="1"/>
  <c r="Y30" i="13"/>
  <c r="Y31" i="13"/>
  <c r="X58" i="13"/>
  <c r="X59" i="13"/>
  <c r="X54" i="13"/>
  <c r="X57" i="13"/>
  <c r="X60" i="13"/>
  <c r="X55" i="13"/>
  <c r="X56" i="13"/>
  <c r="X61" i="13"/>
  <c r="I1512" i="16"/>
  <c r="I1495" i="16"/>
  <c r="I1497" i="16" s="1"/>
  <c r="I1498" i="16" s="1"/>
  <c r="H1500" i="16"/>
  <c r="H1512" i="16" s="1"/>
  <c r="G1497" i="16"/>
  <c r="H1498" i="16" s="1"/>
  <c r="Z31" i="13" l="1"/>
  <c r="Y61" i="13"/>
  <c r="Y57" i="13"/>
  <c r="Y54" i="13"/>
  <c r="Y55" i="13"/>
  <c r="Y58" i="13"/>
  <c r="Y56" i="13"/>
  <c r="Y59" i="13"/>
  <c r="Y60" i="13"/>
  <c r="Z30" i="13"/>
  <c r="Y53" i="13"/>
  <c r="W424" i="12"/>
  <c r="H1444" i="16" s="1"/>
  <c r="L1423" i="16"/>
  <c r="H1425" i="16"/>
  <c r="G1425" i="16"/>
  <c r="H1448" i="16"/>
  <c r="W400" i="12"/>
  <c r="X400" i="12" s="1"/>
  <c r="I1433" i="16" s="1"/>
  <c r="W401" i="12"/>
  <c r="W416" i="12"/>
  <c r="W420" i="12"/>
  <c r="W411" i="12"/>
  <c r="X390" i="12" s="1"/>
  <c r="H1443" i="16"/>
  <c r="H1437" i="16"/>
  <c r="H1438" i="16" s="1"/>
  <c r="H1439" i="16" s="1"/>
  <c r="W404" i="12"/>
  <c r="W405" i="12" s="1"/>
  <c r="Z53" i="13" l="1"/>
  <c r="W425" i="12"/>
  <c r="X426" i="12" s="1"/>
  <c r="Z56" i="13"/>
  <c r="Z54" i="13"/>
  <c r="Z60" i="13"/>
  <c r="Z55" i="13"/>
  <c r="Z58" i="13"/>
  <c r="Z59" i="13"/>
  <c r="Z57" i="13"/>
  <c r="Z61" i="13"/>
  <c r="H1449" i="16"/>
  <c r="H1447" i="16" s="1"/>
  <c r="W412" i="12"/>
  <c r="M1423" i="16"/>
  <c r="W293" i="12"/>
  <c r="N1423" i="16" l="1"/>
  <c r="C1737" i="8"/>
  <c r="C1731" i="8"/>
  <c r="O1423" i="16" l="1"/>
  <c r="W383" i="12"/>
  <c r="W381" i="12"/>
  <c r="W272" i="12"/>
  <c r="AA276" i="12" s="1"/>
  <c r="BX120" i="20" s="1"/>
  <c r="W266" i="12"/>
  <c r="AA267" i="12" s="1"/>
  <c r="W268" i="12" l="1"/>
  <c r="W273" i="12"/>
  <c r="W244" i="12"/>
  <c r="K514" i="20" s="1"/>
  <c r="N628" i="20" s="1"/>
  <c r="W243" i="12"/>
  <c r="K512" i="20" s="1"/>
  <c r="W242" i="12"/>
  <c r="K511" i="20" s="1"/>
  <c r="N604" i="20" s="1"/>
  <c r="W241" i="12"/>
  <c r="K510" i="20" s="1"/>
  <c r="N616" i="20" s="1"/>
  <c r="W240" i="12"/>
  <c r="K509" i="20" s="1"/>
  <c r="W239" i="12"/>
  <c r="K508" i="20" s="1"/>
  <c r="W238" i="12"/>
  <c r="W235" i="12"/>
  <c r="W231" i="12"/>
  <c r="W232" i="12" s="1"/>
  <c r="H1433" i="16"/>
  <c r="H1432" i="16"/>
  <c r="H1430" i="16"/>
  <c r="W375" i="12"/>
  <c r="H1428" i="16" s="1"/>
  <c r="H1426" i="16"/>
  <c r="H1420" i="16"/>
  <c r="H1419" i="16"/>
  <c r="T22" i="20"/>
  <c r="T19" i="20"/>
  <c r="T18" i="20"/>
  <c r="P9" i="20"/>
  <c r="O9" i="20"/>
  <c r="T9" i="20"/>
  <c r="BR9" i="20" s="1"/>
  <c r="S9" i="20"/>
  <c r="P11" i="20"/>
  <c r="P8" i="20"/>
  <c r="T357" i="20"/>
  <c r="V357" i="20" s="1"/>
  <c r="T356" i="20"/>
  <c r="T355" i="20"/>
  <c r="T354" i="20"/>
  <c r="T314" i="20"/>
  <c r="T321" i="20" s="1"/>
  <c r="T327" i="20" s="1"/>
  <c r="T393" i="20"/>
  <c r="T349" i="20"/>
  <c r="P105" i="20"/>
  <c r="P101" i="20"/>
  <c r="P95" i="20"/>
  <c r="P97" i="20" s="1"/>
  <c r="T105" i="20"/>
  <c r="T101" i="20"/>
  <c r="BU101" i="20" s="1"/>
  <c r="T95" i="20"/>
  <c r="BU95" i="20" s="1"/>
  <c r="L498" i="20"/>
  <c r="L497" i="20"/>
  <c r="L496" i="20"/>
  <c r="L495" i="20"/>
  <c r="L493" i="20"/>
  <c r="L504" i="20" s="1"/>
  <c r="M505" i="20" s="1"/>
  <c r="L492" i="20"/>
  <c r="L491" i="20"/>
  <c r="L500" i="20" s="1"/>
  <c r="L483" i="20"/>
  <c r="L461" i="20"/>
  <c r="L450" i="20"/>
  <c r="L449" i="20"/>
  <c r="L439" i="20"/>
  <c r="L438" i="20"/>
  <c r="L427" i="20"/>
  <c r="L426" i="20"/>
  <c r="L415" i="20"/>
  <c r="CB415" i="20" s="1"/>
  <c r="W223" i="12"/>
  <c r="W246" i="12" s="1"/>
  <c r="T242" i="20"/>
  <c r="B214" i="20"/>
  <c r="S242" i="20"/>
  <c r="T239" i="20"/>
  <c r="S239" i="20"/>
  <c r="T288" i="20"/>
  <c r="T211" i="20"/>
  <c r="T216" i="20" s="1"/>
  <c r="D2732" i="16" s="1"/>
  <c r="T208" i="20"/>
  <c r="T75" i="20"/>
  <c r="T76" i="20" s="1"/>
  <c r="W269" i="12" l="1"/>
  <c r="AA270" i="12"/>
  <c r="E1053" i="20"/>
  <c r="E1059" i="20"/>
  <c r="E1088" i="20"/>
  <c r="E987" i="20"/>
  <c r="E1020" i="20" s="1"/>
  <c r="E1027" i="20" s="1"/>
  <c r="BU105" i="20"/>
  <c r="T16" i="20"/>
  <c r="BR11" i="20"/>
  <c r="L503" i="20"/>
  <c r="E985" i="20"/>
  <c r="K513" i="20"/>
  <c r="BQ9" i="20"/>
  <c r="P16" i="20"/>
  <c r="U355" i="20"/>
  <c r="V355" i="20" s="1"/>
  <c r="U356" i="20"/>
  <c r="V356" i="20" s="1"/>
  <c r="U354" i="20"/>
  <c r="V354" i="20" s="1"/>
  <c r="I1451" i="16"/>
  <c r="BN8" i="20"/>
  <c r="P10" i="20"/>
  <c r="BN11" i="20"/>
  <c r="T10" i="20"/>
  <c r="BR10" i="20" s="1"/>
  <c r="BN9" i="20"/>
  <c r="BQ105" i="20"/>
  <c r="T392" i="20"/>
  <c r="U395" i="20"/>
  <c r="L484" i="20"/>
  <c r="CB483" i="20"/>
  <c r="BQ101" i="20"/>
  <c r="L440" i="20"/>
  <c r="CB439" i="20"/>
  <c r="T97" i="20"/>
  <c r="BQ95" i="20"/>
  <c r="L428" i="20"/>
  <c r="CB427" i="20"/>
  <c r="L451" i="20"/>
  <c r="CB450" i="20"/>
  <c r="L462" i="20"/>
  <c r="CB461" i="20"/>
  <c r="T285" i="20"/>
  <c r="T21" i="20"/>
  <c r="T193" i="20" s="1"/>
  <c r="T191" i="20" s="1"/>
  <c r="H1442" i="16"/>
  <c r="H1445" i="16" s="1"/>
  <c r="H1431" i="16"/>
  <c r="H1421" i="16"/>
  <c r="T23" i="20"/>
  <c r="P107" i="20"/>
  <c r="T324" i="20"/>
  <c r="T352" i="20" s="1"/>
  <c r="T358" i="20" s="1"/>
  <c r="T368" i="20" s="1"/>
  <c r="T387" i="20" s="1"/>
  <c r="T396" i="20"/>
  <c r="H1653" i="16" s="1"/>
  <c r="T232" i="20"/>
  <c r="L494" i="20"/>
  <c r="W322" i="12"/>
  <c r="W167" i="12"/>
  <c r="W166" i="12"/>
  <c r="T333" i="20"/>
  <c r="T347" i="20"/>
  <c r="T345" i="20"/>
  <c r="T284" i="20"/>
  <c r="T331" i="20" s="1"/>
  <c r="T68" i="20"/>
  <c r="T79" i="20" s="1"/>
  <c r="BZ488" i="20"/>
  <c r="CA488" i="20" s="1"/>
  <c r="K588" i="20" s="1"/>
  <c r="N636" i="20" s="1"/>
  <c r="BZ487" i="20"/>
  <c r="CA487" i="20" s="1"/>
  <c r="K586" i="20" s="1"/>
  <c r="BZ486" i="20"/>
  <c r="CA486" i="20" s="1"/>
  <c r="K585" i="20" s="1"/>
  <c r="N612" i="20" s="1"/>
  <c r="BZ485" i="20"/>
  <c r="CA485" i="20" s="1"/>
  <c r="K584" i="20" s="1"/>
  <c r="N624" i="20" s="1"/>
  <c r="BZ482" i="20"/>
  <c r="CA482" i="20" s="1"/>
  <c r="K583" i="20" s="1"/>
  <c r="BZ481" i="20"/>
  <c r="CA481" i="20" s="1"/>
  <c r="K582" i="20" s="1"/>
  <c r="BZ480" i="20"/>
  <c r="CA480" i="20" s="1"/>
  <c r="BZ466" i="20"/>
  <c r="K579" i="20" s="1"/>
  <c r="N635" i="20" s="1"/>
  <c r="BZ465" i="20"/>
  <c r="K577" i="20" s="1"/>
  <c r="BZ464" i="20"/>
  <c r="K576" i="20" s="1"/>
  <c r="N611" i="20" s="1"/>
  <c r="BZ463" i="20"/>
  <c r="K575" i="20" s="1"/>
  <c r="N623" i="20" s="1"/>
  <c r="BZ460" i="20"/>
  <c r="K574" i="20" s="1"/>
  <c r="BZ459" i="20"/>
  <c r="K573" i="20" s="1"/>
  <c r="BZ458" i="20"/>
  <c r="BZ455" i="20"/>
  <c r="K570" i="20" s="1"/>
  <c r="N634" i="20" s="1"/>
  <c r="BZ454" i="20"/>
  <c r="K568" i="20" s="1"/>
  <c r="BZ453" i="20"/>
  <c r="K567" i="20" s="1"/>
  <c r="N610" i="20" s="1"/>
  <c r="BZ452" i="20"/>
  <c r="K566" i="20" s="1"/>
  <c r="N622" i="20" s="1"/>
  <c r="BZ448" i="20"/>
  <c r="K565" i="20" s="1"/>
  <c r="BZ447" i="20"/>
  <c r="K564" i="20" s="1"/>
  <c r="BZ446" i="20"/>
  <c r="BZ443" i="20"/>
  <c r="K560" i="20" s="1"/>
  <c r="BZ442" i="20"/>
  <c r="K559" i="20" s="1"/>
  <c r="BZ441" i="20"/>
  <c r="K558" i="20" s="1"/>
  <c r="BZ437" i="20"/>
  <c r="K557" i="20" s="1"/>
  <c r="BZ436" i="20"/>
  <c r="K556" i="20" s="1"/>
  <c r="BZ435" i="20"/>
  <c r="BZ432" i="20"/>
  <c r="BZ431" i="20"/>
  <c r="BZ430" i="20"/>
  <c r="BZ429" i="20"/>
  <c r="BZ425" i="20"/>
  <c r="BZ424" i="20"/>
  <c r="BZ423" i="20"/>
  <c r="CA423" i="20" s="1"/>
  <c r="BZ420" i="20"/>
  <c r="K544" i="20" s="1"/>
  <c r="N631" i="20" s="1"/>
  <c r="BZ419" i="20"/>
  <c r="K542" i="20" s="1"/>
  <c r="BZ418" i="20"/>
  <c r="K541" i="20" s="1"/>
  <c r="N607" i="20" s="1"/>
  <c r="BZ417" i="20"/>
  <c r="K540" i="20" s="1"/>
  <c r="N619" i="20" s="1"/>
  <c r="BZ414" i="20"/>
  <c r="K539" i="20" s="1"/>
  <c r="BZ413" i="20"/>
  <c r="K538" i="20" s="1"/>
  <c r="BZ412" i="20"/>
  <c r="K590" i="20"/>
  <c r="K596" i="20" l="1"/>
  <c r="K591" i="20"/>
  <c r="K592" i="20"/>
  <c r="N621" i="20"/>
  <c r="K594" i="20"/>
  <c r="N609" i="20"/>
  <c r="K595" i="20"/>
  <c r="E1063" i="20"/>
  <c r="D1088" i="20"/>
  <c r="E1090" i="20"/>
  <c r="E1089" i="20"/>
  <c r="BQ97" i="20"/>
  <c r="BU97" i="20"/>
  <c r="E988" i="20"/>
  <c r="E1021" i="20" s="1"/>
  <c r="E1018" i="20"/>
  <c r="E1025" i="20" s="1"/>
  <c r="U358" i="20"/>
  <c r="U368" i="20" s="1"/>
  <c r="U387" i="20" s="1"/>
  <c r="T286" i="20"/>
  <c r="T346" i="20"/>
  <c r="W168" i="12"/>
  <c r="BN10" i="20"/>
  <c r="T109" i="20"/>
  <c r="BT109" i="20" s="1"/>
  <c r="BQ91" i="20"/>
  <c r="T390" i="20"/>
  <c r="H1652" i="16" s="1"/>
  <c r="K587" i="20"/>
  <c r="K543" i="20"/>
  <c r="K561" i="20"/>
  <c r="K569" i="20"/>
  <c r="K578" i="20"/>
  <c r="T371" i="20"/>
  <c r="CA424" i="20"/>
  <c r="K547" i="20" s="1"/>
  <c r="CA431" i="20"/>
  <c r="K551" i="20" s="1"/>
  <c r="CA430" i="20"/>
  <c r="K550" i="20" s="1"/>
  <c r="CA425" i="20"/>
  <c r="K548" i="20" s="1"/>
  <c r="CA432" i="20"/>
  <c r="K553" i="20" s="1"/>
  <c r="CA483" i="20"/>
  <c r="CA429" i="20"/>
  <c r="K549" i="20" s="1"/>
  <c r="K597" i="20" l="1"/>
  <c r="K599" i="20"/>
  <c r="N632" i="20"/>
  <c r="N637" i="20" s="1"/>
  <c r="N620" i="20"/>
  <c r="N625" i="20" s="1"/>
  <c r="N608" i="20"/>
  <c r="N613" i="20" s="1"/>
  <c r="E1055" i="20"/>
  <c r="U371" i="20"/>
  <c r="BQ106" i="20"/>
  <c r="T107" i="20"/>
  <c r="K552" i="20"/>
  <c r="AT949" i="16"/>
  <c r="AT948" i="16"/>
  <c r="AT947" i="16"/>
  <c r="AT944" i="16"/>
  <c r="AT943" i="16"/>
  <c r="AT942" i="16"/>
  <c r="AT941" i="16"/>
  <c r="AT936" i="16"/>
  <c r="AT935" i="16"/>
  <c r="AT934" i="16"/>
  <c r="AT933" i="16"/>
  <c r="AT932" i="16"/>
  <c r="AT931" i="16"/>
  <c r="AT928" i="16"/>
  <c r="AZ927" i="16"/>
  <c r="AT927" i="16"/>
  <c r="AZ926" i="16"/>
  <c r="AT926" i="16"/>
  <c r="AZ925" i="16"/>
  <c r="AT925" i="16"/>
  <c r="AZ924" i="16"/>
  <c r="AT924" i="16"/>
  <c r="AZ923" i="16"/>
  <c r="AT923" i="16"/>
  <c r="AZ920" i="16"/>
  <c r="AT920" i="16"/>
  <c r="AZ919" i="16"/>
  <c r="AT919" i="16"/>
  <c r="AZ918" i="16"/>
  <c r="AT918" i="16"/>
  <c r="AZ917" i="16"/>
  <c r="AT917" i="16"/>
  <c r="AZ914" i="16"/>
  <c r="AT914" i="16"/>
  <c r="AZ913" i="16"/>
  <c r="AT913" i="16"/>
  <c r="AZ912" i="16"/>
  <c r="AT912" i="16"/>
  <c r="AZ911" i="16"/>
  <c r="AT911" i="16"/>
  <c r="AZ910" i="16"/>
  <c r="AT910" i="16"/>
  <c r="AZ909" i="16"/>
  <c r="AT909" i="16"/>
  <c r="AZ908" i="16"/>
  <c r="AT908" i="16"/>
  <c r="AZ907" i="16"/>
  <c r="AT907" i="16"/>
  <c r="AZ906" i="16"/>
  <c r="AT906" i="16"/>
  <c r="AZ905" i="16"/>
  <c r="AT905" i="16"/>
  <c r="AZ900" i="16"/>
  <c r="AT900" i="16"/>
  <c r="AZ899" i="16"/>
  <c r="AT899" i="16"/>
  <c r="AZ898" i="16"/>
  <c r="AT898" i="16"/>
  <c r="AZ897" i="16"/>
  <c r="AT897" i="16"/>
  <c r="AZ894" i="16"/>
  <c r="AT894" i="16"/>
  <c r="AZ893" i="16"/>
  <c r="AT893" i="16"/>
  <c r="AZ892" i="16"/>
  <c r="AT892" i="16"/>
  <c r="AZ891" i="16"/>
  <c r="AT891" i="16"/>
  <c r="AZ888" i="16"/>
  <c r="AT888" i="16"/>
  <c r="AZ887" i="16"/>
  <c r="AT887" i="16"/>
  <c r="AZ886" i="16"/>
  <c r="AT886" i="16"/>
  <c r="AZ885" i="16"/>
  <c r="AT885" i="16"/>
  <c r="AZ882" i="16"/>
  <c r="AT882" i="16"/>
  <c r="AZ881" i="16"/>
  <c r="AT881" i="16"/>
  <c r="AZ880" i="16"/>
  <c r="AT880" i="16"/>
  <c r="AZ879" i="16"/>
  <c r="AT879" i="16"/>
  <c r="AZ878" i="16"/>
  <c r="AT878" i="16"/>
  <c r="K601" i="20" l="1"/>
  <c r="V235" i="12" l="1"/>
  <c r="BJ115" i="20"/>
  <c r="BJ114" i="20"/>
  <c r="BJ113" i="20"/>
  <c r="BJ112" i="20"/>
  <c r="BJ111" i="20"/>
  <c r="BJ110" i="20"/>
  <c r="S117" i="20"/>
  <c r="E973" i="20"/>
  <c r="D973" i="20"/>
  <c r="E970" i="20"/>
  <c r="D970" i="20"/>
  <c r="E969" i="20"/>
  <c r="D969" i="20"/>
  <c r="E968" i="20"/>
  <c r="D968" i="20"/>
  <c r="C971" i="20"/>
  <c r="C970" i="20"/>
  <c r="C968" i="20"/>
  <c r="B970" i="20"/>
  <c r="B969" i="20"/>
  <c r="B968" i="20"/>
  <c r="E964" i="20"/>
  <c r="D964" i="20"/>
  <c r="E961" i="20"/>
  <c r="D961" i="20"/>
  <c r="C964" i="20"/>
  <c r="C963" i="20"/>
  <c r="C962" i="20"/>
  <c r="O17" i="20"/>
  <c r="O106" i="20" s="1"/>
  <c r="O8" i="20"/>
  <c r="O10" i="20" s="1"/>
  <c r="C954" i="20"/>
  <c r="F952" i="20"/>
  <c r="E952" i="20"/>
  <c r="D952" i="20"/>
  <c r="C952" i="20"/>
  <c r="E951" i="20"/>
  <c r="D951" i="20"/>
  <c r="C951" i="20"/>
  <c r="E950" i="20"/>
  <c r="D950" i="20"/>
  <c r="C950" i="20"/>
  <c r="F949" i="20"/>
  <c r="E949" i="20"/>
  <c r="D949" i="20"/>
  <c r="C949" i="20"/>
  <c r="F948" i="20"/>
  <c r="E948" i="20"/>
  <c r="D948" i="20"/>
  <c r="F947" i="20"/>
  <c r="E947" i="20"/>
  <c r="D947" i="20"/>
  <c r="F946" i="20"/>
  <c r="E946" i="20"/>
  <c r="D946" i="20"/>
  <c r="C946" i="20"/>
  <c r="C945" i="20"/>
  <c r="E944" i="20"/>
  <c r="D944" i="20"/>
  <c r="C944" i="20"/>
  <c r="F943" i="20"/>
  <c r="C943" i="20"/>
  <c r="C942" i="20"/>
  <c r="B953" i="20"/>
  <c r="B952" i="20"/>
  <c r="B951" i="20"/>
  <c r="B950" i="20"/>
  <c r="B949" i="20"/>
  <c r="B948" i="20"/>
  <c r="B947" i="20"/>
  <c r="B946" i="20"/>
  <c r="B945" i="20"/>
  <c r="B944" i="20"/>
  <c r="B943" i="20"/>
  <c r="B914" i="20"/>
  <c r="K905" i="20"/>
  <c r="J905" i="20"/>
  <c r="I905" i="20"/>
  <c r="H905" i="20"/>
  <c r="G905" i="20"/>
  <c r="F905" i="20"/>
  <c r="E905" i="20"/>
  <c r="D905" i="20"/>
  <c r="K904" i="20"/>
  <c r="J904" i="20"/>
  <c r="I904" i="20"/>
  <c r="H904" i="20"/>
  <c r="G904" i="20"/>
  <c r="F904" i="20"/>
  <c r="E904" i="20"/>
  <c r="D904" i="20"/>
  <c r="K903" i="20"/>
  <c r="J903" i="20"/>
  <c r="I903" i="20"/>
  <c r="H903" i="20"/>
  <c r="G903" i="20"/>
  <c r="F903" i="20"/>
  <c r="E903" i="20"/>
  <c r="D903" i="20"/>
  <c r="K902" i="20"/>
  <c r="J902" i="20"/>
  <c r="I902" i="20"/>
  <c r="H902" i="20"/>
  <c r="G902" i="20"/>
  <c r="F902" i="20"/>
  <c r="E902" i="20"/>
  <c r="D902" i="20"/>
  <c r="K901" i="20"/>
  <c r="J901" i="20"/>
  <c r="I901" i="20"/>
  <c r="H901" i="20"/>
  <c r="G901" i="20"/>
  <c r="F901" i="20"/>
  <c r="E901" i="20"/>
  <c r="D901" i="20"/>
  <c r="C905" i="20"/>
  <c r="C904" i="20"/>
  <c r="C903" i="20"/>
  <c r="C902" i="20"/>
  <c r="C901" i="20"/>
  <c r="K900" i="20"/>
  <c r="J900" i="20"/>
  <c r="I900" i="20"/>
  <c r="H900" i="20"/>
  <c r="G900" i="20"/>
  <c r="F900" i="20"/>
  <c r="E900" i="20"/>
  <c r="D900" i="20"/>
  <c r="C900" i="20"/>
  <c r="B905" i="20"/>
  <c r="B929" i="20" s="1"/>
  <c r="B904" i="20"/>
  <c r="B903" i="20"/>
  <c r="B919" i="20" s="1"/>
  <c r="B935" i="20" s="1"/>
  <c r="B902" i="20"/>
  <c r="B901" i="20"/>
  <c r="B909" i="20" s="1"/>
  <c r="U407" i="12"/>
  <c r="G1448" i="16"/>
  <c r="F1448" i="16"/>
  <c r="C1448" i="16"/>
  <c r="C1453" i="16" s="1"/>
  <c r="D1452" i="16"/>
  <c r="E1452" i="16" s="1"/>
  <c r="F1452" i="16" s="1"/>
  <c r="K1444" i="16"/>
  <c r="G1444" i="16"/>
  <c r="F1444" i="16"/>
  <c r="E1444" i="16"/>
  <c r="D1444" i="16"/>
  <c r="C1444" i="16"/>
  <c r="G1443" i="16"/>
  <c r="F1443" i="16"/>
  <c r="E1443" i="16"/>
  <c r="D1443" i="16"/>
  <c r="C1443" i="16"/>
  <c r="V423" i="12"/>
  <c r="V401" i="12"/>
  <c r="R401" i="12"/>
  <c r="I1473" i="16"/>
  <c r="H1473" i="16"/>
  <c r="G1473" i="16"/>
  <c r="D1463" i="16"/>
  <c r="E1463" i="16" s="1"/>
  <c r="B1473" i="16"/>
  <c r="B1479" i="16" s="1"/>
  <c r="B1472" i="16"/>
  <c r="B1478" i="16" s="1"/>
  <c r="B1471" i="16"/>
  <c r="B1477" i="16" s="1"/>
  <c r="B1470" i="16"/>
  <c r="B1476" i="16" s="1"/>
  <c r="L1435" i="16"/>
  <c r="D1435" i="16"/>
  <c r="E1435" i="16" s="1"/>
  <c r="K1437" i="16"/>
  <c r="L1437" i="16" s="1"/>
  <c r="M1437" i="16" s="1"/>
  <c r="N1437" i="16" s="1"/>
  <c r="O1437" i="16" s="1"/>
  <c r="G1437" i="16"/>
  <c r="D1437" i="16"/>
  <c r="C1437" i="16"/>
  <c r="D1440" i="16"/>
  <c r="E1440" i="16" s="1"/>
  <c r="T389" i="12"/>
  <c r="B1616" i="8"/>
  <c r="Q145" i="20"/>
  <c r="P145" i="20"/>
  <c r="M145" i="20"/>
  <c r="L145" i="20"/>
  <c r="Q143" i="20"/>
  <c r="P143" i="20"/>
  <c r="M143" i="20"/>
  <c r="L143" i="20"/>
  <c r="Q142" i="20"/>
  <c r="P142" i="20"/>
  <c r="M142" i="20"/>
  <c r="L142" i="20"/>
  <c r="Q141" i="20"/>
  <c r="P141" i="20"/>
  <c r="M141" i="20"/>
  <c r="L141" i="20"/>
  <c r="O362" i="12"/>
  <c r="L144" i="20" s="1"/>
  <c r="O357" i="12"/>
  <c r="O359" i="12" s="1"/>
  <c r="N366" i="12"/>
  <c r="N361" i="12"/>
  <c r="N360" i="12"/>
  <c r="Q360" i="12" s="1"/>
  <c r="N358" i="12"/>
  <c r="Q358" i="12" s="1"/>
  <c r="N356" i="12"/>
  <c r="N355" i="12"/>
  <c r="N354" i="12"/>
  <c r="Q354" i="12" s="1"/>
  <c r="Q377" i="12" s="1"/>
  <c r="R366" i="12"/>
  <c r="U366" i="12" s="1"/>
  <c r="R145" i="20" s="1"/>
  <c r="S362" i="12"/>
  <c r="P144" i="20" s="1"/>
  <c r="R361" i="12"/>
  <c r="R360" i="12"/>
  <c r="U360" i="12" s="1"/>
  <c r="R358" i="12"/>
  <c r="U358" i="12" s="1"/>
  <c r="S357" i="12"/>
  <c r="S359" i="12" s="1"/>
  <c r="R356" i="12"/>
  <c r="R355" i="12"/>
  <c r="R354" i="12"/>
  <c r="P362" i="12"/>
  <c r="M144" i="20" s="1"/>
  <c r="P357" i="12"/>
  <c r="P359" i="12" s="1"/>
  <c r="T362" i="12"/>
  <c r="Q144" i="20" s="1"/>
  <c r="T357" i="12"/>
  <c r="T359" i="12" s="1"/>
  <c r="O105" i="20"/>
  <c r="O101" i="20"/>
  <c r="O95" i="20"/>
  <c r="Q76" i="20"/>
  <c r="O76" i="20"/>
  <c r="S105" i="20"/>
  <c r="S101" i="20"/>
  <c r="BT101" i="20" s="1"/>
  <c r="S95" i="20"/>
  <c r="G1433" i="16"/>
  <c r="F1433" i="16"/>
  <c r="G1432" i="16"/>
  <c r="C1432" i="16"/>
  <c r="G1426" i="16"/>
  <c r="T339" i="12"/>
  <c r="F1423" i="16"/>
  <c r="F1426" i="16" s="1"/>
  <c r="G1430" i="16"/>
  <c r="G1420" i="16"/>
  <c r="G1436" i="16" s="1"/>
  <c r="G1419" i="16"/>
  <c r="U423" i="12"/>
  <c r="V404" i="12"/>
  <c r="V405" i="12" s="1"/>
  <c r="K1443" i="16"/>
  <c r="V414" i="12"/>
  <c r="W414" i="12" s="1"/>
  <c r="V420" i="12"/>
  <c r="K1433" i="16"/>
  <c r="S398" i="12"/>
  <c r="S399" i="12"/>
  <c r="F945" i="20"/>
  <c r="D943" i="20"/>
  <c r="S22" i="20"/>
  <c r="S19" i="20"/>
  <c r="C957" i="20" s="1"/>
  <c r="S18" i="20"/>
  <c r="C956" i="20" s="1"/>
  <c r="U420" i="12"/>
  <c r="U416" i="12"/>
  <c r="U417" i="12" s="1"/>
  <c r="U418" i="12" s="1"/>
  <c r="V416" i="12"/>
  <c r="V375" i="12"/>
  <c r="G1428" i="16" s="1"/>
  <c r="S339" i="12"/>
  <c r="R339" i="12"/>
  <c r="C1423" i="16" s="1"/>
  <c r="C1424" i="16" s="1"/>
  <c r="C1426" i="16" s="1"/>
  <c r="BL313" i="20"/>
  <c r="BM313" i="20"/>
  <c r="BL320" i="20"/>
  <c r="BL321" i="20" s="1"/>
  <c r="BL327" i="20" s="1"/>
  <c r="BM320" i="20"/>
  <c r="BM321" i="20" s="1"/>
  <c r="BM323" i="20"/>
  <c r="N323" i="20" s="1"/>
  <c r="N326" i="20" s="1"/>
  <c r="F964" i="20"/>
  <c r="V376" i="12"/>
  <c r="U376" i="12"/>
  <c r="T376" i="12"/>
  <c r="S376" i="12"/>
  <c r="S75" i="20"/>
  <c r="S76" i="20" s="1"/>
  <c r="BM9" i="20"/>
  <c r="BM14" i="20"/>
  <c r="BM13" i="20"/>
  <c r="BM12" i="20"/>
  <c r="BM5" i="20"/>
  <c r="BM4" i="20"/>
  <c r="BL13" i="20"/>
  <c r="BL12" i="20"/>
  <c r="BL11" i="20"/>
  <c r="BL8" i="20"/>
  <c r="BL5" i="20"/>
  <c r="BL4" i="20"/>
  <c r="BK14" i="20"/>
  <c r="BK13" i="20"/>
  <c r="BK12" i="20"/>
  <c r="BK11" i="20"/>
  <c r="BK8" i="20"/>
  <c r="BK5" i="20"/>
  <c r="BK4" i="20"/>
  <c r="BJ5" i="20"/>
  <c r="BJ4" i="20"/>
  <c r="S10" i="20"/>
  <c r="BQ10" i="20" s="1"/>
  <c r="S345" i="20"/>
  <c r="S333" i="20"/>
  <c r="D1511" i="8"/>
  <c r="D1513" i="8" s="1"/>
  <c r="S393" i="20"/>
  <c r="BX488" i="20"/>
  <c r="J588" i="20" s="1"/>
  <c r="BX487" i="20"/>
  <c r="J586" i="20" s="1"/>
  <c r="BX486" i="20"/>
  <c r="J585" i="20" s="1"/>
  <c r="BX485" i="20"/>
  <c r="J584" i="20" s="1"/>
  <c r="BX482" i="20"/>
  <c r="J583" i="20" s="1"/>
  <c r="BX481" i="20"/>
  <c r="J582" i="20" s="1"/>
  <c r="BX480" i="20"/>
  <c r="BX466" i="20"/>
  <c r="J579" i="20" s="1"/>
  <c r="BX465" i="20"/>
  <c r="J577" i="20" s="1"/>
  <c r="BX464" i="20"/>
  <c r="J576" i="20" s="1"/>
  <c r="BX463" i="20"/>
  <c r="J575" i="20" s="1"/>
  <c r="BX460" i="20"/>
  <c r="J574" i="20" s="1"/>
  <c r="BX459" i="20"/>
  <c r="J573" i="20" s="1"/>
  <c r="BX458" i="20"/>
  <c r="BX455" i="20"/>
  <c r="J570" i="20" s="1"/>
  <c r="BX454" i="20"/>
  <c r="J568" i="20" s="1"/>
  <c r="BX453" i="20"/>
  <c r="J567" i="20" s="1"/>
  <c r="BX452" i="20"/>
  <c r="J566" i="20" s="1"/>
  <c r="BX448" i="20"/>
  <c r="J565" i="20" s="1"/>
  <c r="BX447" i="20"/>
  <c r="J564" i="20" s="1"/>
  <c r="BX446" i="20"/>
  <c r="BX443" i="20"/>
  <c r="J560" i="20" s="1"/>
  <c r="BX442" i="20"/>
  <c r="J559" i="20" s="1"/>
  <c r="BX441" i="20"/>
  <c r="J558" i="20" s="1"/>
  <c r="BX437" i="20"/>
  <c r="J557" i="20" s="1"/>
  <c r="BX436" i="20"/>
  <c r="J556" i="20" s="1"/>
  <c r="BX435" i="20"/>
  <c r="BX432" i="20"/>
  <c r="J553" i="20" s="1"/>
  <c r="BX431" i="20"/>
  <c r="J551" i="20" s="1"/>
  <c r="BX430" i="20"/>
  <c r="J550" i="20" s="1"/>
  <c r="BX429" i="20"/>
  <c r="J549" i="20" s="1"/>
  <c r="BX425" i="20"/>
  <c r="J548" i="20" s="1"/>
  <c r="BX424" i="20"/>
  <c r="J547" i="20" s="1"/>
  <c r="BX423" i="20"/>
  <c r="BX420" i="20"/>
  <c r="J544" i="20" s="1"/>
  <c r="BX419" i="20"/>
  <c r="J542" i="20" s="1"/>
  <c r="BX418" i="20"/>
  <c r="J541" i="20" s="1"/>
  <c r="BX417" i="20"/>
  <c r="J540" i="20" s="1"/>
  <c r="BX414" i="20"/>
  <c r="J539" i="20" s="1"/>
  <c r="BX413" i="20"/>
  <c r="J538" i="20" s="1"/>
  <c r="BX412" i="20"/>
  <c r="K498" i="20"/>
  <c r="K497" i="20"/>
  <c r="K496" i="20"/>
  <c r="K495" i="20"/>
  <c r="K493" i="20"/>
  <c r="K504" i="20" s="1"/>
  <c r="L505" i="20" s="1"/>
  <c r="K492" i="20"/>
  <c r="K491" i="20"/>
  <c r="K500" i="20" s="1"/>
  <c r="K483" i="20"/>
  <c r="K461" i="20"/>
  <c r="BZ461" i="20" s="1"/>
  <c r="K450" i="20"/>
  <c r="BZ450" i="20" s="1"/>
  <c r="K449" i="20"/>
  <c r="K439" i="20"/>
  <c r="BZ439" i="20" s="1"/>
  <c r="K438" i="20"/>
  <c r="K427" i="20"/>
  <c r="BZ427" i="20" s="1"/>
  <c r="CA427" i="20" s="1"/>
  <c r="K426" i="20"/>
  <c r="K415" i="20"/>
  <c r="U338" i="12"/>
  <c r="V338" i="12"/>
  <c r="V244" i="12"/>
  <c r="J514" i="20" s="1"/>
  <c r="V243" i="12"/>
  <c r="J512" i="20" s="1"/>
  <c r="V242" i="12"/>
  <c r="J511" i="20" s="1"/>
  <c r="V241" i="12"/>
  <c r="J510" i="20" s="1"/>
  <c r="V240" i="12"/>
  <c r="J509" i="20" s="1"/>
  <c r="V239" i="12"/>
  <c r="J508" i="20" s="1"/>
  <c r="V238" i="12"/>
  <c r="E1812" i="8" s="1"/>
  <c r="V231" i="12"/>
  <c r="V232" i="12" s="1"/>
  <c r="S347" i="20"/>
  <c r="V266" i="12"/>
  <c r="V272" i="12"/>
  <c r="V383" i="12"/>
  <c r="V381" i="12"/>
  <c r="S232" i="20"/>
  <c r="F1420" i="16"/>
  <c r="F1419" i="16"/>
  <c r="I810" i="20"/>
  <c r="I808" i="20"/>
  <c r="I807" i="20"/>
  <c r="I805" i="20"/>
  <c r="J590" i="20"/>
  <c r="U381" i="12"/>
  <c r="V322" i="12"/>
  <c r="V167" i="12"/>
  <c r="V166" i="12"/>
  <c r="V223" i="12"/>
  <c r="V246" i="12" s="1"/>
  <c r="S284" i="20"/>
  <c r="S331" i="20" s="1"/>
  <c r="S211" i="20"/>
  <c r="S216" i="20" s="1"/>
  <c r="C2732" i="16" s="1"/>
  <c r="S208" i="20"/>
  <c r="S68" i="20"/>
  <c r="Q113" i="20"/>
  <c r="P113" i="20"/>
  <c r="M113" i="20"/>
  <c r="L113" i="20"/>
  <c r="O114" i="20"/>
  <c r="R129" i="20"/>
  <c r="Q129" i="20"/>
  <c r="Q136" i="20" s="1"/>
  <c r="Q126" i="20"/>
  <c r="BO126" i="20" s="1"/>
  <c r="Q125" i="20"/>
  <c r="BO125" i="20" s="1"/>
  <c r="Q124" i="20"/>
  <c r="BO124" i="20" s="1"/>
  <c r="BQ116" i="20"/>
  <c r="BQ112" i="20"/>
  <c r="BQ111" i="20"/>
  <c r="BQ110" i="20"/>
  <c r="C1583" i="16"/>
  <c r="C1582" i="16"/>
  <c r="C1579" i="16"/>
  <c r="J1041" i="16"/>
  <c r="I1041" i="16"/>
  <c r="H1041" i="16"/>
  <c r="G1041" i="16"/>
  <c r="F1041" i="16"/>
  <c r="D1041" i="16"/>
  <c r="C1041" i="16"/>
  <c r="B1041" i="16"/>
  <c r="J206" i="4"/>
  <c r="D1038" i="16" s="1"/>
  <c r="P207" i="4"/>
  <c r="J1039" i="16" s="1"/>
  <c r="O207" i="4"/>
  <c r="I1039" i="16" s="1"/>
  <c r="N207" i="4"/>
  <c r="H1039" i="16" s="1"/>
  <c r="G1039" i="16"/>
  <c r="L207" i="4"/>
  <c r="F1039" i="16" s="1"/>
  <c r="E1039" i="16"/>
  <c r="D1039" i="16"/>
  <c r="I364" i="4"/>
  <c r="I176" i="4" s="1"/>
  <c r="E1041" i="16"/>
  <c r="J1558" i="16"/>
  <c r="C1558" i="16"/>
  <c r="C1557" i="16"/>
  <c r="C1559" i="16"/>
  <c r="C1560" i="16"/>
  <c r="J1570" i="16"/>
  <c r="I1570" i="16"/>
  <c r="H1570" i="16"/>
  <c r="G1570" i="16"/>
  <c r="F1570" i="16"/>
  <c r="D1570" i="16"/>
  <c r="C1570" i="16"/>
  <c r="E1556" i="16"/>
  <c r="F1556" i="16" s="1"/>
  <c r="G1556" i="16" s="1"/>
  <c r="H1556" i="16" s="1"/>
  <c r="I1556" i="16" s="1"/>
  <c r="J1556" i="16" s="1"/>
  <c r="E1546" i="16"/>
  <c r="D1546" i="16"/>
  <c r="C1546" i="16"/>
  <c r="D1534" i="16"/>
  <c r="E1534" i="16" s="1"/>
  <c r="N423" i="4"/>
  <c r="O423" i="4" s="1"/>
  <c r="P423" i="4" s="1"/>
  <c r="Q423" i="4" s="1"/>
  <c r="R423" i="4" s="1"/>
  <c r="I470" i="4"/>
  <c r="E1410" i="8"/>
  <c r="D62" i="22"/>
  <c r="E62" i="22" s="1"/>
  <c r="F62" i="22" s="1"/>
  <c r="G62" i="22" s="1"/>
  <c r="H62" i="22" s="1"/>
  <c r="I62" i="22" s="1"/>
  <c r="J575" i="4"/>
  <c r="B118" i="4"/>
  <c r="C48" i="22"/>
  <c r="C37" i="22" s="1"/>
  <c r="C22" i="22"/>
  <c r="C18" i="22"/>
  <c r="D8" i="22"/>
  <c r="E8" i="22" s="1"/>
  <c r="C11" i="22"/>
  <c r="C12" i="22" s="1"/>
  <c r="D12" i="22" s="1"/>
  <c r="E6" i="22"/>
  <c r="B1512" i="16"/>
  <c r="B1511" i="16"/>
  <c r="AO899" i="16"/>
  <c r="AO898" i="16"/>
  <c r="AO897" i="16"/>
  <c r="AI899" i="16"/>
  <c r="AI898" i="16"/>
  <c r="AI897" i="16"/>
  <c r="I207" i="4"/>
  <c r="C1039" i="16" s="1"/>
  <c r="I508" i="4"/>
  <c r="I325" i="4" s="1"/>
  <c r="J326" i="4" s="1"/>
  <c r="H357" i="4"/>
  <c r="H170" i="4" s="1"/>
  <c r="H350" i="4"/>
  <c r="H159" i="4" s="1"/>
  <c r="I198" i="4"/>
  <c r="C1030" i="16" s="1"/>
  <c r="I384" i="4"/>
  <c r="I393" i="4" s="1"/>
  <c r="I286" i="4"/>
  <c r="I287" i="4" s="1"/>
  <c r="W221" i="4"/>
  <c r="I527" i="4"/>
  <c r="I309" i="4"/>
  <c r="W105" i="17" s="1"/>
  <c r="I356" i="4"/>
  <c r="I357" i="4"/>
  <c r="I170" i="4" s="1"/>
  <c r="I320" i="4"/>
  <c r="I322" i="4" s="1"/>
  <c r="P322" i="4" s="1"/>
  <c r="Q322" i="4" s="1"/>
  <c r="R322" i="4" s="1"/>
  <c r="S322" i="4" s="1"/>
  <c r="T322" i="4" s="1"/>
  <c r="U322" i="4" s="1"/>
  <c r="V322" i="4" s="1"/>
  <c r="I350" i="4"/>
  <c r="I159" i="4" s="1"/>
  <c r="I346" i="4"/>
  <c r="W21" i="20"/>
  <c r="R69" i="9"/>
  <c r="R66" i="9"/>
  <c r="R47" i="9"/>
  <c r="R42" i="9"/>
  <c r="R38" i="9"/>
  <c r="R141" i="9" s="1"/>
  <c r="R137" i="11" s="1"/>
  <c r="R36" i="9"/>
  <c r="R35" i="9"/>
  <c r="R34" i="9"/>
  <c r="R32" i="9"/>
  <c r="R6" i="9"/>
  <c r="R5" i="9"/>
  <c r="U244" i="12"/>
  <c r="I514" i="20" s="1"/>
  <c r="U243" i="12"/>
  <c r="I512" i="20" s="1"/>
  <c r="U242" i="12"/>
  <c r="I511" i="20" s="1"/>
  <c r="U241" i="12"/>
  <c r="I510" i="20" s="1"/>
  <c r="U240" i="12"/>
  <c r="I509" i="20" s="1"/>
  <c r="U239" i="12"/>
  <c r="I508" i="20" s="1"/>
  <c r="U238" i="12"/>
  <c r="U235" i="12"/>
  <c r="U231" i="12"/>
  <c r="U232" i="12" s="1"/>
  <c r="R4" i="9"/>
  <c r="W214" i="17" s="1"/>
  <c r="R56" i="9"/>
  <c r="R86" i="20"/>
  <c r="R75" i="20"/>
  <c r="R76" i="20" s="1"/>
  <c r="R73" i="20"/>
  <c r="L162" i="3" s="1"/>
  <c r="C754" i="16" s="1"/>
  <c r="R71" i="20"/>
  <c r="L121" i="3" s="1"/>
  <c r="R70" i="20"/>
  <c r="L20" i="3" s="1"/>
  <c r="R399" i="20"/>
  <c r="R393" i="20" s="1"/>
  <c r="F1493" i="16"/>
  <c r="G1508" i="16"/>
  <c r="F1508" i="16" s="1"/>
  <c r="F1512" i="16" s="1"/>
  <c r="F1513" i="16"/>
  <c r="G1513" i="16"/>
  <c r="H894" i="20"/>
  <c r="H892" i="20"/>
  <c r="B793" i="20"/>
  <c r="B787" i="20"/>
  <c r="B786" i="20"/>
  <c r="B785" i="20"/>
  <c r="R22" i="20"/>
  <c r="R19" i="20"/>
  <c r="R18" i="20"/>
  <c r="R368" i="20"/>
  <c r="H893" i="20" s="1"/>
  <c r="R313" i="20"/>
  <c r="J498" i="20"/>
  <c r="J497" i="20"/>
  <c r="J496" i="20"/>
  <c r="J495" i="20"/>
  <c r="J493" i="20"/>
  <c r="J504" i="20" s="1"/>
  <c r="J492" i="20"/>
  <c r="J491" i="20"/>
  <c r="J500" i="20" s="1"/>
  <c r="J483" i="20"/>
  <c r="J461" i="20"/>
  <c r="J450" i="20"/>
  <c r="J449" i="20"/>
  <c r="J439" i="20"/>
  <c r="J438" i="20"/>
  <c r="J427" i="20"/>
  <c r="J426" i="20"/>
  <c r="J415" i="20"/>
  <c r="R236" i="20"/>
  <c r="R209" i="20"/>
  <c r="D1328" i="8"/>
  <c r="F1323" i="8"/>
  <c r="F1324" i="8" s="1"/>
  <c r="C1320" i="8"/>
  <c r="T266" i="12"/>
  <c r="X267" i="12" s="1"/>
  <c r="K306" i="12"/>
  <c r="L306" i="12" s="1"/>
  <c r="L298" i="12" s="1"/>
  <c r="U266" i="12"/>
  <c r="Y267" i="12" s="1"/>
  <c r="U272" i="12"/>
  <c r="E1409" i="16"/>
  <c r="E1408" i="16"/>
  <c r="Q228" i="20"/>
  <c r="O228" i="20"/>
  <c r="P220" i="20"/>
  <c r="P228" i="20" s="1"/>
  <c r="U383" i="12"/>
  <c r="R242" i="20"/>
  <c r="R239" i="20"/>
  <c r="H810" i="20"/>
  <c r="H808" i="20"/>
  <c r="H807" i="20"/>
  <c r="H805" i="20"/>
  <c r="F810" i="20"/>
  <c r="E810" i="20" s="1"/>
  <c r="F808" i="20"/>
  <c r="F807" i="20"/>
  <c r="F805" i="20"/>
  <c r="D808" i="20"/>
  <c r="D807" i="20"/>
  <c r="C808" i="20"/>
  <c r="C807" i="20"/>
  <c r="C810" i="20"/>
  <c r="C805" i="20"/>
  <c r="U223" i="12"/>
  <c r="U246" i="12" s="1"/>
  <c r="CE246" i="12" s="1"/>
  <c r="U167" i="12"/>
  <c r="U166" i="12"/>
  <c r="U322" i="12"/>
  <c r="CE350" i="12" s="1"/>
  <c r="I590" i="20"/>
  <c r="BW488" i="20"/>
  <c r="I588" i="20" s="1"/>
  <c r="BW487" i="20"/>
  <c r="I586" i="20" s="1"/>
  <c r="BW486" i="20"/>
  <c r="I585" i="20" s="1"/>
  <c r="BW485" i="20"/>
  <c r="I584" i="20" s="1"/>
  <c r="BW482" i="20"/>
  <c r="I583" i="20" s="1"/>
  <c r="BW481" i="20"/>
  <c r="I582" i="20" s="1"/>
  <c r="BW480" i="20"/>
  <c r="BV466" i="20"/>
  <c r="I579" i="20" s="1"/>
  <c r="BV465" i="20"/>
  <c r="I577" i="20" s="1"/>
  <c r="BV464" i="20"/>
  <c r="I576" i="20" s="1"/>
  <c r="BV463" i="20"/>
  <c r="I575" i="20" s="1"/>
  <c r="BV460" i="20"/>
  <c r="I574" i="20" s="1"/>
  <c r="BV459" i="20"/>
  <c r="I573" i="20" s="1"/>
  <c r="BV458" i="20"/>
  <c r="BV455" i="20"/>
  <c r="I570" i="20" s="1"/>
  <c r="BV454" i="20"/>
  <c r="I568" i="20" s="1"/>
  <c r="BV453" i="20"/>
  <c r="I567" i="20" s="1"/>
  <c r="BV452" i="20"/>
  <c r="I566" i="20" s="1"/>
  <c r="BV448" i="20"/>
  <c r="I565" i="20" s="1"/>
  <c r="BV447" i="20"/>
  <c r="I564" i="20" s="1"/>
  <c r="BV446" i="20"/>
  <c r="BV443" i="20"/>
  <c r="I560" i="20" s="1"/>
  <c r="BV442" i="20"/>
  <c r="I559" i="20" s="1"/>
  <c r="BV441" i="20"/>
  <c r="I558" i="20" s="1"/>
  <c r="BV437" i="20"/>
  <c r="I557" i="20" s="1"/>
  <c r="BV436" i="20"/>
  <c r="I556" i="20" s="1"/>
  <c r="BV435" i="20"/>
  <c r="BV432" i="20"/>
  <c r="BW432" i="20" s="1"/>
  <c r="I553" i="20" s="1"/>
  <c r="BV431" i="20"/>
  <c r="BW431" i="20" s="1"/>
  <c r="I551" i="20" s="1"/>
  <c r="BV430" i="20"/>
  <c r="BW430" i="20" s="1"/>
  <c r="I550" i="20" s="1"/>
  <c r="BV429" i="20"/>
  <c r="BW429" i="20" s="1"/>
  <c r="I549" i="20" s="1"/>
  <c r="BV425" i="20"/>
  <c r="BW425" i="20" s="1"/>
  <c r="I548" i="20" s="1"/>
  <c r="BV424" i="20"/>
  <c r="BW424" i="20" s="1"/>
  <c r="I547" i="20" s="1"/>
  <c r="BV423" i="20"/>
  <c r="BW423" i="20" s="1"/>
  <c r="BV420" i="20"/>
  <c r="I544" i="20" s="1"/>
  <c r="BV419" i="20"/>
  <c r="I542" i="20" s="1"/>
  <c r="BV418" i="20"/>
  <c r="I541" i="20" s="1"/>
  <c r="BV417" i="20"/>
  <c r="I540" i="20" s="1"/>
  <c r="BV414" i="20"/>
  <c r="I539" i="20" s="1"/>
  <c r="BV413" i="20"/>
  <c r="I538" i="20" s="1"/>
  <c r="BV412" i="20"/>
  <c r="R347" i="20"/>
  <c r="R284" i="20"/>
  <c r="R331" i="20" s="1"/>
  <c r="H891" i="20" s="1"/>
  <c r="R208" i="20"/>
  <c r="R191" i="20"/>
  <c r="R68" i="20"/>
  <c r="I330" i="18"/>
  <c r="H330" i="18" s="1"/>
  <c r="G330" i="18" s="1"/>
  <c r="E330" i="18"/>
  <c r="D330" i="18" s="1"/>
  <c r="I331" i="18"/>
  <c r="H331" i="18" s="1"/>
  <c r="G331" i="18" s="1"/>
  <c r="E331" i="18"/>
  <c r="D331" i="18" s="1"/>
  <c r="E328" i="18"/>
  <c r="D328" i="18" s="1"/>
  <c r="I328" i="18"/>
  <c r="H328" i="18" s="1"/>
  <c r="G328" i="18" s="1"/>
  <c r="Y959" i="16"/>
  <c r="W957" i="16"/>
  <c r="X957" i="16" s="1"/>
  <c r="Y957" i="16"/>
  <c r="Y955" i="16"/>
  <c r="W955" i="16"/>
  <c r="X955" i="16" s="1"/>
  <c r="AD966" i="16"/>
  <c r="AD965" i="16"/>
  <c r="AD964" i="16"/>
  <c r="X963" i="16"/>
  <c r="S966" i="16"/>
  <c r="S965" i="16"/>
  <c r="S964" i="16"/>
  <c r="AD927" i="16"/>
  <c r="AD926" i="16"/>
  <c r="AD925" i="16"/>
  <c r="AD924" i="16"/>
  <c r="AD923" i="16"/>
  <c r="AD920" i="16"/>
  <c r="AD919" i="16"/>
  <c r="AD918" i="16"/>
  <c r="AD917" i="16"/>
  <c r="AD893" i="16"/>
  <c r="AD914" i="16"/>
  <c r="AD913" i="16"/>
  <c r="AD912" i="16"/>
  <c r="AD911" i="16"/>
  <c r="AD910" i="16"/>
  <c r="AD909" i="16"/>
  <c r="AD908" i="16"/>
  <c r="AD907" i="16"/>
  <c r="AD906" i="16"/>
  <c r="AD905" i="16"/>
  <c r="AD900" i="16"/>
  <c r="AD899" i="16"/>
  <c r="AD898" i="16"/>
  <c r="AD897" i="16"/>
  <c r="AD894" i="16"/>
  <c r="AD892" i="16"/>
  <c r="AD891" i="16"/>
  <c r="AD888" i="16"/>
  <c r="AD887" i="16"/>
  <c r="AD886" i="16"/>
  <c r="AD885" i="16"/>
  <c r="AD882" i="16"/>
  <c r="AD881" i="16"/>
  <c r="AD880" i="16"/>
  <c r="AD879" i="16"/>
  <c r="AD878" i="16"/>
  <c r="X928" i="16"/>
  <c r="X966" i="16"/>
  <c r="X965" i="16"/>
  <c r="X964" i="16"/>
  <c r="W959" i="16"/>
  <c r="X959" i="16" s="1"/>
  <c r="X958" i="16"/>
  <c r="X956" i="16"/>
  <c r="X954" i="16"/>
  <c r="X952" i="16"/>
  <c r="W952" i="16"/>
  <c r="X949" i="16"/>
  <c r="X948" i="16"/>
  <c r="X947" i="16"/>
  <c r="X944" i="16"/>
  <c r="X943" i="16"/>
  <c r="X942" i="16"/>
  <c r="X941" i="16"/>
  <c r="X936" i="16"/>
  <c r="X935" i="16"/>
  <c r="X934" i="16"/>
  <c r="X933" i="16"/>
  <c r="X932" i="16"/>
  <c r="X931" i="16"/>
  <c r="X927" i="16"/>
  <c r="X926" i="16"/>
  <c r="X925" i="16"/>
  <c r="X924" i="16"/>
  <c r="X923" i="16"/>
  <c r="X920" i="16"/>
  <c r="X919" i="16"/>
  <c r="X918" i="16"/>
  <c r="X917" i="16"/>
  <c r="X914" i="16"/>
  <c r="X913" i="16"/>
  <c r="X912" i="16"/>
  <c r="X911" i="16"/>
  <c r="X910" i="16"/>
  <c r="X909" i="16"/>
  <c r="X908" i="16"/>
  <c r="X907" i="16"/>
  <c r="X906" i="16"/>
  <c r="X905" i="16"/>
  <c r="X900" i="16"/>
  <c r="X899" i="16"/>
  <c r="X898" i="16"/>
  <c r="X897" i="16"/>
  <c r="X894" i="16"/>
  <c r="X893" i="16"/>
  <c r="X892" i="16"/>
  <c r="X891" i="16"/>
  <c r="X888" i="16"/>
  <c r="X887" i="16"/>
  <c r="X886" i="16"/>
  <c r="X885" i="16"/>
  <c r="X882" i="16"/>
  <c r="X881" i="16"/>
  <c r="X880" i="16"/>
  <c r="X879" i="16"/>
  <c r="X878" i="16"/>
  <c r="G1308" i="8"/>
  <c r="T420" i="12"/>
  <c r="T425" i="12" s="1"/>
  <c r="S420" i="12"/>
  <c r="S425" i="12" s="1"/>
  <c r="R420" i="12"/>
  <c r="S414" i="12"/>
  <c r="R414" i="12" s="1"/>
  <c r="R416" i="12"/>
  <c r="D1459" i="16"/>
  <c r="E1459" i="16" s="1"/>
  <c r="F1459" i="16" s="1"/>
  <c r="J1145" i="16"/>
  <c r="D1193" i="16" s="1"/>
  <c r="C1430" i="16"/>
  <c r="E1420" i="16"/>
  <c r="D1420" i="16"/>
  <c r="C1420" i="16"/>
  <c r="C1436" i="16" s="1"/>
  <c r="E1419" i="16"/>
  <c r="D1419" i="16"/>
  <c r="C1419" i="16"/>
  <c r="D588" i="20"/>
  <c r="D599" i="20" s="1"/>
  <c r="T175" i="10"/>
  <c r="E1156" i="16"/>
  <c r="E1154" i="16"/>
  <c r="E1153" i="16"/>
  <c r="E1152" i="16"/>
  <c r="E1151" i="16"/>
  <c r="E1150" i="16"/>
  <c r="CD366" i="12"/>
  <c r="CD356" i="12"/>
  <c r="CD355" i="12"/>
  <c r="CD354" i="12"/>
  <c r="CD351" i="12"/>
  <c r="T272" i="12"/>
  <c r="B1392" i="16"/>
  <c r="B1393" i="16"/>
  <c r="F1393" i="16"/>
  <c r="O116" i="20"/>
  <c r="O112" i="20"/>
  <c r="O111" i="20"/>
  <c r="O110" i="20"/>
  <c r="K116" i="20"/>
  <c r="K112" i="20"/>
  <c r="K111" i="20"/>
  <c r="K110" i="20"/>
  <c r="BP116" i="20"/>
  <c r="Q399" i="20"/>
  <c r="Q393" i="20" s="1"/>
  <c r="Q392" i="20" s="1"/>
  <c r="Q320" i="20"/>
  <c r="F1414" i="16"/>
  <c r="D1409" i="16"/>
  <c r="D1408" i="16"/>
  <c r="C1409" i="16"/>
  <c r="C1408" i="16"/>
  <c r="B1405" i="16"/>
  <c r="B1409" i="16" s="1"/>
  <c r="B1404" i="16"/>
  <c r="B1408" i="16" s="1"/>
  <c r="Q86" i="20"/>
  <c r="Q74" i="20"/>
  <c r="E1155" i="16" s="1"/>
  <c r="Q333" i="20"/>
  <c r="Q314" i="20"/>
  <c r="Q364" i="20"/>
  <c r="T244" i="12"/>
  <c r="T243" i="12"/>
  <c r="T242" i="12"/>
  <c r="T241" i="12"/>
  <c r="T240" i="12"/>
  <c r="T239" i="12"/>
  <c r="T238" i="12"/>
  <c r="T235" i="12"/>
  <c r="T231" i="12"/>
  <c r="T232" i="12" s="1"/>
  <c r="T347" i="12"/>
  <c r="T346" i="12"/>
  <c r="T345" i="12"/>
  <c r="T344" i="12"/>
  <c r="T343" i="12"/>
  <c r="T338" i="12"/>
  <c r="H590" i="20"/>
  <c r="BU488" i="20"/>
  <c r="H588" i="20" s="1"/>
  <c r="BU487" i="20"/>
  <c r="H586" i="20" s="1"/>
  <c r="BU486" i="20"/>
  <c r="H585" i="20" s="1"/>
  <c r="BU485" i="20"/>
  <c r="H584" i="20" s="1"/>
  <c r="BU482" i="20"/>
  <c r="H583" i="20" s="1"/>
  <c r="BU481" i="20"/>
  <c r="H582" i="20" s="1"/>
  <c r="BU480" i="20"/>
  <c r="BO466" i="20"/>
  <c r="H579" i="20" s="1"/>
  <c r="BO465" i="20"/>
  <c r="H577" i="20" s="1"/>
  <c r="BO464" i="20"/>
  <c r="H576" i="20" s="1"/>
  <c r="BO463" i="20"/>
  <c r="H575" i="20" s="1"/>
  <c r="BO460" i="20"/>
  <c r="H574" i="20" s="1"/>
  <c r="BO459" i="20"/>
  <c r="H573" i="20" s="1"/>
  <c r="BO458" i="20"/>
  <c r="BO455" i="20"/>
  <c r="H570" i="20" s="1"/>
  <c r="BO454" i="20"/>
  <c r="H568" i="20" s="1"/>
  <c r="BO453" i="20"/>
  <c r="H567" i="20" s="1"/>
  <c r="BO452" i="20"/>
  <c r="H566" i="20" s="1"/>
  <c r="BO448" i="20"/>
  <c r="H565" i="20" s="1"/>
  <c r="BO447" i="20"/>
  <c r="H564" i="20" s="1"/>
  <c r="BO446" i="20"/>
  <c r="BO443" i="20"/>
  <c r="H560" i="20" s="1"/>
  <c r="BO442" i="20"/>
  <c r="H559" i="20" s="1"/>
  <c r="BO441" i="20"/>
  <c r="H558" i="20" s="1"/>
  <c r="BO437" i="20"/>
  <c r="H557" i="20" s="1"/>
  <c r="BO436" i="20"/>
  <c r="H556" i="20" s="1"/>
  <c r="BO435" i="20"/>
  <c r="BO432" i="20"/>
  <c r="H553" i="20" s="1"/>
  <c r="BO431" i="20"/>
  <c r="H551" i="20" s="1"/>
  <c r="BO430" i="20"/>
  <c r="H550" i="20" s="1"/>
  <c r="BO429" i="20"/>
  <c r="H549" i="20" s="1"/>
  <c r="BO425" i="20"/>
  <c r="H548" i="20" s="1"/>
  <c r="BO424" i="20"/>
  <c r="H547" i="20" s="1"/>
  <c r="BO423" i="20"/>
  <c r="BO420" i="20"/>
  <c r="H544" i="20" s="1"/>
  <c r="BO419" i="20"/>
  <c r="H542" i="20" s="1"/>
  <c r="BO418" i="20"/>
  <c r="H541" i="20" s="1"/>
  <c r="BO417" i="20"/>
  <c r="H540" i="20" s="1"/>
  <c r="BO414" i="20"/>
  <c r="H539" i="20" s="1"/>
  <c r="BO413" i="20"/>
  <c r="H538" i="20" s="1"/>
  <c r="BO412" i="20"/>
  <c r="I498" i="20"/>
  <c r="I497" i="20"/>
  <c r="I496" i="20"/>
  <c r="I495" i="20"/>
  <c r="I493" i="20"/>
  <c r="I492" i="20"/>
  <c r="I491" i="20"/>
  <c r="I500" i="20" s="1"/>
  <c r="I483" i="20"/>
  <c r="F461" i="20"/>
  <c r="F462" i="20" s="1"/>
  <c r="G461" i="20"/>
  <c r="H461" i="20"/>
  <c r="H920" i="20" s="1"/>
  <c r="I461" i="20"/>
  <c r="I450" i="20"/>
  <c r="I451" i="20" s="1"/>
  <c r="I449" i="20"/>
  <c r="I439" i="20"/>
  <c r="I918" i="20" s="1"/>
  <c r="I438" i="20"/>
  <c r="I427" i="20"/>
  <c r="I426" i="20"/>
  <c r="I415" i="20"/>
  <c r="B808" i="20"/>
  <c r="Q211" i="20"/>
  <c r="Q18" i="20"/>
  <c r="Q19" i="20"/>
  <c r="Q22" i="20"/>
  <c r="E1159" i="16" s="1"/>
  <c r="Q191" i="20"/>
  <c r="Q349" i="20"/>
  <c r="Q347" i="20"/>
  <c r="Q345" i="20"/>
  <c r="Q288" i="20"/>
  <c r="Q284" i="20"/>
  <c r="Q331" i="20" s="1"/>
  <c r="Q208" i="20"/>
  <c r="P242" i="20"/>
  <c r="P239" i="20"/>
  <c r="Q242" i="20"/>
  <c r="Q239" i="20"/>
  <c r="P22" i="20"/>
  <c r="D1159" i="16" s="1"/>
  <c r="T383" i="12"/>
  <c r="E1131" i="16" s="1"/>
  <c r="T381" i="12"/>
  <c r="T322" i="12"/>
  <c r="CD350" i="12" s="1"/>
  <c r="T167" i="12"/>
  <c r="T166" i="12"/>
  <c r="T223" i="12"/>
  <c r="T246" i="12" s="1"/>
  <c r="CD246" i="12" s="1"/>
  <c r="Q68" i="20"/>
  <c r="E1124" i="16" s="1"/>
  <c r="E1133" i="16" s="1"/>
  <c r="D1015" i="12"/>
  <c r="F1826" i="16" s="1"/>
  <c r="D1014" i="12"/>
  <c r="F1825" i="16" s="1"/>
  <c r="D1009" i="12"/>
  <c r="G1001" i="12"/>
  <c r="G1000" i="12"/>
  <c r="G999" i="12"/>
  <c r="G1008" i="12"/>
  <c r="C1041" i="12"/>
  <c r="C1030" i="12"/>
  <c r="G1007" i="12" s="1"/>
  <c r="E1040" i="12"/>
  <c r="E1039" i="12"/>
  <c r="E1038" i="12"/>
  <c r="E1037" i="12"/>
  <c r="E1036" i="12"/>
  <c r="B1040" i="12"/>
  <c r="B1039" i="12"/>
  <c r="B1036" i="12"/>
  <c r="E1029" i="12"/>
  <c r="E1028" i="12"/>
  <c r="E1027" i="12"/>
  <c r="E1026" i="12"/>
  <c r="E1025" i="12"/>
  <c r="E1035" i="12"/>
  <c r="E1034" i="12"/>
  <c r="E1033" i="12"/>
  <c r="E1024" i="12"/>
  <c r="E1023" i="12"/>
  <c r="E1022" i="12"/>
  <c r="B1035" i="12"/>
  <c r="B1034" i="12"/>
  <c r="B1033" i="12"/>
  <c r="D1011" i="12"/>
  <c r="D1003" i="12"/>
  <c r="D1002" i="12"/>
  <c r="B1018" i="12"/>
  <c r="B1682" i="16" s="1"/>
  <c r="B1009" i="12"/>
  <c r="B1008" i="12"/>
  <c r="C1003" i="12"/>
  <c r="C1004" i="12" s="1"/>
  <c r="B1007" i="12"/>
  <c r="B1323" i="16"/>
  <c r="B1327" i="16" s="1"/>
  <c r="B1322" i="16"/>
  <c r="B1326" i="16" s="1"/>
  <c r="C1156" i="16"/>
  <c r="D1154" i="16"/>
  <c r="C1154" i="16"/>
  <c r="C1153" i="16"/>
  <c r="D1152" i="16"/>
  <c r="C1152" i="16"/>
  <c r="D1151" i="16"/>
  <c r="C1151" i="16"/>
  <c r="D1150" i="16"/>
  <c r="C1150" i="16"/>
  <c r="B1155" i="16"/>
  <c r="B1154" i="16"/>
  <c r="B1153" i="16"/>
  <c r="B1152" i="16"/>
  <c r="B1151" i="16"/>
  <c r="B1150" i="16"/>
  <c r="C1149" i="16"/>
  <c r="F1291" i="16"/>
  <c r="C1191" i="16"/>
  <c r="C1192" i="16" s="1"/>
  <c r="C1194" i="16" s="1"/>
  <c r="R411" i="12"/>
  <c r="C1449" i="16" s="1"/>
  <c r="S410" i="12"/>
  <c r="S416" i="12" s="1"/>
  <c r="S407" i="12"/>
  <c r="F1270" i="16"/>
  <c r="F1271" i="16" s="1"/>
  <c r="F1304" i="16"/>
  <c r="F1303" i="16"/>
  <c r="F1299" i="16"/>
  <c r="F1301" i="16" s="1"/>
  <c r="F1281" i="16"/>
  <c r="F1287" i="16" s="1"/>
  <c r="F1269" i="16"/>
  <c r="F1263" i="16"/>
  <c r="D1266" i="16"/>
  <c r="C1266" i="16"/>
  <c r="C1269" i="16" s="1"/>
  <c r="C1271" i="16"/>
  <c r="D1256" i="16"/>
  <c r="E1256" i="16" s="1"/>
  <c r="F1256" i="16" s="1"/>
  <c r="O349" i="20"/>
  <c r="G1134" i="16"/>
  <c r="G1136" i="16" s="1"/>
  <c r="H1134" i="16"/>
  <c r="H1136" i="16" s="1"/>
  <c r="I1134" i="16"/>
  <c r="I1136" i="16" s="1"/>
  <c r="I1131" i="16"/>
  <c r="H1131" i="16"/>
  <c r="G1131" i="16"/>
  <c r="F1253" i="16"/>
  <c r="C1254" i="16"/>
  <c r="F1248" i="16"/>
  <c r="F1249" i="16"/>
  <c r="F1245" i="16"/>
  <c r="F1244" i="16"/>
  <c r="F1252" i="16"/>
  <c r="F1251" i="16"/>
  <c r="F1250" i="16"/>
  <c r="F1247" i="16"/>
  <c r="F1246" i="16"/>
  <c r="F1243" i="16"/>
  <c r="B1237" i="16"/>
  <c r="C1237" i="16"/>
  <c r="B1239" i="16"/>
  <c r="B1238" i="16"/>
  <c r="C1236" i="16"/>
  <c r="B1236" i="16"/>
  <c r="C1235" i="16"/>
  <c r="B1235" i="16"/>
  <c r="C1234" i="16"/>
  <c r="B1234" i="16"/>
  <c r="C1233" i="16"/>
  <c r="B1233" i="16"/>
  <c r="C1232" i="16"/>
  <c r="B1232" i="16"/>
  <c r="B1231" i="16"/>
  <c r="C1230" i="16"/>
  <c r="B1230" i="16"/>
  <c r="C1229" i="16"/>
  <c r="B1229" i="16"/>
  <c r="B1209" i="16"/>
  <c r="B1216" i="16" s="1"/>
  <c r="B1211" i="16"/>
  <c r="B1218" i="16" s="1"/>
  <c r="B1210" i="16"/>
  <c r="B1217" i="16" s="1"/>
  <c r="B1208" i="16"/>
  <c r="B1215" i="16" s="1"/>
  <c r="B1207" i="16"/>
  <c r="B1214" i="16" s="1"/>
  <c r="D1198" i="16"/>
  <c r="E1198" i="16" s="1"/>
  <c r="F1198" i="16" s="1"/>
  <c r="D1161" i="16"/>
  <c r="E1161" i="16" s="1"/>
  <c r="F1161" i="16" s="1"/>
  <c r="G1161" i="16" s="1"/>
  <c r="H1161" i="16" s="1"/>
  <c r="I1161" i="16" s="1"/>
  <c r="C1173" i="16"/>
  <c r="C1170" i="16"/>
  <c r="C1165" i="16"/>
  <c r="C1167" i="16" s="1"/>
  <c r="BJ8" i="20"/>
  <c r="K16" i="20"/>
  <c r="K7" i="20"/>
  <c r="O7" i="20"/>
  <c r="O11" i="20" s="1"/>
  <c r="BJ14" i="20"/>
  <c r="BI14" i="20"/>
  <c r="BJ13" i="20"/>
  <c r="BI13" i="20"/>
  <c r="BJ12" i="20"/>
  <c r="BI12" i="20"/>
  <c r="BJ11" i="20"/>
  <c r="BI5" i="20"/>
  <c r="BI4" i="20"/>
  <c r="K8" i="20"/>
  <c r="K11" i="20"/>
  <c r="P129" i="20"/>
  <c r="P82" i="20"/>
  <c r="P86" i="20" s="1"/>
  <c r="P72" i="20"/>
  <c r="L249" i="3" s="1"/>
  <c r="M250" i="3" s="1"/>
  <c r="E720" i="16" s="1"/>
  <c r="P75" i="20"/>
  <c r="D1156" i="16" s="1"/>
  <c r="Q111" i="10"/>
  <c r="Q144" i="10" s="1"/>
  <c r="Q154" i="10"/>
  <c r="Q151" i="10"/>
  <c r="Q153" i="10" s="1"/>
  <c r="Q127" i="10"/>
  <c r="P107" i="10"/>
  <c r="G63" i="12" s="1"/>
  <c r="Q65" i="10"/>
  <c r="V252" i="17" s="1"/>
  <c r="Q174" i="10"/>
  <c r="Q173" i="11" s="1"/>
  <c r="S431" i="12"/>
  <c r="S390" i="12" s="1"/>
  <c r="C1134" i="16"/>
  <c r="C1135" i="16" s="1"/>
  <c r="C1136" i="16" s="1"/>
  <c r="J1135" i="16"/>
  <c r="J1126" i="16"/>
  <c r="J1124" i="16"/>
  <c r="J1133" i="16" s="1"/>
  <c r="I1124" i="16"/>
  <c r="I1133" i="16" s="1"/>
  <c r="H1124" i="16"/>
  <c r="H1133" i="16" s="1"/>
  <c r="G1124" i="16"/>
  <c r="G1133" i="16" s="1"/>
  <c r="F1124" i="16"/>
  <c r="F1133" i="16" s="1"/>
  <c r="C1124" i="16"/>
  <c r="C1133" i="16" s="1"/>
  <c r="S381" i="12"/>
  <c r="R381" i="12"/>
  <c r="I1125" i="16"/>
  <c r="I1128" i="16" s="1"/>
  <c r="G1125" i="16"/>
  <c r="G1128" i="16" s="1"/>
  <c r="CC366" i="12"/>
  <c r="CC356" i="12"/>
  <c r="CC355" i="12"/>
  <c r="CC354" i="12"/>
  <c r="CC351" i="12"/>
  <c r="C1119" i="16"/>
  <c r="D1119" i="16" s="1"/>
  <c r="E1119" i="16" s="1"/>
  <c r="F1119" i="16" s="1"/>
  <c r="G1119" i="16" s="1"/>
  <c r="D260" i="16"/>
  <c r="E260" i="16" s="1"/>
  <c r="F260" i="16" s="1"/>
  <c r="C334" i="16"/>
  <c r="B357" i="16" s="1"/>
  <c r="C340" i="16"/>
  <c r="I522" i="16"/>
  <c r="G502" i="16"/>
  <c r="G503" i="16" s="1"/>
  <c r="F502" i="16"/>
  <c r="E502" i="16"/>
  <c r="D502" i="16"/>
  <c r="D501" i="16"/>
  <c r="K504" i="16"/>
  <c r="G504" i="16" s="1"/>
  <c r="J504" i="16"/>
  <c r="F504" i="16" s="1"/>
  <c r="I504" i="16"/>
  <c r="E504" i="16" s="1"/>
  <c r="H504" i="16"/>
  <c r="D504" i="16" s="1"/>
  <c r="F468" i="16"/>
  <c r="E490" i="16" s="1"/>
  <c r="E468" i="16"/>
  <c r="D490" i="16" s="1"/>
  <c r="D468" i="16"/>
  <c r="C490" i="16" s="1"/>
  <c r="C468" i="16"/>
  <c r="F435" i="16"/>
  <c r="F459" i="16" s="1"/>
  <c r="E435" i="16"/>
  <c r="E459" i="16" s="1"/>
  <c r="D435" i="16"/>
  <c r="D459" i="16" s="1"/>
  <c r="C435" i="16"/>
  <c r="C459" i="16" s="1"/>
  <c r="F433" i="16"/>
  <c r="E433" i="16"/>
  <c r="D433" i="16"/>
  <c r="C433" i="16"/>
  <c r="F432" i="16"/>
  <c r="E432" i="16"/>
  <c r="D432" i="16"/>
  <c r="C432" i="16"/>
  <c r="F431" i="16"/>
  <c r="E431" i="16"/>
  <c r="D431" i="16"/>
  <c r="C431" i="16"/>
  <c r="F430" i="16"/>
  <c r="F454" i="16" s="1"/>
  <c r="E430" i="16"/>
  <c r="E454" i="16" s="1"/>
  <c r="D430" i="16"/>
  <c r="D454" i="16" s="1"/>
  <c r="C430" i="16"/>
  <c r="C494" i="16"/>
  <c r="D467" i="16"/>
  <c r="C484" i="16" s="1"/>
  <c r="C463" i="16"/>
  <c r="C457" i="16"/>
  <c r="K434" i="16"/>
  <c r="J434" i="16"/>
  <c r="I434" i="16"/>
  <c r="H434" i="16"/>
  <c r="C424" i="16"/>
  <c r="C421" i="16"/>
  <c r="C429" i="16" s="1"/>
  <c r="D418" i="16"/>
  <c r="D457" i="16" s="1"/>
  <c r="G399" i="16"/>
  <c r="F399" i="16"/>
  <c r="E399" i="16"/>
  <c r="D399" i="16"/>
  <c r="G397" i="16"/>
  <c r="G398" i="16" s="1"/>
  <c r="F397" i="16"/>
  <c r="E397" i="16"/>
  <c r="D397" i="16"/>
  <c r="F363" i="16"/>
  <c r="E385" i="16" s="1"/>
  <c r="E363" i="16"/>
  <c r="D385" i="16" s="1"/>
  <c r="D363" i="16"/>
  <c r="C385" i="16" s="1"/>
  <c r="C363" i="16"/>
  <c r="F330" i="16"/>
  <c r="F354" i="16" s="1"/>
  <c r="E330" i="16"/>
  <c r="E354" i="16" s="1"/>
  <c r="D330" i="16"/>
  <c r="D354" i="16" s="1"/>
  <c r="C330" i="16"/>
  <c r="C354" i="16" s="1"/>
  <c r="F328" i="16"/>
  <c r="E328" i="16"/>
  <c r="D328" i="16"/>
  <c r="C328" i="16"/>
  <c r="F327" i="16"/>
  <c r="E327" i="16"/>
  <c r="D327" i="16"/>
  <c r="C327" i="16"/>
  <c r="F326" i="16"/>
  <c r="E326" i="16"/>
  <c r="D326" i="16"/>
  <c r="C326" i="16"/>
  <c r="F325" i="16"/>
  <c r="F349" i="16" s="1"/>
  <c r="E325" i="16"/>
  <c r="E349" i="16" s="1"/>
  <c r="D325" i="16"/>
  <c r="D349" i="16" s="1"/>
  <c r="C325" i="16"/>
  <c r="K329" i="16"/>
  <c r="J329" i="16"/>
  <c r="I329" i="16"/>
  <c r="H329" i="16"/>
  <c r="C389" i="16"/>
  <c r="D362" i="16"/>
  <c r="C358" i="16"/>
  <c r="C352" i="16"/>
  <c r="C319" i="16"/>
  <c r="C316" i="16"/>
  <c r="C324" i="16" s="1"/>
  <c r="D313" i="16"/>
  <c r="D358" i="16" s="1"/>
  <c r="F211" i="16"/>
  <c r="F232" i="16" s="1"/>
  <c r="E211" i="16"/>
  <c r="E232" i="16" s="1"/>
  <c r="P399" i="20"/>
  <c r="P393" i="20" s="1"/>
  <c r="P392" i="20" s="1"/>
  <c r="P236" i="20"/>
  <c r="P209" i="20"/>
  <c r="P211" i="20" s="1"/>
  <c r="P194" i="20"/>
  <c r="P190" i="20"/>
  <c r="C895" i="20"/>
  <c r="C894" i="20"/>
  <c r="E894" i="20"/>
  <c r="D894" i="20"/>
  <c r="F892" i="20"/>
  <c r="B879" i="20"/>
  <c r="B878" i="20"/>
  <c r="H874" i="20"/>
  <c r="G874" i="20"/>
  <c r="F874" i="20"/>
  <c r="H872" i="20"/>
  <c r="F872" i="20"/>
  <c r="E872" i="20"/>
  <c r="D872" i="20"/>
  <c r="C872" i="20"/>
  <c r="B868" i="20"/>
  <c r="B867" i="20"/>
  <c r="B866" i="20"/>
  <c r="B872" i="20" s="1"/>
  <c r="B877" i="20" s="1"/>
  <c r="G863" i="20"/>
  <c r="G38" i="6"/>
  <c r="B776" i="20"/>
  <c r="B790" i="20" s="1"/>
  <c r="B779" i="20"/>
  <c r="B791" i="20" s="1"/>
  <c r="B780" i="20"/>
  <c r="B792" i="20" s="1"/>
  <c r="D1108" i="16"/>
  <c r="E1108" i="16" s="1"/>
  <c r="I1096" i="16"/>
  <c r="J1096" i="16" s="1"/>
  <c r="D1096" i="16"/>
  <c r="E1096" i="16" s="1"/>
  <c r="P214" i="4"/>
  <c r="O214" i="4"/>
  <c r="AC141" i="17" s="1"/>
  <c r="N214" i="4"/>
  <c r="M214" i="4"/>
  <c r="L214" i="4"/>
  <c r="K214" i="4"/>
  <c r="J214" i="4"/>
  <c r="X141" i="17" s="1"/>
  <c r="I214" i="4"/>
  <c r="C1044" i="16" s="1"/>
  <c r="O332" i="20"/>
  <c r="R332" i="20" s="1"/>
  <c r="S383" i="12"/>
  <c r="D1131" i="16" s="1"/>
  <c r="S272" i="12"/>
  <c r="S266" i="12"/>
  <c r="W267" i="12" s="1"/>
  <c r="P382" i="20"/>
  <c r="P383" i="20"/>
  <c r="Q383" i="20" s="1"/>
  <c r="P356" i="20"/>
  <c r="Q356" i="20" s="1"/>
  <c r="P354" i="20"/>
  <c r="P355" i="20"/>
  <c r="P357" i="20"/>
  <c r="Q357" i="20" s="1"/>
  <c r="R357" i="20" s="1"/>
  <c r="P326" i="20"/>
  <c r="R326" i="20" s="1"/>
  <c r="P318" i="20"/>
  <c r="R318" i="20" s="1"/>
  <c r="P320" i="20"/>
  <c r="P323" i="20"/>
  <c r="R323" i="20" s="1"/>
  <c r="P319" i="20"/>
  <c r="P317" i="20"/>
  <c r="R317" i="20" s="1"/>
  <c r="P316" i="20"/>
  <c r="R316" i="20" s="1"/>
  <c r="K6" i="20"/>
  <c r="P366" i="20"/>
  <c r="P365" i="20"/>
  <c r="P364" i="20"/>
  <c r="P362" i="20"/>
  <c r="P360" i="20"/>
  <c r="P313" i="20"/>
  <c r="S347" i="12"/>
  <c r="S346" i="12"/>
  <c r="S345" i="12"/>
  <c r="S344" i="12"/>
  <c r="S343" i="12"/>
  <c r="S338" i="12"/>
  <c r="S244" i="12"/>
  <c r="L679" i="20" s="1"/>
  <c r="S243" i="12"/>
  <c r="L677" i="20" s="1"/>
  <c r="S242" i="12"/>
  <c r="L676" i="20" s="1"/>
  <c r="S241" i="12"/>
  <c r="L675" i="20" s="1"/>
  <c r="S240" i="12"/>
  <c r="L674" i="20" s="1"/>
  <c r="S239" i="12"/>
  <c r="L673" i="20" s="1"/>
  <c r="S238" i="12"/>
  <c r="L672" i="20" s="1"/>
  <c r="S235" i="12"/>
  <c r="S231" i="12"/>
  <c r="S232" i="12" s="1"/>
  <c r="S322" i="12"/>
  <c r="CC350" i="12" s="1"/>
  <c r="G590" i="20"/>
  <c r="BN488" i="20"/>
  <c r="G588" i="20" s="1"/>
  <c r="BN487" i="20"/>
  <c r="G586" i="20" s="1"/>
  <c r="BN486" i="20"/>
  <c r="G585" i="20" s="1"/>
  <c r="BN485" i="20"/>
  <c r="G584" i="20" s="1"/>
  <c r="BN482" i="20"/>
  <c r="G583" i="20" s="1"/>
  <c r="BN481" i="20"/>
  <c r="G582" i="20" s="1"/>
  <c r="BN480" i="20"/>
  <c r="BM466" i="20"/>
  <c r="G579" i="20" s="1"/>
  <c r="BM465" i="20"/>
  <c r="G577" i="20" s="1"/>
  <c r="BM464" i="20"/>
  <c r="G576" i="20" s="1"/>
  <c r="BM463" i="20"/>
  <c r="G575" i="20" s="1"/>
  <c r="BM460" i="20"/>
  <c r="G574" i="20" s="1"/>
  <c r="BM459" i="20"/>
  <c r="G573" i="20" s="1"/>
  <c r="BM458" i="20"/>
  <c r="BM455" i="20"/>
  <c r="G570" i="20" s="1"/>
  <c r="BM454" i="20"/>
  <c r="G568" i="20" s="1"/>
  <c r="BM453" i="20"/>
  <c r="G567" i="20" s="1"/>
  <c r="BM452" i="20"/>
  <c r="G566" i="20" s="1"/>
  <c r="BM448" i="20"/>
  <c r="G565" i="20" s="1"/>
  <c r="BM447" i="20"/>
  <c r="G564" i="20" s="1"/>
  <c r="BM446" i="20"/>
  <c r="H498" i="20"/>
  <c r="H497" i="20"/>
  <c r="H496" i="20"/>
  <c r="H495" i="20"/>
  <c r="H493" i="20"/>
  <c r="H492" i="20"/>
  <c r="H491" i="20"/>
  <c r="H483" i="20"/>
  <c r="H484" i="20" s="1"/>
  <c r="H450" i="20"/>
  <c r="H921" i="20" s="1"/>
  <c r="H449" i="20"/>
  <c r="BM443" i="20"/>
  <c r="G560" i="20" s="1"/>
  <c r="BM442" i="20"/>
  <c r="G559" i="20" s="1"/>
  <c r="BM441" i="20"/>
  <c r="G558" i="20" s="1"/>
  <c r="BM437" i="20"/>
  <c r="G557" i="20" s="1"/>
  <c r="BM436" i="20"/>
  <c r="G556" i="20" s="1"/>
  <c r="H439" i="20"/>
  <c r="H438" i="20"/>
  <c r="BM432" i="20"/>
  <c r="BN432" i="20" s="1"/>
  <c r="G553" i="20" s="1"/>
  <c r="BM431" i="20"/>
  <c r="BN431" i="20" s="1"/>
  <c r="G551" i="20" s="1"/>
  <c r="BM430" i="20"/>
  <c r="BN430" i="20" s="1"/>
  <c r="G550" i="20" s="1"/>
  <c r="BM429" i="20"/>
  <c r="BN429" i="20" s="1"/>
  <c r="G549" i="20" s="1"/>
  <c r="BM425" i="20"/>
  <c r="BN425" i="20" s="1"/>
  <c r="G548" i="20" s="1"/>
  <c r="BM424" i="20"/>
  <c r="BN424" i="20" s="1"/>
  <c r="G547" i="20" s="1"/>
  <c r="BM423" i="20"/>
  <c r="BN423" i="20" s="1"/>
  <c r="H427" i="20"/>
  <c r="H426" i="20"/>
  <c r="BM420" i="20"/>
  <c r="BN420" i="20" s="1"/>
  <c r="G544" i="20" s="1"/>
  <c r="BM419" i="20"/>
  <c r="BN419" i="20" s="1"/>
  <c r="G542" i="20" s="1"/>
  <c r="BM418" i="20"/>
  <c r="BN418" i="20" s="1"/>
  <c r="G541" i="20" s="1"/>
  <c r="BM417" i="20"/>
  <c r="BN417" i="20" s="1"/>
  <c r="G540" i="20" s="1"/>
  <c r="BM414" i="20"/>
  <c r="BN414" i="20" s="1"/>
  <c r="G539" i="20" s="1"/>
  <c r="BM413" i="20"/>
  <c r="BN413" i="20" s="1"/>
  <c r="G538" i="20" s="1"/>
  <c r="BM412" i="20"/>
  <c r="BN412" i="20" s="1"/>
  <c r="H415" i="20"/>
  <c r="H919" i="20" s="1"/>
  <c r="P284" i="20"/>
  <c r="P331" i="20" s="1"/>
  <c r="P333" i="20"/>
  <c r="H873" i="20" s="1"/>
  <c r="P208" i="20"/>
  <c r="H858" i="20" s="1"/>
  <c r="P19" i="20"/>
  <c r="P18" i="20"/>
  <c r="D1157" i="16" s="1"/>
  <c r="S223" i="12"/>
  <c r="R223" i="12"/>
  <c r="S167" i="12"/>
  <c r="S166" i="12"/>
  <c r="P68" i="20"/>
  <c r="P126" i="20"/>
  <c r="BN126" i="20" s="1"/>
  <c r="P125" i="20"/>
  <c r="BN125" i="20" s="1"/>
  <c r="P124" i="20"/>
  <c r="BN124" i="20" s="1"/>
  <c r="M966" i="16"/>
  <c r="S956" i="16"/>
  <c r="S955" i="16"/>
  <c r="S954" i="16"/>
  <c r="L959" i="16"/>
  <c r="M959" i="16" s="1"/>
  <c r="S949" i="16"/>
  <c r="S948" i="16"/>
  <c r="S947" i="16"/>
  <c r="S944" i="16"/>
  <c r="S943" i="16"/>
  <c r="S942" i="16"/>
  <c r="S941" i="16"/>
  <c r="S936" i="16"/>
  <c r="S935" i="16"/>
  <c r="S934" i="16"/>
  <c r="S933" i="16"/>
  <c r="S932" i="16"/>
  <c r="S931" i="16"/>
  <c r="S927" i="16"/>
  <c r="S926" i="16"/>
  <c r="S925" i="16"/>
  <c r="S924" i="16"/>
  <c r="S923" i="16"/>
  <c r="S920" i="16"/>
  <c r="S919" i="16"/>
  <c r="S918" i="16"/>
  <c r="S917" i="16"/>
  <c r="S914" i="16"/>
  <c r="S913" i="16"/>
  <c r="S912" i="16"/>
  <c r="S911" i="16"/>
  <c r="S910" i="16"/>
  <c r="S909" i="16"/>
  <c r="S908" i="16"/>
  <c r="S907" i="16"/>
  <c r="S906" i="16"/>
  <c r="S905" i="16"/>
  <c r="S900" i="16"/>
  <c r="S899" i="16"/>
  <c r="S898" i="16"/>
  <c r="S897" i="16"/>
  <c r="S894" i="16"/>
  <c r="S893" i="16"/>
  <c r="S892" i="16"/>
  <c r="S891" i="16"/>
  <c r="S888" i="16"/>
  <c r="S887" i="16"/>
  <c r="S886" i="16"/>
  <c r="S885" i="16"/>
  <c r="S882" i="16"/>
  <c r="S881" i="16"/>
  <c r="S880" i="16"/>
  <c r="S879" i="16"/>
  <c r="S878" i="16"/>
  <c r="M965" i="16"/>
  <c r="M964" i="16"/>
  <c r="M958" i="16"/>
  <c r="M956" i="16"/>
  <c r="M955" i="16"/>
  <c r="M954" i="16"/>
  <c r="M952" i="16"/>
  <c r="L952" i="16"/>
  <c r="M949" i="16"/>
  <c r="M948" i="16"/>
  <c r="M947" i="16"/>
  <c r="M944" i="16"/>
  <c r="M943" i="16"/>
  <c r="M942" i="16"/>
  <c r="M941" i="16"/>
  <c r="M936" i="16"/>
  <c r="M935" i="16"/>
  <c r="M934" i="16"/>
  <c r="M933" i="16"/>
  <c r="M932" i="16"/>
  <c r="M931" i="16"/>
  <c r="M927" i="16"/>
  <c r="M926" i="16"/>
  <c r="M925" i="16"/>
  <c r="M924" i="16"/>
  <c r="M923" i="16"/>
  <c r="M920" i="16"/>
  <c r="M919" i="16"/>
  <c r="M918" i="16"/>
  <c r="M917" i="16"/>
  <c r="M914" i="16"/>
  <c r="M913" i="16"/>
  <c r="M912" i="16"/>
  <c r="M911" i="16"/>
  <c r="M910" i="16"/>
  <c r="M909" i="16"/>
  <c r="M908" i="16"/>
  <c r="M907" i="16"/>
  <c r="M906" i="16"/>
  <c r="M905" i="16"/>
  <c r="M900" i="16"/>
  <c r="M899" i="16"/>
  <c r="M898" i="16"/>
  <c r="M897" i="16"/>
  <c r="M894" i="16"/>
  <c r="M893" i="16"/>
  <c r="M892" i="16"/>
  <c r="M891" i="16"/>
  <c r="M888" i="16"/>
  <c r="M887" i="16"/>
  <c r="M886" i="16"/>
  <c r="M885" i="16"/>
  <c r="M882" i="16"/>
  <c r="M881" i="16"/>
  <c r="M880" i="16"/>
  <c r="M879" i="16"/>
  <c r="M878" i="16"/>
  <c r="K1011" i="16"/>
  <c r="J1011" i="16"/>
  <c r="I1011" i="16"/>
  <c r="R167" i="12"/>
  <c r="O232" i="20"/>
  <c r="D310" i="18"/>
  <c r="H144" i="18"/>
  <c r="H145" i="18" s="1"/>
  <c r="D291" i="18"/>
  <c r="I117" i="18"/>
  <c r="D268" i="18" s="1"/>
  <c r="C431" i="20"/>
  <c r="G89" i="18" s="1"/>
  <c r="F89" i="18" s="1"/>
  <c r="H89" i="18"/>
  <c r="D232" i="18"/>
  <c r="D230" i="18" s="1"/>
  <c r="G15" i="18"/>
  <c r="D229" i="18" s="1"/>
  <c r="D314" i="18"/>
  <c r="D308" i="18" s="1"/>
  <c r="D316" i="18"/>
  <c r="B320" i="18"/>
  <c r="B319" i="18"/>
  <c r="D303" i="18"/>
  <c r="D297" i="18"/>
  <c r="C296" i="18" s="1"/>
  <c r="B301" i="18"/>
  <c r="B300" i="18"/>
  <c r="D284" i="18"/>
  <c r="D278" i="18"/>
  <c r="H155" i="18"/>
  <c r="D322" i="18" s="1"/>
  <c r="H157" i="18"/>
  <c r="D319" i="18" s="1"/>
  <c r="H152" i="18"/>
  <c r="H150" i="18"/>
  <c r="B282" i="18"/>
  <c r="B281" i="18"/>
  <c r="B263" i="18"/>
  <c r="B262" i="18"/>
  <c r="B261" i="18"/>
  <c r="G37" i="18"/>
  <c r="G36" i="18"/>
  <c r="H137" i="18"/>
  <c r="H138" i="18" s="1"/>
  <c r="I137" i="18"/>
  <c r="I138" i="18" s="1"/>
  <c r="H130" i="18"/>
  <c r="H131" i="18" s="1"/>
  <c r="I130" i="18"/>
  <c r="D275" i="18" s="1"/>
  <c r="I135" i="18"/>
  <c r="H135" i="18"/>
  <c r="I121" i="18"/>
  <c r="I125" i="18" s="1"/>
  <c r="I126" i="18" s="1"/>
  <c r="H121" i="18"/>
  <c r="H125" i="18" s="1"/>
  <c r="H126" i="18" s="1"/>
  <c r="I115" i="18"/>
  <c r="D272" i="18" s="1"/>
  <c r="C271" i="18" s="1"/>
  <c r="H115" i="18"/>
  <c r="E22" i="2"/>
  <c r="B22" i="2" s="1"/>
  <c r="B21" i="2"/>
  <c r="B20" i="2"/>
  <c r="B19" i="2"/>
  <c r="B18" i="2"/>
  <c r="B17" i="2"/>
  <c r="B16" i="2"/>
  <c r="B15" i="2"/>
  <c r="B14" i="2"/>
  <c r="B13" i="2"/>
  <c r="B12" i="2"/>
  <c r="B11" i="2"/>
  <c r="B10" i="2"/>
  <c r="B9" i="2"/>
  <c r="B8" i="2"/>
  <c r="B7" i="2"/>
  <c r="B6" i="2"/>
  <c r="H106" i="18"/>
  <c r="G101" i="18"/>
  <c r="H101" i="18"/>
  <c r="D255" i="18" s="1"/>
  <c r="G97" i="18"/>
  <c r="G99" i="18" s="1"/>
  <c r="I156" i="20"/>
  <c r="I154" i="20"/>
  <c r="B145" i="20"/>
  <c r="B143" i="20"/>
  <c r="B141" i="20"/>
  <c r="I145" i="20"/>
  <c r="I144" i="20"/>
  <c r="I143" i="20"/>
  <c r="I142" i="20"/>
  <c r="I141" i="20"/>
  <c r="P472" i="4"/>
  <c r="Q472" i="4" s="1"/>
  <c r="R472" i="4" s="1"/>
  <c r="S472" i="4" s="1"/>
  <c r="T472" i="4" s="1"/>
  <c r="U472" i="4" s="1"/>
  <c r="V472" i="4" s="1"/>
  <c r="H470" i="4"/>
  <c r="I443" i="4" s="1"/>
  <c r="G43" i="18"/>
  <c r="G44" i="18" s="1"/>
  <c r="G12" i="18"/>
  <c r="G32" i="18"/>
  <c r="G28" i="18"/>
  <c r="G24" i="18"/>
  <c r="G20" i="18"/>
  <c r="G30" i="18"/>
  <c r="G75" i="18"/>
  <c r="D300" i="18" s="1"/>
  <c r="G70" i="18"/>
  <c r="G63" i="18"/>
  <c r="G67" i="18"/>
  <c r="G73" i="18"/>
  <c r="G79" i="18"/>
  <c r="G80" i="18" s="1"/>
  <c r="G59" i="18"/>
  <c r="D215" i="16"/>
  <c r="C184" i="16"/>
  <c r="C160" i="16"/>
  <c r="C150" i="16"/>
  <c r="C274" i="16" s="1"/>
  <c r="D1073" i="16"/>
  <c r="E1073" i="16" s="1"/>
  <c r="F1073" i="16" s="1"/>
  <c r="R347" i="12"/>
  <c r="R346" i="12"/>
  <c r="R345" i="12"/>
  <c r="R344" i="12"/>
  <c r="P379" i="12"/>
  <c r="O379" i="12"/>
  <c r="CC379" i="12" s="1"/>
  <c r="L379" i="12"/>
  <c r="P378" i="12"/>
  <c r="CD378" i="12" s="1"/>
  <c r="O378" i="12"/>
  <c r="CC378" i="12" s="1"/>
  <c r="L378" i="12"/>
  <c r="P377" i="12"/>
  <c r="O377" i="12"/>
  <c r="CC377" i="12" s="1"/>
  <c r="L377" i="12"/>
  <c r="L373" i="12"/>
  <c r="L372" i="12" s="1"/>
  <c r="K373" i="12"/>
  <c r="K372" i="12" s="1"/>
  <c r="BZ366" i="12"/>
  <c r="BZ356" i="12"/>
  <c r="BZ355" i="12"/>
  <c r="BZ354" i="12"/>
  <c r="M367" i="12"/>
  <c r="M373" i="12" s="1"/>
  <c r="M366" i="12"/>
  <c r="M356" i="12"/>
  <c r="M379" i="12" s="1"/>
  <c r="M355" i="12"/>
  <c r="M378" i="12" s="1"/>
  <c r="M354" i="12"/>
  <c r="M377" i="12" s="1"/>
  <c r="G79" i="20"/>
  <c r="G109" i="20" s="1"/>
  <c r="M126" i="20"/>
  <c r="L126" i="20"/>
  <c r="M125" i="20"/>
  <c r="L125" i="20"/>
  <c r="M124" i="20"/>
  <c r="L124" i="20"/>
  <c r="B126" i="20"/>
  <c r="B125" i="20"/>
  <c r="B124" i="20"/>
  <c r="K129" i="20"/>
  <c r="K136" i="20" s="1"/>
  <c r="J129" i="20"/>
  <c r="J136" i="20" s="1"/>
  <c r="I129" i="20"/>
  <c r="H129" i="20"/>
  <c r="H136" i="20" s="1"/>
  <c r="L129" i="20"/>
  <c r="M129" i="20"/>
  <c r="N129" i="20"/>
  <c r="N136" i="20" s="1"/>
  <c r="O129" i="20"/>
  <c r="BL112" i="20"/>
  <c r="BL111" i="20"/>
  <c r="BL110" i="20"/>
  <c r="G116" i="20"/>
  <c r="G117" i="20" s="1"/>
  <c r="H116" i="20"/>
  <c r="J115" i="20"/>
  <c r="J113" i="20"/>
  <c r="J112" i="20"/>
  <c r="J111" i="20"/>
  <c r="J110" i="20"/>
  <c r="C1069" i="16"/>
  <c r="C1068" i="16"/>
  <c r="E1067" i="16"/>
  <c r="F1067" i="16" s="1"/>
  <c r="G1067" i="16" s="1"/>
  <c r="CA224" i="12"/>
  <c r="BZ224" i="12"/>
  <c r="BY224" i="12"/>
  <c r="CB224" i="12"/>
  <c r="BM131" i="20"/>
  <c r="BM132" i="20"/>
  <c r="E1061" i="16"/>
  <c r="E1060" i="16"/>
  <c r="E1059" i="16"/>
  <c r="F1062" i="16"/>
  <c r="F1061" i="16"/>
  <c r="F1060" i="16"/>
  <c r="F1059" i="16"/>
  <c r="C1063" i="16"/>
  <c r="D1063" i="16"/>
  <c r="E1063" i="16" s="1"/>
  <c r="C1055" i="16"/>
  <c r="B1052" i="16"/>
  <c r="B1051" i="16"/>
  <c r="B1050" i="16"/>
  <c r="B1049" i="16"/>
  <c r="B1047" i="16"/>
  <c r="B1046" i="16"/>
  <c r="B1040" i="16"/>
  <c r="B1045" i="16"/>
  <c r="B1044" i="16"/>
  <c r="B1042" i="16"/>
  <c r="B1039" i="16"/>
  <c r="B1038" i="16"/>
  <c r="B1037" i="16"/>
  <c r="B1036" i="16"/>
  <c r="B1035" i="16"/>
  <c r="B1033" i="16"/>
  <c r="B1032" i="16"/>
  <c r="B1031" i="16"/>
  <c r="B1030" i="16"/>
  <c r="B1029" i="16"/>
  <c r="B1028" i="16"/>
  <c r="B1026" i="16"/>
  <c r="B1025" i="16"/>
  <c r="B1024" i="16"/>
  <c r="B1023" i="16"/>
  <c r="B1021" i="16"/>
  <c r="K1018" i="16"/>
  <c r="J1018" i="16"/>
  <c r="K1017" i="16"/>
  <c r="J1017" i="16"/>
  <c r="K1008" i="16"/>
  <c r="K1012" i="16" s="1"/>
  <c r="J1008" i="16"/>
  <c r="J1012" i="16" s="1"/>
  <c r="B1018" i="16"/>
  <c r="B1017" i="16"/>
  <c r="B1016" i="16"/>
  <c r="C1158" i="16"/>
  <c r="N19" i="20"/>
  <c r="N23" i="20" s="1"/>
  <c r="O18" i="20"/>
  <c r="N18" i="20"/>
  <c r="C1159" i="16"/>
  <c r="N991" i="16"/>
  <c r="N990" i="16"/>
  <c r="N989" i="16"/>
  <c r="N988" i="16"/>
  <c r="H695" i="20"/>
  <c r="G751" i="20"/>
  <c r="B750" i="20"/>
  <c r="G747" i="20"/>
  <c r="G731" i="20"/>
  <c r="B736" i="20"/>
  <c r="B735" i="20"/>
  <c r="B734" i="20"/>
  <c r="E730" i="20"/>
  <c r="F727" i="20"/>
  <c r="E727" i="20"/>
  <c r="D727" i="20"/>
  <c r="F726" i="20"/>
  <c r="D276" i="18" s="1"/>
  <c r="D282" i="18" s="1"/>
  <c r="E726" i="20"/>
  <c r="D726" i="20"/>
  <c r="E725" i="20"/>
  <c r="D725" i="20"/>
  <c r="C725" i="20"/>
  <c r="C728" i="20" s="1"/>
  <c r="F725" i="20"/>
  <c r="H97" i="18" s="1"/>
  <c r="B727" i="20"/>
  <c r="B726" i="20"/>
  <c r="B725" i="20"/>
  <c r="G709" i="20"/>
  <c r="G708" i="20"/>
  <c r="D718" i="20"/>
  <c r="D717" i="20"/>
  <c r="D716" i="20"/>
  <c r="G707" i="20"/>
  <c r="G706" i="20"/>
  <c r="F706" i="20"/>
  <c r="F715" i="20" s="1"/>
  <c r="E706" i="20"/>
  <c r="D706" i="20"/>
  <c r="D715" i="20" s="1"/>
  <c r="C706" i="20"/>
  <c r="D972" i="16"/>
  <c r="E972" i="16" s="1"/>
  <c r="F972" i="16" s="1"/>
  <c r="D968" i="16"/>
  <c r="E968" i="16" s="1"/>
  <c r="F968" i="16" s="1"/>
  <c r="H508" i="4"/>
  <c r="H325" i="4" s="1"/>
  <c r="G574" i="4"/>
  <c r="I574" i="4"/>
  <c r="J574" i="4" s="1"/>
  <c r="J608" i="4" s="1"/>
  <c r="I209" i="4"/>
  <c r="C1040" i="16" s="1"/>
  <c r="H206" i="4"/>
  <c r="P203" i="4"/>
  <c r="AZ362" i="20" s="1"/>
  <c r="O203" i="4"/>
  <c r="C4243" i="16" s="1"/>
  <c r="N203" i="4"/>
  <c r="M203" i="4"/>
  <c r="G1035" i="16" s="1"/>
  <c r="L203" i="4"/>
  <c r="K203" i="4"/>
  <c r="J203" i="4"/>
  <c r="I203" i="4"/>
  <c r="C1035" i="16" s="1"/>
  <c r="H203" i="4"/>
  <c r="B341" i="4"/>
  <c r="B340" i="4"/>
  <c r="B339" i="4"/>
  <c r="K205" i="4"/>
  <c r="J205" i="4"/>
  <c r="I205" i="4"/>
  <c r="C1037" i="16" s="1"/>
  <c r="H329" i="4"/>
  <c r="H205" i="4" s="1"/>
  <c r="J1029" i="16"/>
  <c r="I1029" i="16"/>
  <c r="H1029" i="16"/>
  <c r="G1029" i="16"/>
  <c r="F1029" i="16"/>
  <c r="E1029" i="16"/>
  <c r="D1029" i="16"/>
  <c r="C1029" i="16"/>
  <c r="I403" i="4"/>
  <c r="I193" i="4"/>
  <c r="C1025" i="16" s="1"/>
  <c r="H193" i="4"/>
  <c r="C1038" i="16"/>
  <c r="J193" i="4"/>
  <c r="D1025" i="16" s="1"/>
  <c r="K193" i="4"/>
  <c r="E1025" i="16" s="1"/>
  <c r="L193" i="4"/>
  <c r="F1025" i="16" s="1"/>
  <c r="M193" i="4"/>
  <c r="G1025" i="16" s="1"/>
  <c r="N193" i="4"/>
  <c r="H1025" i="16" s="1"/>
  <c r="P193" i="4"/>
  <c r="J1025" i="16" s="1"/>
  <c r="O193" i="4"/>
  <c r="I1025" i="16" s="1"/>
  <c r="O399" i="20"/>
  <c r="O393" i="20" s="1"/>
  <c r="N314" i="20"/>
  <c r="M357" i="20"/>
  <c r="M356" i="20"/>
  <c r="M355" i="20"/>
  <c r="M354" i="20"/>
  <c r="N356" i="20"/>
  <c r="N355" i="20"/>
  <c r="N354" i="20"/>
  <c r="N357" i="20"/>
  <c r="N319" i="20"/>
  <c r="N318" i="20"/>
  <c r="N317" i="20"/>
  <c r="N316" i="20"/>
  <c r="N312" i="20"/>
  <c r="N311" i="20"/>
  <c r="N310" i="20"/>
  <c r="N364" i="20"/>
  <c r="O364" i="20"/>
  <c r="O314" i="20"/>
  <c r="O321" i="20" s="1"/>
  <c r="O324" i="20" s="1"/>
  <c r="O352" i="20" s="1"/>
  <c r="O358" i="20" s="1"/>
  <c r="E892" i="20" s="1"/>
  <c r="E646" i="20"/>
  <c r="E645" i="20"/>
  <c r="I645" i="20" s="1"/>
  <c r="E644" i="20"/>
  <c r="G643" i="20"/>
  <c r="E643" i="20"/>
  <c r="E656" i="20"/>
  <c r="J656" i="20" s="1"/>
  <c r="E655" i="20"/>
  <c r="J655" i="20" s="1"/>
  <c r="E654" i="20"/>
  <c r="J654" i="20" s="1"/>
  <c r="F544" i="20"/>
  <c r="F701" i="20"/>
  <c r="E695" i="20"/>
  <c r="F695" i="20"/>
  <c r="F698" i="20" s="1"/>
  <c r="G703" i="20"/>
  <c r="G702" i="20"/>
  <c r="G701" i="20"/>
  <c r="G695" i="20"/>
  <c r="G697" i="20" s="1"/>
  <c r="F730" i="20" s="1"/>
  <c r="B703" i="20"/>
  <c r="B702" i="20"/>
  <c r="B701" i="20"/>
  <c r="F688" i="20"/>
  <c r="F703" i="20" s="1"/>
  <c r="F687" i="20"/>
  <c r="G689" i="20"/>
  <c r="CB351" i="12"/>
  <c r="R166" i="12"/>
  <c r="AQ481" i="20"/>
  <c r="E582" i="20" s="1"/>
  <c r="AO481" i="20"/>
  <c r="D582" i="20" s="1"/>
  <c r="AQ459" i="20"/>
  <c r="E573" i="20" s="1"/>
  <c r="AO459" i="20"/>
  <c r="D573" i="20" s="1"/>
  <c r="AQ447" i="20"/>
  <c r="E564" i="20" s="1"/>
  <c r="AO447" i="20"/>
  <c r="D564" i="20" s="1"/>
  <c r="F556" i="20"/>
  <c r="AQ436" i="20"/>
  <c r="E556" i="20" s="1"/>
  <c r="AO436" i="20"/>
  <c r="D556" i="20" s="1"/>
  <c r="C539" i="20"/>
  <c r="B547" i="20"/>
  <c r="B556" i="20" s="1"/>
  <c r="B564" i="20" s="1"/>
  <c r="B573" i="20" s="1"/>
  <c r="O74" i="20"/>
  <c r="C1155" i="16" s="1"/>
  <c r="F582" i="20"/>
  <c r="F564" i="20"/>
  <c r="K79" i="20"/>
  <c r="K109" i="20" s="1"/>
  <c r="BK109" i="20" s="1"/>
  <c r="O86" i="20"/>
  <c r="R383" i="12"/>
  <c r="G868" i="20" s="1"/>
  <c r="R343" i="12"/>
  <c r="R338" i="12"/>
  <c r="R376" i="12"/>
  <c r="R272" i="12"/>
  <c r="R244" i="12"/>
  <c r="K679" i="20" s="1"/>
  <c r="R243" i="12"/>
  <c r="K677" i="20" s="1"/>
  <c r="R242" i="12"/>
  <c r="K676" i="20" s="1"/>
  <c r="R241" i="12"/>
  <c r="K675" i="20" s="1"/>
  <c r="R240" i="12"/>
  <c r="K674" i="20" s="1"/>
  <c r="R239" i="12"/>
  <c r="K673" i="20" s="1"/>
  <c r="R238" i="12"/>
  <c r="K672" i="20" s="1"/>
  <c r="R235" i="12"/>
  <c r="R231" i="12"/>
  <c r="R232" i="12" s="1"/>
  <c r="F573" i="20"/>
  <c r="G498" i="20"/>
  <c r="G497" i="20"/>
  <c r="G496" i="20"/>
  <c r="G495" i="20"/>
  <c r="G493" i="20"/>
  <c r="G492" i="20"/>
  <c r="G491" i="20"/>
  <c r="G483" i="20"/>
  <c r="G450" i="20"/>
  <c r="G921" i="20" s="1"/>
  <c r="G449" i="20"/>
  <c r="G439" i="20"/>
  <c r="G918" i="20" s="1"/>
  <c r="G438" i="20"/>
  <c r="G427" i="20"/>
  <c r="G917" i="20" s="1"/>
  <c r="G426" i="20"/>
  <c r="G415" i="20"/>
  <c r="O347" i="20"/>
  <c r="G879" i="20" s="1"/>
  <c r="O288" i="20"/>
  <c r="G869" i="20" s="1"/>
  <c r="O284" i="20"/>
  <c r="O331" i="20" s="1"/>
  <c r="O242" i="20"/>
  <c r="G861" i="20" s="1"/>
  <c r="O239" i="20"/>
  <c r="I1009" i="16" s="1"/>
  <c r="O211" i="20"/>
  <c r="O208" i="20"/>
  <c r="O191" i="20"/>
  <c r="R322" i="12"/>
  <c r="CB350" i="12" s="1"/>
  <c r="O79" i="20"/>
  <c r="O109" i="20" s="1"/>
  <c r="BO109" i="20" s="1"/>
  <c r="F590" i="20"/>
  <c r="E590" i="20"/>
  <c r="D590" i="20"/>
  <c r="C590" i="20"/>
  <c r="F541" i="20"/>
  <c r="F539" i="20"/>
  <c r="F538" i="20"/>
  <c r="F586" i="20"/>
  <c r="F585" i="20"/>
  <c r="F584" i="20"/>
  <c r="F583" i="20"/>
  <c r="F579" i="20"/>
  <c r="F577" i="20"/>
  <c r="F576" i="20"/>
  <c r="F575" i="20"/>
  <c r="F574" i="20"/>
  <c r="F570" i="20"/>
  <c r="F568" i="20"/>
  <c r="F567" i="20"/>
  <c r="F566" i="20"/>
  <c r="F560" i="20"/>
  <c r="F559" i="20"/>
  <c r="F558" i="20"/>
  <c r="G717" i="20"/>
  <c r="F553" i="20"/>
  <c r="F551" i="20"/>
  <c r="F550" i="20"/>
  <c r="F549" i="20"/>
  <c r="F547" i="20"/>
  <c r="F542" i="20"/>
  <c r="F540" i="20"/>
  <c r="B39" i="21"/>
  <c r="B38" i="21"/>
  <c r="B37" i="21"/>
  <c r="B36" i="21"/>
  <c r="B35" i="21"/>
  <c r="B23" i="21"/>
  <c r="B22" i="21"/>
  <c r="B16" i="21"/>
  <c r="B9" i="21"/>
  <c r="B8" i="21"/>
  <c r="B7" i="21"/>
  <c r="B6" i="21"/>
  <c r="B5" i="21"/>
  <c r="B4" i="21"/>
  <c r="G573" i="4"/>
  <c r="L242" i="20"/>
  <c r="D861" i="20" s="1"/>
  <c r="K242" i="20"/>
  <c r="E1010" i="16" s="1"/>
  <c r="J242" i="20"/>
  <c r="D1010" i="16" s="1"/>
  <c r="I242" i="20"/>
  <c r="C1010" i="16" s="1"/>
  <c r="H242" i="20"/>
  <c r="G242" i="20"/>
  <c r="M239" i="20"/>
  <c r="E860" i="20" s="1"/>
  <c r="L239" i="20"/>
  <c r="D860" i="20" s="1"/>
  <c r="K239" i="20"/>
  <c r="C860" i="20" s="1"/>
  <c r="J239" i="20"/>
  <c r="D1009" i="16" s="1"/>
  <c r="I239" i="20"/>
  <c r="C1009" i="16" s="1"/>
  <c r="H239" i="20"/>
  <c r="N239" i="20"/>
  <c r="H1009" i="16" s="1"/>
  <c r="Q115" i="10"/>
  <c r="Q167" i="10" s="1"/>
  <c r="H309" i="4"/>
  <c r="V105" i="17" s="1"/>
  <c r="H320" i="4"/>
  <c r="H322" i="4" s="1"/>
  <c r="Q5" i="10"/>
  <c r="Q5" i="11" s="1"/>
  <c r="P5" i="10"/>
  <c r="P37" i="10" s="1"/>
  <c r="Q48" i="10"/>
  <c r="Q47" i="10"/>
  <c r="Q46" i="10"/>
  <c r="Q45" i="10"/>
  <c r="Q44" i="10"/>
  <c r="Q43" i="10"/>
  <c r="Q42" i="10"/>
  <c r="Q40" i="10"/>
  <c r="Q38" i="10"/>
  <c r="R38" i="10" s="1"/>
  <c r="S38" i="10" s="1"/>
  <c r="T38" i="10" s="1"/>
  <c r="U38" i="10" s="1"/>
  <c r="V38" i="10" s="1"/>
  <c r="W38" i="10" s="1"/>
  <c r="X38" i="10" s="1"/>
  <c r="Y38" i="10" s="1"/>
  <c r="Z38" i="10" s="1"/>
  <c r="Q35" i="10"/>
  <c r="Q34" i="10"/>
  <c r="Q33" i="10"/>
  <c r="Q32" i="10"/>
  <c r="Q31" i="10"/>
  <c r="Q30" i="10"/>
  <c r="Q29" i="10"/>
  <c r="Q28" i="10"/>
  <c r="Q27" i="10"/>
  <c r="Q223" i="9"/>
  <c r="Q226" i="9" s="1"/>
  <c r="Q235" i="9" s="1"/>
  <c r="Q74" i="9"/>
  <c r="Q72" i="9"/>
  <c r="Q78" i="9"/>
  <c r="Q76" i="9"/>
  <c r="R3" i="9"/>
  <c r="BM115" i="20"/>
  <c r="BM112" i="20"/>
  <c r="BM111" i="20"/>
  <c r="BM110" i="20"/>
  <c r="Q66" i="9"/>
  <c r="Q52" i="9"/>
  <c r="Q51" i="9"/>
  <c r="Q50" i="9"/>
  <c r="Q49" i="9"/>
  <c r="Q48" i="9"/>
  <c r="Q47" i="9"/>
  <c r="Q46" i="9"/>
  <c r="Q45" i="9"/>
  <c r="Q44" i="9"/>
  <c r="Q43" i="9"/>
  <c r="Q40" i="9"/>
  <c r="Q30" i="9"/>
  <c r="Q38" i="9"/>
  <c r="Q141" i="9" s="1"/>
  <c r="Q137" i="11" s="1"/>
  <c r="Q37" i="9"/>
  <c r="Q36" i="9"/>
  <c r="Q35" i="9"/>
  <c r="Q34" i="9"/>
  <c r="Q32" i="9"/>
  <c r="Q31" i="9"/>
  <c r="Q17" i="9"/>
  <c r="Q15" i="11" s="1"/>
  <c r="Q8" i="9"/>
  <c r="U219" i="14" s="1"/>
  <c r="N345" i="20"/>
  <c r="F877" i="20" s="1"/>
  <c r="B347" i="20"/>
  <c r="B346" i="20"/>
  <c r="B345" i="20"/>
  <c r="N333" i="20"/>
  <c r="N86" i="20"/>
  <c r="N79" i="20"/>
  <c r="N109" i="20" s="1"/>
  <c r="BN109" i="20" s="1"/>
  <c r="M79" i="20"/>
  <c r="M109" i="20" s="1"/>
  <c r="BM109" i="20" s="1"/>
  <c r="L79" i="20"/>
  <c r="L109" i="20" s="1"/>
  <c r="BL109" i="20" s="1"/>
  <c r="J79" i="20"/>
  <c r="J109" i="20" s="1"/>
  <c r="I79" i="20"/>
  <c r="I109" i="20" s="1"/>
  <c r="H79" i="20"/>
  <c r="H109" i="20" s="1"/>
  <c r="F69" i="20"/>
  <c r="D69" i="20"/>
  <c r="G69" i="20"/>
  <c r="F73" i="20"/>
  <c r="D73" i="20"/>
  <c r="F72" i="20"/>
  <c r="D72" i="20"/>
  <c r="G72" i="20"/>
  <c r="F71" i="20"/>
  <c r="D71" i="20"/>
  <c r="D70" i="20"/>
  <c r="F70" i="20"/>
  <c r="J75" i="20"/>
  <c r="I75" i="20"/>
  <c r="H75" i="20"/>
  <c r="J288" i="1"/>
  <c r="J442" i="1" s="1"/>
  <c r="N75" i="20"/>
  <c r="M75" i="20"/>
  <c r="L75" i="20"/>
  <c r="L17" i="20" s="1"/>
  <c r="F498" i="20"/>
  <c r="E498" i="20"/>
  <c r="AL488" i="20"/>
  <c r="AQ488" i="20"/>
  <c r="AL466" i="20"/>
  <c r="AQ466" i="20"/>
  <c r="E579" i="20" s="1"/>
  <c r="AL455" i="20"/>
  <c r="AQ455" i="20"/>
  <c r="E570" i="20" s="1"/>
  <c r="AL432" i="20"/>
  <c r="AQ432" i="20"/>
  <c r="E553" i="20" s="1"/>
  <c r="AQ420" i="20"/>
  <c r="E544" i="20" s="1"/>
  <c r="AL420" i="20"/>
  <c r="C586" i="20"/>
  <c r="C585" i="20"/>
  <c r="C584" i="20"/>
  <c r="AN483" i="20"/>
  <c r="C583" i="20"/>
  <c r="AQ487" i="20"/>
  <c r="E586" i="20" s="1"/>
  <c r="AQ486" i="20"/>
  <c r="E585" i="20" s="1"/>
  <c r="AQ485" i="20"/>
  <c r="E584" i="20" s="1"/>
  <c r="AQ482" i="20"/>
  <c r="E583" i="20" s="1"/>
  <c r="AQ465" i="20"/>
  <c r="E577" i="20" s="1"/>
  <c r="AQ464" i="20"/>
  <c r="E576" i="20" s="1"/>
  <c r="AQ463" i="20"/>
  <c r="E575" i="20" s="1"/>
  <c r="AQ460" i="20"/>
  <c r="E574" i="20" s="1"/>
  <c r="C577" i="20"/>
  <c r="C576" i="20"/>
  <c r="C575" i="20"/>
  <c r="C574" i="20"/>
  <c r="C568" i="20"/>
  <c r="C567" i="20"/>
  <c r="C566" i="20"/>
  <c r="C565" i="20"/>
  <c r="AQ454" i="20"/>
  <c r="E568" i="20" s="1"/>
  <c r="AQ453" i="20"/>
  <c r="E567" i="20" s="1"/>
  <c r="AQ452" i="20"/>
  <c r="E566" i="20" s="1"/>
  <c r="AQ448" i="20"/>
  <c r="F718" i="20" s="1"/>
  <c r="AQ443" i="20"/>
  <c r="E560" i="20" s="1"/>
  <c r="AQ442" i="20"/>
  <c r="E559" i="20" s="1"/>
  <c r="AQ441" i="20"/>
  <c r="E558" i="20" s="1"/>
  <c r="AQ437" i="20"/>
  <c r="E557" i="20" s="1"/>
  <c r="C560" i="20"/>
  <c r="C559" i="20"/>
  <c r="C558" i="20"/>
  <c r="C557" i="20"/>
  <c r="AQ431" i="20"/>
  <c r="E551" i="20" s="1"/>
  <c r="AQ430" i="20"/>
  <c r="E550" i="20" s="1"/>
  <c r="AQ429" i="20"/>
  <c r="E549" i="20" s="1"/>
  <c r="C551" i="20"/>
  <c r="C550" i="20"/>
  <c r="C549" i="20"/>
  <c r="C548" i="20"/>
  <c r="C542" i="20"/>
  <c r="C541" i="20"/>
  <c r="C540" i="20"/>
  <c r="B546" i="20"/>
  <c r="E668" i="20"/>
  <c r="C665" i="20"/>
  <c r="B665" i="20"/>
  <c r="C664" i="20"/>
  <c r="B664" i="20"/>
  <c r="C663" i="20"/>
  <c r="B663" i="20"/>
  <c r="H651" i="20"/>
  <c r="G651" i="20"/>
  <c r="J648" i="20"/>
  <c r="E648" i="20"/>
  <c r="I648" i="20" s="1"/>
  <c r="J647" i="20"/>
  <c r="E647" i="20"/>
  <c r="D647" i="20"/>
  <c r="L647" i="20" s="1"/>
  <c r="J645" i="20"/>
  <c r="D645" i="20"/>
  <c r="D655" i="20" s="1"/>
  <c r="J644" i="20"/>
  <c r="D644" i="20"/>
  <c r="D654" i="20" s="1"/>
  <c r="F497" i="20"/>
  <c r="E497" i="20"/>
  <c r="D497" i="20"/>
  <c r="F496" i="20"/>
  <c r="E496" i="20"/>
  <c r="D496" i="20"/>
  <c r="F495" i="20"/>
  <c r="E495" i="20"/>
  <c r="D495" i="20"/>
  <c r="C511" i="20"/>
  <c r="F493" i="20"/>
  <c r="E493" i="20"/>
  <c r="D493" i="20"/>
  <c r="C510" i="20"/>
  <c r="F492" i="20"/>
  <c r="E492" i="20"/>
  <c r="D492" i="20"/>
  <c r="F491" i="20"/>
  <c r="E491" i="20"/>
  <c r="D491" i="20"/>
  <c r="AO487" i="20"/>
  <c r="AP487" i="20" s="1"/>
  <c r="AO486" i="20"/>
  <c r="AP486" i="20" s="1"/>
  <c r="AO485" i="20"/>
  <c r="AP485" i="20" s="1"/>
  <c r="F483" i="20"/>
  <c r="E483" i="20"/>
  <c r="E484" i="20" s="1"/>
  <c r="D483" i="20"/>
  <c r="D484" i="20" s="1"/>
  <c r="AO482" i="20"/>
  <c r="AL479" i="20"/>
  <c r="AO465" i="20"/>
  <c r="AP465" i="20" s="1"/>
  <c r="AO464" i="20"/>
  <c r="AO463" i="20"/>
  <c r="D575" i="20" s="1"/>
  <c r="AN461" i="20"/>
  <c r="E461" i="20"/>
  <c r="D461" i="20"/>
  <c r="D462" i="20" s="1"/>
  <c r="AO460" i="20"/>
  <c r="AL457" i="20"/>
  <c r="AO454" i="20"/>
  <c r="D568" i="20" s="1"/>
  <c r="AO453" i="20"/>
  <c r="D567" i="20" s="1"/>
  <c r="AO452" i="20"/>
  <c r="D566" i="20" s="1"/>
  <c r="AN450" i="20"/>
  <c r="F450" i="20"/>
  <c r="F451" i="20" s="1"/>
  <c r="E450" i="20"/>
  <c r="D450" i="20"/>
  <c r="D451" i="20" s="1"/>
  <c r="F449" i="20"/>
  <c r="E449" i="20"/>
  <c r="D449" i="20"/>
  <c r="AO448" i="20"/>
  <c r="AL445" i="20"/>
  <c r="AO443" i="20"/>
  <c r="AP443" i="20" s="1"/>
  <c r="AO442" i="20"/>
  <c r="AO441" i="20"/>
  <c r="D558" i="20" s="1"/>
  <c r="AN439" i="20"/>
  <c r="F439" i="20"/>
  <c r="F918" i="20" s="1"/>
  <c r="E439" i="20"/>
  <c r="E918" i="20" s="1"/>
  <c r="D439" i="20"/>
  <c r="D440" i="20" s="1"/>
  <c r="F438" i="20"/>
  <c r="E438" i="20"/>
  <c r="D438" i="20"/>
  <c r="AO437" i="20"/>
  <c r="D557" i="20" s="1"/>
  <c r="AL434" i="20"/>
  <c r="AO431" i="20"/>
  <c r="D551" i="20" s="1"/>
  <c r="B431" i="20"/>
  <c r="B443" i="20" s="1"/>
  <c r="AO430" i="20"/>
  <c r="D550" i="20" s="1"/>
  <c r="B430" i="20"/>
  <c r="B442" i="20" s="1"/>
  <c r="AL442" i="20" s="1"/>
  <c r="AO429" i="20"/>
  <c r="D549" i="20" s="1"/>
  <c r="B429" i="20"/>
  <c r="B441" i="20" s="1"/>
  <c r="AN427" i="20"/>
  <c r="F427" i="20"/>
  <c r="F917" i="20" s="1"/>
  <c r="E427" i="20"/>
  <c r="E917" i="20" s="1"/>
  <c r="D427" i="20"/>
  <c r="D428" i="20" s="1"/>
  <c r="B427" i="20"/>
  <c r="F426" i="20"/>
  <c r="E426" i="20"/>
  <c r="D426" i="20"/>
  <c r="AQ425" i="20"/>
  <c r="F716" i="20" s="1"/>
  <c r="AO425" i="20"/>
  <c r="E716" i="20" s="1"/>
  <c r="B425" i="20"/>
  <c r="AL425" i="20" s="1"/>
  <c r="AQ424" i="20"/>
  <c r="E547" i="20" s="1"/>
  <c r="AO424" i="20"/>
  <c r="D547" i="20" s="1"/>
  <c r="B424" i="20"/>
  <c r="AL424" i="20" s="1"/>
  <c r="AQ423" i="20"/>
  <c r="AO423" i="20"/>
  <c r="B423" i="20"/>
  <c r="AL423" i="20" s="1"/>
  <c r="AL422" i="20"/>
  <c r="AQ419" i="20"/>
  <c r="E542" i="20" s="1"/>
  <c r="AO419" i="20"/>
  <c r="D542" i="20" s="1"/>
  <c r="AL419" i="20"/>
  <c r="AQ418" i="20"/>
  <c r="E541" i="20" s="1"/>
  <c r="AO418" i="20"/>
  <c r="AL418" i="20"/>
  <c r="AQ417" i="20"/>
  <c r="E540" i="20" s="1"/>
  <c r="AO417" i="20"/>
  <c r="D540" i="20" s="1"/>
  <c r="AL417" i="20"/>
  <c r="AN415" i="20"/>
  <c r="AL415" i="20"/>
  <c r="F415" i="20"/>
  <c r="F919" i="20" s="1"/>
  <c r="E415" i="20"/>
  <c r="E416" i="20" s="1"/>
  <c r="D415" i="20"/>
  <c r="D416" i="20" s="1"/>
  <c r="AQ414" i="20"/>
  <c r="E539" i="20" s="1"/>
  <c r="AO414" i="20"/>
  <c r="D539" i="20" s="1"/>
  <c r="AL414" i="20"/>
  <c r="AQ413" i="20"/>
  <c r="E538" i="20" s="1"/>
  <c r="AO413" i="20"/>
  <c r="AL413" i="20"/>
  <c r="AQ412" i="20"/>
  <c r="AO412" i="20"/>
  <c r="AL412" i="20"/>
  <c r="AL411" i="20"/>
  <c r="AO410" i="20"/>
  <c r="AP410" i="20" s="1"/>
  <c r="AN410" i="20"/>
  <c r="AM410" i="20"/>
  <c r="AL410" i="20"/>
  <c r="N391" i="20"/>
  <c r="N393" i="20"/>
  <c r="H227" i="20"/>
  <c r="H220" i="20"/>
  <c r="I227" i="20"/>
  <c r="I220" i="20"/>
  <c r="J227" i="20"/>
  <c r="J220" i="20"/>
  <c r="N347" i="20"/>
  <c r="F879" i="20" s="1"/>
  <c r="H208" i="20"/>
  <c r="I208" i="20"/>
  <c r="C1007" i="16" s="1"/>
  <c r="J208" i="20"/>
  <c r="D1007" i="16" s="1"/>
  <c r="K208" i="20"/>
  <c r="E1007" i="16" s="1"/>
  <c r="L208" i="20"/>
  <c r="F1007" i="16" s="1"/>
  <c r="M208" i="20"/>
  <c r="E858" i="20" s="1"/>
  <c r="N208" i="20"/>
  <c r="F858" i="20" s="1"/>
  <c r="L1007" i="16"/>
  <c r="G208" i="20"/>
  <c r="L227" i="20"/>
  <c r="L220" i="20"/>
  <c r="M227" i="20"/>
  <c r="M220" i="20"/>
  <c r="N227" i="20"/>
  <c r="N220" i="20"/>
  <c r="N284" i="20"/>
  <c r="N331" i="20" s="1"/>
  <c r="N236" i="20"/>
  <c r="N288" i="20" s="1"/>
  <c r="F869" i="20" s="1"/>
  <c r="N211" i="20"/>
  <c r="N285" i="20" s="1"/>
  <c r="H1016" i="16" s="1"/>
  <c r="CA351" i="12"/>
  <c r="N204" i="20" s="1"/>
  <c r="Q382" i="12"/>
  <c r="N242" i="20" s="1"/>
  <c r="H1010" i="16" s="1"/>
  <c r="Q376" i="12"/>
  <c r="Q347" i="12"/>
  <c r="Q346" i="12"/>
  <c r="Q345" i="12"/>
  <c r="Q344" i="12"/>
  <c r="Q343" i="12"/>
  <c r="Q338" i="12"/>
  <c r="Q272" i="12"/>
  <c r="Q266" i="12"/>
  <c r="Q244" i="12"/>
  <c r="J679" i="20" s="1"/>
  <c r="Q243" i="12"/>
  <c r="J677" i="20" s="1"/>
  <c r="Q242" i="12"/>
  <c r="J676" i="20" s="1"/>
  <c r="Q241" i="12"/>
  <c r="J675" i="20" s="1"/>
  <c r="Q240" i="12"/>
  <c r="J674" i="20" s="1"/>
  <c r="Q239" i="12"/>
  <c r="J673" i="20" s="1"/>
  <c r="Q238" i="12"/>
  <c r="J672" i="20" s="1"/>
  <c r="Q235" i="12"/>
  <c r="Q231" i="12"/>
  <c r="Q232" i="12" s="1"/>
  <c r="Q223" i="12"/>
  <c r="Q322" i="12"/>
  <c r="CA350" i="12" s="1"/>
  <c r="Q166" i="12"/>
  <c r="N191" i="20"/>
  <c r="K1007" i="16"/>
  <c r="J1007" i="16"/>
  <c r="I911" i="16"/>
  <c r="I878" i="16"/>
  <c r="C959" i="16"/>
  <c r="D959" i="16" s="1"/>
  <c r="C958" i="16"/>
  <c r="S958" i="16" s="1"/>
  <c r="D952" i="16"/>
  <c r="C952" i="16"/>
  <c r="D956" i="16"/>
  <c r="D955" i="16"/>
  <c r="D954" i="16"/>
  <c r="D942" i="16"/>
  <c r="D943" i="16"/>
  <c r="D966" i="16"/>
  <c r="D965" i="16"/>
  <c r="D964" i="16"/>
  <c r="D963" i="16"/>
  <c r="D957" i="16"/>
  <c r="D953" i="16"/>
  <c r="D950" i="16"/>
  <c r="D949" i="16"/>
  <c r="D948" i="16"/>
  <c r="D947" i="16"/>
  <c r="D944" i="16"/>
  <c r="D941" i="16"/>
  <c r="D912" i="16"/>
  <c r="D911" i="16"/>
  <c r="D909" i="16"/>
  <c r="D908" i="16"/>
  <c r="D906" i="16"/>
  <c r="D936" i="16"/>
  <c r="D935" i="16"/>
  <c r="D927" i="16"/>
  <c r="D920" i="16"/>
  <c r="D919" i="16"/>
  <c r="D918" i="16"/>
  <c r="D917" i="16"/>
  <c r="D934" i="16"/>
  <c r="D933" i="16"/>
  <c r="D932" i="16"/>
  <c r="D931" i="16"/>
  <c r="D926" i="16"/>
  <c r="D925" i="16"/>
  <c r="D924" i="16"/>
  <c r="D923" i="16"/>
  <c r="D914" i="16"/>
  <c r="D913" i="16"/>
  <c r="D910" i="16"/>
  <c r="D907" i="16"/>
  <c r="D905" i="16"/>
  <c r="Q356" i="8"/>
  <c r="T356" i="8" s="1"/>
  <c r="D900" i="16"/>
  <c r="D899" i="16"/>
  <c r="D898" i="16"/>
  <c r="D897" i="16"/>
  <c r="D894" i="16"/>
  <c r="D893" i="16"/>
  <c r="D892" i="16"/>
  <c r="D891" i="16"/>
  <c r="D888" i="16"/>
  <c r="D887" i="16"/>
  <c r="D886" i="16"/>
  <c r="D885" i="16"/>
  <c r="D882" i="16"/>
  <c r="D881" i="16"/>
  <c r="D880" i="16"/>
  <c r="D879" i="16"/>
  <c r="D878" i="16"/>
  <c r="F858" i="16"/>
  <c r="C858" i="16"/>
  <c r="F857" i="16"/>
  <c r="C857" i="16"/>
  <c r="F856" i="16"/>
  <c r="C856" i="16"/>
  <c r="D783" i="8"/>
  <c r="J587" i="1"/>
  <c r="D651" i="1" s="1"/>
  <c r="K1016" i="16"/>
  <c r="J1016" i="16"/>
  <c r="R52" i="10"/>
  <c r="B276" i="20"/>
  <c r="B158" i="20"/>
  <c r="M117" i="20"/>
  <c r="M123" i="20" s="1"/>
  <c r="I116" i="20"/>
  <c r="K1010" i="16"/>
  <c r="H19" i="20"/>
  <c r="H18" i="20"/>
  <c r="I18" i="20" s="1"/>
  <c r="M392" i="20"/>
  <c r="B392" i="20"/>
  <c r="M391" i="20"/>
  <c r="L391" i="20"/>
  <c r="B391" i="20"/>
  <c r="M334" i="20"/>
  <c r="M284" i="20"/>
  <c r="M331" i="20" s="1"/>
  <c r="L284" i="20"/>
  <c r="L331" i="20" s="1"/>
  <c r="L390" i="20" s="1"/>
  <c r="K284" i="20"/>
  <c r="K331" i="20" s="1"/>
  <c r="K390" i="20" s="1"/>
  <c r="J284" i="20"/>
  <c r="J331" i="20" s="1"/>
  <c r="J390" i="20" s="1"/>
  <c r="I284" i="20"/>
  <c r="I331" i="20" s="1"/>
  <c r="I390" i="20" s="1"/>
  <c r="H284" i="20"/>
  <c r="H331" i="20" s="1"/>
  <c r="H390" i="20" s="1"/>
  <c r="G284" i="20"/>
  <c r="G331" i="20" s="1"/>
  <c r="G390" i="20" s="1"/>
  <c r="M211" i="20"/>
  <c r="L211" i="20"/>
  <c r="D859" i="20" s="1"/>
  <c r="H201" i="20"/>
  <c r="B201" i="20"/>
  <c r="L194" i="20"/>
  <c r="P205" i="20" s="1"/>
  <c r="I194" i="20"/>
  <c r="H194" i="20"/>
  <c r="M190" i="20"/>
  <c r="M18" i="20"/>
  <c r="M19" i="20"/>
  <c r="M23" i="20" s="1"/>
  <c r="L6" i="20"/>
  <c r="H6" i="20"/>
  <c r="D677" i="1"/>
  <c r="D676" i="1"/>
  <c r="D674" i="1"/>
  <c r="D673" i="1"/>
  <c r="D672" i="1"/>
  <c r="D675" i="1"/>
  <c r="E678" i="1"/>
  <c r="I677" i="1"/>
  <c r="I676" i="1"/>
  <c r="I673" i="1"/>
  <c r="I672" i="1"/>
  <c r="I674" i="1"/>
  <c r="I675" i="1"/>
  <c r="J678" i="1"/>
  <c r="J1010" i="16"/>
  <c r="G423" i="8"/>
  <c r="G422" i="8"/>
  <c r="P344" i="12"/>
  <c r="F689" i="1"/>
  <c r="F688" i="1"/>
  <c r="F687" i="1"/>
  <c r="F686" i="1"/>
  <c r="F685" i="1"/>
  <c r="F684" i="1"/>
  <c r="E686" i="1"/>
  <c r="E685" i="1"/>
  <c r="E684" i="1"/>
  <c r="E689" i="1"/>
  <c r="E688" i="1"/>
  <c r="E687" i="1"/>
  <c r="I689" i="1"/>
  <c r="I688" i="1"/>
  <c r="I687" i="1"/>
  <c r="I686" i="1"/>
  <c r="I685" i="1"/>
  <c r="I684" i="1"/>
  <c r="H690" i="1"/>
  <c r="K690" i="1"/>
  <c r="J690" i="1"/>
  <c r="L334" i="3"/>
  <c r="M334" i="3" s="1"/>
  <c r="O167" i="12"/>
  <c r="H587" i="1" s="1"/>
  <c r="H594" i="1" s="1"/>
  <c r="P166" i="12"/>
  <c r="BZ351" i="12"/>
  <c r="M204" i="20" s="1"/>
  <c r="P272" i="12"/>
  <c r="P376" i="12"/>
  <c r="P347" i="12"/>
  <c r="P346" i="12"/>
  <c r="P345" i="12"/>
  <c r="P343" i="12"/>
  <c r="P338" i="12"/>
  <c r="P322" i="12"/>
  <c r="BZ350" i="12" s="1"/>
  <c r="P382" i="12"/>
  <c r="M242" i="20" s="1"/>
  <c r="E861" i="20" s="1"/>
  <c r="P244" i="12"/>
  <c r="I679" i="20" s="1"/>
  <c r="P243" i="12"/>
  <c r="I677" i="20" s="1"/>
  <c r="P242" i="12"/>
  <c r="I676" i="20" s="1"/>
  <c r="P241" i="12"/>
  <c r="I675" i="20" s="1"/>
  <c r="P240" i="12"/>
  <c r="I674" i="20" s="1"/>
  <c r="P239" i="12"/>
  <c r="I673" i="20" s="1"/>
  <c r="P238" i="12"/>
  <c r="I672" i="20" s="1"/>
  <c r="P235" i="12"/>
  <c r="P231" i="12"/>
  <c r="P232" i="12" s="1"/>
  <c r="F937" i="1"/>
  <c r="I594" i="1"/>
  <c r="P209" i="12" s="1"/>
  <c r="P223" i="12"/>
  <c r="P204" i="12"/>
  <c r="P207" i="12" s="1"/>
  <c r="I586" i="1"/>
  <c r="G591" i="1"/>
  <c r="K211" i="20" s="1"/>
  <c r="C859" i="20" s="1"/>
  <c r="D591" i="1"/>
  <c r="H211" i="20" s="1"/>
  <c r="E591" i="1"/>
  <c r="I211" i="20" s="1"/>
  <c r="C1008" i="16" s="1"/>
  <c r="F591" i="1"/>
  <c r="P589" i="1"/>
  <c r="O589" i="1"/>
  <c r="P590" i="1"/>
  <c r="O590" i="1"/>
  <c r="N590" i="1"/>
  <c r="P266" i="12"/>
  <c r="I597" i="1"/>
  <c r="K194" i="18"/>
  <c r="K193" i="18"/>
  <c r="K192" i="18"/>
  <c r="N202" i="18"/>
  <c r="K202" i="18"/>
  <c r="H202" i="18"/>
  <c r="N201" i="18"/>
  <c r="H195" i="18"/>
  <c r="N196" i="18"/>
  <c r="N195" i="18"/>
  <c r="N194" i="18"/>
  <c r="N193" i="18"/>
  <c r="N192" i="18"/>
  <c r="H201" i="18"/>
  <c r="H198" i="18"/>
  <c r="K1009" i="16"/>
  <c r="H196" i="18"/>
  <c r="H194" i="18"/>
  <c r="H193" i="18"/>
  <c r="H192" i="18"/>
  <c r="S192" i="18"/>
  <c r="D188" i="16"/>
  <c r="J200" i="16" s="1"/>
  <c r="J203" i="16" s="1"/>
  <c r="E767" i="16"/>
  <c r="E766" i="16"/>
  <c r="E765" i="16"/>
  <c r="E764" i="16"/>
  <c r="E763" i="16"/>
  <c r="E762" i="16"/>
  <c r="C769" i="16"/>
  <c r="E769" i="16" s="1"/>
  <c r="C768" i="16"/>
  <c r="E861" i="16"/>
  <c r="T355" i="8"/>
  <c r="T353" i="8"/>
  <c r="H208" i="18"/>
  <c r="V195" i="18"/>
  <c r="U195" i="18"/>
  <c r="V194" i="18"/>
  <c r="U194" i="18"/>
  <c r="V192" i="18"/>
  <c r="U192" i="18"/>
  <c r="D194" i="18"/>
  <c r="R194" i="18"/>
  <c r="R193" i="18"/>
  <c r="S196" i="18"/>
  <c r="S195" i="18"/>
  <c r="S194" i="18"/>
  <c r="Q193" i="18"/>
  <c r="E194" i="18"/>
  <c r="G150" i="18"/>
  <c r="C194" i="18" s="1"/>
  <c r="F149" i="18"/>
  <c r="F142" i="18"/>
  <c r="E142" i="18" s="1"/>
  <c r="D142" i="18" s="1"/>
  <c r="C142" i="18" s="1"/>
  <c r="I72" i="18"/>
  <c r="D193" i="18"/>
  <c r="G135" i="18"/>
  <c r="S193" i="18" s="1"/>
  <c r="F135" i="18"/>
  <c r="E135" i="18"/>
  <c r="D135" i="18"/>
  <c r="C135" i="18"/>
  <c r="B397" i="8"/>
  <c r="B396" i="8"/>
  <c r="B395" i="8"/>
  <c r="B394" i="8"/>
  <c r="I58" i="18"/>
  <c r="I60" i="18" s="1"/>
  <c r="I62" i="18"/>
  <c r="Q192" i="18" s="1"/>
  <c r="H98" i="18"/>
  <c r="C193" i="18"/>
  <c r="D195" i="18"/>
  <c r="E99" i="18"/>
  <c r="D99" i="18"/>
  <c r="C99" i="18"/>
  <c r="F99" i="18"/>
  <c r="F95" i="18"/>
  <c r="F92" i="18"/>
  <c r="F87" i="18"/>
  <c r="G87" i="18" s="1"/>
  <c r="H87" i="18" s="1"/>
  <c r="F36" i="18"/>
  <c r="R195" i="18" s="1"/>
  <c r="E24" i="18"/>
  <c r="D24" i="18"/>
  <c r="C24" i="18"/>
  <c r="F24" i="18"/>
  <c r="C195" i="18" s="1"/>
  <c r="F28" i="18"/>
  <c r="E73" i="18"/>
  <c r="D73" i="18"/>
  <c r="C73" i="18"/>
  <c r="F73" i="18"/>
  <c r="D192" i="18" s="1"/>
  <c r="F32" i="18"/>
  <c r="E67" i="18"/>
  <c r="D67" i="18"/>
  <c r="C67" i="18"/>
  <c r="F67" i="18"/>
  <c r="C192" i="18" s="1"/>
  <c r="Q194" i="18"/>
  <c r="Q195" i="18"/>
  <c r="F194" i="18"/>
  <c r="D465" i="4"/>
  <c r="F720" i="16"/>
  <c r="D715" i="16"/>
  <c r="E715" i="16" s="1"/>
  <c r="F715" i="16" s="1"/>
  <c r="B853" i="16"/>
  <c r="E846" i="16"/>
  <c r="F846" i="16" s="1"/>
  <c r="G846" i="16" s="1"/>
  <c r="B852" i="16"/>
  <c r="B851" i="16"/>
  <c r="B850" i="16"/>
  <c r="B849" i="16"/>
  <c r="B848" i="16"/>
  <c r="B847" i="16"/>
  <c r="H622" i="1"/>
  <c r="L294" i="1"/>
  <c r="L321" i="1" s="1"/>
  <c r="L348" i="1" s="1"/>
  <c r="L375" i="1" s="1"/>
  <c r="K294" i="1"/>
  <c r="K321" i="1" s="1"/>
  <c r="K348" i="1" s="1"/>
  <c r="K375" i="1" s="1"/>
  <c r="F575" i="1" s="1"/>
  <c r="G693" i="1" s="1"/>
  <c r="J294" i="1"/>
  <c r="J321" i="1" s="1"/>
  <c r="H294" i="1"/>
  <c r="H321" i="1" s="1"/>
  <c r="H348" i="1" s="1"/>
  <c r="H375" i="1" s="1"/>
  <c r="V375" i="1" s="1"/>
  <c r="V402" i="1" s="1"/>
  <c r="G612" i="1"/>
  <c r="K391" i="20" s="1"/>
  <c r="N206" i="12"/>
  <c r="N207" i="12" s="1"/>
  <c r="O206" i="12"/>
  <c r="O207" i="12" s="1"/>
  <c r="H614" i="1" s="1"/>
  <c r="H613" i="1" s="1"/>
  <c r="L392" i="20" s="1"/>
  <c r="Q619" i="1"/>
  <c r="Q618" i="1"/>
  <c r="Q617" i="1"/>
  <c r="Q616" i="1"/>
  <c r="M620" i="1"/>
  <c r="M619" i="1"/>
  <c r="M618" i="1"/>
  <c r="M617" i="1"/>
  <c r="M616" i="1"/>
  <c r="O166" i="12"/>
  <c r="H577" i="1" s="1"/>
  <c r="H417" i="1"/>
  <c r="H420" i="1" s="1"/>
  <c r="H421" i="1" s="1"/>
  <c r="J403" i="1"/>
  <c r="J418" i="1" s="1"/>
  <c r="F602" i="1"/>
  <c r="J332" i="20" s="1"/>
  <c r="D576" i="1"/>
  <c r="K166" i="12"/>
  <c r="D577" i="1" s="1"/>
  <c r="F576" i="1"/>
  <c r="E602" i="1"/>
  <c r="I332" i="20" s="1"/>
  <c r="H604" i="1"/>
  <c r="L266" i="12"/>
  <c r="L213" i="12" s="1"/>
  <c r="C580" i="1"/>
  <c r="G194" i="20" s="1"/>
  <c r="D403" i="1"/>
  <c r="D75" i="20" s="1"/>
  <c r="F403" i="1"/>
  <c r="F702" i="1" s="1"/>
  <c r="CD58" i="9"/>
  <c r="CD62" i="9" s="1"/>
  <c r="CD54" i="10"/>
  <c r="E836" i="16"/>
  <c r="I843" i="16" s="1"/>
  <c r="D836" i="16"/>
  <c r="H843" i="16" s="1"/>
  <c r="C836" i="16"/>
  <c r="G843" i="16" s="1"/>
  <c r="I842" i="16"/>
  <c r="H842" i="16"/>
  <c r="G842" i="16"/>
  <c r="I841" i="16"/>
  <c r="H841" i="16"/>
  <c r="G841" i="16"/>
  <c r="I840" i="16"/>
  <c r="H840" i="16"/>
  <c r="G840" i="16"/>
  <c r="P67" i="9"/>
  <c r="P69" i="9"/>
  <c r="T225" i="14" s="1"/>
  <c r="O23" i="9"/>
  <c r="O25" i="9" s="1"/>
  <c r="O26" i="9" s="1"/>
  <c r="P23" i="9"/>
  <c r="P25" i="9" s="1"/>
  <c r="P26" i="9" s="1"/>
  <c r="P113" i="9"/>
  <c r="P136" i="9"/>
  <c r="P137" i="9" s="1"/>
  <c r="P118" i="9"/>
  <c r="P114" i="11" s="1"/>
  <c r="P38" i="9"/>
  <c r="P141" i="9" s="1"/>
  <c r="P137" i="11" s="1"/>
  <c r="Q140" i="9"/>
  <c r="R140" i="9" s="1"/>
  <c r="M72" i="13"/>
  <c r="H402" i="1"/>
  <c r="H447" i="1" s="1"/>
  <c r="J396" i="1"/>
  <c r="L396" i="1" s="1"/>
  <c r="K72" i="20" s="1"/>
  <c r="K249" i="3" s="1"/>
  <c r="J369" i="1"/>
  <c r="J342" i="1"/>
  <c r="J315" i="1"/>
  <c r="L315" i="1" s="1"/>
  <c r="K71" i="20" s="1"/>
  <c r="K121" i="3" s="1"/>
  <c r="K145" i="3" s="1"/>
  <c r="K362" i="1"/>
  <c r="K363" i="1"/>
  <c r="K364" i="1"/>
  <c r="K365" i="1"/>
  <c r="K335" i="1"/>
  <c r="K336" i="1"/>
  <c r="K337" i="1"/>
  <c r="K338" i="1"/>
  <c r="K281" i="1"/>
  <c r="K282" i="1"/>
  <c r="K283" i="1"/>
  <c r="K284" i="1"/>
  <c r="J399" i="1"/>
  <c r="J372" i="1"/>
  <c r="J345" i="1"/>
  <c r="J318" i="1"/>
  <c r="J470" i="1" s="1"/>
  <c r="J291" i="1"/>
  <c r="J469" i="1" s="1"/>
  <c r="K416" i="1"/>
  <c r="K474" i="1" s="1"/>
  <c r="E350" i="3"/>
  <c r="G350" i="3" s="1"/>
  <c r="J350" i="3"/>
  <c r="H446" i="1"/>
  <c r="K446" i="1"/>
  <c r="E349" i="3"/>
  <c r="G349" i="3" s="1"/>
  <c r="J349" i="3"/>
  <c r="J166" i="3"/>
  <c r="K166" i="3" s="1"/>
  <c r="L166" i="3" s="1"/>
  <c r="M166" i="3" s="1"/>
  <c r="N166" i="3" s="1"/>
  <c r="O166" i="3" s="1"/>
  <c r="P166" i="3" s="1"/>
  <c r="Q166" i="3" s="1"/>
  <c r="R166" i="3" s="1"/>
  <c r="S166" i="3" s="1"/>
  <c r="I154" i="3"/>
  <c r="J154" i="3" s="1"/>
  <c r="K154" i="3" s="1"/>
  <c r="L154" i="3" s="1"/>
  <c r="E685" i="16" s="1"/>
  <c r="I156" i="3"/>
  <c r="J156" i="3" s="1"/>
  <c r="K156" i="3" s="1"/>
  <c r="L156" i="3" s="1"/>
  <c r="M156" i="3" s="1"/>
  <c r="I158" i="3"/>
  <c r="J158" i="3" s="1"/>
  <c r="E348" i="3"/>
  <c r="G348" i="3" s="1"/>
  <c r="J348" i="3"/>
  <c r="I113" i="3"/>
  <c r="I110" i="3"/>
  <c r="I111" i="3"/>
  <c r="J135" i="3"/>
  <c r="K135" i="3" s="1"/>
  <c r="L135" i="3" s="1"/>
  <c r="M135" i="3" s="1"/>
  <c r="N135" i="3" s="1"/>
  <c r="O135" i="3" s="1"/>
  <c r="P135" i="3" s="1"/>
  <c r="Q135" i="3" s="1"/>
  <c r="R135" i="3" s="1"/>
  <c r="S135" i="3" s="1"/>
  <c r="J126" i="3"/>
  <c r="F63" i="18" s="1"/>
  <c r="F64" i="18" s="1"/>
  <c r="J137" i="3"/>
  <c r="K137" i="3" s="1"/>
  <c r="J128" i="3"/>
  <c r="J139" i="3"/>
  <c r="J130" i="3"/>
  <c r="C691" i="16" s="1"/>
  <c r="J133" i="3"/>
  <c r="K133" i="3" s="1"/>
  <c r="L133" i="3" s="1"/>
  <c r="M133" i="3" s="1"/>
  <c r="J124" i="3"/>
  <c r="K124" i="3" s="1"/>
  <c r="L124" i="3" s="1"/>
  <c r="M124" i="3" s="1"/>
  <c r="N124" i="3" s="1"/>
  <c r="O124" i="3" s="1"/>
  <c r="P124" i="3" s="1"/>
  <c r="Q124" i="3" s="1"/>
  <c r="R124" i="3" s="1"/>
  <c r="S124" i="3" s="1"/>
  <c r="K102" i="3"/>
  <c r="L102" i="3" s="1"/>
  <c r="M102" i="3" s="1"/>
  <c r="N102" i="3" s="1"/>
  <c r="O102" i="3" s="1"/>
  <c r="P102" i="3" s="1"/>
  <c r="Q102" i="3" s="1"/>
  <c r="R102" i="3" s="1"/>
  <c r="S102" i="3" s="1"/>
  <c r="E347" i="3"/>
  <c r="G347" i="3" s="1"/>
  <c r="J347" i="3"/>
  <c r="I55" i="3"/>
  <c r="I266" i="3" s="1"/>
  <c r="I264" i="3"/>
  <c r="J291" i="3"/>
  <c r="J282" i="3"/>
  <c r="K283" i="3"/>
  <c r="L283" i="3"/>
  <c r="M283" i="3"/>
  <c r="N283" i="3"/>
  <c r="O283" i="3"/>
  <c r="P283" i="3"/>
  <c r="Q283" i="3"/>
  <c r="R283" i="3"/>
  <c r="S283" i="3"/>
  <c r="H444" i="1"/>
  <c r="J297" i="3"/>
  <c r="K297" i="3" s="1"/>
  <c r="L297" i="3" s="1"/>
  <c r="M297" i="3" s="1"/>
  <c r="N297" i="3" s="1"/>
  <c r="O297" i="3" s="1"/>
  <c r="J288" i="3"/>
  <c r="J293" i="3"/>
  <c r="K293" i="3" s="1"/>
  <c r="L293" i="3" s="1"/>
  <c r="J284" i="3"/>
  <c r="K284" i="3" s="1"/>
  <c r="J295" i="3"/>
  <c r="J286" i="3"/>
  <c r="K286" i="3" s="1"/>
  <c r="L286" i="3" s="1"/>
  <c r="M286" i="3" s="1"/>
  <c r="E346" i="3"/>
  <c r="G346" i="3" s="1"/>
  <c r="J346" i="3"/>
  <c r="I6" i="3"/>
  <c r="I4" i="3"/>
  <c r="J32" i="3"/>
  <c r="K32" i="3" s="1"/>
  <c r="L32" i="3" s="1"/>
  <c r="M32" i="3" s="1"/>
  <c r="N32" i="3" s="1"/>
  <c r="O32" i="3" s="1"/>
  <c r="P32" i="3" s="1"/>
  <c r="Q32" i="3" s="1"/>
  <c r="J23" i="3"/>
  <c r="I12" i="3"/>
  <c r="I9" i="3"/>
  <c r="I10" i="3"/>
  <c r="J34" i="3"/>
  <c r="K34" i="3" s="1"/>
  <c r="L34" i="3" s="1"/>
  <c r="M34" i="3" s="1"/>
  <c r="N34" i="3" s="1"/>
  <c r="O34" i="3" s="1"/>
  <c r="P34" i="3" s="1"/>
  <c r="Q34" i="3" s="1"/>
  <c r="R34" i="3" s="1"/>
  <c r="S34" i="3" s="1"/>
  <c r="J25" i="3"/>
  <c r="K25" i="3" s="1"/>
  <c r="J36" i="3"/>
  <c r="J27" i="3"/>
  <c r="J38" i="3"/>
  <c r="K38" i="3" s="1"/>
  <c r="L38" i="3" s="1"/>
  <c r="M38" i="3" s="1"/>
  <c r="N38" i="3" s="1"/>
  <c r="O38" i="3" s="1"/>
  <c r="P38" i="3" s="1"/>
  <c r="Q38" i="3" s="1"/>
  <c r="J29" i="3"/>
  <c r="E345" i="3"/>
  <c r="G345" i="3" s="1"/>
  <c r="J345" i="3"/>
  <c r="BN179" i="12"/>
  <c r="G566" i="4"/>
  <c r="H566" i="4" s="1"/>
  <c r="I566" i="4" s="1"/>
  <c r="I598" i="4" s="1"/>
  <c r="G500" i="4"/>
  <c r="G565" i="4"/>
  <c r="H565" i="4" s="1"/>
  <c r="G499" i="4"/>
  <c r="G567" i="4"/>
  <c r="H567" i="4" s="1"/>
  <c r="H599" i="4" s="1"/>
  <c r="L31" i="13"/>
  <c r="L54" i="13" s="1"/>
  <c r="O307" i="12"/>
  <c r="N307" i="12"/>
  <c r="H586" i="1"/>
  <c r="J407" i="1"/>
  <c r="W407" i="1" s="1"/>
  <c r="W421" i="1" s="1"/>
  <c r="F586" i="1"/>
  <c r="D612" i="1"/>
  <c r="H391" i="20" s="1"/>
  <c r="K206" i="12"/>
  <c r="B527" i="12" s="1"/>
  <c r="K167" i="12"/>
  <c r="D587" i="1" s="1"/>
  <c r="H232" i="20" s="1"/>
  <c r="J436" i="1"/>
  <c r="E612" i="1" s="1"/>
  <c r="I391" i="20" s="1"/>
  <c r="L206" i="12"/>
  <c r="L167" i="12"/>
  <c r="L209" i="12" s="1"/>
  <c r="C530" i="12" s="1"/>
  <c r="D586" i="1"/>
  <c r="F612" i="1"/>
  <c r="J391" i="20" s="1"/>
  <c r="M204" i="12"/>
  <c r="M206" i="12"/>
  <c r="M167" i="12"/>
  <c r="F587" i="1" s="1"/>
  <c r="J232" i="20" s="1"/>
  <c r="N167" i="12"/>
  <c r="N209" i="12" s="1"/>
  <c r="H455" i="1"/>
  <c r="J397" i="1"/>
  <c r="L397" i="1" s="1"/>
  <c r="L455" i="1" s="1"/>
  <c r="K455" i="1"/>
  <c r="H454" i="4"/>
  <c r="H238" i="4" s="1"/>
  <c r="M403" i="1"/>
  <c r="M407" i="1" s="1"/>
  <c r="J423" i="1"/>
  <c r="J424" i="1"/>
  <c r="K424" i="1" s="1"/>
  <c r="L424" i="1" s="1"/>
  <c r="M427" i="1"/>
  <c r="N427" i="1" s="1"/>
  <c r="O427" i="1" s="1"/>
  <c r="P427" i="1" s="1"/>
  <c r="M434" i="1"/>
  <c r="D634" i="1"/>
  <c r="D839" i="16"/>
  <c r="E839" i="16" s="1"/>
  <c r="E834" i="16"/>
  <c r="D834" i="16"/>
  <c r="C834" i="16"/>
  <c r="E831" i="16"/>
  <c r="D831" i="16"/>
  <c r="C831" i="16"/>
  <c r="D828" i="16"/>
  <c r="E828" i="16" s="1"/>
  <c r="D817" i="16"/>
  <c r="E817" i="16" s="1"/>
  <c r="G603" i="1"/>
  <c r="G580" i="1"/>
  <c r="F603" i="1"/>
  <c r="M166" i="12"/>
  <c r="M193" i="12" s="1"/>
  <c r="E603" i="1"/>
  <c r="I333" i="20" s="1"/>
  <c r="L166" i="12"/>
  <c r="L193" i="12" s="1"/>
  <c r="D603" i="1"/>
  <c r="C587" i="1"/>
  <c r="F407" i="1"/>
  <c r="D407" i="1" s="1"/>
  <c r="G577" i="1"/>
  <c r="K191" i="20" s="1"/>
  <c r="N272" i="12"/>
  <c r="BX272" i="12" s="1"/>
  <c r="J463" i="12" s="1"/>
  <c r="O272" i="12"/>
  <c r="N266" i="12"/>
  <c r="N213" i="12" s="1"/>
  <c r="O266" i="12"/>
  <c r="O268" i="12" s="1"/>
  <c r="O269" i="12" s="1"/>
  <c r="O338" i="12"/>
  <c r="O580" i="1"/>
  <c r="O376" i="12"/>
  <c r="O347" i="12"/>
  <c r="O346" i="12"/>
  <c r="O345" i="12"/>
  <c r="O344" i="12"/>
  <c r="O343" i="12"/>
  <c r="C554" i="8"/>
  <c r="O403" i="1"/>
  <c r="AD403" i="1" s="1"/>
  <c r="E694" i="1"/>
  <c r="BY351" i="12"/>
  <c r="L204" i="20" s="1"/>
  <c r="D650" i="1"/>
  <c r="D648" i="1"/>
  <c r="Y591" i="1"/>
  <c r="X592" i="1"/>
  <c r="Y592" i="1" s="1"/>
  <c r="G294" i="1"/>
  <c r="G321" i="1" s="1"/>
  <c r="G348" i="1" s="1"/>
  <c r="G375" i="1" s="1"/>
  <c r="G701" i="1" s="1"/>
  <c r="M294" i="1"/>
  <c r="M321" i="1" s="1"/>
  <c r="M348" i="1" s="1"/>
  <c r="M375" i="1" s="1"/>
  <c r="Z375" i="1" s="1"/>
  <c r="AA402" i="1" s="1"/>
  <c r="K218" i="12"/>
  <c r="BY382" i="12" s="1"/>
  <c r="F223" i="12"/>
  <c r="BP212" i="12" s="1"/>
  <c r="BZ57" i="9"/>
  <c r="F351" i="12"/>
  <c r="F383" i="12" s="1"/>
  <c r="F387" i="12" s="1"/>
  <c r="BV54" i="10"/>
  <c r="BX54" i="11" s="1"/>
  <c r="B166" i="12" s="1"/>
  <c r="F214" i="12"/>
  <c r="B272" i="12"/>
  <c r="BP272" i="12" s="1"/>
  <c r="B382" i="12"/>
  <c r="BP382" i="12" s="1"/>
  <c r="B464" i="12" s="1"/>
  <c r="O223" i="12"/>
  <c r="H671" i="20" s="1"/>
  <c r="O383" i="12"/>
  <c r="D868" i="20" s="1"/>
  <c r="O322" i="12"/>
  <c r="O219" i="12"/>
  <c r="K266" i="12"/>
  <c r="K213" i="12" s="1"/>
  <c r="K457" i="12"/>
  <c r="M266" i="12"/>
  <c r="M268" i="12" s="1"/>
  <c r="M269" i="12" s="1"/>
  <c r="CC53" i="10"/>
  <c r="CC72" i="10" s="1"/>
  <c r="CB58" i="9"/>
  <c r="CB62" i="9" s="1"/>
  <c r="CB54" i="10"/>
  <c r="CA58" i="9"/>
  <c r="CA62" i="9" s="1"/>
  <c r="CA54" i="10"/>
  <c r="G664" i="1"/>
  <c r="C663" i="1"/>
  <c r="C664" i="1" s="1"/>
  <c r="D659" i="1"/>
  <c r="D647" i="1"/>
  <c r="D641" i="1"/>
  <c r="C647" i="1"/>
  <c r="D645" i="1"/>
  <c r="C644" i="1"/>
  <c r="D644" i="1"/>
  <c r="D642" i="1"/>
  <c r="C642" i="1"/>
  <c r="O575" i="1"/>
  <c r="Q354" i="8"/>
  <c r="T354" i="8" s="1"/>
  <c r="Q357" i="8"/>
  <c r="T357" i="8" s="1"/>
  <c r="N358" i="8"/>
  <c r="H359" i="8" s="1"/>
  <c r="I359" i="8" s="1"/>
  <c r="I364" i="8" s="1"/>
  <c r="F355" i="8"/>
  <c r="H355" i="8" s="1"/>
  <c r="S355" i="8" s="1"/>
  <c r="G356" i="8"/>
  <c r="H356" i="8" s="1"/>
  <c r="I194" i="18" s="1"/>
  <c r="F353" i="8"/>
  <c r="H353" i="8" s="1"/>
  <c r="I195" i="18" s="1"/>
  <c r="H354" i="8"/>
  <c r="I192" i="18" s="1"/>
  <c r="F357" i="8"/>
  <c r="H357" i="8" s="1"/>
  <c r="I193" i="18" s="1"/>
  <c r="R358" i="8"/>
  <c r="K272" i="12"/>
  <c r="K280" i="12" s="1"/>
  <c r="J226" i="12"/>
  <c r="O244" i="12"/>
  <c r="H679" i="20" s="1"/>
  <c r="O243" i="12"/>
  <c r="H677" i="20" s="1"/>
  <c r="O242" i="12"/>
  <c r="H676" i="20" s="1"/>
  <c r="O241" i="12"/>
  <c r="H675" i="20" s="1"/>
  <c r="O240" i="12"/>
  <c r="H674" i="20" s="1"/>
  <c r="O239" i="12"/>
  <c r="H673" i="20" s="1"/>
  <c r="O238" i="12"/>
  <c r="H672" i="20" s="1"/>
  <c r="O235" i="12"/>
  <c r="O231" i="12"/>
  <c r="O232" i="12" s="1"/>
  <c r="H473" i="1"/>
  <c r="K473" i="1"/>
  <c r="L473" i="1"/>
  <c r="B61" i="17"/>
  <c r="H469" i="1"/>
  <c r="K469" i="1"/>
  <c r="L469" i="1"/>
  <c r="H471" i="1"/>
  <c r="K471" i="1"/>
  <c r="L471" i="1"/>
  <c r="H470" i="1"/>
  <c r="K470" i="1"/>
  <c r="L470" i="1"/>
  <c r="H472" i="1"/>
  <c r="K472" i="1"/>
  <c r="L472" i="1"/>
  <c r="H453" i="1"/>
  <c r="J343" i="1"/>
  <c r="J453" i="1" s="1"/>
  <c r="K453" i="1"/>
  <c r="H406" i="1"/>
  <c r="H456" i="1" s="1"/>
  <c r="J370" i="1"/>
  <c r="J316" i="1"/>
  <c r="J289" i="1"/>
  <c r="J451" i="1" s="1"/>
  <c r="K406" i="1"/>
  <c r="K456" i="1" s="1"/>
  <c r="C3" i="16"/>
  <c r="C5" i="16"/>
  <c r="C6" i="16"/>
  <c r="P54" i="10"/>
  <c r="P109" i="10" s="1"/>
  <c r="K31" i="13"/>
  <c r="E796" i="16"/>
  <c r="O294" i="1"/>
  <c r="O321" i="1" s="1"/>
  <c r="O348" i="1" s="1"/>
  <c r="O375" i="1" s="1"/>
  <c r="AB375" i="1" s="1"/>
  <c r="AC402" i="1" s="1"/>
  <c r="N294" i="1"/>
  <c r="N321" i="1" s="1"/>
  <c r="N348" i="1" s="1"/>
  <c r="N375" i="1" s="1"/>
  <c r="AA375" i="1" s="1"/>
  <c r="AB402" i="1" s="1"/>
  <c r="J180" i="3"/>
  <c r="J196" i="3" s="1"/>
  <c r="J177" i="3"/>
  <c r="J178" i="3" s="1"/>
  <c r="J186" i="3"/>
  <c r="K186" i="3" s="1"/>
  <c r="L186" i="3" s="1"/>
  <c r="F53" i="16" s="1"/>
  <c r="I187" i="3"/>
  <c r="L201" i="3"/>
  <c r="M201" i="3" s="1"/>
  <c r="N201" i="3" s="1"/>
  <c r="O201" i="3" s="1"/>
  <c r="P201" i="3" s="1"/>
  <c r="Q201" i="3" s="1"/>
  <c r="R201" i="3" s="1"/>
  <c r="S201" i="3" s="1"/>
  <c r="C612" i="1"/>
  <c r="G391" i="20" s="1"/>
  <c r="K407" i="12"/>
  <c r="K431" i="12" s="1"/>
  <c r="E288" i="1"/>
  <c r="E70" i="20" s="1"/>
  <c r="E315" i="1"/>
  <c r="E71" i="20" s="1"/>
  <c r="G444" i="1"/>
  <c r="E369" i="1"/>
  <c r="E73" i="20" s="1"/>
  <c r="G446" i="1"/>
  <c r="K443" i="1"/>
  <c r="F442" i="1"/>
  <c r="F443" i="1"/>
  <c r="F444" i="1"/>
  <c r="F445" i="1"/>
  <c r="F446" i="1"/>
  <c r="E342" i="1"/>
  <c r="E69" i="20" s="1"/>
  <c r="E396" i="1"/>
  <c r="E72" i="20" s="1"/>
  <c r="H442" i="1"/>
  <c r="H443" i="1"/>
  <c r="H445" i="1"/>
  <c r="D442" i="1"/>
  <c r="D443" i="1"/>
  <c r="D444" i="1"/>
  <c r="D445" i="1"/>
  <c r="D446" i="1"/>
  <c r="J427" i="1"/>
  <c r="L427" i="1" s="1"/>
  <c r="J425" i="1"/>
  <c r="L425" i="1" s="1"/>
  <c r="C796" i="16"/>
  <c r="B802" i="16"/>
  <c r="B801" i="16"/>
  <c r="B800" i="16"/>
  <c r="B799" i="16"/>
  <c r="D796" i="16"/>
  <c r="F417" i="1"/>
  <c r="E399" i="1"/>
  <c r="E473" i="1" s="1"/>
  <c r="E372" i="1"/>
  <c r="E345" i="1"/>
  <c r="E471" i="1" s="1"/>
  <c r="E318" i="1"/>
  <c r="E470" i="1" s="1"/>
  <c r="E291" i="1"/>
  <c r="E469" i="1" s="1"/>
  <c r="G372" i="1"/>
  <c r="G472" i="1" s="1"/>
  <c r="G318" i="1"/>
  <c r="G470" i="1" s="1"/>
  <c r="G291" i="1"/>
  <c r="G469" i="1" s="1"/>
  <c r="D473" i="1"/>
  <c r="F473" i="1"/>
  <c r="G473" i="1"/>
  <c r="I44" i="3"/>
  <c r="C32" i="16"/>
  <c r="D471" i="1"/>
  <c r="F471" i="1"/>
  <c r="G471" i="1"/>
  <c r="I145" i="3"/>
  <c r="C42" i="16" s="1"/>
  <c r="I168" i="3"/>
  <c r="V10" i="1"/>
  <c r="V105" i="1" s="1"/>
  <c r="W10" i="1"/>
  <c r="W123" i="1" s="1"/>
  <c r="V28" i="1"/>
  <c r="W28" i="1"/>
  <c r="W125" i="1" s="1"/>
  <c r="V34" i="1"/>
  <c r="V126" i="1" s="1"/>
  <c r="W34" i="1"/>
  <c r="P411" i="1"/>
  <c r="O411" i="1"/>
  <c r="N411" i="1"/>
  <c r="M411" i="1"/>
  <c r="L411" i="1"/>
  <c r="K411" i="1"/>
  <c r="K412" i="1" s="1"/>
  <c r="K413" i="1" s="1"/>
  <c r="J411" i="1"/>
  <c r="H411" i="1"/>
  <c r="H412" i="1" s="1"/>
  <c r="H413" i="1" s="1"/>
  <c r="S342" i="3"/>
  <c r="R342" i="3"/>
  <c r="Q342" i="3"/>
  <c r="P342" i="3"/>
  <c r="O342" i="3"/>
  <c r="N342" i="3"/>
  <c r="M342" i="3"/>
  <c r="L342" i="3"/>
  <c r="K342" i="3"/>
  <c r="J342" i="3"/>
  <c r="F472" i="1"/>
  <c r="F470" i="1"/>
  <c r="F469" i="1"/>
  <c r="D472" i="1"/>
  <c r="D469" i="1"/>
  <c r="D470" i="1"/>
  <c r="P475" i="1"/>
  <c r="O475" i="1"/>
  <c r="N475" i="1"/>
  <c r="M475" i="1"/>
  <c r="K319" i="1"/>
  <c r="G346" i="1"/>
  <c r="F346" i="1"/>
  <c r="K400" i="1"/>
  <c r="G400" i="1"/>
  <c r="F400" i="1"/>
  <c r="H400" i="1"/>
  <c r="D400" i="1"/>
  <c r="H373" i="1"/>
  <c r="F373" i="1"/>
  <c r="D373" i="1"/>
  <c r="H371" i="1"/>
  <c r="F371" i="1"/>
  <c r="D371" i="1"/>
  <c r="H346" i="1"/>
  <c r="D346" i="1"/>
  <c r="H319" i="1"/>
  <c r="F319" i="1"/>
  <c r="D319" i="1"/>
  <c r="H292" i="1"/>
  <c r="F292" i="1"/>
  <c r="D292" i="1"/>
  <c r="S247" i="3"/>
  <c r="S262" i="3" s="1"/>
  <c r="S310" i="3" s="1"/>
  <c r="S323" i="3" s="1"/>
  <c r="R247" i="3"/>
  <c r="R262" i="3" s="1"/>
  <c r="R310" i="3" s="1"/>
  <c r="R323" i="3" s="1"/>
  <c r="Q247" i="3"/>
  <c r="Q262" i="3" s="1"/>
  <c r="Q310" i="3" s="1"/>
  <c r="Q323" i="3" s="1"/>
  <c r="P247" i="3"/>
  <c r="P262" i="3" s="1"/>
  <c r="P310" i="3" s="1"/>
  <c r="P323" i="3" s="1"/>
  <c r="O247" i="3"/>
  <c r="O262" i="3" s="1"/>
  <c r="O310" i="3" s="1"/>
  <c r="O323" i="3" s="1"/>
  <c r="N247" i="3"/>
  <c r="N262" i="3" s="1"/>
  <c r="N310" i="3" s="1"/>
  <c r="N323" i="3" s="1"/>
  <c r="M247" i="3"/>
  <c r="M262" i="3" s="1"/>
  <c r="M310" i="3" s="1"/>
  <c r="M323" i="3" s="1"/>
  <c r="L247" i="3"/>
  <c r="L262" i="3" s="1"/>
  <c r="L310" i="3" s="1"/>
  <c r="L323" i="3" s="1"/>
  <c r="K247" i="3"/>
  <c r="K262" i="3" s="1"/>
  <c r="K310" i="3" s="1"/>
  <c r="K323" i="3" s="1"/>
  <c r="J247" i="3"/>
  <c r="J262" i="3" s="1"/>
  <c r="J310" i="3" s="1"/>
  <c r="J323" i="3" s="1"/>
  <c r="I247" i="3"/>
  <c r="I262" i="3" s="1"/>
  <c r="I310" i="3" s="1"/>
  <c r="I323" i="3" s="1"/>
  <c r="H247" i="3"/>
  <c r="H262" i="3" s="1"/>
  <c r="H310" i="3" s="1"/>
  <c r="H323" i="3" s="1"/>
  <c r="G247" i="3"/>
  <c r="G262" i="3" s="1"/>
  <c r="G310" i="3" s="1"/>
  <c r="G323" i="3" s="1"/>
  <c r="F247" i="3"/>
  <c r="F262" i="3" s="1"/>
  <c r="F310" i="3" s="1"/>
  <c r="F323" i="3" s="1"/>
  <c r="E247" i="3"/>
  <c r="E262" i="3" s="1"/>
  <c r="E310" i="3" s="1"/>
  <c r="E323" i="3" s="1"/>
  <c r="D247" i="3"/>
  <c r="D262" i="3" s="1"/>
  <c r="D310" i="3" s="1"/>
  <c r="D323" i="3" s="1"/>
  <c r="G455" i="1"/>
  <c r="F455" i="1"/>
  <c r="K454" i="1"/>
  <c r="H454" i="1"/>
  <c r="F454" i="1"/>
  <c r="F453" i="1"/>
  <c r="K452" i="1"/>
  <c r="H452" i="1"/>
  <c r="F452" i="1"/>
  <c r="K451" i="1"/>
  <c r="H451" i="1"/>
  <c r="F451" i="1"/>
  <c r="D455" i="1"/>
  <c r="D454" i="1"/>
  <c r="D453" i="1"/>
  <c r="D452" i="1"/>
  <c r="D451" i="1"/>
  <c r="B457" i="1"/>
  <c r="B466" i="1" s="1"/>
  <c r="B475" i="1" s="1"/>
  <c r="B484" i="1" s="1"/>
  <c r="B456" i="1"/>
  <c r="B465" i="1" s="1"/>
  <c r="B474" i="1" s="1"/>
  <c r="B483" i="1" s="1"/>
  <c r="B455" i="1"/>
  <c r="B464" i="1" s="1"/>
  <c r="B473" i="1" s="1"/>
  <c r="B482" i="1" s="1"/>
  <c r="B454" i="1"/>
  <c r="B463" i="1" s="1"/>
  <c r="B472" i="1" s="1"/>
  <c r="B481" i="1" s="1"/>
  <c r="B453" i="1"/>
  <c r="B462" i="1" s="1"/>
  <c r="B471" i="1" s="1"/>
  <c r="B480" i="1" s="1"/>
  <c r="B452" i="1"/>
  <c r="B461" i="1" s="1"/>
  <c r="B470" i="1" s="1"/>
  <c r="B479" i="1" s="1"/>
  <c r="B451" i="1"/>
  <c r="B460" i="1" s="1"/>
  <c r="B469" i="1" s="1"/>
  <c r="B478" i="1" s="1"/>
  <c r="V342" i="1"/>
  <c r="V396" i="1"/>
  <c r="G398" i="1"/>
  <c r="F398" i="1"/>
  <c r="E370" i="1"/>
  <c r="G370" i="1" s="1"/>
  <c r="G454" i="1" s="1"/>
  <c r="U492" i="1"/>
  <c r="W492" i="1"/>
  <c r="D492" i="1"/>
  <c r="H492" i="1"/>
  <c r="C294" i="1"/>
  <c r="C321" i="1" s="1"/>
  <c r="C348" i="1" s="1"/>
  <c r="C375" i="1" s="1"/>
  <c r="C487" i="1" s="1"/>
  <c r="Y496" i="1"/>
  <c r="Y495" i="1"/>
  <c r="Y489" i="1"/>
  <c r="Y488" i="1"/>
  <c r="L502" i="1"/>
  <c r="L501" i="1"/>
  <c r="G502" i="1"/>
  <c r="G501" i="1"/>
  <c r="G498" i="1"/>
  <c r="L498" i="1"/>
  <c r="G491" i="1"/>
  <c r="H491" i="1" s="1"/>
  <c r="L491" i="1"/>
  <c r="B497" i="1"/>
  <c r="B498" i="1"/>
  <c r="B503" i="1" s="1"/>
  <c r="B496" i="1"/>
  <c r="B502" i="1" s="1"/>
  <c r="B495" i="1"/>
  <c r="B501" i="1" s="1"/>
  <c r="F344" i="1"/>
  <c r="J143" i="3"/>
  <c r="J42" i="3"/>
  <c r="F718" i="1"/>
  <c r="F722" i="1"/>
  <c r="F717" i="1"/>
  <c r="F714" i="1"/>
  <c r="F716" i="1"/>
  <c r="F713" i="1"/>
  <c r="G121" i="18"/>
  <c r="G125" i="18" s="1"/>
  <c r="G126" i="18" s="1"/>
  <c r="F121" i="18"/>
  <c r="F125" i="18" s="1"/>
  <c r="F126" i="18" s="1"/>
  <c r="E121" i="18"/>
  <c r="E125" i="18" s="1"/>
  <c r="E126" i="18" s="1"/>
  <c r="D121" i="18"/>
  <c r="D125" i="18" s="1"/>
  <c r="D126" i="18" s="1"/>
  <c r="C121" i="18"/>
  <c r="C125" i="18" s="1"/>
  <c r="C126" i="18" s="1"/>
  <c r="D172" i="18"/>
  <c r="D173" i="18" s="1"/>
  <c r="C172" i="18"/>
  <c r="C186" i="18" s="1"/>
  <c r="D167" i="18"/>
  <c r="D169" i="18" s="1"/>
  <c r="C167" i="18"/>
  <c r="C169" i="18" s="1"/>
  <c r="C183" i="18" s="1"/>
  <c r="C184" i="18" s="1"/>
  <c r="F114" i="18"/>
  <c r="E114" i="18"/>
  <c r="D114" i="18"/>
  <c r="C114" i="18"/>
  <c r="E94" i="18"/>
  <c r="D94" i="18"/>
  <c r="C94" i="18"/>
  <c r="E92" i="18"/>
  <c r="D92" i="18"/>
  <c r="C92" i="18"/>
  <c r="E86" i="18"/>
  <c r="D86" i="18"/>
  <c r="C86" i="18"/>
  <c r="E75" i="18"/>
  <c r="E76" i="18" s="1"/>
  <c r="D75" i="18"/>
  <c r="D76" i="18" s="1"/>
  <c r="F70" i="18"/>
  <c r="E70" i="18"/>
  <c r="D70" i="18"/>
  <c r="C70" i="18"/>
  <c r="E63" i="18"/>
  <c r="E64" i="18" s="1"/>
  <c r="D63" i="18"/>
  <c r="D64" i="18" s="1"/>
  <c r="D57" i="18"/>
  <c r="E57" i="18" s="1"/>
  <c r="F57" i="18" s="1"/>
  <c r="G57" i="18" s="1"/>
  <c r="E32" i="18"/>
  <c r="D32" i="18"/>
  <c r="E30" i="18"/>
  <c r="E31" i="18" s="1"/>
  <c r="D30" i="18"/>
  <c r="D31" i="18" s="1"/>
  <c r="E28" i="18"/>
  <c r="D28" i="18"/>
  <c r="C28" i="18"/>
  <c r="F20" i="18"/>
  <c r="E20" i="18"/>
  <c r="D20" i="18"/>
  <c r="C20" i="18"/>
  <c r="D18" i="18"/>
  <c r="E18" i="18" s="1"/>
  <c r="F18" i="18" s="1"/>
  <c r="G18" i="18" s="1"/>
  <c r="E15" i="18"/>
  <c r="E16" i="18" s="1"/>
  <c r="D15" i="18"/>
  <c r="D16" i="18" s="1"/>
  <c r="F12" i="18"/>
  <c r="E12" i="18"/>
  <c r="D12" i="18"/>
  <c r="C12" i="18"/>
  <c r="D10" i="18"/>
  <c r="E10" i="18" s="1"/>
  <c r="F10" i="18" s="1"/>
  <c r="G10" i="18" s="1"/>
  <c r="K398" i="1"/>
  <c r="H398" i="1"/>
  <c r="D398" i="1"/>
  <c r="E397" i="1"/>
  <c r="E455" i="1" s="1"/>
  <c r="B734" i="1"/>
  <c r="B732" i="1"/>
  <c r="B730" i="1"/>
  <c r="B724" i="1"/>
  <c r="B733" i="1" s="1"/>
  <c r="B720" i="1"/>
  <c r="B731" i="1" s="1"/>
  <c r="B713" i="1"/>
  <c r="B729" i="1" s="1"/>
  <c r="V425" i="1"/>
  <c r="W425" i="1"/>
  <c r="X425" i="1"/>
  <c r="Y421" i="1"/>
  <c r="X421" i="1"/>
  <c r="V420" i="1"/>
  <c r="V419" i="1"/>
  <c r="K706" i="1"/>
  <c r="J706" i="1"/>
  <c r="E706" i="1"/>
  <c r="K703" i="1"/>
  <c r="H703" i="1"/>
  <c r="E703" i="1"/>
  <c r="K702" i="1"/>
  <c r="D344" i="1"/>
  <c r="E343" i="1"/>
  <c r="G343" i="1" s="1"/>
  <c r="G453" i="1" s="1"/>
  <c r="H344" i="1"/>
  <c r="F317" i="1"/>
  <c r="K317" i="1"/>
  <c r="X289" i="1"/>
  <c r="V289" i="1"/>
  <c r="V288" i="1"/>
  <c r="F290" i="1"/>
  <c r="H317" i="1"/>
  <c r="D317" i="1"/>
  <c r="H290" i="1"/>
  <c r="D290" i="1"/>
  <c r="E316" i="1"/>
  <c r="E452" i="1" s="1"/>
  <c r="E289" i="1"/>
  <c r="E451" i="1" s="1"/>
  <c r="Y417" i="1"/>
  <c r="H702" i="1"/>
  <c r="H870" i="12"/>
  <c r="I966" i="12"/>
  <c r="L966" i="12" s="1"/>
  <c r="J957" i="12"/>
  <c r="E957" i="12"/>
  <c r="BQ957" i="12" s="1"/>
  <c r="I957" i="12"/>
  <c r="L957" i="12" s="1"/>
  <c r="L965" i="12"/>
  <c r="E979" i="12" s="1"/>
  <c r="F979" i="12" s="1"/>
  <c r="E956" i="12"/>
  <c r="G956" i="12" s="1"/>
  <c r="L956" i="12"/>
  <c r="I964" i="12"/>
  <c r="I968" i="12" s="1"/>
  <c r="J955" i="12"/>
  <c r="J959" i="12" s="1"/>
  <c r="E955" i="12"/>
  <c r="I955" i="12"/>
  <c r="I959" i="12" s="1"/>
  <c r="C974" i="12"/>
  <c r="B973" i="12"/>
  <c r="B972" i="12"/>
  <c r="B971" i="12"/>
  <c r="G982" i="12"/>
  <c r="B996" i="12"/>
  <c r="C980" i="12"/>
  <c r="C979" i="12"/>
  <c r="C978" i="12"/>
  <c r="G981" i="12"/>
  <c r="B980" i="12"/>
  <c r="B987" i="12" s="1"/>
  <c r="B994" i="12" s="1"/>
  <c r="B979" i="12"/>
  <c r="B986" i="12" s="1"/>
  <c r="B993" i="12" s="1"/>
  <c r="B978" i="12"/>
  <c r="B985" i="12" s="1"/>
  <c r="B992" i="12" s="1"/>
  <c r="C494" i="8"/>
  <c r="D494" i="8"/>
  <c r="D514" i="8" s="1"/>
  <c r="B511" i="8"/>
  <c r="B510" i="8"/>
  <c r="B509" i="8"/>
  <c r="E493" i="8"/>
  <c r="E503" i="8" s="1"/>
  <c r="E513" i="8" s="1"/>
  <c r="D493" i="8"/>
  <c r="D503" i="8" s="1"/>
  <c r="D513" i="8" s="1"/>
  <c r="C493" i="8"/>
  <c r="C503" i="8" s="1"/>
  <c r="C513" i="8" s="1"/>
  <c r="D506" i="8"/>
  <c r="D495" i="8"/>
  <c r="D515" i="8" s="1"/>
  <c r="B501" i="8"/>
  <c r="B500" i="8"/>
  <c r="B499" i="8"/>
  <c r="C495" i="8"/>
  <c r="C515" i="8" s="1"/>
  <c r="B516" i="8"/>
  <c r="B520" i="8" s="1"/>
  <c r="B515" i="8"/>
  <c r="B519" i="8" s="1"/>
  <c r="B514" i="8"/>
  <c r="B518" i="8" s="1"/>
  <c r="D491" i="8"/>
  <c r="C491" i="8"/>
  <c r="C506" i="8"/>
  <c r="F265" i="16"/>
  <c r="F267" i="16" s="1"/>
  <c r="F269" i="16" s="1"/>
  <c r="E265" i="16"/>
  <c r="E267" i="16" s="1"/>
  <c r="E269" i="16" s="1"/>
  <c r="E223" i="16" s="1"/>
  <c r="D265" i="16"/>
  <c r="D267" i="16" s="1"/>
  <c r="C265" i="16"/>
  <c r="F361" i="8"/>
  <c r="H361" i="8" s="1"/>
  <c r="J361" i="8" s="1"/>
  <c r="F362" i="8"/>
  <c r="H362" i="8" s="1"/>
  <c r="J362" i="8" s="1"/>
  <c r="D212" i="16"/>
  <c r="D211" i="16"/>
  <c r="D232" i="16" s="1"/>
  <c r="F421" i="4"/>
  <c r="F465" i="4" s="1"/>
  <c r="D134" i="16"/>
  <c r="D178" i="16" s="1"/>
  <c r="D775" i="16"/>
  <c r="D745" i="16"/>
  <c r="D744" i="16" s="1"/>
  <c r="G728" i="16"/>
  <c r="G729" i="16"/>
  <c r="G727" i="16"/>
  <c r="G725" i="16"/>
  <c r="G724" i="16"/>
  <c r="B744" i="16"/>
  <c r="B743" i="16"/>
  <c r="B735" i="16"/>
  <c r="B742" i="16" s="1"/>
  <c r="B734" i="16"/>
  <c r="B741" i="16" s="1"/>
  <c r="B733" i="16"/>
  <c r="B740" i="16" s="1"/>
  <c r="G639" i="16"/>
  <c r="G647" i="16" s="1"/>
  <c r="G655" i="16" s="1"/>
  <c r="G663" i="16" s="1"/>
  <c r="G680" i="16" s="1"/>
  <c r="F639" i="16"/>
  <c r="F647" i="16" s="1"/>
  <c r="F655" i="16" s="1"/>
  <c r="F663" i="16" s="1"/>
  <c r="F680" i="16" s="1"/>
  <c r="E639" i="16"/>
  <c r="E689" i="16" s="1"/>
  <c r="E699" i="16" s="1"/>
  <c r="E707" i="16" s="1"/>
  <c r="D639" i="16"/>
  <c r="D689" i="16" s="1"/>
  <c r="D699" i="16" s="1"/>
  <c r="D707" i="16" s="1"/>
  <c r="C639" i="16"/>
  <c r="C689" i="16" s="1"/>
  <c r="C699" i="16" s="1"/>
  <c r="C707" i="16" s="1"/>
  <c r="D693" i="16"/>
  <c r="E693" i="16" s="1"/>
  <c r="F693" i="16" s="1"/>
  <c r="G693" i="16" s="1"/>
  <c r="S294" i="1"/>
  <c r="S321" i="1" s="1"/>
  <c r="S348" i="1" s="1"/>
  <c r="S375" i="1" s="1"/>
  <c r="R294" i="1"/>
  <c r="R321" i="1" s="1"/>
  <c r="R348" i="1" s="1"/>
  <c r="R375" i="1" s="1"/>
  <c r="Q294" i="1"/>
  <c r="Q321" i="1" s="1"/>
  <c r="Q348" i="1" s="1"/>
  <c r="Q375" i="1" s="1"/>
  <c r="C389" i="8"/>
  <c r="D390" i="8" s="1"/>
  <c r="I18" i="3"/>
  <c r="I66" i="3"/>
  <c r="I119" i="3"/>
  <c r="I160" i="3"/>
  <c r="A353" i="8"/>
  <c r="C353" i="8" s="1"/>
  <c r="A354" i="8"/>
  <c r="C354" i="8" s="1"/>
  <c r="D48" i="8"/>
  <c r="E43" i="8"/>
  <c r="E42" i="8"/>
  <c r="E41" i="8"/>
  <c r="E40" i="8"/>
  <c r="E37" i="8"/>
  <c r="E36" i="8"/>
  <c r="E35" i="8"/>
  <c r="E34" i="8"/>
  <c r="E33" i="8"/>
  <c r="I165" i="3"/>
  <c r="G388" i="8"/>
  <c r="C387" i="8"/>
  <c r="D695" i="16"/>
  <c r="E695" i="16" s="1"/>
  <c r="F695" i="16" s="1"/>
  <c r="G695" i="16" s="1"/>
  <c r="F281" i="1"/>
  <c r="F282" i="1"/>
  <c r="F283" i="1"/>
  <c r="F284" i="1"/>
  <c r="J281" i="1"/>
  <c r="J282" i="1"/>
  <c r="J283" i="1"/>
  <c r="J284" i="1"/>
  <c r="E281" i="1"/>
  <c r="E282" i="1"/>
  <c r="E283" i="1"/>
  <c r="E284" i="1"/>
  <c r="B659" i="16"/>
  <c r="B667" i="16" s="1"/>
  <c r="B685" i="16" s="1"/>
  <c r="B657" i="16"/>
  <c r="B665" i="16" s="1"/>
  <c r="B682" i="16" s="1"/>
  <c r="B656" i="16"/>
  <c r="B664" i="16" s="1"/>
  <c r="B681" i="16" s="1"/>
  <c r="F308" i="1"/>
  <c r="F362" i="1"/>
  <c r="F309" i="1"/>
  <c r="F363" i="1"/>
  <c r="F364" i="1"/>
  <c r="F311" i="1"/>
  <c r="F365" i="1"/>
  <c r="B677" i="16"/>
  <c r="B392" i="1"/>
  <c r="B676" i="16" s="1"/>
  <c r="B668" i="16"/>
  <c r="B658" i="16"/>
  <c r="B666" i="16" s="1"/>
  <c r="B651" i="16"/>
  <c r="B650" i="16"/>
  <c r="B649" i="16"/>
  <c r="B648" i="16"/>
  <c r="D643" i="16"/>
  <c r="E643" i="16" s="1"/>
  <c r="F643" i="16" s="1"/>
  <c r="G643" i="16" s="1"/>
  <c r="J84" i="3"/>
  <c r="K84" i="3" s="1"/>
  <c r="L84" i="3" s="1"/>
  <c r="J75" i="3"/>
  <c r="K75" i="3" s="1"/>
  <c r="L75" i="3" s="1"/>
  <c r="M75" i="3" s="1"/>
  <c r="N75" i="3" s="1"/>
  <c r="O75" i="3" s="1"/>
  <c r="P75" i="3" s="1"/>
  <c r="Q75" i="3" s="1"/>
  <c r="R75" i="3" s="1"/>
  <c r="S75" i="3" s="1"/>
  <c r="I59" i="3"/>
  <c r="J71" i="3"/>
  <c r="H284" i="1"/>
  <c r="I292" i="3"/>
  <c r="I289" i="3"/>
  <c r="I287" i="3"/>
  <c r="I285" i="3"/>
  <c r="I283" i="3"/>
  <c r="C357" i="8"/>
  <c r="C356" i="8"/>
  <c r="C355" i="8"/>
  <c r="K353" i="8"/>
  <c r="D643" i="20" s="1"/>
  <c r="I53" i="3"/>
  <c r="J80" i="3"/>
  <c r="K80" i="3" s="1"/>
  <c r="J82" i="3"/>
  <c r="K82" i="3" s="1"/>
  <c r="L82" i="3" s="1"/>
  <c r="M82" i="3" s="1"/>
  <c r="N82" i="3" s="1"/>
  <c r="O82" i="3" s="1"/>
  <c r="J73" i="3"/>
  <c r="K73" i="3" s="1"/>
  <c r="L73" i="3" s="1"/>
  <c r="M73" i="3" s="1"/>
  <c r="N73" i="3" s="1"/>
  <c r="O73" i="3" s="1"/>
  <c r="P73" i="3" s="1"/>
  <c r="Q73" i="3" s="1"/>
  <c r="R73" i="3" s="1"/>
  <c r="S73" i="3" s="1"/>
  <c r="J86" i="3"/>
  <c r="K86" i="3" s="1"/>
  <c r="L86" i="3" s="1"/>
  <c r="M86" i="3" s="1"/>
  <c r="N86" i="3" s="1"/>
  <c r="O86" i="3" s="1"/>
  <c r="P86" i="3" s="1"/>
  <c r="Q86" i="3" s="1"/>
  <c r="R86" i="3" s="1"/>
  <c r="S86" i="3" s="1"/>
  <c r="J77" i="3"/>
  <c r="K77" i="3" s="1"/>
  <c r="L77" i="3" s="1"/>
  <c r="M77" i="3" s="1"/>
  <c r="N77" i="3" s="1"/>
  <c r="J231" i="3"/>
  <c r="J29" i="8"/>
  <c r="J28" i="8"/>
  <c r="J27" i="8"/>
  <c r="J26" i="8"/>
  <c r="J25" i="8"/>
  <c r="J24" i="8"/>
  <c r="R19" i="8"/>
  <c r="O19" i="8"/>
  <c r="R17" i="8"/>
  <c r="O17" i="8"/>
  <c r="D29" i="8"/>
  <c r="D28" i="8"/>
  <c r="D27" i="8"/>
  <c r="D26" i="8"/>
  <c r="D25" i="8"/>
  <c r="D24" i="8"/>
  <c r="D21" i="8"/>
  <c r="D20" i="8"/>
  <c r="D19" i="8"/>
  <c r="D18" i="8"/>
  <c r="D17" i="8"/>
  <c r="D16" i="8"/>
  <c r="C624" i="16"/>
  <c r="D624" i="16" s="1"/>
  <c r="E624" i="16" s="1"/>
  <c r="G624" i="16" s="1"/>
  <c r="I624" i="16" s="1"/>
  <c r="C628" i="16"/>
  <c r="D628" i="16" s="1"/>
  <c r="E628" i="16" s="1"/>
  <c r="C629" i="16"/>
  <c r="D629" i="16" s="1"/>
  <c r="E629" i="16" s="1"/>
  <c r="D741" i="12"/>
  <c r="P220" i="9"/>
  <c r="P209" i="11" s="1"/>
  <c r="G504" i="4" s="1"/>
  <c r="H602" i="4" s="1"/>
  <c r="C9" i="16"/>
  <c r="J430" i="1"/>
  <c r="H426" i="1"/>
  <c r="H428" i="1" s="1"/>
  <c r="H431" i="1" s="1"/>
  <c r="K195" i="12"/>
  <c r="L195" i="12" s="1"/>
  <c r="M195" i="12" s="1"/>
  <c r="K197" i="12"/>
  <c r="L197" i="12" s="1"/>
  <c r="N196" i="12"/>
  <c r="M171" i="12"/>
  <c r="M170" i="12"/>
  <c r="N176" i="12"/>
  <c r="N177" i="12"/>
  <c r="B625" i="1"/>
  <c r="B624" i="1"/>
  <c r="B623" i="1"/>
  <c r="B625" i="16"/>
  <c r="B624" i="16"/>
  <c r="B623" i="16"/>
  <c r="E354" i="8"/>
  <c r="E356" i="8"/>
  <c r="E355" i="8"/>
  <c r="E353" i="8"/>
  <c r="I221" i="8"/>
  <c r="F609" i="16"/>
  <c r="E609" i="16"/>
  <c r="D609" i="16"/>
  <c r="C609" i="16"/>
  <c r="L224" i="3"/>
  <c r="M224" i="3" s="1"/>
  <c r="N224" i="3" s="1"/>
  <c r="N226" i="3" s="1"/>
  <c r="N228" i="3" s="1"/>
  <c r="B614" i="16"/>
  <c r="B613" i="16"/>
  <c r="B612" i="16"/>
  <c r="E608" i="16"/>
  <c r="F608" i="16"/>
  <c r="D608" i="16"/>
  <c r="C608" i="16"/>
  <c r="F605" i="16"/>
  <c r="E605" i="16"/>
  <c r="D605" i="16"/>
  <c r="C605" i="16"/>
  <c r="B588" i="1"/>
  <c r="B599" i="1" s="1"/>
  <c r="B598" i="1"/>
  <c r="B597" i="1"/>
  <c r="V267" i="1"/>
  <c r="Z267" i="1"/>
  <c r="P294" i="1"/>
  <c r="P321" i="1" s="1"/>
  <c r="P348" i="1" s="1"/>
  <c r="P375" i="1" s="1"/>
  <c r="P441" i="1" s="1"/>
  <c r="N237" i="3"/>
  <c r="O237" i="3" s="1"/>
  <c r="P237" i="3" s="1"/>
  <c r="Q237" i="3" s="1"/>
  <c r="R237" i="3" s="1"/>
  <c r="S237" i="3" s="1"/>
  <c r="AJ336" i="1"/>
  <c r="AR336" i="1"/>
  <c r="AP337" i="1"/>
  <c r="AP336" i="1"/>
  <c r="Y267" i="1"/>
  <c r="N193" i="12"/>
  <c r="C31" i="9"/>
  <c r="I245" i="8"/>
  <c r="H245" i="8"/>
  <c r="G58" i="8"/>
  <c r="E357" i="8" s="1"/>
  <c r="G221" i="8"/>
  <c r="G220" i="8"/>
  <c r="G219" i="8"/>
  <c r="G218" i="8"/>
  <c r="J217" i="8"/>
  <c r="I217" i="8"/>
  <c r="H217" i="8"/>
  <c r="H220" i="8"/>
  <c r="H219" i="8"/>
  <c r="H218" i="8"/>
  <c r="J221" i="8"/>
  <c r="T571" i="16"/>
  <c r="T570" i="16"/>
  <c r="E420" i="1"/>
  <c r="K420" i="1"/>
  <c r="K421" i="1" s="1"/>
  <c r="AM8" i="1"/>
  <c r="AM7" i="1"/>
  <c r="AM6" i="1"/>
  <c r="G572" i="16"/>
  <c r="F572" i="16"/>
  <c r="E572" i="16"/>
  <c r="D572" i="16"/>
  <c r="C572" i="16"/>
  <c r="F180" i="16"/>
  <c r="C180" i="16"/>
  <c r="C178" i="16"/>
  <c r="E180" i="16"/>
  <c r="F175" i="16"/>
  <c r="E175" i="16"/>
  <c r="BX165" i="12"/>
  <c r="J457" i="12" s="1"/>
  <c r="J469" i="12" s="1"/>
  <c r="J484" i="12" s="1"/>
  <c r="J498" i="12" s="1"/>
  <c r="J351" i="12"/>
  <c r="J383" i="12" s="1"/>
  <c r="J387" i="12" s="1"/>
  <c r="G126" i="12"/>
  <c r="H126" i="12" s="1"/>
  <c r="G125" i="12"/>
  <c r="H125" i="12" s="1"/>
  <c r="I125" i="12" s="1"/>
  <c r="G124" i="12"/>
  <c r="H124" i="12" s="1"/>
  <c r="D23" i="12"/>
  <c r="F23" i="12" s="1"/>
  <c r="M155" i="12"/>
  <c r="M144" i="12"/>
  <c r="E79" i="12"/>
  <c r="E80" i="12" s="1"/>
  <c r="H67" i="12"/>
  <c r="I67" i="12" s="1"/>
  <c r="J67" i="12" s="1"/>
  <c r="K67" i="12" s="1"/>
  <c r="L67" i="12" s="1"/>
  <c r="M67" i="12" s="1"/>
  <c r="N67" i="12" s="1"/>
  <c r="O67" i="12" s="1"/>
  <c r="P67" i="12" s="1"/>
  <c r="Q67" i="12" s="1"/>
  <c r="E52" i="12"/>
  <c r="Q177" i="9"/>
  <c r="R177" i="9"/>
  <c r="R211" i="9" s="1"/>
  <c r="S177" i="9"/>
  <c r="S211" i="9" s="1"/>
  <c r="T177" i="9"/>
  <c r="T211" i="9" s="1"/>
  <c r="M72" i="12"/>
  <c r="Q45" i="12"/>
  <c r="M45" i="12"/>
  <c r="N376" i="12"/>
  <c r="I326" i="12"/>
  <c r="J326" i="12"/>
  <c r="N338" i="12"/>
  <c r="J493" i="12" s="1"/>
  <c r="N345" i="12"/>
  <c r="J488" i="12" s="1"/>
  <c r="N346" i="12"/>
  <c r="J489" i="12" s="1"/>
  <c r="N347" i="12"/>
  <c r="J490" i="12" s="1"/>
  <c r="N344" i="12"/>
  <c r="J486" i="12" s="1"/>
  <c r="N343" i="12"/>
  <c r="J485" i="12" s="1"/>
  <c r="I226" i="12"/>
  <c r="N235" i="12"/>
  <c r="J481" i="12" s="1"/>
  <c r="N241" i="12"/>
  <c r="J475" i="12" s="1"/>
  <c r="N242" i="12"/>
  <c r="J476" i="12" s="1"/>
  <c r="N243" i="12"/>
  <c r="J477" i="12" s="1"/>
  <c r="N244" i="12"/>
  <c r="G679" i="20" s="1"/>
  <c r="N240" i="12"/>
  <c r="G674" i="20" s="1"/>
  <c r="N239" i="12"/>
  <c r="J471" i="12" s="1"/>
  <c r="N238" i="12"/>
  <c r="J470" i="12" s="1"/>
  <c r="BW165" i="12"/>
  <c r="I457" i="12" s="1"/>
  <c r="I469" i="12" s="1"/>
  <c r="I484" i="12" s="1"/>
  <c r="I498" i="12" s="1"/>
  <c r="BX382" i="12"/>
  <c r="J464" i="12" s="1"/>
  <c r="N231" i="12"/>
  <c r="N232" i="12" s="1"/>
  <c r="N219" i="12"/>
  <c r="N383" i="12"/>
  <c r="C868" i="20" s="1"/>
  <c r="N322" i="12"/>
  <c r="N223" i="12"/>
  <c r="L218" i="12"/>
  <c r="L219" i="12" s="1"/>
  <c r="J214" i="12"/>
  <c r="BT214" i="12" s="1"/>
  <c r="F465" i="12" s="1"/>
  <c r="P219" i="10"/>
  <c r="P208" i="11"/>
  <c r="T101" i="14" s="1"/>
  <c r="O219" i="10"/>
  <c r="O215" i="11" s="1"/>
  <c r="S105" i="14" s="1"/>
  <c r="P65" i="10"/>
  <c r="P169" i="10"/>
  <c r="P154" i="10"/>
  <c r="P151" i="10"/>
  <c r="P127" i="10"/>
  <c r="P55" i="10"/>
  <c r="O55" i="10"/>
  <c r="N55" i="10"/>
  <c r="M55" i="10"/>
  <c r="L55" i="10"/>
  <c r="P48" i="10"/>
  <c r="P47" i="10"/>
  <c r="P46" i="10"/>
  <c r="P45" i="10"/>
  <c r="P44" i="10"/>
  <c r="P43" i="10"/>
  <c r="P42" i="10"/>
  <c r="P40" i="10"/>
  <c r="P38" i="10"/>
  <c r="P35" i="10"/>
  <c r="P34" i="10"/>
  <c r="P33" i="10"/>
  <c r="P32" i="10"/>
  <c r="P31" i="10"/>
  <c r="P30" i="10"/>
  <c r="P29" i="10"/>
  <c r="P28" i="10"/>
  <c r="P27" i="10"/>
  <c r="P167" i="9"/>
  <c r="Q167" i="9" s="1"/>
  <c r="R167" i="9" s="1"/>
  <c r="S167" i="9" s="1"/>
  <c r="T167" i="9" s="1"/>
  <c r="U167" i="9" s="1"/>
  <c r="V167" i="9" s="1"/>
  <c r="W167" i="9" s="1"/>
  <c r="X167" i="9" s="1"/>
  <c r="Y167" i="9" s="1"/>
  <c r="Z167" i="9" s="1"/>
  <c r="P159" i="9"/>
  <c r="P195" i="9" s="1"/>
  <c r="P150" i="9"/>
  <c r="O136" i="9"/>
  <c r="O137" i="9" s="1"/>
  <c r="O139" i="9" s="1"/>
  <c r="P74" i="9"/>
  <c r="P66" i="9"/>
  <c r="P52" i="9"/>
  <c r="P51" i="9"/>
  <c r="P49" i="9"/>
  <c r="P47" i="9"/>
  <c r="P40" i="9"/>
  <c r="P37" i="9"/>
  <c r="P36" i="9"/>
  <c r="P35" i="9"/>
  <c r="P34" i="9"/>
  <c r="P31" i="9"/>
  <c r="P30" i="9"/>
  <c r="S11" i="9"/>
  <c r="T11" i="9" s="1"/>
  <c r="U11" i="9" s="1"/>
  <c r="V11" i="9" s="1"/>
  <c r="W11" i="9" s="1"/>
  <c r="X11" i="9" s="1"/>
  <c r="Y11" i="9" s="1"/>
  <c r="Z11" i="9" s="1"/>
  <c r="B26" i="12"/>
  <c r="R13" i="10"/>
  <c r="C39" i="21" s="1"/>
  <c r="U244" i="14"/>
  <c r="U248" i="14"/>
  <c r="M231" i="12"/>
  <c r="M232" i="12" s="1"/>
  <c r="L231" i="12"/>
  <c r="L232" i="12" s="1"/>
  <c r="K231" i="12"/>
  <c r="K232" i="12" s="1"/>
  <c r="M338" i="12"/>
  <c r="I493" i="12" s="1"/>
  <c r="M346" i="12"/>
  <c r="I489" i="12" s="1"/>
  <c r="M345" i="12"/>
  <c r="I488" i="12" s="1"/>
  <c r="M343" i="12"/>
  <c r="I485" i="12" s="1"/>
  <c r="M235" i="12"/>
  <c r="I481" i="12" s="1"/>
  <c r="M238" i="12"/>
  <c r="I470" i="12" s="1"/>
  <c r="M376" i="12"/>
  <c r="M347" i="12"/>
  <c r="I490" i="12" s="1"/>
  <c r="M344" i="12"/>
  <c r="I486" i="12" s="1"/>
  <c r="M272" i="12"/>
  <c r="M214" i="12" s="1"/>
  <c r="M219" i="12"/>
  <c r="M244" i="12"/>
  <c r="M243" i="12"/>
  <c r="I477" i="12" s="1"/>
  <c r="M242" i="12"/>
  <c r="I476" i="12" s="1"/>
  <c r="M241" i="12"/>
  <c r="F675" i="20" s="1"/>
  <c r="M240" i="12"/>
  <c r="I473" i="12" s="1"/>
  <c r="M239" i="12"/>
  <c r="I471" i="12" s="1"/>
  <c r="M322" i="12"/>
  <c r="M383" i="12"/>
  <c r="M223" i="12"/>
  <c r="K418" i="1"/>
  <c r="X275" i="1"/>
  <c r="W275" i="1"/>
  <c r="X396" i="1"/>
  <c r="K408" i="1"/>
  <c r="W267" i="1"/>
  <c r="D505" i="1" s="1"/>
  <c r="X267" i="1"/>
  <c r="E505" i="1" s="1"/>
  <c r="J365" i="1"/>
  <c r="H365" i="1"/>
  <c r="G365" i="1"/>
  <c r="E365" i="1"/>
  <c r="J364" i="1"/>
  <c r="H364" i="1"/>
  <c r="G364" i="1"/>
  <c r="E364" i="1"/>
  <c r="J363" i="1"/>
  <c r="H363" i="1"/>
  <c r="G363" i="1"/>
  <c r="E363" i="1"/>
  <c r="J362" i="1"/>
  <c r="H362" i="1"/>
  <c r="G362" i="1"/>
  <c r="E362" i="1"/>
  <c r="AN336" i="1"/>
  <c r="AO336" i="1"/>
  <c r="AQ336" i="1"/>
  <c r="AN337" i="1"/>
  <c r="AO337" i="1"/>
  <c r="AQ337" i="1"/>
  <c r="AR337" i="1"/>
  <c r="AN338" i="1"/>
  <c r="AO338" i="1"/>
  <c r="AP338" i="1"/>
  <c r="AQ338" i="1"/>
  <c r="AR338" i="1"/>
  <c r="AF338" i="1"/>
  <c r="AF337" i="1"/>
  <c r="AF336" i="1"/>
  <c r="AF335" i="1"/>
  <c r="E335" i="1" s="1"/>
  <c r="AG338" i="1"/>
  <c r="AG337" i="1"/>
  <c r="AG336" i="1"/>
  <c r="AG335" i="1"/>
  <c r="F335" i="1" s="1"/>
  <c r="AH338" i="1"/>
  <c r="AH337" i="1"/>
  <c r="AH336" i="1"/>
  <c r="AH335" i="1"/>
  <c r="G335" i="1" s="1"/>
  <c r="AI338" i="1"/>
  <c r="AI337" i="1"/>
  <c r="AI336" i="1"/>
  <c r="AI335" i="1"/>
  <c r="H335" i="1" s="1"/>
  <c r="AJ338" i="1"/>
  <c r="AJ337" i="1"/>
  <c r="AJ335" i="1"/>
  <c r="J335" i="1" s="1"/>
  <c r="J311" i="1"/>
  <c r="H311" i="1"/>
  <c r="G311" i="1"/>
  <c r="E311" i="1"/>
  <c r="J309" i="1"/>
  <c r="H309" i="1"/>
  <c r="G309" i="1"/>
  <c r="E309" i="1"/>
  <c r="J308" i="1"/>
  <c r="H308" i="1"/>
  <c r="G308" i="1"/>
  <c r="E308" i="1"/>
  <c r="D294" i="1"/>
  <c r="D321" i="1" s="1"/>
  <c r="D348" i="1" s="1"/>
  <c r="D375" i="1" s="1"/>
  <c r="D487" i="1" s="1"/>
  <c r="E294" i="1"/>
  <c r="E321" i="1" s="1"/>
  <c r="E348" i="1" s="1"/>
  <c r="E375" i="1" s="1"/>
  <c r="E487" i="1" s="1"/>
  <c r="G284" i="1"/>
  <c r="Y284" i="1" s="1"/>
  <c r="H283" i="1"/>
  <c r="G283" i="1"/>
  <c r="Y283" i="1" s="1"/>
  <c r="H282" i="1"/>
  <c r="G282" i="1"/>
  <c r="H281" i="1"/>
  <c r="G281" i="1"/>
  <c r="Y281" i="1" s="1"/>
  <c r="F294" i="1"/>
  <c r="F321" i="1" s="1"/>
  <c r="F348" i="1" s="1"/>
  <c r="F375" i="1" s="1"/>
  <c r="F441" i="1" s="1"/>
  <c r="F379" i="1"/>
  <c r="K380" i="1"/>
  <c r="K379" i="1"/>
  <c r="K378" i="1"/>
  <c r="K377" i="1"/>
  <c r="J380" i="1"/>
  <c r="J379" i="1"/>
  <c r="J378" i="1"/>
  <c r="J377" i="1"/>
  <c r="F380" i="1"/>
  <c r="F378" i="1"/>
  <c r="F377" i="1"/>
  <c r="B391" i="1"/>
  <c r="B390" i="1"/>
  <c r="B619" i="16" s="1"/>
  <c r="B389" i="1"/>
  <c r="B365" i="1"/>
  <c r="B364" i="1"/>
  <c r="B363" i="1"/>
  <c r="B362" i="1"/>
  <c r="B338" i="1"/>
  <c r="B337" i="1"/>
  <c r="B336" i="1"/>
  <c r="B335" i="1"/>
  <c r="K311" i="1"/>
  <c r="B311" i="1"/>
  <c r="B310" i="1"/>
  <c r="K309" i="1"/>
  <c r="B309" i="1"/>
  <c r="K308" i="1"/>
  <c r="B308" i="1"/>
  <c r="B284" i="1"/>
  <c r="B283" i="1"/>
  <c r="B282" i="1"/>
  <c r="B281" i="1"/>
  <c r="AI80" i="1"/>
  <c r="AH80" i="1" s="1"/>
  <c r="V13" i="1"/>
  <c r="AL19" i="1" s="1"/>
  <c r="AP5" i="1"/>
  <c r="BO965" i="12"/>
  <c r="BO956" i="12"/>
  <c r="Q964" i="12"/>
  <c r="BO964" i="12" s="1"/>
  <c r="Q966" i="12"/>
  <c r="BO966" i="12" s="1"/>
  <c r="Q957" i="12"/>
  <c r="BO957" i="12" s="1"/>
  <c r="Q955" i="12"/>
  <c r="BO955" i="12" s="1"/>
  <c r="BP977" i="12" s="1"/>
  <c r="BP978" i="12" s="1"/>
  <c r="BP980" i="12" s="1"/>
  <c r="BP982" i="12" s="1"/>
  <c r="BP983" i="12" s="1"/>
  <c r="AD14" i="17"/>
  <c r="AC14" i="17"/>
  <c r="AB14" i="17"/>
  <c r="AA14" i="17"/>
  <c r="B704" i="12"/>
  <c r="B705" i="12" s="1"/>
  <c r="C838" i="12"/>
  <c r="D838" i="12" s="1"/>
  <c r="E838" i="12" s="1"/>
  <c r="F838" i="12" s="1"/>
  <c r="N112" i="16"/>
  <c r="L112" i="16"/>
  <c r="L111" i="16"/>
  <c r="J111" i="16"/>
  <c r="J110" i="16"/>
  <c r="H110" i="16"/>
  <c r="H109" i="16"/>
  <c r="F109" i="16"/>
  <c r="F108" i="16"/>
  <c r="D108" i="16"/>
  <c r="D107" i="16"/>
  <c r="E107" i="16" s="1"/>
  <c r="F107" i="16" s="1"/>
  <c r="G107" i="16" s="1"/>
  <c r="H107" i="16" s="1"/>
  <c r="I107" i="16" s="1"/>
  <c r="J107" i="16" s="1"/>
  <c r="K107" i="16" s="1"/>
  <c r="L107" i="16" s="1"/>
  <c r="M107" i="16" s="1"/>
  <c r="N107" i="16" s="1"/>
  <c r="O107" i="16" s="1"/>
  <c r="AM98" i="1"/>
  <c r="AM107" i="1" s="1"/>
  <c r="AM97" i="1"/>
  <c r="AM95" i="1"/>
  <c r="AM104" i="1" s="1"/>
  <c r="I204" i="3"/>
  <c r="I207" i="3" s="1"/>
  <c r="I196" i="3" s="1"/>
  <c r="C49" i="16" s="1"/>
  <c r="H204" i="3"/>
  <c r="H207" i="3" s="1"/>
  <c r="H196" i="3" s="1"/>
  <c r="I58" i="16"/>
  <c r="H58" i="16"/>
  <c r="G58" i="16"/>
  <c r="F58" i="16"/>
  <c r="E58" i="16"/>
  <c r="D58" i="16"/>
  <c r="C57" i="16"/>
  <c r="I15" i="16"/>
  <c r="J25" i="16" s="1"/>
  <c r="J35" i="16" s="1"/>
  <c r="J45" i="16" s="1"/>
  <c r="I48" i="16"/>
  <c r="H48" i="16"/>
  <c r="G48" i="16"/>
  <c r="F48" i="16"/>
  <c r="E48" i="16"/>
  <c r="D48" i="16"/>
  <c r="I47" i="16"/>
  <c r="H47" i="16"/>
  <c r="G47" i="16"/>
  <c r="F47" i="16"/>
  <c r="E47" i="16"/>
  <c r="D47" i="16"/>
  <c r="C55" i="16"/>
  <c r="C53" i="16"/>
  <c r="C52" i="16"/>
  <c r="I181" i="3"/>
  <c r="C47" i="16" s="1"/>
  <c r="C46" i="16"/>
  <c r="C35" i="16"/>
  <c r="C45" i="16" s="1"/>
  <c r="I184" i="3"/>
  <c r="I178" i="3"/>
  <c r="H178" i="3"/>
  <c r="G178" i="3"/>
  <c r="F178" i="3"/>
  <c r="H187" i="3"/>
  <c r="G98" i="16"/>
  <c r="H98" i="16" s="1"/>
  <c r="F98" i="16"/>
  <c r="E98" i="16"/>
  <c r="Q62" i="10"/>
  <c r="Q64" i="10" s="1"/>
  <c r="P20" i="10"/>
  <c r="P22" i="10" s="1"/>
  <c r="P23" i="10" s="1"/>
  <c r="P118" i="11"/>
  <c r="T24" i="14" s="1"/>
  <c r="O118" i="11"/>
  <c r="O166" i="11" s="1"/>
  <c r="D96" i="16"/>
  <c r="E96" i="16" s="1"/>
  <c r="F96" i="16" s="1"/>
  <c r="G96" i="16" s="1"/>
  <c r="H96" i="16" s="1"/>
  <c r="H212" i="3"/>
  <c r="G212" i="3"/>
  <c r="I212" i="3"/>
  <c r="I190" i="3"/>
  <c r="C58" i="16" s="1"/>
  <c r="H190" i="3"/>
  <c r="G190" i="3"/>
  <c r="F190" i="3"/>
  <c r="E190" i="3"/>
  <c r="E179" i="8"/>
  <c r="D179" i="8"/>
  <c r="C94" i="16"/>
  <c r="F820" i="12"/>
  <c r="E820" i="12"/>
  <c r="D820" i="12"/>
  <c r="C820" i="12"/>
  <c r="B820" i="12"/>
  <c r="C550" i="12"/>
  <c r="D550" i="12" s="1"/>
  <c r="E550" i="12" s="1"/>
  <c r="F550" i="12" s="1"/>
  <c r="G550" i="12" s="1"/>
  <c r="H536" i="12"/>
  <c r="F544" i="12"/>
  <c r="E544" i="12"/>
  <c r="F536" i="12"/>
  <c r="I536" i="12" s="1"/>
  <c r="P62" i="10"/>
  <c r="P64" i="10" s="1"/>
  <c r="U264" i="17" s="1"/>
  <c r="C536" i="12"/>
  <c r="C562" i="12"/>
  <c r="C573" i="12" s="1"/>
  <c r="C584" i="12" s="1"/>
  <c r="AC172" i="17"/>
  <c r="AC187" i="17" s="1"/>
  <c r="AC213" i="17" s="1"/>
  <c r="Y172" i="17"/>
  <c r="Y187" i="17" s="1"/>
  <c r="Y213" i="17" s="1"/>
  <c r="U15" i="17"/>
  <c r="O9" i="5"/>
  <c r="AD147" i="17" s="1"/>
  <c r="N9" i="5"/>
  <c r="AC147" i="17" s="1"/>
  <c r="M9" i="5"/>
  <c r="AB147" i="17" s="1"/>
  <c r="L9" i="5"/>
  <c r="AA147" i="17" s="1"/>
  <c r="U13" i="17"/>
  <c r="P168" i="10"/>
  <c r="AS112" i="1"/>
  <c r="AS111" i="1"/>
  <c r="AN103" i="1"/>
  <c r="AM103" i="1"/>
  <c r="AL109" i="1"/>
  <c r="AL108" i="1"/>
  <c r="J228" i="4"/>
  <c r="I228" i="4"/>
  <c r="I229" i="4"/>
  <c r="H366" i="4"/>
  <c r="H207" i="4" s="1"/>
  <c r="V109" i="1"/>
  <c r="AE109" i="1"/>
  <c r="AU100" i="1"/>
  <c r="AU99" i="1"/>
  <c r="AM100" i="1"/>
  <c r="AM109" i="1" s="1"/>
  <c r="AM99" i="1"/>
  <c r="AM108" i="1" s="1"/>
  <c r="AL98" i="1"/>
  <c r="AU98" i="1" s="1"/>
  <c r="AL97" i="1"/>
  <c r="AL96" i="1"/>
  <c r="AL95" i="1"/>
  <c r="AL104" i="1" s="1"/>
  <c r="AE50" i="1"/>
  <c r="AN58" i="1" s="1"/>
  <c r="AE47" i="1"/>
  <c r="AN55" i="1" s="1"/>
  <c r="AE49" i="1"/>
  <c r="AN57" i="1" s="1"/>
  <c r="AE101" i="1"/>
  <c r="AS110" i="1" s="1"/>
  <c r="AE96" i="1"/>
  <c r="AS105" i="1" s="1"/>
  <c r="B101" i="1"/>
  <c r="AR101" i="1" s="1"/>
  <c r="AR110" i="1" s="1"/>
  <c r="B96" i="1"/>
  <c r="AR96" i="1" s="1"/>
  <c r="AR105" i="1" s="1"/>
  <c r="AE90" i="1"/>
  <c r="AE100" i="1" s="1"/>
  <c r="AS109" i="1" s="1"/>
  <c r="AE89" i="1"/>
  <c r="AE99" i="1" s="1"/>
  <c r="AS108" i="1" s="1"/>
  <c r="AE88" i="1"/>
  <c r="AE87" i="1"/>
  <c r="AE97" i="1" s="1"/>
  <c r="AS106" i="1" s="1"/>
  <c r="AE85" i="1"/>
  <c r="AE95" i="1" s="1"/>
  <c r="AS104" i="1" s="1"/>
  <c r="B90" i="1"/>
  <c r="B100" i="1" s="1"/>
  <c r="AR100" i="1" s="1"/>
  <c r="B89" i="1"/>
  <c r="B99" i="1" s="1"/>
  <c r="AR99" i="1" s="1"/>
  <c r="AR108" i="1" s="1"/>
  <c r="B88" i="1"/>
  <c r="B98" i="1" s="1"/>
  <c r="AR98" i="1" s="1"/>
  <c r="AR107" i="1" s="1"/>
  <c r="B87" i="1"/>
  <c r="B97" i="1" s="1"/>
  <c r="AR97" i="1" s="1"/>
  <c r="AR106" i="1" s="1"/>
  <c r="B85" i="1"/>
  <c r="B95" i="1" s="1"/>
  <c r="AR95" i="1" s="1"/>
  <c r="AR104" i="1" s="1"/>
  <c r="AT72" i="1"/>
  <c r="AV72" i="1"/>
  <c r="AW75" i="1"/>
  <c r="AW74" i="1"/>
  <c r="AW72" i="1"/>
  <c r="AW78" i="1"/>
  <c r="AW77" i="1"/>
  <c r="AV75" i="1"/>
  <c r="AV76" i="1"/>
  <c r="AW76" i="1" s="1"/>
  <c r="AV74" i="1"/>
  <c r="AT74" i="1"/>
  <c r="AT77" i="1"/>
  <c r="AT76" i="1"/>
  <c r="AT75" i="1"/>
  <c r="AS76" i="1"/>
  <c r="AS75" i="1"/>
  <c r="AS74" i="1"/>
  <c r="AS73" i="1"/>
  <c r="AS72" i="1"/>
  <c r="W172" i="17"/>
  <c r="W187" i="17" s="1"/>
  <c r="W213" i="17" s="1"/>
  <c r="W240" i="17" s="1"/>
  <c r="X172" i="17"/>
  <c r="X187" i="17" s="1"/>
  <c r="X213" i="17" s="1"/>
  <c r="X240" i="17" s="1"/>
  <c r="V172" i="17"/>
  <c r="V187" i="17" s="1"/>
  <c r="V213" i="17" s="1"/>
  <c r="V240" i="17" s="1"/>
  <c r="AA172" i="17"/>
  <c r="AA187" i="17" s="1"/>
  <c r="AA213" i="17" s="1"/>
  <c r="AB172" i="17"/>
  <c r="AB187" i="17" s="1"/>
  <c r="AB213" i="17" s="1"/>
  <c r="Z172" i="17"/>
  <c r="Z187" i="17" s="1"/>
  <c r="Z213" i="17" s="1"/>
  <c r="AD172" i="17"/>
  <c r="AD187" i="17" s="1"/>
  <c r="AD213" i="17" s="1"/>
  <c r="J106" i="3"/>
  <c r="K106" i="3" s="1"/>
  <c r="L106" i="3" s="1"/>
  <c r="M106" i="3" s="1"/>
  <c r="N106" i="3" s="1"/>
  <c r="O106" i="3" s="1"/>
  <c r="P106" i="3" s="1"/>
  <c r="Q106" i="3" s="1"/>
  <c r="R106" i="3" s="1"/>
  <c r="S106" i="3" s="1"/>
  <c r="N23" i="2"/>
  <c r="D23" i="2"/>
  <c r="I13" i="2"/>
  <c r="I12" i="2"/>
  <c r="I11" i="2"/>
  <c r="I10" i="2"/>
  <c r="I9" i="2"/>
  <c r="I7" i="2"/>
  <c r="O24" i="2"/>
  <c r="E24" i="2"/>
  <c r="O5" i="2"/>
  <c r="J13" i="2"/>
  <c r="J12" i="2"/>
  <c r="J11" i="2"/>
  <c r="J10" i="2"/>
  <c r="J9" i="2"/>
  <c r="J7" i="2"/>
  <c r="E70" i="16"/>
  <c r="G70" i="16" s="1"/>
  <c r="E69" i="16"/>
  <c r="G69" i="16" s="1"/>
  <c r="D71" i="16"/>
  <c r="C71" i="16"/>
  <c r="C68" i="16"/>
  <c r="E68" i="16"/>
  <c r="D68" i="16"/>
  <c r="AE13" i="1"/>
  <c r="AE16" i="1" s="1"/>
  <c r="AN22" i="1" s="1"/>
  <c r="AE80" i="1"/>
  <c r="AE79" i="1"/>
  <c r="AT78" i="1" s="1"/>
  <c r="AF77" i="1"/>
  <c r="B9" i="16"/>
  <c r="J964" i="12"/>
  <c r="J968" i="12" s="1"/>
  <c r="J966" i="12"/>
  <c r="F968" i="12"/>
  <c r="D968" i="12"/>
  <c r="C968" i="12"/>
  <c r="F967" i="12"/>
  <c r="C981" i="12" s="1"/>
  <c r="D967" i="12"/>
  <c r="C967" i="12"/>
  <c r="E966" i="12"/>
  <c r="BQ966" i="12" s="1"/>
  <c r="E965" i="12"/>
  <c r="BQ965" i="12" s="1"/>
  <c r="E964" i="12"/>
  <c r="C985" i="12" s="1"/>
  <c r="F959" i="12"/>
  <c r="D959" i="12"/>
  <c r="C959" i="12"/>
  <c r="F958" i="12"/>
  <c r="D958" i="12"/>
  <c r="C958" i="12"/>
  <c r="G870" i="12"/>
  <c r="K912" i="12"/>
  <c r="L910" i="12"/>
  <c r="CD55" i="10"/>
  <c r="AE8" i="13"/>
  <c r="AE24" i="13" s="1"/>
  <c r="BZ55" i="10"/>
  <c r="BY55" i="10"/>
  <c r="BX55" i="10"/>
  <c r="BW55" i="10"/>
  <c r="BV55" i="10"/>
  <c r="BU55" i="10"/>
  <c r="BU59" i="10" s="1"/>
  <c r="BT55" i="10"/>
  <c r="BT59" i="10" s="1"/>
  <c r="BS55" i="10"/>
  <c r="BS59" i="10" s="1"/>
  <c r="BR55" i="10"/>
  <c r="BR59" i="10" s="1"/>
  <c r="BW57" i="9"/>
  <c r="AA26" i="13"/>
  <c r="BQ58" i="9"/>
  <c r="BS54" i="11" s="1"/>
  <c r="BP58" i="9"/>
  <c r="BR54" i="11" s="1"/>
  <c r="BO58" i="9"/>
  <c r="BN58" i="9"/>
  <c r="BP54" i="11" s="1"/>
  <c r="BM58" i="9"/>
  <c r="BO54" i="11" s="1"/>
  <c r="BL58" i="9"/>
  <c r="BN54" i="11" s="1"/>
  <c r="BK58" i="9"/>
  <c r="BM54" i="11" s="1"/>
  <c r="BJ58" i="9"/>
  <c r="BI58" i="9"/>
  <c r="BH58" i="9"/>
  <c r="BG58" i="9"/>
  <c r="BI54" i="11" s="1"/>
  <c r="BF58" i="9"/>
  <c r="BH54" i="11" s="1"/>
  <c r="BE58" i="9"/>
  <c r="BG54" i="11" s="1"/>
  <c r="BD58" i="9"/>
  <c r="BF54" i="11" s="1"/>
  <c r="BF65" i="11" s="1"/>
  <c r="BC58" i="9"/>
  <c r="BB58" i="9"/>
  <c r="BD54" i="11" s="1"/>
  <c r="BD64" i="11" s="1"/>
  <c r="BY57" i="9"/>
  <c r="BX57" i="9"/>
  <c r="BX76" i="9" s="1"/>
  <c r="BV57" i="9"/>
  <c r="BV76" i="9" s="1"/>
  <c r="Z26" i="13"/>
  <c r="BU57" i="9"/>
  <c r="BU113" i="9" s="1"/>
  <c r="BU120" i="9" s="1"/>
  <c r="BT57" i="9"/>
  <c r="BT70" i="9" s="1"/>
  <c r="BX74" i="9" s="1"/>
  <c r="BS57" i="9"/>
  <c r="BS77" i="9" s="1"/>
  <c r="BR57" i="9"/>
  <c r="V26" i="13"/>
  <c r="S26" i="13"/>
  <c r="BO57" i="9" s="1"/>
  <c r="BO77" i="9" s="1"/>
  <c r="K26" i="13"/>
  <c r="BG57" i="9" s="1"/>
  <c r="BG70" i="9" s="1"/>
  <c r="U26" i="13"/>
  <c r="BQ57" i="9" s="1"/>
  <c r="K58" i="9"/>
  <c r="J58" i="9"/>
  <c r="D31" i="13"/>
  <c r="D54" i="13" s="1"/>
  <c r="H477" i="4"/>
  <c r="I477" i="4" s="1"/>
  <c r="J477" i="4" s="1"/>
  <c r="K477" i="4" s="1"/>
  <c r="L477" i="4" s="1"/>
  <c r="M477" i="4" s="1"/>
  <c r="N477" i="4" s="1"/>
  <c r="O477" i="4" s="1"/>
  <c r="P477" i="4" s="1"/>
  <c r="Q477" i="4" s="1"/>
  <c r="R477" i="4" s="1"/>
  <c r="S477" i="4" s="1"/>
  <c r="F527" i="4"/>
  <c r="F315" i="4" s="1"/>
  <c r="F175" i="4" s="1"/>
  <c r="E527" i="4"/>
  <c r="E315" i="4" s="1"/>
  <c r="E308" i="4" s="1"/>
  <c r="G434" i="4"/>
  <c r="I573" i="4"/>
  <c r="J573" i="4" s="1"/>
  <c r="K573" i="4" s="1"/>
  <c r="K605" i="4" s="1"/>
  <c r="F598" i="4"/>
  <c r="G799" i="12"/>
  <c r="G791" i="12"/>
  <c r="G779" i="12"/>
  <c r="G773" i="12"/>
  <c r="G766" i="12"/>
  <c r="P148" i="11"/>
  <c r="P181" i="9"/>
  <c r="R218" i="9"/>
  <c r="S218" i="9" s="1"/>
  <c r="R219" i="9"/>
  <c r="S219" i="9" s="1"/>
  <c r="T219" i="9" s="1"/>
  <c r="U219" i="9" s="1"/>
  <c r="V219" i="9" s="1"/>
  <c r="W219" i="9" s="1"/>
  <c r="X219" i="9" s="1"/>
  <c r="Y219" i="9" s="1"/>
  <c r="Z219" i="9" s="1"/>
  <c r="R212" i="10"/>
  <c r="B117" i="4"/>
  <c r="B116" i="4"/>
  <c r="B132" i="4" s="1"/>
  <c r="B145" i="4" s="1"/>
  <c r="U263" i="14"/>
  <c r="T263" i="14"/>
  <c r="S263" i="14"/>
  <c r="R263" i="14"/>
  <c r="Q263" i="14"/>
  <c r="S257" i="14"/>
  <c r="R257" i="14"/>
  <c r="Q257" i="14"/>
  <c r="S254" i="14"/>
  <c r="R254" i="14"/>
  <c r="Q254" i="14"/>
  <c r="P254" i="14"/>
  <c r="T250" i="14"/>
  <c r="S250" i="14"/>
  <c r="R250" i="14"/>
  <c r="Q250" i="14"/>
  <c r="P250" i="14"/>
  <c r="T248" i="14"/>
  <c r="S248" i="14"/>
  <c r="R248" i="14"/>
  <c r="Q248" i="14"/>
  <c r="P248" i="14"/>
  <c r="O248" i="14"/>
  <c r="N248" i="14"/>
  <c r="M248" i="14"/>
  <c r="L248" i="14"/>
  <c r="K248" i="14"/>
  <c r="J248" i="14"/>
  <c r="I248" i="14"/>
  <c r="H248" i="14"/>
  <c r="G248" i="14"/>
  <c r="F248" i="14"/>
  <c r="T247" i="14"/>
  <c r="S247" i="14"/>
  <c r="R247" i="14"/>
  <c r="Q247" i="14"/>
  <c r="P247" i="14"/>
  <c r="O247" i="14"/>
  <c r="N247" i="14"/>
  <c r="M247" i="14"/>
  <c r="L247" i="14"/>
  <c r="K247" i="14"/>
  <c r="J247" i="14"/>
  <c r="I247" i="14"/>
  <c r="H247" i="14"/>
  <c r="G247" i="14"/>
  <c r="F247" i="14"/>
  <c r="T246" i="14"/>
  <c r="S246" i="14"/>
  <c r="R246" i="14"/>
  <c r="Q246" i="14"/>
  <c r="P246" i="14"/>
  <c r="O246" i="14"/>
  <c r="N246" i="14"/>
  <c r="M246" i="14"/>
  <c r="L246" i="14"/>
  <c r="K246" i="14"/>
  <c r="J246" i="14"/>
  <c r="I246" i="14"/>
  <c r="H246" i="14"/>
  <c r="G246" i="14"/>
  <c r="F246" i="14"/>
  <c r="T245" i="14"/>
  <c r="S245" i="14"/>
  <c r="R245" i="14"/>
  <c r="Q245" i="14"/>
  <c r="P245" i="14"/>
  <c r="O245" i="14"/>
  <c r="N245" i="14"/>
  <c r="M245" i="14"/>
  <c r="L245" i="14"/>
  <c r="K245" i="14"/>
  <c r="J245" i="14"/>
  <c r="I245" i="14"/>
  <c r="H245" i="14"/>
  <c r="G245" i="14"/>
  <c r="F245" i="14"/>
  <c r="T244" i="14"/>
  <c r="S244" i="14"/>
  <c r="R244" i="14"/>
  <c r="Q244" i="14"/>
  <c r="P244" i="14"/>
  <c r="O244" i="14"/>
  <c r="N244" i="14"/>
  <c r="M244" i="14"/>
  <c r="L244" i="14"/>
  <c r="K244" i="14"/>
  <c r="J244" i="14"/>
  <c r="I244" i="14"/>
  <c r="H244" i="14"/>
  <c r="G244" i="14"/>
  <c r="F244" i="14"/>
  <c r="T243" i="14"/>
  <c r="S243" i="14"/>
  <c r="R243" i="14"/>
  <c r="Q243" i="14"/>
  <c r="P243" i="14"/>
  <c r="O243" i="14"/>
  <c r="N243" i="14"/>
  <c r="M243" i="14"/>
  <c r="L243" i="14"/>
  <c r="K243" i="14"/>
  <c r="J243" i="14"/>
  <c r="I243" i="14"/>
  <c r="H243" i="14"/>
  <c r="G243" i="14"/>
  <c r="F243" i="14"/>
  <c r="S242" i="14"/>
  <c r="R242" i="14"/>
  <c r="Q242" i="14"/>
  <c r="P242" i="14"/>
  <c r="O242" i="14"/>
  <c r="N242" i="14"/>
  <c r="M242" i="14"/>
  <c r="L242" i="14"/>
  <c r="K242" i="14"/>
  <c r="J242" i="14"/>
  <c r="I242" i="14"/>
  <c r="H242" i="14"/>
  <c r="G242" i="14"/>
  <c r="F242" i="14"/>
  <c r="U241" i="14"/>
  <c r="T241" i="14"/>
  <c r="S241" i="14"/>
  <c r="R241" i="14"/>
  <c r="Q241" i="14"/>
  <c r="P241" i="14"/>
  <c r="O241" i="14"/>
  <c r="N241" i="14"/>
  <c r="M241" i="14"/>
  <c r="L241" i="14"/>
  <c r="K241" i="14"/>
  <c r="J241" i="14"/>
  <c r="I241" i="14"/>
  <c r="H241" i="14"/>
  <c r="G241" i="14"/>
  <c r="F241" i="14"/>
  <c r="T237" i="14"/>
  <c r="S237" i="14"/>
  <c r="R237" i="14"/>
  <c r="Q237" i="14"/>
  <c r="U236" i="14"/>
  <c r="T236" i="14"/>
  <c r="S236" i="14"/>
  <c r="R236" i="14"/>
  <c r="Q236" i="14"/>
  <c r="O223" i="9"/>
  <c r="O226" i="9" s="1"/>
  <c r="O228" i="9" s="1"/>
  <c r="O230" i="9" s="1"/>
  <c r="S235" i="14" s="1"/>
  <c r="S230" i="14"/>
  <c r="S239" i="14" s="1"/>
  <c r="R230" i="14"/>
  <c r="R239" i="14" s="1"/>
  <c r="Q230" i="14"/>
  <c r="Q239" i="14" s="1"/>
  <c r="P230" i="14"/>
  <c r="P239" i="14" s="1"/>
  <c r="S223" i="14"/>
  <c r="R223" i="14"/>
  <c r="Q223" i="14"/>
  <c r="P223" i="14"/>
  <c r="U221" i="14"/>
  <c r="T221" i="14"/>
  <c r="S221" i="14"/>
  <c r="R221" i="14"/>
  <c r="Q221" i="14"/>
  <c r="P221" i="14"/>
  <c r="O221" i="14"/>
  <c r="N221" i="14"/>
  <c r="M221" i="14"/>
  <c r="L221" i="14"/>
  <c r="K221" i="14"/>
  <c r="J221" i="14"/>
  <c r="I221" i="14"/>
  <c r="H221" i="14"/>
  <c r="G221" i="14"/>
  <c r="F221" i="14"/>
  <c r="U220" i="14"/>
  <c r="T220" i="14"/>
  <c r="S220" i="14"/>
  <c r="R220" i="14"/>
  <c r="Q220" i="14"/>
  <c r="P220" i="14"/>
  <c r="O220" i="14"/>
  <c r="N220" i="14"/>
  <c r="M220" i="14"/>
  <c r="L220" i="14"/>
  <c r="K220" i="14"/>
  <c r="J220" i="14"/>
  <c r="I220" i="14"/>
  <c r="H220" i="14"/>
  <c r="G220" i="14"/>
  <c r="F220" i="14"/>
  <c r="S219" i="14"/>
  <c r="R219" i="14"/>
  <c r="Q219" i="14"/>
  <c r="P219" i="14"/>
  <c r="O219" i="14"/>
  <c r="N219" i="14"/>
  <c r="M219" i="14"/>
  <c r="L219" i="14"/>
  <c r="K219" i="14"/>
  <c r="J219" i="14"/>
  <c r="I219" i="14"/>
  <c r="H219" i="14"/>
  <c r="G219" i="14"/>
  <c r="F219" i="14"/>
  <c r="S218" i="14"/>
  <c r="R218" i="14"/>
  <c r="Q218" i="14"/>
  <c r="P218" i="14"/>
  <c r="O218" i="14"/>
  <c r="N218" i="14"/>
  <c r="M218" i="14"/>
  <c r="L218" i="14"/>
  <c r="K218" i="14"/>
  <c r="J218" i="14"/>
  <c r="I218" i="14"/>
  <c r="H218" i="14"/>
  <c r="G218" i="14"/>
  <c r="F218" i="14"/>
  <c r="T217" i="14"/>
  <c r="S217" i="14"/>
  <c r="R217" i="14"/>
  <c r="Q217" i="14"/>
  <c r="P217" i="14"/>
  <c r="O217" i="14"/>
  <c r="N217" i="14"/>
  <c r="M217" i="14"/>
  <c r="L217" i="14"/>
  <c r="K217" i="14"/>
  <c r="J217" i="14"/>
  <c r="I217" i="14"/>
  <c r="H217" i="14"/>
  <c r="G217" i="14"/>
  <c r="F217" i="14"/>
  <c r="T216" i="14"/>
  <c r="S216" i="14"/>
  <c r="R216" i="14"/>
  <c r="Q216" i="14"/>
  <c r="P216" i="14"/>
  <c r="O216" i="14"/>
  <c r="N216" i="14"/>
  <c r="M216" i="14"/>
  <c r="L216" i="14"/>
  <c r="K216" i="14"/>
  <c r="J216" i="14"/>
  <c r="I216" i="14"/>
  <c r="H216" i="14"/>
  <c r="G216" i="14"/>
  <c r="F216" i="14"/>
  <c r="T215" i="14"/>
  <c r="S215" i="14"/>
  <c r="R215" i="14"/>
  <c r="Q215" i="14"/>
  <c r="P215" i="14"/>
  <c r="O215" i="14"/>
  <c r="N215" i="14"/>
  <c r="M215" i="14"/>
  <c r="L215" i="14"/>
  <c r="K215" i="14"/>
  <c r="J215" i="14"/>
  <c r="I215" i="14"/>
  <c r="H215" i="14"/>
  <c r="G215" i="14"/>
  <c r="F215" i="14"/>
  <c r="T214" i="14"/>
  <c r="S214" i="14"/>
  <c r="R214" i="14"/>
  <c r="Q214" i="14"/>
  <c r="P214" i="14"/>
  <c r="O214" i="14"/>
  <c r="N214" i="14"/>
  <c r="M214" i="14"/>
  <c r="L214" i="14"/>
  <c r="K214" i="14"/>
  <c r="J214" i="14"/>
  <c r="I214" i="14"/>
  <c r="H214" i="14"/>
  <c r="G214" i="14"/>
  <c r="F214" i="14"/>
  <c r="P13" i="11"/>
  <c r="T86" i="14" s="1"/>
  <c r="M13" i="11"/>
  <c r="Q86" i="14" s="1"/>
  <c r="O210" i="11"/>
  <c r="P11" i="11"/>
  <c r="M11" i="11"/>
  <c r="P12" i="11"/>
  <c r="I7" i="11"/>
  <c r="M192" i="14" s="1"/>
  <c r="P10" i="11"/>
  <c r="P6" i="11"/>
  <c r="U190" i="17" s="1"/>
  <c r="I6" i="11"/>
  <c r="M190" i="14" s="1"/>
  <c r="P4" i="11"/>
  <c r="K4" i="11"/>
  <c r="C4" i="11"/>
  <c r="J158" i="14"/>
  <c r="Q157" i="14"/>
  <c r="K157" i="14"/>
  <c r="J157" i="14"/>
  <c r="Q156" i="14"/>
  <c r="K156" i="14"/>
  <c r="J156" i="14"/>
  <c r="S155" i="14"/>
  <c r="R155" i="14"/>
  <c r="Q155" i="14"/>
  <c r="P155" i="14"/>
  <c r="O155" i="14"/>
  <c r="N155" i="14"/>
  <c r="M155" i="14"/>
  <c r="L155" i="14"/>
  <c r="K155" i="14"/>
  <c r="AD147" i="14"/>
  <c r="AC147" i="14"/>
  <c r="AB147" i="14"/>
  <c r="AA147" i="14"/>
  <c r="Z147" i="14"/>
  <c r="S147" i="14"/>
  <c r="R147" i="14"/>
  <c r="Q147" i="14"/>
  <c r="O169" i="11"/>
  <c r="S135" i="14" s="1"/>
  <c r="N118" i="11"/>
  <c r="R115" i="14" s="1"/>
  <c r="N157" i="9"/>
  <c r="N159" i="9" s="1"/>
  <c r="N195" i="9" s="1"/>
  <c r="N151" i="10"/>
  <c r="N153" i="10" s="1"/>
  <c r="N153" i="11"/>
  <c r="R110" i="14" s="1"/>
  <c r="N215" i="11"/>
  <c r="R105" i="14" s="1"/>
  <c r="R222" i="9"/>
  <c r="R225" i="9"/>
  <c r="S225" i="9" s="1"/>
  <c r="T225" i="9" s="1"/>
  <c r="P210" i="11"/>
  <c r="P213" i="11"/>
  <c r="M210" i="11"/>
  <c r="M213" i="11"/>
  <c r="M208" i="11"/>
  <c r="M8" i="11"/>
  <c r="Q193" i="14" s="1"/>
  <c r="M10" i="11"/>
  <c r="M4" i="11"/>
  <c r="S35" i="14"/>
  <c r="R35" i="14"/>
  <c r="N169" i="11"/>
  <c r="R30" i="14" s="1"/>
  <c r="S29" i="14"/>
  <c r="R29" i="14"/>
  <c r="O198" i="9"/>
  <c r="O188" i="11" s="1"/>
  <c r="S28" i="14" s="1"/>
  <c r="M118" i="11"/>
  <c r="Q154" i="9"/>
  <c r="R154" i="9" s="1"/>
  <c r="S154" i="9" s="1"/>
  <c r="T154" i="9" s="1"/>
  <c r="P194" i="9"/>
  <c r="P203" i="9" s="1"/>
  <c r="O194" i="9"/>
  <c r="O184" i="11" s="1"/>
  <c r="O193" i="11" s="1"/>
  <c r="N194" i="9"/>
  <c r="N203" i="9" s="1"/>
  <c r="AD14" i="14"/>
  <c r="AC14" i="14"/>
  <c r="AB14" i="14"/>
  <c r="AA14" i="14"/>
  <c r="Z14" i="14"/>
  <c r="P196" i="9"/>
  <c r="Q196" i="9" s="1"/>
  <c r="P190" i="10"/>
  <c r="O186" i="11"/>
  <c r="S11" i="14" s="1"/>
  <c r="T240" i="14"/>
  <c r="U240" i="14" s="1"/>
  <c r="V240" i="14" s="1"/>
  <c r="W240" i="14" s="1"/>
  <c r="X240" i="14" s="1"/>
  <c r="Y240" i="14" s="1"/>
  <c r="Z240" i="14" s="1"/>
  <c r="AA240" i="14" s="1"/>
  <c r="AB240" i="14" s="1"/>
  <c r="AC240" i="14" s="1"/>
  <c r="AD240" i="14" s="1"/>
  <c r="T213" i="14"/>
  <c r="U213" i="14" s="1"/>
  <c r="V213" i="14" s="1"/>
  <c r="W213" i="14" s="1"/>
  <c r="X213" i="14" s="1"/>
  <c r="Y213" i="14" s="1"/>
  <c r="Z213" i="14" s="1"/>
  <c r="AA213" i="14" s="1"/>
  <c r="AB213" i="14" s="1"/>
  <c r="AC213" i="14" s="1"/>
  <c r="AD213" i="14" s="1"/>
  <c r="T187" i="14"/>
  <c r="U187" i="14" s="1"/>
  <c r="V187" i="14" s="1"/>
  <c r="W187" i="14" s="1"/>
  <c r="X187" i="14" s="1"/>
  <c r="Y187" i="14" s="1"/>
  <c r="Z187" i="14" s="1"/>
  <c r="AA187" i="14" s="1"/>
  <c r="AB187" i="14" s="1"/>
  <c r="AC187" i="14" s="1"/>
  <c r="AD187" i="14" s="1"/>
  <c r="R172" i="14"/>
  <c r="S172" i="14" s="1"/>
  <c r="T172" i="14" s="1"/>
  <c r="U172" i="14" s="1"/>
  <c r="V172" i="14" s="1"/>
  <c r="W172" i="14" s="1"/>
  <c r="X172" i="14" s="1"/>
  <c r="Y172" i="14" s="1"/>
  <c r="Z172" i="14" s="1"/>
  <c r="AA172" i="14" s="1"/>
  <c r="AB172" i="14" s="1"/>
  <c r="AC172" i="14" s="1"/>
  <c r="AD172" i="14" s="1"/>
  <c r="F172" i="14"/>
  <c r="R154" i="14"/>
  <c r="S154" i="14" s="1"/>
  <c r="T154" i="14" s="1"/>
  <c r="U154" i="14" s="1"/>
  <c r="V154" i="14" s="1"/>
  <c r="W154" i="14" s="1"/>
  <c r="X154" i="14" s="1"/>
  <c r="Y154" i="14" s="1"/>
  <c r="Z154" i="14" s="1"/>
  <c r="AA154" i="14" s="1"/>
  <c r="AB154" i="14" s="1"/>
  <c r="AC154" i="14" s="1"/>
  <c r="AD154" i="14" s="1"/>
  <c r="R221" i="10"/>
  <c r="S221" i="10" s="1"/>
  <c r="T221" i="10" s="1"/>
  <c r="U221" i="10" s="1"/>
  <c r="P217" i="11"/>
  <c r="O217" i="11"/>
  <c r="N217" i="11"/>
  <c r="M217" i="11"/>
  <c r="M215" i="11"/>
  <c r="Q105" i="14" s="1"/>
  <c r="O213" i="11"/>
  <c r="N213" i="11"/>
  <c r="R216" i="10"/>
  <c r="S216" i="10" s="1"/>
  <c r="P212" i="11"/>
  <c r="O212" i="11"/>
  <c r="N212" i="11"/>
  <c r="M212" i="11"/>
  <c r="M209" i="11"/>
  <c r="N210" i="11"/>
  <c r="O209" i="11"/>
  <c r="F504" i="4" s="1"/>
  <c r="N209" i="11"/>
  <c r="O208" i="11"/>
  <c r="N208" i="11"/>
  <c r="O204" i="9"/>
  <c r="O187" i="11"/>
  <c r="N187" i="11"/>
  <c r="M187" i="11"/>
  <c r="N186" i="11"/>
  <c r="R11" i="14" s="1"/>
  <c r="M186" i="11"/>
  <c r="Q11" i="14" s="1"/>
  <c r="O178" i="11"/>
  <c r="P177" i="11" s="1"/>
  <c r="N178" i="11"/>
  <c r="O177" i="11" s="1"/>
  <c r="M178" i="11"/>
  <c r="O170" i="11"/>
  <c r="S136" i="14" s="1"/>
  <c r="N170" i="11"/>
  <c r="R136" i="14" s="1"/>
  <c r="M170" i="11"/>
  <c r="Q136" i="14" s="1"/>
  <c r="M169" i="11"/>
  <c r="Q135" i="14" s="1"/>
  <c r="O157" i="11"/>
  <c r="N157" i="11"/>
  <c r="M157" i="11"/>
  <c r="O153" i="11"/>
  <c r="S110" i="14" s="1"/>
  <c r="M153" i="11"/>
  <c r="Q110" i="14" s="1"/>
  <c r="R149" i="10"/>
  <c r="S149" i="10" s="1"/>
  <c r="T149" i="10" s="1"/>
  <c r="U149" i="10" s="1"/>
  <c r="V149" i="10" s="1"/>
  <c r="W149" i="10" s="1"/>
  <c r="X149" i="10" s="1"/>
  <c r="Y149" i="10" s="1"/>
  <c r="Z149" i="10" s="1"/>
  <c r="O148" i="11"/>
  <c r="N148" i="11"/>
  <c r="M148" i="11"/>
  <c r="P136" i="11"/>
  <c r="L114" i="11"/>
  <c r="O111" i="11"/>
  <c r="N111" i="11"/>
  <c r="M111" i="11"/>
  <c r="L111" i="11"/>
  <c r="O88" i="11"/>
  <c r="N88" i="11"/>
  <c r="M88" i="11"/>
  <c r="O87" i="11"/>
  <c r="N87" i="11"/>
  <c r="M87" i="11"/>
  <c r="O86" i="11"/>
  <c r="N86" i="11"/>
  <c r="M86" i="11"/>
  <c r="O66" i="10"/>
  <c r="N62" i="11"/>
  <c r="R73" i="14" s="1"/>
  <c r="M62" i="11"/>
  <c r="Q73" i="14" s="1"/>
  <c r="L62" i="11"/>
  <c r="L72" i="13"/>
  <c r="K72" i="13"/>
  <c r="J72" i="13"/>
  <c r="I72" i="13"/>
  <c r="H72" i="13"/>
  <c r="G72" i="13"/>
  <c r="F72" i="13"/>
  <c r="E72" i="13"/>
  <c r="D72" i="13"/>
  <c r="C72" i="13"/>
  <c r="B72" i="13"/>
  <c r="U71" i="13"/>
  <c r="T71" i="13"/>
  <c r="S71" i="13"/>
  <c r="R71" i="13"/>
  <c r="Q71" i="13"/>
  <c r="P71" i="13"/>
  <c r="O71" i="13"/>
  <c r="N71" i="13"/>
  <c r="M71" i="13"/>
  <c r="L71" i="13"/>
  <c r="K71" i="13"/>
  <c r="J71" i="13"/>
  <c r="I71" i="13"/>
  <c r="H71" i="13"/>
  <c r="G71" i="13"/>
  <c r="F71" i="13"/>
  <c r="E71" i="13"/>
  <c r="D71" i="13"/>
  <c r="C71" i="13"/>
  <c r="B71" i="13"/>
  <c r="U70" i="13"/>
  <c r="T70" i="13"/>
  <c r="S70" i="13"/>
  <c r="R70" i="13"/>
  <c r="Q70" i="13"/>
  <c r="P70" i="13"/>
  <c r="O70" i="13"/>
  <c r="N70" i="13"/>
  <c r="M70" i="13"/>
  <c r="L70" i="13"/>
  <c r="K70" i="13"/>
  <c r="J70" i="13"/>
  <c r="I70" i="13"/>
  <c r="H70" i="13"/>
  <c r="G70" i="13"/>
  <c r="F70" i="13"/>
  <c r="E70" i="13"/>
  <c r="D70" i="13"/>
  <c r="C70" i="13"/>
  <c r="B70" i="13"/>
  <c r="U69" i="13"/>
  <c r="T69" i="13"/>
  <c r="S69" i="13"/>
  <c r="R69" i="13"/>
  <c r="Q69" i="13"/>
  <c r="P69" i="13"/>
  <c r="O69" i="13"/>
  <c r="N69" i="13"/>
  <c r="M69" i="13"/>
  <c r="L69" i="13"/>
  <c r="K69" i="13"/>
  <c r="J69" i="13"/>
  <c r="I69" i="13"/>
  <c r="H69" i="13"/>
  <c r="G69" i="13"/>
  <c r="F69" i="13"/>
  <c r="E69" i="13"/>
  <c r="D69" i="13"/>
  <c r="C69" i="13"/>
  <c r="B69" i="13"/>
  <c r="U68" i="13"/>
  <c r="T68" i="13"/>
  <c r="S68" i="13"/>
  <c r="R68" i="13"/>
  <c r="Q68" i="13"/>
  <c r="P68" i="13"/>
  <c r="O68" i="13"/>
  <c r="N68" i="13"/>
  <c r="M68" i="13"/>
  <c r="L68" i="13"/>
  <c r="K68" i="13"/>
  <c r="J68" i="13"/>
  <c r="I68" i="13"/>
  <c r="H68" i="13"/>
  <c r="G68" i="13"/>
  <c r="F68" i="13"/>
  <c r="E68" i="13"/>
  <c r="D68" i="13"/>
  <c r="C68" i="13"/>
  <c r="B68" i="13"/>
  <c r="U67" i="13"/>
  <c r="T67" i="13"/>
  <c r="S67" i="13"/>
  <c r="R67" i="13"/>
  <c r="Q67" i="13"/>
  <c r="P67" i="13"/>
  <c r="O67" i="13"/>
  <c r="N67" i="13"/>
  <c r="M67" i="13"/>
  <c r="L67" i="13"/>
  <c r="K67" i="13"/>
  <c r="J67" i="13"/>
  <c r="I67" i="13"/>
  <c r="H67" i="13"/>
  <c r="G67" i="13"/>
  <c r="F67" i="13"/>
  <c r="E67" i="13"/>
  <c r="D67" i="13"/>
  <c r="C67" i="13"/>
  <c r="B67" i="13"/>
  <c r="U66" i="13"/>
  <c r="T66" i="13"/>
  <c r="S66" i="13"/>
  <c r="R66" i="13"/>
  <c r="Q66" i="13"/>
  <c r="P66" i="13"/>
  <c r="O66" i="13"/>
  <c r="N66" i="13"/>
  <c r="M66" i="13"/>
  <c r="L66" i="13"/>
  <c r="K66" i="13"/>
  <c r="J66" i="13"/>
  <c r="I66" i="13"/>
  <c r="H66" i="13"/>
  <c r="G66" i="13"/>
  <c r="F66" i="13"/>
  <c r="E66" i="13"/>
  <c r="D66" i="13"/>
  <c r="C66" i="13"/>
  <c r="B66" i="13"/>
  <c r="U65" i="13"/>
  <c r="T65" i="13"/>
  <c r="S65" i="13"/>
  <c r="R65" i="13"/>
  <c r="Q65" i="13"/>
  <c r="P65" i="13"/>
  <c r="O65" i="13"/>
  <c r="N65" i="13"/>
  <c r="M65" i="13"/>
  <c r="L65" i="13"/>
  <c r="K65" i="13"/>
  <c r="J65" i="13"/>
  <c r="I65" i="13"/>
  <c r="H65" i="13"/>
  <c r="G65" i="13"/>
  <c r="F65" i="13"/>
  <c r="E65" i="13"/>
  <c r="D65" i="13"/>
  <c r="C65" i="13"/>
  <c r="B65" i="13"/>
  <c r="U64" i="13"/>
  <c r="T64" i="13"/>
  <c r="S64" i="13"/>
  <c r="R64" i="13"/>
  <c r="Q64" i="13"/>
  <c r="P64" i="13"/>
  <c r="O64" i="13"/>
  <c r="N64" i="13"/>
  <c r="M64" i="13"/>
  <c r="L64" i="13"/>
  <c r="K64" i="13"/>
  <c r="I64" i="13"/>
  <c r="H64" i="13"/>
  <c r="G64" i="13"/>
  <c r="F64" i="13"/>
  <c r="E64" i="13"/>
  <c r="D64" i="13"/>
  <c r="C64" i="13"/>
  <c r="B64" i="13"/>
  <c r="J61" i="13"/>
  <c r="O59" i="9" s="1"/>
  <c r="O58" i="9" s="1"/>
  <c r="I61" i="13"/>
  <c r="N59" i="9" s="1"/>
  <c r="N58" i="9" s="1"/>
  <c r="H61" i="13"/>
  <c r="M59" i="9" s="1"/>
  <c r="G61" i="13"/>
  <c r="L59" i="9" s="1"/>
  <c r="F61" i="13"/>
  <c r="K57" i="9" s="1"/>
  <c r="O223" i="14" s="1"/>
  <c r="E61" i="13"/>
  <c r="J57" i="9" s="1"/>
  <c r="O37" i="13"/>
  <c r="O60" i="13" s="1"/>
  <c r="I60" i="13"/>
  <c r="H60" i="13"/>
  <c r="G60" i="13"/>
  <c r="F60" i="13"/>
  <c r="E60" i="13"/>
  <c r="C31" i="13"/>
  <c r="C61" i="13" s="1"/>
  <c r="H57" i="9" s="1"/>
  <c r="S36" i="13"/>
  <c r="S59" i="13" s="1"/>
  <c r="J59" i="13"/>
  <c r="I59" i="13"/>
  <c r="H59" i="13"/>
  <c r="G59" i="13"/>
  <c r="F59" i="13"/>
  <c r="E59" i="13"/>
  <c r="J58" i="13"/>
  <c r="I58" i="13"/>
  <c r="H58" i="13"/>
  <c r="G58" i="13"/>
  <c r="F58" i="13"/>
  <c r="E58" i="13"/>
  <c r="K34" i="13"/>
  <c r="J57" i="13"/>
  <c r="I57" i="13"/>
  <c r="H57" i="13"/>
  <c r="G57" i="13"/>
  <c r="F57" i="13"/>
  <c r="E57" i="13"/>
  <c r="J56" i="13"/>
  <c r="I56" i="13"/>
  <c r="H56" i="13"/>
  <c r="G56" i="13"/>
  <c r="F56" i="13"/>
  <c r="E56" i="13"/>
  <c r="S32" i="13"/>
  <c r="S55" i="13" s="1"/>
  <c r="J55" i="13"/>
  <c r="I55" i="13"/>
  <c r="H55" i="13"/>
  <c r="G55" i="13"/>
  <c r="F55" i="13"/>
  <c r="E55" i="13"/>
  <c r="J54" i="13"/>
  <c r="I54" i="13"/>
  <c r="H54" i="13"/>
  <c r="G54" i="13"/>
  <c r="F54" i="13"/>
  <c r="E54" i="13"/>
  <c r="P54" i="13"/>
  <c r="K30" i="13"/>
  <c r="I53" i="13"/>
  <c r="H53" i="13"/>
  <c r="G53" i="13"/>
  <c r="F53" i="13"/>
  <c r="E53" i="13"/>
  <c r="Y42" i="13"/>
  <c r="J41" i="13"/>
  <c r="J64" i="13" s="1"/>
  <c r="U37" i="13"/>
  <c r="U60" i="13" s="1"/>
  <c r="U54" i="13"/>
  <c r="T37" i="13"/>
  <c r="T60" i="13" s="1"/>
  <c r="S37" i="13"/>
  <c r="S60" i="13" s="1"/>
  <c r="R37" i="13"/>
  <c r="R60" i="13" s="1"/>
  <c r="Q37" i="13"/>
  <c r="Q60" i="13" s="1"/>
  <c r="Q54" i="13"/>
  <c r="P37" i="13"/>
  <c r="P60" i="13" s="1"/>
  <c r="N37" i="13"/>
  <c r="N60" i="13" s="1"/>
  <c r="M37" i="13"/>
  <c r="M60" i="13" s="1"/>
  <c r="L37" i="13"/>
  <c r="K37" i="13"/>
  <c r="J37" i="13"/>
  <c r="J60" i="13" s="1"/>
  <c r="U36" i="13"/>
  <c r="U59" i="13" s="1"/>
  <c r="T36" i="13"/>
  <c r="T59" i="13" s="1"/>
  <c r="R36" i="13"/>
  <c r="R59" i="13" s="1"/>
  <c r="Q36" i="13"/>
  <c r="Q59" i="13" s="1"/>
  <c r="P36" i="13"/>
  <c r="P59" i="13" s="1"/>
  <c r="O36" i="13"/>
  <c r="O59" i="13" s="1"/>
  <c r="N36" i="13"/>
  <c r="N59" i="13" s="1"/>
  <c r="M36" i="13"/>
  <c r="M59" i="13" s="1"/>
  <c r="L36" i="13"/>
  <c r="K36" i="13"/>
  <c r="U35" i="13"/>
  <c r="U58" i="13" s="1"/>
  <c r="T35" i="13"/>
  <c r="T58" i="13" s="1"/>
  <c r="S35" i="13"/>
  <c r="S58" i="13" s="1"/>
  <c r="R35" i="13"/>
  <c r="R58" i="13" s="1"/>
  <c r="Q35" i="13"/>
  <c r="Q58" i="13" s="1"/>
  <c r="P35" i="13"/>
  <c r="P58" i="13" s="1"/>
  <c r="O35" i="13"/>
  <c r="O58" i="13" s="1"/>
  <c r="N35" i="13"/>
  <c r="N58" i="13" s="1"/>
  <c r="M35" i="13"/>
  <c r="M58" i="13" s="1"/>
  <c r="L35" i="13"/>
  <c r="K35" i="13"/>
  <c r="U34" i="13"/>
  <c r="U57" i="13" s="1"/>
  <c r="T34" i="13"/>
  <c r="T57" i="13" s="1"/>
  <c r="S34" i="13"/>
  <c r="S57" i="13" s="1"/>
  <c r="R34" i="13"/>
  <c r="R57" i="13" s="1"/>
  <c r="Q34" i="13"/>
  <c r="Q57" i="13" s="1"/>
  <c r="P34" i="13"/>
  <c r="P57" i="13" s="1"/>
  <c r="O34" i="13"/>
  <c r="O57" i="13" s="1"/>
  <c r="N34" i="13"/>
  <c r="N57" i="13" s="1"/>
  <c r="M34" i="13"/>
  <c r="M57" i="13" s="1"/>
  <c r="L34" i="13"/>
  <c r="U33" i="13"/>
  <c r="U56" i="13" s="1"/>
  <c r="T33" i="13"/>
  <c r="T56" i="13" s="1"/>
  <c r="S33" i="13"/>
  <c r="S56" i="13" s="1"/>
  <c r="R33" i="13"/>
  <c r="R56" i="13" s="1"/>
  <c r="Q33" i="13"/>
  <c r="Q56" i="13" s="1"/>
  <c r="P33" i="13"/>
  <c r="P56" i="13" s="1"/>
  <c r="O33" i="13"/>
  <c r="O56" i="13" s="1"/>
  <c r="N33" i="13"/>
  <c r="N56" i="13" s="1"/>
  <c r="M33" i="13"/>
  <c r="M56" i="13" s="1"/>
  <c r="L33" i="13"/>
  <c r="K33" i="13"/>
  <c r="U32" i="13"/>
  <c r="T32" i="13"/>
  <c r="T55" i="13" s="1"/>
  <c r="R32" i="13"/>
  <c r="R55" i="13" s="1"/>
  <c r="Q32" i="13"/>
  <c r="Q55" i="13" s="1"/>
  <c r="P32" i="13"/>
  <c r="P55" i="13" s="1"/>
  <c r="O32" i="13"/>
  <c r="O55" i="13" s="1"/>
  <c r="N32" i="13"/>
  <c r="N55" i="13" s="1"/>
  <c r="M32" i="13"/>
  <c r="M55" i="13" s="1"/>
  <c r="L32" i="13"/>
  <c r="K32" i="13"/>
  <c r="B31" i="13"/>
  <c r="R53" i="13"/>
  <c r="J30" i="13"/>
  <c r="J53" i="13" s="1"/>
  <c r="AI26" i="13"/>
  <c r="AH26" i="13"/>
  <c r="CD59" i="9" s="1"/>
  <c r="AG26" i="13"/>
  <c r="AD26" i="13"/>
  <c r="AC26" i="13"/>
  <c r="AB26" i="13"/>
  <c r="Y26" i="13"/>
  <c r="X26" i="13"/>
  <c r="W26" i="13"/>
  <c r="T26" i="13"/>
  <c r="BP57" i="9" s="1"/>
  <c r="R26" i="13"/>
  <c r="BN57" i="9" s="1"/>
  <c r="BN113" i="9" s="1"/>
  <c r="Q26" i="13"/>
  <c r="BM57" i="9" s="1"/>
  <c r="P26" i="13"/>
  <c r="BL57" i="9" s="1"/>
  <c r="BL77" i="9" s="1"/>
  <c r="O26" i="13"/>
  <c r="BK57" i="9" s="1"/>
  <c r="N26" i="13"/>
  <c r="BJ57" i="9" s="1"/>
  <c r="BJ70" i="9" s="1"/>
  <c r="M26" i="13"/>
  <c r="BI57" i="9" s="1"/>
  <c r="BI113" i="9" s="1"/>
  <c r="BI122" i="9" s="1"/>
  <c r="L26" i="13"/>
  <c r="BH57" i="9" s="1"/>
  <c r="BH113" i="9" s="1"/>
  <c r="BH122" i="9" s="1"/>
  <c r="H26" i="13"/>
  <c r="BD57" i="9" s="1"/>
  <c r="J26" i="13"/>
  <c r="BF57" i="9" s="1"/>
  <c r="BF77" i="9" s="1"/>
  <c r="I26" i="13"/>
  <c r="BE57" i="9" s="1"/>
  <c r="G26" i="13"/>
  <c r="BC57" i="9" s="1"/>
  <c r="F26" i="13"/>
  <c r="BB57" i="9" s="1"/>
  <c r="BB77" i="9" s="1"/>
  <c r="E26" i="13"/>
  <c r="D26" i="13"/>
  <c r="C26" i="13"/>
  <c r="B26" i="13"/>
  <c r="AI25" i="13"/>
  <c r="AH25" i="13"/>
  <c r="AG25" i="13"/>
  <c r="AD25" i="13"/>
  <c r="AC25" i="13"/>
  <c r="AB25" i="13"/>
  <c r="AA25" i="13"/>
  <c r="Z25" i="13"/>
  <c r="Y25" i="13"/>
  <c r="X25" i="13"/>
  <c r="W25" i="13"/>
  <c r="V25" i="13"/>
  <c r="U25" i="13"/>
  <c r="T25" i="13"/>
  <c r="S25" i="13"/>
  <c r="R25" i="13"/>
  <c r="Q25" i="13"/>
  <c r="P25" i="13"/>
  <c r="O25" i="13"/>
  <c r="N25" i="13"/>
  <c r="M25" i="13"/>
  <c r="L25" i="13"/>
  <c r="K25" i="13"/>
  <c r="J25" i="13"/>
  <c r="I25" i="13"/>
  <c r="H25" i="13"/>
  <c r="G25" i="13"/>
  <c r="F25" i="13"/>
  <c r="E25" i="13"/>
  <c r="D25" i="13"/>
  <c r="C25" i="13"/>
  <c r="B25" i="13"/>
  <c r="AI24" i="13"/>
  <c r="AH24" i="13"/>
  <c r="AG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B24" i="13"/>
  <c r="AI23" i="13"/>
  <c r="AH23" i="13"/>
  <c r="AG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E23" i="13"/>
  <c r="D23" i="13"/>
  <c r="C23" i="13"/>
  <c r="B23" i="13"/>
  <c r="AI22" i="13"/>
  <c r="AH22" i="13"/>
  <c r="AG22" i="13"/>
  <c r="AF8" i="13"/>
  <c r="AF25" i="13" s="1"/>
  <c r="AD22" i="13"/>
  <c r="AC22" i="13"/>
  <c r="AB22" i="13"/>
  <c r="AA22" i="13"/>
  <c r="Z22" i="13"/>
  <c r="Y22" i="13"/>
  <c r="X22" i="13"/>
  <c r="W22" i="13"/>
  <c r="V22" i="13"/>
  <c r="U22" i="13"/>
  <c r="T22" i="13"/>
  <c r="S22" i="13"/>
  <c r="R22" i="13"/>
  <c r="Q22" i="13"/>
  <c r="P22" i="13"/>
  <c r="O22" i="13"/>
  <c r="N22" i="13"/>
  <c r="M22" i="13"/>
  <c r="L22" i="13"/>
  <c r="K22" i="13"/>
  <c r="J22" i="13"/>
  <c r="I22" i="13"/>
  <c r="H22" i="13"/>
  <c r="G22" i="13"/>
  <c r="F22" i="13"/>
  <c r="E22" i="13"/>
  <c r="D22" i="13"/>
  <c r="C22" i="13"/>
  <c r="B22" i="13"/>
  <c r="AI21" i="13"/>
  <c r="AH21" i="13"/>
  <c r="AG21" i="13"/>
  <c r="AD21" i="13"/>
  <c r="AC21" i="13"/>
  <c r="AB21" i="13"/>
  <c r="AA21" i="13"/>
  <c r="Z21" i="13"/>
  <c r="Y21" i="13"/>
  <c r="X21" i="13"/>
  <c r="W21" i="13"/>
  <c r="V21" i="13"/>
  <c r="U21" i="13"/>
  <c r="T21" i="13"/>
  <c r="S21" i="13"/>
  <c r="R21" i="13"/>
  <c r="Q21" i="13"/>
  <c r="P21" i="13"/>
  <c r="O21" i="13"/>
  <c r="N21" i="13"/>
  <c r="M21" i="13"/>
  <c r="L21" i="13"/>
  <c r="K21" i="13"/>
  <c r="J21" i="13"/>
  <c r="I21" i="13"/>
  <c r="H21" i="13"/>
  <c r="G21" i="13"/>
  <c r="F21" i="13"/>
  <c r="E21" i="13"/>
  <c r="D21" i="13"/>
  <c r="C21" i="13"/>
  <c r="B21" i="13"/>
  <c r="AI20" i="13"/>
  <c r="AH20" i="13"/>
  <c r="AG20" i="13"/>
  <c r="AD20" i="13"/>
  <c r="AC20" i="13"/>
  <c r="AB20" i="13"/>
  <c r="AA20" i="13"/>
  <c r="Z20" i="13"/>
  <c r="Y20" i="13"/>
  <c r="X20" i="13"/>
  <c r="W20" i="13"/>
  <c r="V20" i="13"/>
  <c r="U20" i="13"/>
  <c r="T20" i="13"/>
  <c r="S20" i="13"/>
  <c r="R20" i="13"/>
  <c r="Q20" i="13"/>
  <c r="P20" i="13"/>
  <c r="O20" i="13"/>
  <c r="N20" i="13"/>
  <c r="M20" i="13"/>
  <c r="L20" i="13"/>
  <c r="K20" i="13"/>
  <c r="J20" i="13"/>
  <c r="I20" i="13"/>
  <c r="H20" i="13"/>
  <c r="G20" i="13"/>
  <c r="F20" i="13"/>
  <c r="E20" i="13"/>
  <c r="D20" i="13"/>
  <c r="C20" i="13"/>
  <c r="B20" i="13"/>
  <c r="AI19" i="13"/>
  <c r="AH19" i="13"/>
  <c r="AG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C19" i="13"/>
  <c r="B19" i="13"/>
  <c r="AI18" i="13"/>
  <c r="AH18" i="13"/>
  <c r="AG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C18" i="13"/>
  <c r="B18" i="13"/>
  <c r="AN17" i="13"/>
  <c r="AM17" i="13"/>
  <c r="AL17" i="13"/>
  <c r="AK17" i="13"/>
  <c r="AJ17" i="13"/>
  <c r="AI17" i="13"/>
  <c r="AH17" i="13"/>
  <c r="AG17" i="13"/>
  <c r="AF17" i="13"/>
  <c r="AE17" i="13"/>
  <c r="AD17" i="13"/>
  <c r="AF7" i="13"/>
  <c r="AE7" i="13"/>
  <c r="C946" i="12"/>
  <c r="B946" i="12"/>
  <c r="C945" i="12"/>
  <c r="C941" i="12"/>
  <c r="C938" i="12"/>
  <c r="D935" i="12"/>
  <c r="E933" i="12"/>
  <c r="D930" i="12"/>
  <c r="E922" i="12"/>
  <c r="F922" i="12" s="1"/>
  <c r="D921" i="12"/>
  <c r="F921" i="12" s="1"/>
  <c r="H921" i="12" s="1"/>
  <c r="E920" i="12"/>
  <c r="D920" i="12"/>
  <c r="G913" i="12"/>
  <c r="G912" i="12"/>
  <c r="L911" i="12"/>
  <c r="J911" i="12"/>
  <c r="G911" i="12"/>
  <c r="G910" i="12"/>
  <c r="J909" i="12"/>
  <c r="F906" i="12"/>
  <c r="A892" i="12"/>
  <c r="F905" i="12"/>
  <c r="G893" i="12"/>
  <c r="G892" i="12"/>
  <c r="F891" i="12"/>
  <c r="G891" i="12" s="1"/>
  <c r="F890" i="12"/>
  <c r="D886" i="12"/>
  <c r="D885" i="12"/>
  <c r="D884" i="12"/>
  <c r="D883" i="12"/>
  <c r="H873" i="12"/>
  <c r="H893" i="12" s="1"/>
  <c r="H900" i="12" s="1"/>
  <c r="H906" i="12" s="1"/>
  <c r="G873" i="12"/>
  <c r="C873" i="12"/>
  <c r="C893" i="12" s="1"/>
  <c r="C906" i="12" s="1"/>
  <c r="B913" i="12" s="1"/>
  <c r="C922" i="12" s="1"/>
  <c r="H872" i="12"/>
  <c r="H892" i="12" s="1"/>
  <c r="H899" i="12" s="1"/>
  <c r="I899" i="12" s="1"/>
  <c r="G872" i="12"/>
  <c r="C872" i="12"/>
  <c r="C892" i="12" s="1"/>
  <c r="C905" i="12" s="1"/>
  <c r="B912" i="12" s="1"/>
  <c r="C920" i="12" s="1"/>
  <c r="A872" i="12"/>
  <c r="H871" i="12"/>
  <c r="H891" i="12" s="1"/>
  <c r="H898" i="12" s="1"/>
  <c r="G871" i="12"/>
  <c r="L867" i="12"/>
  <c r="I867" i="12"/>
  <c r="I866" i="12"/>
  <c r="L866" i="12"/>
  <c r="H862" i="12"/>
  <c r="I862" i="12" s="1"/>
  <c r="C862" i="12"/>
  <c r="C871" i="12" s="1"/>
  <c r="C891" i="12" s="1"/>
  <c r="C904" i="12" s="1"/>
  <c r="B911" i="12" s="1"/>
  <c r="H861" i="12"/>
  <c r="I861" i="12" s="1"/>
  <c r="C861" i="12"/>
  <c r="C870" i="12" s="1"/>
  <c r="C890" i="12" s="1"/>
  <c r="C903" i="12" s="1"/>
  <c r="B910" i="12" s="1"/>
  <c r="B928" i="12" s="1"/>
  <c r="J856" i="12"/>
  <c r="J874" i="12" s="1"/>
  <c r="J894" i="12" s="1"/>
  <c r="I914" i="12" s="1"/>
  <c r="F855" i="12"/>
  <c r="G855" i="12" s="1"/>
  <c r="I855" i="12" s="1"/>
  <c r="F854" i="12"/>
  <c r="G854" i="12" s="1"/>
  <c r="I854" i="12" s="1"/>
  <c r="F814" i="12"/>
  <c r="E814" i="12"/>
  <c r="D814" i="12"/>
  <c r="C814" i="12"/>
  <c r="B814" i="12"/>
  <c r="F785" i="12"/>
  <c r="C785" i="12"/>
  <c r="E785" i="12"/>
  <c r="D785" i="12"/>
  <c r="B785" i="12"/>
  <c r="B769" i="12"/>
  <c r="B762" i="12" s="1"/>
  <c r="B810" i="12" s="1"/>
  <c r="B742" i="12"/>
  <c r="C742" i="12" s="1"/>
  <c r="B737" i="12"/>
  <c r="C737" i="12" s="1"/>
  <c r="D737" i="12" s="1"/>
  <c r="D727" i="12"/>
  <c r="C727" i="12"/>
  <c r="B706" i="12"/>
  <c r="D697" i="12"/>
  <c r="C697" i="12"/>
  <c r="D696" i="12"/>
  <c r="C696" i="12"/>
  <c r="D695" i="12"/>
  <c r="C692" i="12"/>
  <c r="D691" i="12"/>
  <c r="D693" i="12" s="1"/>
  <c r="C691" i="12"/>
  <c r="C693" i="12" s="1"/>
  <c r="C698" i="12" s="1"/>
  <c r="B710" i="12" s="1"/>
  <c r="B691" i="12"/>
  <c r="B693" i="12" s="1"/>
  <c r="C726" i="12" s="1"/>
  <c r="C690" i="12"/>
  <c r="D689" i="12"/>
  <c r="C687" i="12"/>
  <c r="C686" i="12" s="1"/>
  <c r="B658" i="12"/>
  <c r="B659" i="12" s="1"/>
  <c r="A589" i="12"/>
  <c r="A588" i="12"/>
  <c r="C585" i="12"/>
  <c r="C577" i="12" s="1"/>
  <c r="C588" i="12" s="1"/>
  <c r="B585" i="12"/>
  <c r="B577" i="12" s="1"/>
  <c r="B588" i="12" s="1"/>
  <c r="A582" i="12"/>
  <c r="A593" i="12" s="1"/>
  <c r="A581" i="12"/>
  <c r="A592" i="12" s="1"/>
  <c r="A580" i="12"/>
  <c r="A591" i="12" s="1"/>
  <c r="B578" i="12"/>
  <c r="B589" i="12" s="1"/>
  <c r="A576" i="12"/>
  <c r="A587" i="12" s="1"/>
  <c r="A574" i="12"/>
  <c r="A585" i="12" s="1"/>
  <c r="B573" i="12"/>
  <c r="B584" i="12" s="1"/>
  <c r="A531" i="12"/>
  <c r="A530" i="12"/>
  <c r="A528" i="12"/>
  <c r="A527" i="12"/>
  <c r="C526" i="12"/>
  <c r="B526" i="12"/>
  <c r="A526" i="12"/>
  <c r="C525" i="12"/>
  <c r="B525" i="12"/>
  <c r="A525" i="12"/>
  <c r="C524" i="12"/>
  <c r="B524" i="12"/>
  <c r="A515" i="12"/>
  <c r="A514" i="12"/>
  <c r="A513" i="12"/>
  <c r="H509" i="12"/>
  <c r="G509" i="12"/>
  <c r="F509" i="12"/>
  <c r="E509" i="12"/>
  <c r="D509" i="12"/>
  <c r="C509" i="12"/>
  <c r="B509" i="12"/>
  <c r="A464" i="12"/>
  <c r="A463" i="12"/>
  <c r="J431" i="12"/>
  <c r="J411" i="12"/>
  <c r="H407" i="12"/>
  <c r="G407" i="12" s="1"/>
  <c r="H431" i="12" s="1"/>
  <c r="J401" i="12"/>
  <c r="F401" i="12"/>
  <c r="K398" i="12"/>
  <c r="K401" i="12" s="1"/>
  <c r="K395" i="12"/>
  <c r="K389" i="12"/>
  <c r="J389" i="12" s="1"/>
  <c r="G389" i="12"/>
  <c r="F389" i="12" s="1"/>
  <c r="L383" i="12"/>
  <c r="C1018" i="16" s="1"/>
  <c r="K383" i="12"/>
  <c r="K387" i="12" s="1"/>
  <c r="BT382" i="12"/>
  <c r="F464" i="12" s="1"/>
  <c r="L376" i="12"/>
  <c r="H351" i="12"/>
  <c r="BV351" i="12" s="1"/>
  <c r="G351" i="12"/>
  <c r="BU351" i="12" s="1"/>
  <c r="L347" i="12"/>
  <c r="H490" i="12" s="1"/>
  <c r="L346" i="12"/>
  <c r="H489" i="12" s="1"/>
  <c r="L345" i="12"/>
  <c r="H488" i="12" s="1"/>
  <c r="A345" i="12"/>
  <c r="A488" i="12" s="1"/>
  <c r="L344" i="12"/>
  <c r="H486" i="12" s="1"/>
  <c r="L343" i="12"/>
  <c r="H485" i="12" s="1"/>
  <c r="L338" i="12"/>
  <c r="H493" i="12" s="1"/>
  <c r="K338" i="12"/>
  <c r="G493" i="12" s="1"/>
  <c r="J331" i="12"/>
  <c r="K347" i="12" s="1"/>
  <c r="G490" i="12" s="1"/>
  <c r="I331" i="12"/>
  <c r="H331" i="12"/>
  <c r="G331" i="12"/>
  <c r="F331" i="12"/>
  <c r="E331" i="12"/>
  <c r="D331" i="12"/>
  <c r="C331" i="12"/>
  <c r="B331" i="12"/>
  <c r="A331" i="12"/>
  <c r="A347" i="12" s="1"/>
  <c r="A490" i="12" s="1"/>
  <c r="J330" i="12"/>
  <c r="K346" i="12" s="1"/>
  <c r="G489" i="12" s="1"/>
  <c r="I330" i="12"/>
  <c r="H330" i="12"/>
  <c r="G330" i="12"/>
  <c r="F330" i="12"/>
  <c r="E330" i="12"/>
  <c r="D330" i="12"/>
  <c r="C330" i="12"/>
  <c r="B330" i="12"/>
  <c r="A330" i="12"/>
  <c r="A346" i="12" s="1"/>
  <c r="A489" i="12" s="1"/>
  <c r="J329" i="12"/>
  <c r="I329" i="12"/>
  <c r="H329" i="12"/>
  <c r="G329" i="12"/>
  <c r="F329" i="12"/>
  <c r="E329" i="12"/>
  <c r="D329" i="12"/>
  <c r="C329" i="12"/>
  <c r="B329" i="12"/>
  <c r="H326" i="12"/>
  <c r="G326" i="12"/>
  <c r="F326" i="12"/>
  <c r="E326" i="12"/>
  <c r="D326" i="12"/>
  <c r="C326" i="12"/>
  <c r="B326" i="12"/>
  <c r="A326" i="12"/>
  <c r="A344" i="12" s="1"/>
  <c r="A486" i="12" s="1"/>
  <c r="J324" i="12"/>
  <c r="I324" i="12"/>
  <c r="H324" i="12"/>
  <c r="G324" i="12"/>
  <c r="F324" i="12"/>
  <c r="E324" i="12"/>
  <c r="D324" i="12"/>
  <c r="C324" i="12"/>
  <c r="B324" i="12"/>
  <c r="A324" i="12"/>
  <c r="A343" i="12" s="1"/>
  <c r="A485" i="12" s="1"/>
  <c r="L322" i="12"/>
  <c r="K322" i="12"/>
  <c r="BU322" i="12" s="1"/>
  <c r="J322" i="12"/>
  <c r="BT322" i="12" s="1"/>
  <c r="I322" i="12"/>
  <c r="BS322" i="12" s="1"/>
  <c r="H322" i="12"/>
  <c r="BR322" i="12" s="1"/>
  <c r="G322" i="12"/>
  <c r="BQ322" i="12" s="1"/>
  <c r="F322" i="12"/>
  <c r="BP322" i="12" s="1"/>
  <c r="E322" i="12"/>
  <c r="D322" i="12"/>
  <c r="C322" i="12"/>
  <c r="B322" i="12"/>
  <c r="J317" i="12"/>
  <c r="G239" i="20" s="1"/>
  <c r="F317" i="12"/>
  <c r="BT314" i="12"/>
  <c r="BS314" i="12"/>
  <c r="BR314" i="12"/>
  <c r="BQ314" i="12"/>
  <c r="BP314" i="12"/>
  <c r="L307" i="12"/>
  <c r="J298" i="12"/>
  <c r="I298" i="12"/>
  <c r="J294" i="12"/>
  <c r="J318" i="12" s="1"/>
  <c r="F294" i="12"/>
  <c r="F318" i="12" s="1"/>
  <c r="K292" i="12"/>
  <c r="J288" i="12"/>
  <c r="J182" i="12" s="1"/>
  <c r="J196" i="12" s="1"/>
  <c r="F288" i="12"/>
  <c r="F182" i="12" s="1"/>
  <c r="F285" i="12"/>
  <c r="J284" i="12"/>
  <c r="J176" i="12" s="1"/>
  <c r="F284" i="12"/>
  <c r="J283" i="12"/>
  <c r="J177" i="12" s="1"/>
  <c r="F283" i="12"/>
  <c r="K282" i="12"/>
  <c r="K310" i="12" s="1"/>
  <c r="G282" i="12"/>
  <c r="G286" i="12" s="1"/>
  <c r="J280" i="12"/>
  <c r="F280" i="12"/>
  <c r="A280" i="12"/>
  <c r="A387" i="12" s="1"/>
  <c r="A279" i="12"/>
  <c r="A386" i="12" s="1"/>
  <c r="A278" i="12"/>
  <c r="A385" i="12" s="1"/>
  <c r="A276" i="12"/>
  <c r="A384" i="12" s="1"/>
  <c r="BT272" i="12"/>
  <c r="L272" i="12"/>
  <c r="H272" i="12"/>
  <c r="H317" i="12" s="1"/>
  <c r="G272" i="12"/>
  <c r="G280" i="12" s="1"/>
  <c r="D272" i="12"/>
  <c r="C272" i="12"/>
  <c r="A272" i="12"/>
  <c r="A382" i="12" s="1"/>
  <c r="A266" i="12"/>
  <c r="A351" i="12" s="1"/>
  <c r="L244" i="12"/>
  <c r="H478" i="12" s="1"/>
  <c r="A244" i="12"/>
  <c r="A478" i="12" s="1"/>
  <c r="L243" i="12"/>
  <c r="A243" i="12"/>
  <c r="L242" i="12"/>
  <c r="A242" i="12"/>
  <c r="B676" i="20" s="1"/>
  <c r="L241" i="12"/>
  <c r="H475" i="12" s="1"/>
  <c r="A241" i="12"/>
  <c r="L240" i="12"/>
  <c r="E674" i="20" s="1"/>
  <c r="A240" i="12"/>
  <c r="A473" i="12" s="1"/>
  <c r="L239" i="12"/>
  <c r="A239" i="12"/>
  <c r="A471" i="12" s="1"/>
  <c r="L238" i="12"/>
  <c r="A238" i="12"/>
  <c r="B672" i="20" s="1"/>
  <c r="L235" i="12"/>
  <c r="H481" i="12" s="1"/>
  <c r="K235" i="12"/>
  <c r="G481" i="12" s="1"/>
  <c r="J230" i="12"/>
  <c r="K244" i="12" s="1"/>
  <c r="G478" i="12" s="1"/>
  <c r="I230" i="12"/>
  <c r="H230" i="12"/>
  <c r="G230" i="12"/>
  <c r="F230" i="12"/>
  <c r="E230" i="12"/>
  <c r="D230" i="12"/>
  <c r="C230" i="12"/>
  <c r="B230" i="12"/>
  <c r="J229" i="12"/>
  <c r="K243" i="12" s="1"/>
  <c r="G477" i="12" s="1"/>
  <c r="I229" i="12"/>
  <c r="H229" i="12"/>
  <c r="G229" i="12"/>
  <c r="F229" i="12"/>
  <c r="E229" i="12"/>
  <c r="D229" i="12"/>
  <c r="C229" i="12"/>
  <c r="B229" i="12"/>
  <c r="J228" i="12"/>
  <c r="K242" i="12" s="1"/>
  <c r="G476" i="12" s="1"/>
  <c r="I228" i="12"/>
  <c r="H228" i="12"/>
  <c r="G228" i="12"/>
  <c r="F228" i="12"/>
  <c r="E228" i="12"/>
  <c r="D228" i="12"/>
  <c r="C228" i="12"/>
  <c r="B228" i="12"/>
  <c r="J227" i="12"/>
  <c r="I227" i="12"/>
  <c r="H227" i="12"/>
  <c r="G227" i="12"/>
  <c r="F227" i="12"/>
  <c r="E227" i="12"/>
  <c r="D227" i="12"/>
  <c r="C227" i="12"/>
  <c r="B227" i="12"/>
  <c r="H226" i="12"/>
  <c r="G226" i="12"/>
  <c r="F226" i="12"/>
  <c r="E226" i="12"/>
  <c r="D226" i="12"/>
  <c r="C226" i="12"/>
  <c r="B226" i="12"/>
  <c r="J225" i="12"/>
  <c r="K239" i="12" s="1"/>
  <c r="D673" i="20" s="1"/>
  <c r="I225" i="12"/>
  <c r="H225" i="12"/>
  <c r="G225" i="12"/>
  <c r="F225" i="12"/>
  <c r="E225" i="12"/>
  <c r="D225" i="12"/>
  <c r="C225" i="12"/>
  <c r="B225" i="12"/>
  <c r="J224" i="12"/>
  <c r="K238" i="12" s="1"/>
  <c r="D672" i="20" s="1"/>
  <c r="I224" i="12"/>
  <c r="H224" i="12"/>
  <c r="G224" i="12"/>
  <c r="F224" i="12"/>
  <c r="E224" i="12"/>
  <c r="D224" i="12"/>
  <c r="C224" i="12"/>
  <c r="B224" i="12"/>
  <c r="L223" i="12"/>
  <c r="BV212" i="12" s="1"/>
  <c r="K223" i="12"/>
  <c r="D671" i="20" s="1"/>
  <c r="J223" i="12"/>
  <c r="I223" i="12"/>
  <c r="BS212" i="12" s="1"/>
  <c r="H223" i="12"/>
  <c r="BR212" i="12" s="1"/>
  <c r="G223" i="12"/>
  <c r="BQ212" i="12" s="1"/>
  <c r="E223" i="12"/>
  <c r="D223" i="12"/>
  <c r="C223" i="12"/>
  <c r="B223" i="12"/>
  <c r="J192" i="12"/>
  <c r="F192" i="12"/>
  <c r="J189" i="12"/>
  <c r="F189" i="12"/>
  <c r="J183" i="12"/>
  <c r="M183" i="12" s="1"/>
  <c r="F183" i="12"/>
  <c r="K182" i="12"/>
  <c r="G182" i="12"/>
  <c r="K177" i="12"/>
  <c r="H177" i="12"/>
  <c r="G177" i="12"/>
  <c r="L176" i="12"/>
  <c r="L178" i="12" s="1"/>
  <c r="K176" i="12"/>
  <c r="H176" i="12"/>
  <c r="G176" i="12"/>
  <c r="L172" i="12"/>
  <c r="J172" i="12"/>
  <c r="F172" i="12"/>
  <c r="F173" i="12" s="1"/>
  <c r="L169" i="12"/>
  <c r="K169" i="12"/>
  <c r="J169" i="12"/>
  <c r="H169" i="12"/>
  <c r="G169" i="12"/>
  <c r="BV165" i="12"/>
  <c r="H457" i="12" s="1"/>
  <c r="H469" i="12" s="1"/>
  <c r="H484" i="12" s="1"/>
  <c r="H498" i="12" s="1"/>
  <c r="BU165" i="12"/>
  <c r="G457" i="12" s="1"/>
  <c r="G469" i="12" s="1"/>
  <c r="G484" i="12" s="1"/>
  <c r="G498" i="12" s="1"/>
  <c r="BT165" i="12"/>
  <c r="F457" i="12" s="1"/>
  <c r="F469" i="12" s="1"/>
  <c r="F484" i="12" s="1"/>
  <c r="F498" i="12" s="1"/>
  <c r="BS165" i="12"/>
  <c r="E457" i="12" s="1"/>
  <c r="E469" i="12" s="1"/>
  <c r="E484" i="12" s="1"/>
  <c r="E498" i="12" s="1"/>
  <c r="BR165" i="12"/>
  <c r="D457" i="12" s="1"/>
  <c r="D469" i="12" s="1"/>
  <c r="D484" i="12" s="1"/>
  <c r="D498" i="12" s="1"/>
  <c r="BQ165" i="12"/>
  <c r="C457" i="12" s="1"/>
  <c r="C469" i="12" s="1"/>
  <c r="C484" i="12" s="1"/>
  <c r="C498" i="12" s="1"/>
  <c r="BP165" i="12"/>
  <c r="B457" i="12" s="1"/>
  <c r="B469" i="12" s="1"/>
  <c r="B484" i="12" s="1"/>
  <c r="B498" i="12" s="1"/>
  <c r="Q155" i="12"/>
  <c r="P155" i="12"/>
  <c r="O155" i="12"/>
  <c r="N155" i="12"/>
  <c r="Q144" i="12"/>
  <c r="P144" i="12"/>
  <c r="O144" i="12"/>
  <c r="N144" i="12"/>
  <c r="C131" i="12"/>
  <c r="D80" i="12"/>
  <c r="C80" i="12"/>
  <c r="B80" i="12"/>
  <c r="Q72" i="12"/>
  <c r="P72" i="12"/>
  <c r="O72" i="12"/>
  <c r="N72" i="12"/>
  <c r="L72" i="12"/>
  <c r="K72" i="12"/>
  <c r="J72" i="12"/>
  <c r="I72" i="12"/>
  <c r="H72" i="12"/>
  <c r="G72" i="12"/>
  <c r="F72" i="12"/>
  <c r="E72" i="12"/>
  <c r="D72" i="12"/>
  <c r="C72" i="12"/>
  <c r="B72" i="12"/>
  <c r="F65" i="12"/>
  <c r="C65" i="12"/>
  <c r="B65" i="12"/>
  <c r="B64" i="12"/>
  <c r="D53" i="12"/>
  <c r="C53" i="12"/>
  <c r="B53" i="12"/>
  <c r="P45" i="12"/>
  <c r="O45" i="12"/>
  <c r="N45" i="12"/>
  <c r="L45" i="12"/>
  <c r="K45" i="12"/>
  <c r="J45" i="12"/>
  <c r="I45" i="12"/>
  <c r="H45" i="12"/>
  <c r="G45" i="12"/>
  <c r="F45" i="12"/>
  <c r="E45" i="12"/>
  <c r="D45" i="12"/>
  <c r="C45" i="12"/>
  <c r="B45" i="12"/>
  <c r="F38" i="12"/>
  <c r="E38" i="12"/>
  <c r="D38" i="12"/>
  <c r="C38" i="12"/>
  <c r="CD302" i="11"/>
  <c r="CD311" i="11" s="1"/>
  <c r="BV302" i="11"/>
  <c r="BV311" i="11" s="1"/>
  <c r="BS302" i="11"/>
  <c r="BS311" i="11" s="1"/>
  <c r="BB302" i="11"/>
  <c r="BB311" i="11" s="1"/>
  <c r="AX302" i="11"/>
  <c r="AX311" i="11" s="1"/>
  <c r="AP302" i="11"/>
  <c r="AP311" i="11" s="1"/>
  <c r="AM302" i="11"/>
  <c r="AM311" i="11" s="1"/>
  <c r="CF302" i="11"/>
  <c r="CF311" i="11" s="1"/>
  <c r="CE302" i="11"/>
  <c r="CE311" i="11" s="1"/>
  <c r="CC302" i="11"/>
  <c r="CC311" i="11" s="1"/>
  <c r="CB302" i="11"/>
  <c r="CB311" i="11" s="1"/>
  <c r="CA302" i="11"/>
  <c r="CA311" i="11" s="1"/>
  <c r="BZ302" i="11"/>
  <c r="BZ311" i="11" s="1"/>
  <c r="BY302" i="11"/>
  <c r="BY311" i="11" s="1"/>
  <c r="BX302" i="11"/>
  <c r="BX311" i="11" s="1"/>
  <c r="BW302" i="11"/>
  <c r="BW311" i="11" s="1"/>
  <c r="BU302" i="11"/>
  <c r="BU311" i="11" s="1"/>
  <c r="BT302" i="11"/>
  <c r="BT311" i="11" s="1"/>
  <c r="BR302" i="11"/>
  <c r="BR311" i="11" s="1"/>
  <c r="BQ302" i="11"/>
  <c r="BQ311" i="11" s="1"/>
  <c r="BP302" i="11"/>
  <c r="BP311" i="11" s="1"/>
  <c r="BO302" i="11"/>
  <c r="BO311" i="11" s="1"/>
  <c r="BN302" i="11"/>
  <c r="BN311" i="11" s="1"/>
  <c r="BM302" i="11"/>
  <c r="BM311" i="11" s="1"/>
  <c r="BL302" i="11"/>
  <c r="BL311" i="11" s="1"/>
  <c r="BK302" i="11"/>
  <c r="BK311" i="11" s="1"/>
  <c r="BJ302" i="11"/>
  <c r="BJ311" i="11" s="1"/>
  <c r="BI302" i="11"/>
  <c r="BI311" i="11" s="1"/>
  <c r="BH302" i="11"/>
  <c r="BH311" i="11" s="1"/>
  <c r="BG302" i="11"/>
  <c r="BG311" i="11" s="1"/>
  <c r="BF302" i="11"/>
  <c r="BF311" i="11" s="1"/>
  <c r="BE302" i="11"/>
  <c r="BE311" i="11" s="1"/>
  <c r="BD302" i="11"/>
  <c r="BD311" i="11" s="1"/>
  <c r="BC302" i="11"/>
  <c r="BC311" i="11" s="1"/>
  <c r="BA302" i="11"/>
  <c r="BA311" i="11" s="1"/>
  <c r="AZ302" i="11"/>
  <c r="AZ311" i="11" s="1"/>
  <c r="AY302" i="11"/>
  <c r="AY311" i="11" s="1"/>
  <c r="AW302" i="11"/>
  <c r="AW311" i="11" s="1"/>
  <c r="AV302" i="11"/>
  <c r="AV311" i="11" s="1"/>
  <c r="AU302" i="11"/>
  <c r="AU311" i="11" s="1"/>
  <c r="AT302" i="11"/>
  <c r="AT311" i="11" s="1"/>
  <c r="AS302" i="11"/>
  <c r="AS311" i="11" s="1"/>
  <c r="AR302" i="11"/>
  <c r="AR311" i="11" s="1"/>
  <c r="AQ302" i="11"/>
  <c r="AQ311" i="11" s="1"/>
  <c r="AO302" i="11"/>
  <c r="AO311" i="11" s="1"/>
  <c r="AN302" i="11"/>
  <c r="AN311" i="11" s="1"/>
  <c r="AL302" i="11"/>
  <c r="AL311" i="11" s="1"/>
  <c r="AK302" i="11"/>
  <c r="AK311" i="11" s="1"/>
  <c r="AJ302" i="11"/>
  <c r="AJ311" i="11" s="1"/>
  <c r="AI302" i="11"/>
  <c r="AI311" i="11" s="1"/>
  <c r="AH302" i="11"/>
  <c r="AH311" i="11" s="1"/>
  <c r="AG302" i="11"/>
  <c r="AG311" i="11" s="1"/>
  <c r="AF302" i="11"/>
  <c r="AF311" i="11" s="1"/>
  <c r="AE302" i="11"/>
  <c r="AE311" i="11" s="1"/>
  <c r="CF297" i="11"/>
  <c r="CE297" i="11"/>
  <c r="CD297" i="11"/>
  <c r="CC297" i="11"/>
  <c r="CB297" i="11"/>
  <c r="CA297" i="11"/>
  <c r="BZ297" i="11"/>
  <c r="BY297" i="11"/>
  <c r="BX297" i="11"/>
  <c r="BW297" i="11"/>
  <c r="BV297" i="11"/>
  <c r="BU297" i="11"/>
  <c r="BT297" i="11"/>
  <c r="BS297" i="11"/>
  <c r="BR297" i="11"/>
  <c r="BQ297" i="11"/>
  <c r="BP297" i="11"/>
  <c r="BO297" i="11"/>
  <c r="BN297" i="11"/>
  <c r="BM297" i="11"/>
  <c r="BL297" i="11"/>
  <c r="BK297" i="11"/>
  <c r="BJ297" i="11"/>
  <c r="BI297" i="11"/>
  <c r="BH297" i="11"/>
  <c r="BG297" i="11"/>
  <c r="BF297" i="11"/>
  <c r="BE297" i="11"/>
  <c r="BD297" i="11"/>
  <c r="BC297" i="11"/>
  <c r="BB297" i="11"/>
  <c r="BA297" i="11"/>
  <c r="AZ297" i="11"/>
  <c r="AY297" i="11"/>
  <c r="AX297" i="11"/>
  <c r="AW297" i="11"/>
  <c r="AV297" i="11"/>
  <c r="AU297" i="11"/>
  <c r="AT297" i="11"/>
  <c r="AS297" i="11"/>
  <c r="AR297" i="11"/>
  <c r="AQ297" i="11"/>
  <c r="AP297" i="11"/>
  <c r="AO297" i="11"/>
  <c r="AN297" i="11"/>
  <c r="AM297" i="11"/>
  <c r="AL297" i="11"/>
  <c r="AK297" i="11"/>
  <c r="AJ297" i="11"/>
  <c r="AI297" i="11"/>
  <c r="AH297" i="11"/>
  <c r="AG297" i="11"/>
  <c r="AF297" i="11"/>
  <c r="AE297" i="11"/>
  <c r="CH293" i="11"/>
  <c r="BZ293" i="11"/>
  <c r="BY293" i="11"/>
  <c r="CH292" i="11"/>
  <c r="CH291" i="11"/>
  <c r="CF308" i="11"/>
  <c r="BW308" i="11"/>
  <c r="CH290" i="11"/>
  <c r="CF307" i="11"/>
  <c r="BX307" i="11"/>
  <c r="BW307" i="11"/>
  <c r="CH289" i="11"/>
  <c r="CF306" i="11"/>
  <c r="CB306" i="11"/>
  <c r="BX306" i="11"/>
  <c r="BW306" i="11"/>
  <c r="CH288" i="11"/>
  <c r="CF288" i="11"/>
  <c r="CE288" i="11"/>
  <c r="CD288" i="11"/>
  <c r="CC288" i="11"/>
  <c r="CB288" i="11"/>
  <c r="CA288" i="11"/>
  <c r="BZ288" i="11"/>
  <c r="BY288" i="11"/>
  <c r="BX288" i="11"/>
  <c r="BW288" i="11"/>
  <c r="CH287" i="11"/>
  <c r="CF305" i="11"/>
  <c r="BX305" i="11"/>
  <c r="BW305" i="11"/>
  <c r="CH286" i="11"/>
  <c r="CH285" i="11"/>
  <c r="CH284" i="11"/>
  <c r="CH283" i="11"/>
  <c r="CH282" i="11"/>
  <c r="CH281" i="11"/>
  <c r="CH280" i="11"/>
  <c r="CH279" i="11"/>
  <c r="CH278" i="11"/>
  <c r="CH277" i="11"/>
  <c r="CH276" i="11"/>
  <c r="CH275" i="11"/>
  <c r="CF275" i="11"/>
  <c r="CE275" i="11"/>
  <c r="CD275" i="11"/>
  <c r="CC275" i="11"/>
  <c r="CB275" i="11"/>
  <c r="CA275" i="11"/>
  <c r="BZ275" i="11"/>
  <c r="BY275" i="11"/>
  <c r="BX275" i="11"/>
  <c r="BW275" i="11"/>
  <c r="BV275" i="11"/>
  <c r="BU275" i="11"/>
  <c r="BT275" i="11"/>
  <c r="BS275" i="11"/>
  <c r="BR275" i="11"/>
  <c r="BQ275" i="11"/>
  <c r="BP275" i="11"/>
  <c r="BO275" i="11"/>
  <c r="BN275" i="11"/>
  <c r="BM275" i="11"/>
  <c r="BL275" i="11"/>
  <c r="BK275" i="11"/>
  <c r="BJ275" i="11"/>
  <c r="BI275" i="11"/>
  <c r="BH275" i="11"/>
  <c r="BG275" i="11"/>
  <c r="BF275" i="11"/>
  <c r="BE275" i="11"/>
  <c r="BD275" i="11"/>
  <c r="BC275" i="11"/>
  <c r="BB275" i="11"/>
  <c r="BA275" i="11"/>
  <c r="AZ275" i="11"/>
  <c r="AY275" i="11"/>
  <c r="AX275" i="11"/>
  <c r="AW275" i="11"/>
  <c r="AV275" i="11"/>
  <c r="AU275" i="11"/>
  <c r="AT275" i="11"/>
  <c r="AS275" i="11"/>
  <c r="AR275" i="11"/>
  <c r="AQ275" i="11"/>
  <c r="AP275" i="11"/>
  <c r="AO275" i="11"/>
  <c r="AN275" i="11"/>
  <c r="AM275" i="11"/>
  <c r="AL275" i="11"/>
  <c r="AK275" i="11"/>
  <c r="AJ275" i="11"/>
  <c r="AI275" i="11"/>
  <c r="AH275" i="11"/>
  <c r="AG275" i="11"/>
  <c r="AF275" i="11"/>
  <c r="AE275" i="11"/>
  <c r="AD271" i="11"/>
  <c r="AD270" i="11"/>
  <c r="AD269" i="11"/>
  <c r="AD268" i="11"/>
  <c r="AD267" i="11"/>
  <c r="AD265" i="11"/>
  <c r="AD264" i="11"/>
  <c r="AD263" i="11"/>
  <c r="AD262" i="11"/>
  <c r="AD261" i="11"/>
  <c r="AD260" i="11"/>
  <c r="AD259" i="11"/>
  <c r="AD258" i="11"/>
  <c r="AD257" i="11"/>
  <c r="AD256" i="11"/>
  <c r="AD255" i="11"/>
  <c r="AD254" i="11"/>
  <c r="CH250" i="11"/>
  <c r="CE250" i="11"/>
  <c r="CD250" i="11"/>
  <c r="CC250" i="11"/>
  <c r="CB250" i="11"/>
  <c r="CA250" i="11"/>
  <c r="BY250" i="11"/>
  <c r="BX250" i="11"/>
  <c r="BW250" i="11"/>
  <c r="BV250" i="11"/>
  <c r="BU250" i="11"/>
  <c r="CH249" i="11"/>
  <c r="CH247" i="11"/>
  <c r="CE247" i="11"/>
  <c r="CD247" i="11"/>
  <c r="CC247" i="11"/>
  <c r="CB247" i="11"/>
  <c r="CA247" i="11"/>
  <c r="BZ247" i="11"/>
  <c r="BY247" i="11"/>
  <c r="BX247" i="11"/>
  <c r="BW247" i="11"/>
  <c r="BV247" i="11"/>
  <c r="BU247" i="11"/>
  <c r="CH246" i="11"/>
  <c r="CH245" i="11"/>
  <c r="CH240" i="11"/>
  <c r="CH239" i="11"/>
  <c r="CH238" i="11"/>
  <c r="CH237" i="11"/>
  <c r="CH236" i="11"/>
  <c r="CH235" i="11"/>
  <c r="CH232" i="11"/>
  <c r="CH231" i="11"/>
  <c r="CH228" i="11"/>
  <c r="CH227" i="11"/>
  <c r="CH226" i="11"/>
  <c r="CF226" i="11"/>
  <c r="AE271" i="11" s="1"/>
  <c r="CE226" i="11"/>
  <c r="CD226" i="11"/>
  <c r="CC226" i="11"/>
  <c r="CB226" i="11"/>
  <c r="CA226" i="11"/>
  <c r="BZ226" i="11"/>
  <c r="BY226" i="11"/>
  <c r="BX226" i="11"/>
  <c r="BW226" i="11"/>
  <c r="BV226" i="11"/>
  <c r="BU226" i="11"/>
  <c r="BT226" i="11"/>
  <c r="BS226" i="11"/>
  <c r="BR226" i="11"/>
  <c r="BQ226" i="11"/>
  <c r="BP226" i="11"/>
  <c r="BO226" i="11"/>
  <c r="BN226" i="11"/>
  <c r="BM226" i="11"/>
  <c r="BL226" i="11"/>
  <c r="BK226" i="11"/>
  <c r="BJ226" i="11"/>
  <c r="BI226" i="11"/>
  <c r="BH226" i="11"/>
  <c r="BG226" i="11"/>
  <c r="BF226" i="11"/>
  <c r="BE226" i="11"/>
  <c r="BD226" i="11"/>
  <c r="BC226" i="11"/>
  <c r="BB226" i="11"/>
  <c r="BA226" i="11"/>
  <c r="AZ226" i="11"/>
  <c r="CH225" i="11"/>
  <c r="AE270" i="11"/>
  <c r="CH223" i="11"/>
  <c r="CH222" i="11"/>
  <c r="CF222" i="11"/>
  <c r="AE268" i="11" s="1"/>
  <c r="CE222" i="11"/>
  <c r="CD222" i="11"/>
  <c r="CC222" i="11"/>
  <c r="CB222" i="11"/>
  <c r="CA222" i="11"/>
  <c r="CA282" i="11" s="1"/>
  <c r="CA312" i="11" s="1"/>
  <c r="BZ222" i="11"/>
  <c r="BY222" i="11"/>
  <c r="BX222" i="11"/>
  <c r="BW222" i="11"/>
  <c r="BV222" i="11"/>
  <c r="BU222" i="11"/>
  <c r="BT222" i="11"/>
  <c r="BS222" i="11"/>
  <c r="BR222" i="11"/>
  <c r="BQ222" i="11"/>
  <c r="BP222" i="11"/>
  <c r="BO222" i="11"/>
  <c r="BN222" i="11"/>
  <c r="BM222" i="11"/>
  <c r="BL222" i="11"/>
  <c r="BK222" i="11"/>
  <c r="BJ222" i="11"/>
  <c r="BI222" i="11"/>
  <c r="BH222" i="11"/>
  <c r="BG222" i="11"/>
  <c r="BF222" i="11"/>
  <c r="BE222" i="11"/>
  <c r="BD222" i="11"/>
  <c r="BC222" i="11"/>
  <c r="BB222" i="11"/>
  <c r="BA222" i="11"/>
  <c r="AZ222" i="11"/>
  <c r="CH221" i="11"/>
  <c r="CH220" i="11"/>
  <c r="CH219" i="11"/>
  <c r="CF219" i="11"/>
  <c r="AE265" i="11" s="1"/>
  <c r="CE219" i="11"/>
  <c r="CD219" i="11"/>
  <c r="CC219" i="11"/>
  <c r="CB219" i="11"/>
  <c r="CA219" i="11"/>
  <c r="BZ219" i="11"/>
  <c r="BY219" i="11"/>
  <c r="BX219" i="11"/>
  <c r="BW219" i="11"/>
  <c r="BV219" i="11"/>
  <c r="BU219" i="11"/>
  <c r="BT219" i="11"/>
  <c r="BS219" i="11"/>
  <c r="BR219" i="11"/>
  <c r="BQ219" i="11"/>
  <c r="BP219" i="11"/>
  <c r="BO219" i="11"/>
  <c r="BN219" i="11"/>
  <c r="BM219" i="11"/>
  <c r="BL219" i="11"/>
  <c r="BK219" i="11"/>
  <c r="BJ219" i="11"/>
  <c r="BI219" i="11"/>
  <c r="BH219" i="11"/>
  <c r="BG219" i="11"/>
  <c r="BF219" i="11"/>
  <c r="BE219" i="11"/>
  <c r="BD219" i="11"/>
  <c r="BC219" i="11"/>
  <c r="BB219" i="11"/>
  <c r="BA219" i="11"/>
  <c r="AZ219" i="11"/>
  <c r="CH218" i="11"/>
  <c r="AE264" i="11"/>
  <c r="CH217" i="11"/>
  <c r="CH216" i="11"/>
  <c r="CF216" i="11"/>
  <c r="AE263" i="11" s="1"/>
  <c r="CE216" i="11"/>
  <c r="CD216" i="11"/>
  <c r="CC216" i="11"/>
  <c r="CC217" i="11" s="1"/>
  <c r="CB216" i="11"/>
  <c r="CA216" i="11"/>
  <c r="BZ216" i="11"/>
  <c r="BY216" i="11"/>
  <c r="BY217" i="11" s="1"/>
  <c r="BX216" i="11"/>
  <c r="BW216" i="11"/>
  <c r="BV216" i="11"/>
  <c r="BU216" i="11"/>
  <c r="BU217" i="11" s="1"/>
  <c r="BT216" i="11"/>
  <c r="BS216" i="11"/>
  <c r="BR216" i="11"/>
  <c r="BQ216" i="11"/>
  <c r="BQ217" i="11" s="1"/>
  <c r="BP216" i="11"/>
  <c r="BO216" i="11"/>
  <c r="BN216" i="11"/>
  <c r="BM216" i="11"/>
  <c r="BM217" i="11" s="1"/>
  <c r="BL216" i="11"/>
  <c r="BK216" i="11"/>
  <c r="BJ216" i="11"/>
  <c r="BI216" i="11"/>
  <c r="BI217" i="11" s="1"/>
  <c r="BH216" i="11"/>
  <c r="BG216" i="11"/>
  <c r="BF216" i="11"/>
  <c r="BE216" i="11"/>
  <c r="BE217" i="11" s="1"/>
  <c r="BD216" i="11"/>
  <c r="BC216" i="11"/>
  <c r="BB216" i="11"/>
  <c r="BA216" i="11"/>
  <c r="BA217" i="11" s="1"/>
  <c r="AZ216" i="11"/>
  <c r="CH215" i="11"/>
  <c r="AE262" i="11"/>
  <c r="CH214" i="11"/>
  <c r="CH213" i="11"/>
  <c r="CF213" i="11"/>
  <c r="AE260" i="11" s="1"/>
  <c r="CE213" i="11"/>
  <c r="CD213" i="11"/>
  <c r="CC213" i="11"/>
  <c r="CB213" i="11"/>
  <c r="CA213" i="11"/>
  <c r="BZ213" i="11"/>
  <c r="BY213" i="11"/>
  <c r="BX213" i="11"/>
  <c r="BW213" i="11"/>
  <c r="BV213" i="11"/>
  <c r="BU213" i="11"/>
  <c r="BT213" i="11"/>
  <c r="BS213" i="11"/>
  <c r="BR213" i="11"/>
  <c r="BQ213" i="11"/>
  <c r="BP213" i="11"/>
  <c r="BO213" i="11"/>
  <c r="BN213" i="11"/>
  <c r="BM213" i="11"/>
  <c r="BL213" i="11"/>
  <c r="BK213" i="11"/>
  <c r="BJ213" i="11"/>
  <c r="BI213" i="11"/>
  <c r="BH213" i="11"/>
  <c r="BG213" i="11"/>
  <c r="BF213" i="11"/>
  <c r="BE213" i="11"/>
  <c r="BD213" i="11"/>
  <c r="BC213" i="11"/>
  <c r="BB213" i="11"/>
  <c r="BA213" i="11"/>
  <c r="AZ213" i="11"/>
  <c r="CH212" i="11"/>
  <c r="AE259" i="11"/>
  <c r="CH211" i="11"/>
  <c r="CF211" i="11"/>
  <c r="AE258" i="11" s="1"/>
  <c r="CE211" i="11"/>
  <c r="CD211" i="11"/>
  <c r="CC211" i="11"/>
  <c r="CB211" i="11"/>
  <c r="CA211" i="11"/>
  <c r="BZ211" i="11"/>
  <c r="BY211" i="11"/>
  <c r="BX211" i="11"/>
  <c r="BW211" i="11"/>
  <c r="BV211" i="11"/>
  <c r="BU211" i="11"/>
  <c r="BT211" i="11"/>
  <c r="BS211" i="11"/>
  <c r="BR211" i="11"/>
  <c r="BQ211" i="11"/>
  <c r="BP211" i="11"/>
  <c r="BO211" i="11"/>
  <c r="BN211" i="11"/>
  <c r="BM211" i="11"/>
  <c r="BL211" i="11"/>
  <c r="BK211" i="11"/>
  <c r="BJ211" i="11"/>
  <c r="BI211" i="11"/>
  <c r="BH211" i="11"/>
  <c r="BG211" i="11"/>
  <c r="BF211" i="11"/>
  <c r="BE211" i="11"/>
  <c r="BD211" i="11"/>
  <c r="BC211" i="11"/>
  <c r="BB211" i="11"/>
  <c r="BA211" i="11"/>
  <c r="AZ211" i="11"/>
  <c r="CH210" i="11"/>
  <c r="CH209" i="11"/>
  <c r="CF209" i="11"/>
  <c r="AE256" i="11" s="1"/>
  <c r="CE209" i="11"/>
  <c r="CD209" i="11"/>
  <c r="CC209" i="11"/>
  <c r="CB209" i="11"/>
  <c r="CA209" i="11"/>
  <c r="BZ209" i="11"/>
  <c r="BY209" i="11"/>
  <c r="BX209" i="11"/>
  <c r="BW209" i="11"/>
  <c r="BV209" i="11"/>
  <c r="BU209" i="11"/>
  <c r="BT209" i="11"/>
  <c r="BS209" i="11"/>
  <c r="BR209" i="11"/>
  <c r="BQ209" i="11"/>
  <c r="BP209" i="11"/>
  <c r="BO209" i="11"/>
  <c r="BN209" i="11"/>
  <c r="BM209" i="11"/>
  <c r="BL209" i="11"/>
  <c r="BK209" i="11"/>
  <c r="BJ209" i="11"/>
  <c r="BI209" i="11"/>
  <c r="BH209" i="11"/>
  <c r="BG209" i="11"/>
  <c r="BF209" i="11"/>
  <c r="BE209" i="11"/>
  <c r="BD209" i="11"/>
  <c r="BC209" i="11"/>
  <c r="BB209" i="11"/>
  <c r="BA209" i="11"/>
  <c r="AZ209" i="11"/>
  <c r="CH208" i="11"/>
  <c r="AE255" i="11"/>
  <c r="CF207" i="11"/>
  <c r="AE254" i="11" s="1"/>
  <c r="CE207" i="11"/>
  <c r="CD207" i="11"/>
  <c r="CC207" i="11"/>
  <c r="CB207" i="11"/>
  <c r="CA207" i="11"/>
  <c r="BZ207" i="11"/>
  <c r="BY207" i="11"/>
  <c r="BX207" i="11"/>
  <c r="BW207" i="11"/>
  <c r="BV207" i="11"/>
  <c r="BU207" i="11"/>
  <c r="BT207" i="11"/>
  <c r="BS207" i="11"/>
  <c r="BR207" i="11"/>
  <c r="BQ207" i="11"/>
  <c r="BP207" i="11"/>
  <c r="BO207" i="11"/>
  <c r="BN207" i="11"/>
  <c r="BM207" i="11"/>
  <c r="BL207" i="11"/>
  <c r="BK207" i="11"/>
  <c r="BJ207" i="11"/>
  <c r="BI207" i="11"/>
  <c r="BH207" i="11"/>
  <c r="BG207" i="11"/>
  <c r="BF207" i="11"/>
  <c r="BE207" i="11"/>
  <c r="BD207" i="11"/>
  <c r="BC207" i="11"/>
  <c r="BB207" i="11"/>
  <c r="BA207" i="11"/>
  <c r="AZ207" i="11"/>
  <c r="AY207" i="11"/>
  <c r="AX207" i="11"/>
  <c r="AW207" i="11"/>
  <c r="AV207" i="11"/>
  <c r="AU207" i="11"/>
  <c r="AT207" i="11"/>
  <c r="AS207" i="11"/>
  <c r="AR207" i="11"/>
  <c r="AQ207" i="11"/>
  <c r="AP207" i="11"/>
  <c r="AO207" i="11"/>
  <c r="AN207" i="11"/>
  <c r="AM207" i="11"/>
  <c r="AL207" i="11"/>
  <c r="AK207" i="11"/>
  <c r="AJ207" i="11"/>
  <c r="AI207" i="11"/>
  <c r="AH207" i="11"/>
  <c r="AG207" i="11"/>
  <c r="AF207" i="11"/>
  <c r="AE207" i="11"/>
  <c r="Z207" i="11"/>
  <c r="Y207" i="11"/>
  <c r="X207" i="11"/>
  <c r="W207" i="11"/>
  <c r="V207" i="11"/>
  <c r="U207" i="11"/>
  <c r="T207" i="11"/>
  <c r="S207" i="11"/>
  <c r="R207" i="11"/>
  <c r="Q207" i="11"/>
  <c r="P207" i="11"/>
  <c r="O207" i="11"/>
  <c r="N207" i="11"/>
  <c r="M207" i="11"/>
  <c r="L207" i="11"/>
  <c r="K207" i="11"/>
  <c r="J207" i="11"/>
  <c r="I207" i="11"/>
  <c r="H207" i="11"/>
  <c r="G207" i="11"/>
  <c r="F207" i="11"/>
  <c r="E207" i="11"/>
  <c r="D207" i="11"/>
  <c r="C207" i="11"/>
  <c r="B207" i="11"/>
  <c r="Z199" i="11"/>
  <c r="Y199" i="11"/>
  <c r="X199" i="11"/>
  <c r="W199" i="11"/>
  <c r="V199" i="11"/>
  <c r="U199" i="11"/>
  <c r="T199" i="11"/>
  <c r="S199" i="11"/>
  <c r="R199" i="11"/>
  <c r="Q199" i="11"/>
  <c r="P199" i="11"/>
  <c r="O199" i="11"/>
  <c r="N199" i="11"/>
  <c r="M199" i="11"/>
  <c r="L199" i="11"/>
  <c r="K199" i="11"/>
  <c r="J199" i="11"/>
  <c r="I199" i="11"/>
  <c r="H199" i="11"/>
  <c r="G199" i="11"/>
  <c r="F199" i="11"/>
  <c r="E199" i="11"/>
  <c r="D199" i="11"/>
  <c r="C199" i="11"/>
  <c r="B199" i="11"/>
  <c r="Z182" i="11"/>
  <c r="Y182" i="11"/>
  <c r="X182" i="11"/>
  <c r="W182" i="11"/>
  <c r="V182" i="11"/>
  <c r="U182" i="11"/>
  <c r="T182" i="11"/>
  <c r="S182" i="11"/>
  <c r="R182" i="11"/>
  <c r="Q182" i="11"/>
  <c r="P182" i="11"/>
  <c r="O182" i="11"/>
  <c r="N182" i="11"/>
  <c r="M182" i="11"/>
  <c r="L182" i="11"/>
  <c r="K182" i="11"/>
  <c r="J182" i="11"/>
  <c r="I182" i="11"/>
  <c r="H182" i="11"/>
  <c r="G182" i="11"/>
  <c r="F182" i="11"/>
  <c r="E182" i="11"/>
  <c r="D182" i="11"/>
  <c r="C182" i="11"/>
  <c r="B182" i="11"/>
  <c r="Q168" i="11"/>
  <c r="P168" i="11"/>
  <c r="Z164" i="11"/>
  <c r="Y164" i="11"/>
  <c r="X164" i="11"/>
  <c r="W164" i="11"/>
  <c r="V164" i="11"/>
  <c r="U164" i="11"/>
  <c r="T164" i="11"/>
  <c r="S164" i="11"/>
  <c r="R164" i="11"/>
  <c r="Q164" i="11"/>
  <c r="P164" i="11"/>
  <c r="O164" i="11"/>
  <c r="N164" i="11"/>
  <c r="M164" i="11"/>
  <c r="L164" i="11"/>
  <c r="K164" i="11"/>
  <c r="J164" i="11"/>
  <c r="I164" i="11"/>
  <c r="H164" i="11"/>
  <c r="G164" i="11"/>
  <c r="F164" i="11"/>
  <c r="E164" i="11"/>
  <c r="D164" i="11"/>
  <c r="C164" i="11"/>
  <c r="B164" i="11"/>
  <c r="R151" i="11"/>
  <c r="R168" i="11" s="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B142" i="11"/>
  <c r="A142" i="11"/>
  <c r="CF138" i="11"/>
  <c r="CF134" i="11"/>
  <c r="CF286" i="11"/>
  <c r="CF304" i="11" s="1"/>
  <c r="BZ231" i="11"/>
  <c r="BZ285" i="11" s="1"/>
  <c r="BZ303" i="11" s="1"/>
  <c r="BZ286" i="11"/>
  <c r="BZ304" i="11" s="1"/>
  <c r="BB117" i="11"/>
  <c r="BA117" i="11"/>
  <c r="AZ117" i="11"/>
  <c r="BC110" i="11"/>
  <c r="BB119" i="11"/>
  <c r="BA110" i="11"/>
  <c r="AZ110" i="11"/>
  <c r="CF107" i="11"/>
  <c r="CE107" i="11"/>
  <c r="CD107" i="11"/>
  <c r="CC107" i="11"/>
  <c r="CB107" i="11"/>
  <c r="CA107" i="11"/>
  <c r="BZ107" i="11"/>
  <c r="BY107" i="11"/>
  <c r="BX107" i="11"/>
  <c r="BW107" i="11"/>
  <c r="BV107" i="11"/>
  <c r="BU107" i="11"/>
  <c r="BT107" i="11"/>
  <c r="BS107" i="11"/>
  <c r="BR107" i="11"/>
  <c r="BQ107" i="11"/>
  <c r="BP107" i="11"/>
  <c r="BO107" i="11"/>
  <c r="BN107" i="11"/>
  <c r="BM107" i="11"/>
  <c r="BL107" i="11"/>
  <c r="BK107" i="11"/>
  <c r="BJ107" i="11"/>
  <c r="BI107" i="11"/>
  <c r="BH107" i="11"/>
  <c r="BG107" i="11"/>
  <c r="BF107"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B107" i="11"/>
  <c r="A107" i="11"/>
  <c r="AD107" i="11" s="1"/>
  <c r="CB12" i="11"/>
  <c r="CC12" i="11"/>
  <c r="BR94" i="9"/>
  <c r="BR102" i="9" s="1"/>
  <c r="BP12" i="11"/>
  <c r="BQ12" i="11"/>
  <c r="BN94" i="9"/>
  <c r="BK12" i="11"/>
  <c r="BL12" i="11"/>
  <c r="BH12" i="11"/>
  <c r="BI12" i="11"/>
  <c r="BG12" i="11"/>
  <c r="BA93" i="11"/>
  <c r="AZ93" i="11"/>
  <c r="CE11" i="11"/>
  <c r="CF11" i="11"/>
  <c r="CC11" i="11"/>
  <c r="CD11" i="11"/>
  <c r="BV11" i="11"/>
  <c r="BW11" i="11"/>
  <c r="BU11" i="11"/>
  <c r="BR11" i="11"/>
  <c r="BS11" i="11"/>
  <c r="BP94" i="9"/>
  <c r="BP104" i="9" s="1"/>
  <c r="BM11" i="11"/>
  <c r="BN11" i="11"/>
  <c r="BL11" i="11"/>
  <c r="BH11" i="11"/>
  <c r="BI11" i="11"/>
  <c r="BF11" i="11"/>
  <c r="BG11" i="11"/>
  <c r="BC11" i="11"/>
  <c r="BD11" i="11"/>
  <c r="BB92" i="11"/>
  <c r="BA11" i="11"/>
  <c r="BB11" i="11"/>
  <c r="CE10" i="11"/>
  <c r="CF10" i="11"/>
  <c r="CC10" i="11"/>
  <c r="CD10" i="11"/>
  <c r="CA10" i="11"/>
  <c r="CB10" i="11"/>
  <c r="BU10" i="11"/>
  <c r="BV10" i="11"/>
  <c r="BT10" i="11"/>
  <c r="BS10" i="11"/>
  <c r="BO10" i="11"/>
  <c r="BP10" i="11"/>
  <c r="BN10" i="11"/>
  <c r="BK10" i="11"/>
  <c r="BL10" i="11"/>
  <c r="BH10" i="11"/>
  <c r="BI10" i="11"/>
  <c r="BG10" i="11"/>
  <c r="BB91" i="11"/>
  <c r="BC10" i="11"/>
  <c r="BD10" i="11"/>
  <c r="BC91" i="11"/>
  <c r="BA91" i="11"/>
  <c r="AZ91" i="11"/>
  <c r="AY10" i="11"/>
  <c r="AZ10" i="11"/>
  <c r="BA54" i="11"/>
  <c r="BA82" i="11" s="1"/>
  <c r="AW54" i="11"/>
  <c r="CF80" i="11"/>
  <c r="CE80" i="11"/>
  <c r="CD80" i="11"/>
  <c r="CC80" i="11"/>
  <c r="CB80" i="11"/>
  <c r="CA80" i="11"/>
  <c r="BZ80" i="11"/>
  <c r="BY80" i="11"/>
  <c r="BX80" i="11"/>
  <c r="BW80" i="11"/>
  <c r="BV80" i="11"/>
  <c r="BU80" i="11"/>
  <c r="BT80" i="11"/>
  <c r="BS80" i="11"/>
  <c r="BR80" i="11"/>
  <c r="BQ80" i="11"/>
  <c r="BP80" i="11"/>
  <c r="BO80" i="11"/>
  <c r="BN80" i="11"/>
  <c r="BM80" i="11"/>
  <c r="BL80" i="11"/>
  <c r="BK80" i="11"/>
  <c r="BJ80" i="11"/>
  <c r="BI80" i="11"/>
  <c r="BH80" i="11"/>
  <c r="BG80" i="11"/>
  <c r="BF80" i="11"/>
  <c r="BE80" i="11"/>
  <c r="BD80" i="11"/>
  <c r="BC80" i="11"/>
  <c r="BB80" i="11"/>
  <c r="BA80" i="11"/>
  <c r="AZ80" i="11"/>
  <c r="BC70" i="11"/>
  <c r="BB70" i="11"/>
  <c r="AZ70" i="11"/>
  <c r="AZ54" i="11"/>
  <c r="BC69" i="11"/>
  <c r="BB69" i="11"/>
  <c r="AZ69" i="11"/>
  <c r="CE13" i="11"/>
  <c r="CF13" i="11"/>
  <c r="CC13" i="11"/>
  <c r="CD13" i="11"/>
  <c r="BY13" i="11"/>
  <c r="BZ13" i="11"/>
  <c r="BX13" i="11"/>
  <c r="BW13" i="11"/>
  <c r="BC68" i="11"/>
  <c r="BB68" i="11"/>
  <c r="BB54" i="11"/>
  <c r="BB82" i="11" s="1"/>
  <c r="BA68" i="11"/>
  <c r="AZ68" i="11"/>
  <c r="BC54" i="11"/>
  <c r="AY54" i="11"/>
  <c r="AX54" i="11"/>
  <c r="AV54" i="11"/>
  <c r="AU54" i="11"/>
  <c r="AT54" i="11"/>
  <c r="AS54" i="11"/>
  <c r="AR54" i="11"/>
  <c r="AQ54" i="11"/>
  <c r="AP54" i="11"/>
  <c r="AO54" i="11"/>
  <c r="AN54" i="11"/>
  <c r="AM54" i="11"/>
  <c r="AL54" i="11"/>
  <c r="AK54" i="11"/>
  <c r="AJ54" i="11"/>
  <c r="AI54" i="11"/>
  <c r="AH54" i="11"/>
  <c r="AG54" i="11"/>
  <c r="AF54" i="11"/>
  <c r="AE54" i="11"/>
  <c r="CF52" i="11"/>
  <c r="CE52" i="11"/>
  <c r="CD52" i="11"/>
  <c r="CC52" i="11"/>
  <c r="CB52" i="11"/>
  <c r="CA52" i="11"/>
  <c r="BZ52" i="11"/>
  <c r="BY52" i="11"/>
  <c r="BX52" i="11"/>
  <c r="BW52" i="11"/>
  <c r="BV52" i="11"/>
  <c r="BU52" i="11"/>
  <c r="BT52" i="11"/>
  <c r="BS52" i="11"/>
  <c r="BR52" i="11"/>
  <c r="BQ52" i="11"/>
  <c r="BP52" i="11"/>
  <c r="BO52" i="11"/>
  <c r="BN52" i="11"/>
  <c r="BM52" i="11"/>
  <c r="BL52" i="11"/>
  <c r="BK52" i="11"/>
  <c r="BJ52" i="11"/>
  <c r="BI52" i="11"/>
  <c r="BH52" i="11"/>
  <c r="BG52" i="11"/>
  <c r="BF52" i="11"/>
  <c r="BE52" i="11"/>
  <c r="BD52" i="11"/>
  <c r="BC52" i="11"/>
  <c r="BB52"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Z52" i="11"/>
  <c r="Y52" i="11"/>
  <c r="X52" i="11"/>
  <c r="W52" i="11"/>
  <c r="V52" i="11"/>
  <c r="U52" i="11"/>
  <c r="T52" i="11"/>
  <c r="S52" i="11"/>
  <c r="R52" i="11"/>
  <c r="Q52" i="11"/>
  <c r="P52" i="11"/>
  <c r="O52" i="11"/>
  <c r="N52" i="11"/>
  <c r="M52" i="11"/>
  <c r="L52" i="11"/>
  <c r="K52" i="11"/>
  <c r="J52" i="11"/>
  <c r="I52" i="11"/>
  <c r="H52" i="11"/>
  <c r="G52" i="11"/>
  <c r="F52" i="11"/>
  <c r="E52" i="11"/>
  <c r="D52" i="11"/>
  <c r="C52" i="11"/>
  <c r="B52" i="11"/>
  <c r="A52" i="11"/>
  <c r="AD52" i="11" s="1"/>
  <c r="AD48" i="11"/>
  <c r="AD47" i="11"/>
  <c r="I13" i="11"/>
  <c r="AD46" i="11"/>
  <c r="BX12" i="11"/>
  <c r="BT12" i="11"/>
  <c r="BD12" i="11"/>
  <c r="AR12" i="11"/>
  <c r="AN12" i="11"/>
  <c r="AD45" i="11"/>
  <c r="AD44" i="11"/>
  <c r="AV10" i="11"/>
  <c r="AJ10" i="11"/>
  <c r="AF10" i="11"/>
  <c r="AD43" i="11"/>
  <c r="BS12" i="11"/>
  <c r="BS6" i="11"/>
  <c r="AM12" i="11"/>
  <c r="AM6" i="11"/>
  <c r="AD42" i="11"/>
  <c r="BN12" i="11"/>
  <c r="BN5" i="11"/>
  <c r="AH12" i="11"/>
  <c r="AH5" i="11"/>
  <c r="AD41" i="11"/>
  <c r="AX11" i="11"/>
  <c r="AX6" i="11"/>
  <c r="AD40" i="11"/>
  <c r="O11" i="11"/>
  <c r="O6" i="11"/>
  <c r="BW5" i="11"/>
  <c r="BG5" i="11"/>
  <c r="AD39" i="11"/>
  <c r="AD38" i="11"/>
  <c r="AD37" i="11"/>
  <c r="AD35" i="11"/>
  <c r="L13" i="11"/>
  <c r="AD34" i="11"/>
  <c r="AW11" i="11"/>
  <c r="AV11" i="11"/>
  <c r="AG11" i="11"/>
  <c r="AF11" i="11"/>
  <c r="AD33" i="11"/>
  <c r="AD32" i="11"/>
  <c r="AD31" i="11"/>
  <c r="BC8" i="11"/>
  <c r="BB8" i="11"/>
  <c r="CB7" i="11"/>
  <c r="CA7" i="11"/>
  <c r="BH7" i="11"/>
  <c r="BG7" i="11"/>
  <c r="AJ7" i="11"/>
  <c r="AI7" i="11"/>
  <c r="BU6" i="11"/>
  <c r="BT6" i="11"/>
  <c r="AO6" i="11"/>
  <c r="AN6" i="11"/>
  <c r="AD28" i="11"/>
  <c r="AD27" i="11"/>
  <c r="G4" i="11"/>
  <c r="K188" i="14" s="1"/>
  <c r="F4"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A26" i="11"/>
  <c r="AD26" i="11" s="1"/>
  <c r="AD23" i="11"/>
  <c r="AD22" i="11"/>
  <c r="AD21" i="11"/>
  <c r="BV12" i="11"/>
  <c r="AP10" i="11"/>
  <c r="AP11" i="11"/>
  <c r="AP12" i="11"/>
  <c r="AD20" i="11"/>
  <c r="CF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Z15" i="11"/>
  <c r="Y15" i="11"/>
  <c r="X15" i="11"/>
  <c r="W15" i="11"/>
  <c r="V15" i="11"/>
  <c r="U15" i="11"/>
  <c r="T15" i="11"/>
  <c r="S15" i="11"/>
  <c r="R15" i="11"/>
  <c r="P15" i="11"/>
  <c r="O15" i="11"/>
  <c r="N15" i="11"/>
  <c r="M15" i="11"/>
  <c r="L15" i="11"/>
  <c r="K15" i="11"/>
  <c r="J15" i="11"/>
  <c r="I15" i="11"/>
  <c r="H15" i="11"/>
  <c r="G15" i="11"/>
  <c r="F15" i="11"/>
  <c r="E15" i="11"/>
  <c r="D15" i="11"/>
  <c r="C15" i="11"/>
  <c r="B15" i="11"/>
  <c r="CF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Z14" i="11"/>
  <c r="Y14" i="11"/>
  <c r="X14" i="11"/>
  <c r="W14" i="11"/>
  <c r="V14" i="11"/>
  <c r="U14" i="11"/>
  <c r="T14" i="11"/>
  <c r="S14" i="11"/>
  <c r="R14" i="11"/>
  <c r="Q14" i="11"/>
  <c r="P14" i="11"/>
  <c r="O14" i="11"/>
  <c r="N14" i="11"/>
  <c r="M14" i="11"/>
  <c r="L14" i="11"/>
  <c r="K14" i="11"/>
  <c r="J14" i="11"/>
  <c r="I14" i="11"/>
  <c r="H14" i="11"/>
  <c r="G14" i="11"/>
  <c r="F14" i="11"/>
  <c r="E14" i="11"/>
  <c r="D14" i="11"/>
  <c r="C14" i="11"/>
  <c r="B14" i="11"/>
  <c r="CF6" i="11"/>
  <c r="CB13" i="11"/>
  <c r="CA13" i="11"/>
  <c r="BX6"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R11" i="11"/>
  <c r="AQ13" i="11"/>
  <c r="AP13" i="11"/>
  <c r="AO13" i="11"/>
  <c r="AN13" i="11"/>
  <c r="AM13" i="11"/>
  <c r="AL13" i="11"/>
  <c r="AL11" i="11"/>
  <c r="AK13" i="11"/>
  <c r="AJ13" i="11"/>
  <c r="AI13" i="11"/>
  <c r="AH13" i="11"/>
  <c r="AH11" i="11"/>
  <c r="AG13" i="11"/>
  <c r="AF13" i="11"/>
  <c r="AE13" i="11"/>
  <c r="O13" i="11"/>
  <c r="S86" i="14" s="1"/>
  <c r="N13" i="11"/>
  <c r="K13" i="11"/>
  <c r="J13" i="11"/>
  <c r="I11" i="11"/>
  <c r="H13" i="11"/>
  <c r="G13" i="11"/>
  <c r="F13" i="11"/>
  <c r="F11" i="11"/>
  <c r="E13" i="11"/>
  <c r="D13" i="11"/>
  <c r="C13" i="11"/>
  <c r="C11" i="11"/>
  <c r="G195" i="14" s="1"/>
  <c r="B13" i="11"/>
  <c r="CF12" i="11"/>
  <c r="CE12" i="11"/>
  <c r="CE6" i="11"/>
  <c r="CD12" i="11"/>
  <c r="CD5" i="11"/>
  <c r="CA12" i="11"/>
  <c r="BZ12" i="11"/>
  <c r="BY12" i="11"/>
  <c r="BW12" i="11"/>
  <c r="BV5" i="11"/>
  <c r="BU12" i="11"/>
  <c r="BR12" i="11"/>
  <c r="BO12" i="11"/>
  <c r="BM12" i="11"/>
  <c r="BK6" i="11"/>
  <c r="BJ12" i="11"/>
  <c r="BF12" i="11"/>
  <c r="BE12" i="11"/>
  <c r="AZ12" i="11"/>
  <c r="BC12" i="11"/>
  <c r="BB12" i="11"/>
  <c r="BA12" i="11"/>
  <c r="AV12" i="11"/>
  <c r="AY12" i="11"/>
  <c r="AY6" i="11"/>
  <c r="AX12" i="11"/>
  <c r="AX5" i="11"/>
  <c r="AW12" i="11"/>
  <c r="AU12" i="11"/>
  <c r="AT12" i="11"/>
  <c r="AS12" i="11"/>
  <c r="AQ12" i="11"/>
  <c r="AP5" i="11"/>
  <c r="AO12" i="11"/>
  <c r="AJ12" i="11"/>
  <c r="AL12" i="11"/>
  <c r="AK12" i="11"/>
  <c r="AF12" i="11"/>
  <c r="AI12" i="11"/>
  <c r="AI6" i="11"/>
  <c r="AG12" i="11"/>
  <c r="AE12" i="11"/>
  <c r="O12" i="11"/>
  <c r="N12" i="11"/>
  <c r="R194" i="14" s="1"/>
  <c r="M12" i="11"/>
  <c r="L12" i="11"/>
  <c r="K12" i="11"/>
  <c r="J12" i="11"/>
  <c r="I12" i="11"/>
  <c r="H12" i="11"/>
  <c r="G12" i="11"/>
  <c r="K194" i="14" s="1"/>
  <c r="F12" i="11"/>
  <c r="F6" i="11"/>
  <c r="E12" i="11"/>
  <c r="D12" i="11"/>
  <c r="C12" i="11"/>
  <c r="B12" i="11"/>
  <c r="CB11" i="11"/>
  <c r="CA11" i="11"/>
  <c r="BZ11" i="11"/>
  <c r="BY11" i="11"/>
  <c r="BX11" i="11"/>
  <c r="BV6" i="11"/>
  <c r="BU5" i="11"/>
  <c r="BT11" i="11"/>
  <c r="BO11" i="11"/>
  <c r="BQ11" i="11"/>
  <c r="BP11" i="11"/>
  <c r="BK11" i="11"/>
  <c r="BN6" i="11"/>
  <c r="BJ11" i="11"/>
  <c r="BF6" i="11"/>
  <c r="BE11" i="11"/>
  <c r="AZ11" i="11"/>
  <c r="AY11" i="11"/>
  <c r="AU11" i="11"/>
  <c r="AW5" i="11"/>
  <c r="AT11" i="11"/>
  <c r="AS11" i="11"/>
  <c r="AQ11" i="11"/>
  <c r="AQ10" i="11"/>
  <c r="AP6" i="11"/>
  <c r="AO11" i="11"/>
  <c r="AN11" i="11"/>
  <c r="AM11" i="11"/>
  <c r="AI11" i="11"/>
  <c r="AK11" i="11"/>
  <c r="AJ11" i="11"/>
  <c r="AE11" i="11"/>
  <c r="AH6" i="11"/>
  <c r="AE5" i="11"/>
  <c r="N11" i="11"/>
  <c r="R195" i="14" s="1"/>
  <c r="L11" i="11"/>
  <c r="P195" i="14" s="1"/>
  <c r="K11" i="11"/>
  <c r="J11" i="11"/>
  <c r="H11" i="11"/>
  <c r="G11" i="11"/>
  <c r="E11" i="11"/>
  <c r="D11" i="11"/>
  <c r="H195" i="14" s="1"/>
  <c r="B11" i="11"/>
  <c r="BZ10" i="11"/>
  <c r="BY10" i="11"/>
  <c r="BX10" i="11"/>
  <c r="BW10" i="11"/>
  <c r="BR10" i="11"/>
  <c r="BQ10" i="11"/>
  <c r="BM10" i="11"/>
  <c r="BJ10" i="11"/>
  <c r="BF10" i="11"/>
  <c r="BB10" i="11"/>
  <c r="BE10" i="11"/>
  <c r="BA10" i="11"/>
  <c r="AX10" i="11"/>
  <c r="AW10" i="11"/>
  <c r="AU10" i="11"/>
  <c r="AT10" i="11"/>
  <c r="AS10" i="11"/>
  <c r="AR10" i="11"/>
  <c r="AN10" i="11"/>
  <c r="AO10" i="11"/>
  <c r="AM10" i="11"/>
  <c r="AL10" i="11"/>
  <c r="AK10" i="11"/>
  <c r="AI10" i="11"/>
  <c r="AH10" i="11"/>
  <c r="AG10" i="11"/>
  <c r="AE10" i="11"/>
  <c r="O10" i="11"/>
  <c r="S81" i="14" s="1"/>
  <c r="N10" i="11"/>
  <c r="L10" i="11"/>
  <c r="P191" i="14" s="1"/>
  <c r="K10" i="11"/>
  <c r="J10" i="11"/>
  <c r="I10" i="11"/>
  <c r="M191" i="14" s="1"/>
  <c r="H10" i="11"/>
  <c r="G10" i="11"/>
  <c r="F10" i="11"/>
  <c r="J191" i="14" s="1"/>
  <c r="E10" i="11"/>
  <c r="E8" i="11"/>
  <c r="E9" i="11"/>
  <c r="D10" i="11"/>
  <c r="H191" i="14" s="1"/>
  <c r="C10" i="11"/>
  <c r="G191" i="14" s="1"/>
  <c r="B10" i="11"/>
  <c r="F191" i="14" s="1"/>
  <c r="CF9" i="11"/>
  <c r="CD9" i="11"/>
  <c r="CC9" i="11"/>
  <c r="CB9" i="11"/>
  <c r="CA9" i="11"/>
  <c r="BZ9" i="11"/>
  <c r="BY9" i="11"/>
  <c r="BX9" i="11"/>
  <c r="BW9" i="11"/>
  <c r="BV9" i="11"/>
  <c r="BU9" i="11"/>
  <c r="BT9" i="11"/>
  <c r="BS9" i="11"/>
  <c r="BS8"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M8" i="11"/>
  <c r="AL9" i="11"/>
  <c r="AK9" i="11"/>
  <c r="AJ9" i="11"/>
  <c r="AI9" i="11"/>
  <c r="AH9" i="11"/>
  <c r="AG9" i="11"/>
  <c r="AF9" i="11"/>
  <c r="AE9" i="11"/>
  <c r="AE8" i="11"/>
  <c r="O9" i="11"/>
  <c r="N9" i="11"/>
  <c r="M9" i="11"/>
  <c r="L9" i="11"/>
  <c r="K9" i="11"/>
  <c r="J9" i="11"/>
  <c r="I9" i="11"/>
  <c r="H9" i="11"/>
  <c r="G9" i="11"/>
  <c r="F9" i="11"/>
  <c r="D9" i="11"/>
  <c r="C9" i="11"/>
  <c r="B9" i="11"/>
  <c r="CF8" i="11"/>
  <c r="CE8" i="11"/>
  <c r="CD8" i="11"/>
  <c r="CC8" i="11"/>
  <c r="CB8" i="11"/>
  <c r="CA8" i="11"/>
  <c r="BZ8" i="11"/>
  <c r="BY8" i="11"/>
  <c r="BX8" i="11"/>
  <c r="BW8" i="11"/>
  <c r="BV8" i="11"/>
  <c r="BU8" i="11"/>
  <c r="BT8" i="11"/>
  <c r="BR8" i="11"/>
  <c r="BQ8" i="11"/>
  <c r="BP8" i="11"/>
  <c r="BO8" i="11"/>
  <c r="BN8" i="11"/>
  <c r="BM8" i="11"/>
  <c r="BL8" i="11"/>
  <c r="BK8" i="11"/>
  <c r="BJ8" i="11"/>
  <c r="BI8" i="11"/>
  <c r="BH8" i="11"/>
  <c r="BG8" i="11"/>
  <c r="BF8" i="11"/>
  <c r="BE8" i="11"/>
  <c r="BD8" i="11"/>
  <c r="BA8" i="11"/>
  <c r="AZ8" i="11"/>
  <c r="AY8" i="11"/>
  <c r="AX8" i="11"/>
  <c r="AW8" i="11"/>
  <c r="AV8" i="11"/>
  <c r="AU8" i="11"/>
  <c r="AT8" i="11"/>
  <c r="AS8" i="11"/>
  <c r="AR8" i="11"/>
  <c r="AQ8" i="11"/>
  <c r="AP8" i="11"/>
  <c r="AO8" i="11"/>
  <c r="AN8" i="11"/>
  <c r="AL8" i="11"/>
  <c r="AK8" i="11"/>
  <c r="AJ8" i="11"/>
  <c r="AI8" i="11"/>
  <c r="AH8" i="11"/>
  <c r="AG8" i="11"/>
  <c r="AF8" i="11"/>
  <c r="O8" i="11"/>
  <c r="N8" i="11"/>
  <c r="L8" i="11"/>
  <c r="K8" i="11"/>
  <c r="O193" i="14" s="1"/>
  <c r="J8" i="11"/>
  <c r="N193" i="14" s="1"/>
  <c r="I8" i="11"/>
  <c r="M193" i="14" s="1"/>
  <c r="H8" i="11"/>
  <c r="L193" i="14" s="1"/>
  <c r="G8" i="11"/>
  <c r="F8" i="11"/>
  <c r="J193" i="14" s="1"/>
  <c r="D8" i="11"/>
  <c r="H193" i="14" s="1"/>
  <c r="C8" i="11"/>
  <c r="B8" i="11"/>
  <c r="F193" i="14" s="1"/>
  <c r="CF7" i="11"/>
  <c r="CE7" i="11"/>
  <c r="CD7" i="11"/>
  <c r="CC7" i="11"/>
  <c r="BZ7" i="11"/>
  <c r="BY7" i="11"/>
  <c r="BX7" i="11"/>
  <c r="BW7" i="11"/>
  <c r="BV7" i="11"/>
  <c r="BU7" i="11"/>
  <c r="BT7" i="11"/>
  <c r="BS7" i="11"/>
  <c r="BR7" i="11"/>
  <c r="BQ7" i="11"/>
  <c r="BP7" i="11"/>
  <c r="BO7" i="11"/>
  <c r="BN7" i="11"/>
  <c r="BM7" i="11"/>
  <c r="BL7" i="11"/>
  <c r="BK7" i="11"/>
  <c r="BJ7" i="11"/>
  <c r="BI7" i="11"/>
  <c r="BF7" i="11"/>
  <c r="BE7" i="11"/>
  <c r="BD7" i="11"/>
  <c r="BC7" i="11"/>
  <c r="BB7" i="11"/>
  <c r="BA7" i="11"/>
  <c r="AZ7" i="11"/>
  <c r="AY7" i="11"/>
  <c r="AX7" i="11"/>
  <c r="AW7" i="11"/>
  <c r="AV7" i="11"/>
  <c r="AU7" i="11"/>
  <c r="AT7" i="11"/>
  <c r="AS7" i="11"/>
  <c r="AR7" i="11"/>
  <c r="AQ7" i="11"/>
  <c r="AP7" i="11"/>
  <c r="AO7" i="11"/>
  <c r="AN7" i="11"/>
  <c r="AM7" i="11"/>
  <c r="AL7" i="11"/>
  <c r="AK7" i="11"/>
  <c r="AH7" i="11"/>
  <c r="AG7" i="11"/>
  <c r="AF7" i="11"/>
  <c r="AE7" i="11"/>
  <c r="O7" i="11"/>
  <c r="S192" i="14" s="1"/>
  <c r="N7" i="11"/>
  <c r="R192" i="14" s="1"/>
  <c r="M7" i="11"/>
  <c r="Q192" i="14" s="1"/>
  <c r="L7" i="11"/>
  <c r="K7" i="11"/>
  <c r="O192" i="14" s="1"/>
  <c r="J7" i="11"/>
  <c r="N192" i="14" s="1"/>
  <c r="H7" i="11"/>
  <c r="L192" i="14" s="1"/>
  <c r="G7" i="11"/>
  <c r="K192" i="14" s="1"/>
  <c r="F7" i="11"/>
  <c r="J192" i="14" s="1"/>
  <c r="E7" i="11"/>
  <c r="I192" i="14" s="1"/>
  <c r="D7" i="11"/>
  <c r="C7" i="11"/>
  <c r="G192" i="14" s="1"/>
  <c r="B7" i="11"/>
  <c r="F192" i="14" s="1"/>
  <c r="CD6" i="11"/>
  <c r="CC6" i="11"/>
  <c r="CB6" i="11"/>
  <c r="CA6" i="11"/>
  <c r="BZ6" i="11"/>
  <c r="BY6" i="11"/>
  <c r="BW6" i="11"/>
  <c r="BR6" i="11"/>
  <c r="BQ6" i="11"/>
  <c r="BP6" i="11"/>
  <c r="BO6" i="11"/>
  <c r="BM6" i="11"/>
  <c r="BL6" i="11"/>
  <c r="BJ6" i="11"/>
  <c r="BI6" i="11"/>
  <c r="BH6" i="11"/>
  <c r="BG6" i="11"/>
  <c r="BE6" i="11"/>
  <c r="BD6" i="11"/>
  <c r="BC6" i="11"/>
  <c r="BB6" i="11"/>
  <c r="BA6" i="11"/>
  <c r="AZ6" i="11"/>
  <c r="AW6" i="11"/>
  <c r="AV6" i="11"/>
  <c r="AU6" i="11"/>
  <c r="AT6" i="11"/>
  <c r="AS6" i="11"/>
  <c r="AR6" i="11"/>
  <c r="AQ6" i="11"/>
  <c r="AL6" i="11"/>
  <c r="AK6" i="11"/>
  <c r="AJ6" i="11"/>
  <c r="AG6" i="11"/>
  <c r="AF6" i="11"/>
  <c r="AE6" i="11"/>
  <c r="N6" i="11"/>
  <c r="R190" i="14" s="1"/>
  <c r="M6" i="11"/>
  <c r="L6" i="11"/>
  <c r="K6" i="11"/>
  <c r="J6" i="11"/>
  <c r="H6" i="11"/>
  <c r="L190" i="14" s="1"/>
  <c r="G6" i="11"/>
  <c r="K190" i="14" s="1"/>
  <c r="E6" i="11"/>
  <c r="D6" i="11"/>
  <c r="H190" i="14" s="1"/>
  <c r="C6" i="11"/>
  <c r="B6" i="11"/>
  <c r="F190" i="14" s="1"/>
  <c r="CF5" i="11"/>
  <c r="CF4" i="11"/>
  <c r="CE5" i="11"/>
  <c r="CE4" i="11"/>
  <c r="CD4" i="11"/>
  <c r="CC5" i="11"/>
  <c r="CB5" i="11"/>
  <c r="CA5" i="11"/>
  <c r="BZ5" i="11"/>
  <c r="BZ4" i="11"/>
  <c r="BY5" i="11"/>
  <c r="BY4" i="11"/>
  <c r="BX5" i="11"/>
  <c r="BV4" i="11"/>
  <c r="BT5" i="11"/>
  <c r="BT4" i="11"/>
  <c r="BS5" i="11"/>
  <c r="BR5" i="11"/>
  <c r="BR4" i="11"/>
  <c r="BQ5" i="11"/>
  <c r="BQ4" i="11"/>
  <c r="BP5" i="11"/>
  <c r="BP4" i="11"/>
  <c r="BO5" i="11"/>
  <c r="BM5" i="11"/>
  <c r="BM4" i="11"/>
  <c r="BL5" i="11"/>
  <c r="BL4" i="11"/>
  <c r="BK5" i="11"/>
  <c r="BK4" i="11"/>
  <c r="BJ5" i="11"/>
  <c r="BJ4" i="11"/>
  <c r="BI5" i="11"/>
  <c r="BI4" i="11"/>
  <c r="BH5" i="11"/>
  <c r="BH4" i="11"/>
  <c r="BF5" i="11"/>
  <c r="BF4" i="11"/>
  <c r="BE5" i="11"/>
  <c r="BE4" i="11"/>
  <c r="BD5" i="11"/>
  <c r="BD4" i="11"/>
  <c r="BC5" i="11"/>
  <c r="BB5" i="11"/>
  <c r="BB4" i="11"/>
  <c r="BA5" i="11"/>
  <c r="AZ5" i="11"/>
  <c r="AZ4" i="11"/>
  <c r="AY5" i="11"/>
  <c r="AY4" i="11"/>
  <c r="AX4" i="11"/>
  <c r="AW4" i="11"/>
  <c r="AV5" i="11"/>
  <c r="AU5" i="11"/>
  <c r="AU4" i="11"/>
  <c r="AT5" i="11"/>
  <c r="AT4" i="11"/>
  <c r="AS5" i="11"/>
  <c r="AS4" i="11"/>
  <c r="AR5" i="11"/>
  <c r="AR4" i="11"/>
  <c r="AQ5" i="11"/>
  <c r="AP4" i="11"/>
  <c r="AO5" i="11"/>
  <c r="AN5" i="11"/>
  <c r="AM5" i="11"/>
  <c r="AL5" i="11"/>
  <c r="AL4" i="11"/>
  <c r="AK5" i="11"/>
  <c r="AK4" i="11"/>
  <c r="AJ5" i="11"/>
  <c r="AJ4" i="11"/>
  <c r="AI5" i="11"/>
  <c r="AI4" i="11"/>
  <c r="AG5" i="11"/>
  <c r="AG4" i="11"/>
  <c r="AF5" i="11"/>
  <c r="AF4" i="11"/>
  <c r="O5" i="11"/>
  <c r="N5" i="11"/>
  <c r="R189" i="14" s="1"/>
  <c r="M5" i="11"/>
  <c r="Q189" i="14" s="1"/>
  <c r="L5" i="11"/>
  <c r="K5" i="11"/>
  <c r="O189" i="14" s="1"/>
  <c r="J5" i="11"/>
  <c r="J4" i="11"/>
  <c r="I5" i="11"/>
  <c r="H5" i="11"/>
  <c r="L189" i="14" s="1"/>
  <c r="H4" i="11"/>
  <c r="G5" i="11"/>
  <c r="F5" i="11"/>
  <c r="E5" i="11"/>
  <c r="I189" i="14" s="1"/>
  <c r="D5" i="11"/>
  <c r="H189" i="14" s="1"/>
  <c r="D4" i="11"/>
  <c r="H188" i="14" s="1"/>
  <c r="C5" i="11"/>
  <c r="G189" i="14" s="1"/>
  <c r="B5" i="11"/>
  <c r="CC4" i="11"/>
  <c r="CB4" i="11"/>
  <c r="CA4" i="11"/>
  <c r="CA27" i="11" s="1"/>
  <c r="BX4" i="11"/>
  <c r="BW4" i="11"/>
  <c r="BU4" i="11"/>
  <c r="BS4" i="11"/>
  <c r="BO4" i="11"/>
  <c r="BN4" i="11"/>
  <c r="BG4" i="11"/>
  <c r="BC4" i="11"/>
  <c r="BA4" i="11"/>
  <c r="AV4" i="11"/>
  <c r="AQ4" i="11"/>
  <c r="AO4" i="11"/>
  <c r="AN4" i="11"/>
  <c r="AM4" i="11"/>
  <c r="AH4" i="11"/>
  <c r="AE4" i="11"/>
  <c r="O4" i="11"/>
  <c r="S79" i="14" s="1"/>
  <c r="N4" i="11"/>
  <c r="R79" i="14" s="1"/>
  <c r="L4" i="11"/>
  <c r="P188" i="14" s="1"/>
  <c r="I4" i="11"/>
  <c r="E4" i="11"/>
  <c r="I188" i="14" s="1"/>
  <c r="B4" i="11"/>
  <c r="F188" i="14" s="1"/>
  <c r="CF3" i="11"/>
  <c r="CE3" i="11"/>
  <c r="CD3" i="11"/>
  <c r="CC3" i="11"/>
  <c r="CB3" i="11"/>
  <c r="CA3" i="11"/>
  <c r="BZ3" i="11"/>
  <c r="BY3" i="11"/>
  <c r="BX3" i="11"/>
  <c r="BW3" i="11"/>
  <c r="BV3" i="11"/>
  <c r="BU3" i="11"/>
  <c r="BT3" i="11"/>
  <c r="BS3" i="11"/>
  <c r="BR3" i="11"/>
  <c r="BQ3" i="11"/>
  <c r="BP3" i="11"/>
  <c r="BO3" i="11"/>
  <c r="BN3" i="11"/>
  <c r="BM3" i="11"/>
  <c r="BL3" i="11"/>
  <c r="BK3" i="11"/>
  <c r="BJ3" i="11"/>
  <c r="BI3" i="11"/>
  <c r="BH3" i="11"/>
  <c r="BG3" i="11"/>
  <c r="BF3" i="11"/>
  <c r="BE3" i="11"/>
  <c r="BD3" i="11"/>
  <c r="BC3" i="11"/>
  <c r="BB3" i="11"/>
  <c r="BA3" i="11"/>
  <c r="AZ3" i="11"/>
  <c r="AY3" i="11"/>
  <c r="AX3" i="11"/>
  <c r="AW3" i="11"/>
  <c r="AV3" i="11"/>
  <c r="AU3" i="11"/>
  <c r="AT3" i="11"/>
  <c r="AS3" i="11"/>
  <c r="AR3" i="11"/>
  <c r="AQ3" i="11"/>
  <c r="AP3" i="11"/>
  <c r="AO3" i="11"/>
  <c r="AN3" i="11"/>
  <c r="AM3" i="11"/>
  <c r="AL3" i="11"/>
  <c r="AK3" i="11"/>
  <c r="AJ3" i="11"/>
  <c r="AI3" i="11"/>
  <c r="AH3" i="11"/>
  <c r="AG3" i="11"/>
  <c r="AF3" i="11"/>
  <c r="AE3" i="11"/>
  <c r="A3" i="11"/>
  <c r="AD3" i="11" s="1"/>
  <c r="Z3" i="11"/>
  <c r="Y3" i="11"/>
  <c r="X3" i="11"/>
  <c r="W3" i="11"/>
  <c r="V3" i="11"/>
  <c r="U3" i="11"/>
  <c r="T3" i="11"/>
  <c r="S3" i="11"/>
  <c r="R3" i="11"/>
  <c r="Q3" i="11"/>
  <c r="P3" i="11"/>
  <c r="O3" i="11"/>
  <c r="N3" i="11"/>
  <c r="M3" i="11"/>
  <c r="L3" i="11"/>
  <c r="K3" i="11"/>
  <c r="J3" i="11"/>
  <c r="I3" i="11"/>
  <c r="H3" i="11"/>
  <c r="G3" i="11"/>
  <c r="F3" i="11"/>
  <c r="E3" i="11"/>
  <c r="D3" i="11"/>
  <c r="C3" i="11"/>
  <c r="B3" i="11"/>
  <c r="AD1" i="11"/>
  <c r="CE308" i="10"/>
  <c r="CE307" i="10"/>
  <c r="CE306" i="10"/>
  <c r="CE305" i="10"/>
  <c r="CE304" i="10"/>
  <c r="CE303" i="10"/>
  <c r="CE302" i="10"/>
  <c r="CD272" i="10"/>
  <c r="CD302" i="10" s="1"/>
  <c r="CE301" i="10"/>
  <c r="CA292" i="10"/>
  <c r="CA301" i="10" s="1"/>
  <c r="BS292" i="10"/>
  <c r="BS301" i="10" s="1"/>
  <c r="BK292" i="10"/>
  <c r="BK301" i="10" s="1"/>
  <c r="BC292" i="10"/>
  <c r="BC301" i="10" s="1"/>
  <c r="AU292" i="10"/>
  <c r="AU301" i="10" s="1"/>
  <c r="AM292" i="10"/>
  <c r="AM301" i="10" s="1"/>
  <c r="AE292" i="10"/>
  <c r="AE301" i="10" s="1"/>
  <c r="CE300" i="10"/>
  <c r="CE299" i="10"/>
  <c r="CE298" i="10"/>
  <c r="CD298" i="10"/>
  <c r="CC298" i="10"/>
  <c r="BZ298" i="10"/>
  <c r="BV298" i="10"/>
  <c r="CE297" i="10"/>
  <c r="CD297" i="10"/>
  <c r="CC297" i="10"/>
  <c r="BZ297" i="10"/>
  <c r="BW280" i="10"/>
  <c r="BV297" i="10"/>
  <c r="CE296" i="10"/>
  <c r="CD296" i="10"/>
  <c r="BZ296" i="10"/>
  <c r="BV296" i="10"/>
  <c r="CE295" i="10"/>
  <c r="CD295" i="10"/>
  <c r="BZ295" i="10"/>
  <c r="BV295" i="10"/>
  <c r="CE294" i="10"/>
  <c r="CE293" i="10"/>
  <c r="CD292" i="10"/>
  <c r="CD301" i="10" s="1"/>
  <c r="CC292" i="10"/>
  <c r="CC301" i="10" s="1"/>
  <c r="CB292" i="10"/>
  <c r="CB301" i="10" s="1"/>
  <c r="BZ292" i="10"/>
  <c r="BZ301" i="10" s="1"/>
  <c r="BY292" i="10"/>
  <c r="BY301" i="10" s="1"/>
  <c r="BX292" i="10"/>
  <c r="BX301" i="10" s="1"/>
  <c r="BW292" i="10"/>
  <c r="BW301" i="10" s="1"/>
  <c r="BV292" i="10"/>
  <c r="BV301" i="10" s="1"/>
  <c r="BU292" i="10"/>
  <c r="BU301" i="10" s="1"/>
  <c r="BT292" i="10"/>
  <c r="BT301" i="10" s="1"/>
  <c r="BR292" i="10"/>
  <c r="BR301" i="10" s="1"/>
  <c r="BQ292" i="10"/>
  <c r="BQ301" i="10" s="1"/>
  <c r="BP292" i="10"/>
  <c r="BP301" i="10" s="1"/>
  <c r="BO292" i="10"/>
  <c r="BO301" i="10" s="1"/>
  <c r="BN292" i="10"/>
  <c r="BN301" i="10" s="1"/>
  <c r="BM292" i="10"/>
  <c r="BM301" i="10" s="1"/>
  <c r="BL292" i="10"/>
  <c r="BL301" i="10" s="1"/>
  <c r="BJ292" i="10"/>
  <c r="BJ301" i="10" s="1"/>
  <c r="BI292" i="10"/>
  <c r="BI301" i="10" s="1"/>
  <c r="BH292" i="10"/>
  <c r="BH301" i="10" s="1"/>
  <c r="BG292" i="10"/>
  <c r="BG301" i="10" s="1"/>
  <c r="BF292" i="10"/>
  <c r="BF301" i="10" s="1"/>
  <c r="BE292" i="10"/>
  <c r="BE301" i="10" s="1"/>
  <c r="BD292" i="10"/>
  <c r="BD301" i="10" s="1"/>
  <c r="BB292" i="10"/>
  <c r="BB301" i="10" s="1"/>
  <c r="BA292" i="10"/>
  <c r="BA301" i="10" s="1"/>
  <c r="AZ292" i="10"/>
  <c r="AZ301" i="10" s="1"/>
  <c r="AY292" i="10"/>
  <c r="AY301" i="10" s="1"/>
  <c r="AX292" i="10"/>
  <c r="AX301" i="10" s="1"/>
  <c r="AW292" i="10"/>
  <c r="AW301" i="10" s="1"/>
  <c r="AV292" i="10"/>
  <c r="AV301" i="10" s="1"/>
  <c r="AT292" i="10"/>
  <c r="AT301" i="10" s="1"/>
  <c r="AS292" i="10"/>
  <c r="AS301" i="10" s="1"/>
  <c r="AR292" i="10"/>
  <c r="AR301" i="10" s="1"/>
  <c r="AQ292" i="10"/>
  <c r="AQ301" i="10" s="1"/>
  <c r="AP292" i="10"/>
  <c r="AP301" i="10" s="1"/>
  <c r="AO292" i="10"/>
  <c r="AO301" i="10" s="1"/>
  <c r="AN292" i="10"/>
  <c r="AN301" i="10" s="1"/>
  <c r="AL292" i="10"/>
  <c r="AL301" i="10" s="1"/>
  <c r="AK292" i="10"/>
  <c r="AK301" i="10" s="1"/>
  <c r="AJ292" i="10"/>
  <c r="AJ301" i="10" s="1"/>
  <c r="AI292" i="10"/>
  <c r="AI301" i="10" s="1"/>
  <c r="AH292" i="10"/>
  <c r="AH301" i="10" s="1"/>
  <c r="AG292" i="10"/>
  <c r="AG301" i="10" s="1"/>
  <c r="AF292" i="10"/>
  <c r="AF301" i="10" s="1"/>
  <c r="AD292" i="10"/>
  <c r="AD301" i="10" s="1"/>
  <c r="AC292" i="10"/>
  <c r="AC301" i="10" s="1"/>
  <c r="CE289" i="10"/>
  <c r="CE288" i="10"/>
  <c r="BT288" i="10"/>
  <c r="BS288" i="10"/>
  <c r="BR288" i="10"/>
  <c r="BO288" i="10"/>
  <c r="BP288" i="10"/>
  <c r="BQ288" i="10"/>
  <c r="BN288" i="10"/>
  <c r="BM288" i="10"/>
  <c r="BL288" i="10"/>
  <c r="BK288" i="10"/>
  <c r="BJ288" i="10"/>
  <c r="BI288" i="10"/>
  <c r="BH288" i="10"/>
  <c r="BG288" i="10"/>
  <c r="BF288" i="10"/>
  <c r="BE288" i="10"/>
  <c r="BD288" i="10"/>
  <c r="BC288" i="10"/>
  <c r="BB288" i="10"/>
  <c r="CD287" i="10"/>
  <c r="CC287" i="10"/>
  <c r="CB287" i="10"/>
  <c r="CA287" i="10"/>
  <c r="BZ287" i="10"/>
  <c r="BY287" i="10"/>
  <c r="BX287" i="10"/>
  <c r="BW287" i="10"/>
  <c r="BV287" i="10"/>
  <c r="BU287" i="10"/>
  <c r="BT287" i="10"/>
  <c r="BS287" i="10"/>
  <c r="BR287" i="10"/>
  <c r="BQ287" i="10"/>
  <c r="BP287" i="10"/>
  <c r="BO287" i="10"/>
  <c r="BN287" i="10"/>
  <c r="BM287" i="10"/>
  <c r="BL287" i="10"/>
  <c r="BK287" i="10"/>
  <c r="BJ287" i="10"/>
  <c r="BI287" i="10"/>
  <c r="BH287" i="10"/>
  <c r="BG287" i="10"/>
  <c r="BF287" i="10"/>
  <c r="BE287" i="10"/>
  <c r="BD287" i="10"/>
  <c r="BC287" i="10"/>
  <c r="BB287" i="10"/>
  <c r="BA287" i="10"/>
  <c r="AZ287" i="10"/>
  <c r="AY287" i="10"/>
  <c r="AX287" i="10"/>
  <c r="AW287" i="10"/>
  <c r="AV287" i="10"/>
  <c r="AU287" i="10"/>
  <c r="AT287" i="10"/>
  <c r="AS287" i="10"/>
  <c r="AR287" i="10"/>
  <c r="AQ287" i="10"/>
  <c r="AP287" i="10"/>
  <c r="AO287" i="10"/>
  <c r="AN287" i="10"/>
  <c r="AM287" i="10"/>
  <c r="AL287" i="10"/>
  <c r="AK287" i="10"/>
  <c r="AJ287" i="10"/>
  <c r="AI287" i="10"/>
  <c r="AH287" i="10"/>
  <c r="AG287" i="10"/>
  <c r="AF287" i="10"/>
  <c r="AE287" i="10"/>
  <c r="AD287" i="10"/>
  <c r="AC287" i="10"/>
  <c r="CE283" i="10"/>
  <c r="CE282" i="10"/>
  <c r="CE281" i="10"/>
  <c r="CA281" i="10"/>
  <c r="CB281" i="10" s="1"/>
  <c r="CB298" i="10" s="1"/>
  <c r="BW281" i="10"/>
  <c r="CE280" i="10"/>
  <c r="CA280" i="10"/>
  <c r="CE279" i="10"/>
  <c r="CA279" i="10"/>
  <c r="CA296" i="10" s="1"/>
  <c r="BW279" i="10"/>
  <c r="CE278" i="10"/>
  <c r="CD278" i="10"/>
  <c r="CC278" i="10"/>
  <c r="CB278" i="10"/>
  <c r="CA278" i="10"/>
  <c r="BZ278" i="10"/>
  <c r="BY278" i="10"/>
  <c r="BX278" i="10"/>
  <c r="BW278" i="10"/>
  <c r="BV278" i="10"/>
  <c r="BU278" i="10"/>
  <c r="CE277" i="10"/>
  <c r="CA277" i="10"/>
  <c r="BW277" i="10"/>
  <c r="CE276" i="10"/>
  <c r="CD276" i="10"/>
  <c r="CD294" i="10" s="1"/>
  <c r="CE275" i="10"/>
  <c r="CE274" i="10"/>
  <c r="BX274" i="10"/>
  <c r="CE273" i="10"/>
  <c r="CE272" i="10"/>
  <c r="CC272" i="10"/>
  <c r="CC302" i="10" s="1"/>
  <c r="CB272" i="10"/>
  <c r="CB302" i="10" s="1"/>
  <c r="CA272" i="10"/>
  <c r="CA302" i="10" s="1"/>
  <c r="BZ272" i="10"/>
  <c r="BZ302" i="10" s="1"/>
  <c r="BY272" i="10"/>
  <c r="BY302" i="10" s="1"/>
  <c r="BX272" i="10"/>
  <c r="BX302" i="10" s="1"/>
  <c r="BW272" i="10"/>
  <c r="BV272" i="10"/>
  <c r="BU272" i="10"/>
  <c r="BU302" i="10" s="1"/>
  <c r="CE271" i="10"/>
  <c r="CE270" i="10"/>
  <c r="CE269" i="10"/>
  <c r="CD269" i="10"/>
  <c r="CC269" i="10"/>
  <c r="CB269" i="10"/>
  <c r="CA269" i="10"/>
  <c r="BZ269" i="10"/>
  <c r="BY269" i="10"/>
  <c r="BX269" i="10"/>
  <c r="BW269" i="10"/>
  <c r="BV269" i="10"/>
  <c r="BU269" i="10"/>
  <c r="BU215" i="10"/>
  <c r="BU268" i="10"/>
  <c r="BU304" i="10" s="1"/>
  <c r="CE268" i="10"/>
  <c r="CD268" i="10"/>
  <c r="CC268" i="10"/>
  <c r="CC304" i="10" s="1"/>
  <c r="CB268" i="10"/>
  <c r="CB304" i="10" s="1"/>
  <c r="CA268" i="10"/>
  <c r="CA304" i="10" s="1"/>
  <c r="BZ268" i="10"/>
  <c r="BZ304" i="10" s="1"/>
  <c r="BY268" i="10"/>
  <c r="BY304" i="10" s="1"/>
  <c r="BX268" i="10"/>
  <c r="BX304" i="10" s="1"/>
  <c r="BW268" i="10"/>
  <c r="BV268" i="10"/>
  <c r="CE267" i="10"/>
  <c r="CD265" i="10"/>
  <c r="CC265" i="10"/>
  <c r="CB265" i="10"/>
  <c r="CA265" i="10"/>
  <c r="BZ265" i="10"/>
  <c r="BY265" i="10"/>
  <c r="BX265" i="10"/>
  <c r="BW265" i="10"/>
  <c r="BV265" i="10"/>
  <c r="BU265" i="10"/>
  <c r="BT265" i="10"/>
  <c r="BS265" i="10"/>
  <c r="BR265" i="10"/>
  <c r="BQ265" i="10"/>
  <c r="BP265" i="10"/>
  <c r="BO265" i="10"/>
  <c r="BN265" i="10"/>
  <c r="BM265" i="10"/>
  <c r="BL265" i="10"/>
  <c r="BK265" i="10"/>
  <c r="BJ265" i="10"/>
  <c r="BI265" i="10"/>
  <c r="BH265" i="10"/>
  <c r="BG265" i="10"/>
  <c r="BF265" i="10"/>
  <c r="BE265" i="10"/>
  <c r="BD265" i="10"/>
  <c r="BC265" i="10"/>
  <c r="BB265" i="10"/>
  <c r="BA265" i="10"/>
  <c r="AZ265" i="10"/>
  <c r="AY265" i="10"/>
  <c r="AX265" i="10"/>
  <c r="AW265" i="10"/>
  <c r="AV265" i="10"/>
  <c r="AU265" i="10"/>
  <c r="AT265" i="10"/>
  <c r="AS265" i="10"/>
  <c r="AR265" i="10"/>
  <c r="AQ265" i="10"/>
  <c r="AP265" i="10"/>
  <c r="AO265" i="10"/>
  <c r="AN265" i="10"/>
  <c r="AM265" i="10"/>
  <c r="AL265" i="10"/>
  <c r="AK265" i="10"/>
  <c r="AJ265" i="10"/>
  <c r="AI265" i="10"/>
  <c r="AH265" i="10"/>
  <c r="AG265" i="10"/>
  <c r="AF265" i="10"/>
  <c r="AE265" i="10"/>
  <c r="AD265" i="10"/>
  <c r="AC265" i="10"/>
  <c r="N262" i="10"/>
  <c r="AB261" i="10"/>
  <c r="N261" i="10"/>
  <c r="Q261" i="10" s="1"/>
  <c r="AC260" i="10"/>
  <c r="AB260" i="10"/>
  <c r="N260" i="10"/>
  <c r="Q260" i="10" s="1"/>
  <c r="AB259" i="10"/>
  <c r="AC258" i="10"/>
  <c r="AB258" i="10"/>
  <c r="N258" i="10"/>
  <c r="AB257" i="10"/>
  <c r="N257" i="10"/>
  <c r="P257" i="10" s="1"/>
  <c r="AC256" i="10"/>
  <c r="AB256" i="10"/>
  <c r="N256" i="10"/>
  <c r="AC255" i="10"/>
  <c r="AB255" i="10"/>
  <c r="Z255" i="10"/>
  <c r="Y255" i="10"/>
  <c r="X255" i="10"/>
  <c r="W255" i="10"/>
  <c r="V255" i="10"/>
  <c r="U255" i="10"/>
  <c r="T255" i="10"/>
  <c r="S255" i="10"/>
  <c r="R255" i="10"/>
  <c r="Q255" i="10"/>
  <c r="P255" i="10"/>
  <c r="AB254" i="10"/>
  <c r="AC253" i="10"/>
  <c r="AB253" i="10"/>
  <c r="AC252" i="10"/>
  <c r="AB252" i="10"/>
  <c r="Z246" i="10"/>
  <c r="Z250" i="10" s="1"/>
  <c r="Z173" i="10" s="1"/>
  <c r="V246" i="10"/>
  <c r="V250" i="10" s="1"/>
  <c r="V173" i="10" s="1"/>
  <c r="R246" i="10"/>
  <c r="R250" i="10" s="1"/>
  <c r="Y246" i="10"/>
  <c r="Y250" i="10" s="1"/>
  <c r="Y173" i="10" s="1"/>
  <c r="X246" i="10"/>
  <c r="X250" i="10" s="1"/>
  <c r="X173" i="10" s="1"/>
  <c r="W246" i="10"/>
  <c r="W250" i="10" s="1"/>
  <c r="W173" i="10" s="1"/>
  <c r="U246" i="10"/>
  <c r="U250" i="10" s="1"/>
  <c r="U173" i="10" s="1"/>
  <c r="T246" i="10"/>
  <c r="T250" i="10" s="1"/>
  <c r="T173" i="10" s="1"/>
  <c r="S246" i="10"/>
  <c r="S250" i="10" s="1"/>
  <c r="Q246" i="10"/>
  <c r="Q250" i="10" s="1"/>
  <c r="P246" i="10"/>
  <c r="P250" i="10" s="1"/>
  <c r="CE243" i="10"/>
  <c r="BX243" i="10"/>
  <c r="BZ250" i="11" s="1"/>
  <c r="CE242" i="10"/>
  <c r="Z242" i="10"/>
  <c r="Y242" i="10"/>
  <c r="X242" i="10"/>
  <c r="W242" i="10"/>
  <c r="V242" i="10"/>
  <c r="U242" i="10"/>
  <c r="T242" i="10"/>
  <c r="S242" i="10"/>
  <c r="R242" i="10"/>
  <c r="Q242" i="10"/>
  <c r="P242" i="10"/>
  <c r="X234" i="10"/>
  <c r="X238" i="10" s="1"/>
  <c r="X172" i="10" s="1"/>
  <c r="T234" i="10"/>
  <c r="T238" i="10" s="1"/>
  <c r="T172" i="10" s="1"/>
  <c r="P234" i="10"/>
  <c r="P238" i="10" s="1"/>
  <c r="CE237" i="10"/>
  <c r="BA237" i="10"/>
  <c r="AZ237" i="10"/>
  <c r="AY237" i="10"/>
  <c r="AX237" i="10"/>
  <c r="AW237" i="10"/>
  <c r="AV237" i="10"/>
  <c r="AU237" i="10"/>
  <c r="AT237" i="10"/>
  <c r="AS237" i="10"/>
  <c r="AR237" i="10"/>
  <c r="AQ237" i="10"/>
  <c r="AP237" i="10"/>
  <c r="AO237" i="10"/>
  <c r="AN237" i="10"/>
  <c r="AM237" i="10"/>
  <c r="AL237" i="10"/>
  <c r="AK237" i="10"/>
  <c r="AJ237" i="10"/>
  <c r="AI237" i="10"/>
  <c r="AH237" i="10"/>
  <c r="AG237" i="10"/>
  <c r="AF237" i="10"/>
  <c r="AE237" i="10"/>
  <c r="AD237" i="10"/>
  <c r="AC237" i="10"/>
  <c r="CE236" i="10"/>
  <c r="BA236" i="10"/>
  <c r="AZ236" i="10"/>
  <c r="AY236" i="10"/>
  <c r="AX236" i="10"/>
  <c r="AW236" i="10"/>
  <c r="AV236" i="10"/>
  <c r="AU236" i="10"/>
  <c r="AT236" i="10"/>
  <c r="AS236" i="10"/>
  <c r="AR236" i="10"/>
  <c r="AQ236" i="10"/>
  <c r="AP236" i="10"/>
  <c r="AO236" i="10"/>
  <c r="AN236" i="10"/>
  <c r="AM236" i="10"/>
  <c r="AL236" i="10"/>
  <c r="AK236" i="10"/>
  <c r="AJ236" i="10"/>
  <c r="AI236" i="10"/>
  <c r="AH236" i="10"/>
  <c r="AG236" i="10"/>
  <c r="AF236" i="10"/>
  <c r="AE236" i="10"/>
  <c r="AD236" i="10"/>
  <c r="AC236" i="10"/>
  <c r="CE235" i="10"/>
  <c r="BH215" i="10"/>
  <c r="BH231" i="10" s="1"/>
  <c r="BA235" i="10"/>
  <c r="AZ235" i="10"/>
  <c r="AY235" i="10"/>
  <c r="AX235" i="10"/>
  <c r="AW235" i="10"/>
  <c r="AV235" i="10"/>
  <c r="AU235" i="10"/>
  <c r="AT235" i="10"/>
  <c r="AS235" i="10"/>
  <c r="AR235" i="10"/>
  <c r="AQ235" i="10"/>
  <c r="AP235" i="10"/>
  <c r="AO235" i="10"/>
  <c r="AN235" i="10"/>
  <c r="AM235" i="10"/>
  <c r="AL235" i="10"/>
  <c r="AK235" i="10"/>
  <c r="AJ235" i="10"/>
  <c r="AI235" i="10"/>
  <c r="AH235" i="10"/>
  <c r="AG235" i="10"/>
  <c r="AF235" i="10"/>
  <c r="AE235" i="10"/>
  <c r="AD235" i="10"/>
  <c r="AC235" i="10"/>
  <c r="CE234" i="10"/>
  <c r="BT234" i="10"/>
  <c r="BS234" i="10"/>
  <c r="BR234" i="10"/>
  <c r="BQ234" i="10"/>
  <c r="BP234" i="10"/>
  <c r="BO234" i="10"/>
  <c r="BN234" i="10"/>
  <c r="BM234" i="10"/>
  <c r="BL234" i="10"/>
  <c r="BK234" i="10"/>
  <c r="BJ234" i="10"/>
  <c r="BI234" i="10"/>
  <c r="BH234" i="10"/>
  <c r="BG234" i="10"/>
  <c r="BF234" i="10"/>
  <c r="BE234" i="10"/>
  <c r="BD234" i="10"/>
  <c r="BC234" i="10"/>
  <c r="BB234" i="10"/>
  <c r="BA234" i="10"/>
  <c r="AZ234" i="10"/>
  <c r="AY234" i="10"/>
  <c r="AX234" i="10"/>
  <c r="AW234" i="10"/>
  <c r="AV234" i="10"/>
  <c r="AU234" i="10"/>
  <c r="AT234" i="10"/>
  <c r="AS234" i="10"/>
  <c r="AR234" i="10"/>
  <c r="AQ234" i="10"/>
  <c r="AP234" i="10"/>
  <c r="AO234" i="10"/>
  <c r="AN234" i="10"/>
  <c r="AM234" i="10"/>
  <c r="AL234" i="10"/>
  <c r="AK234" i="10"/>
  <c r="AJ234" i="10"/>
  <c r="AI234" i="10"/>
  <c r="AH234" i="10"/>
  <c r="AG234" i="10"/>
  <c r="AF234" i="10"/>
  <c r="AE234" i="10"/>
  <c r="AD234" i="10"/>
  <c r="AC234" i="10"/>
  <c r="Z234" i="10"/>
  <c r="Z238" i="10" s="1"/>
  <c r="Z172" i="10" s="1"/>
  <c r="Y234" i="10"/>
  <c r="Y238" i="10" s="1"/>
  <c r="Y172" i="10" s="1"/>
  <c r="W234" i="10"/>
  <c r="W238" i="10" s="1"/>
  <c r="W172" i="10" s="1"/>
  <c r="V234" i="10"/>
  <c r="V238" i="10" s="1"/>
  <c r="V172" i="10" s="1"/>
  <c r="U234" i="10"/>
  <c r="U238" i="10" s="1"/>
  <c r="U172" i="10" s="1"/>
  <c r="S234" i="10"/>
  <c r="S238" i="10" s="1"/>
  <c r="S172" i="10" s="1"/>
  <c r="R234" i="10"/>
  <c r="R238" i="10" s="1"/>
  <c r="Q234" i="10"/>
  <c r="Q238" i="10" s="1"/>
  <c r="CE233" i="10"/>
  <c r="BA233" i="10"/>
  <c r="AZ233" i="10"/>
  <c r="AY233" i="10"/>
  <c r="AX233" i="10"/>
  <c r="AW233" i="10"/>
  <c r="AV233" i="10"/>
  <c r="AU233" i="10"/>
  <c r="AT233" i="10"/>
  <c r="AS233" i="10"/>
  <c r="AR233" i="10"/>
  <c r="AQ233" i="10"/>
  <c r="AP233" i="10"/>
  <c r="AO233" i="10"/>
  <c r="AN233" i="10"/>
  <c r="AM233" i="10"/>
  <c r="AL233" i="10"/>
  <c r="AK233" i="10"/>
  <c r="AJ233" i="10"/>
  <c r="AI233" i="10"/>
  <c r="AH233" i="10"/>
  <c r="AG233" i="10"/>
  <c r="AF233" i="10"/>
  <c r="AE233" i="10"/>
  <c r="AD233" i="10"/>
  <c r="AC233" i="10"/>
  <c r="CE232" i="10"/>
  <c r="BB215" i="10"/>
  <c r="BA232" i="10"/>
  <c r="AZ232" i="10"/>
  <c r="AY232" i="10"/>
  <c r="AX232" i="10"/>
  <c r="AW232" i="10"/>
  <c r="AV232" i="10"/>
  <c r="AU232" i="10"/>
  <c r="AT232" i="10"/>
  <c r="AS232" i="10"/>
  <c r="AR232" i="10"/>
  <c r="AQ232" i="10"/>
  <c r="AP232" i="10"/>
  <c r="AO232" i="10"/>
  <c r="AN232" i="10"/>
  <c r="AM232" i="10"/>
  <c r="AL232" i="10"/>
  <c r="AK232" i="10"/>
  <c r="AJ232" i="10"/>
  <c r="AI232" i="10"/>
  <c r="AH232" i="10"/>
  <c r="AG232" i="10"/>
  <c r="AF232" i="10"/>
  <c r="AE232" i="10"/>
  <c r="AD232" i="10"/>
  <c r="AC232" i="10"/>
  <c r="CE231" i="10"/>
  <c r="BI215" i="10"/>
  <c r="BI235" i="10" s="1"/>
  <c r="BA231" i="10"/>
  <c r="AZ231" i="10"/>
  <c r="AY231" i="10"/>
  <c r="AX231" i="10"/>
  <c r="AW231" i="10"/>
  <c r="AV231" i="10"/>
  <c r="AU231" i="10"/>
  <c r="AT231" i="10"/>
  <c r="AS231" i="10"/>
  <c r="AR231" i="10"/>
  <c r="AQ231" i="10"/>
  <c r="AP231" i="10"/>
  <c r="AO231" i="10"/>
  <c r="AN231" i="10"/>
  <c r="AM231" i="10"/>
  <c r="AL231" i="10"/>
  <c r="AK231" i="10"/>
  <c r="AJ231" i="10"/>
  <c r="AI231" i="10"/>
  <c r="AH231" i="10"/>
  <c r="AG231" i="10"/>
  <c r="AF231" i="10"/>
  <c r="AE231" i="10"/>
  <c r="AD231" i="10"/>
  <c r="AC231" i="10"/>
  <c r="CE230" i="10"/>
  <c r="BT230" i="10"/>
  <c r="BS230" i="10"/>
  <c r="BR230" i="10"/>
  <c r="BQ230" i="10"/>
  <c r="BP230" i="10"/>
  <c r="BO230" i="10"/>
  <c r="BN230" i="10"/>
  <c r="BM230" i="10"/>
  <c r="BL230" i="10"/>
  <c r="BK230" i="10"/>
  <c r="BJ230" i="10"/>
  <c r="BI230" i="10"/>
  <c r="BH230" i="10"/>
  <c r="BG230" i="10"/>
  <c r="BF230" i="10"/>
  <c r="BE230" i="10"/>
  <c r="BD230" i="10"/>
  <c r="BC230" i="10"/>
  <c r="BB230" i="10"/>
  <c r="BA230" i="10"/>
  <c r="AZ230" i="10"/>
  <c r="AY230" i="10"/>
  <c r="AX230" i="10"/>
  <c r="AW230" i="10"/>
  <c r="AV230" i="10"/>
  <c r="AU230" i="10"/>
  <c r="AT230" i="10"/>
  <c r="AS230" i="10"/>
  <c r="AR230" i="10"/>
  <c r="AQ230" i="10"/>
  <c r="AP230" i="10"/>
  <c r="AO230" i="10"/>
  <c r="AN230" i="10"/>
  <c r="AM230" i="10"/>
  <c r="AL230" i="10"/>
  <c r="AK230" i="10"/>
  <c r="AJ230" i="10"/>
  <c r="AI230" i="10"/>
  <c r="AH230" i="10"/>
  <c r="AG230" i="10"/>
  <c r="AF230" i="10"/>
  <c r="AE230" i="10"/>
  <c r="AD230" i="10"/>
  <c r="AC230" i="10"/>
  <c r="Z230" i="10"/>
  <c r="Y230" i="10"/>
  <c r="X230" i="10"/>
  <c r="W230" i="10"/>
  <c r="V230" i="10"/>
  <c r="U230" i="10"/>
  <c r="T230" i="10"/>
  <c r="S230" i="10"/>
  <c r="R230" i="10"/>
  <c r="Q230" i="10"/>
  <c r="P230" i="10"/>
  <c r="CE227" i="10"/>
  <c r="CE226" i="10"/>
  <c r="BY226" i="10"/>
  <c r="BY275" i="10" s="1"/>
  <c r="BQ226" i="10"/>
  <c r="BP226" i="10"/>
  <c r="BO226" i="10"/>
  <c r="BN226" i="10"/>
  <c r="BM226" i="10"/>
  <c r="BL226" i="10"/>
  <c r="BK226" i="10"/>
  <c r="BJ226" i="10"/>
  <c r="BI226" i="10"/>
  <c r="BH226" i="10"/>
  <c r="BG226" i="10"/>
  <c r="BF226" i="10"/>
  <c r="BE226" i="10"/>
  <c r="BD226" i="10"/>
  <c r="BC226" i="10"/>
  <c r="BB226" i="10"/>
  <c r="CE223" i="10"/>
  <c r="CE222" i="10"/>
  <c r="CE221" i="10"/>
  <c r="CE220" i="10"/>
  <c r="CE219" i="10"/>
  <c r="CE218" i="10"/>
  <c r="CE217" i="10"/>
  <c r="CE216" i="10"/>
  <c r="CE215" i="10"/>
  <c r="CD215" i="10"/>
  <c r="AC254" i="10" s="1"/>
  <c r="CC215" i="10"/>
  <c r="CB215" i="10"/>
  <c r="CB267" i="10" s="1"/>
  <c r="CB303" i="10" s="1"/>
  <c r="CA215" i="10"/>
  <c r="BZ215" i="10"/>
  <c r="BY215" i="10"/>
  <c r="BY267" i="10" s="1"/>
  <c r="BY303" i="10" s="1"/>
  <c r="BX215" i="10"/>
  <c r="BW215" i="10"/>
  <c r="BV215" i="10"/>
  <c r="BV218" i="10" s="1"/>
  <c r="BV220" i="10" s="1"/>
  <c r="BV222" i="10" s="1"/>
  <c r="BT215" i="10"/>
  <c r="BS215" i="10"/>
  <c r="BS235" i="10" s="1"/>
  <c r="BR215" i="10"/>
  <c r="BQ215" i="10"/>
  <c r="BP215" i="10"/>
  <c r="BP235" i="10" s="1"/>
  <c r="BO215" i="10"/>
  <c r="BO231" i="10" s="1"/>
  <c r="BN215" i="10"/>
  <c r="BM215" i="10"/>
  <c r="BL215" i="10"/>
  <c r="BK215" i="10"/>
  <c r="BK218" i="10" s="1"/>
  <c r="BK232" i="10" s="1"/>
  <c r="BJ215" i="10"/>
  <c r="BG215" i="10"/>
  <c r="BG231" i="10" s="1"/>
  <c r="BF215" i="10"/>
  <c r="BF231" i="10" s="1"/>
  <c r="BE215" i="10"/>
  <c r="BE235" i="10" s="1"/>
  <c r="BD215" i="10"/>
  <c r="BD218" i="10" s="1"/>
  <c r="BD220" i="10" s="1"/>
  <c r="BC215" i="10"/>
  <c r="BC231" i="10" s="1"/>
  <c r="O215" i="10"/>
  <c r="O218" i="10" s="1"/>
  <c r="N215" i="10"/>
  <c r="N218" i="10" s="1"/>
  <c r="N220" i="10" s="1"/>
  <c r="N222" i="10" s="1"/>
  <c r="N226" i="10" s="1"/>
  <c r="M215" i="10"/>
  <c r="M218" i="10" s="1"/>
  <c r="M220" i="10" s="1"/>
  <c r="M222" i="10" s="1"/>
  <c r="L215" i="10"/>
  <c r="K215" i="10"/>
  <c r="J215" i="10"/>
  <c r="I215" i="10"/>
  <c r="H215" i="10"/>
  <c r="G215" i="10"/>
  <c r="F215" i="10"/>
  <c r="E215" i="10"/>
  <c r="D215" i="10"/>
  <c r="C215" i="10"/>
  <c r="B215" i="10"/>
  <c r="CE214" i="10"/>
  <c r="CE213" i="10"/>
  <c r="CE212" i="10"/>
  <c r="CD211" i="10"/>
  <c r="AC251" i="10" s="1"/>
  <c r="CC211" i="10"/>
  <c r="CB211" i="10"/>
  <c r="CA211" i="10"/>
  <c r="BZ211" i="10"/>
  <c r="BY211" i="10"/>
  <c r="BX211" i="10"/>
  <c r="BW211" i="10"/>
  <c r="BV211" i="10"/>
  <c r="BU211" i="10"/>
  <c r="BT211" i="10"/>
  <c r="BS211" i="10"/>
  <c r="BR211" i="10"/>
  <c r="BQ211" i="10"/>
  <c r="BP211" i="10"/>
  <c r="BO211" i="10"/>
  <c r="BN211" i="10"/>
  <c r="BM211" i="10"/>
  <c r="BL211" i="10"/>
  <c r="BK211" i="10"/>
  <c r="BJ211" i="10"/>
  <c r="BI211" i="10"/>
  <c r="BH211" i="10"/>
  <c r="BG211" i="10"/>
  <c r="BF211" i="10"/>
  <c r="BE211" i="10"/>
  <c r="BD211" i="10"/>
  <c r="BC211" i="10"/>
  <c r="BB211" i="10"/>
  <c r="BA211" i="10"/>
  <c r="AZ211" i="10"/>
  <c r="AY211" i="10"/>
  <c r="AX211" i="10"/>
  <c r="AW211" i="10"/>
  <c r="AV211" i="10"/>
  <c r="AU211" i="10"/>
  <c r="AT211" i="10"/>
  <c r="AS211" i="10"/>
  <c r="AR211" i="10"/>
  <c r="AQ211" i="10"/>
  <c r="AP211" i="10"/>
  <c r="AO211" i="10"/>
  <c r="AN211" i="10"/>
  <c r="AM211" i="10"/>
  <c r="AL211" i="10"/>
  <c r="AK211" i="10"/>
  <c r="AJ211" i="10"/>
  <c r="AI211" i="10"/>
  <c r="AH211" i="10"/>
  <c r="AG211" i="10"/>
  <c r="AF211" i="10"/>
  <c r="AE211" i="10"/>
  <c r="AD211" i="10"/>
  <c r="AC211" i="10"/>
  <c r="Z211" i="10"/>
  <c r="Y211" i="10"/>
  <c r="X211" i="10"/>
  <c r="W211" i="10"/>
  <c r="V211" i="10"/>
  <c r="U211" i="10"/>
  <c r="T211" i="10"/>
  <c r="S211" i="10"/>
  <c r="R211" i="10"/>
  <c r="Q211" i="10"/>
  <c r="P211" i="10"/>
  <c r="O211" i="10"/>
  <c r="N211" i="10"/>
  <c r="M211" i="10"/>
  <c r="L211" i="10"/>
  <c r="K211" i="10"/>
  <c r="J211" i="10"/>
  <c r="I211" i="10"/>
  <c r="H211" i="10"/>
  <c r="G211" i="10"/>
  <c r="F211" i="10"/>
  <c r="E211" i="10"/>
  <c r="D211" i="10"/>
  <c r="C211" i="10"/>
  <c r="B211" i="10"/>
  <c r="A211" i="10"/>
  <c r="O205" i="10"/>
  <c r="N205" i="10"/>
  <c r="N204" i="10"/>
  <c r="M205" i="10"/>
  <c r="M204" i="10"/>
  <c r="O204" i="10"/>
  <c r="Z203" i="10"/>
  <c r="Y203" i="10"/>
  <c r="X203" i="10"/>
  <c r="W203" i="10"/>
  <c r="V203" i="10"/>
  <c r="U203" i="10"/>
  <c r="T203" i="10"/>
  <c r="S203" i="10"/>
  <c r="R203" i="10"/>
  <c r="Q203" i="10"/>
  <c r="P203" i="10"/>
  <c r="O203" i="10"/>
  <c r="N203" i="10"/>
  <c r="M203" i="10"/>
  <c r="L203" i="10"/>
  <c r="K203" i="10"/>
  <c r="J203" i="10"/>
  <c r="I203" i="10"/>
  <c r="H203" i="10"/>
  <c r="G203" i="10"/>
  <c r="F203" i="10"/>
  <c r="E203" i="10"/>
  <c r="D203" i="10"/>
  <c r="C203" i="10"/>
  <c r="B203" i="10"/>
  <c r="A203" i="10"/>
  <c r="O198" i="10"/>
  <c r="M198" i="10"/>
  <c r="M204" i="9"/>
  <c r="O197" i="10"/>
  <c r="N197" i="10"/>
  <c r="M197" i="10"/>
  <c r="P192" i="10"/>
  <c r="O189" i="10"/>
  <c r="N189" i="10"/>
  <c r="M189" i="10"/>
  <c r="M187" i="10"/>
  <c r="P188" i="10"/>
  <c r="Z186" i="10"/>
  <c r="Y186" i="10"/>
  <c r="X186" i="10"/>
  <c r="W186" i="10"/>
  <c r="V186" i="10"/>
  <c r="U186" i="10"/>
  <c r="T186" i="10"/>
  <c r="S186" i="10"/>
  <c r="R186" i="10"/>
  <c r="Q186" i="10"/>
  <c r="P186" i="10"/>
  <c r="O186" i="10"/>
  <c r="N186" i="10"/>
  <c r="M186" i="10"/>
  <c r="L186" i="10"/>
  <c r="K186" i="10"/>
  <c r="J186" i="10"/>
  <c r="I186" i="10"/>
  <c r="H186" i="10"/>
  <c r="G186" i="10"/>
  <c r="F186" i="10"/>
  <c r="E186" i="10"/>
  <c r="D186" i="10"/>
  <c r="C186" i="10"/>
  <c r="B186" i="10"/>
  <c r="A186" i="10"/>
  <c r="P178" i="10"/>
  <c r="O178" i="10"/>
  <c r="P174" i="10"/>
  <c r="P173" i="11" s="1"/>
  <c r="B16" i="12" s="1"/>
  <c r="O174" i="10"/>
  <c r="N174" i="10"/>
  <c r="M174" i="10"/>
  <c r="O173" i="10"/>
  <c r="N173" i="10"/>
  <c r="M173" i="10"/>
  <c r="M172" i="11" s="1"/>
  <c r="O172" i="10"/>
  <c r="N172" i="10"/>
  <c r="M172" i="10"/>
  <c r="O169" i="10"/>
  <c r="N169" i="10"/>
  <c r="M169" i="10"/>
  <c r="O168" i="10"/>
  <c r="M168" i="10"/>
  <c r="M167" i="10"/>
  <c r="Z166" i="10"/>
  <c r="Y166" i="10"/>
  <c r="X166" i="10"/>
  <c r="W166" i="10"/>
  <c r="V166" i="10"/>
  <c r="U166" i="10"/>
  <c r="T166" i="10"/>
  <c r="S166" i="10"/>
  <c r="R166" i="10"/>
  <c r="Q166" i="10"/>
  <c r="P166" i="10"/>
  <c r="O166" i="10"/>
  <c r="N166" i="10"/>
  <c r="M166" i="10"/>
  <c r="L166" i="10"/>
  <c r="K166" i="10"/>
  <c r="J166" i="10"/>
  <c r="I166" i="10"/>
  <c r="H166" i="10"/>
  <c r="G166" i="10"/>
  <c r="F166" i="10"/>
  <c r="E166" i="10"/>
  <c r="D166" i="10"/>
  <c r="C166" i="10"/>
  <c r="B166" i="10"/>
  <c r="A166" i="10"/>
  <c r="O161" i="10"/>
  <c r="N161" i="10"/>
  <c r="O151" i="10"/>
  <c r="O153" i="10" s="1"/>
  <c r="M151" i="10"/>
  <c r="M146" i="10"/>
  <c r="M144" i="10"/>
  <c r="O146" i="10"/>
  <c r="N146" i="10"/>
  <c r="O144" i="10"/>
  <c r="N144" i="10"/>
  <c r="Z142" i="10"/>
  <c r="Y142" i="10"/>
  <c r="X142" i="10"/>
  <c r="W142" i="10"/>
  <c r="V142" i="10"/>
  <c r="U142" i="10"/>
  <c r="T142" i="10"/>
  <c r="S142" i="10"/>
  <c r="R142" i="10"/>
  <c r="Q142" i="10"/>
  <c r="P142" i="10"/>
  <c r="O142" i="10"/>
  <c r="N142" i="10"/>
  <c r="M142" i="10"/>
  <c r="L142" i="10"/>
  <c r="K142" i="10"/>
  <c r="J142" i="10"/>
  <c r="I142" i="10"/>
  <c r="H142" i="10"/>
  <c r="G142" i="10"/>
  <c r="F142" i="10"/>
  <c r="E142" i="10"/>
  <c r="D142" i="10"/>
  <c r="C142" i="10"/>
  <c r="B142" i="10"/>
  <c r="A142" i="10"/>
  <c r="CD138" i="10"/>
  <c r="CC138" i="10"/>
  <c r="CB138" i="10"/>
  <c r="CA138" i="10"/>
  <c r="BZ138" i="10"/>
  <c r="BY138" i="10"/>
  <c r="BX138" i="10"/>
  <c r="BW138" i="10"/>
  <c r="BV138" i="10"/>
  <c r="BU138" i="10"/>
  <c r="BT138" i="10"/>
  <c r="BS138" i="10"/>
  <c r="BR138" i="10"/>
  <c r="BQ138" i="10"/>
  <c r="BP138" i="10"/>
  <c r="BO138" i="10"/>
  <c r="BN138" i="10"/>
  <c r="BM138" i="10"/>
  <c r="BL138" i="10"/>
  <c r="BK138" i="10"/>
  <c r="BJ138" i="10"/>
  <c r="BI138" i="10"/>
  <c r="BH138" i="10"/>
  <c r="BG138" i="10"/>
  <c r="BF138" i="10"/>
  <c r="CD134" i="10"/>
  <c r="CC134" i="10"/>
  <c r="CB134" i="10"/>
  <c r="CA134" i="10"/>
  <c r="BZ134" i="10"/>
  <c r="BY134" i="10"/>
  <c r="BX134" i="10"/>
  <c r="BW134" i="10"/>
  <c r="BV134" i="10"/>
  <c r="BU134" i="10"/>
  <c r="BT134" i="10"/>
  <c r="BS134" i="10"/>
  <c r="BR134" i="10"/>
  <c r="BQ134" i="10"/>
  <c r="BP134" i="10"/>
  <c r="BO134" i="10"/>
  <c r="BN134" i="10"/>
  <c r="BM134" i="10"/>
  <c r="BL134" i="10"/>
  <c r="BK134" i="10"/>
  <c r="BJ134" i="10"/>
  <c r="BI134" i="10"/>
  <c r="BH134" i="10"/>
  <c r="BG134" i="10"/>
  <c r="BF134" i="10"/>
  <c r="O127" i="10"/>
  <c r="N127" i="10"/>
  <c r="M127" i="10"/>
  <c r="L127" i="10"/>
  <c r="BU123" i="10"/>
  <c r="BQ123" i="10"/>
  <c r="BP123" i="10"/>
  <c r="BO123" i="10"/>
  <c r="BN123" i="10"/>
  <c r="BM123" i="10"/>
  <c r="BL123" i="10"/>
  <c r="BK123" i="10"/>
  <c r="BJ123" i="10"/>
  <c r="BI123" i="10"/>
  <c r="BH123" i="10"/>
  <c r="BG123" i="10"/>
  <c r="BF123" i="10"/>
  <c r="BU120" i="10"/>
  <c r="BU121" i="10" s="1"/>
  <c r="BU119" i="10"/>
  <c r="BQ119" i="10"/>
  <c r="BP119" i="10"/>
  <c r="BO119" i="10"/>
  <c r="BN119" i="10"/>
  <c r="BM119" i="10"/>
  <c r="BL119" i="10"/>
  <c r="BK119" i="10"/>
  <c r="BJ119" i="10"/>
  <c r="BI119" i="10"/>
  <c r="BH119" i="10"/>
  <c r="BG119" i="10"/>
  <c r="BF119" i="10"/>
  <c r="BE119" i="10"/>
  <c r="BD119" i="10"/>
  <c r="BC119" i="10"/>
  <c r="BB119" i="10"/>
  <c r="CB276" i="10"/>
  <c r="CB294" i="10" s="1"/>
  <c r="CC286" i="11"/>
  <c r="CC231" i="11"/>
  <c r="CC285" i="11" s="1"/>
  <c r="CC303" i="11" s="1"/>
  <c r="CA113" i="9"/>
  <c r="CA109" i="10"/>
  <c r="CA111" i="10" s="1"/>
  <c r="CA112" i="10" s="1"/>
  <c r="BY276" i="10"/>
  <c r="BY294" i="10" s="1"/>
  <c r="BX276" i="10"/>
  <c r="BX294" i="10" s="1"/>
  <c r="BU276" i="10"/>
  <c r="BU294" i="10" s="1"/>
  <c r="BT119" i="10"/>
  <c r="BS119" i="10"/>
  <c r="CB117" i="10"/>
  <c r="BZ117" i="10"/>
  <c r="BY116" i="10"/>
  <c r="BU116" i="10"/>
  <c r="BQ116" i="10"/>
  <c r="BP116" i="10"/>
  <c r="BO116" i="10"/>
  <c r="BN116" i="10"/>
  <c r="BM116" i="10"/>
  <c r="BL116" i="10"/>
  <c r="BK116" i="10"/>
  <c r="BJ116" i="10"/>
  <c r="BI116" i="10"/>
  <c r="BH116" i="10"/>
  <c r="BG116" i="10"/>
  <c r="BF116" i="10"/>
  <c r="BE116" i="10"/>
  <c r="BD116" i="10"/>
  <c r="BC116" i="10"/>
  <c r="BB116" i="10"/>
  <c r="CD115" i="10"/>
  <c r="CD117" i="10" s="1"/>
  <c r="CA226" i="10"/>
  <c r="CA275" i="10" s="1"/>
  <c r="CA293" i="10" s="1"/>
  <c r="BY120" i="10"/>
  <c r="BY121" i="10" s="1"/>
  <c r="D382" i="12"/>
  <c r="BU226" i="10"/>
  <c r="BR226" i="10"/>
  <c r="D64" i="12"/>
  <c r="BF112" i="10"/>
  <c r="BF113" i="10" s="1"/>
  <c r="BQ112" i="10"/>
  <c r="BQ113" i="10" s="1"/>
  <c r="BP112" i="10"/>
  <c r="BP113" i="10" s="1"/>
  <c r="BO112" i="10"/>
  <c r="BO113" i="10" s="1"/>
  <c r="BN112" i="10"/>
  <c r="BN113" i="10" s="1"/>
  <c r="BM112" i="10"/>
  <c r="BM113" i="10" s="1"/>
  <c r="BL112" i="10"/>
  <c r="BL113" i="10" s="1"/>
  <c r="BK112" i="10"/>
  <c r="BK113" i="10" s="1"/>
  <c r="BJ112" i="10"/>
  <c r="BJ113" i="10" s="1"/>
  <c r="BI112" i="10"/>
  <c r="BI113" i="10" s="1"/>
  <c r="BH112" i="10"/>
  <c r="BH113" i="10" s="1"/>
  <c r="BG112" i="10"/>
  <c r="BG113" i="10" s="1"/>
  <c r="BE112" i="10"/>
  <c r="BE113" i="10" s="1"/>
  <c r="BD112" i="10"/>
  <c r="BD113" i="10" s="1"/>
  <c r="BC112" i="10"/>
  <c r="BC113" i="10" s="1"/>
  <c r="BB112" i="10"/>
  <c r="BB113" i="10" s="1"/>
  <c r="BX111" i="10"/>
  <c r="BX112" i="10" s="1"/>
  <c r="BU111" i="10"/>
  <c r="BU112" i="10" s="1"/>
  <c r="BY110" i="10"/>
  <c r="BW110" i="10"/>
  <c r="CD109" i="10"/>
  <c r="CD274" i="10" s="1"/>
  <c r="CB109" i="10"/>
  <c r="CB274" i="10" s="1"/>
  <c r="BZ112" i="10"/>
  <c r="BZ113" i="10" s="1"/>
  <c r="BY274" i="10"/>
  <c r="BV112" i="10"/>
  <c r="BV113" i="10" s="1"/>
  <c r="BU274" i="10"/>
  <c r="CD107" i="10"/>
  <c r="CC107" i="10"/>
  <c r="CB107" i="10"/>
  <c r="CA107" i="10"/>
  <c r="BZ107" i="10"/>
  <c r="BY107" i="10"/>
  <c r="BX107" i="10"/>
  <c r="BW107" i="10"/>
  <c r="BV107" i="10"/>
  <c r="BU107" i="10"/>
  <c r="BT107" i="10"/>
  <c r="BS107" i="10"/>
  <c r="BR107" i="10"/>
  <c r="BQ107" i="10"/>
  <c r="BP107" i="10"/>
  <c r="BO107" i="10"/>
  <c r="BN107" i="10"/>
  <c r="BM107" i="10"/>
  <c r="BL107" i="10"/>
  <c r="BK107" i="10"/>
  <c r="BJ107" i="10"/>
  <c r="BI107" i="10"/>
  <c r="BH107" i="10"/>
  <c r="BG107" i="10"/>
  <c r="BF107"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107" i="10"/>
  <c r="AB107" i="10" s="1"/>
  <c r="Z107" i="10"/>
  <c r="Q63" i="12" s="1"/>
  <c r="Y107" i="10"/>
  <c r="P63" i="12" s="1"/>
  <c r="X107" i="10"/>
  <c r="O63" i="12" s="1"/>
  <c r="W107" i="10"/>
  <c r="N63" i="12" s="1"/>
  <c r="V107" i="10"/>
  <c r="M63" i="12" s="1"/>
  <c r="U107" i="10"/>
  <c r="L63" i="12" s="1"/>
  <c r="T107" i="10"/>
  <c r="K63" i="12" s="1"/>
  <c r="S107" i="10"/>
  <c r="J63" i="12" s="1"/>
  <c r="R107" i="10"/>
  <c r="I63" i="12" s="1"/>
  <c r="Q107" i="10"/>
  <c r="H63" i="12" s="1"/>
  <c r="O107" i="10"/>
  <c r="F63" i="12" s="1"/>
  <c r="N107" i="10"/>
  <c r="E63" i="12" s="1"/>
  <c r="M107" i="10"/>
  <c r="D63" i="12" s="1"/>
  <c r="L107" i="10"/>
  <c r="C63" i="12" s="1"/>
  <c r="K107" i="10"/>
  <c r="B63" i="12" s="1"/>
  <c r="J107" i="10"/>
  <c r="I107" i="10"/>
  <c r="H107" i="10"/>
  <c r="G107" i="10"/>
  <c r="F107" i="10"/>
  <c r="E107" i="10"/>
  <c r="D107" i="10"/>
  <c r="C107" i="10"/>
  <c r="B107" i="10"/>
  <c r="CD104" i="10"/>
  <c r="CB104" i="10"/>
  <c r="CA104" i="10"/>
  <c r="BZ104" i="10"/>
  <c r="BX104" i="10"/>
  <c r="BW104" i="10"/>
  <c r="BV104" i="10"/>
  <c r="O104" i="10"/>
  <c r="N104" i="10"/>
  <c r="M104" i="10"/>
  <c r="CD103" i="10"/>
  <c r="CB103" i="10"/>
  <c r="CA103" i="10"/>
  <c r="BZ103" i="10"/>
  <c r="BX103" i="10"/>
  <c r="BW103" i="10"/>
  <c r="BV103" i="10"/>
  <c r="O103" i="10"/>
  <c r="N103" i="10"/>
  <c r="M103" i="10"/>
  <c r="CD102" i="10"/>
  <c r="CB102" i="10"/>
  <c r="CA102" i="10"/>
  <c r="BZ102" i="10"/>
  <c r="BX102" i="10"/>
  <c r="BW102" i="10"/>
  <c r="BV102" i="10"/>
  <c r="O102" i="10"/>
  <c r="N102" i="10"/>
  <c r="M102" i="10"/>
  <c r="Z100" i="10"/>
  <c r="Y100" i="10"/>
  <c r="X100" i="10"/>
  <c r="W100" i="10"/>
  <c r="V100" i="10"/>
  <c r="U100" i="10"/>
  <c r="T100" i="10"/>
  <c r="S100" i="10"/>
  <c r="R100" i="10"/>
  <c r="Q100" i="10"/>
  <c r="P100" i="10"/>
  <c r="CD90" i="10"/>
  <c r="CD99" i="10" s="1"/>
  <c r="BZ90" i="10"/>
  <c r="BZ100" i="10" s="1"/>
  <c r="BV90" i="10"/>
  <c r="BV100" i="10" s="1"/>
  <c r="O90" i="10"/>
  <c r="O98" i="10" s="1"/>
  <c r="BW90" i="10"/>
  <c r="BW95" i="10" s="1"/>
  <c r="CD94" i="10"/>
  <c r="CB94" i="10"/>
  <c r="CA94" i="10"/>
  <c r="BZ94" i="10"/>
  <c r="BX94" i="10"/>
  <c r="BW94" i="10"/>
  <c r="BV94" i="10"/>
  <c r="O94" i="10"/>
  <c r="N94" i="10"/>
  <c r="CD93" i="10"/>
  <c r="CB93" i="10"/>
  <c r="CA93" i="10"/>
  <c r="BZ93" i="10"/>
  <c r="BY88" i="10"/>
  <c r="BY93" i="10" s="1"/>
  <c r="BX93" i="10"/>
  <c r="BW93" i="10"/>
  <c r="BV93" i="10"/>
  <c r="O93" i="10"/>
  <c r="N93" i="10"/>
  <c r="CD92" i="10"/>
  <c r="CB92" i="10"/>
  <c r="CA92" i="10"/>
  <c r="BZ92" i="10"/>
  <c r="BY87" i="10"/>
  <c r="BX92" i="10"/>
  <c r="BW92" i="10"/>
  <c r="BV92" i="10"/>
  <c r="O92" i="10"/>
  <c r="N92" i="10"/>
  <c r="CB90" i="10"/>
  <c r="CA90" i="10"/>
  <c r="BY89" i="10"/>
  <c r="BY94" i="10" s="1"/>
  <c r="BX90" i="10"/>
  <c r="BX99" i="10" s="1"/>
  <c r="N90" i="10"/>
  <c r="M90" i="10"/>
  <c r="M98" i="10" s="1"/>
  <c r="CC89" i="10"/>
  <c r="CC104" i="10" s="1"/>
  <c r="CC88" i="10"/>
  <c r="CC87" i="10"/>
  <c r="BI65" i="10"/>
  <c r="BI66" i="10"/>
  <c r="CB65" i="10"/>
  <c r="CB66" i="10"/>
  <c r="CA65" i="10"/>
  <c r="BZ65" i="10"/>
  <c r="BY65" i="10"/>
  <c r="BU65" i="10"/>
  <c r="BX65" i="10"/>
  <c r="BX66" i="10"/>
  <c r="BX54" i="10"/>
  <c r="BZ54" i="11" s="1"/>
  <c r="BW65" i="10"/>
  <c r="BV65" i="10"/>
  <c r="BT65" i="10"/>
  <c r="BS65" i="10"/>
  <c r="BR65" i="10"/>
  <c r="O73" i="10"/>
  <c r="O65" i="10" s="1"/>
  <c r="S252" i="14" s="1"/>
  <c r="L73" i="10"/>
  <c r="L65" i="10" s="1"/>
  <c r="P252" i="14" s="1"/>
  <c r="CD72" i="10"/>
  <c r="CB72" i="10"/>
  <c r="CA72" i="10"/>
  <c r="BL66" i="10"/>
  <c r="BH66" i="10"/>
  <c r="N70" i="10"/>
  <c r="M70" i="10"/>
  <c r="BE65" i="10"/>
  <c r="BE69" i="10" s="1"/>
  <c r="CD66" i="10"/>
  <c r="CA66" i="10"/>
  <c r="BW66" i="10"/>
  <c r="BZ66" i="10"/>
  <c r="BV66" i="10"/>
  <c r="BQ66" i="10"/>
  <c r="BM66" i="10"/>
  <c r="BP66" i="10"/>
  <c r="BO66" i="10"/>
  <c r="BN66" i="10"/>
  <c r="BK66" i="10"/>
  <c r="BG66" i="10"/>
  <c r="BJ66" i="10"/>
  <c r="BF66" i="10"/>
  <c r="BE66" i="10"/>
  <c r="BD66" i="10"/>
  <c r="BC66" i="10"/>
  <c r="BC70" i="10" s="1"/>
  <c r="BB66" i="10"/>
  <c r="BQ65" i="10"/>
  <c r="BP65" i="10"/>
  <c r="BO65" i="10"/>
  <c r="BN65" i="10"/>
  <c r="BM65" i="10"/>
  <c r="BL65" i="10"/>
  <c r="BK65" i="10"/>
  <c r="BJ65" i="10"/>
  <c r="BH65" i="10"/>
  <c r="BG65" i="10"/>
  <c r="BF65" i="10"/>
  <c r="BD65" i="10"/>
  <c r="BD69" i="10" s="1"/>
  <c r="BC65" i="10"/>
  <c r="BC69" i="10" s="1"/>
  <c r="BB65" i="10"/>
  <c r="BB69" i="10" s="1"/>
  <c r="N65" i="10"/>
  <c r="CD63" i="10"/>
  <c r="CB63" i="10"/>
  <c r="CA63" i="10"/>
  <c r="BZ63" i="10"/>
  <c r="BY63" i="10"/>
  <c r="BX63" i="10"/>
  <c r="BW63" i="10"/>
  <c r="BV63" i="10"/>
  <c r="BU63" i="10"/>
  <c r="BT63" i="10"/>
  <c r="BS63" i="10"/>
  <c r="BR63" i="10"/>
  <c r="CD62" i="10"/>
  <c r="CC62" i="10"/>
  <c r="CB62" i="10"/>
  <c r="CA62" i="10"/>
  <c r="BZ62" i="10"/>
  <c r="BY62" i="10"/>
  <c r="BX62" i="10"/>
  <c r="BW62" i="10"/>
  <c r="BV62" i="10"/>
  <c r="BU62" i="10"/>
  <c r="BT62" i="10"/>
  <c r="BS62" i="10"/>
  <c r="BR62" i="10"/>
  <c r="O62" i="10"/>
  <c r="O64" i="10" s="1"/>
  <c r="CC64" i="10" s="1"/>
  <c r="N62" i="10"/>
  <c r="N64" i="10" s="1"/>
  <c r="R264" i="14" s="1"/>
  <c r="M62" i="10"/>
  <c r="M64" i="10" s="1"/>
  <c r="L62" i="10"/>
  <c r="L64" i="10" s="1"/>
  <c r="L132" i="10" s="1"/>
  <c r="L133" i="10" s="1"/>
  <c r="BQ59" i="10"/>
  <c r="BP59" i="10"/>
  <c r="BO59" i="10"/>
  <c r="BN59" i="10"/>
  <c r="BM59" i="10"/>
  <c r="BL59" i="10"/>
  <c r="BK59" i="10"/>
  <c r="BJ59" i="10"/>
  <c r="BI59" i="10"/>
  <c r="BH59" i="10"/>
  <c r="BG59" i="10"/>
  <c r="BF59" i="10"/>
  <c r="BQ58" i="10"/>
  <c r="BP58" i="10"/>
  <c r="BO58" i="10"/>
  <c r="BN58" i="10"/>
  <c r="BM58" i="10"/>
  <c r="BL58" i="10"/>
  <c r="BK58" i="10"/>
  <c r="BJ58" i="10"/>
  <c r="BI58" i="10"/>
  <c r="BH58" i="10"/>
  <c r="BG58" i="10"/>
  <c r="BF58" i="10"/>
  <c r="CB57" i="10"/>
  <c r="BQ57" i="10"/>
  <c r="BP57" i="10"/>
  <c r="BO57" i="10"/>
  <c r="BN57" i="10"/>
  <c r="BM57" i="10"/>
  <c r="BL57" i="10"/>
  <c r="BK57" i="10"/>
  <c r="BJ57" i="10"/>
  <c r="BI57" i="10"/>
  <c r="BH57" i="10"/>
  <c r="BG57" i="10"/>
  <c r="BF57" i="10"/>
  <c r="P57" i="10"/>
  <c r="O57" i="10"/>
  <c r="BU54" i="10"/>
  <c r="BU58" i="10" s="1"/>
  <c r="O54" i="10"/>
  <c r="N54" i="10"/>
  <c r="N109" i="10" s="1"/>
  <c r="R39" i="14" s="1"/>
  <c r="L54" i="10"/>
  <c r="L109" i="10" s="1"/>
  <c r="BZ72" i="10"/>
  <c r="E351" i="12"/>
  <c r="BU72" i="10"/>
  <c r="BR72" i="10"/>
  <c r="N74" i="10"/>
  <c r="L74" i="10"/>
  <c r="CD52" i="10"/>
  <c r="CC52" i="10"/>
  <c r="CB52" i="10"/>
  <c r="CA52" i="10"/>
  <c r="BZ52" i="10"/>
  <c r="BY52" i="10"/>
  <c r="BX52" i="10"/>
  <c r="BW52" i="10"/>
  <c r="BV52" i="10"/>
  <c r="BU52" i="10"/>
  <c r="BT52" i="10"/>
  <c r="BS52" i="10"/>
  <c r="BR52" i="10"/>
  <c r="BQ52" i="10"/>
  <c r="BP52" i="10"/>
  <c r="BO52" i="10"/>
  <c r="BN52" i="10"/>
  <c r="BM52" i="10"/>
  <c r="BL52" i="10"/>
  <c r="BK52" i="10"/>
  <c r="BJ52" i="10"/>
  <c r="BI52" i="10"/>
  <c r="BH52" i="10"/>
  <c r="BG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Z52" i="10"/>
  <c r="Y52" i="10"/>
  <c r="X52" i="10"/>
  <c r="W52" i="10"/>
  <c r="V52" i="10"/>
  <c r="U52" i="10"/>
  <c r="T52" i="10"/>
  <c r="S52" i="10"/>
  <c r="Q52" i="10"/>
  <c r="P52" i="10"/>
  <c r="O52" i="10"/>
  <c r="N52" i="10"/>
  <c r="M52" i="10"/>
  <c r="L52" i="10"/>
  <c r="K52" i="10"/>
  <c r="J52" i="10"/>
  <c r="I52" i="10"/>
  <c r="H52" i="10"/>
  <c r="G52" i="10"/>
  <c r="F52" i="10"/>
  <c r="E52" i="10"/>
  <c r="D52" i="10"/>
  <c r="C52" i="10"/>
  <c r="B52" i="10"/>
  <c r="A52" i="10"/>
  <c r="AB52" i="10" s="1"/>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B48" i="10"/>
  <c r="O48" i="10"/>
  <c r="N48" i="10"/>
  <c r="M48" i="10"/>
  <c r="L48" i="10"/>
  <c r="K48" i="10"/>
  <c r="J48" i="10"/>
  <c r="I48" i="10"/>
  <c r="H48" i="10"/>
  <c r="G48" i="10"/>
  <c r="F48" i="10"/>
  <c r="E48" i="10"/>
  <c r="D48" i="10"/>
  <c r="C48"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B47" i="10"/>
  <c r="O47" i="10"/>
  <c r="N47" i="10"/>
  <c r="M47" i="10"/>
  <c r="L47" i="10"/>
  <c r="K47" i="10"/>
  <c r="J47" i="10"/>
  <c r="I47" i="10"/>
  <c r="H47" i="10"/>
  <c r="G47" i="10"/>
  <c r="F47" i="10"/>
  <c r="E47" i="10"/>
  <c r="D47" i="10"/>
  <c r="C47"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B46" i="10"/>
  <c r="O46" i="10"/>
  <c r="N46" i="10"/>
  <c r="M46" i="10"/>
  <c r="L46" i="10"/>
  <c r="K46" i="10"/>
  <c r="J46" i="10"/>
  <c r="I46" i="10"/>
  <c r="H46" i="10"/>
  <c r="G46" i="10"/>
  <c r="F46" i="10"/>
  <c r="E46" i="10"/>
  <c r="D46" i="10"/>
  <c r="C46"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B45" i="10"/>
  <c r="O45" i="10"/>
  <c r="N45" i="10"/>
  <c r="M45" i="10"/>
  <c r="L45" i="10"/>
  <c r="K45" i="10"/>
  <c r="J45" i="10"/>
  <c r="I45" i="10"/>
  <c r="H45" i="10"/>
  <c r="G45" i="10"/>
  <c r="F45" i="10"/>
  <c r="E45" i="10"/>
  <c r="D45" i="10"/>
  <c r="C45" i="10"/>
  <c r="CD44" i="10"/>
  <c r="CC44" i="10"/>
  <c r="CB44" i="10"/>
  <c r="CA44" i="10"/>
  <c r="BZ44" i="10"/>
  <c r="BY44" i="10"/>
  <c r="BX44" i="10"/>
  <c r="BW44" i="10"/>
  <c r="BV44" i="10"/>
  <c r="BU44" i="10"/>
  <c r="BT44" i="10"/>
  <c r="BS44" i="10"/>
  <c r="BR44" i="10"/>
  <c r="BQ44" i="10"/>
  <c r="BP44" i="10"/>
  <c r="BO44" i="10"/>
  <c r="BN44" i="10"/>
  <c r="BM44" i="10"/>
  <c r="BL44" i="10"/>
  <c r="BK44" i="10"/>
  <c r="BJ44" i="10"/>
  <c r="BI44" i="10"/>
  <c r="BH44" i="10"/>
  <c r="BG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B44" i="10"/>
  <c r="O44" i="10"/>
  <c r="N44" i="10"/>
  <c r="M44" i="10"/>
  <c r="L44" i="10"/>
  <c r="K44" i="10"/>
  <c r="J44" i="10"/>
  <c r="I44" i="10"/>
  <c r="H44" i="10"/>
  <c r="G44" i="10"/>
  <c r="F44" i="10"/>
  <c r="E44" i="10"/>
  <c r="D44" i="10"/>
  <c r="C44"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B43" i="10"/>
  <c r="O43" i="10"/>
  <c r="N43" i="10"/>
  <c r="M43" i="10"/>
  <c r="L43" i="10"/>
  <c r="K43" i="10"/>
  <c r="J43" i="10"/>
  <c r="I43" i="10"/>
  <c r="H43" i="10"/>
  <c r="G43" i="10"/>
  <c r="F43" i="10"/>
  <c r="E43" i="10"/>
  <c r="D43" i="10"/>
  <c r="C43" i="10"/>
  <c r="CD42" i="10"/>
  <c r="CC42" i="10"/>
  <c r="CB42" i="10"/>
  <c r="CA42" i="10"/>
  <c r="BZ42" i="10"/>
  <c r="BY42" i="10"/>
  <c r="BX42" i="10"/>
  <c r="BW42" i="10"/>
  <c r="BV42" i="10"/>
  <c r="BU42" i="10"/>
  <c r="BT42" i="10"/>
  <c r="BS42" i="10"/>
  <c r="BR42" i="10"/>
  <c r="BQ42" i="10"/>
  <c r="BP42" i="10"/>
  <c r="BO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B42" i="10"/>
  <c r="O42" i="10"/>
  <c r="N42" i="10"/>
  <c r="M42" i="10"/>
  <c r="L42" i="10"/>
  <c r="K42" i="10"/>
  <c r="J42" i="10"/>
  <c r="I42" i="10"/>
  <c r="H42" i="10"/>
  <c r="G42" i="10"/>
  <c r="F42" i="10"/>
  <c r="E42" i="10"/>
  <c r="D42" i="10"/>
  <c r="C42" i="10"/>
  <c r="CD41" i="10"/>
  <c r="CC41" i="10"/>
  <c r="CB41" i="10"/>
  <c r="CA41" i="10"/>
  <c r="BZ41" i="10"/>
  <c r="BY41" i="10"/>
  <c r="BX41" i="10"/>
  <c r="BW41" i="10"/>
  <c r="BV41" i="10"/>
  <c r="BU41" i="10"/>
  <c r="BT41" i="10"/>
  <c r="BS41" i="10"/>
  <c r="BR41" i="10"/>
  <c r="BQ41" i="10"/>
  <c r="BP41" i="10"/>
  <c r="BO41" i="10"/>
  <c r="BN41" i="10"/>
  <c r="BM41" i="10"/>
  <c r="BL41" i="10"/>
  <c r="BK41" i="10"/>
  <c r="BJ41" i="10"/>
  <c r="BI41" i="10"/>
  <c r="BH41" i="10"/>
  <c r="BG41"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B41" i="10"/>
  <c r="O41" i="10"/>
  <c r="N41" i="10"/>
  <c r="M41" i="10"/>
  <c r="L41" i="10"/>
  <c r="K41" i="10"/>
  <c r="J41" i="10"/>
  <c r="I41" i="10"/>
  <c r="H41" i="10"/>
  <c r="G41" i="10"/>
  <c r="F41" i="10"/>
  <c r="E41" i="10"/>
  <c r="D41" i="10"/>
  <c r="C41"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B40" i="10"/>
  <c r="O40" i="10"/>
  <c r="N40" i="10"/>
  <c r="M40" i="10"/>
  <c r="L40" i="10"/>
  <c r="K40" i="10"/>
  <c r="J40" i="10"/>
  <c r="I40" i="10"/>
  <c r="H40" i="10"/>
  <c r="G40" i="10"/>
  <c r="F40" i="10"/>
  <c r="E40" i="10"/>
  <c r="D40" i="10"/>
  <c r="C40"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B39" i="10"/>
  <c r="O39" i="10"/>
  <c r="N39" i="10"/>
  <c r="M39" i="10"/>
  <c r="L39" i="10"/>
  <c r="K39" i="10"/>
  <c r="J39" i="10"/>
  <c r="I39" i="10"/>
  <c r="H39" i="10"/>
  <c r="G39" i="10"/>
  <c r="F39" i="10"/>
  <c r="E39" i="10"/>
  <c r="D39" i="10"/>
  <c r="C39"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B38" i="10"/>
  <c r="O38" i="10"/>
  <c r="N38" i="10"/>
  <c r="M38" i="10"/>
  <c r="L38" i="10"/>
  <c r="K38" i="10"/>
  <c r="J38" i="10"/>
  <c r="I38" i="10"/>
  <c r="H38" i="10"/>
  <c r="G38" i="10"/>
  <c r="F38" i="10"/>
  <c r="E38" i="10"/>
  <c r="D38" i="10"/>
  <c r="C38"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B37" i="10"/>
  <c r="O37" i="10"/>
  <c r="N37" i="10"/>
  <c r="M37" i="10"/>
  <c r="L37" i="10"/>
  <c r="K37" i="10"/>
  <c r="J37" i="10"/>
  <c r="I37" i="10"/>
  <c r="H37" i="10"/>
  <c r="G37" i="10"/>
  <c r="F37" i="10"/>
  <c r="E37" i="10"/>
  <c r="D37" i="10"/>
  <c r="C37"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B35" i="10"/>
  <c r="O35" i="10"/>
  <c r="N35" i="10"/>
  <c r="M35" i="10"/>
  <c r="L35" i="10"/>
  <c r="K35" i="10"/>
  <c r="J35" i="10"/>
  <c r="I35" i="10"/>
  <c r="H35" i="10"/>
  <c r="G35" i="10"/>
  <c r="F35" i="10"/>
  <c r="E35" i="10"/>
  <c r="D35" i="10"/>
  <c r="C35" i="10"/>
  <c r="CD34" i="10"/>
  <c r="CC34" i="10"/>
  <c r="CB34" i="10"/>
  <c r="CA34" i="10"/>
  <c r="BZ34" i="10"/>
  <c r="BY34" i="10"/>
  <c r="BX34" i="10"/>
  <c r="BW34" i="10"/>
  <c r="BV34" i="10"/>
  <c r="BU34" i="10"/>
  <c r="BT34" i="10"/>
  <c r="BS34" i="10"/>
  <c r="BR34" i="10"/>
  <c r="BQ34" i="10"/>
  <c r="BP34" i="10"/>
  <c r="BO34" i="10"/>
  <c r="BN34" i="10"/>
  <c r="BM34" i="10"/>
  <c r="BL34" i="10"/>
  <c r="BK34" i="10"/>
  <c r="BJ34" i="10"/>
  <c r="BI34" i="10"/>
  <c r="BH34" i="10"/>
  <c r="BG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B34" i="10"/>
  <c r="O34" i="10"/>
  <c r="N34" i="10"/>
  <c r="M34" i="10"/>
  <c r="L34" i="10"/>
  <c r="K34" i="10"/>
  <c r="J34" i="10"/>
  <c r="I34" i="10"/>
  <c r="H34" i="10"/>
  <c r="G34" i="10"/>
  <c r="F34" i="10"/>
  <c r="E34" i="10"/>
  <c r="D34" i="10"/>
  <c r="C34"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AL33" i="10"/>
  <c r="AK33" i="10"/>
  <c r="AJ33" i="10"/>
  <c r="AI33" i="10"/>
  <c r="AH33" i="10"/>
  <c r="AG33" i="10"/>
  <c r="AF33" i="10"/>
  <c r="AE33" i="10"/>
  <c r="AD33" i="10"/>
  <c r="AB33" i="10"/>
  <c r="O33" i="10"/>
  <c r="N33" i="10"/>
  <c r="M33" i="10"/>
  <c r="L33" i="10"/>
  <c r="K33" i="10"/>
  <c r="J33" i="10"/>
  <c r="I33" i="10"/>
  <c r="H33" i="10"/>
  <c r="G33" i="10"/>
  <c r="F33" i="10"/>
  <c r="E33" i="10"/>
  <c r="D33" i="10"/>
  <c r="C33" i="10"/>
  <c r="CD32" i="10"/>
  <c r="CC32" i="10"/>
  <c r="CB32" i="10"/>
  <c r="CA32" i="10"/>
  <c r="BZ32" i="10"/>
  <c r="BY32" i="10"/>
  <c r="BX32" i="10"/>
  <c r="BW32" i="10"/>
  <c r="BV32" i="10"/>
  <c r="BU32" i="10"/>
  <c r="BT32" i="10"/>
  <c r="BS32" i="10"/>
  <c r="BR32" i="10"/>
  <c r="BQ32" i="10"/>
  <c r="BP32" i="10"/>
  <c r="BO32" i="10"/>
  <c r="BN32" i="10"/>
  <c r="BM32" i="10"/>
  <c r="BL32" i="10"/>
  <c r="BK32" i="10"/>
  <c r="BJ32" i="10"/>
  <c r="BI32" i="10"/>
  <c r="BH32" i="10"/>
  <c r="BG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B32" i="10"/>
  <c r="O32" i="10"/>
  <c r="N32" i="10"/>
  <c r="M32" i="10"/>
  <c r="L32" i="10"/>
  <c r="K32" i="10"/>
  <c r="J32" i="10"/>
  <c r="I32" i="10"/>
  <c r="H32" i="10"/>
  <c r="G32" i="10"/>
  <c r="F32" i="10"/>
  <c r="E32" i="10"/>
  <c r="D32" i="10"/>
  <c r="C32" i="10"/>
  <c r="CD31" i="10"/>
  <c r="CC31" i="10"/>
  <c r="CB31" i="10"/>
  <c r="CA31" i="10"/>
  <c r="BZ31" i="10"/>
  <c r="BY31" i="10"/>
  <c r="BX31" i="10"/>
  <c r="BW31" i="10"/>
  <c r="BV31" i="10"/>
  <c r="BU31" i="10"/>
  <c r="BT31" i="10"/>
  <c r="BS31" i="10"/>
  <c r="BR31" i="10"/>
  <c r="BQ31" i="10"/>
  <c r="BP31" i="10"/>
  <c r="BO31" i="10"/>
  <c r="BN31" i="10"/>
  <c r="BM31" i="10"/>
  <c r="BL31" i="10"/>
  <c r="BK31" i="10"/>
  <c r="BJ31" i="10"/>
  <c r="BI31" i="10"/>
  <c r="BH31" i="10"/>
  <c r="BG31" i="10"/>
  <c r="BF31" i="10"/>
  <c r="BE31" i="10"/>
  <c r="BD31" i="10"/>
  <c r="BC31" i="10"/>
  <c r="BB31" i="10"/>
  <c r="BA31" i="10"/>
  <c r="AZ31" i="10"/>
  <c r="AY31" i="10"/>
  <c r="AX31" i="10"/>
  <c r="AW31" i="10"/>
  <c r="AV31" i="10"/>
  <c r="AU31" i="10"/>
  <c r="AT31" i="10"/>
  <c r="AS31" i="10"/>
  <c r="AR31" i="10"/>
  <c r="AQ31" i="10"/>
  <c r="AP31" i="10"/>
  <c r="AO31" i="10"/>
  <c r="AN31" i="10"/>
  <c r="AM31" i="10"/>
  <c r="AL31" i="10"/>
  <c r="AK31" i="10"/>
  <c r="AJ31" i="10"/>
  <c r="AI31" i="10"/>
  <c r="AH31" i="10"/>
  <c r="AG31" i="10"/>
  <c r="AF31" i="10"/>
  <c r="AE31" i="10"/>
  <c r="AD31" i="10"/>
  <c r="AB31" i="10"/>
  <c r="O31" i="10"/>
  <c r="N31" i="10"/>
  <c r="M31" i="10"/>
  <c r="L31" i="10"/>
  <c r="K31" i="10"/>
  <c r="J31" i="10"/>
  <c r="I31" i="10"/>
  <c r="H31" i="10"/>
  <c r="G31" i="10"/>
  <c r="F31" i="10"/>
  <c r="E31" i="10"/>
  <c r="D31" i="10"/>
  <c r="C31"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B30" i="10"/>
  <c r="O30" i="10"/>
  <c r="N30" i="10"/>
  <c r="M30" i="10"/>
  <c r="L30" i="10"/>
  <c r="K30" i="10"/>
  <c r="J30" i="10"/>
  <c r="I30" i="10"/>
  <c r="H30" i="10"/>
  <c r="G30" i="10"/>
  <c r="F30" i="10"/>
  <c r="E30" i="10"/>
  <c r="D30" i="10"/>
  <c r="C30" i="10"/>
  <c r="CD29" i="10"/>
  <c r="CC29" i="10"/>
  <c r="CB29" i="10"/>
  <c r="CA29" i="10"/>
  <c r="BZ29" i="10"/>
  <c r="BY29" i="10"/>
  <c r="BX29" i="10"/>
  <c r="BW29" i="10"/>
  <c r="BV29" i="10"/>
  <c r="BU29" i="10"/>
  <c r="BT29" i="10"/>
  <c r="BS29" i="10"/>
  <c r="BR29" i="10"/>
  <c r="BQ29" i="10"/>
  <c r="BP29" i="10"/>
  <c r="BO29" i="10"/>
  <c r="BN29" i="10"/>
  <c r="BM29" i="10"/>
  <c r="BL29" i="10"/>
  <c r="BK29" i="10"/>
  <c r="BJ29" i="10"/>
  <c r="BI29" i="10"/>
  <c r="BH29" i="10"/>
  <c r="BG29" i="10"/>
  <c r="BF29" i="10"/>
  <c r="BE29" i="10"/>
  <c r="BD29" i="10"/>
  <c r="BC29" i="10"/>
  <c r="BB29" i="10"/>
  <c r="BA29" i="10"/>
  <c r="AZ29" i="10"/>
  <c r="AY29" i="10"/>
  <c r="AX29" i="10"/>
  <c r="AW29" i="10"/>
  <c r="AV29" i="10"/>
  <c r="AU29" i="10"/>
  <c r="AT29" i="10"/>
  <c r="AS29" i="10"/>
  <c r="AR29" i="10"/>
  <c r="AQ29" i="10"/>
  <c r="AP29" i="10"/>
  <c r="AO29" i="10"/>
  <c r="AN29" i="10"/>
  <c r="AM29" i="10"/>
  <c r="AL29" i="10"/>
  <c r="AK29" i="10"/>
  <c r="AJ29" i="10"/>
  <c r="AI29" i="10"/>
  <c r="AH29" i="10"/>
  <c r="AG29" i="10"/>
  <c r="AF29" i="10"/>
  <c r="AE29" i="10"/>
  <c r="AD29" i="10"/>
  <c r="AB29" i="10"/>
  <c r="O29" i="10"/>
  <c r="N29" i="10"/>
  <c r="M29" i="10"/>
  <c r="L29" i="10"/>
  <c r="K29" i="10"/>
  <c r="J29" i="10"/>
  <c r="I29" i="10"/>
  <c r="H29" i="10"/>
  <c r="G29" i="10"/>
  <c r="F29" i="10"/>
  <c r="E29" i="10"/>
  <c r="D29" i="10"/>
  <c r="C29" i="10"/>
  <c r="CD28" i="10"/>
  <c r="CC28" i="10"/>
  <c r="CB28" i="10"/>
  <c r="CA28" i="10"/>
  <c r="BZ28" i="10"/>
  <c r="BY28" i="10"/>
  <c r="BX28" i="10"/>
  <c r="BW28" i="10"/>
  <c r="BV28" i="10"/>
  <c r="BU28" i="10"/>
  <c r="BT28" i="10"/>
  <c r="BS28" i="10"/>
  <c r="BR28" i="10"/>
  <c r="BQ28" i="10"/>
  <c r="BP28" i="10"/>
  <c r="BO28" i="10"/>
  <c r="BN28" i="10"/>
  <c r="BM28" i="10"/>
  <c r="BL28" i="10"/>
  <c r="BK28" i="10"/>
  <c r="BJ28" i="10"/>
  <c r="BI28" i="10"/>
  <c r="BH28" i="10"/>
  <c r="BG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B28" i="10"/>
  <c r="O28" i="10"/>
  <c r="N28" i="10"/>
  <c r="M28" i="10"/>
  <c r="L28" i="10"/>
  <c r="K28" i="10"/>
  <c r="J28" i="10"/>
  <c r="I28" i="10"/>
  <c r="H28" i="10"/>
  <c r="G28" i="10"/>
  <c r="F28" i="10"/>
  <c r="E28" i="10"/>
  <c r="D28" i="10"/>
  <c r="C28" i="10"/>
  <c r="CD27" i="10"/>
  <c r="CC27" i="10"/>
  <c r="CB27" i="10"/>
  <c r="CA27" i="10"/>
  <c r="BZ27" i="10"/>
  <c r="BY27" i="10"/>
  <c r="BX27" i="10"/>
  <c r="BW27" i="10"/>
  <c r="BV27" i="10"/>
  <c r="BU27" i="10"/>
  <c r="BT27" i="10"/>
  <c r="BS27" i="10"/>
  <c r="BR27" i="10"/>
  <c r="BQ27" i="10"/>
  <c r="BP27" i="10"/>
  <c r="BO27" i="10"/>
  <c r="BN27" i="10"/>
  <c r="BM27" i="10"/>
  <c r="BL27" i="10"/>
  <c r="BK27" i="10"/>
  <c r="BJ27" i="10"/>
  <c r="BI27" i="10"/>
  <c r="BH27" i="10"/>
  <c r="BG27" i="10"/>
  <c r="BF27" i="10"/>
  <c r="BE27" i="10"/>
  <c r="BD27" i="10"/>
  <c r="BC27" i="10"/>
  <c r="BB27" i="10"/>
  <c r="BA27" i="10"/>
  <c r="AZ27" i="10"/>
  <c r="AY27" i="10"/>
  <c r="AX27" i="10"/>
  <c r="AW27" i="10"/>
  <c r="AV27" i="10"/>
  <c r="AU27" i="10"/>
  <c r="AT27" i="10"/>
  <c r="AS27" i="10"/>
  <c r="AR27" i="10"/>
  <c r="AQ27" i="10"/>
  <c r="AP27" i="10"/>
  <c r="AO27" i="10"/>
  <c r="AN27" i="10"/>
  <c r="AM27" i="10"/>
  <c r="AL27" i="10"/>
  <c r="AK27" i="10"/>
  <c r="AJ27" i="10"/>
  <c r="AI27" i="10"/>
  <c r="AH27" i="10"/>
  <c r="AG27" i="10"/>
  <c r="AF27" i="10"/>
  <c r="AE27" i="10"/>
  <c r="AD27" i="10"/>
  <c r="AB27" i="10"/>
  <c r="O27" i="10"/>
  <c r="N27" i="10"/>
  <c r="M27" i="10"/>
  <c r="L27" i="10"/>
  <c r="K27" i="10"/>
  <c r="J27" i="10"/>
  <c r="I27" i="10"/>
  <c r="H27" i="10"/>
  <c r="G27" i="10"/>
  <c r="F27" i="10"/>
  <c r="E27" i="10"/>
  <c r="D27" i="10"/>
  <c r="C27"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26" i="10"/>
  <c r="AB26" i="10" s="1"/>
  <c r="Z26" i="10"/>
  <c r="Y26" i="10"/>
  <c r="X26" i="10"/>
  <c r="W26" i="10"/>
  <c r="V26" i="10"/>
  <c r="U26" i="10"/>
  <c r="T26" i="10"/>
  <c r="S26" i="10"/>
  <c r="R26" i="10"/>
  <c r="Q26" i="10"/>
  <c r="P26" i="10"/>
  <c r="O26" i="10"/>
  <c r="N26" i="10"/>
  <c r="M26" i="10"/>
  <c r="L26" i="10"/>
  <c r="K26" i="10"/>
  <c r="J26" i="10"/>
  <c r="I26" i="10"/>
  <c r="H26" i="10"/>
  <c r="G26" i="10"/>
  <c r="F26" i="10"/>
  <c r="E26" i="10"/>
  <c r="D26" i="10"/>
  <c r="C26" i="10"/>
  <c r="B26" i="10"/>
  <c r="AB23" i="10"/>
  <c r="CC20" i="10"/>
  <c r="CC22" i="10" s="1"/>
  <c r="CC23" i="10" s="1"/>
  <c r="BU20" i="10"/>
  <c r="BU21" i="10" s="1"/>
  <c r="BM20" i="10"/>
  <c r="BM22" i="10" s="1"/>
  <c r="BM23" i="10" s="1"/>
  <c r="BE20" i="10"/>
  <c r="BE22" i="10" s="1"/>
  <c r="BE23" i="10" s="1"/>
  <c r="AW20" i="10"/>
  <c r="AW22" i="10" s="1"/>
  <c r="AW23" i="10" s="1"/>
  <c r="AO20" i="10"/>
  <c r="AG20" i="10"/>
  <c r="AG21" i="10" s="1"/>
  <c r="AB22" i="10"/>
  <c r="N20" i="10"/>
  <c r="N22" i="10" s="1"/>
  <c r="N23" i="10" s="1"/>
  <c r="L20" i="10"/>
  <c r="P249" i="14" s="1"/>
  <c r="J20" i="10"/>
  <c r="H20" i="10"/>
  <c r="L249" i="14" s="1"/>
  <c r="F20" i="10"/>
  <c r="J249" i="14" s="1"/>
  <c r="D20" i="10"/>
  <c r="H249" i="14" s="1"/>
  <c r="BY20" i="10"/>
  <c r="BQ20" i="10"/>
  <c r="BI20" i="10"/>
  <c r="BI21" i="10" s="1"/>
  <c r="BA20" i="10"/>
  <c r="BA21" i="10" s="1"/>
  <c r="AS20" i="10"/>
  <c r="AS21" i="10" s="1"/>
  <c r="AK20" i="10"/>
  <c r="AK21" i="10" s="1"/>
  <c r="AC20" i="10"/>
  <c r="AB21" i="10"/>
  <c r="CD20" i="10"/>
  <c r="CB20" i="10"/>
  <c r="CB22" i="10" s="1"/>
  <c r="CB23" i="10" s="1"/>
  <c r="CA20" i="10"/>
  <c r="BZ20" i="10"/>
  <c r="BZ22" i="10" s="1"/>
  <c r="BZ23" i="10" s="1"/>
  <c r="BX20" i="10"/>
  <c r="BX21" i="10" s="1"/>
  <c r="BW20" i="10"/>
  <c r="BV20" i="10"/>
  <c r="BT20" i="10"/>
  <c r="BS20" i="10"/>
  <c r="BS21" i="10" s="1"/>
  <c r="BR20" i="10"/>
  <c r="BR22" i="10" s="1"/>
  <c r="BR23" i="10" s="1"/>
  <c r="BP20" i="10"/>
  <c r="BO20" i="10"/>
  <c r="BO22" i="10" s="1"/>
  <c r="BO23" i="10" s="1"/>
  <c r="BN20" i="10"/>
  <c r="BN22" i="10" s="1"/>
  <c r="BN23" i="10" s="1"/>
  <c r="BL20" i="10"/>
  <c r="BL21" i="10" s="1"/>
  <c r="BK20" i="10"/>
  <c r="BK22" i="10" s="1"/>
  <c r="BK23" i="10" s="1"/>
  <c r="BJ20" i="10"/>
  <c r="BJ21" i="10" s="1"/>
  <c r="BH20" i="10"/>
  <c r="BH21" i="10" s="1"/>
  <c r="BG20" i="10"/>
  <c r="BG21" i="10" s="1"/>
  <c r="BF20" i="10"/>
  <c r="BF22" i="10" s="1"/>
  <c r="BF23" i="10" s="1"/>
  <c r="BD20" i="10"/>
  <c r="BD21" i="10" s="1"/>
  <c r="BC20" i="10"/>
  <c r="BC21" i="10" s="1"/>
  <c r="BB20" i="10"/>
  <c r="BB21" i="10" s="1"/>
  <c r="AZ20" i="10"/>
  <c r="AY20" i="10"/>
  <c r="AX20" i="10"/>
  <c r="AX22" i="10" s="1"/>
  <c r="AX23" i="10" s="1"/>
  <c r="AV20" i="10"/>
  <c r="AU20" i="10"/>
  <c r="AU21" i="10" s="1"/>
  <c r="AT20" i="10"/>
  <c r="AT22" i="10" s="1"/>
  <c r="AT23" i="10" s="1"/>
  <c r="AR20" i="10"/>
  <c r="AR21" i="10" s="1"/>
  <c r="AQ20" i="10"/>
  <c r="AQ22" i="10" s="1"/>
  <c r="AQ23" i="10" s="1"/>
  <c r="AP20" i="10"/>
  <c r="AN20" i="10"/>
  <c r="AM20" i="10"/>
  <c r="AM22" i="10" s="1"/>
  <c r="AM23" i="10" s="1"/>
  <c r="AL20" i="10"/>
  <c r="AL21" i="10" s="1"/>
  <c r="AJ20" i="10"/>
  <c r="AI20" i="10"/>
  <c r="AI21" i="10" s="1"/>
  <c r="AH20" i="10"/>
  <c r="AH21" i="10" s="1"/>
  <c r="AF20" i="10"/>
  <c r="AF22" i="10" s="1"/>
  <c r="AF23" i="10" s="1"/>
  <c r="AE20" i="10"/>
  <c r="AD20" i="10"/>
  <c r="AB20" i="10"/>
  <c r="O20" i="10"/>
  <c r="O21" i="10" s="1"/>
  <c r="M20" i="10"/>
  <c r="K20" i="10"/>
  <c r="O249" i="14" s="1"/>
  <c r="I20" i="10"/>
  <c r="I21" i="10" s="1"/>
  <c r="G20" i="10"/>
  <c r="K249" i="14" s="1"/>
  <c r="E20" i="10"/>
  <c r="C20" i="10"/>
  <c r="B20" i="10"/>
  <c r="F249" i="14" s="1"/>
  <c r="CC15" i="10"/>
  <c r="CE15" i="11" s="1"/>
  <c r="CC14" i="10"/>
  <c r="CE14" i="11" s="1"/>
  <c r="CD3" i="10"/>
  <c r="CC3" i="10"/>
  <c r="CB3" i="10"/>
  <c r="CA3" i="10"/>
  <c r="BZ3" i="10"/>
  <c r="BY3" i="10"/>
  <c r="BX3" i="10"/>
  <c r="BW3" i="10"/>
  <c r="BV3" i="10"/>
  <c r="BU3" i="10"/>
  <c r="BT3" i="10"/>
  <c r="BS3" i="10"/>
  <c r="BR3" i="10"/>
  <c r="BQ3" i="10"/>
  <c r="BP3" i="10"/>
  <c r="BO3" i="10"/>
  <c r="BN3" i="10"/>
  <c r="BM3" i="10"/>
  <c r="BL3" i="10"/>
  <c r="BK3" i="10"/>
  <c r="BJ3" i="10"/>
  <c r="BI3" i="10"/>
  <c r="BH3" i="10"/>
  <c r="BG3" i="10"/>
  <c r="BF3" i="10"/>
  <c r="BE3" i="10"/>
  <c r="BD3" i="10"/>
  <c r="BC3" i="10"/>
  <c r="BB3" i="10"/>
  <c r="BA3" i="10"/>
  <c r="AZ3" i="10"/>
  <c r="AY3" i="10"/>
  <c r="AX3" i="10"/>
  <c r="AW3" i="10"/>
  <c r="AV3" i="10"/>
  <c r="AU3" i="10"/>
  <c r="AT3" i="10"/>
  <c r="AS3" i="10"/>
  <c r="AR3" i="10"/>
  <c r="AQ3" i="10"/>
  <c r="AP3" i="10"/>
  <c r="AO3" i="10"/>
  <c r="AN3" i="10"/>
  <c r="AM3" i="10"/>
  <c r="AL3" i="10"/>
  <c r="AK3" i="10"/>
  <c r="AJ3" i="10"/>
  <c r="AI3" i="10"/>
  <c r="AH3" i="10"/>
  <c r="AG3" i="10"/>
  <c r="AF3" i="10"/>
  <c r="AE3" i="10"/>
  <c r="AD3" i="10"/>
  <c r="AC3" i="10"/>
  <c r="Z3" i="10"/>
  <c r="Y3" i="10"/>
  <c r="X3" i="10"/>
  <c r="W3" i="10"/>
  <c r="V3" i="10"/>
  <c r="U3" i="10"/>
  <c r="T3" i="10"/>
  <c r="S3" i="10"/>
  <c r="R3" i="10"/>
  <c r="Q3" i="10"/>
  <c r="P3" i="10"/>
  <c r="O3" i="10"/>
  <c r="N3" i="10"/>
  <c r="M3" i="10"/>
  <c r="L3" i="10"/>
  <c r="K3" i="10"/>
  <c r="J3" i="10"/>
  <c r="I3" i="10"/>
  <c r="H3" i="10"/>
  <c r="G3" i="10"/>
  <c r="F3" i="10"/>
  <c r="E3" i="10"/>
  <c r="D3" i="10"/>
  <c r="C3" i="10"/>
  <c r="B3" i="10"/>
  <c r="A3" i="10"/>
  <c r="AB3" i="10" s="1"/>
  <c r="AB1" i="10"/>
  <c r="AB211" i="10" s="1"/>
  <c r="AB251" i="10" s="1"/>
  <c r="CE315" i="9"/>
  <c r="CE314" i="9"/>
  <c r="CE313" i="9"/>
  <c r="CE312" i="9"/>
  <c r="CE311" i="9"/>
  <c r="CB275" i="9"/>
  <c r="CB311" i="9" s="1"/>
  <c r="BZ275" i="9"/>
  <c r="BZ311" i="9" s="1"/>
  <c r="CE310" i="9"/>
  <c r="CE309" i="9"/>
  <c r="CB279" i="9"/>
  <c r="CB309" i="9" s="1"/>
  <c r="BX279" i="9"/>
  <c r="BX309" i="9" s="1"/>
  <c r="CE308" i="9"/>
  <c r="CC299" i="9"/>
  <c r="CC308" i="9" s="1"/>
  <c r="BY299" i="9"/>
  <c r="BY308" i="9" s="1"/>
  <c r="BU299" i="9"/>
  <c r="BU308" i="9" s="1"/>
  <c r="BQ299" i="9"/>
  <c r="BQ308" i="9" s="1"/>
  <c r="BM299" i="9"/>
  <c r="BM308" i="9" s="1"/>
  <c r="BI299" i="9"/>
  <c r="BI308" i="9" s="1"/>
  <c r="CE307" i="9"/>
  <c r="CE306" i="9"/>
  <c r="CE305" i="9"/>
  <c r="CD305" i="9"/>
  <c r="CE304" i="9"/>
  <c r="CD304" i="9"/>
  <c r="BV304" i="9"/>
  <c r="CE303" i="9"/>
  <c r="CD303" i="9"/>
  <c r="BZ303" i="9"/>
  <c r="BV303" i="9"/>
  <c r="CE302" i="9"/>
  <c r="CD302" i="9"/>
  <c r="BV302" i="9"/>
  <c r="CE301" i="9"/>
  <c r="BW283" i="9"/>
  <c r="CE300" i="9"/>
  <c r="CD299" i="9"/>
  <c r="CD308" i="9" s="1"/>
  <c r="CB299" i="9"/>
  <c r="CB308" i="9" s="1"/>
  <c r="CA299" i="9"/>
  <c r="CA308" i="9" s="1"/>
  <c r="BZ299" i="9"/>
  <c r="BZ308" i="9" s="1"/>
  <c r="BX299" i="9"/>
  <c r="BX308" i="9" s="1"/>
  <c r="BW299" i="9"/>
  <c r="BW308" i="9" s="1"/>
  <c r="BV299" i="9"/>
  <c r="BV308" i="9" s="1"/>
  <c r="BT299" i="9"/>
  <c r="BT308" i="9" s="1"/>
  <c r="BS299" i="9"/>
  <c r="BS308" i="9" s="1"/>
  <c r="BR299" i="9"/>
  <c r="BR308" i="9" s="1"/>
  <c r="BP299" i="9"/>
  <c r="BP308" i="9" s="1"/>
  <c r="BO299" i="9"/>
  <c r="BO308" i="9" s="1"/>
  <c r="BN299" i="9"/>
  <c r="BN308" i="9" s="1"/>
  <c r="BL299" i="9"/>
  <c r="BL308" i="9" s="1"/>
  <c r="BK299" i="9"/>
  <c r="BK308" i="9" s="1"/>
  <c r="BJ299" i="9"/>
  <c r="BJ308" i="9" s="1"/>
  <c r="BH299" i="9"/>
  <c r="BH308" i="9" s="1"/>
  <c r="BG299" i="9"/>
  <c r="BG308" i="9" s="1"/>
  <c r="BF299" i="9"/>
  <c r="BF308" i="9" s="1"/>
  <c r="BE299" i="9"/>
  <c r="BD299" i="9"/>
  <c r="BC299" i="9"/>
  <c r="BB299" i="9"/>
  <c r="BA299" i="9"/>
  <c r="AZ299" i="9"/>
  <c r="AY299" i="9"/>
  <c r="AX299" i="9"/>
  <c r="AW299" i="9"/>
  <c r="AV299" i="9"/>
  <c r="AU299" i="9"/>
  <c r="AT299" i="9"/>
  <c r="AS299" i="9"/>
  <c r="AR299" i="9"/>
  <c r="AQ299" i="9"/>
  <c r="AP299" i="9"/>
  <c r="AO299" i="9"/>
  <c r="AN299" i="9"/>
  <c r="AM299" i="9"/>
  <c r="AL299" i="9"/>
  <c r="AK299" i="9"/>
  <c r="AJ299" i="9"/>
  <c r="AI299" i="9"/>
  <c r="AH299" i="9"/>
  <c r="AG299" i="9"/>
  <c r="AF299" i="9"/>
  <c r="AE299" i="9"/>
  <c r="AD299" i="9"/>
  <c r="AC299" i="9"/>
  <c r="CE296" i="9"/>
  <c r="CE295" i="9"/>
  <c r="BT295" i="9"/>
  <c r="BS295" i="9"/>
  <c r="BR295" i="9"/>
  <c r="BQ295" i="9"/>
  <c r="BP295" i="9"/>
  <c r="BO295" i="9"/>
  <c r="BN295" i="9"/>
  <c r="BM295" i="9"/>
  <c r="BL295" i="9"/>
  <c r="BK295" i="9"/>
  <c r="BJ295" i="9"/>
  <c r="BI295" i="9"/>
  <c r="BH295" i="9"/>
  <c r="BG295" i="9"/>
  <c r="BF295" i="9"/>
  <c r="BE295" i="9"/>
  <c r="BD295" i="9"/>
  <c r="BC295" i="9"/>
  <c r="BB295" i="9"/>
  <c r="CD294" i="9"/>
  <c r="CC294" i="9"/>
  <c r="CB294" i="9"/>
  <c r="CA294" i="9"/>
  <c r="BZ294" i="9"/>
  <c r="BY294" i="9"/>
  <c r="BX294" i="9"/>
  <c r="BW294" i="9"/>
  <c r="BV294" i="9"/>
  <c r="BU294" i="9"/>
  <c r="BT294" i="9"/>
  <c r="BS294" i="9"/>
  <c r="BR294" i="9"/>
  <c r="BQ294" i="9"/>
  <c r="BP294" i="9"/>
  <c r="BO294" i="9"/>
  <c r="BN294" i="9"/>
  <c r="BM294" i="9"/>
  <c r="BL294" i="9"/>
  <c r="BK294" i="9"/>
  <c r="BJ294" i="9"/>
  <c r="BI294" i="9"/>
  <c r="BH294" i="9"/>
  <c r="BG294" i="9"/>
  <c r="BF294" i="9"/>
  <c r="BE294" i="9"/>
  <c r="BD294" i="9"/>
  <c r="BC294" i="9"/>
  <c r="BB294" i="9"/>
  <c r="BA294" i="9"/>
  <c r="AZ294" i="9"/>
  <c r="AY294" i="9"/>
  <c r="AX294" i="9"/>
  <c r="AW294" i="9"/>
  <c r="AV294" i="9"/>
  <c r="AU294" i="9"/>
  <c r="AT294" i="9"/>
  <c r="AS294" i="9"/>
  <c r="AR294" i="9"/>
  <c r="AQ294" i="9"/>
  <c r="AP294" i="9"/>
  <c r="AO294" i="9"/>
  <c r="AN294" i="9"/>
  <c r="AM294" i="9"/>
  <c r="AL294" i="9"/>
  <c r="AK294" i="9"/>
  <c r="AJ294" i="9"/>
  <c r="AI294" i="9"/>
  <c r="AH294" i="9"/>
  <c r="AG294" i="9"/>
  <c r="AF294" i="9"/>
  <c r="AE294" i="9"/>
  <c r="AD294" i="9"/>
  <c r="AC294" i="9"/>
  <c r="CE290" i="9"/>
  <c r="CE289" i="9"/>
  <c r="CE288" i="9"/>
  <c r="BZ288" i="9"/>
  <c r="BV288" i="9"/>
  <c r="BW288" i="9" s="1"/>
  <c r="CE287" i="9"/>
  <c r="BZ287" i="9"/>
  <c r="CB307" i="11" s="1"/>
  <c r="BW287" i="9"/>
  <c r="BW304" i="9" s="1"/>
  <c r="CE286" i="9"/>
  <c r="CA286" i="9"/>
  <c r="CA303" i="9" s="1"/>
  <c r="BW286" i="9"/>
  <c r="BW303" i="9" s="1"/>
  <c r="CE285" i="9"/>
  <c r="CD285" i="9"/>
  <c r="CC285" i="9"/>
  <c r="CB285" i="9"/>
  <c r="CA285" i="9"/>
  <c r="BZ285" i="9"/>
  <c r="BY285" i="9"/>
  <c r="BX285" i="9"/>
  <c r="BW285" i="9"/>
  <c r="BV285" i="9"/>
  <c r="BU285" i="9"/>
  <c r="CE284" i="9"/>
  <c r="BZ284" i="9"/>
  <c r="BZ302" i="9" s="1"/>
  <c r="BW284" i="9"/>
  <c r="BX284" i="9" s="1"/>
  <c r="BX302" i="9" s="1"/>
  <c r="CE283" i="9"/>
  <c r="CD283" i="9"/>
  <c r="CC122" i="9"/>
  <c r="CC283" i="9" s="1"/>
  <c r="CC301" i="9" s="1"/>
  <c r="CB283" i="9"/>
  <c r="CB301" i="9" s="1"/>
  <c r="CA283" i="9"/>
  <c r="CA301" i="9" s="1"/>
  <c r="BZ283" i="9"/>
  <c r="BZ301" i="9" s="1"/>
  <c r="BX283" i="9"/>
  <c r="BX301" i="9" s="1"/>
  <c r="BV283" i="9"/>
  <c r="BV301" i="9" s="1"/>
  <c r="BU283" i="9"/>
  <c r="BU301" i="9" s="1"/>
  <c r="CE282" i="9"/>
  <c r="BV234" i="9"/>
  <c r="BV282" i="9" s="1"/>
  <c r="CE281" i="9"/>
  <c r="CE280" i="9"/>
  <c r="CE279" i="9"/>
  <c r="CD279" i="9"/>
  <c r="CD309" i="9" s="1"/>
  <c r="CC279" i="9"/>
  <c r="CC309" i="9" s="1"/>
  <c r="CA279" i="9"/>
  <c r="CA309" i="9" s="1"/>
  <c r="BZ279" i="9"/>
  <c r="BZ309" i="9" s="1"/>
  <c r="BY279" i="9"/>
  <c r="BW279" i="9"/>
  <c r="BV279" i="9"/>
  <c r="BU279" i="9"/>
  <c r="BU309" i="9" s="1"/>
  <c r="CE278" i="9"/>
  <c r="CE277" i="9"/>
  <c r="CE276" i="9"/>
  <c r="CD276" i="9"/>
  <c r="CC276" i="9"/>
  <c r="CB276" i="9"/>
  <c r="CA276" i="9"/>
  <c r="CA223" i="9"/>
  <c r="CA274" i="9" s="1"/>
  <c r="CA275" i="9"/>
  <c r="CA311" i="9" s="1"/>
  <c r="BZ276" i="9"/>
  <c r="BY276" i="9"/>
  <c r="BX276" i="9"/>
  <c r="BW276" i="9"/>
  <c r="BV276" i="9"/>
  <c r="BU276" i="9"/>
  <c r="CE275" i="9"/>
  <c r="CD275" i="9"/>
  <c r="CD311" i="9" s="1"/>
  <c r="CC275" i="9"/>
  <c r="CC311" i="9" s="1"/>
  <c r="BY275" i="9"/>
  <c r="BY311" i="9" s="1"/>
  <c r="BX275" i="9"/>
  <c r="BX311" i="9" s="1"/>
  <c r="BX223" i="9"/>
  <c r="BX274" i="9" s="1"/>
  <c r="BW275" i="9"/>
  <c r="BV275" i="9"/>
  <c r="BU275" i="9"/>
  <c r="BU311" i="9" s="1"/>
  <c r="CE274" i="9"/>
  <c r="BZ223" i="9"/>
  <c r="BZ274" i="9" s="1"/>
  <c r="N273" i="9"/>
  <c r="P273" i="9" s="1"/>
  <c r="CD272" i="9"/>
  <c r="CC272" i="9"/>
  <c r="CB272" i="9"/>
  <c r="CA272" i="9"/>
  <c r="BZ272" i="9"/>
  <c r="BY272" i="9"/>
  <c r="BX272" i="9"/>
  <c r="BW272" i="9"/>
  <c r="BV272" i="9"/>
  <c r="BU272" i="9"/>
  <c r="BT272" i="9"/>
  <c r="BS272" i="9"/>
  <c r="BR272" i="9"/>
  <c r="BQ272" i="9"/>
  <c r="BP272" i="9"/>
  <c r="BO272" i="9"/>
  <c r="BN272" i="9"/>
  <c r="BM272" i="9"/>
  <c r="BL272" i="9"/>
  <c r="BK272" i="9"/>
  <c r="BJ272" i="9"/>
  <c r="BI272" i="9"/>
  <c r="BH272" i="9"/>
  <c r="BG272" i="9"/>
  <c r="BF272" i="9"/>
  <c r="BE272" i="9"/>
  <c r="BD272" i="9"/>
  <c r="BC272" i="9"/>
  <c r="BB272" i="9"/>
  <c r="BA272" i="9"/>
  <c r="AZ272" i="9"/>
  <c r="AY272" i="9"/>
  <c r="AX272" i="9"/>
  <c r="AW272" i="9"/>
  <c r="AV272" i="9"/>
  <c r="AU272" i="9"/>
  <c r="AT272" i="9"/>
  <c r="AS272" i="9"/>
  <c r="AR272" i="9"/>
  <c r="AQ272" i="9"/>
  <c r="AP272" i="9"/>
  <c r="AO272" i="9"/>
  <c r="AN272" i="9"/>
  <c r="AM272" i="9"/>
  <c r="AL272" i="9"/>
  <c r="AK272" i="9"/>
  <c r="AJ272" i="9"/>
  <c r="AI272" i="9"/>
  <c r="AH272" i="9"/>
  <c r="AG272" i="9"/>
  <c r="AF272" i="9"/>
  <c r="AE272" i="9"/>
  <c r="AD272" i="9"/>
  <c r="AC272" i="9"/>
  <c r="N272" i="9"/>
  <c r="P272" i="9" s="1"/>
  <c r="N271" i="9"/>
  <c r="Q271" i="9" s="1"/>
  <c r="N269" i="9"/>
  <c r="N268" i="9"/>
  <c r="N267" i="9"/>
  <c r="N266" i="9"/>
  <c r="AB265" i="9"/>
  <c r="N265" i="9"/>
  <c r="AC264" i="9"/>
  <c r="AB264" i="9"/>
  <c r="Z264" i="9"/>
  <c r="Y264" i="9"/>
  <c r="X264" i="9"/>
  <c r="W264" i="9"/>
  <c r="V264" i="9"/>
  <c r="U264" i="9"/>
  <c r="T264" i="9"/>
  <c r="S264" i="9"/>
  <c r="R264" i="9"/>
  <c r="Q264" i="9"/>
  <c r="P264" i="9"/>
  <c r="AB263" i="9"/>
  <c r="AC262" i="9"/>
  <c r="AB262" i="9"/>
  <c r="AB261" i="9"/>
  <c r="P257" i="9"/>
  <c r="P261" i="9" s="1"/>
  <c r="AC260" i="9"/>
  <c r="AB260" i="9"/>
  <c r="AC259" i="9"/>
  <c r="AB259" i="9"/>
  <c r="AB258" i="9"/>
  <c r="AC257" i="9"/>
  <c r="AB257" i="9"/>
  <c r="Z257" i="9"/>
  <c r="Z261" i="9" s="1"/>
  <c r="Z179" i="9" s="1"/>
  <c r="Y257" i="9"/>
  <c r="Y261" i="9" s="1"/>
  <c r="Y179" i="9" s="1"/>
  <c r="X257" i="9"/>
  <c r="X261" i="9" s="1"/>
  <c r="X179" i="9" s="1"/>
  <c r="W257" i="9"/>
  <c r="W261" i="9" s="1"/>
  <c r="W179" i="9" s="1"/>
  <c r="V257" i="9"/>
  <c r="V261" i="9" s="1"/>
  <c r="V179" i="9" s="1"/>
  <c r="U257" i="9"/>
  <c r="U261" i="9" s="1"/>
  <c r="T257" i="9"/>
  <c r="T261" i="9" s="1"/>
  <c r="T179" i="9" s="1"/>
  <c r="S257" i="9"/>
  <c r="S261" i="9" s="1"/>
  <c r="S179" i="9" s="1"/>
  <c r="R257" i="9"/>
  <c r="R261" i="9" s="1"/>
  <c r="R179" i="9" s="1"/>
  <c r="Q257" i="9"/>
  <c r="Q261" i="9" s="1"/>
  <c r="AC256" i="9"/>
  <c r="AB256" i="9"/>
  <c r="CE251" i="9"/>
  <c r="Z251" i="9"/>
  <c r="Y251" i="9"/>
  <c r="X251" i="9"/>
  <c r="W251" i="9"/>
  <c r="V251" i="9"/>
  <c r="U251" i="9"/>
  <c r="T251" i="9"/>
  <c r="S251" i="9"/>
  <c r="R251" i="9"/>
  <c r="Q251" i="9"/>
  <c r="P251" i="9"/>
  <c r="CE250" i="9"/>
  <c r="CB250" i="9"/>
  <c r="Y244" i="9"/>
  <c r="Y248" i="9" s="1"/>
  <c r="Y178" i="9" s="1"/>
  <c r="U244" i="9"/>
  <c r="U248" i="9" s="1"/>
  <c r="U178" i="9" s="1"/>
  <c r="Q244" i="9"/>
  <c r="Q248" i="9" s="1"/>
  <c r="CE245" i="9"/>
  <c r="BA245" i="9"/>
  <c r="AZ245" i="9"/>
  <c r="AY245" i="9"/>
  <c r="AX245" i="9"/>
  <c r="AW245" i="9"/>
  <c r="AV245" i="9"/>
  <c r="AU245" i="9"/>
  <c r="AT245" i="9"/>
  <c r="AS245" i="9"/>
  <c r="AR245" i="9"/>
  <c r="AQ245" i="9"/>
  <c r="AP245" i="9"/>
  <c r="AO245" i="9"/>
  <c r="AN245" i="9"/>
  <c r="AM245" i="9"/>
  <c r="AL245" i="9"/>
  <c r="AK245" i="9"/>
  <c r="AJ245" i="9"/>
  <c r="AI245" i="9"/>
  <c r="AH245" i="9"/>
  <c r="AG245" i="9"/>
  <c r="AF245" i="9"/>
  <c r="AE245" i="9"/>
  <c r="AD245" i="9"/>
  <c r="AC245" i="9"/>
  <c r="CE244" i="9"/>
  <c r="BA244" i="9"/>
  <c r="AZ244" i="9"/>
  <c r="AY244" i="9"/>
  <c r="AX244" i="9"/>
  <c r="AW244" i="9"/>
  <c r="AV244" i="9"/>
  <c r="AU244" i="9"/>
  <c r="AT244" i="9"/>
  <c r="AS244" i="9"/>
  <c r="AR244" i="9"/>
  <c r="AQ244" i="9"/>
  <c r="AP244" i="9"/>
  <c r="AO244" i="9"/>
  <c r="AN244" i="9"/>
  <c r="AM244" i="9"/>
  <c r="AL244" i="9"/>
  <c r="AK244" i="9"/>
  <c r="AJ244" i="9"/>
  <c r="AI244" i="9"/>
  <c r="AH244" i="9"/>
  <c r="AG244" i="9"/>
  <c r="AF244" i="9"/>
  <c r="AE244" i="9"/>
  <c r="AD244" i="9"/>
  <c r="AC244" i="9"/>
  <c r="Z244" i="9"/>
  <c r="Z248" i="9" s="1"/>
  <c r="Z178" i="9" s="1"/>
  <c r="X244" i="9"/>
  <c r="X248" i="9" s="1"/>
  <c r="X178" i="9" s="1"/>
  <c r="W244" i="9"/>
  <c r="W248" i="9" s="1"/>
  <c r="W178" i="9" s="1"/>
  <c r="V244" i="9"/>
  <c r="V248" i="9" s="1"/>
  <c r="V178" i="9" s="1"/>
  <c r="T244" i="9"/>
  <c r="T248" i="9" s="1"/>
  <c r="T178" i="9" s="1"/>
  <c r="S244" i="9"/>
  <c r="S248" i="9" s="1"/>
  <c r="S178" i="9" s="1"/>
  <c r="R244" i="9"/>
  <c r="R248" i="9" s="1"/>
  <c r="R178" i="9" s="1"/>
  <c r="P244" i="9"/>
  <c r="P248" i="9" s="1"/>
  <c r="P178" i="9" s="1"/>
  <c r="P171" i="11" s="1"/>
  <c r="T113" i="14" s="1"/>
  <c r="CE243" i="9"/>
  <c r="BA243" i="9"/>
  <c r="AZ243" i="9"/>
  <c r="AY243" i="9"/>
  <c r="AX243" i="9"/>
  <c r="AW243" i="9"/>
  <c r="AV243" i="9"/>
  <c r="AU243" i="9"/>
  <c r="AT243" i="9"/>
  <c r="AS243" i="9"/>
  <c r="AR243" i="9"/>
  <c r="AQ243" i="9"/>
  <c r="AP243" i="9"/>
  <c r="AO243" i="9"/>
  <c r="AN243" i="9"/>
  <c r="AM243" i="9"/>
  <c r="AL243" i="9"/>
  <c r="AK243" i="9"/>
  <c r="AJ243" i="9"/>
  <c r="AI243" i="9"/>
  <c r="AH243" i="9"/>
  <c r="AG243" i="9"/>
  <c r="AF243" i="9"/>
  <c r="AE243" i="9"/>
  <c r="AD243" i="9"/>
  <c r="AC243" i="9"/>
  <c r="CE242" i="9"/>
  <c r="BD242" i="9"/>
  <c r="BC242" i="9"/>
  <c r="BB242" i="9"/>
  <c r="BA242" i="9"/>
  <c r="AZ242" i="9"/>
  <c r="AY242" i="9"/>
  <c r="AX242" i="9"/>
  <c r="AW242" i="9"/>
  <c r="AV242" i="9"/>
  <c r="AU242" i="9"/>
  <c r="AT242" i="9"/>
  <c r="AS242" i="9"/>
  <c r="AR242" i="9"/>
  <c r="AQ242" i="9"/>
  <c r="AP242" i="9"/>
  <c r="AO242" i="9"/>
  <c r="AN242" i="9"/>
  <c r="AM242" i="9"/>
  <c r="AL242" i="9"/>
  <c r="AK242" i="9"/>
  <c r="AJ242" i="9"/>
  <c r="AI242" i="9"/>
  <c r="AH242" i="9"/>
  <c r="AG242" i="9"/>
  <c r="AF242" i="9"/>
  <c r="AE242" i="9"/>
  <c r="AD242" i="9"/>
  <c r="AC242" i="9"/>
  <c r="CE241" i="9"/>
  <c r="BA241" i="9"/>
  <c r="AZ241" i="9"/>
  <c r="AY241" i="9"/>
  <c r="AX241" i="9"/>
  <c r="AW241" i="9"/>
  <c r="AV241" i="9"/>
  <c r="AU241" i="9"/>
  <c r="AT241" i="9"/>
  <c r="AS241" i="9"/>
  <c r="AR241" i="9"/>
  <c r="AQ241" i="9"/>
  <c r="AP241" i="9"/>
  <c r="AO241" i="9"/>
  <c r="AN241" i="9"/>
  <c r="AM241" i="9"/>
  <c r="AL241" i="9"/>
  <c r="AK241" i="9"/>
  <c r="AJ241" i="9"/>
  <c r="AI241" i="9"/>
  <c r="AH241" i="9"/>
  <c r="AG241" i="9"/>
  <c r="AF241" i="9"/>
  <c r="AE241" i="9"/>
  <c r="AD241" i="9"/>
  <c r="AC241" i="9"/>
  <c r="CE240" i="9"/>
  <c r="BA240" i="9"/>
  <c r="AZ240" i="9"/>
  <c r="AY240" i="9"/>
  <c r="AX240" i="9"/>
  <c r="AW240" i="9"/>
  <c r="AV240" i="9"/>
  <c r="AU240" i="9"/>
  <c r="AT240" i="9"/>
  <c r="AS240" i="9"/>
  <c r="AR240" i="9"/>
  <c r="AQ240" i="9"/>
  <c r="AP240" i="9"/>
  <c r="AO240" i="9"/>
  <c r="AN240" i="9"/>
  <c r="AM240" i="9"/>
  <c r="AL240" i="9"/>
  <c r="AK240" i="9"/>
  <c r="AJ240" i="9"/>
  <c r="AI240" i="9"/>
  <c r="AH240" i="9"/>
  <c r="AG240" i="9"/>
  <c r="AF240" i="9"/>
  <c r="AE240" i="9"/>
  <c r="AD240" i="9"/>
  <c r="AC240" i="9"/>
  <c r="CE239" i="9"/>
  <c r="BA239" i="9"/>
  <c r="AZ239" i="9"/>
  <c r="AY239" i="9"/>
  <c r="AX239" i="9"/>
  <c r="AW239" i="9"/>
  <c r="AV239" i="9"/>
  <c r="AU239" i="9"/>
  <c r="AT239" i="9"/>
  <c r="AS239" i="9"/>
  <c r="AR239" i="9"/>
  <c r="AQ239" i="9"/>
  <c r="AP239" i="9"/>
  <c r="AO239" i="9"/>
  <c r="AN239" i="9"/>
  <c r="AM239" i="9"/>
  <c r="AL239" i="9"/>
  <c r="AK239" i="9"/>
  <c r="AJ239" i="9"/>
  <c r="AI239" i="9"/>
  <c r="AH239" i="9"/>
  <c r="AG239" i="9"/>
  <c r="AF239" i="9"/>
  <c r="AE239" i="9"/>
  <c r="AD239" i="9"/>
  <c r="AC239" i="9"/>
  <c r="CE238" i="9"/>
  <c r="BD238" i="9"/>
  <c r="BC238" i="9"/>
  <c r="BB238" i="9"/>
  <c r="BA238" i="9"/>
  <c r="AZ238" i="9"/>
  <c r="AY238" i="9"/>
  <c r="AX238" i="9"/>
  <c r="AW238" i="9"/>
  <c r="AV238" i="9"/>
  <c r="AU238" i="9"/>
  <c r="AT238" i="9"/>
  <c r="AS238" i="9"/>
  <c r="AR238" i="9"/>
  <c r="AQ238" i="9"/>
  <c r="AP238" i="9"/>
  <c r="AO238" i="9"/>
  <c r="AN238" i="9"/>
  <c r="AM238" i="9"/>
  <c r="AL238" i="9"/>
  <c r="AK238" i="9"/>
  <c r="AJ238" i="9"/>
  <c r="AI238" i="9"/>
  <c r="AH238" i="9"/>
  <c r="AG238" i="9"/>
  <c r="AF238" i="9"/>
  <c r="AE238" i="9"/>
  <c r="AD238" i="9"/>
  <c r="AC238" i="9"/>
  <c r="Z238" i="9"/>
  <c r="Y238" i="9"/>
  <c r="X238" i="9"/>
  <c r="W238" i="9"/>
  <c r="V238" i="9"/>
  <c r="U238" i="9"/>
  <c r="T238" i="9"/>
  <c r="S238" i="9"/>
  <c r="R238" i="9"/>
  <c r="Q238" i="9"/>
  <c r="P238" i="9"/>
  <c r="CE235" i="9"/>
  <c r="CE234" i="9"/>
  <c r="CD234" i="9"/>
  <c r="CD282" i="9" s="1"/>
  <c r="CD300" i="9" s="1"/>
  <c r="CB234" i="9"/>
  <c r="CB282" i="9" s="1"/>
  <c r="CA234" i="9"/>
  <c r="CA282" i="9" s="1"/>
  <c r="CA300" i="9" s="1"/>
  <c r="BZ234" i="9"/>
  <c r="BZ282" i="9" s="1"/>
  <c r="BX234" i="9"/>
  <c r="BX282" i="9" s="1"/>
  <c r="BX300" i="9" s="1"/>
  <c r="BW234" i="9"/>
  <c r="BW282" i="9" s="1"/>
  <c r="BW300" i="9" s="1"/>
  <c r="BT234" i="9"/>
  <c r="CE231" i="9"/>
  <c r="CE230" i="9"/>
  <c r="CE229" i="9"/>
  <c r="CE228" i="9"/>
  <c r="CE227" i="9"/>
  <c r="CE226" i="9"/>
  <c r="BV223" i="9"/>
  <c r="BV226" i="9" s="1"/>
  <c r="BV228" i="9" s="1"/>
  <c r="BV230" i="9" s="1"/>
  <c r="BF223" i="9"/>
  <c r="BF226" i="9" s="1"/>
  <c r="BF228" i="9" s="1"/>
  <c r="BF230" i="9" s="1"/>
  <c r="CE225" i="9"/>
  <c r="CE224" i="9"/>
  <c r="CE223" i="9"/>
  <c r="CD223" i="9"/>
  <c r="CC223" i="9"/>
  <c r="CB223" i="9"/>
  <c r="CB274" i="9" s="1"/>
  <c r="BY223" i="9"/>
  <c r="BY274" i="9" s="1"/>
  <c r="BW223" i="9"/>
  <c r="BW226" i="9" s="1"/>
  <c r="BU223" i="9"/>
  <c r="BT223" i="9"/>
  <c r="BT226" i="9" s="1"/>
  <c r="BT228" i="9" s="1"/>
  <c r="BT230" i="9" s="1"/>
  <c r="BS223" i="9"/>
  <c r="BR223" i="9"/>
  <c r="BR226" i="9" s="1"/>
  <c r="BQ223" i="9"/>
  <c r="BQ226" i="9" s="1"/>
  <c r="BP223" i="9"/>
  <c r="BP226" i="9" s="1"/>
  <c r="BP231" i="9" s="1"/>
  <c r="BO223" i="9"/>
  <c r="BO226" i="9" s="1"/>
  <c r="BO228" i="9" s="1"/>
  <c r="BO230" i="9" s="1"/>
  <c r="BN223" i="9"/>
  <c r="BN226" i="9" s="1"/>
  <c r="BN231" i="9" s="1"/>
  <c r="BM223" i="9"/>
  <c r="BM226" i="9" s="1"/>
  <c r="BM231" i="9" s="1"/>
  <c r="BL223" i="9"/>
  <c r="BL226" i="9" s="1"/>
  <c r="BK223" i="9"/>
  <c r="BK226" i="9" s="1"/>
  <c r="BK228" i="9" s="1"/>
  <c r="BK230" i="9" s="1"/>
  <c r="BJ223" i="9"/>
  <c r="BJ226" i="9" s="1"/>
  <c r="BJ228" i="9" s="1"/>
  <c r="BJ230" i="9" s="1"/>
  <c r="BI223" i="9"/>
  <c r="BI226" i="9" s="1"/>
  <c r="BH223" i="9"/>
  <c r="BH226" i="9" s="1"/>
  <c r="BH228" i="9" s="1"/>
  <c r="BH230" i="9" s="1"/>
  <c r="BG223" i="9"/>
  <c r="BG226" i="9" s="1"/>
  <c r="BG231" i="9" s="1"/>
  <c r="BE223" i="9"/>
  <c r="BE226" i="9" s="1"/>
  <c r="BD223" i="9"/>
  <c r="BC223" i="9"/>
  <c r="BC243" i="9" s="1"/>
  <c r="BB223" i="9"/>
  <c r="BB226" i="9" s="1"/>
  <c r="N223" i="9"/>
  <c r="N226" i="9" s="1"/>
  <c r="N228" i="9" s="1"/>
  <c r="N230" i="9" s="1"/>
  <c r="R235" i="14" s="1"/>
  <c r="M223" i="9"/>
  <c r="M226" i="9" s="1"/>
  <c r="M228" i="9" s="1"/>
  <c r="M230" i="9" s="1"/>
  <c r="CE222" i="9"/>
  <c r="CE221" i="9"/>
  <c r="CE220" i="9"/>
  <c r="R220" i="9"/>
  <c r="S220" i="9" s="1"/>
  <c r="CE219" i="9"/>
  <c r="CE218" i="9"/>
  <c r="CD217" i="9"/>
  <c r="AC255" i="9" s="1"/>
  <c r="CC217" i="9"/>
  <c r="CB217" i="9"/>
  <c r="CA217" i="9"/>
  <c r="BZ217" i="9"/>
  <c r="BY217" i="9"/>
  <c r="BX217" i="9"/>
  <c r="BW217" i="9"/>
  <c r="BV217" i="9"/>
  <c r="BU217" i="9"/>
  <c r="BT217" i="9"/>
  <c r="BS217" i="9"/>
  <c r="BR217" i="9"/>
  <c r="BQ217" i="9"/>
  <c r="BP217" i="9"/>
  <c r="BO217" i="9"/>
  <c r="BN217" i="9"/>
  <c r="BM217" i="9"/>
  <c r="BL217" i="9"/>
  <c r="BK217" i="9"/>
  <c r="BJ217" i="9"/>
  <c r="BI217" i="9"/>
  <c r="BH217" i="9"/>
  <c r="BG217" i="9"/>
  <c r="BF217" i="9"/>
  <c r="BE217" i="9"/>
  <c r="BD217" i="9"/>
  <c r="BC217" i="9"/>
  <c r="BB217" i="9"/>
  <c r="BA217" i="9"/>
  <c r="AZ217" i="9"/>
  <c r="AY217" i="9"/>
  <c r="AX217" i="9"/>
  <c r="AW217" i="9"/>
  <c r="AV217" i="9"/>
  <c r="AU217" i="9"/>
  <c r="AT217" i="9"/>
  <c r="AS217" i="9"/>
  <c r="AR217" i="9"/>
  <c r="AQ217" i="9"/>
  <c r="AP217" i="9"/>
  <c r="AO217" i="9"/>
  <c r="AN217" i="9"/>
  <c r="AM217" i="9"/>
  <c r="AL217" i="9"/>
  <c r="AK217" i="9"/>
  <c r="AJ217" i="9"/>
  <c r="AI217" i="9"/>
  <c r="AH217" i="9"/>
  <c r="AG217" i="9"/>
  <c r="AF217" i="9"/>
  <c r="AE217" i="9"/>
  <c r="AD217" i="9"/>
  <c r="AC217" i="9"/>
  <c r="Z217" i="9"/>
  <c r="Y217" i="9"/>
  <c r="X217" i="9"/>
  <c r="W217" i="9"/>
  <c r="V217" i="9"/>
  <c r="U217" i="9"/>
  <c r="T217" i="9"/>
  <c r="S217" i="9"/>
  <c r="R217" i="9"/>
  <c r="Q217" i="9"/>
  <c r="P217" i="9"/>
  <c r="O217" i="9"/>
  <c r="N217" i="9"/>
  <c r="M217" i="9"/>
  <c r="L217" i="9"/>
  <c r="K217" i="9"/>
  <c r="J217" i="9"/>
  <c r="I217" i="9"/>
  <c r="H217" i="9"/>
  <c r="G217" i="9"/>
  <c r="F217" i="9"/>
  <c r="E217" i="9"/>
  <c r="D217" i="9"/>
  <c r="C217" i="9"/>
  <c r="B217" i="9"/>
  <c r="A217" i="9"/>
  <c r="P177" i="9"/>
  <c r="P211" i="9" s="1"/>
  <c r="O211" i="9"/>
  <c r="N211" i="9"/>
  <c r="M211" i="9"/>
  <c r="T210" i="9"/>
  <c r="S210" i="9"/>
  <c r="R210" i="9"/>
  <c r="Q210" i="9"/>
  <c r="P210" i="9"/>
  <c r="O210" i="9"/>
  <c r="N210" i="9"/>
  <c r="M210" i="9"/>
  <c r="Z209" i="9"/>
  <c r="Y209" i="9"/>
  <c r="X209" i="9"/>
  <c r="W209" i="9"/>
  <c r="V209" i="9"/>
  <c r="U209" i="9"/>
  <c r="T209" i="9"/>
  <c r="S209" i="9"/>
  <c r="R209" i="9"/>
  <c r="Q209" i="9"/>
  <c r="P209" i="9"/>
  <c r="O209" i="9"/>
  <c r="N209" i="9"/>
  <c r="M209" i="9"/>
  <c r="L209" i="9"/>
  <c r="K209" i="9"/>
  <c r="J209" i="9"/>
  <c r="I209" i="9"/>
  <c r="H209" i="9"/>
  <c r="G209" i="9"/>
  <c r="F209" i="9"/>
  <c r="E209" i="9"/>
  <c r="D209" i="9"/>
  <c r="C209" i="9"/>
  <c r="B209" i="9"/>
  <c r="A209" i="9"/>
  <c r="N204" i="9"/>
  <c r="N198" i="9"/>
  <c r="N188" i="11" s="1"/>
  <c r="R28" i="14" s="1"/>
  <c r="M198" i="9"/>
  <c r="M188" i="11" s="1"/>
  <c r="Q28" i="14" s="1"/>
  <c r="M194" i="9"/>
  <c r="M203" i="9" s="1"/>
  <c r="Z192" i="9"/>
  <c r="Y192" i="9"/>
  <c r="X192" i="9"/>
  <c r="W192" i="9"/>
  <c r="V192" i="9"/>
  <c r="U192" i="9"/>
  <c r="T192" i="9"/>
  <c r="S192" i="9"/>
  <c r="R192" i="9"/>
  <c r="Q192" i="9"/>
  <c r="P192" i="9"/>
  <c r="O192" i="9"/>
  <c r="N192" i="9"/>
  <c r="M192" i="9"/>
  <c r="L192" i="9"/>
  <c r="K192" i="9"/>
  <c r="J192" i="9"/>
  <c r="I192" i="9"/>
  <c r="H192" i="9"/>
  <c r="G192" i="9"/>
  <c r="F192" i="9"/>
  <c r="E192" i="9"/>
  <c r="D192" i="9"/>
  <c r="C192" i="9"/>
  <c r="B192" i="9"/>
  <c r="A192" i="9"/>
  <c r="P184" i="9"/>
  <c r="O184" i="9"/>
  <c r="O180" i="9"/>
  <c r="N180" i="9"/>
  <c r="M180" i="9"/>
  <c r="O179" i="9"/>
  <c r="N179" i="9"/>
  <c r="O178" i="9"/>
  <c r="N178" i="9"/>
  <c r="M178" i="9"/>
  <c r="O175" i="9"/>
  <c r="N175" i="9"/>
  <c r="M175" i="9"/>
  <c r="O174" i="9"/>
  <c r="N174" i="9"/>
  <c r="M174" i="9"/>
  <c r="Z172" i="9"/>
  <c r="Y172" i="9"/>
  <c r="X172" i="9"/>
  <c r="W172" i="9"/>
  <c r="V172" i="9"/>
  <c r="U172" i="9"/>
  <c r="T172" i="9"/>
  <c r="S172" i="9"/>
  <c r="R172" i="9"/>
  <c r="Q172" i="9"/>
  <c r="P172" i="9"/>
  <c r="O172" i="9"/>
  <c r="N172" i="9"/>
  <c r="M172" i="9"/>
  <c r="L172" i="9"/>
  <c r="K172" i="9"/>
  <c r="J172" i="9"/>
  <c r="I172" i="9"/>
  <c r="H172" i="9"/>
  <c r="G172" i="9"/>
  <c r="F172" i="9"/>
  <c r="E172" i="9"/>
  <c r="D172" i="9"/>
  <c r="C172" i="9"/>
  <c r="B172" i="9"/>
  <c r="A172" i="9"/>
  <c r="Z168" i="9"/>
  <c r="O167" i="9"/>
  <c r="N167" i="9"/>
  <c r="O157" i="9"/>
  <c r="O159" i="9" s="1"/>
  <c r="M157" i="9"/>
  <c r="M159" i="9" s="1"/>
  <c r="M195" i="9" s="1"/>
  <c r="O150" i="9"/>
  <c r="N150" i="9"/>
  <c r="M150" i="9"/>
  <c r="N113" i="9"/>
  <c r="R38" i="14" s="1"/>
  <c r="Z148" i="9"/>
  <c r="Y148" i="9"/>
  <c r="X148" i="9"/>
  <c r="W148" i="9"/>
  <c r="V148" i="9"/>
  <c r="U148" i="9"/>
  <c r="T148" i="9"/>
  <c r="S148" i="9"/>
  <c r="R148" i="9"/>
  <c r="Q148" i="9"/>
  <c r="P148" i="9"/>
  <c r="O148" i="9"/>
  <c r="N148" i="9"/>
  <c r="M148" i="9"/>
  <c r="L148" i="9"/>
  <c r="K148" i="9"/>
  <c r="J148" i="9"/>
  <c r="I148" i="9"/>
  <c r="H148" i="9"/>
  <c r="G148" i="9"/>
  <c r="F148" i="9"/>
  <c r="E148" i="9"/>
  <c r="D148" i="9"/>
  <c r="C148" i="9"/>
  <c r="B148" i="9"/>
  <c r="A148" i="9"/>
  <c r="N142" i="9"/>
  <c r="M142" i="9"/>
  <c r="L142" i="9"/>
  <c r="N136" i="9"/>
  <c r="M136" i="9"/>
  <c r="L136" i="9"/>
  <c r="L137" i="9" s="1"/>
  <c r="CD124" i="9"/>
  <c r="CB124" i="9"/>
  <c r="CA124" i="9"/>
  <c r="BZ124" i="9"/>
  <c r="BX124" i="9"/>
  <c r="BW124" i="9"/>
  <c r="BV124" i="9"/>
  <c r="BY122" i="9"/>
  <c r="BY283" i="9" s="1"/>
  <c r="BY301" i="9" s="1"/>
  <c r="BW286" i="11"/>
  <c r="BW304" i="11" s="1"/>
  <c r="CD121" i="9"/>
  <c r="CB121" i="9"/>
  <c r="CA121" i="9"/>
  <c r="BZ121" i="9"/>
  <c r="BY121" i="9"/>
  <c r="BY118" i="9"/>
  <c r="O118" i="9"/>
  <c r="N118" i="9"/>
  <c r="N114" i="11" s="1"/>
  <c r="M118" i="9"/>
  <c r="M114" i="11" s="1"/>
  <c r="CC115" i="9"/>
  <c r="BY115" i="9"/>
  <c r="BY111" i="10"/>
  <c r="BY112" i="10" s="1"/>
  <c r="BY113" i="10" s="1"/>
  <c r="O113" i="9"/>
  <c r="C499" i="8" s="1"/>
  <c r="M113" i="9"/>
  <c r="M149" i="9" s="1"/>
  <c r="L113" i="9"/>
  <c r="CD111" i="9"/>
  <c r="CC111" i="9"/>
  <c r="CB111" i="9"/>
  <c r="CA111" i="9"/>
  <c r="BZ111" i="9"/>
  <c r="BY111" i="9"/>
  <c r="BX111" i="9"/>
  <c r="BW111" i="9"/>
  <c r="BV111" i="9"/>
  <c r="BU111" i="9"/>
  <c r="BT111" i="9"/>
  <c r="BS111" i="9"/>
  <c r="BR111" i="9"/>
  <c r="BQ111" i="9"/>
  <c r="BP111" i="9"/>
  <c r="BO111" i="9"/>
  <c r="BN111" i="9"/>
  <c r="BM111" i="9"/>
  <c r="BL111" i="9"/>
  <c r="BK111" i="9"/>
  <c r="BJ111" i="9"/>
  <c r="BI111" i="9"/>
  <c r="BH111" i="9"/>
  <c r="BG111" i="9"/>
  <c r="BF111" i="9"/>
  <c r="BE111" i="9"/>
  <c r="BD111" i="9"/>
  <c r="BC111" i="9"/>
  <c r="BB111" i="9"/>
  <c r="BA111" i="9"/>
  <c r="AZ111" i="9"/>
  <c r="AY111" i="9"/>
  <c r="AX111" i="9"/>
  <c r="AW111" i="9"/>
  <c r="AV111" i="9"/>
  <c r="AU111" i="9"/>
  <c r="AT111" i="9"/>
  <c r="AS111" i="9"/>
  <c r="AR111" i="9"/>
  <c r="AQ111" i="9"/>
  <c r="AP111" i="9"/>
  <c r="AO111" i="9"/>
  <c r="AN111" i="9"/>
  <c r="AM111" i="9"/>
  <c r="AL111" i="9"/>
  <c r="AK111" i="9"/>
  <c r="AJ111" i="9"/>
  <c r="AI111" i="9"/>
  <c r="AH111" i="9"/>
  <c r="AG111" i="9"/>
  <c r="AF111" i="9"/>
  <c r="AE111" i="9"/>
  <c r="AD111" i="9"/>
  <c r="AC111" i="9"/>
  <c r="Z111" i="9"/>
  <c r="Q36" i="12" s="1"/>
  <c r="Y111" i="9"/>
  <c r="P36" i="12" s="1"/>
  <c r="X111" i="9"/>
  <c r="O36" i="12" s="1"/>
  <c r="W111" i="9"/>
  <c r="N36" i="12" s="1"/>
  <c r="V111" i="9"/>
  <c r="M36" i="12" s="1"/>
  <c r="U111" i="9"/>
  <c r="L36" i="12" s="1"/>
  <c r="T111" i="9"/>
  <c r="K36" i="12" s="1"/>
  <c r="S111" i="9"/>
  <c r="J36" i="12" s="1"/>
  <c r="R111" i="9"/>
  <c r="I36" i="12" s="1"/>
  <c r="Q111" i="9"/>
  <c r="H36" i="12" s="1"/>
  <c r="P111" i="9"/>
  <c r="G36" i="12" s="1"/>
  <c r="O111" i="9"/>
  <c r="F36" i="12" s="1"/>
  <c r="N111" i="9"/>
  <c r="E36" i="12" s="1"/>
  <c r="M111" i="9"/>
  <c r="D36" i="12" s="1"/>
  <c r="L111" i="9"/>
  <c r="C36" i="12" s="1"/>
  <c r="K111" i="9"/>
  <c r="B36" i="12" s="1"/>
  <c r="J111" i="9"/>
  <c r="I111" i="9"/>
  <c r="H111" i="9"/>
  <c r="G111" i="9"/>
  <c r="F111" i="9"/>
  <c r="E111" i="9"/>
  <c r="D111" i="9"/>
  <c r="C111" i="9"/>
  <c r="B111" i="9"/>
  <c r="A111" i="9"/>
  <c r="AB111" i="9" s="1"/>
  <c r="BG94" i="9"/>
  <c r="BF23" i="9"/>
  <c r="BG23" i="9"/>
  <c r="BG25" i="9" s="1"/>
  <c r="BG26" i="9" s="1"/>
  <c r="CD108" i="9"/>
  <c r="CB108" i="9"/>
  <c r="CA108" i="9"/>
  <c r="BZ108" i="9"/>
  <c r="BX108" i="9"/>
  <c r="BW108" i="9"/>
  <c r="BV108" i="9"/>
  <c r="BU108" i="9"/>
  <c r="BT108" i="9"/>
  <c r="BS108" i="9"/>
  <c r="BR108" i="9"/>
  <c r="BQ108" i="9"/>
  <c r="BP108" i="9"/>
  <c r="BO108" i="9"/>
  <c r="BN108" i="9"/>
  <c r="BM108" i="9"/>
  <c r="BL108" i="9"/>
  <c r="BK108" i="9"/>
  <c r="BJ108" i="9"/>
  <c r="BI108" i="9"/>
  <c r="BH108" i="9"/>
  <c r="BG108" i="9"/>
  <c r="BF108" i="9"/>
  <c r="BE108" i="9"/>
  <c r="BD108" i="9"/>
  <c r="BC108" i="9"/>
  <c r="O108" i="9"/>
  <c r="N108" i="9"/>
  <c r="M108" i="9"/>
  <c r="L108" i="9"/>
  <c r="CD107" i="9"/>
  <c r="CB107" i="9"/>
  <c r="CA107" i="9"/>
  <c r="BZ107" i="9"/>
  <c r="BX107" i="9"/>
  <c r="BW107" i="9"/>
  <c r="BV107" i="9"/>
  <c r="BU107" i="9"/>
  <c r="BT107" i="9"/>
  <c r="BS107" i="9"/>
  <c r="BR107" i="9"/>
  <c r="BQ107" i="9"/>
  <c r="BP107" i="9"/>
  <c r="BO107" i="9"/>
  <c r="BN107" i="9"/>
  <c r="BM107" i="9"/>
  <c r="BL107" i="9"/>
  <c r="BK107" i="9"/>
  <c r="BJ107" i="9"/>
  <c r="BI107" i="9"/>
  <c r="BH107" i="9"/>
  <c r="BG107" i="9"/>
  <c r="BF107" i="9"/>
  <c r="BE107" i="9"/>
  <c r="BD107" i="9"/>
  <c r="BC107" i="9"/>
  <c r="O107" i="9"/>
  <c r="N107" i="9"/>
  <c r="M107" i="9"/>
  <c r="L107" i="9"/>
  <c r="CD106" i="9"/>
  <c r="CB106" i="9"/>
  <c r="CA106" i="9"/>
  <c r="BZ106" i="9"/>
  <c r="BX106" i="9"/>
  <c r="BW106" i="9"/>
  <c r="BV106" i="9"/>
  <c r="BU106" i="9"/>
  <c r="BT106" i="9"/>
  <c r="BS106" i="9"/>
  <c r="BR106" i="9"/>
  <c r="BQ106" i="9"/>
  <c r="BP106" i="9"/>
  <c r="BO106" i="9"/>
  <c r="BN106" i="9"/>
  <c r="BM106" i="9"/>
  <c r="BL106" i="9"/>
  <c r="BK106" i="9"/>
  <c r="BJ106" i="9"/>
  <c r="BI106" i="9"/>
  <c r="BH106" i="9"/>
  <c r="BG106" i="9"/>
  <c r="BF106" i="9"/>
  <c r="BE106" i="9"/>
  <c r="BD106" i="9"/>
  <c r="BC106" i="9"/>
  <c r="O106" i="9"/>
  <c r="N106" i="9"/>
  <c r="M106" i="9"/>
  <c r="L106" i="9"/>
  <c r="BK94" i="9"/>
  <c r="BK103" i="9" s="1"/>
  <c r="BE94" i="9"/>
  <c r="BE104" i="9" s="1"/>
  <c r="N94" i="9"/>
  <c r="N103" i="9" s="1"/>
  <c r="BW94" i="9"/>
  <c r="CD94" i="9"/>
  <c r="BC94" i="9"/>
  <c r="L94" i="9"/>
  <c r="L102" i="9" s="1"/>
  <c r="BO94" i="9"/>
  <c r="BO101" i="9" s="1"/>
  <c r="CD98" i="9"/>
  <c r="CB98" i="9"/>
  <c r="CA98" i="9"/>
  <c r="BZ98" i="9"/>
  <c r="BX98" i="9"/>
  <c r="BW98" i="9"/>
  <c r="BV98" i="9"/>
  <c r="BU98" i="9"/>
  <c r="BT98" i="9"/>
  <c r="BS98" i="9"/>
  <c r="BR98" i="9"/>
  <c r="BQ98" i="9"/>
  <c r="BP98" i="9"/>
  <c r="BO98" i="9"/>
  <c r="BN98" i="9"/>
  <c r="BM98" i="9"/>
  <c r="BL98" i="9"/>
  <c r="BK98" i="9"/>
  <c r="BJ98" i="9"/>
  <c r="BI98" i="9"/>
  <c r="BH98" i="9"/>
  <c r="BG98" i="9"/>
  <c r="BF98" i="9"/>
  <c r="BE98" i="9"/>
  <c r="BD98" i="9"/>
  <c r="BC98" i="9"/>
  <c r="BB98" i="9"/>
  <c r="O98" i="9"/>
  <c r="N98" i="9"/>
  <c r="M98" i="9"/>
  <c r="CD97" i="9"/>
  <c r="CB97" i="9"/>
  <c r="CA97" i="9"/>
  <c r="BZ97" i="9"/>
  <c r="BX97" i="9"/>
  <c r="BW97" i="9"/>
  <c r="BV97" i="9"/>
  <c r="BU97" i="9"/>
  <c r="BT97" i="9"/>
  <c r="BS97" i="9"/>
  <c r="BR97" i="9"/>
  <c r="BQ97" i="9"/>
  <c r="BP97" i="9"/>
  <c r="BO97" i="9"/>
  <c r="BN97" i="9"/>
  <c r="BM97" i="9"/>
  <c r="BL97" i="9"/>
  <c r="BK97" i="9"/>
  <c r="BJ97" i="9"/>
  <c r="BI97" i="9"/>
  <c r="BH97" i="9"/>
  <c r="BG97" i="9"/>
  <c r="BF97" i="9"/>
  <c r="BE97" i="9"/>
  <c r="BD97" i="9"/>
  <c r="BC97" i="9"/>
  <c r="BB97" i="9"/>
  <c r="O97" i="9"/>
  <c r="N97" i="9"/>
  <c r="M97" i="9"/>
  <c r="CD96" i="9"/>
  <c r="CC91" i="9"/>
  <c r="BY91" i="9"/>
  <c r="BY106" i="9" s="1"/>
  <c r="CB96" i="9"/>
  <c r="CA96" i="9"/>
  <c r="BZ96" i="9"/>
  <c r="BX96" i="9"/>
  <c r="BW96" i="9"/>
  <c r="BV96" i="9"/>
  <c r="BU96" i="9"/>
  <c r="BT96" i="9"/>
  <c r="BS96" i="9"/>
  <c r="BR96" i="9"/>
  <c r="BQ96" i="9"/>
  <c r="BP96" i="9"/>
  <c r="BO96" i="9"/>
  <c r="BN96" i="9"/>
  <c r="BM96" i="9"/>
  <c r="BL96" i="9"/>
  <c r="BK96" i="9"/>
  <c r="BJ96" i="9"/>
  <c r="BI96" i="9"/>
  <c r="BH96" i="9"/>
  <c r="BG96" i="9"/>
  <c r="BF96" i="9"/>
  <c r="BE96" i="9"/>
  <c r="BD96" i="9"/>
  <c r="BC96" i="9"/>
  <c r="BB96" i="9"/>
  <c r="O96" i="9"/>
  <c r="N96" i="9"/>
  <c r="M96" i="9"/>
  <c r="CB94" i="9"/>
  <c r="CA94" i="9"/>
  <c r="CA102" i="9" s="1"/>
  <c r="BZ94" i="9"/>
  <c r="BZ102" i="9" s="1"/>
  <c r="BX94" i="9"/>
  <c r="BX104" i="9" s="1"/>
  <c r="BV94" i="9"/>
  <c r="BV103" i="9" s="1"/>
  <c r="BU94" i="9"/>
  <c r="BT94" i="9"/>
  <c r="BT104" i="9" s="1"/>
  <c r="BS94" i="9"/>
  <c r="BS104" i="9" s="1"/>
  <c r="BQ94" i="9"/>
  <c r="BQ101" i="9" s="1"/>
  <c r="BM94" i="9"/>
  <c r="BM101" i="9" s="1"/>
  <c r="BL94" i="9"/>
  <c r="BL101" i="9" s="1"/>
  <c r="BJ94" i="9"/>
  <c r="BJ103" i="9" s="1"/>
  <c r="BI94" i="9"/>
  <c r="BI103" i="9" s="1"/>
  <c r="BH94" i="9"/>
  <c r="BH104" i="9" s="1"/>
  <c r="BF94" i="9"/>
  <c r="BF103" i="9" s="1"/>
  <c r="BD94" i="9"/>
  <c r="BD102" i="9" s="1"/>
  <c r="BB94" i="9"/>
  <c r="BB103" i="9" s="1"/>
  <c r="BA94" i="9"/>
  <c r="AZ94" i="9"/>
  <c r="AY94" i="9"/>
  <c r="AX94" i="9"/>
  <c r="AZ94" i="11" s="1"/>
  <c r="AW94" i="9"/>
  <c r="AV94" i="9"/>
  <c r="AU94" i="9"/>
  <c r="AT94" i="9"/>
  <c r="AS94" i="9"/>
  <c r="AR94" i="9"/>
  <c r="AQ94" i="9"/>
  <c r="AP94" i="9"/>
  <c r="AO94" i="9"/>
  <c r="AN94" i="9"/>
  <c r="AM94" i="9"/>
  <c r="AL94" i="9"/>
  <c r="AK94" i="9"/>
  <c r="AJ94" i="9"/>
  <c r="AI94" i="9"/>
  <c r="AH94" i="9"/>
  <c r="AG94" i="9"/>
  <c r="AF94" i="9"/>
  <c r="AE94" i="9"/>
  <c r="AD94" i="9"/>
  <c r="AC94" i="9"/>
  <c r="O94" i="9"/>
  <c r="O104" i="9" s="1"/>
  <c r="M94" i="9"/>
  <c r="CC93" i="9"/>
  <c r="CC108" i="9" s="1"/>
  <c r="BY93" i="9"/>
  <c r="CC92" i="9"/>
  <c r="BY92" i="9"/>
  <c r="BY97" i="9" s="1"/>
  <c r="O78" i="9"/>
  <c r="N78" i="9"/>
  <c r="M78" i="9"/>
  <c r="L78" i="9"/>
  <c r="O76" i="9"/>
  <c r="N76" i="9"/>
  <c r="M76" i="9"/>
  <c r="L76" i="9"/>
  <c r="CD74" i="9"/>
  <c r="CB74" i="9"/>
  <c r="CA74" i="9"/>
  <c r="BZ74" i="9"/>
  <c r="O74" i="9"/>
  <c r="N74" i="9"/>
  <c r="M74" i="9"/>
  <c r="CD73" i="9"/>
  <c r="CC73" i="9"/>
  <c r="CB73" i="9"/>
  <c r="CA73" i="9"/>
  <c r="BZ73" i="9"/>
  <c r="BY73" i="9"/>
  <c r="BX73" i="9"/>
  <c r="BW73" i="9"/>
  <c r="BV73" i="9"/>
  <c r="BU73" i="9"/>
  <c r="BT73" i="9"/>
  <c r="BS73" i="9"/>
  <c r="BR73" i="9"/>
  <c r="BQ73" i="9"/>
  <c r="BP73" i="9"/>
  <c r="BO73" i="9"/>
  <c r="BN73" i="9"/>
  <c r="BM73" i="9"/>
  <c r="BL73" i="9"/>
  <c r="BK73" i="9"/>
  <c r="BJ73" i="9"/>
  <c r="BI73" i="9"/>
  <c r="BH73" i="9"/>
  <c r="BG73" i="9"/>
  <c r="BF73" i="9"/>
  <c r="BE73" i="9"/>
  <c r="BD73" i="9"/>
  <c r="BC73" i="9"/>
  <c r="BB73" i="9"/>
  <c r="CD72" i="9"/>
  <c r="CC68" i="9"/>
  <c r="CC67" i="9" s="1"/>
  <c r="BY68" i="9"/>
  <c r="BY67" i="9" s="1"/>
  <c r="CB72" i="9"/>
  <c r="CA72" i="9"/>
  <c r="BZ72" i="9"/>
  <c r="O72" i="9"/>
  <c r="N72" i="9"/>
  <c r="M72" i="9"/>
  <c r="CC70" i="9"/>
  <c r="BY70" i="9"/>
  <c r="O69" i="9"/>
  <c r="S225" i="14" s="1"/>
  <c r="N69" i="9"/>
  <c r="M69" i="9"/>
  <c r="Q225" i="14" s="1"/>
  <c r="L69" i="9"/>
  <c r="BX72" i="9"/>
  <c r="BK66" i="9"/>
  <c r="BK68" i="9" s="1"/>
  <c r="CD67" i="9"/>
  <c r="CB67" i="9"/>
  <c r="CA67" i="9"/>
  <c r="BZ67" i="9"/>
  <c r="BX67" i="9"/>
  <c r="BW67" i="9"/>
  <c r="BV67" i="9"/>
  <c r="O67" i="9"/>
  <c r="N67" i="9"/>
  <c r="M67" i="9"/>
  <c r="CD66" i="9"/>
  <c r="CC66" i="9"/>
  <c r="CB66" i="9"/>
  <c r="CA66" i="9"/>
  <c r="BZ66" i="9"/>
  <c r="BY66" i="9"/>
  <c r="BX66" i="9"/>
  <c r="BW66" i="9"/>
  <c r="BV66" i="9"/>
  <c r="BU66" i="9"/>
  <c r="BT66" i="9"/>
  <c r="BS66" i="9"/>
  <c r="BR66" i="9"/>
  <c r="BR68" i="9" s="1"/>
  <c r="BN66" i="9"/>
  <c r="BN68" i="9" s="1"/>
  <c r="BQ66" i="9"/>
  <c r="BQ68" i="9" s="1"/>
  <c r="BP66" i="9"/>
  <c r="BP68" i="9" s="1"/>
  <c r="BO66" i="9"/>
  <c r="BO68" i="9" s="1"/>
  <c r="BM66" i="9"/>
  <c r="BM68" i="9" s="1"/>
  <c r="BL66" i="9"/>
  <c r="BL68" i="9" s="1"/>
  <c r="BJ66" i="9"/>
  <c r="BJ68" i="9" s="1"/>
  <c r="BI66" i="9"/>
  <c r="BI68" i="9" s="1"/>
  <c r="BH66" i="9"/>
  <c r="BH68" i="9" s="1"/>
  <c r="BG66" i="9"/>
  <c r="BG68" i="9" s="1"/>
  <c r="BF66" i="9"/>
  <c r="BF68" i="9" s="1"/>
  <c r="BE66" i="9"/>
  <c r="BE68" i="9" s="1"/>
  <c r="BD66" i="9"/>
  <c r="BD68" i="9" s="1"/>
  <c r="BC66" i="9"/>
  <c r="BC68" i="9" s="1"/>
  <c r="BB66" i="9"/>
  <c r="BB68" i="9" s="1"/>
  <c r="O66" i="9"/>
  <c r="N66" i="9"/>
  <c r="M66" i="9"/>
  <c r="L66" i="9"/>
  <c r="K66" i="9"/>
  <c r="K68" i="9" s="1"/>
  <c r="L72" i="9" s="1"/>
  <c r="J66" i="9"/>
  <c r="J68" i="9" s="1"/>
  <c r="I66" i="9"/>
  <c r="I68" i="9" s="1"/>
  <c r="H66" i="9"/>
  <c r="H68" i="9" s="1"/>
  <c r="G66" i="9"/>
  <c r="G68" i="9" s="1"/>
  <c r="BQ63" i="9"/>
  <c r="BP63" i="9"/>
  <c r="BO63" i="9"/>
  <c r="BN63" i="9"/>
  <c r="BM63" i="9"/>
  <c r="BL63" i="9"/>
  <c r="BK63" i="9"/>
  <c r="BJ63" i="9"/>
  <c r="BI63" i="9"/>
  <c r="BH63" i="9"/>
  <c r="BG63" i="9"/>
  <c r="BF63" i="9"/>
  <c r="K63" i="9"/>
  <c r="J63" i="9"/>
  <c r="I63" i="9"/>
  <c r="H63" i="9"/>
  <c r="BZ62" i="9"/>
  <c r="BY62" i="9"/>
  <c r="BX62" i="9"/>
  <c r="BW62" i="9"/>
  <c r="BV62" i="9"/>
  <c r="O61" i="9"/>
  <c r="N61" i="9"/>
  <c r="M61" i="9"/>
  <c r="CD56" i="9"/>
  <c r="CC56" i="9"/>
  <c r="CB56" i="9"/>
  <c r="CA56" i="9"/>
  <c r="BZ56" i="9"/>
  <c r="BY56" i="9"/>
  <c r="BX56" i="9"/>
  <c r="BW56" i="9"/>
  <c r="BV56" i="9"/>
  <c r="BU56" i="9"/>
  <c r="BT56" i="9"/>
  <c r="BS56" i="9"/>
  <c r="BR56" i="9"/>
  <c r="BQ56" i="9"/>
  <c r="BP56" i="9"/>
  <c r="BO56" i="9"/>
  <c r="BN56" i="9"/>
  <c r="BM56" i="9"/>
  <c r="BL56" i="9"/>
  <c r="BK56" i="9"/>
  <c r="BJ56" i="9"/>
  <c r="BI56" i="9"/>
  <c r="BH56" i="9"/>
  <c r="BG56" i="9"/>
  <c r="BF56" i="9"/>
  <c r="BE56" i="9"/>
  <c r="BD56" i="9"/>
  <c r="BC56" i="9"/>
  <c r="BB56"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Z56" i="9"/>
  <c r="Y56" i="9"/>
  <c r="X56" i="9"/>
  <c r="W56" i="9"/>
  <c r="V56" i="9"/>
  <c r="U56" i="9"/>
  <c r="T56" i="9"/>
  <c r="S56" i="9"/>
  <c r="Q56" i="9"/>
  <c r="P56" i="9"/>
  <c r="O56" i="9"/>
  <c r="N56" i="9"/>
  <c r="M56" i="9"/>
  <c r="L56" i="9"/>
  <c r="K56" i="9"/>
  <c r="J56" i="9"/>
  <c r="I56" i="9"/>
  <c r="H56" i="9"/>
  <c r="G56" i="9"/>
  <c r="F56" i="9"/>
  <c r="E56" i="9"/>
  <c r="D56" i="9"/>
  <c r="C56" i="9"/>
  <c r="B56" i="9"/>
  <c r="A56" i="9"/>
  <c r="AB56" i="9" s="1"/>
  <c r="CD52" i="9"/>
  <c r="CC52" i="9"/>
  <c r="CB52" i="9"/>
  <c r="CA52" i="9"/>
  <c r="BZ52" i="9"/>
  <c r="BY52" i="9"/>
  <c r="BX52" i="9"/>
  <c r="BW52" i="9"/>
  <c r="BV52" i="9"/>
  <c r="BU52" i="9"/>
  <c r="BT52" i="9"/>
  <c r="BS52" i="9"/>
  <c r="BR52" i="9"/>
  <c r="BQ52" i="9"/>
  <c r="BP52" i="9"/>
  <c r="BO52" i="9"/>
  <c r="BN52" i="9"/>
  <c r="BM52"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AG52" i="9"/>
  <c r="AF52" i="9"/>
  <c r="AE52" i="9"/>
  <c r="AD52" i="9"/>
  <c r="AB52" i="9"/>
  <c r="O52" i="9"/>
  <c r="N52" i="9"/>
  <c r="M52" i="9"/>
  <c r="L52" i="9"/>
  <c r="K52" i="9"/>
  <c r="J52" i="9"/>
  <c r="I52" i="9"/>
  <c r="H52" i="9"/>
  <c r="G52" i="9"/>
  <c r="F52" i="9"/>
  <c r="E52" i="9"/>
  <c r="D52" i="9"/>
  <c r="C52"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B51" i="9"/>
  <c r="O51" i="9"/>
  <c r="N51" i="9"/>
  <c r="M51" i="9"/>
  <c r="L51" i="9"/>
  <c r="K51" i="9"/>
  <c r="J51" i="9"/>
  <c r="I51" i="9"/>
  <c r="H51" i="9"/>
  <c r="G51" i="9"/>
  <c r="F51" i="9"/>
  <c r="E51" i="9"/>
  <c r="D51" i="9"/>
  <c r="C51"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B50" i="9"/>
  <c r="O50" i="9"/>
  <c r="N50" i="9"/>
  <c r="M50" i="9"/>
  <c r="L50" i="9"/>
  <c r="K50" i="9"/>
  <c r="J50" i="9"/>
  <c r="I50" i="9"/>
  <c r="H50" i="9"/>
  <c r="G50" i="9"/>
  <c r="F50" i="9"/>
  <c r="E50" i="9"/>
  <c r="D50" i="9"/>
  <c r="C50"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B49" i="9"/>
  <c r="O49" i="9"/>
  <c r="N49" i="9"/>
  <c r="M49" i="9"/>
  <c r="L49" i="9"/>
  <c r="K49" i="9"/>
  <c r="J49" i="9"/>
  <c r="I49" i="9"/>
  <c r="H49" i="9"/>
  <c r="G49" i="9"/>
  <c r="F49" i="9"/>
  <c r="E49" i="9"/>
  <c r="D49" i="9"/>
  <c r="C49"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B48" i="9"/>
  <c r="P48" i="9"/>
  <c r="O48" i="9"/>
  <c r="N48" i="9"/>
  <c r="M48" i="9"/>
  <c r="L48" i="9"/>
  <c r="K48" i="9"/>
  <c r="J48" i="9"/>
  <c r="I48" i="9"/>
  <c r="H48" i="9"/>
  <c r="G48" i="9"/>
  <c r="F48" i="9"/>
  <c r="E48" i="9"/>
  <c r="D48" i="9"/>
  <c r="C48"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B47" i="9"/>
  <c r="O47" i="9"/>
  <c r="N47" i="9"/>
  <c r="M47" i="9"/>
  <c r="L47" i="9"/>
  <c r="K47" i="9"/>
  <c r="J47" i="9"/>
  <c r="I47" i="9"/>
  <c r="H47" i="9"/>
  <c r="G47" i="9"/>
  <c r="F47" i="9"/>
  <c r="E47" i="9"/>
  <c r="D47" i="9"/>
  <c r="C47" i="9"/>
  <c r="CD46" i="9"/>
  <c r="CC46" i="9"/>
  <c r="CB46" i="9"/>
  <c r="CA46" i="9"/>
  <c r="BZ46" i="9"/>
  <c r="BY46" i="9"/>
  <c r="BX46" i="9"/>
  <c r="BW46" i="9"/>
  <c r="BV46" i="9"/>
  <c r="BU46" i="9"/>
  <c r="BT46" i="9"/>
  <c r="BS46" i="9"/>
  <c r="BR46" i="9"/>
  <c r="BQ46" i="9"/>
  <c r="BP46" i="9"/>
  <c r="BO46" i="9"/>
  <c r="BN46" i="9"/>
  <c r="BM46"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B46" i="9"/>
  <c r="O46" i="9"/>
  <c r="N46" i="9"/>
  <c r="M46" i="9"/>
  <c r="L46" i="9"/>
  <c r="K46" i="9"/>
  <c r="J46" i="9"/>
  <c r="I46" i="9"/>
  <c r="H46" i="9"/>
  <c r="G46" i="9"/>
  <c r="F46" i="9"/>
  <c r="E46" i="9"/>
  <c r="D46" i="9"/>
  <c r="C46" i="9"/>
  <c r="CD45" i="9"/>
  <c r="CC45" i="9"/>
  <c r="CB45" i="9"/>
  <c r="CA45" i="9"/>
  <c r="BZ45" i="9"/>
  <c r="BY45" i="9"/>
  <c r="BX45" i="9"/>
  <c r="BW45" i="9"/>
  <c r="BV45" i="9"/>
  <c r="BU45" i="9"/>
  <c r="BT45" i="9"/>
  <c r="BS45" i="9"/>
  <c r="BR45" i="9"/>
  <c r="BQ45" i="9"/>
  <c r="BP45" i="9"/>
  <c r="BO45" i="9"/>
  <c r="BN45" i="9"/>
  <c r="BM45"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B45" i="9"/>
  <c r="O45" i="9"/>
  <c r="N45" i="9"/>
  <c r="M45" i="9"/>
  <c r="L45" i="9"/>
  <c r="K45" i="9"/>
  <c r="J45" i="9"/>
  <c r="I45" i="9"/>
  <c r="H45" i="9"/>
  <c r="G45" i="9"/>
  <c r="F45" i="9"/>
  <c r="E45" i="9"/>
  <c r="D45" i="9"/>
  <c r="C45" i="9"/>
  <c r="CD4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B44" i="9"/>
  <c r="O44" i="9"/>
  <c r="N44" i="9"/>
  <c r="M44" i="9"/>
  <c r="L44" i="9"/>
  <c r="K44" i="9"/>
  <c r="J44" i="9"/>
  <c r="I44" i="9"/>
  <c r="H44" i="9"/>
  <c r="G44" i="9"/>
  <c r="F44" i="9"/>
  <c r="E44" i="9"/>
  <c r="D44" i="9"/>
  <c r="C44" i="9"/>
  <c r="CD43" i="9"/>
  <c r="CC43" i="9"/>
  <c r="CB43" i="9"/>
  <c r="CA43" i="9"/>
  <c r="BZ43" i="9"/>
  <c r="BY43" i="9"/>
  <c r="BX43" i="9"/>
  <c r="BW43" i="9"/>
  <c r="BV43" i="9"/>
  <c r="BU43" i="9"/>
  <c r="BT43" i="9"/>
  <c r="BS43" i="9"/>
  <c r="BR43" i="9"/>
  <c r="BQ43" i="9"/>
  <c r="BP43" i="9"/>
  <c r="BO43" i="9"/>
  <c r="BN43" i="9"/>
  <c r="BM43" i="9"/>
  <c r="BL43" i="9"/>
  <c r="BK43" i="9"/>
  <c r="BJ43" i="9"/>
  <c r="BI43" i="9"/>
  <c r="BH43" i="9"/>
  <c r="BG43" i="9"/>
  <c r="BF43" i="9"/>
  <c r="BE43" i="9"/>
  <c r="BD43" i="9"/>
  <c r="BC43" i="9"/>
  <c r="BB43" i="9"/>
  <c r="BA43" i="9"/>
  <c r="AZ43" i="9"/>
  <c r="AY43" i="9"/>
  <c r="AX43" i="9"/>
  <c r="AW43" i="9"/>
  <c r="AV43" i="9"/>
  <c r="AU43" i="9"/>
  <c r="AT43" i="9"/>
  <c r="AS43" i="9"/>
  <c r="AR43" i="9"/>
  <c r="AQ43" i="9"/>
  <c r="AP43" i="9"/>
  <c r="AO43" i="9"/>
  <c r="AN43" i="9"/>
  <c r="AM43" i="9"/>
  <c r="AL43" i="9"/>
  <c r="AK43" i="9"/>
  <c r="AJ43" i="9"/>
  <c r="AI43" i="9"/>
  <c r="AH43" i="9"/>
  <c r="AG43" i="9"/>
  <c r="AF43" i="9"/>
  <c r="AE43" i="9"/>
  <c r="AD43" i="9"/>
  <c r="AB43" i="9"/>
  <c r="O43" i="9"/>
  <c r="N43" i="9"/>
  <c r="M43" i="9"/>
  <c r="L43" i="9"/>
  <c r="K43" i="9"/>
  <c r="J43" i="9"/>
  <c r="I43" i="9"/>
  <c r="H43" i="9"/>
  <c r="G43" i="9"/>
  <c r="F43" i="9"/>
  <c r="E43" i="9"/>
  <c r="D43" i="9"/>
  <c r="C43" i="9"/>
  <c r="CD42" i="9"/>
  <c r="CB42" i="9"/>
  <c r="CA42" i="9"/>
  <c r="BZ42" i="9"/>
  <c r="BY42" i="9"/>
  <c r="BX42" i="9"/>
  <c r="BW42" i="9"/>
  <c r="BV42" i="9"/>
  <c r="BU42" i="9"/>
  <c r="BT42" i="9"/>
  <c r="BS42" i="9"/>
  <c r="BR42" i="9"/>
  <c r="BQ42" i="9"/>
  <c r="BP42" i="9"/>
  <c r="BO42" i="9"/>
  <c r="BN42" i="9"/>
  <c r="BM42" i="9"/>
  <c r="BL42" i="9"/>
  <c r="BK42" i="9"/>
  <c r="BJ42" i="9"/>
  <c r="BI42" i="9"/>
  <c r="BH42" i="9"/>
  <c r="BG42" i="9"/>
  <c r="BF42" i="9"/>
  <c r="BE42" i="9"/>
  <c r="BD42" i="9"/>
  <c r="BC42" i="9"/>
  <c r="BB42" i="9"/>
  <c r="BA42" i="9"/>
  <c r="AZ42" i="9"/>
  <c r="AY42" i="9"/>
  <c r="AX42" i="9"/>
  <c r="AW42" i="9"/>
  <c r="AV42" i="9"/>
  <c r="AU42" i="9"/>
  <c r="AT42" i="9"/>
  <c r="AS42" i="9"/>
  <c r="AR42" i="9"/>
  <c r="AQ42" i="9"/>
  <c r="AP42" i="9"/>
  <c r="AO42" i="9"/>
  <c r="AN42" i="9"/>
  <c r="AM42" i="9"/>
  <c r="AL42" i="9"/>
  <c r="AK42" i="9"/>
  <c r="AJ42" i="9"/>
  <c r="AI42" i="9"/>
  <c r="AH42" i="9"/>
  <c r="AG42" i="9"/>
  <c r="AF42" i="9"/>
  <c r="AE42" i="9"/>
  <c r="AD42" i="9"/>
  <c r="AB42" i="9"/>
  <c r="T42" i="9"/>
  <c r="U42" i="9" s="1"/>
  <c r="V42" i="9" s="1"/>
  <c r="W42" i="9" s="1"/>
  <c r="X42" i="9" s="1"/>
  <c r="Y42" i="9" s="1"/>
  <c r="Z42" i="9" s="1"/>
  <c r="O42" i="9"/>
  <c r="N42" i="9"/>
  <c r="M42" i="9"/>
  <c r="L42" i="9"/>
  <c r="K42" i="9"/>
  <c r="J42" i="9"/>
  <c r="I42" i="9"/>
  <c r="H42" i="9"/>
  <c r="G42" i="9"/>
  <c r="F42" i="9"/>
  <c r="E42" i="9"/>
  <c r="D42" i="9"/>
  <c r="C42"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B40" i="9"/>
  <c r="O40" i="9"/>
  <c r="N40" i="9"/>
  <c r="M40" i="9"/>
  <c r="L40" i="9"/>
  <c r="K40" i="9"/>
  <c r="J40" i="9"/>
  <c r="I40" i="9"/>
  <c r="H40" i="9"/>
  <c r="G40" i="9"/>
  <c r="F40" i="9"/>
  <c r="E40" i="9"/>
  <c r="D40" i="9"/>
  <c r="C40" i="9"/>
  <c r="CD38" i="9"/>
  <c r="CC38" i="9"/>
  <c r="CB38" i="9"/>
  <c r="CA38" i="9"/>
  <c r="BZ38" i="9"/>
  <c r="BY38" i="9"/>
  <c r="BX38" i="9"/>
  <c r="BW38" i="9"/>
  <c r="BV38" i="9"/>
  <c r="BU38" i="9"/>
  <c r="BT38" i="9"/>
  <c r="BS38" i="9"/>
  <c r="BR38" i="9"/>
  <c r="BQ38" i="9"/>
  <c r="BP38" i="9"/>
  <c r="BO38" i="9"/>
  <c r="BN38" i="9"/>
  <c r="BM38" i="9"/>
  <c r="BL38" i="9"/>
  <c r="BK38" i="9"/>
  <c r="BJ38" i="9"/>
  <c r="BI38" i="9"/>
  <c r="BH38" i="9"/>
  <c r="BG38" i="9"/>
  <c r="BF38" i="9"/>
  <c r="BE38" i="9"/>
  <c r="BD38" i="9"/>
  <c r="BC38" i="9"/>
  <c r="BB38" i="9"/>
  <c r="BA38" i="9"/>
  <c r="AZ38" i="9"/>
  <c r="AY38" i="9"/>
  <c r="AX38" i="9"/>
  <c r="AW38" i="9"/>
  <c r="AV38" i="9"/>
  <c r="AU38" i="9"/>
  <c r="AT38" i="9"/>
  <c r="AS38" i="9"/>
  <c r="AR38" i="9"/>
  <c r="AQ38" i="9"/>
  <c r="AP38" i="9"/>
  <c r="AO38" i="9"/>
  <c r="AN38" i="9"/>
  <c r="AM38" i="9"/>
  <c r="AL38" i="9"/>
  <c r="AK38" i="9"/>
  <c r="AJ38" i="9"/>
  <c r="AI38" i="9"/>
  <c r="AH38" i="9"/>
  <c r="AG38" i="9"/>
  <c r="AF38" i="9"/>
  <c r="AE38" i="9"/>
  <c r="AD38" i="9"/>
  <c r="AB38" i="9"/>
  <c r="O38" i="9"/>
  <c r="O141" i="9" s="1"/>
  <c r="O137" i="11" s="1"/>
  <c r="N38" i="9"/>
  <c r="N141" i="9" s="1"/>
  <c r="N137" i="11" s="1"/>
  <c r="M38" i="9"/>
  <c r="M141" i="9" s="1"/>
  <c r="L38" i="9"/>
  <c r="L141" i="9" s="1"/>
  <c r="L137" i="11" s="1"/>
  <c r="K38" i="9"/>
  <c r="J38" i="9"/>
  <c r="I38" i="9"/>
  <c r="H38" i="9"/>
  <c r="G38" i="9"/>
  <c r="F38" i="9"/>
  <c r="E38" i="9"/>
  <c r="D38" i="9"/>
  <c r="C38" i="9"/>
  <c r="CD37" i="9"/>
  <c r="CC37" i="9"/>
  <c r="CB37" i="9"/>
  <c r="CA37" i="9"/>
  <c r="BZ37" i="9"/>
  <c r="BY37" i="9"/>
  <c r="BX37" i="9"/>
  <c r="BW37" i="9"/>
  <c r="BV37" i="9"/>
  <c r="BU37" i="9"/>
  <c r="BT37" i="9"/>
  <c r="BS37" i="9"/>
  <c r="BR37" i="9"/>
  <c r="BQ37" i="9"/>
  <c r="BP37" i="9"/>
  <c r="BO37" i="9"/>
  <c r="BN37" i="9"/>
  <c r="BM37" i="9"/>
  <c r="BL37" i="9"/>
  <c r="BK37" i="9"/>
  <c r="BJ37" i="9"/>
  <c r="BI37" i="9"/>
  <c r="BH37" i="9"/>
  <c r="BG37" i="9"/>
  <c r="BF37" i="9"/>
  <c r="BE37" i="9"/>
  <c r="BD37" i="9"/>
  <c r="BC37" i="9"/>
  <c r="BB37" i="9"/>
  <c r="BA37" i="9"/>
  <c r="AZ37" i="9"/>
  <c r="AY37" i="9"/>
  <c r="AX37" i="9"/>
  <c r="AW37" i="9"/>
  <c r="AV37" i="9"/>
  <c r="AU37" i="9"/>
  <c r="AT37" i="9"/>
  <c r="AS37" i="9"/>
  <c r="AR37" i="9"/>
  <c r="AQ37" i="9"/>
  <c r="AP37" i="9"/>
  <c r="AO37" i="9"/>
  <c r="AN37" i="9"/>
  <c r="AM37" i="9"/>
  <c r="AL37" i="9"/>
  <c r="AK37" i="9"/>
  <c r="AJ37" i="9"/>
  <c r="AI37" i="9"/>
  <c r="AH37" i="9"/>
  <c r="AG37" i="9"/>
  <c r="AF37" i="9"/>
  <c r="AE37" i="9"/>
  <c r="AD37" i="9"/>
  <c r="AB37" i="9"/>
  <c r="O37" i="9"/>
  <c r="N37" i="9"/>
  <c r="M37" i="9"/>
  <c r="L37" i="9"/>
  <c r="K37" i="9"/>
  <c r="J37" i="9"/>
  <c r="I37" i="9"/>
  <c r="H37" i="9"/>
  <c r="G37" i="9"/>
  <c r="F37" i="9"/>
  <c r="E37" i="9"/>
  <c r="D37" i="9"/>
  <c r="C37" i="9"/>
  <c r="CD36"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B36" i="9"/>
  <c r="O36" i="9"/>
  <c r="N36" i="9"/>
  <c r="M36" i="9"/>
  <c r="L36" i="9"/>
  <c r="K36" i="9"/>
  <c r="J36" i="9"/>
  <c r="I36" i="9"/>
  <c r="H36" i="9"/>
  <c r="G36" i="9"/>
  <c r="F36" i="9"/>
  <c r="E36" i="9"/>
  <c r="D36" i="9"/>
  <c r="C36" i="9"/>
  <c r="CD35"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B35" i="9"/>
  <c r="O35" i="9"/>
  <c r="N35" i="9"/>
  <c r="M35" i="9"/>
  <c r="L35" i="9"/>
  <c r="K35" i="9"/>
  <c r="J35" i="9"/>
  <c r="I35" i="9"/>
  <c r="H35" i="9"/>
  <c r="G35" i="9"/>
  <c r="F35" i="9"/>
  <c r="E35" i="9"/>
  <c r="D35" i="9"/>
  <c r="C35"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B34" i="9"/>
  <c r="O34" i="9"/>
  <c r="N34" i="9"/>
  <c r="M34" i="9"/>
  <c r="L34" i="9"/>
  <c r="K34" i="9"/>
  <c r="J34" i="9"/>
  <c r="I34" i="9"/>
  <c r="H34" i="9"/>
  <c r="G34" i="9"/>
  <c r="F34" i="9"/>
  <c r="E34" i="9"/>
  <c r="D34" i="9"/>
  <c r="C34"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B33" i="9"/>
  <c r="O33" i="9"/>
  <c r="N33" i="9"/>
  <c r="M33" i="9"/>
  <c r="L33" i="9"/>
  <c r="K33" i="9"/>
  <c r="J33" i="9"/>
  <c r="I33" i="9"/>
  <c r="H33" i="9"/>
  <c r="G33" i="9"/>
  <c r="F33" i="9"/>
  <c r="E33" i="9"/>
  <c r="D33" i="9"/>
  <c r="C33" i="9"/>
  <c r="CD32"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B32" i="9"/>
  <c r="O32" i="9"/>
  <c r="N32" i="9"/>
  <c r="M32" i="9"/>
  <c r="L32" i="9"/>
  <c r="K32" i="9"/>
  <c r="J32" i="9"/>
  <c r="I32" i="9"/>
  <c r="H32" i="9"/>
  <c r="G32" i="9"/>
  <c r="F32" i="9"/>
  <c r="E32" i="9"/>
  <c r="D32" i="9"/>
  <c r="C32" i="9"/>
  <c r="CD31"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B31" i="9"/>
  <c r="O31" i="9"/>
  <c r="N31" i="9"/>
  <c r="M31" i="9"/>
  <c r="L31" i="9"/>
  <c r="K31" i="9"/>
  <c r="J31" i="9"/>
  <c r="I31" i="9"/>
  <c r="H31" i="9"/>
  <c r="G31" i="9"/>
  <c r="F31" i="9"/>
  <c r="E31" i="9"/>
  <c r="D31"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B30" i="9"/>
  <c r="O30" i="9"/>
  <c r="N30" i="9"/>
  <c r="M30" i="9"/>
  <c r="L30" i="9"/>
  <c r="K30" i="9"/>
  <c r="J30" i="9"/>
  <c r="I30" i="9"/>
  <c r="H30" i="9"/>
  <c r="G30" i="9"/>
  <c r="F30" i="9"/>
  <c r="E30" i="9"/>
  <c r="D30" i="9"/>
  <c r="C30" i="9"/>
  <c r="CD29" i="9"/>
  <c r="CC29" i="9"/>
  <c r="CB29" i="9"/>
  <c r="CA29" i="9"/>
  <c r="BZ29" i="9"/>
  <c r="BY29" i="9"/>
  <c r="BX29" i="9"/>
  <c r="BW29" i="9"/>
  <c r="BV29" i="9"/>
  <c r="BU29" i="9"/>
  <c r="BT29" i="9"/>
  <c r="BS29" i="9"/>
  <c r="BR29" i="9"/>
  <c r="BQ29" i="9"/>
  <c r="BP29" i="9"/>
  <c r="BO29" i="9"/>
  <c r="BN29" i="9"/>
  <c r="BM29" i="9"/>
  <c r="BL29" i="9"/>
  <c r="BK29" i="9"/>
  <c r="BJ29" i="9"/>
  <c r="BI29" i="9"/>
  <c r="BH29" i="9"/>
  <c r="BG29" i="9"/>
  <c r="BF29" i="9"/>
  <c r="BE29" i="9"/>
  <c r="BD29" i="9"/>
  <c r="BC29" i="9"/>
  <c r="BB29"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Z29" i="9"/>
  <c r="Y29" i="9"/>
  <c r="X29" i="9"/>
  <c r="W29" i="9"/>
  <c r="V29" i="9"/>
  <c r="U29" i="9"/>
  <c r="T29" i="9"/>
  <c r="S29" i="9"/>
  <c r="R29" i="9"/>
  <c r="Q29" i="9"/>
  <c r="P29" i="9"/>
  <c r="O29" i="9"/>
  <c r="N29" i="9"/>
  <c r="M29" i="9"/>
  <c r="L29" i="9"/>
  <c r="K29" i="9"/>
  <c r="J29" i="9"/>
  <c r="I29" i="9"/>
  <c r="H29" i="9"/>
  <c r="G29" i="9"/>
  <c r="F29" i="9"/>
  <c r="E29" i="9"/>
  <c r="D29" i="9"/>
  <c r="C29" i="9"/>
  <c r="B29" i="9"/>
  <c r="A29" i="9"/>
  <c r="AB29" i="9" s="1"/>
  <c r="AB26" i="9"/>
  <c r="BX23" i="9"/>
  <c r="BX24" i="9" s="1"/>
  <c r="BT23" i="9"/>
  <c r="BP23" i="9"/>
  <c r="BP25" i="9" s="1"/>
  <c r="BP26" i="9" s="1"/>
  <c r="BH23" i="9"/>
  <c r="AZ23" i="9"/>
  <c r="AR23" i="9"/>
  <c r="AJ23" i="9"/>
  <c r="AJ24" i="9" s="1"/>
  <c r="AB25" i="9"/>
  <c r="K23" i="9"/>
  <c r="K24" i="9" s="1"/>
  <c r="AB24" i="9"/>
  <c r="CD23" i="9"/>
  <c r="CC23" i="9"/>
  <c r="CC24" i="9" s="1"/>
  <c r="CB23" i="9"/>
  <c r="CA23" i="9"/>
  <c r="CA25" i="9" s="1"/>
  <c r="CA26" i="9" s="1"/>
  <c r="BZ23" i="9"/>
  <c r="BZ25" i="9" s="1"/>
  <c r="BZ26" i="9" s="1"/>
  <c r="BY23" i="9"/>
  <c r="BW23" i="9"/>
  <c r="BW24" i="9" s="1"/>
  <c r="BV23" i="9"/>
  <c r="BU23" i="9"/>
  <c r="BU25" i="9" s="1"/>
  <c r="BU26" i="9" s="1"/>
  <c r="BS23" i="9"/>
  <c r="BR23" i="9"/>
  <c r="BR25" i="9" s="1"/>
  <c r="BR26" i="9" s="1"/>
  <c r="BQ23" i="9"/>
  <c r="BO23" i="9"/>
  <c r="BN23" i="9"/>
  <c r="BN24" i="9" s="1"/>
  <c r="BM23" i="9"/>
  <c r="BL23" i="9"/>
  <c r="BK23" i="9"/>
  <c r="BK24" i="9" s="1"/>
  <c r="BJ23" i="9"/>
  <c r="BJ25" i="9" s="1"/>
  <c r="BJ26" i="9" s="1"/>
  <c r="BI23" i="9"/>
  <c r="BE23" i="9"/>
  <c r="BE24" i="9" s="1"/>
  <c r="BD23" i="9"/>
  <c r="BC23" i="9"/>
  <c r="BC25" i="9" s="1"/>
  <c r="BC26" i="9" s="1"/>
  <c r="BB23" i="9"/>
  <c r="BA23" i="9"/>
  <c r="AY23" i="9"/>
  <c r="AY24" i="9" s="1"/>
  <c r="AX23" i="9"/>
  <c r="AW23" i="9"/>
  <c r="AW25" i="9" s="1"/>
  <c r="AW26" i="9" s="1"/>
  <c r="AV23" i="9"/>
  <c r="AU23" i="9"/>
  <c r="AU25" i="9" s="1"/>
  <c r="AU26" i="9" s="1"/>
  <c r="AT23" i="9"/>
  <c r="AT25" i="9" s="1"/>
  <c r="AT26" i="9" s="1"/>
  <c r="AS23" i="9"/>
  <c r="AQ23" i="9"/>
  <c r="AQ25" i="9" s="1"/>
  <c r="AQ26" i="9" s="1"/>
  <c r="AP23" i="9"/>
  <c r="AO23" i="9"/>
  <c r="AO24" i="9" s="1"/>
  <c r="AN23" i="9"/>
  <c r="AM23" i="9"/>
  <c r="AM24" i="9" s="1"/>
  <c r="AL23" i="9"/>
  <c r="AL25" i="9" s="1"/>
  <c r="AL26" i="9" s="1"/>
  <c r="AK23" i="9"/>
  <c r="AI23" i="9"/>
  <c r="AI25" i="9" s="1"/>
  <c r="AI26" i="9" s="1"/>
  <c r="AH23" i="9"/>
  <c r="AG23" i="9"/>
  <c r="AG25" i="9" s="1"/>
  <c r="AG26" i="9" s="1"/>
  <c r="AF23" i="9"/>
  <c r="AF25" i="9" s="1"/>
  <c r="AF26" i="9" s="1"/>
  <c r="AE23" i="9"/>
  <c r="AD23" i="9"/>
  <c r="AC23" i="9"/>
  <c r="AB23" i="9"/>
  <c r="N23" i="9"/>
  <c r="N25" i="9" s="1"/>
  <c r="M23" i="9"/>
  <c r="L23" i="9"/>
  <c r="J23" i="9"/>
  <c r="N222" i="14" s="1"/>
  <c r="I23" i="9"/>
  <c r="H23" i="9"/>
  <c r="H24" i="9" s="1"/>
  <c r="G23" i="9"/>
  <c r="K222" i="14" s="1"/>
  <c r="F23" i="9"/>
  <c r="E23" i="9"/>
  <c r="D23" i="9"/>
  <c r="C23" i="9"/>
  <c r="B23" i="9"/>
  <c r="B25" i="9" s="1"/>
  <c r="CC11" i="9"/>
  <c r="CC42" i="9" s="1"/>
  <c r="P9" i="11"/>
  <c r="CD3" i="9"/>
  <c r="CC3" i="9"/>
  <c r="CB3" i="9"/>
  <c r="CA3" i="9"/>
  <c r="BZ3" i="9"/>
  <c r="BY3" i="9"/>
  <c r="BX3" i="9"/>
  <c r="BW3" i="9"/>
  <c r="BV3" i="9"/>
  <c r="BU3" i="9"/>
  <c r="BT3" i="9"/>
  <c r="BS3" i="9"/>
  <c r="BR3" i="9"/>
  <c r="BQ3" i="9"/>
  <c r="BP3" i="9"/>
  <c r="BO3" i="9"/>
  <c r="BN3" i="9"/>
  <c r="BM3" i="9"/>
  <c r="BL3" i="9"/>
  <c r="BK3" i="9"/>
  <c r="BJ3" i="9"/>
  <c r="BI3" i="9"/>
  <c r="BH3" i="9"/>
  <c r="BG3" i="9"/>
  <c r="BF3" i="9"/>
  <c r="BE3" i="9"/>
  <c r="BD3" i="9"/>
  <c r="BC3" i="9"/>
  <c r="BB3" i="9"/>
  <c r="BA3" i="9"/>
  <c r="AZ3" i="9"/>
  <c r="AY3" i="9"/>
  <c r="AX3" i="9"/>
  <c r="AW3" i="9"/>
  <c r="AV3" i="9"/>
  <c r="AU3" i="9"/>
  <c r="AT3" i="9"/>
  <c r="AS3" i="9"/>
  <c r="AR3" i="9"/>
  <c r="AQ3" i="9"/>
  <c r="AP3" i="9"/>
  <c r="AO3" i="9"/>
  <c r="AN3" i="9"/>
  <c r="AM3" i="9"/>
  <c r="AL3" i="9"/>
  <c r="AK3" i="9"/>
  <c r="AJ3" i="9"/>
  <c r="AI3" i="9"/>
  <c r="AH3" i="9"/>
  <c r="AG3" i="9"/>
  <c r="AF3" i="9"/>
  <c r="AE3" i="9"/>
  <c r="AD3" i="9"/>
  <c r="AC3" i="9"/>
  <c r="A3" i="9"/>
  <c r="AB3" i="9" s="1"/>
  <c r="Z3" i="9"/>
  <c r="Y3" i="9"/>
  <c r="X3" i="9"/>
  <c r="W3" i="9"/>
  <c r="V3" i="9"/>
  <c r="U3" i="9"/>
  <c r="T3" i="9"/>
  <c r="S3" i="9"/>
  <c r="Q3" i="9"/>
  <c r="P3" i="9"/>
  <c r="O3" i="9"/>
  <c r="N3" i="9"/>
  <c r="M3" i="9"/>
  <c r="L3" i="9"/>
  <c r="K3" i="9"/>
  <c r="J3" i="9"/>
  <c r="I3" i="9"/>
  <c r="H3" i="9"/>
  <c r="G3" i="9"/>
  <c r="F3" i="9"/>
  <c r="E3" i="9"/>
  <c r="D3" i="9"/>
  <c r="C3" i="9"/>
  <c r="B3" i="9"/>
  <c r="AB1" i="9"/>
  <c r="AB217" i="9" s="1"/>
  <c r="AB255" i="9" s="1"/>
  <c r="BT231" i="11"/>
  <c r="BR234" i="9"/>
  <c r="BR124" i="9"/>
  <c r="BS66" i="10"/>
  <c r="BS54" i="10"/>
  <c r="BS58" i="10" s="1"/>
  <c r="C351" i="12"/>
  <c r="BW54" i="10"/>
  <c r="BS111" i="10"/>
  <c r="BS112" i="10" s="1"/>
  <c r="BW123" i="10"/>
  <c r="BV120" i="10"/>
  <c r="BV121" i="10" s="1"/>
  <c r="BV117" i="10"/>
  <c r="CB231" i="11"/>
  <c r="CB285" i="11" s="1"/>
  <c r="CB303" i="11" s="1"/>
  <c r="BT66" i="10"/>
  <c r="BT57" i="10"/>
  <c r="BX57" i="10"/>
  <c r="BX72" i="10"/>
  <c r="BT72" i="10"/>
  <c r="BS116" i="10"/>
  <c r="BW116" i="10"/>
  <c r="BW119" i="10"/>
  <c r="BS123" i="10"/>
  <c r="BY54" i="10"/>
  <c r="CA54" i="11" s="1"/>
  <c r="BR66" i="10"/>
  <c r="BT120" i="10"/>
  <c r="BT121" i="10" s="1"/>
  <c r="BT124" i="9"/>
  <c r="BX117" i="10"/>
  <c r="BR119" i="10"/>
  <c r="BY119" i="10"/>
  <c r="BY123" i="10"/>
  <c r="I570" i="4"/>
  <c r="J570" i="4" s="1"/>
  <c r="C695" i="12"/>
  <c r="B736" i="12"/>
  <c r="C736" i="12" s="1"/>
  <c r="D736" i="12" s="1"/>
  <c r="R221" i="9"/>
  <c r="P43" i="9"/>
  <c r="P45" i="9"/>
  <c r="E65" i="12"/>
  <c r="N168" i="10"/>
  <c r="N198" i="10"/>
  <c r="N120" i="10"/>
  <c r="P215" i="10"/>
  <c r="P218" i="10" s="1"/>
  <c r="BU231" i="11"/>
  <c r="BS234" i="9"/>
  <c r="BS124" i="9"/>
  <c r="BW121" i="9"/>
  <c r="P44" i="9"/>
  <c r="P46" i="9"/>
  <c r="BW231" i="11"/>
  <c r="BW285" i="11" s="1"/>
  <c r="BW303" i="11" s="1"/>
  <c r="BW316" i="11" s="1"/>
  <c r="BU124" i="9"/>
  <c r="BU234" i="9"/>
  <c r="M65" i="10"/>
  <c r="M54" i="10"/>
  <c r="M57" i="10"/>
  <c r="M74" i="10"/>
  <c r="BX286" i="11"/>
  <c r="BX304" i="11" s="1"/>
  <c r="BV119" i="10"/>
  <c r="BV276" i="10"/>
  <c r="BV294" i="10" s="1"/>
  <c r="CB286" i="11"/>
  <c r="CC118" i="10"/>
  <c r="BZ119" i="10"/>
  <c r="BZ276" i="10"/>
  <c r="BX119" i="10"/>
  <c r="CD286" i="11"/>
  <c r="BV121" i="9"/>
  <c r="BT54" i="10"/>
  <c r="D351" i="12"/>
  <c r="BR57" i="10"/>
  <c r="BZ57" i="10"/>
  <c r="BR123" i="10"/>
  <c r="BR111" i="10"/>
  <c r="BR112" i="10" s="1"/>
  <c r="BR114" i="10" s="1"/>
  <c r="BV123" i="10"/>
  <c r="BV110" i="10"/>
  <c r="BZ123" i="10"/>
  <c r="BZ110" i="10"/>
  <c r="C64" i="12"/>
  <c r="E382" i="12"/>
  <c r="BY117" i="10"/>
  <c r="M117" i="10"/>
  <c r="L120" i="10"/>
  <c r="BS120" i="10"/>
  <c r="BS121" i="10" s="1"/>
  <c r="CA120" i="10"/>
  <c r="BS226" i="10"/>
  <c r="BT226" i="10"/>
  <c r="BZ274" i="10"/>
  <c r="BX121" i="9"/>
  <c r="BR54" i="10"/>
  <c r="BR58" i="10" s="1"/>
  <c r="B351" i="12"/>
  <c r="B376" i="12" s="1"/>
  <c r="BZ54" i="10"/>
  <c r="BV57" i="10"/>
  <c r="CD57" i="10"/>
  <c r="BV72" i="10"/>
  <c r="BT123" i="10"/>
  <c r="BT111" i="10"/>
  <c r="BT112" i="10" s="1"/>
  <c r="BT113" i="10" s="1"/>
  <c r="BX123" i="10"/>
  <c r="BX110" i="10"/>
  <c r="E64" i="12"/>
  <c r="N187" i="10"/>
  <c r="N167" i="10"/>
  <c r="N117" i="10"/>
  <c r="C382" i="12"/>
  <c r="BY231" i="11"/>
  <c r="BW117" i="10"/>
  <c r="G382" i="12"/>
  <c r="CA117" i="10"/>
  <c r="BW120" i="10"/>
  <c r="BW121" i="10" s="1"/>
  <c r="BW226" i="10"/>
  <c r="BW275" i="10" s="1"/>
  <c r="BW293" i="10" s="1"/>
  <c r="BV274" i="10"/>
  <c r="N57" i="10"/>
  <c r="BU57" i="10"/>
  <c r="BY57" i="10"/>
  <c r="BU66" i="10"/>
  <c r="BY66" i="10"/>
  <c r="BS72" i="10"/>
  <c r="BW72" i="10"/>
  <c r="BW111" i="10"/>
  <c r="H382" i="12"/>
  <c r="CD231" i="11"/>
  <c r="CD285" i="11" s="1"/>
  <c r="CD303" i="11" s="1"/>
  <c r="BT116" i="10"/>
  <c r="BX116" i="10"/>
  <c r="BR120" i="10"/>
  <c r="BR121" i="10" s="1"/>
  <c r="BZ120" i="10"/>
  <c r="BZ121" i="10" s="1"/>
  <c r="BX226" i="10"/>
  <c r="CB226" i="10"/>
  <c r="CB275" i="10" s="1"/>
  <c r="CB293" i="10" s="1"/>
  <c r="BW274" i="10"/>
  <c r="BS57" i="10"/>
  <c r="BW57" i="10"/>
  <c r="CA57" i="10"/>
  <c r="BY72" i="10"/>
  <c r="BR116" i="10"/>
  <c r="BV116" i="10"/>
  <c r="BZ116" i="10"/>
  <c r="D65" i="12"/>
  <c r="M120" i="10"/>
  <c r="BX120" i="10"/>
  <c r="BX121" i="10" s="1"/>
  <c r="CB120" i="10"/>
  <c r="BV226" i="10"/>
  <c r="BV275" i="10" s="1"/>
  <c r="BV293" i="10" s="1"/>
  <c r="BZ226" i="10"/>
  <c r="BW276" i="10"/>
  <c r="CA276" i="10"/>
  <c r="CA294" i="10" s="1"/>
  <c r="P72" i="9"/>
  <c r="F64" i="12"/>
  <c r="O120" i="10"/>
  <c r="O187" i="10"/>
  <c r="O167" i="10"/>
  <c r="CC115" i="10"/>
  <c r="CC117" i="10" s="1"/>
  <c r="O117" i="10"/>
  <c r="P50" i="9"/>
  <c r="W123" i="9"/>
  <c r="X123" i="9" s="1"/>
  <c r="Y123" i="9" s="1"/>
  <c r="Z123" i="9" s="1"/>
  <c r="U5" i="17"/>
  <c r="U6" i="17" s="1"/>
  <c r="G470" i="4"/>
  <c r="T257" i="14"/>
  <c r="P146" i="10"/>
  <c r="G65" i="12"/>
  <c r="P198" i="10"/>
  <c r="T223" i="14"/>
  <c r="P61" i="9"/>
  <c r="P78" i="9"/>
  <c r="P76" i="9"/>
  <c r="P144" i="10"/>
  <c r="T230" i="14"/>
  <c r="T239" i="14" s="1"/>
  <c r="B800" i="12"/>
  <c r="B801" i="12" s="1"/>
  <c r="B803" i="12" s="1"/>
  <c r="G38" i="12"/>
  <c r="P174" i="9"/>
  <c r="P204" i="9"/>
  <c r="P205" i="10"/>
  <c r="P111" i="11"/>
  <c r="P157" i="11"/>
  <c r="P198" i="9"/>
  <c r="H230" i="4"/>
  <c r="I230" i="4"/>
  <c r="J230" i="4"/>
  <c r="K230" i="4"/>
  <c r="L230" i="4"/>
  <c r="M230" i="4"/>
  <c r="G231" i="4"/>
  <c r="G233" i="4"/>
  <c r="H233" i="4"/>
  <c r="I233" i="4"/>
  <c r="J233" i="4"/>
  <c r="K233" i="4"/>
  <c r="L233" i="4"/>
  <c r="M233" i="4"/>
  <c r="H234" i="4"/>
  <c r="I234" i="4"/>
  <c r="J234" i="4"/>
  <c r="K234" i="4"/>
  <c r="L234" i="4"/>
  <c r="M234" i="4"/>
  <c r="G236" i="4"/>
  <c r="H236" i="4"/>
  <c r="I236" i="4"/>
  <c r="J236" i="4"/>
  <c r="K236" i="4"/>
  <c r="L236" i="4"/>
  <c r="M236" i="4"/>
  <c r="G237" i="4"/>
  <c r="H237" i="4"/>
  <c r="I237" i="4"/>
  <c r="J237" i="4"/>
  <c r="K237" i="4"/>
  <c r="L237" i="4"/>
  <c r="M237" i="4"/>
  <c r="G238" i="4"/>
  <c r="I238" i="4"/>
  <c r="J238" i="4"/>
  <c r="K238" i="4"/>
  <c r="L238" i="4"/>
  <c r="M238" i="4"/>
  <c r="K90" i="3"/>
  <c r="L90" i="3" s="1"/>
  <c r="AF78" i="1"/>
  <c r="V49" i="1"/>
  <c r="V47" i="1"/>
  <c r="AN15" i="1"/>
  <c r="AN14" i="1"/>
  <c r="AN12" i="1"/>
  <c r="AN6" i="1"/>
  <c r="AN119" i="1"/>
  <c r="AN118" i="1"/>
  <c r="AN117" i="1"/>
  <c r="AN116" i="1"/>
  <c r="AN115" i="1"/>
  <c r="AN76" i="1"/>
  <c r="AN75" i="1"/>
  <c r="AN72" i="1"/>
  <c r="AN43" i="1"/>
  <c r="AN39" i="1"/>
  <c r="AN38" i="1"/>
  <c r="AN37" i="1"/>
  <c r="AN36" i="1"/>
  <c r="AN33" i="1"/>
  <c r="AN32" i="1"/>
  <c r="AN31" i="1"/>
  <c r="AN30" i="1"/>
  <c r="AN27" i="1"/>
  <c r="AN26" i="1"/>
  <c r="AN25" i="1"/>
  <c r="AN24" i="1"/>
  <c r="AN21" i="1"/>
  <c r="AN20" i="1"/>
  <c r="AN18" i="1"/>
  <c r="AN9" i="1"/>
  <c r="AN8" i="1"/>
  <c r="AN5" i="1"/>
  <c r="AN4" i="1"/>
  <c r="AE51" i="1"/>
  <c r="V51" i="1"/>
  <c r="AE34" i="1"/>
  <c r="AE108" i="1" s="1"/>
  <c r="AE28" i="1"/>
  <c r="AE7" i="1"/>
  <c r="AV73" i="1" s="1"/>
  <c r="J352" i="3"/>
  <c r="E352" i="3"/>
  <c r="G352" i="3" s="1"/>
  <c r="B352" i="3"/>
  <c r="B361" i="3" s="1"/>
  <c r="B350" i="3"/>
  <c r="B360" i="3" s="1"/>
  <c r="B349" i="3"/>
  <c r="B359" i="3" s="1"/>
  <c r="B348" i="3"/>
  <c r="B358" i="3" s="1"/>
  <c r="B347" i="3"/>
  <c r="B357" i="3" s="1"/>
  <c r="B346" i="3"/>
  <c r="B356" i="3" s="1"/>
  <c r="B345" i="3"/>
  <c r="B355" i="3" s="1"/>
  <c r="S335" i="3"/>
  <c r="R335" i="3"/>
  <c r="Q335" i="3"/>
  <c r="P335" i="3"/>
  <c r="O335" i="3"/>
  <c r="N335" i="3"/>
  <c r="M335" i="3"/>
  <c r="L335" i="3"/>
  <c r="K335" i="3"/>
  <c r="J335" i="3"/>
  <c r="I101" i="3"/>
  <c r="I140" i="3"/>
  <c r="I136" i="3"/>
  <c r="I134" i="3"/>
  <c r="I131" i="3"/>
  <c r="I129" i="3"/>
  <c r="I127" i="3"/>
  <c r="I125" i="3"/>
  <c r="I15" i="3"/>
  <c r="I39" i="3"/>
  <c r="I37" i="3"/>
  <c r="I35" i="3"/>
  <c r="I33" i="3"/>
  <c r="I30" i="3"/>
  <c r="I28" i="3"/>
  <c r="I26" i="3"/>
  <c r="I24" i="3"/>
  <c r="I58" i="3"/>
  <c r="I87" i="3"/>
  <c r="I85" i="3"/>
  <c r="I83" i="3"/>
  <c r="I81" i="3"/>
  <c r="I78" i="3"/>
  <c r="I76" i="3"/>
  <c r="I74" i="3"/>
  <c r="I72" i="3"/>
  <c r="F36" i="7"/>
  <c r="F32" i="7"/>
  <c r="F31" i="7"/>
  <c r="F30" i="7"/>
  <c r="F29" i="7"/>
  <c r="G21" i="7"/>
  <c r="G22" i="7"/>
  <c r="G23" i="7"/>
  <c r="G24" i="7"/>
  <c r="F24" i="7"/>
  <c r="F23" i="7"/>
  <c r="F22" i="7"/>
  <c r="F21" i="7"/>
  <c r="F16" i="7"/>
  <c r="F15" i="7"/>
  <c r="F14" i="7"/>
  <c r="F13" i="7"/>
  <c r="F8" i="7"/>
  <c r="F7" i="7"/>
  <c r="F6" i="7"/>
  <c r="F5" i="7"/>
  <c r="G36" i="7"/>
  <c r="G32" i="7"/>
  <c r="G31" i="7"/>
  <c r="G30" i="7"/>
  <c r="G29" i="7"/>
  <c r="G16" i="7"/>
  <c r="G15" i="7"/>
  <c r="G13" i="7"/>
  <c r="D16" i="7"/>
  <c r="D24" i="7" s="1"/>
  <c r="D32" i="7" s="1"/>
  <c r="D15" i="7"/>
  <c r="D23" i="7" s="1"/>
  <c r="D31" i="7" s="1"/>
  <c r="D14" i="7"/>
  <c r="D22" i="7" s="1"/>
  <c r="D30" i="7" s="1"/>
  <c r="D13" i="7"/>
  <c r="D21" i="7" s="1"/>
  <c r="D29" i="7" s="1"/>
  <c r="G8" i="7"/>
  <c r="G7" i="7"/>
  <c r="G6" i="7"/>
  <c r="G5" i="7"/>
  <c r="O10" i="5"/>
  <c r="N10" i="5"/>
  <c r="M10" i="5"/>
  <c r="L10" i="5"/>
  <c r="K10" i="5"/>
  <c r="J10" i="5"/>
  <c r="I10" i="5"/>
  <c r="H10" i="5"/>
  <c r="G10" i="5"/>
  <c r="G483" i="4"/>
  <c r="H483" i="4" s="1"/>
  <c r="G364" i="4"/>
  <c r="H365" i="4" s="1"/>
  <c r="P229" i="4"/>
  <c r="O229" i="4"/>
  <c r="N229" i="4"/>
  <c r="M229" i="4"/>
  <c r="L229" i="4"/>
  <c r="K229" i="4"/>
  <c r="J229" i="4"/>
  <c r="H229" i="4"/>
  <c r="G229" i="4"/>
  <c r="F229" i="4"/>
  <c r="E229" i="4"/>
  <c r="D229" i="4"/>
  <c r="G286" i="4"/>
  <c r="G569" i="4"/>
  <c r="AD113" i="17"/>
  <c r="AC113" i="17"/>
  <c r="Z113" i="17"/>
  <c r="F558" i="4"/>
  <c r="A500" i="4"/>
  <c r="F436" i="4"/>
  <c r="F236" i="4" s="1"/>
  <c r="D477" i="4"/>
  <c r="D479" i="4" s="1"/>
  <c r="F238" i="4"/>
  <c r="F237" i="4"/>
  <c r="F437" i="4"/>
  <c r="F452" i="4"/>
  <c r="F456" i="4" s="1"/>
  <c r="P236" i="4"/>
  <c r="O236" i="4"/>
  <c r="N236" i="4"/>
  <c r="P234" i="4"/>
  <c r="O234" i="4"/>
  <c r="N234" i="4"/>
  <c r="E234" i="4"/>
  <c r="D234" i="4"/>
  <c r="F232" i="4"/>
  <c r="E232" i="4"/>
  <c r="W239" i="4"/>
  <c r="E477" i="4"/>
  <c r="E478" i="4" s="1"/>
  <c r="F477" i="4"/>
  <c r="F479" i="4" s="1"/>
  <c r="E475" i="4"/>
  <c r="F475" i="4"/>
  <c r="G448" i="4"/>
  <c r="G232" i="4" s="1"/>
  <c r="E421" i="4"/>
  <c r="E465" i="4" s="1"/>
  <c r="E382" i="4"/>
  <c r="E464" i="4" s="1"/>
  <c r="F382" i="4"/>
  <c r="F464" i="4" s="1"/>
  <c r="P463" i="4"/>
  <c r="P413" i="4"/>
  <c r="P403" i="4"/>
  <c r="P399" i="4"/>
  <c r="O463" i="4"/>
  <c r="O413" i="4"/>
  <c r="O403" i="4"/>
  <c r="O399" i="4"/>
  <c r="N463" i="4"/>
  <c r="N413" i="4"/>
  <c r="N403" i="4"/>
  <c r="N399" i="4"/>
  <c r="M463" i="4"/>
  <c r="M413" i="4"/>
  <c r="M403" i="4"/>
  <c r="M399" i="4"/>
  <c r="L463" i="4"/>
  <c r="L413" i="4"/>
  <c r="L403" i="4"/>
  <c r="L399" i="4"/>
  <c r="P286" i="4"/>
  <c r="N286" i="4"/>
  <c r="M286" i="4"/>
  <c r="L286" i="4"/>
  <c r="F262" i="4"/>
  <c r="E262" i="4"/>
  <c r="E263" i="4" s="1"/>
  <c r="P238" i="4"/>
  <c r="O238" i="4"/>
  <c r="N238" i="4"/>
  <c r="P237" i="4"/>
  <c r="O237" i="4"/>
  <c r="N237" i="4"/>
  <c r="P233" i="4"/>
  <c r="O233" i="4"/>
  <c r="N233" i="4"/>
  <c r="P228" i="4"/>
  <c r="O228" i="4"/>
  <c r="N228" i="4"/>
  <c r="M228" i="4"/>
  <c r="L228" i="4"/>
  <c r="G314" i="4"/>
  <c r="G172" i="4" s="1"/>
  <c r="F309" i="4"/>
  <c r="E309" i="4"/>
  <c r="E311" i="4" s="1"/>
  <c r="E357" i="4"/>
  <c r="E359" i="4" s="1"/>
  <c r="E172" i="4"/>
  <c r="E171" i="4"/>
  <c r="E374" i="4"/>
  <c r="E177" i="4" s="1"/>
  <c r="F374" i="4"/>
  <c r="G374" i="4" s="1"/>
  <c r="G177" i="4" s="1"/>
  <c r="F176" i="4"/>
  <c r="E176" i="4"/>
  <c r="E349" i="4"/>
  <c r="F349" i="4"/>
  <c r="F357" i="4"/>
  <c r="E322" i="4"/>
  <c r="E320" i="4" s="1"/>
  <c r="E166" i="4" s="1"/>
  <c r="F322" i="4"/>
  <c r="F320" i="4" s="1"/>
  <c r="F166" i="4" s="1"/>
  <c r="E417" i="4"/>
  <c r="E165" i="4" s="1"/>
  <c r="F417" i="4"/>
  <c r="F165" i="4" s="1"/>
  <c r="K175" i="1"/>
  <c r="L175" i="1"/>
  <c r="E413" i="4"/>
  <c r="F413" i="4"/>
  <c r="D285" i="4"/>
  <c r="C285" i="4"/>
  <c r="D286" i="4"/>
  <c r="C286" i="4"/>
  <c r="K286" i="4"/>
  <c r="J286" i="4"/>
  <c r="H286" i="4"/>
  <c r="F295" i="4"/>
  <c r="E295" i="4"/>
  <c r="F296" i="4"/>
  <c r="E296" i="4"/>
  <c r="E291" i="4"/>
  <c r="F291" i="4"/>
  <c r="E290" i="4"/>
  <c r="E292" i="4" s="1"/>
  <c r="F290" i="4"/>
  <c r="F292" i="4" s="1"/>
  <c r="G292" i="4" s="1"/>
  <c r="H292" i="4" s="1"/>
  <c r="F244" i="4"/>
  <c r="F246" i="4" s="1"/>
  <c r="E244" i="4"/>
  <c r="E248" i="4" s="1"/>
  <c r="E387" i="4" s="1"/>
  <c r="V159" i="1"/>
  <c r="L159" i="1"/>
  <c r="K159" i="1"/>
  <c r="V158" i="1"/>
  <c r="L158" i="1"/>
  <c r="K158" i="1"/>
  <c r="W159" i="1"/>
  <c r="W158" i="1"/>
  <c r="G232" i="3"/>
  <c r="H232" i="3"/>
  <c r="I232" i="3"/>
  <c r="F54" i="2" s="1"/>
  <c r="F236" i="3"/>
  <c r="G236" i="3"/>
  <c r="H236" i="3"/>
  <c r="I234" i="3"/>
  <c r="I243" i="3"/>
  <c r="I245" i="3" s="1"/>
  <c r="I241" i="3"/>
  <c r="I237" i="3"/>
  <c r="P154" i="4"/>
  <c r="P188" i="4" s="1"/>
  <c r="J1021" i="16" s="1"/>
  <c r="O154" i="4"/>
  <c r="O188" i="4" s="1"/>
  <c r="O243" i="4" s="1"/>
  <c r="O259" i="4" s="1"/>
  <c r="O284" i="4" s="1"/>
  <c r="O343" i="4" s="1"/>
  <c r="O363" i="4" s="1"/>
  <c r="O381" i="4" s="1"/>
  <c r="O412" i="4" s="1"/>
  <c r="O420" i="4" s="1"/>
  <c r="O431" i="4" s="1"/>
  <c r="O446" i="4" s="1"/>
  <c r="O458" i="4" s="1"/>
  <c r="O498" i="4" s="1"/>
  <c r="N154" i="4"/>
  <c r="N188" i="4" s="1"/>
  <c r="M154" i="4"/>
  <c r="M188" i="4" s="1"/>
  <c r="L154" i="4"/>
  <c r="L188" i="4" s="1"/>
  <c r="F1021" i="16" s="1"/>
  <c r="K154" i="4"/>
  <c r="K188" i="4" s="1"/>
  <c r="J154" i="4"/>
  <c r="J188" i="4" s="1"/>
  <c r="D1021" i="16" s="1"/>
  <c r="I154" i="4"/>
  <c r="I188" i="4" s="1"/>
  <c r="I243" i="4" s="1"/>
  <c r="I259" i="4" s="1"/>
  <c r="I284" i="4" s="1"/>
  <c r="H154" i="4"/>
  <c r="H188" i="4" s="1"/>
  <c r="H243" i="4" s="1"/>
  <c r="H259" i="4" s="1"/>
  <c r="H284" i="4" s="1"/>
  <c r="G154" i="4"/>
  <c r="G188" i="4" s="1"/>
  <c r="G243" i="4" s="1"/>
  <c r="G259" i="4" s="1"/>
  <c r="G284" i="4" s="1"/>
  <c r="F154" i="4"/>
  <c r="F188" i="4" s="1"/>
  <c r="F243" i="4" s="1"/>
  <c r="F259" i="4" s="1"/>
  <c r="F284" i="4" s="1"/>
  <c r="E154" i="4"/>
  <c r="E188" i="4" s="1"/>
  <c r="E243" i="4" s="1"/>
  <c r="E259" i="4" s="1"/>
  <c r="E284" i="4" s="1"/>
  <c r="D154" i="4"/>
  <c r="D188" i="4" s="1"/>
  <c r="D243" i="4" s="1"/>
  <c r="D259" i="4" s="1"/>
  <c r="D284" i="4" s="1"/>
  <c r="D343" i="4" s="1"/>
  <c r="D363" i="4" s="1"/>
  <c r="D381" i="4" s="1"/>
  <c r="D412" i="4" s="1"/>
  <c r="D420" i="4" s="1"/>
  <c r="D431" i="4" s="1"/>
  <c r="D446" i="4" s="1"/>
  <c r="D458" i="4" s="1"/>
  <c r="D498" i="4" s="1"/>
  <c r="C154" i="4"/>
  <c r="C188" i="4" s="1"/>
  <c r="C243" i="4" s="1"/>
  <c r="C259" i="4" s="1"/>
  <c r="C284" i="4" s="1"/>
  <c r="H225" i="3"/>
  <c r="I225" i="3"/>
  <c r="H168" i="3"/>
  <c r="H145" i="3"/>
  <c r="H92" i="3"/>
  <c r="I92" i="3"/>
  <c r="H44" i="3"/>
  <c r="H224" i="3"/>
  <c r="I224" i="3"/>
  <c r="B115" i="4"/>
  <c r="B114" i="4"/>
  <c r="K39" i="4"/>
  <c r="G2" i="16" s="1"/>
  <c r="G15" i="16" s="1"/>
  <c r="H25" i="16" s="1"/>
  <c r="H35" i="16" s="1"/>
  <c r="H45" i="16" s="1"/>
  <c r="J39" i="4"/>
  <c r="F592" i="16" s="1"/>
  <c r="F602" i="16" s="1"/>
  <c r="I39" i="4"/>
  <c r="E2" i="16" s="1"/>
  <c r="E15" i="16" s="1"/>
  <c r="F25" i="16" s="1"/>
  <c r="F35" i="16" s="1"/>
  <c r="F45" i="16" s="1"/>
  <c r="H39" i="4"/>
  <c r="D592" i="16" s="1"/>
  <c r="D602" i="16" s="1"/>
  <c r="G39" i="4"/>
  <c r="C592" i="16" s="1"/>
  <c r="C602" i="16" s="1"/>
  <c r="P39" i="4"/>
  <c r="G3270" i="16" s="1"/>
  <c r="O39" i="4"/>
  <c r="F3270" i="16" s="1"/>
  <c r="N39" i="4"/>
  <c r="E3270" i="16" s="1"/>
  <c r="M39" i="4"/>
  <c r="D3270" i="16" s="1"/>
  <c r="L39" i="4"/>
  <c r="H223" i="3"/>
  <c r="H165" i="3"/>
  <c r="H160" i="3"/>
  <c r="H158" i="3"/>
  <c r="H156" i="3"/>
  <c r="H154" i="3"/>
  <c r="H142" i="3"/>
  <c r="I142" i="3"/>
  <c r="H119" i="3"/>
  <c r="I116" i="3"/>
  <c r="H116" i="3"/>
  <c r="H113" i="3"/>
  <c r="H103" i="3"/>
  <c r="I103" i="3"/>
  <c r="H89" i="3"/>
  <c r="I89" i="3"/>
  <c r="H66" i="3"/>
  <c r="I63" i="3"/>
  <c r="H63" i="3"/>
  <c r="H60" i="3"/>
  <c r="H55" i="3"/>
  <c r="H41" i="3"/>
  <c r="I41" i="3"/>
  <c r="F18" i="3"/>
  <c r="F15" i="3"/>
  <c r="F12" i="3"/>
  <c r="F6" i="3"/>
  <c r="G18" i="3"/>
  <c r="G15" i="3"/>
  <c r="G12" i="3"/>
  <c r="G6" i="3"/>
  <c r="H18" i="3"/>
  <c r="H15" i="3"/>
  <c r="H12" i="3"/>
  <c r="H6" i="3"/>
  <c r="B594" i="4"/>
  <c r="B565" i="4"/>
  <c r="B597" i="4" s="1"/>
  <c r="D558" i="4"/>
  <c r="J558" i="4"/>
  <c r="X113" i="17" s="1"/>
  <c r="I558" i="4"/>
  <c r="W113" i="17" s="1"/>
  <c r="H558" i="4"/>
  <c r="V113" i="17" s="1"/>
  <c r="E558" i="4"/>
  <c r="G502" i="4"/>
  <c r="U101" i="17" s="1"/>
  <c r="C502" i="4"/>
  <c r="C500" i="4"/>
  <c r="C499" i="4"/>
  <c r="E434" i="4"/>
  <c r="D434" i="4"/>
  <c r="D456" i="4"/>
  <c r="C456" i="4"/>
  <c r="E236" i="4"/>
  <c r="C433" i="4"/>
  <c r="D427" i="4"/>
  <c r="E427" i="4" s="1"/>
  <c r="F427" i="4" s="1"/>
  <c r="G427" i="4" s="1"/>
  <c r="H427" i="4" s="1"/>
  <c r="I427" i="4" s="1"/>
  <c r="J427" i="4" s="1"/>
  <c r="K427" i="4" s="1"/>
  <c r="L427" i="4" s="1"/>
  <c r="M427" i="4" s="1"/>
  <c r="N427" i="4" s="1"/>
  <c r="O427" i="4" s="1"/>
  <c r="P427" i="4" s="1"/>
  <c r="Q427" i="4" s="1"/>
  <c r="R427" i="4" s="1"/>
  <c r="S427" i="4" s="1"/>
  <c r="T427" i="4" s="1"/>
  <c r="U427" i="4" s="1"/>
  <c r="V427" i="4" s="1"/>
  <c r="C427" i="4"/>
  <c r="D415" i="4"/>
  <c r="D463" i="4" s="1"/>
  <c r="K403" i="4"/>
  <c r="J403" i="4"/>
  <c r="H403" i="4"/>
  <c r="G403" i="4"/>
  <c r="F403" i="4"/>
  <c r="E403" i="4"/>
  <c r="D403" i="4"/>
  <c r="K399" i="4"/>
  <c r="J399" i="4"/>
  <c r="I399" i="4"/>
  <c r="H399" i="4"/>
  <c r="G399" i="4"/>
  <c r="F399" i="4"/>
  <c r="E399" i="4"/>
  <c r="D399" i="4"/>
  <c r="D400" i="4" s="1"/>
  <c r="D402" i="4" s="1"/>
  <c r="D404" i="4" s="1"/>
  <c r="D464" i="4"/>
  <c r="E368" i="4"/>
  <c r="F368" i="4" s="1"/>
  <c r="G368" i="4" s="1"/>
  <c r="H368" i="4" s="1"/>
  <c r="I368" i="4" s="1"/>
  <c r="J368" i="4" s="1"/>
  <c r="K368" i="4" s="1"/>
  <c r="L368" i="4" s="1"/>
  <c r="M368" i="4" s="1"/>
  <c r="N368" i="4" s="1"/>
  <c r="O368" i="4" s="1"/>
  <c r="P368" i="4" s="1"/>
  <c r="Q368" i="4" s="1"/>
  <c r="R368" i="4" s="1"/>
  <c r="S368" i="4" s="1"/>
  <c r="T368" i="4" s="1"/>
  <c r="U368" i="4" s="1"/>
  <c r="V368" i="4" s="1"/>
  <c r="C320" i="4"/>
  <c r="D281" i="4"/>
  <c r="C281" i="4"/>
  <c r="D280" i="4"/>
  <c r="C280" i="4"/>
  <c r="E273" i="4"/>
  <c r="F273" i="4" s="1"/>
  <c r="G273" i="4" s="1"/>
  <c r="H273" i="4" s="1"/>
  <c r="I273" i="4" s="1"/>
  <c r="D272" i="4"/>
  <c r="E272" i="4" s="1"/>
  <c r="F272" i="4" s="1"/>
  <c r="D265" i="4"/>
  <c r="D262" i="4"/>
  <c r="D461" i="4" s="1"/>
  <c r="C262" i="4"/>
  <c r="F249" i="4"/>
  <c r="G249" i="4" s="1"/>
  <c r="D248" i="4"/>
  <c r="D460" i="4" s="1"/>
  <c r="C248" i="4"/>
  <c r="E238" i="4"/>
  <c r="D238" i="4"/>
  <c r="E237" i="4"/>
  <c r="D237" i="4"/>
  <c r="D236" i="4"/>
  <c r="D233" i="4"/>
  <c r="F231" i="4"/>
  <c r="E231" i="4"/>
  <c r="D231" i="4"/>
  <c r="E230" i="4"/>
  <c r="G228" i="4"/>
  <c r="F228" i="4"/>
  <c r="E228" i="4"/>
  <c r="D228" i="4"/>
  <c r="B4" i="16"/>
  <c r="B110" i="4"/>
  <c r="C39" i="4"/>
  <c r="D230" i="4"/>
  <c r="F600" i="4"/>
  <c r="D433" i="4"/>
  <c r="D320" i="4"/>
  <c r="D224" i="4"/>
  <c r="E266" i="4"/>
  <c r="F266" i="4" s="1"/>
  <c r="F265" i="4" s="1"/>
  <c r="G265" i="4" s="1"/>
  <c r="D39" i="4"/>
  <c r="E463" i="4"/>
  <c r="E365" i="4"/>
  <c r="D459" i="4"/>
  <c r="G568" i="4"/>
  <c r="H568" i="4" s="1"/>
  <c r="K223" i="3"/>
  <c r="L223" i="3" s="1"/>
  <c r="M223" i="3" s="1"/>
  <c r="N223" i="3" s="1"/>
  <c r="O223" i="3" s="1"/>
  <c r="P223" i="3" s="1"/>
  <c r="Q223" i="3" s="1"/>
  <c r="R223" i="3" s="1"/>
  <c r="S223" i="3" s="1"/>
  <c r="E158" i="4"/>
  <c r="E346" i="4"/>
  <c r="D240" i="4"/>
  <c r="F365" i="4"/>
  <c r="F463" i="4"/>
  <c r="E39" i="4"/>
  <c r="F4" i="7" s="1"/>
  <c r="F12" i="7" s="1"/>
  <c r="F20" i="7" s="1"/>
  <c r="F28" i="7" s="1"/>
  <c r="F172" i="4"/>
  <c r="F476" i="4"/>
  <c r="E476" i="4"/>
  <c r="F158" i="4"/>
  <c r="E356" i="4"/>
  <c r="E157" i="4"/>
  <c r="D227" i="4"/>
  <c r="E281" i="4"/>
  <c r="E163" i="4"/>
  <c r="E179" i="4"/>
  <c r="F39" i="4"/>
  <c r="G4" i="7" s="1"/>
  <c r="G12" i="7" s="1"/>
  <c r="G20" i="7" s="1"/>
  <c r="G28" i="7" s="1"/>
  <c r="F434" i="4"/>
  <c r="F230" i="4"/>
  <c r="G463" i="4"/>
  <c r="G413" i="4"/>
  <c r="F157" i="4"/>
  <c r="E280" i="4"/>
  <c r="E162" i="4"/>
  <c r="H413" i="4"/>
  <c r="H19" i="4" s="1"/>
  <c r="H463" i="4"/>
  <c r="F179" i="4"/>
  <c r="H434" i="4"/>
  <c r="F171" i="4"/>
  <c r="F356" i="4"/>
  <c r="F346" i="4"/>
  <c r="F352" i="4"/>
  <c r="I463" i="4"/>
  <c r="I413" i="4"/>
  <c r="E159" i="4"/>
  <c r="E352" i="4"/>
  <c r="J463" i="4"/>
  <c r="J413" i="4"/>
  <c r="J165" i="4" s="1"/>
  <c r="F159" i="4"/>
  <c r="I434" i="4"/>
  <c r="K413" i="4"/>
  <c r="K463" i="4"/>
  <c r="F281" i="4"/>
  <c r="F163" i="4"/>
  <c r="J434" i="4"/>
  <c r="F162" i="4"/>
  <c r="F255" i="4"/>
  <c r="F280" i="4"/>
  <c r="M434" i="4"/>
  <c r="K434" i="4"/>
  <c r="L434" i="4"/>
  <c r="O434" i="4"/>
  <c r="N230" i="4"/>
  <c r="N434" i="4"/>
  <c r="O230" i="4"/>
  <c r="P230" i="4"/>
  <c r="P434" i="4"/>
  <c r="E233" i="4"/>
  <c r="E456" i="4"/>
  <c r="F233" i="4"/>
  <c r="AM156" i="1"/>
  <c r="V156" i="1"/>
  <c r="AN156" i="1" s="1"/>
  <c r="AM149" i="1"/>
  <c r="AM148" i="1"/>
  <c r="V149" i="1"/>
  <c r="AN149" i="1" s="1"/>
  <c r="V148" i="1"/>
  <c r="AN148" i="1" s="1"/>
  <c r="V146" i="1"/>
  <c r="W134" i="1"/>
  <c r="V134" i="1"/>
  <c r="L134" i="1"/>
  <c r="K134" i="1"/>
  <c r="W133" i="1"/>
  <c r="V133" i="1"/>
  <c r="L133" i="1"/>
  <c r="K133" i="1"/>
  <c r="W132" i="1"/>
  <c r="V132" i="1"/>
  <c r="L132" i="1"/>
  <c r="K132" i="1"/>
  <c r="W131" i="1"/>
  <c r="V131" i="1"/>
  <c r="L131" i="1"/>
  <c r="K131" i="1"/>
  <c r="V130" i="1"/>
  <c r="L130" i="1"/>
  <c r="K130" i="1"/>
  <c r="W130" i="1"/>
  <c r="B135" i="1"/>
  <c r="B134" i="1"/>
  <c r="B133" i="1"/>
  <c r="B132" i="1"/>
  <c r="B131" i="1"/>
  <c r="B130" i="1"/>
  <c r="W50" i="1"/>
  <c r="W49" i="1"/>
  <c r="W48" i="1"/>
  <c r="W47" i="1"/>
  <c r="V50" i="1"/>
  <c r="K50" i="1"/>
  <c r="K49" i="1"/>
  <c r="K48" i="1"/>
  <c r="K47" i="1"/>
  <c r="L47" i="1"/>
  <c r="L48" i="1"/>
  <c r="L49" i="1"/>
  <c r="L50" i="1"/>
  <c r="D50" i="1"/>
  <c r="D49" i="1"/>
  <c r="D48" i="1"/>
  <c r="D47" i="1"/>
  <c r="K58" i="1"/>
  <c r="K57" i="1"/>
  <c r="K56" i="1"/>
  <c r="K55" i="1"/>
  <c r="L58" i="1"/>
  <c r="L57" i="1"/>
  <c r="L56" i="1"/>
  <c r="L55" i="1"/>
  <c r="K40" i="1"/>
  <c r="AM38" i="1"/>
  <c r="AM37" i="1"/>
  <c r="AM39" i="1"/>
  <c r="AM36" i="1"/>
  <c r="L40" i="1"/>
  <c r="AL39" i="1"/>
  <c r="AL38" i="1"/>
  <c r="AL37" i="1"/>
  <c r="AL36" i="1"/>
  <c r="K22" i="1"/>
  <c r="AL21" i="1"/>
  <c r="AL20" i="1"/>
  <c r="AL18" i="1"/>
  <c r="AM21" i="1"/>
  <c r="AM20" i="1"/>
  <c r="AM19" i="1"/>
  <c r="AM18" i="1"/>
  <c r="L22" i="1"/>
  <c r="AM119" i="1"/>
  <c r="AL119" i="1"/>
  <c r="AM118" i="1"/>
  <c r="AL118" i="1"/>
  <c r="AM117" i="1"/>
  <c r="AL117" i="1"/>
  <c r="AM116" i="1"/>
  <c r="AL116" i="1"/>
  <c r="AM115" i="1"/>
  <c r="AL115" i="1"/>
  <c r="AM76" i="1"/>
  <c r="AL76" i="1"/>
  <c r="AM75" i="1"/>
  <c r="AL75" i="1"/>
  <c r="AM74" i="1"/>
  <c r="AL74" i="1"/>
  <c r="AM73" i="1"/>
  <c r="AL73" i="1"/>
  <c r="AM72" i="1"/>
  <c r="AL72" i="1"/>
  <c r="AM43" i="1"/>
  <c r="AL43" i="1"/>
  <c r="AM33" i="1"/>
  <c r="AL33" i="1"/>
  <c r="AM32" i="1"/>
  <c r="AL32" i="1"/>
  <c r="AM31" i="1"/>
  <c r="AL31" i="1"/>
  <c r="AM30" i="1"/>
  <c r="AL30" i="1"/>
  <c r="AM27" i="1"/>
  <c r="AL27" i="1"/>
  <c r="AM26" i="1"/>
  <c r="AL26" i="1"/>
  <c r="AM25" i="1"/>
  <c r="AL25" i="1"/>
  <c r="AM24" i="1"/>
  <c r="AL24" i="1"/>
  <c r="AM15" i="1"/>
  <c r="AL15" i="1"/>
  <c r="AM14" i="1"/>
  <c r="AL14" i="1"/>
  <c r="AM13" i="1"/>
  <c r="AM12" i="1"/>
  <c r="AL12" i="1"/>
  <c r="AM9" i="1"/>
  <c r="AL9" i="1"/>
  <c r="AL8" i="1"/>
  <c r="AL7" i="1"/>
  <c r="AL6" i="1"/>
  <c r="AL4" i="1"/>
  <c r="AM4" i="1"/>
  <c r="AL5" i="1"/>
  <c r="AM5" i="1"/>
  <c r="B126" i="1"/>
  <c r="B125" i="1"/>
  <c r="B124" i="1"/>
  <c r="B123" i="1"/>
  <c r="W120" i="1"/>
  <c r="V120" i="1"/>
  <c r="AN120" i="1" s="1"/>
  <c r="L120" i="1"/>
  <c r="K120" i="1"/>
  <c r="J120" i="1"/>
  <c r="H120" i="1"/>
  <c r="G120" i="1"/>
  <c r="F120" i="1"/>
  <c r="V80" i="1"/>
  <c r="L80" i="1"/>
  <c r="K80" i="1"/>
  <c r="K164" i="1" s="1"/>
  <c r="K167" i="1" s="1"/>
  <c r="K173" i="1" s="1"/>
  <c r="J80" i="1"/>
  <c r="H80" i="1"/>
  <c r="G80" i="1"/>
  <c r="F80" i="1"/>
  <c r="W80" i="1"/>
  <c r="W164" i="1" s="1"/>
  <c r="W167" i="1" s="1"/>
  <c r="W173" i="1" s="1"/>
  <c r="W178" i="1" s="1"/>
  <c r="W180" i="1" s="1"/>
  <c r="B108" i="1"/>
  <c r="B107" i="1"/>
  <c r="B106" i="1"/>
  <c r="B105" i="1"/>
  <c r="L34" i="1"/>
  <c r="L126" i="1" s="1"/>
  <c r="K34" i="1"/>
  <c r="K108" i="1" s="1"/>
  <c r="J34" i="1"/>
  <c r="J126" i="1" s="1"/>
  <c r="H34" i="1"/>
  <c r="H108" i="1" s="1"/>
  <c r="G34" i="1"/>
  <c r="G126" i="1" s="1"/>
  <c r="F34" i="1"/>
  <c r="F126" i="1" s="1"/>
  <c r="L28" i="1"/>
  <c r="L107" i="1" s="1"/>
  <c r="K28" i="1"/>
  <c r="J28" i="1"/>
  <c r="J107" i="1" s="1"/>
  <c r="H28" i="1"/>
  <c r="H107" i="1" s="1"/>
  <c r="G28" i="1"/>
  <c r="F28" i="1"/>
  <c r="F107" i="1" s="1"/>
  <c r="W16" i="1"/>
  <c r="W124" i="1" s="1"/>
  <c r="L16" i="1"/>
  <c r="L106" i="1" s="1"/>
  <c r="K16" i="1"/>
  <c r="J16" i="1"/>
  <c r="J124" i="1" s="1"/>
  <c r="H16" i="1"/>
  <c r="H124" i="1" s="1"/>
  <c r="G16" i="1"/>
  <c r="G106" i="1" s="1"/>
  <c r="F16" i="1"/>
  <c r="L10" i="1"/>
  <c r="K10" i="1"/>
  <c r="J10" i="1"/>
  <c r="J123" i="1" s="1"/>
  <c r="H10" i="1"/>
  <c r="H105" i="1" s="1"/>
  <c r="G10" i="1"/>
  <c r="G123" i="1" s="1"/>
  <c r="F10" i="1"/>
  <c r="F123" i="1" s="1"/>
  <c r="H358" i="4"/>
  <c r="E180" i="4"/>
  <c r="F180" i="4"/>
  <c r="F156" i="4"/>
  <c r="E156" i="4"/>
  <c r="AN74" i="1"/>
  <c r="CA76" i="9"/>
  <c r="CB76" i="9"/>
  <c r="CD76" i="9"/>
  <c r="CA77" i="9"/>
  <c r="CB77" i="9"/>
  <c r="CD77" i="9"/>
  <c r="CA78" i="9"/>
  <c r="CB78" i="9"/>
  <c r="CD78" i="9"/>
  <c r="CA81" i="9"/>
  <c r="CB81" i="9"/>
  <c r="CB85" i="9" s="1"/>
  <c r="CD81" i="9"/>
  <c r="CD85" i="9" s="1"/>
  <c r="CB113" i="9"/>
  <c r="CD113" i="9"/>
  <c r="CD123" i="9" s="1"/>
  <c r="P7" i="11"/>
  <c r="T84" i="14" s="1"/>
  <c r="P8" i="9"/>
  <c r="P8" i="11" s="1"/>
  <c r="T218" i="14"/>
  <c r="P32" i="9"/>
  <c r="Q178" i="10"/>
  <c r="U172" i="17"/>
  <c r="U187" i="17" s="1"/>
  <c r="U213" i="17" s="1"/>
  <c r="U240" i="17" s="1"/>
  <c r="R10" i="10"/>
  <c r="W244" i="17" s="1"/>
  <c r="Q20" i="10"/>
  <c r="V249" i="17" s="1"/>
  <c r="Q12" i="11"/>
  <c r="U214" i="14"/>
  <c r="Q13" i="11"/>
  <c r="U86" i="14" s="1"/>
  <c r="U245" i="14"/>
  <c r="AF76" i="1"/>
  <c r="J226" i="3"/>
  <c r="J228" i="3" s="1"/>
  <c r="K226" i="3"/>
  <c r="K228" i="3" s="1"/>
  <c r="G230" i="4"/>
  <c r="V13" i="17"/>
  <c r="V15" i="17"/>
  <c r="H14" i="5"/>
  <c r="W15" i="17" s="1"/>
  <c r="F9" i="16"/>
  <c r="E9" i="16"/>
  <c r="H9" i="16"/>
  <c r="B602" i="1"/>
  <c r="B607" i="1" s="1"/>
  <c r="B603" i="1"/>
  <c r="B608" i="1" s="1"/>
  <c r="B609" i="1"/>
  <c r="C59" i="16"/>
  <c r="H408" i="1"/>
  <c r="R11" i="10"/>
  <c r="G9" i="16"/>
  <c r="D9" i="16"/>
  <c r="R9" i="10"/>
  <c r="S9" i="10" s="1"/>
  <c r="Q9" i="11"/>
  <c r="T54" i="13"/>
  <c r="R148" i="10"/>
  <c r="S148" i="10" s="1"/>
  <c r="T148" i="10" s="1"/>
  <c r="U148" i="10" s="1"/>
  <c r="V148" i="10" s="1"/>
  <c r="W148" i="10" s="1"/>
  <c r="X148" i="10" s="1"/>
  <c r="Y148" i="10" s="1"/>
  <c r="Z148" i="10" s="1"/>
  <c r="R229" i="9"/>
  <c r="S229" i="9" s="1"/>
  <c r="Q4" i="11"/>
  <c r="U79" i="14" s="1"/>
  <c r="R4" i="10"/>
  <c r="W241" i="17" s="1"/>
  <c r="Q11" i="11"/>
  <c r="R12" i="10"/>
  <c r="W247" i="17" s="1"/>
  <c r="BM199" i="12"/>
  <c r="T132" i="9"/>
  <c r="U132" i="9" s="1"/>
  <c r="V132" i="9" s="1"/>
  <c r="W132" i="9" s="1"/>
  <c r="X132" i="9" s="1"/>
  <c r="Y132" i="9" s="1"/>
  <c r="Z132" i="9" s="1"/>
  <c r="BM193" i="12"/>
  <c r="E59" i="16"/>
  <c r="E224" i="4"/>
  <c r="E493" i="4"/>
  <c r="AF74" i="1"/>
  <c r="AP74" i="1" s="1"/>
  <c r="E459" i="4"/>
  <c r="E386" i="4"/>
  <c r="C99" i="16"/>
  <c r="C98" i="16" s="1"/>
  <c r="AF75" i="1"/>
  <c r="D59" i="16"/>
  <c r="F59" i="16"/>
  <c r="E351" i="4"/>
  <c r="E355" i="4"/>
  <c r="E348" i="4"/>
  <c r="E345" i="4"/>
  <c r="B707" i="12"/>
  <c r="AF72" i="1"/>
  <c r="AP72" i="1" s="1"/>
  <c r="G59" i="16"/>
  <c r="G234" i="4"/>
  <c r="H59" i="16"/>
  <c r="I59" i="16"/>
  <c r="O623" i="1"/>
  <c r="O624" i="1"/>
  <c r="O625" i="1"/>
  <c r="C648" i="1"/>
  <c r="C650" i="1"/>
  <c r="U53" i="13"/>
  <c r="BY306" i="11"/>
  <c r="T53" i="13"/>
  <c r="D26" i="16"/>
  <c r="R213" i="10"/>
  <c r="Q209" i="11"/>
  <c r="M53" i="13"/>
  <c r="CB305" i="11"/>
  <c r="O53" i="13"/>
  <c r="S54" i="13"/>
  <c r="S53" i="13"/>
  <c r="Q215" i="10"/>
  <c r="Q218" i="10" s="1"/>
  <c r="Q407" i="12" s="1"/>
  <c r="Q208" i="11"/>
  <c r="U101" i="14" s="1"/>
  <c r="CC306" i="11"/>
  <c r="N53" i="13"/>
  <c r="P53" i="13"/>
  <c r="R48" i="9"/>
  <c r="C7" i="21"/>
  <c r="CA286" i="11"/>
  <c r="CA304" i="11" s="1"/>
  <c r="BX308" i="11"/>
  <c r="BY307" i="11"/>
  <c r="CB308" i="11"/>
  <c r="M54" i="13"/>
  <c r="R214" i="10"/>
  <c r="S214" i="10" s="1"/>
  <c r="Q53" i="13"/>
  <c r="H176" i="4"/>
  <c r="H172" i="4"/>
  <c r="V221" i="14"/>
  <c r="S13" i="9"/>
  <c r="X221" i="17" s="1"/>
  <c r="Q23" i="9"/>
  <c r="Q25" i="9" s="1"/>
  <c r="U217" i="14"/>
  <c r="Q10" i="11"/>
  <c r="U215" i="14"/>
  <c r="Q181" i="9"/>
  <c r="Q210" i="11"/>
  <c r="Q217" i="11"/>
  <c r="U246" i="14"/>
  <c r="B8" i="16"/>
  <c r="B131" i="4"/>
  <c r="B144" i="4" s="1"/>
  <c r="Q7" i="11"/>
  <c r="U218" i="14"/>
  <c r="U243" i="14"/>
  <c r="O176" i="12"/>
  <c r="R54" i="13"/>
  <c r="R224" i="9"/>
  <c r="Q212" i="11"/>
  <c r="N54" i="13"/>
  <c r="Q213" i="11"/>
  <c r="R217" i="10"/>
  <c r="S217" i="10" s="1"/>
  <c r="T217" i="10" s="1"/>
  <c r="U217" i="10" s="1"/>
  <c r="O54" i="13"/>
  <c r="U247" i="14"/>
  <c r="C9" i="21"/>
  <c r="G558" i="4"/>
  <c r="U113" i="17" s="1"/>
  <c r="I172" i="4"/>
  <c r="B6" i="16"/>
  <c r="B113" i="4"/>
  <c r="B129" i="4"/>
  <c r="B142" i="4" s="1"/>
  <c r="B112" i="4"/>
  <c r="B5" i="16"/>
  <c r="B128" i="4"/>
  <c r="B141" i="4" s="1"/>
  <c r="B126" i="4"/>
  <c r="B139" i="4" s="1"/>
  <c r="B3" i="16"/>
  <c r="C29" i="16"/>
  <c r="E472" i="1"/>
  <c r="K575" i="1"/>
  <c r="Q575" i="1" s="1"/>
  <c r="H232" i="4"/>
  <c r="H209" i="4"/>
  <c r="C6" i="21"/>
  <c r="V217" i="14"/>
  <c r="Q113" i="9"/>
  <c r="Q120" i="9" s="1"/>
  <c r="U216" i="14"/>
  <c r="S12" i="9"/>
  <c r="Q6" i="11"/>
  <c r="V190" i="17" s="1"/>
  <c r="S15" i="9"/>
  <c r="X236" i="17" s="1"/>
  <c r="R52" i="9"/>
  <c r="V236" i="14"/>
  <c r="C745" i="16"/>
  <c r="BK231" i="11"/>
  <c r="J209" i="4"/>
  <c r="X139" i="17" s="1"/>
  <c r="I456" i="4"/>
  <c r="I232" i="4"/>
  <c r="E574" i="12"/>
  <c r="N72" i="13"/>
  <c r="J577" i="1"/>
  <c r="R181" i="9"/>
  <c r="R174" i="11" s="1"/>
  <c r="V141" i="14" s="1"/>
  <c r="M61" i="13"/>
  <c r="R59" i="9" s="1"/>
  <c r="R58" i="9" s="1"/>
  <c r="R173" i="11"/>
  <c r="V140" i="14" s="1"/>
  <c r="H165" i="4"/>
  <c r="C26" i="16"/>
  <c r="D32" i="16"/>
  <c r="U129" i="9"/>
  <c r="V129" i="9" s="1"/>
  <c r="W129" i="9" s="1"/>
  <c r="X129" i="9" s="1"/>
  <c r="Y129" i="9" s="1"/>
  <c r="Z129" i="9" s="1"/>
  <c r="V218" i="14"/>
  <c r="U223" i="14"/>
  <c r="Q61" i="9"/>
  <c r="V219" i="14"/>
  <c r="J232" i="4"/>
  <c r="J456" i="4"/>
  <c r="T141" i="9"/>
  <c r="T137" i="11" s="1"/>
  <c r="T173" i="11"/>
  <c r="X140" i="14" s="1"/>
  <c r="T181" i="9"/>
  <c r="O61" i="13"/>
  <c r="F574" i="12"/>
  <c r="O72" i="13"/>
  <c r="P72" i="13"/>
  <c r="S173" i="11"/>
  <c r="S181" i="9"/>
  <c r="S174" i="11" s="1"/>
  <c r="W141" i="14" s="1"/>
  <c r="S141" i="9"/>
  <c r="S137" i="11" s="1"/>
  <c r="I165" i="4"/>
  <c r="E433" i="4"/>
  <c r="V101" i="17"/>
  <c r="H164" i="4"/>
  <c r="K232" i="4"/>
  <c r="Q174" i="9"/>
  <c r="Q204" i="9"/>
  <c r="U230" i="14"/>
  <c r="U239" i="14" s="1"/>
  <c r="H38" i="12"/>
  <c r="E489" i="8"/>
  <c r="E494" i="8" s="1"/>
  <c r="J1009" i="16"/>
  <c r="I164" i="4"/>
  <c r="Z162" i="11"/>
  <c r="Q141" i="12" s="1"/>
  <c r="Q152" i="12" s="1"/>
  <c r="H281" i="4"/>
  <c r="H163" i="4"/>
  <c r="F486" i="4"/>
  <c r="F487" i="4"/>
  <c r="I281" i="4"/>
  <c r="I163" i="4"/>
  <c r="I435" i="4"/>
  <c r="I231" i="4" s="1"/>
  <c r="D655" i="1"/>
  <c r="U227" i="14"/>
  <c r="H37" i="12"/>
  <c r="C542" i="12"/>
  <c r="I542" i="12" s="1"/>
  <c r="C570" i="12"/>
  <c r="C581" i="12"/>
  <c r="Q124" i="9"/>
  <c r="Q173" i="9"/>
  <c r="Q193" i="9"/>
  <c r="U237" i="14"/>
  <c r="Q67" i="9"/>
  <c r="Q136" i="9"/>
  <c r="Q69" i="9"/>
  <c r="D1069" i="16"/>
  <c r="V223" i="14"/>
  <c r="R61" i="9"/>
  <c r="R113" i="9"/>
  <c r="R149" i="9" s="1"/>
  <c r="C23" i="21"/>
  <c r="V230" i="14"/>
  <c r="V239" i="14" s="1"/>
  <c r="I38" i="12"/>
  <c r="R204" i="9"/>
  <c r="R174" i="9"/>
  <c r="U250" i="14"/>
  <c r="C578" i="12"/>
  <c r="Q54" i="10"/>
  <c r="Q55" i="10"/>
  <c r="Q57" i="10"/>
  <c r="K577" i="1"/>
  <c r="B53" i="21"/>
  <c r="U257" i="14"/>
  <c r="H65" i="12"/>
  <c r="C800" i="12"/>
  <c r="C801" i="12" s="1"/>
  <c r="C803" i="12" s="1"/>
  <c r="Q118" i="11"/>
  <c r="Q168" i="10"/>
  <c r="E504" i="8"/>
  <c r="Q198" i="10"/>
  <c r="H171" i="4"/>
  <c r="H158" i="4"/>
  <c r="H157" i="4"/>
  <c r="Q146" i="10"/>
  <c r="D22" i="16"/>
  <c r="C822" i="12"/>
  <c r="H280" i="4"/>
  <c r="H162" i="4"/>
  <c r="Q205" i="10"/>
  <c r="K587" i="1"/>
  <c r="R178" i="10"/>
  <c r="Q219" i="10"/>
  <c r="Q215" i="11" s="1"/>
  <c r="U105" i="14" s="1"/>
  <c r="D10" i="16"/>
  <c r="D19" i="16"/>
  <c r="C715" i="12"/>
  <c r="C758" i="12"/>
  <c r="C806" i="12" s="1"/>
  <c r="H156" i="4"/>
  <c r="H180" i="4"/>
  <c r="H179" i="4"/>
  <c r="R266" i="12"/>
  <c r="R268" i="12" s="1"/>
  <c r="R269" i="12" s="1"/>
  <c r="G156" i="4"/>
  <c r="H1101" i="16"/>
  <c r="I1101" i="16"/>
  <c r="J1101" i="16"/>
  <c r="R57" i="10"/>
  <c r="R54" i="10"/>
  <c r="R109" i="10" s="1"/>
  <c r="R119" i="10" s="1"/>
  <c r="V250" i="14"/>
  <c r="F1125" i="16"/>
  <c r="F1127" i="16" s="1"/>
  <c r="V257" i="14"/>
  <c r="R118" i="11"/>
  <c r="R198" i="10"/>
  <c r="R168" i="10"/>
  <c r="D800" i="12"/>
  <c r="D801" i="12" s="1"/>
  <c r="D803" i="12" s="1"/>
  <c r="C53" i="21"/>
  <c r="I65" i="12"/>
  <c r="F1134" i="16"/>
  <c r="I171" i="4"/>
  <c r="I349" i="4"/>
  <c r="I158" i="4"/>
  <c r="I157" i="4"/>
  <c r="E22" i="16"/>
  <c r="D822" i="12"/>
  <c r="I162" i="4"/>
  <c r="I280" i="4"/>
  <c r="I255" i="4"/>
  <c r="V254" i="14"/>
  <c r="R187" i="10"/>
  <c r="R167" i="10"/>
  <c r="C52" i="21"/>
  <c r="R120" i="10"/>
  <c r="I64" i="12"/>
  <c r="C1074" i="16"/>
  <c r="L1010" i="16"/>
  <c r="L1018" i="16"/>
  <c r="F1131" i="16"/>
  <c r="K228" i="4"/>
  <c r="P153" i="11"/>
  <c r="T110" i="14" s="1"/>
  <c r="V175" i="10"/>
  <c r="W175" i="10" s="1"/>
  <c r="X175" i="10" s="1"/>
  <c r="Y175" i="10" s="1"/>
  <c r="Z175" i="10" s="1"/>
  <c r="L1011" i="16"/>
  <c r="V227" i="14"/>
  <c r="C22" i="21"/>
  <c r="R115" i="11"/>
  <c r="W201" i="17" s="1"/>
  <c r="I37" i="12"/>
  <c r="L1017" i="16"/>
  <c r="D767" i="12"/>
  <c r="D768" i="12" s="1"/>
  <c r="R121" i="9"/>
  <c r="R124" i="9"/>
  <c r="R173" i="9"/>
  <c r="R193" i="9"/>
  <c r="E788" i="16"/>
  <c r="E800" i="16" s="1"/>
  <c r="W108" i="17"/>
  <c r="I6" i="4"/>
  <c r="W21" i="17"/>
  <c r="W59" i="17" s="1"/>
  <c r="W51" i="17" s="1"/>
  <c r="D819" i="16"/>
  <c r="D841" i="16" s="1"/>
  <c r="E10" i="16"/>
  <c r="I190" i="4"/>
  <c r="C1023" i="16" s="1"/>
  <c r="H23" i="5"/>
  <c r="L1009" i="16"/>
  <c r="L1008" i="16"/>
  <c r="L1012" i="16" s="1"/>
  <c r="E19" i="16"/>
  <c r="D758" i="12"/>
  <c r="D806" i="12" s="1"/>
  <c r="L1016" i="16"/>
  <c r="V237" i="14"/>
  <c r="C16" i="21"/>
  <c r="R67" i="9"/>
  <c r="S67" i="9" s="1"/>
  <c r="T67" i="9" s="1"/>
  <c r="S70" i="9"/>
  <c r="T70" i="9" s="1"/>
  <c r="U70" i="9" s="1"/>
  <c r="V70" i="9" s="1"/>
  <c r="W70" i="9" s="1"/>
  <c r="X70" i="9" s="1"/>
  <c r="Y70" i="9" s="1"/>
  <c r="Z70" i="9" s="1"/>
  <c r="R72" i="9"/>
  <c r="R74" i="9"/>
  <c r="R76" i="9"/>
  <c r="R78" i="9"/>
  <c r="R136" i="9"/>
  <c r="R137" i="9" s="1"/>
  <c r="C870" i="16"/>
  <c r="D1074" i="16"/>
  <c r="E1074" i="16"/>
  <c r="I156" i="4"/>
  <c r="I179" i="4"/>
  <c r="I180" i="4"/>
  <c r="I18" i="4"/>
  <c r="I225" i="4"/>
  <c r="I27" i="4"/>
  <c r="I464" i="4"/>
  <c r="I199" i="4"/>
  <c r="C1031" i="16" s="1"/>
  <c r="I410" i="4"/>
  <c r="I226" i="4" s="1"/>
  <c r="C1033" i="16"/>
  <c r="C1103" i="16"/>
  <c r="C1115" i="16" s="1"/>
  <c r="C974" i="16"/>
  <c r="C970" i="16"/>
  <c r="I28" i="4"/>
  <c r="W28" i="17" s="1"/>
  <c r="I465" i="4"/>
  <c r="D970" i="16"/>
  <c r="E970" i="16"/>
  <c r="F970" i="16"/>
  <c r="D974" i="16"/>
  <c r="E974" i="16"/>
  <c r="F974" i="16"/>
  <c r="I633" i="16"/>
  <c r="B833" i="12"/>
  <c r="B840" i="12"/>
  <c r="C840" i="12"/>
  <c r="D840" i="12"/>
  <c r="E840" i="12"/>
  <c r="F840" i="12"/>
  <c r="L443" i="1" l="1"/>
  <c r="C308" i="18"/>
  <c r="BJ34" i="11"/>
  <c r="J400" i="1"/>
  <c r="O144" i="11"/>
  <c r="N61" i="11"/>
  <c r="AN30" i="11"/>
  <c r="O201" i="11"/>
  <c r="P39" i="10"/>
  <c r="BT47" i="11"/>
  <c r="M151" i="9"/>
  <c r="AW47" i="11"/>
  <c r="N212" i="9"/>
  <c r="M212" i="9"/>
  <c r="O212" i="9"/>
  <c r="D958" i="16"/>
  <c r="M185" i="11"/>
  <c r="Q133" i="20"/>
  <c r="D460" i="1"/>
  <c r="BY28" i="11"/>
  <c r="AF48" i="11"/>
  <c r="D464" i="1"/>
  <c r="AD21" i="10"/>
  <c r="AC22" i="10"/>
  <c r="AC23" i="10" s="1"/>
  <c r="AC24" i="9"/>
  <c r="AD25" i="9"/>
  <c r="AD26" i="9" s="1"/>
  <c r="AE25" i="9"/>
  <c r="AE26" i="9" s="1"/>
  <c r="E658" i="16"/>
  <c r="D481" i="1"/>
  <c r="H336" i="1"/>
  <c r="H390" i="1" s="1"/>
  <c r="F703" i="1"/>
  <c r="F704" i="1" s="1"/>
  <c r="L58" i="13"/>
  <c r="D58" i="13"/>
  <c r="BR33" i="11"/>
  <c r="BX77" i="9"/>
  <c r="X403" i="1"/>
  <c r="E663" i="1" s="1"/>
  <c r="CB61" i="9"/>
  <c r="E53" i="16"/>
  <c r="Q45" i="11"/>
  <c r="BH116" i="9"/>
  <c r="BH115" i="9" s="1"/>
  <c r="BH77" i="9"/>
  <c r="N166" i="11"/>
  <c r="J371" i="1"/>
  <c r="B621" i="16"/>
  <c r="BU70" i="9"/>
  <c r="BY74" i="9" s="1"/>
  <c r="G344" i="1"/>
  <c r="AG321" i="1"/>
  <c r="AO321" i="1" s="1"/>
  <c r="E453" i="1"/>
  <c r="I300" i="3" s="1"/>
  <c r="BC44" i="11"/>
  <c r="R24" i="14"/>
  <c r="O417" i="1"/>
  <c r="J412" i="1"/>
  <c r="J413" i="1" s="1"/>
  <c r="R65" i="10"/>
  <c r="V252" i="14" s="1"/>
  <c r="B48" i="21"/>
  <c r="O407" i="1"/>
  <c r="AC407" i="1" s="1"/>
  <c r="S217" i="11"/>
  <c r="AL40" i="1"/>
  <c r="U252" i="14"/>
  <c r="E454" i="1"/>
  <c r="V108" i="1"/>
  <c r="E586" i="1"/>
  <c r="L407" i="1"/>
  <c r="G586" i="1" s="1"/>
  <c r="N623" i="1" s="1"/>
  <c r="O448" i="1"/>
  <c r="O24" i="9"/>
  <c r="Q59" i="10"/>
  <c r="BU61" i="9"/>
  <c r="I161" i="3"/>
  <c r="AF321" i="1"/>
  <c r="AN321" i="1" s="1"/>
  <c r="L61" i="9"/>
  <c r="S212" i="9"/>
  <c r="P47" i="11"/>
  <c r="Q69" i="10"/>
  <c r="J338" i="1"/>
  <c r="J392" i="1" s="1"/>
  <c r="AN50" i="1"/>
  <c r="BR62" i="9"/>
  <c r="T115" i="14"/>
  <c r="BG32" i="11"/>
  <c r="O97" i="10"/>
  <c r="O42" i="11"/>
  <c r="P220" i="10"/>
  <c r="P222" i="10" s="1"/>
  <c r="U262" i="17" s="1"/>
  <c r="W105" i="1"/>
  <c r="BU77" i="9"/>
  <c r="CD43" i="11"/>
  <c r="AE73" i="1"/>
  <c r="AN73" i="1" s="1"/>
  <c r="R135" i="14"/>
  <c r="D441" i="1"/>
  <c r="D701" i="1"/>
  <c r="AE321" i="1"/>
  <c r="AM321" i="1" s="1"/>
  <c r="BP101" i="9"/>
  <c r="O47" i="11"/>
  <c r="S190" i="14"/>
  <c r="N184" i="11"/>
  <c r="R22" i="14" s="1"/>
  <c r="L347" i="3"/>
  <c r="J204" i="3"/>
  <c r="C683" i="16" s="1"/>
  <c r="AR40" i="11"/>
  <c r="AP42" i="11"/>
  <c r="F389" i="1"/>
  <c r="J58" i="3"/>
  <c r="J59" i="3"/>
  <c r="BI119" i="9"/>
  <c r="BI234" i="9" s="1"/>
  <c r="F338" i="1"/>
  <c r="F392" i="1" s="1"/>
  <c r="K126" i="3"/>
  <c r="K110" i="3" s="1"/>
  <c r="D649" i="16" s="1"/>
  <c r="Q194" i="9"/>
  <c r="Q203" i="9" s="1"/>
  <c r="F30" i="18"/>
  <c r="F31" i="18" s="1"/>
  <c r="F75" i="20"/>
  <c r="F74" i="20" s="1"/>
  <c r="O63" i="9"/>
  <c r="F402" i="1"/>
  <c r="F447" i="1" s="1"/>
  <c r="F448" i="1" s="1"/>
  <c r="C641" i="16"/>
  <c r="C651" i="16"/>
  <c r="E651" i="16"/>
  <c r="D651" i="16"/>
  <c r="C640" i="16"/>
  <c r="E445" i="1"/>
  <c r="E481" i="1" s="1"/>
  <c r="J455" i="1"/>
  <c r="J252" i="3" s="1"/>
  <c r="BI70" i="9"/>
  <c r="BI81" i="9" s="1"/>
  <c r="I157" i="3"/>
  <c r="G369" i="1"/>
  <c r="G445" i="1" s="1"/>
  <c r="G463" i="1" s="1"/>
  <c r="AH321" i="1"/>
  <c r="AP321" i="1" s="1"/>
  <c r="E733" i="1"/>
  <c r="F733" i="1" s="1"/>
  <c r="J274" i="3"/>
  <c r="C702" i="16" s="1"/>
  <c r="BI116" i="9"/>
  <c r="BI115" i="9" s="1"/>
  <c r="BI77" i="9"/>
  <c r="I7" i="3"/>
  <c r="O54" i="11"/>
  <c r="O109" i="11" s="1"/>
  <c r="AU41" i="11"/>
  <c r="W309" i="1"/>
  <c r="D461" i="1"/>
  <c r="K180" i="3"/>
  <c r="L180" i="3" s="1"/>
  <c r="F46" i="16" s="1"/>
  <c r="AM10" i="1"/>
  <c r="C178" i="18"/>
  <c r="D55" i="13"/>
  <c r="D46" i="16"/>
  <c r="BU40" i="11"/>
  <c r="BT45" i="11"/>
  <c r="BE218" i="10"/>
  <c r="BE233" i="10" s="1"/>
  <c r="O46" i="11"/>
  <c r="BO235" i="10"/>
  <c r="X284" i="1"/>
  <c r="AM25" i="9"/>
  <c r="AM26" i="9" s="1"/>
  <c r="BB42" i="11"/>
  <c r="S267" i="9"/>
  <c r="AO31" i="11"/>
  <c r="BE31" i="11"/>
  <c r="F30" i="11"/>
  <c r="E33" i="11"/>
  <c r="AP47" i="11"/>
  <c r="AZ33" i="11"/>
  <c r="AR47" i="11"/>
  <c r="CE32" i="11"/>
  <c r="AR48" i="11"/>
  <c r="I193" i="14"/>
  <c r="AE24" i="9"/>
  <c r="BE231" i="10"/>
  <c r="N21" i="10"/>
  <c r="BV98" i="10"/>
  <c r="R272" i="9"/>
  <c r="R249" i="14"/>
  <c r="L72" i="10"/>
  <c r="L79" i="10" s="1"/>
  <c r="BF21" i="10"/>
  <c r="AU22" i="10"/>
  <c r="AU23" i="10" s="1"/>
  <c r="CC21" i="10"/>
  <c r="BM228" i="9"/>
  <c r="BM230" i="9" s="1"/>
  <c r="F480" i="1"/>
  <c r="J145" i="3"/>
  <c r="J146" i="3" s="1"/>
  <c r="BE103" i="9"/>
  <c r="Q257" i="10"/>
  <c r="CE9" i="11"/>
  <c r="CE38" i="11" s="1"/>
  <c r="O172" i="11"/>
  <c r="CC34" i="9"/>
  <c r="CA298" i="10"/>
  <c r="H416" i="1"/>
  <c r="H474" i="1" s="1"/>
  <c r="H483" i="1" s="1"/>
  <c r="D602" i="1"/>
  <c r="H332" i="20" s="1"/>
  <c r="L61" i="13"/>
  <c r="Q59" i="9" s="1"/>
  <c r="R63" i="9" s="1"/>
  <c r="C658" i="16"/>
  <c r="L60" i="13"/>
  <c r="E714" i="1"/>
  <c r="J319" i="1"/>
  <c r="P152" i="9"/>
  <c r="P155" i="9" s="1"/>
  <c r="D658" i="16"/>
  <c r="L319" i="1"/>
  <c r="E442" i="1"/>
  <c r="E460" i="1" s="1"/>
  <c r="AC375" i="1"/>
  <c r="AD402" i="1" s="1"/>
  <c r="AK321" i="1"/>
  <c r="AS321" i="1" s="1"/>
  <c r="J443" i="1"/>
  <c r="J479" i="1" s="1"/>
  <c r="H706" i="1"/>
  <c r="H707" i="1" s="1"/>
  <c r="L57" i="13"/>
  <c r="E648" i="1"/>
  <c r="BC39" i="11"/>
  <c r="BD30" i="11"/>
  <c r="AS32" i="11"/>
  <c r="AI48" i="11"/>
  <c r="BY33" i="11"/>
  <c r="BB34" i="11"/>
  <c r="D35" i="11"/>
  <c r="K35" i="11"/>
  <c r="AI35" i="11"/>
  <c r="AW35" i="11"/>
  <c r="BE35" i="11"/>
  <c r="BM35" i="11"/>
  <c r="BT41" i="11"/>
  <c r="AK34" i="11"/>
  <c r="BI30" i="11"/>
  <c r="R84" i="14"/>
  <c r="CD34" i="9"/>
  <c r="O28" i="11"/>
  <c r="AH46" i="11"/>
  <c r="BJ33" i="11"/>
  <c r="AW38" i="11"/>
  <c r="CA121" i="10"/>
  <c r="O62" i="9"/>
  <c r="N91" i="11"/>
  <c r="H4243" i="16"/>
  <c r="AM29" i="11"/>
  <c r="AU29" i="11"/>
  <c r="BC29" i="11"/>
  <c r="BM29" i="11"/>
  <c r="BU29" i="11"/>
  <c r="AH30" i="11"/>
  <c r="AQ30" i="11"/>
  <c r="AY30" i="11"/>
  <c r="BQ30" i="11"/>
  <c r="BZ30" i="11"/>
  <c r="C31" i="11"/>
  <c r="AH31" i="11"/>
  <c r="AW31" i="11"/>
  <c r="BM31" i="11"/>
  <c r="BT31" i="11"/>
  <c r="CB31" i="11"/>
  <c r="L32" i="11"/>
  <c r="BM43" i="11"/>
  <c r="AU37" i="11"/>
  <c r="AP27" i="11"/>
  <c r="BP27" i="11"/>
  <c r="D28" i="11"/>
  <c r="N28" i="11"/>
  <c r="AR28" i="11"/>
  <c r="AZ41" i="11"/>
  <c r="F40" i="11"/>
  <c r="AY48" i="11"/>
  <c r="BR48" i="11"/>
  <c r="P34" i="11"/>
  <c r="BX81" i="9"/>
  <c r="BX85" i="9" s="1"/>
  <c r="CB86" i="9" s="1"/>
  <c r="K21" i="10"/>
  <c r="BA22" i="10"/>
  <c r="BA23" i="10" s="1"/>
  <c r="L43" i="11"/>
  <c r="P45" i="11"/>
  <c r="CB286" i="9"/>
  <c r="CB303" i="9" s="1"/>
  <c r="AQ46" i="11"/>
  <c r="N29" i="11"/>
  <c r="BX78" i="9"/>
  <c r="K22" i="10"/>
  <c r="K23" i="10" s="1"/>
  <c r="O109" i="10"/>
  <c r="S39" i="14" s="1"/>
  <c r="BX113" i="9"/>
  <c r="BX281" i="9" s="1"/>
  <c r="P42" i="11"/>
  <c r="S30" i="14"/>
  <c r="BT231" i="9"/>
  <c r="BT62" i="9"/>
  <c r="I30" i="11"/>
  <c r="T194" i="14"/>
  <c r="BZ28" i="11"/>
  <c r="BH119" i="9"/>
  <c r="BJ231" i="11" s="1"/>
  <c r="BY46" i="11"/>
  <c r="Q84" i="14"/>
  <c r="BH70" i="9"/>
  <c r="BH81" i="9" s="1"/>
  <c r="BH85" i="9" s="1"/>
  <c r="BO21" i="10"/>
  <c r="BJ22" i="10"/>
  <c r="BJ23" i="10" s="1"/>
  <c r="BJ102" i="9"/>
  <c r="BF30" i="11"/>
  <c r="BN30" i="11"/>
  <c r="BT34" i="11"/>
  <c r="X283" i="1"/>
  <c r="BP33" i="11"/>
  <c r="H148" i="3"/>
  <c r="H150" i="3" s="1"/>
  <c r="BQ27" i="11"/>
  <c r="G44" i="11"/>
  <c r="BF33" i="11"/>
  <c r="AP41" i="11"/>
  <c r="AL35" i="11"/>
  <c r="BY278" i="9"/>
  <c r="BY312" i="9" s="1"/>
  <c r="AV27" i="11"/>
  <c r="BQ39" i="11"/>
  <c r="BO61" i="9"/>
  <c r="BX59" i="9"/>
  <c r="BR113" i="10"/>
  <c r="AK48" i="11"/>
  <c r="F39" i="11"/>
  <c r="CE28" i="11"/>
  <c r="BQ45" i="11"/>
  <c r="CB37" i="11"/>
  <c r="BS31" i="11"/>
  <c r="BO27" i="11"/>
  <c r="H37" i="11"/>
  <c r="AJ37" i="11"/>
  <c r="AO39" i="11"/>
  <c r="BE37" i="11"/>
  <c r="M46" i="11"/>
  <c r="BA46" i="11"/>
  <c r="BX28" i="11"/>
  <c r="M29" i="11"/>
  <c r="AK29" i="11"/>
  <c r="AT29" i="11"/>
  <c r="BB29" i="11"/>
  <c r="BL29" i="11"/>
  <c r="CD29" i="11"/>
  <c r="BY30" i="11"/>
  <c r="K31" i="11"/>
  <c r="AV31" i="11"/>
  <c r="BD31" i="11"/>
  <c r="BL31" i="11"/>
  <c r="K43" i="11"/>
  <c r="AU32" i="11"/>
  <c r="BZ48" i="11"/>
  <c r="BO20" i="11"/>
  <c r="BO22" i="11" s="1"/>
  <c r="BO23" i="11" s="1"/>
  <c r="BS33" i="11"/>
  <c r="CE44" i="11"/>
  <c r="N63" i="9"/>
  <c r="AN19" i="1"/>
  <c r="BG77" i="9"/>
  <c r="T249" i="14"/>
  <c r="M206" i="10"/>
  <c r="O91" i="11"/>
  <c r="E366" i="1"/>
  <c r="E368" i="1" s="1"/>
  <c r="E33" i="18"/>
  <c r="Y498" i="1"/>
  <c r="D480" i="1"/>
  <c r="E642" i="1"/>
  <c r="Y593" i="1"/>
  <c r="J398" i="1"/>
  <c r="L398" i="1"/>
  <c r="BX105" i="10"/>
  <c r="BW27" i="11"/>
  <c r="BY59" i="10"/>
  <c r="G366" i="1"/>
  <c r="AU95" i="1"/>
  <c r="T262" i="10"/>
  <c r="AP46" i="11"/>
  <c r="E337" i="1"/>
  <c r="E391" i="1" s="1"/>
  <c r="V492" i="1"/>
  <c r="F461" i="1"/>
  <c r="E724" i="1"/>
  <c r="D724" i="1" s="1"/>
  <c r="F724" i="1" s="1"/>
  <c r="BS44" i="11"/>
  <c r="M58" i="9"/>
  <c r="M54" i="11" s="1"/>
  <c r="Q197" i="14" s="1"/>
  <c r="E131" i="12"/>
  <c r="O203" i="9"/>
  <c r="F105" i="1"/>
  <c r="Y396" i="1"/>
  <c r="R204" i="14"/>
  <c r="R212" i="11"/>
  <c r="R212" i="9"/>
  <c r="F408" i="1"/>
  <c r="F413" i="1" s="1"/>
  <c r="K414" i="1" s="1"/>
  <c r="B674" i="16"/>
  <c r="BG113" i="9"/>
  <c r="BG116" i="9" s="1"/>
  <c r="BG115" i="9" s="1"/>
  <c r="BZ33" i="11"/>
  <c r="AQ37" i="11"/>
  <c r="BV27" i="11"/>
  <c r="J27" i="11"/>
  <c r="AF37" i="11"/>
  <c r="AK37" i="11"/>
  <c r="BF37" i="11"/>
  <c r="BK37" i="11"/>
  <c r="E28" i="11"/>
  <c r="AS46" i="11"/>
  <c r="BC46" i="11"/>
  <c r="BM28" i="11"/>
  <c r="CA46" i="11"/>
  <c r="AN29" i="11"/>
  <c r="AV29" i="11"/>
  <c r="BD29" i="11"/>
  <c r="BN29" i="11"/>
  <c r="CF29" i="11"/>
  <c r="AI30" i="11"/>
  <c r="AR30" i="11"/>
  <c r="AZ30" i="11"/>
  <c r="BJ30" i="11"/>
  <c r="D31" i="11"/>
  <c r="AI31" i="11"/>
  <c r="AP38" i="11"/>
  <c r="AX31" i="11"/>
  <c r="BF31" i="11"/>
  <c r="BN31" i="11"/>
  <c r="BU31" i="11"/>
  <c r="CC31" i="11"/>
  <c r="AM32" i="11"/>
  <c r="BR32" i="11"/>
  <c r="BT39" i="11"/>
  <c r="BQ48" i="11"/>
  <c r="AX39" i="11"/>
  <c r="BB41" i="11"/>
  <c r="J197" i="3"/>
  <c r="D50" i="16" s="1"/>
  <c r="E644" i="1"/>
  <c r="L345" i="3"/>
  <c r="K282" i="3"/>
  <c r="L282" i="3" s="1"/>
  <c r="BG30" i="11"/>
  <c r="D32" i="11"/>
  <c r="BM21" i="10"/>
  <c r="BN37" i="11"/>
  <c r="AQ24" i="9"/>
  <c r="BL27" i="11"/>
  <c r="BA33" i="11"/>
  <c r="J63" i="3"/>
  <c r="C701" i="16" s="1"/>
  <c r="F481" i="1"/>
  <c r="J478" i="1"/>
  <c r="D478" i="1"/>
  <c r="O58" i="10"/>
  <c r="O60" i="11"/>
  <c r="S211" i="14" s="1"/>
  <c r="J43" i="11"/>
  <c r="AN49" i="1"/>
  <c r="T229" i="9"/>
  <c r="U229" i="9" s="1"/>
  <c r="U273" i="9" s="1"/>
  <c r="BW98" i="10"/>
  <c r="Q210" i="14"/>
  <c r="AE10" i="1"/>
  <c r="AE105" i="1" s="1"/>
  <c r="Q34" i="11"/>
  <c r="N143" i="10"/>
  <c r="N145" i="10" s="1"/>
  <c r="N147" i="10" s="1"/>
  <c r="N116" i="10"/>
  <c r="I20" i="3"/>
  <c r="J21" i="3" s="1"/>
  <c r="BS59" i="9"/>
  <c r="BS63" i="9" s="1"/>
  <c r="CC42" i="11"/>
  <c r="O59" i="10"/>
  <c r="X362" i="1"/>
  <c r="X281" i="1"/>
  <c r="E373" i="1"/>
  <c r="F479" i="1"/>
  <c r="P131" i="9"/>
  <c r="P127" i="11" s="1"/>
  <c r="J702" i="1"/>
  <c r="J707" i="1" s="1"/>
  <c r="E319" i="1"/>
  <c r="D22" i="10"/>
  <c r="K101" i="3"/>
  <c r="K103" i="3" s="1"/>
  <c r="K107" i="3" s="1"/>
  <c r="AM21" i="10"/>
  <c r="BS70" i="9"/>
  <c r="BS81" i="9" s="1"/>
  <c r="N403" i="1"/>
  <c r="N417" i="1" s="1"/>
  <c r="G315" i="1"/>
  <c r="G319" i="1" s="1"/>
  <c r="C173" i="18"/>
  <c r="L104" i="9"/>
  <c r="BS113" i="9"/>
  <c r="BS120" i="9" s="1"/>
  <c r="BX103" i="9"/>
  <c r="BX47" i="11"/>
  <c r="BO103" i="9"/>
  <c r="E576" i="1"/>
  <c r="E583" i="1" s="1"/>
  <c r="E582" i="1" s="1"/>
  <c r="E607" i="1" s="1"/>
  <c r="E443" i="1"/>
  <c r="E479" i="1" s="1"/>
  <c r="J292" i="1"/>
  <c r="J101" i="3"/>
  <c r="J103" i="3" s="1"/>
  <c r="J104" i="3" s="1"/>
  <c r="BH231" i="9"/>
  <c r="BL103" i="9"/>
  <c r="P144" i="11"/>
  <c r="J408" i="1"/>
  <c r="V429" i="1"/>
  <c r="Q85" i="14"/>
  <c r="L403" i="1"/>
  <c r="E726" i="1" s="1"/>
  <c r="BO231" i="9"/>
  <c r="N27" i="11"/>
  <c r="BM102" i="9"/>
  <c r="BV231" i="9"/>
  <c r="BY96" i="9"/>
  <c r="I47" i="3"/>
  <c r="I49" i="3" s="1"/>
  <c r="BL102" i="9"/>
  <c r="N441" i="1"/>
  <c r="AE20" i="13"/>
  <c r="N24" i="9"/>
  <c r="BV305" i="9"/>
  <c r="L101" i="9"/>
  <c r="M226" i="3"/>
  <c r="M228" i="3" s="1"/>
  <c r="H125" i="1"/>
  <c r="J575" i="1"/>
  <c r="P575" i="1" s="1"/>
  <c r="V123" i="1"/>
  <c r="BU116" i="9"/>
  <c r="BU118" i="9" s="1"/>
  <c r="P28" i="11"/>
  <c r="BZ104" i="9"/>
  <c r="M184" i="11"/>
  <c r="M193" i="11" s="1"/>
  <c r="CA104" i="9"/>
  <c r="M99" i="10"/>
  <c r="BX61" i="9"/>
  <c r="P31" i="11"/>
  <c r="O441" i="1"/>
  <c r="H162" i="3"/>
  <c r="H166" i="3" s="1"/>
  <c r="C57" i="13"/>
  <c r="O103" i="9"/>
  <c r="BP228" i="9"/>
  <c r="BP230" i="9" s="1"/>
  <c r="BH62" i="9"/>
  <c r="BT113" i="9"/>
  <c r="BT123" i="9" s="1"/>
  <c r="N185" i="11"/>
  <c r="S264" i="14"/>
  <c r="CB226" i="9"/>
  <c r="CB228" i="9" s="1"/>
  <c r="CB230" i="9" s="1"/>
  <c r="Q158" i="9"/>
  <c r="Q153" i="11" s="1"/>
  <c r="U110" i="14" s="1"/>
  <c r="D43" i="11"/>
  <c r="BL104" i="9"/>
  <c r="CB279" i="10"/>
  <c r="CD306" i="11" s="1"/>
  <c r="C29" i="11"/>
  <c r="P35" i="11"/>
  <c r="F131" i="12"/>
  <c r="R265" i="9"/>
  <c r="N68" i="10"/>
  <c r="BB27" i="11"/>
  <c r="BX37" i="11"/>
  <c r="CE27" i="11"/>
  <c r="AG33" i="11"/>
  <c r="BH39" i="11"/>
  <c r="BK45" i="11"/>
  <c r="AF18" i="13"/>
  <c r="P48" i="11"/>
  <c r="R260" i="14"/>
  <c r="J312" i="1"/>
  <c r="J314" i="1" s="1"/>
  <c r="D178" i="18"/>
  <c r="F482" i="1"/>
  <c r="X282" i="1"/>
  <c r="X363" i="1"/>
  <c r="W288" i="1"/>
  <c r="AV28" i="11"/>
  <c r="O132" i="10"/>
  <c r="O133" i="10" s="1"/>
  <c r="O138" i="10" s="1"/>
  <c r="O129" i="10" s="1"/>
  <c r="O101" i="9"/>
  <c r="BT59" i="9"/>
  <c r="BT63" i="9" s="1"/>
  <c r="O72" i="10"/>
  <c r="BP99" i="9"/>
  <c r="I195" i="3"/>
  <c r="C48" i="16" s="1"/>
  <c r="AN47" i="1"/>
  <c r="BH37" i="11"/>
  <c r="CE37" i="11"/>
  <c r="AU46" i="11"/>
  <c r="G288" i="1"/>
  <c r="G442" i="1" s="1"/>
  <c r="G478" i="1" s="1"/>
  <c r="L103" i="9"/>
  <c r="L289" i="1"/>
  <c r="L451" i="1" s="1"/>
  <c r="CA55" i="10"/>
  <c r="CA59" i="10" s="1"/>
  <c r="AO37" i="11"/>
  <c r="O109" i="9"/>
  <c r="BP62" i="9"/>
  <c r="AE25" i="13"/>
  <c r="BG218" i="10"/>
  <c r="BG232" i="10" s="1"/>
  <c r="BZ101" i="9"/>
  <c r="BG24" i="9"/>
  <c r="BX35" i="11"/>
  <c r="I13" i="3"/>
  <c r="BK77" i="10"/>
  <c r="BK81" i="10" s="1"/>
  <c r="O220" i="10"/>
  <c r="O222" i="10" s="1"/>
  <c r="O226" i="10" s="1"/>
  <c r="P161" i="10"/>
  <c r="R217" i="11"/>
  <c r="E290" i="1"/>
  <c r="U262" i="10"/>
  <c r="P46" i="11"/>
  <c r="C44" i="11"/>
  <c r="J290" i="1"/>
  <c r="BW46" i="11"/>
  <c r="O89" i="11"/>
  <c r="O99" i="11" s="1"/>
  <c r="BT77" i="9"/>
  <c r="N152" i="11"/>
  <c r="R109" i="14" s="1"/>
  <c r="AJ25" i="9"/>
  <c r="AJ26" i="9" s="1"/>
  <c r="AD22" i="10"/>
  <c r="AD23" i="10" s="1"/>
  <c r="T190" i="14"/>
  <c r="O152" i="11"/>
  <c r="S109" i="14" s="1"/>
  <c r="BZ103" i="9"/>
  <c r="L226" i="3"/>
  <c r="L228" i="3" s="1"/>
  <c r="M81" i="9"/>
  <c r="M87" i="9" s="1"/>
  <c r="O102" i="9"/>
  <c r="I171" i="3"/>
  <c r="I173" i="3" s="1"/>
  <c r="W289" i="1"/>
  <c r="H463" i="1"/>
  <c r="V445" i="1"/>
  <c r="Q127" i="9"/>
  <c r="Q131" i="9" s="1"/>
  <c r="Q127" i="11" s="1"/>
  <c r="BO40" i="11"/>
  <c r="BF29" i="11"/>
  <c r="D482" i="1"/>
  <c r="CC37" i="11"/>
  <c r="AK27" i="11"/>
  <c r="K479" i="1"/>
  <c r="Q125" i="9"/>
  <c r="U242" i="14"/>
  <c r="Q21" i="10"/>
  <c r="AO43" i="11"/>
  <c r="J337" i="1"/>
  <c r="J391" i="1" s="1"/>
  <c r="P181" i="10"/>
  <c r="BR21" i="10"/>
  <c r="H441" i="1"/>
  <c r="V444" i="1"/>
  <c r="AF24" i="9"/>
  <c r="AR27" i="11"/>
  <c r="G316" i="1"/>
  <c r="G452" i="1" s="1"/>
  <c r="D575" i="1"/>
  <c r="D622" i="1" s="1"/>
  <c r="AI321" i="1"/>
  <c r="AQ321" i="1" s="1"/>
  <c r="G462" i="1"/>
  <c r="D402" i="1"/>
  <c r="D447" i="1" s="1"/>
  <c r="D448" i="1" s="1"/>
  <c r="H462" i="1"/>
  <c r="D55" i="16"/>
  <c r="CF46" i="11"/>
  <c r="AN45" i="11"/>
  <c r="E317" i="1"/>
  <c r="H480" i="1"/>
  <c r="G108" i="1"/>
  <c r="D702" i="1"/>
  <c r="C685" i="16"/>
  <c r="AS28" i="11"/>
  <c r="Q136" i="11"/>
  <c r="AL22" i="10"/>
  <c r="AL23" i="10" s="1"/>
  <c r="E403" i="1"/>
  <c r="V433" i="1" s="1"/>
  <c r="D685" i="16"/>
  <c r="Q22" i="10"/>
  <c r="Q23" i="10" s="1"/>
  <c r="BM37" i="11"/>
  <c r="BZ29" i="11"/>
  <c r="BC30" i="11"/>
  <c r="CE43" i="11"/>
  <c r="L343" i="1"/>
  <c r="E731" i="1" s="1"/>
  <c r="F731" i="1" s="1"/>
  <c r="Q41" i="10"/>
  <c r="J110" i="3"/>
  <c r="C649" i="16" s="1"/>
  <c r="BX287" i="9"/>
  <c r="BY287" i="9" s="1"/>
  <c r="Q39" i="10"/>
  <c r="M154" i="3"/>
  <c r="N154" i="3" s="1"/>
  <c r="G685" i="16" s="1"/>
  <c r="H487" i="1"/>
  <c r="F464" i="1"/>
  <c r="J266" i="12"/>
  <c r="J293" i="12" s="1"/>
  <c r="AY33" i="11"/>
  <c r="F222" i="14"/>
  <c r="S84" i="14"/>
  <c r="I16" i="3"/>
  <c r="H701" i="1"/>
  <c r="CD120" i="9"/>
  <c r="BI33" i="11"/>
  <c r="V247" i="14"/>
  <c r="Q37" i="10"/>
  <c r="R37" i="10" s="1"/>
  <c r="S37" i="10" s="1"/>
  <c r="F29" i="11"/>
  <c r="U249" i="14"/>
  <c r="AT28" i="11"/>
  <c r="Q265" i="9"/>
  <c r="W335" i="1"/>
  <c r="BY218" i="10"/>
  <c r="BY223" i="10" s="1"/>
  <c r="BY58" i="10"/>
  <c r="J30" i="11"/>
  <c r="AI38" i="11"/>
  <c r="BF235" i="10"/>
  <c r="BC40" i="11"/>
  <c r="C36" i="21"/>
  <c r="AM20" i="11"/>
  <c r="AM21" i="11" s="1"/>
  <c r="BK102" i="9"/>
  <c r="CA40" i="11"/>
  <c r="CB21" i="10"/>
  <c r="AL55" i="1"/>
  <c r="H19" i="3"/>
  <c r="BN296" i="9"/>
  <c r="N200" i="11"/>
  <c r="J37" i="11"/>
  <c r="AM27" i="11"/>
  <c r="AR37" i="11"/>
  <c r="AW27" i="11"/>
  <c r="AF47" i="11"/>
  <c r="BD28" i="11"/>
  <c r="CB46" i="11"/>
  <c r="AO29" i="11"/>
  <c r="AW29" i="11"/>
  <c r="BO29" i="11"/>
  <c r="BW29" i="11"/>
  <c r="AJ30" i="11"/>
  <c r="BA30" i="11"/>
  <c r="BK30" i="11"/>
  <c r="H33" i="11"/>
  <c r="AJ44" i="11"/>
  <c r="AT47" i="11"/>
  <c r="BV20" i="11"/>
  <c r="BV21" i="11" s="1"/>
  <c r="BM32" i="11"/>
  <c r="BV32" i="11"/>
  <c r="BA48" i="11"/>
  <c r="BW33" i="11"/>
  <c r="CC41" i="11"/>
  <c r="E312" i="1"/>
  <c r="U38" i="14"/>
  <c r="K30" i="11"/>
  <c r="BF218" i="10"/>
  <c r="BF232" i="10" s="1"/>
  <c r="BK104" i="9"/>
  <c r="E27" i="11"/>
  <c r="BR103" i="9"/>
  <c r="H226" i="3"/>
  <c r="H228" i="3" s="1"/>
  <c r="S262" i="10"/>
  <c r="BE40" i="11"/>
  <c r="AJ34" i="11"/>
  <c r="U188" i="14"/>
  <c r="E31" i="11"/>
  <c r="P29" i="11"/>
  <c r="CA28" i="11"/>
  <c r="BW274" i="9"/>
  <c r="BW278" i="9" s="1"/>
  <c r="BW280" i="9" s="1"/>
  <c r="BZ99" i="9"/>
  <c r="BI44" i="11"/>
  <c r="BH218" i="10"/>
  <c r="BH232" i="10" s="1"/>
  <c r="AM41" i="11"/>
  <c r="BB43" i="11"/>
  <c r="T15" i="9"/>
  <c r="Y236" i="17" s="1"/>
  <c r="U261" i="10"/>
  <c r="CA284" i="9"/>
  <c r="CA302" i="9" s="1"/>
  <c r="AP31" i="11"/>
  <c r="G33" i="11"/>
  <c r="BV101" i="9"/>
  <c r="BH235" i="10"/>
  <c r="AK39" i="11"/>
  <c r="BG22" i="10"/>
  <c r="BG23" i="10" s="1"/>
  <c r="N188" i="14"/>
  <c r="O29" i="11"/>
  <c r="H121" i="3"/>
  <c r="H143" i="3" s="1"/>
  <c r="AL120" i="1"/>
  <c r="G39" i="11"/>
  <c r="CF41" i="11"/>
  <c r="BF38" i="11"/>
  <c r="AS27" i="11"/>
  <c r="BF231" i="9"/>
  <c r="BC47" i="11"/>
  <c r="K195" i="14"/>
  <c r="BN228" i="9"/>
  <c r="BN230" i="9" s="1"/>
  <c r="P261" i="10"/>
  <c r="BK101" i="9"/>
  <c r="AL47" i="1"/>
  <c r="AL47" i="11"/>
  <c r="AX48" i="11"/>
  <c r="F125" i="1"/>
  <c r="BR101" i="9"/>
  <c r="BC28" i="11"/>
  <c r="AS30" i="11"/>
  <c r="BJ113" i="9"/>
  <c r="BN114" i="9" s="1"/>
  <c r="BR109" i="9"/>
  <c r="R102" i="14"/>
  <c r="D592" i="1"/>
  <c r="D593" i="1" s="1"/>
  <c r="C593" i="1" s="1"/>
  <c r="BT114" i="10"/>
  <c r="R10" i="11"/>
  <c r="V81" i="14" s="1"/>
  <c r="V244" i="14"/>
  <c r="BX27" i="11"/>
  <c r="H46" i="11"/>
  <c r="AG28" i="11"/>
  <c r="BP46" i="11"/>
  <c r="CC46" i="11"/>
  <c r="L30" i="11"/>
  <c r="BL38" i="11"/>
  <c r="BU38" i="11"/>
  <c r="K45" i="11"/>
  <c r="N59" i="10"/>
  <c r="AT46" i="11"/>
  <c r="BA39" i="11"/>
  <c r="AV37" i="11"/>
  <c r="AF22" i="13"/>
  <c r="AF19" i="13"/>
  <c r="BJ104" i="9"/>
  <c r="O231" i="9"/>
  <c r="S151" i="11"/>
  <c r="T151" i="11" s="1"/>
  <c r="T168" i="11" s="1"/>
  <c r="H39" i="11"/>
  <c r="BY114" i="10"/>
  <c r="L346" i="3"/>
  <c r="BP29" i="11"/>
  <c r="N189" i="14"/>
  <c r="BO104" i="9"/>
  <c r="N37" i="11"/>
  <c r="AY25" i="9"/>
  <c r="AY26" i="9" s="1"/>
  <c r="AF21" i="13"/>
  <c r="I64" i="3"/>
  <c r="I117" i="3"/>
  <c r="O149" i="10"/>
  <c r="BI27" i="11"/>
  <c r="AS38" i="11"/>
  <c r="BY20" i="11"/>
  <c r="BY21" i="11" s="1"/>
  <c r="AT40" i="11"/>
  <c r="BN28" i="11"/>
  <c r="E42" i="11"/>
  <c r="AF42" i="11"/>
  <c r="BM42" i="11"/>
  <c r="AW48" i="11"/>
  <c r="AH20" i="11"/>
  <c r="AH21" i="11" s="1"/>
  <c r="BD45" i="11"/>
  <c r="CE47" i="11"/>
  <c r="BD44" i="11"/>
  <c r="BM48" i="11"/>
  <c r="CC48" i="11"/>
  <c r="BP43" i="11"/>
  <c r="BQ37" i="11"/>
  <c r="BG235" i="10"/>
  <c r="BB37" i="11"/>
  <c r="AG22" i="10"/>
  <c r="AG23" i="10" s="1"/>
  <c r="R188" i="14"/>
  <c r="Q24" i="9"/>
  <c r="AL107" i="1"/>
  <c r="J389" i="1"/>
  <c r="CB40" i="11"/>
  <c r="J9" i="3"/>
  <c r="C648" i="16" s="1"/>
  <c r="BX29" i="11"/>
  <c r="J39" i="11"/>
  <c r="BO42" i="11"/>
  <c r="B22" i="10"/>
  <c r="B22" i="11" s="1"/>
  <c r="AL27" i="11"/>
  <c r="G42" i="11"/>
  <c r="K38" i="11"/>
  <c r="CB47" i="11"/>
  <c r="CB28" i="11"/>
  <c r="BS22" i="10"/>
  <c r="BS23" i="10" s="1"/>
  <c r="K59" i="1"/>
  <c r="AM47" i="1"/>
  <c r="AM49" i="1"/>
  <c r="BZ109" i="9"/>
  <c r="CD99" i="9"/>
  <c r="BI41" i="11"/>
  <c r="AR39" i="11"/>
  <c r="O68" i="10"/>
  <c r="BD47" i="11"/>
  <c r="AF28" i="11"/>
  <c r="BK25" i="9"/>
  <c r="BK26" i="9" s="1"/>
  <c r="BZ44" i="11"/>
  <c r="BD46" i="11"/>
  <c r="CA226" i="9"/>
  <c r="CA231" i="9" s="1"/>
  <c r="AL37" i="11"/>
  <c r="G40" i="11"/>
  <c r="BV274" i="9"/>
  <c r="BV278" i="9" s="1"/>
  <c r="BV280" i="9" s="1"/>
  <c r="AF46" i="11"/>
  <c r="AF24" i="13"/>
  <c r="AM55" i="1"/>
  <c r="AM50" i="1"/>
  <c r="L83" i="9"/>
  <c r="N173" i="11"/>
  <c r="R140" i="14" s="1"/>
  <c r="J20" i="11"/>
  <c r="J21" i="11" s="1"/>
  <c r="BP69" i="10"/>
  <c r="BZ38" i="11"/>
  <c r="E647" i="1"/>
  <c r="BG228" i="9"/>
  <c r="BG230" i="9" s="1"/>
  <c r="AX21" i="10"/>
  <c r="BE29" i="11"/>
  <c r="D37" i="11"/>
  <c r="BH22" i="10"/>
  <c r="BH23" i="10" s="1"/>
  <c r="G28" i="11"/>
  <c r="BV44" i="11"/>
  <c r="BY226" i="9"/>
  <c r="BX102" i="9"/>
  <c r="BX101" i="9"/>
  <c r="S191" i="14"/>
  <c r="G7" i="3"/>
  <c r="O167" i="11"/>
  <c r="S137" i="14" s="1"/>
  <c r="O105" i="10"/>
  <c r="BZ304" i="9"/>
  <c r="G46" i="11"/>
  <c r="D39" i="11"/>
  <c r="BJ101" i="9"/>
  <c r="I155" i="3"/>
  <c r="BU43" i="11"/>
  <c r="G124" i="1"/>
  <c r="K126" i="1"/>
  <c r="BD65" i="11"/>
  <c r="CA287" i="9"/>
  <c r="CB287" i="9" s="1"/>
  <c r="CB304" i="9" s="1"/>
  <c r="B20" i="11"/>
  <c r="F196" i="14" s="1"/>
  <c r="AF26" i="13"/>
  <c r="CB59" i="9" s="1"/>
  <c r="G29" i="11"/>
  <c r="L121" i="10"/>
  <c r="O69" i="10"/>
  <c r="L42" i="11"/>
  <c r="AT41" i="11"/>
  <c r="H68" i="3"/>
  <c r="H90" i="3" s="1"/>
  <c r="BM70" i="10"/>
  <c r="BY90" i="10"/>
  <c r="BY99" i="10" s="1"/>
  <c r="J105" i="1"/>
  <c r="I194" i="14"/>
  <c r="P260" i="10"/>
  <c r="BE25" i="9"/>
  <c r="BE26" i="9" s="1"/>
  <c r="J38" i="11"/>
  <c r="N39" i="11"/>
  <c r="AH34" i="11"/>
  <c r="BX99" i="9"/>
  <c r="BC77" i="10"/>
  <c r="BC81" i="10" s="1"/>
  <c r="CB55" i="10"/>
  <c r="CB59" i="10" s="1"/>
  <c r="BC31" i="11"/>
  <c r="BE296" i="9"/>
  <c r="M105" i="10"/>
  <c r="BJ70" i="10"/>
  <c r="R260" i="10"/>
  <c r="AU24" i="9"/>
  <c r="Q273" i="9"/>
  <c r="N40" i="11"/>
  <c r="CB110" i="10"/>
  <c r="F195" i="14"/>
  <c r="AI22" i="10"/>
  <c r="AI23" i="10" s="1"/>
  <c r="K58" i="3"/>
  <c r="AF23" i="13"/>
  <c r="AL29" i="11"/>
  <c r="BT101" i="9"/>
  <c r="CD27" i="11"/>
  <c r="AL50" i="1"/>
  <c r="I226" i="3"/>
  <c r="I228" i="3" s="1"/>
  <c r="BG69" i="10"/>
  <c r="CA31" i="11"/>
  <c r="R83" i="14"/>
  <c r="S260" i="10"/>
  <c r="L139" i="9"/>
  <c r="L130" i="9" s="1"/>
  <c r="BY76" i="9"/>
  <c r="BY43" i="11"/>
  <c r="R252" i="14"/>
  <c r="L58" i="3"/>
  <c r="P271" i="9"/>
  <c r="BA29" i="11"/>
  <c r="AR22" i="10"/>
  <c r="AR23" i="10" s="1"/>
  <c r="AF21" i="10"/>
  <c r="BD22" i="10"/>
  <c r="BD23" i="10" s="1"/>
  <c r="K707" i="1"/>
  <c r="I5" i="3"/>
  <c r="J5" i="3" s="1"/>
  <c r="K5" i="3" s="1"/>
  <c r="BT103" i="9"/>
  <c r="BZ21" i="10"/>
  <c r="CC73" i="10"/>
  <c r="CD73" i="10" s="1"/>
  <c r="CD65" i="10" s="1"/>
  <c r="CD69" i="10" s="1"/>
  <c r="AF20" i="13"/>
  <c r="AL57" i="1"/>
  <c r="K20" i="11"/>
  <c r="O196" i="14" s="1"/>
  <c r="BG296" i="9"/>
  <c r="BA37" i="11"/>
  <c r="AG37" i="11"/>
  <c r="BL37" i="11"/>
  <c r="BY37" i="11"/>
  <c r="CE39" i="11"/>
  <c r="AU40" i="11"/>
  <c r="I40" i="11"/>
  <c r="BS48" i="11"/>
  <c r="CA113" i="10"/>
  <c r="CA114" i="10"/>
  <c r="BO46" i="11"/>
  <c r="BX100" i="10"/>
  <c r="AF34" i="1"/>
  <c r="AF108" i="1" s="1"/>
  <c r="AS22" i="10"/>
  <c r="AS23" i="10" s="1"/>
  <c r="C48" i="11"/>
  <c r="BX98" i="10"/>
  <c r="M152" i="9"/>
  <c r="M146" i="11" s="1"/>
  <c r="BL22" i="10"/>
  <c r="BL23" i="10" s="1"/>
  <c r="BC22" i="10"/>
  <c r="BC23" i="10" s="1"/>
  <c r="N119" i="10"/>
  <c r="G21" i="10"/>
  <c r="CB95" i="10"/>
  <c r="H21" i="10"/>
  <c r="P170" i="11"/>
  <c r="T136" i="14" s="1"/>
  <c r="M83" i="9"/>
  <c r="AL24" i="9"/>
  <c r="BM40" i="11"/>
  <c r="N73" i="9"/>
  <c r="CA119" i="10"/>
  <c r="I22" i="10"/>
  <c r="I23" i="10" s="1"/>
  <c r="I102" i="3"/>
  <c r="P83" i="9"/>
  <c r="BM296" i="9"/>
  <c r="L133" i="11"/>
  <c r="M200" i="11"/>
  <c r="BY25" i="9"/>
  <c r="BY26" i="9" s="1"/>
  <c r="T13" i="9"/>
  <c r="Y221" i="17" s="1"/>
  <c r="AI44" i="11"/>
  <c r="BU58" i="11"/>
  <c r="BD42" i="11"/>
  <c r="J21" i="10"/>
  <c r="BY102" i="10"/>
  <c r="G22" i="10"/>
  <c r="G23" i="10" s="1"/>
  <c r="N231" i="9"/>
  <c r="BK69" i="10"/>
  <c r="BY24" i="9"/>
  <c r="BB22" i="10"/>
  <c r="BB23" i="10" s="1"/>
  <c r="N121" i="10"/>
  <c r="BL47" i="11"/>
  <c r="BE77" i="10"/>
  <c r="BE83" i="10" s="1"/>
  <c r="AH22" i="10"/>
  <c r="AH23" i="10" s="1"/>
  <c r="BY107" i="9"/>
  <c r="BE21" i="10"/>
  <c r="AQ21" i="10"/>
  <c r="CA123" i="10"/>
  <c r="BX40" i="11"/>
  <c r="AN40" i="1"/>
  <c r="V221" i="10"/>
  <c r="V262" i="10" s="1"/>
  <c r="AM44" i="11"/>
  <c r="BI69" i="10"/>
  <c r="BZ32" i="11"/>
  <c r="J22" i="10"/>
  <c r="J23" i="10" s="1"/>
  <c r="CA116" i="10"/>
  <c r="BO28" i="11"/>
  <c r="BQ103" i="9"/>
  <c r="BO109" i="9"/>
  <c r="AF41" i="11"/>
  <c r="AK22" i="10"/>
  <c r="AK23" i="10" s="1"/>
  <c r="H22" i="10"/>
  <c r="H23" i="10" s="1"/>
  <c r="CA110" i="10"/>
  <c r="BN21" i="10"/>
  <c r="N81" i="9"/>
  <c r="N87" i="9" s="1"/>
  <c r="BX22" i="10"/>
  <c r="BX23" i="10" s="1"/>
  <c r="BX70" i="10"/>
  <c r="BJ27" i="11"/>
  <c r="K107" i="1"/>
  <c r="R158" i="9"/>
  <c r="S225" i="11"/>
  <c r="AT42" i="11"/>
  <c r="N249" i="14"/>
  <c r="CC94" i="10"/>
  <c r="CA274" i="10"/>
  <c r="N112" i="10"/>
  <c r="N113" i="10" s="1"/>
  <c r="BY104" i="10"/>
  <c r="L352" i="3"/>
  <c r="C361" i="3" s="1"/>
  <c r="BY227" i="10"/>
  <c r="BY235" i="10" s="1"/>
  <c r="N58" i="10"/>
  <c r="BS70" i="10"/>
  <c r="Y491" i="1"/>
  <c r="G33" i="18"/>
  <c r="AE126" i="1"/>
  <c r="D7" i="21"/>
  <c r="BV223" i="10"/>
  <c r="L125" i="1"/>
  <c r="AL80" i="1"/>
  <c r="AN34" i="1"/>
  <c r="J106" i="1"/>
  <c r="BX95" i="10"/>
  <c r="BZ24" i="9"/>
  <c r="N152" i="9"/>
  <c r="N146" i="11" s="1"/>
  <c r="J29" i="11"/>
  <c r="BA44" i="11"/>
  <c r="CC39" i="11"/>
  <c r="BV267" i="10"/>
  <c r="BV271" i="10" s="1"/>
  <c r="BV273" i="10" s="1"/>
  <c r="CC44" i="11"/>
  <c r="M249" i="14"/>
  <c r="CB44" i="11"/>
  <c r="AM48" i="1"/>
  <c r="K72" i="9"/>
  <c r="BP296" i="9"/>
  <c r="BN77" i="10"/>
  <c r="BN83" i="10" s="1"/>
  <c r="AY27" i="11"/>
  <c r="BS27" i="11"/>
  <c r="O38" i="11"/>
  <c r="D41" i="11"/>
  <c r="BZ42" i="11"/>
  <c r="AH40" i="11"/>
  <c r="AN48" i="11"/>
  <c r="BC48" i="11"/>
  <c r="BK48" i="11"/>
  <c r="AO40" i="11"/>
  <c r="AV39" i="11"/>
  <c r="T193" i="14"/>
  <c r="P30" i="11"/>
  <c r="BZ278" i="9"/>
  <c r="BZ312" i="9" s="1"/>
  <c r="BZ310" i="9"/>
  <c r="P82" i="3"/>
  <c r="O58" i="3"/>
  <c r="BP37" i="11"/>
  <c r="L55" i="13"/>
  <c r="AM56" i="1"/>
  <c r="R267" i="9"/>
  <c r="AN7" i="1"/>
  <c r="AM96" i="1"/>
  <c r="AM105" i="1" s="1"/>
  <c r="AX27" i="11"/>
  <c r="H25" i="9"/>
  <c r="E37" i="11"/>
  <c r="L68" i="10"/>
  <c r="O222" i="14"/>
  <c r="F59" i="2"/>
  <c r="BY284" i="9"/>
  <c r="BY302" i="9" s="1"/>
  <c r="BZ226" i="9"/>
  <c r="CC47" i="11"/>
  <c r="BE28" i="11"/>
  <c r="I33" i="11"/>
  <c r="AM58" i="1"/>
  <c r="I95" i="3"/>
  <c r="I97" i="3" s="1"/>
  <c r="N182" i="10"/>
  <c r="N171" i="11"/>
  <c r="R113" i="14" s="1"/>
  <c r="N154" i="11"/>
  <c r="R111" i="14" s="1"/>
  <c r="L108" i="1"/>
  <c r="AX37" i="11"/>
  <c r="L109" i="9"/>
  <c r="T226" i="11"/>
  <c r="N58" i="3"/>
  <c r="J460" i="1"/>
  <c r="AE48" i="1"/>
  <c r="AE52" i="1" s="1"/>
  <c r="AN59" i="1" s="1"/>
  <c r="H106" i="1"/>
  <c r="J125" i="1"/>
  <c r="H123" i="1"/>
  <c r="AM45" i="11"/>
  <c r="Q262" i="10"/>
  <c r="K25" i="9"/>
  <c r="K26" i="9" s="1"/>
  <c r="R222" i="14"/>
  <c r="K41" i="11"/>
  <c r="BI22" i="10"/>
  <c r="BI23" i="10" s="1"/>
  <c r="K63" i="3"/>
  <c r="D701" i="16" s="1"/>
  <c r="BR27" i="11"/>
  <c r="L60" i="11"/>
  <c r="BO99" i="9"/>
  <c r="Q272" i="9"/>
  <c r="CA99" i="9"/>
  <c r="CB218" i="10"/>
  <c r="CB223" i="10" s="1"/>
  <c r="AG46" i="11"/>
  <c r="H95" i="3"/>
  <c r="H97" i="3" s="1"/>
  <c r="I11" i="3"/>
  <c r="J11" i="3" s="1"/>
  <c r="K11" i="3" s="1"/>
  <c r="L11" i="3" s="1"/>
  <c r="M11" i="3" s="1"/>
  <c r="N11" i="3" s="1"/>
  <c r="O11" i="3" s="1"/>
  <c r="P11" i="3" s="1"/>
  <c r="Q11" i="3" s="1"/>
  <c r="R11" i="3" s="1"/>
  <c r="S11" i="3" s="1"/>
  <c r="L349" i="3"/>
  <c r="K391" i="1"/>
  <c r="C620" i="16" s="1"/>
  <c r="D620" i="16" s="1"/>
  <c r="E620" i="16" s="1"/>
  <c r="G620" i="16" s="1"/>
  <c r="I620" i="16" s="1"/>
  <c r="T225" i="11"/>
  <c r="Q46" i="11"/>
  <c r="I46" i="11"/>
  <c r="BE46" i="11"/>
  <c r="R7" i="10"/>
  <c r="W245" i="17" s="1"/>
  <c r="BW302" i="9"/>
  <c r="Q20" i="11"/>
  <c r="V196" i="17" s="1"/>
  <c r="CA288" i="10"/>
  <c r="K125" i="1"/>
  <c r="AW73" i="1"/>
  <c r="G20" i="3"/>
  <c r="AU28" i="11"/>
  <c r="P262" i="10"/>
  <c r="CC226" i="10"/>
  <c r="CC275" i="10" s="1"/>
  <c r="CC293" i="10" s="1"/>
  <c r="CC25" i="9"/>
  <c r="CC26" i="9" s="1"/>
  <c r="P33" i="9"/>
  <c r="L77" i="10"/>
  <c r="AO35" i="11"/>
  <c r="BD109" i="9"/>
  <c r="T219" i="14"/>
  <c r="H28" i="11"/>
  <c r="AK20" i="11"/>
  <c r="AK22" i="11" s="1"/>
  <c r="AK23" i="11" s="1"/>
  <c r="BP28" i="11"/>
  <c r="CA103" i="9"/>
  <c r="AT24" i="9"/>
  <c r="CC28" i="11"/>
  <c r="AT21" i="10"/>
  <c r="W135" i="1"/>
  <c r="G13" i="3"/>
  <c r="H47" i="3"/>
  <c r="H49" i="3" s="1"/>
  <c r="H171" i="3"/>
  <c r="H173" i="3" s="1"/>
  <c r="BU70" i="10"/>
  <c r="BW25" i="9"/>
  <c r="BW26" i="9" s="1"/>
  <c r="BO70" i="10"/>
  <c r="AM35" i="11"/>
  <c r="BR35" i="11"/>
  <c r="W283" i="1"/>
  <c r="F478" i="1"/>
  <c r="BK38" i="11"/>
  <c r="CB32" i="11"/>
  <c r="BN40" i="11"/>
  <c r="H337" i="1"/>
  <c r="H391" i="1" s="1"/>
  <c r="F336" i="1"/>
  <c r="F390" i="1" s="1"/>
  <c r="H366" i="1"/>
  <c r="H368" i="1" s="1"/>
  <c r="F462" i="1"/>
  <c r="G480" i="1"/>
  <c r="V442" i="1"/>
  <c r="AS34" i="11"/>
  <c r="F20" i="3"/>
  <c r="U103" i="14"/>
  <c r="R32" i="10"/>
  <c r="R28" i="10" s="1"/>
  <c r="R6" i="10" s="1"/>
  <c r="W243" i="17" s="1"/>
  <c r="T171" i="11"/>
  <c r="X113" i="14" s="1"/>
  <c r="L132" i="11"/>
  <c r="BW54" i="11"/>
  <c r="BW66" i="11" s="1"/>
  <c r="BV99" i="10"/>
  <c r="BC24" i="9"/>
  <c r="BU30" i="11"/>
  <c r="H29" i="11"/>
  <c r="BN25" i="9"/>
  <c r="BN26" i="9" s="1"/>
  <c r="BZ95" i="10"/>
  <c r="CA101" i="9"/>
  <c r="AW24" i="9"/>
  <c r="AH28" i="11"/>
  <c r="S188" i="14"/>
  <c r="AF27" i="11"/>
  <c r="BC37" i="11"/>
  <c r="AJ27" i="11"/>
  <c r="AS37" i="11"/>
  <c r="BQ46" i="11"/>
  <c r="AG29" i="11"/>
  <c r="AY29" i="11"/>
  <c r="AU38" i="11"/>
  <c r="BV30" i="11"/>
  <c r="H31" i="11"/>
  <c r="AE38" i="11"/>
  <c r="AM31" i="11"/>
  <c r="BA31" i="11"/>
  <c r="BI31" i="11"/>
  <c r="BX38" i="11"/>
  <c r="BA41" i="11"/>
  <c r="AH47" i="11"/>
  <c r="W281" i="1"/>
  <c r="J160" i="3"/>
  <c r="J161" i="3" s="1"/>
  <c r="K285" i="1"/>
  <c r="K288" i="1" s="1"/>
  <c r="M58" i="3"/>
  <c r="J207" i="3"/>
  <c r="K135" i="1"/>
  <c r="H126" i="1"/>
  <c r="I29" i="11"/>
  <c r="H40" i="11"/>
  <c r="AI24" i="9"/>
  <c r="H194" i="14"/>
  <c r="S10" i="10"/>
  <c r="W244" i="14" s="1"/>
  <c r="BO218" i="10"/>
  <c r="BO223" i="10" s="1"/>
  <c r="M61" i="11"/>
  <c r="Q199" i="14" s="1"/>
  <c r="AW21" i="10"/>
  <c r="AD24" i="9"/>
  <c r="BY103" i="10"/>
  <c r="O27" i="11"/>
  <c r="AN39" i="11"/>
  <c r="AT27" i="11"/>
  <c r="BM39" i="11"/>
  <c r="BZ39" i="11"/>
  <c r="AL46" i="11"/>
  <c r="AS29" i="11"/>
  <c r="BK29" i="11"/>
  <c r="BS29" i="11"/>
  <c r="BW38" i="11"/>
  <c r="J31" i="11"/>
  <c r="BA81" i="11"/>
  <c r="BP32" i="11"/>
  <c r="J336" i="1"/>
  <c r="J390" i="1" s="1"/>
  <c r="F285" i="1"/>
  <c r="F287" i="1" s="1"/>
  <c r="C187" i="18"/>
  <c r="U190" i="14"/>
  <c r="I23" i="2"/>
  <c r="F337" i="1"/>
  <c r="F391" i="1" s="1"/>
  <c r="G338" i="1"/>
  <c r="G392" i="1" s="1"/>
  <c r="I120" i="3"/>
  <c r="H479" i="1"/>
  <c r="K475" i="1"/>
  <c r="F604" i="1"/>
  <c r="J334" i="20" s="1"/>
  <c r="I112" i="3"/>
  <c r="J112" i="3" s="1"/>
  <c r="K112" i="3" s="1"/>
  <c r="L112" i="3" s="1"/>
  <c r="M112" i="3" s="1"/>
  <c r="N112" i="3" s="1"/>
  <c r="O112" i="3" s="1"/>
  <c r="P112" i="3" s="1"/>
  <c r="Q112" i="3" s="1"/>
  <c r="R112" i="3" s="1"/>
  <c r="S112" i="3" s="1"/>
  <c r="J344" i="1"/>
  <c r="J596" i="20"/>
  <c r="BI296" i="9"/>
  <c r="BB77" i="10"/>
  <c r="BB83" i="10" s="1"/>
  <c r="CA70" i="10"/>
  <c r="M175" i="10"/>
  <c r="M176" i="10" s="1"/>
  <c r="O173" i="11"/>
  <c r="S140" i="14" s="1"/>
  <c r="R258" i="10"/>
  <c r="Q103" i="14"/>
  <c r="C37" i="11"/>
  <c r="Q260" i="14"/>
  <c r="BR59" i="9"/>
  <c r="BR63" i="9" s="1"/>
  <c r="BM62" i="9"/>
  <c r="BW59" i="10"/>
  <c r="H285" i="1"/>
  <c r="H287" i="1" s="1"/>
  <c r="H338" i="1"/>
  <c r="H392" i="1" s="1"/>
  <c r="E336" i="1"/>
  <c r="E390" i="1" s="1"/>
  <c r="W365" i="1"/>
  <c r="G337" i="1"/>
  <c r="G391" i="1" s="1"/>
  <c r="W282" i="1"/>
  <c r="D463" i="1"/>
  <c r="D479" i="1"/>
  <c r="D653" i="1"/>
  <c r="J4" i="3"/>
  <c r="I265" i="3"/>
  <c r="J265" i="3" s="1"/>
  <c r="K265" i="3" s="1"/>
  <c r="L265" i="3" s="1"/>
  <c r="M265" i="3" s="1"/>
  <c r="N265" i="3" s="1"/>
  <c r="O265" i="3" s="1"/>
  <c r="P265" i="3" s="1"/>
  <c r="Q265" i="3" s="1"/>
  <c r="R265" i="3" s="1"/>
  <c r="S265" i="3" s="1"/>
  <c r="K464" i="1"/>
  <c r="I64" i="18"/>
  <c r="E192" i="18" s="1"/>
  <c r="L123" i="10"/>
  <c r="M424" i="1"/>
  <c r="N424" i="1" s="1"/>
  <c r="O424" i="1" s="1"/>
  <c r="P424" i="1" s="1"/>
  <c r="L116" i="10"/>
  <c r="D9" i="21"/>
  <c r="CD125" i="9"/>
  <c r="N187" i="9"/>
  <c r="BL296" i="9"/>
  <c r="BT296" i="9"/>
  <c r="G32" i="11"/>
  <c r="M70" i="11"/>
  <c r="O194" i="11"/>
  <c r="P40" i="11"/>
  <c r="BN62" i="9"/>
  <c r="W311" i="1"/>
  <c r="E389" i="1"/>
  <c r="E338" i="1"/>
  <c r="W362" i="1"/>
  <c r="I19" i="3"/>
  <c r="I252" i="3"/>
  <c r="F463" i="1"/>
  <c r="E398" i="1"/>
  <c r="G482" i="1"/>
  <c r="P58" i="10"/>
  <c r="H457" i="1"/>
  <c r="CD58" i="10"/>
  <c r="D688" i="1"/>
  <c r="M688" i="1" s="1"/>
  <c r="L140" i="9"/>
  <c r="S52" i="9"/>
  <c r="BN46" i="11"/>
  <c r="AH42" i="11"/>
  <c r="N172" i="11"/>
  <c r="BK27" i="11"/>
  <c r="AZ40" i="11"/>
  <c r="BT29" i="11"/>
  <c r="BH30" i="11"/>
  <c r="BS30" i="11"/>
  <c r="AM43" i="11"/>
  <c r="BE47" i="11"/>
  <c r="AM80" i="1"/>
  <c r="H7" i="3"/>
  <c r="CB39" i="11"/>
  <c r="J72" i="9"/>
  <c r="BL77" i="10"/>
  <c r="BL81" i="10" s="1"/>
  <c r="BM46" i="11"/>
  <c r="BV29" i="11"/>
  <c r="BR30" i="11"/>
  <c r="CF32" i="11"/>
  <c r="K9" i="3"/>
  <c r="D648" i="16" s="1"/>
  <c r="L25" i="3"/>
  <c r="D640" i="16"/>
  <c r="U264" i="14"/>
  <c r="V264" i="17"/>
  <c r="Q132" i="10"/>
  <c r="Q133" i="10" s="1"/>
  <c r="Q138" i="10" s="1"/>
  <c r="Q129" i="10" s="1"/>
  <c r="B46" i="21"/>
  <c r="Q72" i="10"/>
  <c r="L316" i="1"/>
  <c r="E730" i="1" s="1"/>
  <c r="F730" i="1" s="1"/>
  <c r="J317" i="1"/>
  <c r="K423" i="1"/>
  <c r="L423" i="1" s="1"/>
  <c r="L334" i="20"/>
  <c r="D874" i="20" s="1"/>
  <c r="C658" i="1"/>
  <c r="J452" i="1"/>
  <c r="BW301" i="9"/>
  <c r="BW295" i="9"/>
  <c r="BJ235" i="10"/>
  <c r="BJ218" i="10"/>
  <c r="BJ233" i="10" s="1"/>
  <c r="G58" i="9"/>
  <c r="B53" i="13"/>
  <c r="B61" i="13"/>
  <c r="G57" i="9" s="1"/>
  <c r="K223" i="14" s="1"/>
  <c r="B58" i="13"/>
  <c r="B54" i="13"/>
  <c r="B60" i="13"/>
  <c r="B57" i="13"/>
  <c r="B56" i="13"/>
  <c r="B59" i="13"/>
  <c r="B55" i="13"/>
  <c r="BY77" i="9"/>
  <c r="BY61" i="9"/>
  <c r="H389" i="1"/>
  <c r="H312" i="1"/>
  <c r="H314" i="1" s="1"/>
  <c r="K194" i="20"/>
  <c r="K205" i="20" s="1"/>
  <c r="N580" i="1"/>
  <c r="I580" i="1"/>
  <c r="I577" i="1" s="1"/>
  <c r="M191" i="20" s="1"/>
  <c r="C543" i="12"/>
  <c r="I543" i="12" s="1"/>
  <c r="K23" i="3"/>
  <c r="L23" i="3" s="1"/>
  <c r="M23" i="3" s="1"/>
  <c r="N23" i="3" s="1"/>
  <c r="BB231" i="9"/>
  <c r="BB241" i="9"/>
  <c r="BB240" i="9"/>
  <c r="BB228" i="9"/>
  <c r="BB244" i="9" s="1"/>
  <c r="K339" i="1"/>
  <c r="K342" i="1" s="1"/>
  <c r="K344" i="1" s="1"/>
  <c r="H460" i="1"/>
  <c r="I114" i="3"/>
  <c r="G336" i="1"/>
  <c r="F366" i="1"/>
  <c r="F368" i="1" s="1"/>
  <c r="H704" i="1"/>
  <c r="L503" i="1"/>
  <c r="F460" i="1"/>
  <c r="I303" i="3"/>
  <c r="O224" i="3"/>
  <c r="P224" i="3" s="1"/>
  <c r="Q224" i="3" s="1"/>
  <c r="R224" i="3" s="1"/>
  <c r="E400" i="1"/>
  <c r="E22" i="10"/>
  <c r="E23" i="10" s="1"/>
  <c r="E21" i="10"/>
  <c r="I249" i="14"/>
  <c r="F22" i="10"/>
  <c r="F23" i="10" s="1"/>
  <c r="F21" i="10"/>
  <c r="S222" i="9"/>
  <c r="T222" i="9" s="1"/>
  <c r="R210" i="11"/>
  <c r="AL106" i="1"/>
  <c r="AU97" i="1"/>
  <c r="W108" i="1"/>
  <c r="W126" i="1"/>
  <c r="AM40" i="1"/>
  <c r="AM34" i="1"/>
  <c r="J44" i="3"/>
  <c r="J45" i="3" s="1"/>
  <c r="H478" i="1"/>
  <c r="K139" i="3"/>
  <c r="L139" i="3" s="1"/>
  <c r="M139" i="3" s="1"/>
  <c r="N139" i="3" s="1"/>
  <c r="O139" i="3" s="1"/>
  <c r="P139" i="3" s="1"/>
  <c r="Q139" i="3" s="1"/>
  <c r="R139" i="3" s="1"/>
  <c r="S139" i="3" s="1"/>
  <c r="J116" i="3"/>
  <c r="J472" i="1"/>
  <c r="J168" i="3" s="1"/>
  <c r="J373" i="1"/>
  <c r="T38" i="14"/>
  <c r="P116" i="9"/>
  <c r="P128" i="9" s="1"/>
  <c r="P149" i="9"/>
  <c r="P151" i="9" s="1"/>
  <c r="J211" i="20"/>
  <c r="J209" i="20" s="1"/>
  <c r="F592" i="1"/>
  <c r="F593" i="1" s="1"/>
  <c r="V254" i="17"/>
  <c r="V260" i="17" s="1"/>
  <c r="H64" i="12"/>
  <c r="H66" i="12" s="1"/>
  <c r="H68" i="12" s="1"/>
  <c r="C767" i="12"/>
  <c r="C768" i="12" s="1"/>
  <c r="R117" i="10"/>
  <c r="C571" i="12"/>
  <c r="C582" i="12"/>
  <c r="Q187" i="10"/>
  <c r="Q183" i="11" s="1"/>
  <c r="Q115" i="11"/>
  <c r="U108" i="14" s="1"/>
  <c r="U118" i="14" s="1"/>
  <c r="Q60" i="11"/>
  <c r="Q59" i="11" s="1"/>
  <c r="C662" i="1"/>
  <c r="V418" i="1"/>
  <c r="D33" i="18"/>
  <c r="AL105" i="1"/>
  <c r="AU96" i="1"/>
  <c r="X308" i="1"/>
  <c r="K389" i="1"/>
  <c r="C618" i="16" s="1"/>
  <c r="D618" i="16" s="1"/>
  <c r="E618" i="16" s="1"/>
  <c r="G618" i="16" s="1"/>
  <c r="I618" i="16" s="1"/>
  <c r="G285" i="1"/>
  <c r="Y285" i="1" s="1"/>
  <c r="P152" i="11"/>
  <c r="T109" i="14" s="1"/>
  <c r="P153" i="10"/>
  <c r="P154" i="11" s="1"/>
  <c r="T111" i="14" s="1"/>
  <c r="Q211" i="9"/>
  <c r="Q201" i="11" s="1"/>
  <c r="Q170" i="11"/>
  <c r="U136" i="14" s="1"/>
  <c r="D462" i="1"/>
  <c r="K457" i="1"/>
  <c r="K461" i="1"/>
  <c r="H481" i="1"/>
  <c r="K295" i="3"/>
  <c r="J270" i="3"/>
  <c r="C666" i="16" s="1"/>
  <c r="K291" i="3"/>
  <c r="L291" i="3" s="1"/>
  <c r="M291" i="3" s="1"/>
  <c r="N291" i="3" s="1"/>
  <c r="O291" i="3" s="1"/>
  <c r="P291" i="3" s="1"/>
  <c r="J264" i="3"/>
  <c r="J444" i="1"/>
  <c r="J462" i="1" s="1"/>
  <c r="W342" i="1"/>
  <c r="V430" i="1"/>
  <c r="M182" i="10"/>
  <c r="M193" i="10"/>
  <c r="M196" i="10" s="1"/>
  <c r="M199" i="10" s="1"/>
  <c r="Q261" i="14" s="1"/>
  <c r="M223" i="10"/>
  <c r="M227" i="10" s="1"/>
  <c r="M226" i="10"/>
  <c r="Q262" i="14"/>
  <c r="AE187" i="14"/>
  <c r="AF187" i="14" s="1"/>
  <c r="AG187" i="14" s="1"/>
  <c r="AH187" i="14" s="1"/>
  <c r="AI187" i="14" s="1"/>
  <c r="M44" i="11"/>
  <c r="M33" i="11"/>
  <c r="J366" i="1"/>
  <c r="W363" i="1"/>
  <c r="F706" i="1"/>
  <c r="F707" i="1" s="1"/>
  <c r="F418" i="1"/>
  <c r="M457" i="1"/>
  <c r="U254" i="14"/>
  <c r="U260" i="14" s="1"/>
  <c r="Y282" i="1"/>
  <c r="M417" i="1"/>
  <c r="F420" i="1"/>
  <c r="F421" i="1" s="1"/>
  <c r="BN69" i="10"/>
  <c r="BJ69" i="10"/>
  <c r="CA218" i="10"/>
  <c r="CA267" i="10"/>
  <c r="BW296" i="10"/>
  <c r="BX279" i="10"/>
  <c r="BY279" i="10" s="1"/>
  <c r="BY296" i="10" s="1"/>
  <c r="I60" i="3"/>
  <c r="I61" i="3" s="1"/>
  <c r="AL13" i="1"/>
  <c r="V48" i="1"/>
  <c r="P115" i="10"/>
  <c r="P187" i="10" s="1"/>
  <c r="I148" i="3"/>
  <c r="I150" i="3" s="1"/>
  <c r="S258" i="10"/>
  <c r="L101" i="3"/>
  <c r="L103" i="3" s="1"/>
  <c r="K130" i="3"/>
  <c r="D691" i="16" s="1"/>
  <c r="BJ231" i="10"/>
  <c r="D417" i="1"/>
  <c r="D418" i="1" s="1"/>
  <c r="H609" i="1"/>
  <c r="C659" i="1" s="1"/>
  <c r="G14" i="7"/>
  <c r="G17" i="7" s="1"/>
  <c r="BZ59" i="10"/>
  <c r="BV59" i="10"/>
  <c r="B675" i="16"/>
  <c r="B620" i="16"/>
  <c r="G312" i="1"/>
  <c r="G389" i="1"/>
  <c r="H461" i="1"/>
  <c r="V443" i="1"/>
  <c r="CC57" i="9"/>
  <c r="CC58" i="9" s="1"/>
  <c r="CC62" i="9" s="1"/>
  <c r="BZ78" i="9"/>
  <c r="BZ76" i="9"/>
  <c r="F15" i="18"/>
  <c r="F16" i="18" s="1"/>
  <c r="K29" i="3"/>
  <c r="K15" i="3" s="1"/>
  <c r="D700" i="16" s="1"/>
  <c r="C690" i="16"/>
  <c r="J471" i="1"/>
  <c r="J303" i="3" s="1"/>
  <c r="J346" i="1"/>
  <c r="P139" i="9"/>
  <c r="P130" i="9" s="1"/>
  <c r="L441" i="1"/>
  <c r="L487" i="1"/>
  <c r="L701" i="1"/>
  <c r="G575" i="1"/>
  <c r="N575" i="1" s="1"/>
  <c r="Y375" i="1"/>
  <c r="Y402" i="1" s="1"/>
  <c r="F662" i="1" s="1"/>
  <c r="AP21" i="10"/>
  <c r="AP22" i="10"/>
  <c r="AP23" i="10" s="1"/>
  <c r="BV21" i="10"/>
  <c r="BV22" i="10"/>
  <c r="BV23" i="10" s="1"/>
  <c r="BW105" i="10"/>
  <c r="BB70" i="10"/>
  <c r="BF70" i="10"/>
  <c r="BX114" i="10"/>
  <c r="BX113" i="10"/>
  <c r="BR231" i="10"/>
  <c r="BR218" i="10"/>
  <c r="BR235" i="10"/>
  <c r="BL61" i="9"/>
  <c r="BL113" i="9"/>
  <c r="BL70" i="9"/>
  <c r="M32" i="11"/>
  <c r="Q81" i="14"/>
  <c r="Q191" i="14"/>
  <c r="J66" i="3"/>
  <c r="C710" i="16" s="1"/>
  <c r="I67" i="3"/>
  <c r="L284" i="3"/>
  <c r="M284" i="3" s="1"/>
  <c r="D642" i="16"/>
  <c r="X446" i="1"/>
  <c r="K482" i="1"/>
  <c r="V431" i="1"/>
  <c r="J445" i="1"/>
  <c r="W225" i="17"/>
  <c r="C18" i="21"/>
  <c r="R73" i="9"/>
  <c r="R81" i="9"/>
  <c r="S69" i="9"/>
  <c r="N63" i="3"/>
  <c r="G701" i="16" s="1"/>
  <c r="O77" i="3"/>
  <c r="O63" i="3" s="1"/>
  <c r="W217" i="14"/>
  <c r="X217" i="17"/>
  <c r="D6" i="21"/>
  <c r="X443" i="1"/>
  <c r="M448" i="1"/>
  <c r="V225" i="14"/>
  <c r="F416" i="1"/>
  <c r="F474" i="1" s="1"/>
  <c r="F475" i="1" s="1"/>
  <c r="H603" i="1"/>
  <c r="L333" i="20" s="1"/>
  <c r="D873" i="20" s="1"/>
  <c r="V16" i="1"/>
  <c r="V45" i="1" s="1"/>
  <c r="K704" i="1"/>
  <c r="AN13" i="1"/>
  <c r="AC21" i="10"/>
  <c r="J15" i="3"/>
  <c r="J16" i="3" s="1"/>
  <c r="C37" i="21"/>
  <c r="W248" i="17"/>
  <c r="G222" i="14"/>
  <c r="C25" i="9"/>
  <c r="L348" i="3"/>
  <c r="V233" i="14"/>
  <c r="O389" i="1"/>
  <c r="H465" i="1"/>
  <c r="BX275" i="10"/>
  <c r="BX293" i="10" s="1"/>
  <c r="BI25" i="9"/>
  <c r="BI26" i="9" s="1"/>
  <c r="BJ109" i="9"/>
  <c r="BI24" i="9"/>
  <c r="CD301" i="9"/>
  <c r="CD295" i="9"/>
  <c r="K53" i="13"/>
  <c r="K390" i="1"/>
  <c r="C619" i="16" s="1"/>
  <c r="D619" i="16" s="1"/>
  <c r="E619" i="16" s="1"/>
  <c r="G619" i="16" s="1"/>
  <c r="I619" i="16" s="1"/>
  <c r="D25" i="9"/>
  <c r="H222" i="14"/>
  <c r="D20" i="11"/>
  <c r="H196" i="14" s="1"/>
  <c r="R85" i="14"/>
  <c r="N30" i="11"/>
  <c r="AG32" i="11"/>
  <c r="AG38" i="11"/>
  <c r="O195" i="14"/>
  <c r="K39" i="11"/>
  <c r="K48" i="11"/>
  <c r="AZ45" i="11"/>
  <c r="AV45" i="11"/>
  <c r="C33" i="11"/>
  <c r="C39" i="11"/>
  <c r="D56" i="13"/>
  <c r="D57" i="13"/>
  <c r="I58" i="9"/>
  <c r="J62" i="9" s="1"/>
  <c r="D59" i="13"/>
  <c r="U252" i="17"/>
  <c r="P69" i="10"/>
  <c r="J240" i="3"/>
  <c r="K231" i="3"/>
  <c r="J236" i="3"/>
  <c r="J238" i="3" s="1"/>
  <c r="Q42" i="9"/>
  <c r="V219" i="17"/>
  <c r="Q33" i="9"/>
  <c r="W236" i="14"/>
  <c r="R13" i="11"/>
  <c r="W210" i="17" s="1"/>
  <c r="G464" i="1"/>
  <c r="E406" i="1"/>
  <c r="E456" i="1" s="1"/>
  <c r="J426" i="1"/>
  <c r="J428" i="1" s="1"/>
  <c r="J431" i="1" s="1"/>
  <c r="L400" i="1"/>
  <c r="J703" i="1"/>
  <c r="AV42" i="11"/>
  <c r="AO25" i="9"/>
  <c r="AO26" i="9" s="1"/>
  <c r="T195" i="14"/>
  <c r="BN77" i="9"/>
  <c r="AR32" i="11"/>
  <c r="C60" i="13"/>
  <c r="P20" i="11"/>
  <c r="T80" i="14" s="1"/>
  <c r="BT35" i="11"/>
  <c r="BC27" i="11"/>
  <c r="D53" i="13"/>
  <c r="K124" i="1"/>
  <c r="K106" i="1"/>
  <c r="AE125" i="1"/>
  <c r="AE107" i="1"/>
  <c r="BH25" i="9"/>
  <c r="BH26" i="9" s="1"/>
  <c r="BH24" i="9"/>
  <c r="M116" i="9"/>
  <c r="M119" i="9" s="1"/>
  <c r="M123" i="9"/>
  <c r="Q38" i="14"/>
  <c r="M171" i="11"/>
  <c r="Q113" i="14" s="1"/>
  <c r="BD243" i="9"/>
  <c r="BD239" i="9"/>
  <c r="AH37" i="11"/>
  <c r="AI41" i="11"/>
  <c r="BI46" i="11"/>
  <c r="BH28" i="11"/>
  <c r="BR28" i="11"/>
  <c r="AI32" i="11"/>
  <c r="AH38" i="11"/>
  <c r="AH32" i="11"/>
  <c r="AS20" i="11"/>
  <c r="BF20" i="11"/>
  <c r="BF22" i="11" s="1"/>
  <c r="BF23" i="11" s="1"/>
  <c r="BJ43" i="11"/>
  <c r="BZ43" i="11"/>
  <c r="BZ20" i="11"/>
  <c r="BZ22" i="11" s="1"/>
  <c r="BZ23" i="11" s="1"/>
  <c r="L33" i="11"/>
  <c r="AI33" i="11"/>
  <c r="AI20" i="11"/>
  <c r="AI22" i="11" s="1"/>
  <c r="AI23" i="11" s="1"/>
  <c r="AT33" i="11"/>
  <c r="E34" i="11"/>
  <c r="E41" i="11"/>
  <c r="E45" i="11"/>
  <c r="L45" i="11"/>
  <c r="P194" i="14"/>
  <c r="L34" i="11"/>
  <c r="AT34" i="11"/>
  <c r="BM41" i="11"/>
  <c r="BM45" i="11"/>
  <c r="CA42" i="11"/>
  <c r="CA34" i="11"/>
  <c r="AO47" i="11"/>
  <c r="AP35" i="11"/>
  <c r="BD39" i="11"/>
  <c r="BM20" i="11"/>
  <c r="BM33" i="11"/>
  <c r="R269" i="9"/>
  <c r="J187" i="3"/>
  <c r="K187" i="3" s="1"/>
  <c r="L187" i="3" s="1"/>
  <c r="C54" i="16"/>
  <c r="C656" i="16"/>
  <c r="K27" i="3"/>
  <c r="BK223" i="10"/>
  <c r="W308" i="1"/>
  <c r="BZ227" i="10"/>
  <c r="BZ231" i="10" s="1"/>
  <c r="CE286" i="11"/>
  <c r="CE304" i="11" s="1"/>
  <c r="CC276" i="10"/>
  <c r="CC294" i="10" s="1"/>
  <c r="CC120" i="10"/>
  <c r="CC107" i="9"/>
  <c r="CC97" i="9"/>
  <c r="O114" i="11"/>
  <c r="O152" i="9"/>
  <c r="N123" i="9"/>
  <c r="N114" i="9"/>
  <c r="O114" i="9"/>
  <c r="N149" i="9"/>
  <c r="N116" i="9"/>
  <c r="AS40" i="11"/>
  <c r="AS44" i="11"/>
  <c r="BV46" i="11"/>
  <c r="BV40" i="11"/>
  <c r="BV28" i="11"/>
  <c r="AE240" i="14"/>
  <c r="AF240" i="14" s="1"/>
  <c r="AG240" i="14" s="1"/>
  <c r="AH240" i="14" s="1"/>
  <c r="AI240" i="14" s="1"/>
  <c r="I351" i="12"/>
  <c r="BW351" i="12" s="1"/>
  <c r="J204" i="20" s="1"/>
  <c r="CC66" i="10"/>
  <c r="CC70" i="10" s="1"/>
  <c r="J10" i="3"/>
  <c r="K36" i="3"/>
  <c r="S222" i="14"/>
  <c r="O20" i="11"/>
  <c r="O21" i="11" s="1"/>
  <c r="Q8" i="11"/>
  <c r="U193" i="14" s="1"/>
  <c r="E371" i="1"/>
  <c r="I56" i="3"/>
  <c r="BK33" i="11"/>
  <c r="CA109" i="9"/>
  <c r="AS42" i="11"/>
  <c r="BK231" i="9"/>
  <c r="AG24" i="9"/>
  <c r="BF99" i="9"/>
  <c r="AV41" i="11"/>
  <c r="BF61" i="9"/>
  <c r="BJ62" i="9"/>
  <c r="BN44" i="11"/>
  <c r="L44" i="11"/>
  <c r="CF54" i="11"/>
  <c r="CF66" i="11" s="1"/>
  <c r="AK43" i="11"/>
  <c r="I39" i="11"/>
  <c r="CA24" i="9"/>
  <c r="AP28" i="11"/>
  <c r="CD46" i="11"/>
  <c r="H238" i="3"/>
  <c r="CB54" i="11"/>
  <c r="CB64" i="11" s="1"/>
  <c r="BZ58" i="10"/>
  <c r="BU235" i="9"/>
  <c r="BU243" i="9" s="1"/>
  <c r="F24" i="9"/>
  <c r="F25" i="9"/>
  <c r="AS25" i="9"/>
  <c r="AS26" i="9" s="1"/>
  <c r="AS24" i="9"/>
  <c r="BI102" i="9"/>
  <c r="BI109" i="9"/>
  <c r="BI104" i="9"/>
  <c r="BI101" i="9"/>
  <c r="BV102" i="9"/>
  <c r="BV104" i="9"/>
  <c r="BV99" i="9"/>
  <c r="AR25" i="9"/>
  <c r="AR26" i="9" s="1"/>
  <c r="AR24" i="9"/>
  <c r="BW101" i="9"/>
  <c r="BW109" i="9"/>
  <c r="BW102" i="9"/>
  <c r="BW104" i="9"/>
  <c r="BW103" i="9"/>
  <c r="BW99" i="9"/>
  <c r="AE213" i="14"/>
  <c r="AF213" i="14" s="1"/>
  <c r="AG213" i="14" s="1"/>
  <c r="AH213" i="14" s="1"/>
  <c r="AI213" i="14" s="1"/>
  <c r="BR77" i="9"/>
  <c r="BR113" i="9"/>
  <c r="BR70" i="9"/>
  <c r="BV74" i="9" s="1"/>
  <c r="F312" i="1"/>
  <c r="F314" i="1" s="1"/>
  <c r="X311" i="1"/>
  <c r="E446" i="1"/>
  <c r="I249" i="3" s="1"/>
  <c r="C55" i="13"/>
  <c r="C59" i="13"/>
  <c r="C54" i="13"/>
  <c r="H58" i="9"/>
  <c r="C58" i="13"/>
  <c r="C53" i="13"/>
  <c r="S212" i="10"/>
  <c r="S208" i="11" s="1"/>
  <c r="W101" i="14" s="1"/>
  <c r="R256" i="10"/>
  <c r="R151" i="10" s="1"/>
  <c r="R208" i="11"/>
  <c r="V101" i="14" s="1"/>
  <c r="X365" i="1"/>
  <c r="S48" i="9"/>
  <c r="I162" i="3"/>
  <c r="I169" i="3" s="1"/>
  <c r="F406" i="1"/>
  <c r="F456" i="1" s="1"/>
  <c r="F457" i="1" s="1"/>
  <c r="W52" i="1"/>
  <c r="W112" i="1" s="1"/>
  <c r="V432" i="1"/>
  <c r="Q228" i="9"/>
  <c r="Q234" i="9" s="1"/>
  <c r="E346" i="1"/>
  <c r="K366" i="1"/>
  <c r="K369" i="1" s="1"/>
  <c r="X335" i="1"/>
  <c r="V248" i="14"/>
  <c r="Q58" i="10"/>
  <c r="L479" i="1"/>
  <c r="L135" i="10"/>
  <c r="E344" i="1"/>
  <c r="M441" i="1"/>
  <c r="AI82" i="1"/>
  <c r="AM28" i="1"/>
  <c r="J416" i="1"/>
  <c r="J474" i="1" s="1"/>
  <c r="F108" i="1"/>
  <c r="J406" i="1"/>
  <c r="J456" i="1" s="1"/>
  <c r="W107" i="1"/>
  <c r="D53" i="16"/>
  <c r="BJ44" i="11"/>
  <c r="O61" i="11"/>
  <c r="O69" i="11" s="1"/>
  <c r="BU24" i="9"/>
  <c r="N109" i="9"/>
  <c r="R11" i="11"/>
  <c r="R33" i="11" s="1"/>
  <c r="O81" i="9"/>
  <c r="BL54" i="11"/>
  <c r="BL81" i="11" s="1"/>
  <c r="S11" i="10"/>
  <c r="X248" i="17" s="1"/>
  <c r="BK20" i="11"/>
  <c r="BK21" i="11" s="1"/>
  <c r="CC118" i="9"/>
  <c r="BR24" i="9"/>
  <c r="M109" i="10"/>
  <c r="M110" i="10" s="1"/>
  <c r="M58" i="10"/>
  <c r="BD101" i="9"/>
  <c r="BD99" i="9"/>
  <c r="BD104" i="9"/>
  <c r="BD103" i="9"/>
  <c r="BB239" i="9"/>
  <c r="BB243" i="9"/>
  <c r="K55" i="13"/>
  <c r="W263" i="17"/>
  <c r="V263" i="14"/>
  <c r="T222" i="14"/>
  <c r="U222" i="17"/>
  <c r="P24" i="9"/>
  <c r="L446" i="1"/>
  <c r="Y446" i="1" s="1"/>
  <c r="T83" i="14"/>
  <c r="AR20" i="11"/>
  <c r="AR21" i="11" s="1"/>
  <c r="AR38" i="11"/>
  <c r="AV43" i="11"/>
  <c r="BL46" i="11"/>
  <c r="BL28" i="11"/>
  <c r="BK42" i="11"/>
  <c r="BO43" i="11"/>
  <c r="BK32" i="11"/>
  <c r="CE102" i="11"/>
  <c r="CD40" i="11"/>
  <c r="CD44" i="11"/>
  <c r="K70" i="9"/>
  <c r="L74" i="9" s="1"/>
  <c r="K113" i="9"/>
  <c r="L114" i="9" s="1"/>
  <c r="K69" i="9"/>
  <c r="L73" i="9" s="1"/>
  <c r="BW113" i="9"/>
  <c r="BW123" i="9" s="1"/>
  <c r="BW76" i="9"/>
  <c r="K158" i="3"/>
  <c r="C703" i="16"/>
  <c r="BK233" i="10"/>
  <c r="W396" i="1"/>
  <c r="X309" i="1"/>
  <c r="W221" i="14"/>
  <c r="L138" i="10"/>
  <c r="L129" i="10" s="1"/>
  <c r="J446" i="1"/>
  <c r="I54" i="3"/>
  <c r="J54" i="3" s="1"/>
  <c r="K54" i="3" s="1"/>
  <c r="L54" i="3" s="1"/>
  <c r="M54" i="3" s="1"/>
  <c r="N54" i="3" s="1"/>
  <c r="O54" i="3" s="1"/>
  <c r="P54" i="3" s="1"/>
  <c r="Q54" i="3" s="1"/>
  <c r="R54" i="3" s="1"/>
  <c r="S54" i="3" s="1"/>
  <c r="B18" i="21"/>
  <c r="V225" i="17"/>
  <c r="S66" i="9"/>
  <c r="S68" i="9" s="1"/>
  <c r="X237" i="17" s="1"/>
  <c r="T216" i="10"/>
  <c r="U216" i="10" s="1"/>
  <c r="V216" i="10" s="1"/>
  <c r="W216" i="10" s="1"/>
  <c r="X216" i="10" s="1"/>
  <c r="BK220" i="10"/>
  <c r="E444" i="1"/>
  <c r="J402" i="1"/>
  <c r="J447" i="1" s="1"/>
  <c r="G289" i="1"/>
  <c r="G503" i="1"/>
  <c r="J473" i="1"/>
  <c r="J255" i="3" s="1"/>
  <c r="AL34" i="1"/>
  <c r="I159" i="3"/>
  <c r="L124" i="1"/>
  <c r="C56" i="13"/>
  <c r="AS33" i="11"/>
  <c r="U82" i="14"/>
  <c r="N20" i="11"/>
  <c r="N21" i="11" s="1"/>
  <c r="BF43" i="11"/>
  <c r="M195" i="14"/>
  <c r="BL35" i="11"/>
  <c r="BS99" i="9"/>
  <c r="BF62" i="9"/>
  <c r="O194" i="14"/>
  <c r="P73" i="9"/>
  <c r="K52" i="1"/>
  <c r="K127" i="1" s="1"/>
  <c r="L59" i="1"/>
  <c r="Q249" i="14"/>
  <c r="M21" i="10"/>
  <c r="M22" i="10"/>
  <c r="M23" i="10" s="1"/>
  <c r="AJ22" i="10"/>
  <c r="AJ23" i="10" s="1"/>
  <c r="AJ21" i="10"/>
  <c r="CB98" i="10"/>
  <c r="CB99" i="10"/>
  <c r="CB100" i="10"/>
  <c r="BW218" i="10"/>
  <c r="BW220" i="10" s="1"/>
  <c r="BW222" i="10" s="1"/>
  <c r="BW267" i="10"/>
  <c r="BW271" i="10" s="1"/>
  <c r="BW273" i="10" s="1"/>
  <c r="BU27" i="11"/>
  <c r="BT27" i="11"/>
  <c r="CA41" i="11"/>
  <c r="CA37" i="11"/>
  <c r="CC29" i="11"/>
  <c r="BX30" i="11"/>
  <c r="N191" i="14"/>
  <c r="J32" i="11"/>
  <c r="AX43" i="11"/>
  <c r="AT32" i="11"/>
  <c r="BK39" i="11"/>
  <c r="BK40" i="11"/>
  <c r="BY44" i="11"/>
  <c r="BY40" i="11"/>
  <c r="BY39" i="11"/>
  <c r="J190" i="14"/>
  <c r="F28" i="11"/>
  <c r="BP103" i="9"/>
  <c r="BP102" i="9"/>
  <c r="BP61" i="9"/>
  <c r="Y68" i="13"/>
  <c r="Y71" i="13"/>
  <c r="Y66" i="13"/>
  <c r="Y69" i="13"/>
  <c r="Y72" i="13"/>
  <c r="Y64" i="13"/>
  <c r="Y67" i="13"/>
  <c r="Y70" i="13"/>
  <c r="Y65" i="13"/>
  <c r="M47" i="11"/>
  <c r="AV21" i="10"/>
  <c r="AV22" i="10"/>
  <c r="AV23" i="10" s="1"/>
  <c r="AN27" i="11"/>
  <c r="B37" i="11"/>
  <c r="BT37" i="11"/>
  <c r="BP30" i="11"/>
  <c r="AG31" i="11"/>
  <c r="AN31" i="11"/>
  <c r="O191" i="14"/>
  <c r="K32" i="11"/>
  <c r="D33" i="11"/>
  <c r="BX48" i="11"/>
  <c r="CE40" i="11"/>
  <c r="CE33" i="11"/>
  <c r="R9" i="11"/>
  <c r="R31" i="11" s="1"/>
  <c r="G19" i="3"/>
  <c r="BH296" i="9"/>
  <c r="CD22" i="10"/>
  <c r="CD23" i="10" s="1"/>
  <c r="CD21" i="10"/>
  <c r="BP231" i="10"/>
  <c r="BP218" i="10"/>
  <c r="BP223" i="10" s="1"/>
  <c r="M188" i="14"/>
  <c r="I27" i="11"/>
  <c r="M189" i="14"/>
  <c r="I37" i="11"/>
  <c r="CE29" i="11"/>
  <c r="L31" i="11"/>
  <c r="M31" i="11"/>
  <c r="AO44" i="11"/>
  <c r="S194" i="14"/>
  <c r="S82" i="14"/>
  <c r="BU34" i="11"/>
  <c r="BU42" i="11"/>
  <c r="F33" i="11"/>
  <c r="J195" i="14"/>
  <c r="S210" i="14"/>
  <c r="P58" i="11"/>
  <c r="BO47" i="11"/>
  <c r="BO48" i="11"/>
  <c r="U222" i="14"/>
  <c r="V222" i="17"/>
  <c r="N194" i="11"/>
  <c r="J24" i="9"/>
  <c r="J25" i="9"/>
  <c r="AO22" i="10"/>
  <c r="AO23" i="10" s="1"/>
  <c r="AO21" i="10"/>
  <c r="BW70" i="10"/>
  <c r="BZ218" i="10"/>
  <c r="BZ267" i="10"/>
  <c r="L350" i="3"/>
  <c r="P81" i="9"/>
  <c r="P92" i="9" s="1"/>
  <c r="P97" i="9" s="1"/>
  <c r="U225" i="17"/>
  <c r="D689" i="1"/>
  <c r="M689" i="1" s="1"/>
  <c r="CA87" i="9"/>
  <c r="BY48" i="11"/>
  <c r="BT43" i="11"/>
  <c r="AE154" i="14"/>
  <c r="AF154" i="14" s="1"/>
  <c r="AG154" i="14" s="1"/>
  <c r="AH154" i="14" s="1"/>
  <c r="AI154" i="14" s="1"/>
  <c r="P5" i="11"/>
  <c r="P39" i="11" s="1"/>
  <c r="U242" i="17"/>
  <c r="P194" i="11"/>
  <c r="AW37" i="11"/>
  <c r="BT30" i="11"/>
  <c r="BE48" i="11"/>
  <c r="AK45" i="11"/>
  <c r="BW48" i="11"/>
  <c r="P59" i="10"/>
  <c r="B34" i="21"/>
  <c r="V242" i="17"/>
  <c r="E650" i="1"/>
  <c r="P42" i="9"/>
  <c r="U219" i="17"/>
  <c r="H16" i="3"/>
  <c r="BR70" i="10"/>
  <c r="K76" i="9"/>
  <c r="K83" i="9" s="1"/>
  <c r="BQ70" i="10"/>
  <c r="AI43" i="11"/>
  <c r="AN38" i="11"/>
  <c r="BI43" i="11"/>
  <c r="J48" i="11"/>
  <c r="C41" i="11"/>
  <c r="K34" i="11"/>
  <c r="AI42" i="11"/>
  <c r="AQ42" i="11"/>
  <c r="AY41" i="11"/>
  <c r="BZ34" i="11"/>
  <c r="B48" i="11"/>
  <c r="H47" i="11"/>
  <c r="AG47" i="11"/>
  <c r="AU35" i="11"/>
  <c r="BB47" i="11"/>
  <c r="BJ48" i="11"/>
  <c r="CF42" i="11"/>
  <c r="AO28" i="11"/>
  <c r="CB29" i="11"/>
  <c r="AG39" i="11"/>
  <c r="BS42" i="11"/>
  <c r="AR45" i="11"/>
  <c r="BL48" i="11"/>
  <c r="BU59" i="9"/>
  <c r="BU63" i="9" s="1"/>
  <c r="AE172" i="14"/>
  <c r="AF172" i="14" s="1"/>
  <c r="AG172" i="14" s="1"/>
  <c r="AH172" i="14" s="1"/>
  <c r="AI172" i="14" s="1"/>
  <c r="S260" i="14"/>
  <c r="BL62" i="9"/>
  <c r="P21" i="10"/>
  <c r="U249" i="17"/>
  <c r="V428" i="1"/>
  <c r="J1035" i="16"/>
  <c r="T477" i="4"/>
  <c r="R421" i="4"/>
  <c r="R28" i="4" s="1"/>
  <c r="AF28" i="17" s="1"/>
  <c r="S423" i="4"/>
  <c r="AE17" i="14"/>
  <c r="AE15" i="14"/>
  <c r="D72" i="16"/>
  <c r="E596" i="20"/>
  <c r="C592" i="20"/>
  <c r="I591" i="20"/>
  <c r="E594" i="20"/>
  <c r="C596" i="20"/>
  <c r="I592" i="20"/>
  <c r="E595" i="20"/>
  <c r="J595" i="20"/>
  <c r="H591" i="20"/>
  <c r="G591" i="20"/>
  <c r="I1035" i="16"/>
  <c r="AV362" i="20"/>
  <c r="AY320" i="4"/>
  <c r="E591" i="20"/>
  <c r="V195" i="17"/>
  <c r="V83" i="17"/>
  <c r="U83" i="14"/>
  <c r="CF28" i="11"/>
  <c r="AW46" i="11"/>
  <c r="C35" i="11"/>
  <c r="AH29" i="11"/>
  <c r="BS28" i="11"/>
  <c r="AG35" i="11"/>
  <c r="N194" i="14"/>
  <c r="AK40" i="11"/>
  <c r="K33" i="11"/>
  <c r="CF38" i="11"/>
  <c r="BH46" i="11"/>
  <c r="BR40" i="11"/>
  <c r="BC35" i="11"/>
  <c r="AZ34" i="11"/>
  <c r="H43" i="11"/>
  <c r="CE48" i="11"/>
  <c r="AN34" i="11"/>
  <c r="AN37" i="11"/>
  <c r="G38" i="11"/>
  <c r="AK46" i="11"/>
  <c r="AL28" i="11"/>
  <c r="AR29" i="11"/>
  <c r="AZ29" i="11"/>
  <c r="BJ29" i="11"/>
  <c r="BR29" i="11"/>
  <c r="CA29" i="11"/>
  <c r="AF31" i="11"/>
  <c r="BS47" i="11"/>
  <c r="G131" i="12"/>
  <c r="U204" i="17"/>
  <c r="U189" i="14"/>
  <c r="V189" i="17"/>
  <c r="BD48" i="11"/>
  <c r="G194" i="14"/>
  <c r="AN41" i="11"/>
  <c r="V84" i="17"/>
  <c r="V192" i="17"/>
  <c r="AI47" i="11"/>
  <c r="BY41" i="11"/>
  <c r="BD33" i="11"/>
  <c r="AJ46" i="11"/>
  <c r="BS46" i="11"/>
  <c r="BX31" i="11"/>
  <c r="AH27" i="11"/>
  <c r="AG48" i="11"/>
  <c r="AF32" i="11"/>
  <c r="C32" i="11"/>
  <c r="AN35" i="11"/>
  <c r="C34" i="11"/>
  <c r="AS31" i="11"/>
  <c r="AG40" i="11"/>
  <c r="AQ27" i="11"/>
  <c r="AU27" i="11"/>
  <c r="T82" i="14"/>
  <c r="U194" i="17"/>
  <c r="U82" i="17"/>
  <c r="Q166" i="11"/>
  <c r="V204" i="17"/>
  <c r="AI37" i="11"/>
  <c r="BZ45" i="11"/>
  <c r="AR43" i="11"/>
  <c r="BX33" i="11"/>
  <c r="CF43" i="11"/>
  <c r="AI40" i="11"/>
  <c r="BP38" i="11"/>
  <c r="AT35" i="11"/>
  <c r="CC45" i="11"/>
  <c r="AK44" i="11"/>
  <c r="BD40" i="11"/>
  <c r="AJ33" i="11"/>
  <c r="AI39" i="11"/>
  <c r="AK47" i="11"/>
  <c r="BJ42" i="11"/>
  <c r="V210" i="17"/>
  <c r="V86" i="17"/>
  <c r="BS37" i="11"/>
  <c r="I131" i="12"/>
  <c r="W204" i="17"/>
  <c r="W207" i="17" s="1"/>
  <c r="U191" i="17"/>
  <c r="U81" i="17"/>
  <c r="BK35" i="11"/>
  <c r="G41" i="11"/>
  <c r="O30" i="11"/>
  <c r="BA38" i="11"/>
  <c r="D45" i="11"/>
  <c r="AI28" i="11"/>
  <c r="K42" i="11"/>
  <c r="AN40" i="11"/>
  <c r="BV42" i="11"/>
  <c r="BY45" i="11"/>
  <c r="CA44" i="11"/>
  <c r="AK42" i="11"/>
  <c r="BS35" i="11"/>
  <c r="BH42" i="11"/>
  <c r="AR34" i="11"/>
  <c r="AQ41" i="11"/>
  <c r="Q30" i="14"/>
  <c r="O92" i="11"/>
  <c r="U195" i="17"/>
  <c r="U83" i="17"/>
  <c r="S115" i="14"/>
  <c r="BJ47" i="11"/>
  <c r="BI28" i="11"/>
  <c r="BI37" i="11"/>
  <c r="K189" i="14"/>
  <c r="H38" i="11"/>
  <c r="BW44" i="11"/>
  <c r="AH33" i="11"/>
  <c r="BB31" i="11"/>
  <c r="AI46" i="11"/>
  <c r="O190" i="14"/>
  <c r="AN20" i="11"/>
  <c r="AN47" i="11"/>
  <c r="AO32" i="11"/>
  <c r="T85" i="14"/>
  <c r="U85" i="17"/>
  <c r="U193" i="17"/>
  <c r="BJ20" i="11"/>
  <c r="K40" i="11"/>
  <c r="D38" i="11"/>
  <c r="AT48" i="11"/>
  <c r="AM48" i="11"/>
  <c r="BM38" i="11"/>
  <c r="BH40" i="11"/>
  <c r="AQ34" i="11"/>
  <c r="V188" i="17"/>
  <c r="V79" i="17"/>
  <c r="V194" i="17"/>
  <c r="V82" i="17"/>
  <c r="T192" i="14"/>
  <c r="U84" i="17"/>
  <c r="U192" i="17"/>
  <c r="AE37" i="11"/>
  <c r="U188" i="17"/>
  <c r="U79" i="17"/>
  <c r="S102" i="14"/>
  <c r="Q40" i="11"/>
  <c r="S204" i="14"/>
  <c r="U81" i="14"/>
  <c r="V81" i="17"/>
  <c r="V191" i="17"/>
  <c r="AG20" i="11"/>
  <c r="BM30" i="11"/>
  <c r="G37" i="11"/>
  <c r="AN42" i="11"/>
  <c r="J45" i="11"/>
  <c r="BI38" i="11"/>
  <c r="BI39" i="11"/>
  <c r="K29" i="11"/>
  <c r="AZ31" i="11"/>
  <c r="BP31" i="11"/>
  <c r="O43" i="11"/>
  <c r="AP33" i="11"/>
  <c r="AX28" i="11"/>
  <c r="BU102" i="11"/>
  <c r="BU45" i="11"/>
  <c r="T103" i="14"/>
  <c r="I28" i="11"/>
  <c r="Q43" i="11"/>
  <c r="S24" i="14"/>
  <c r="R193" i="14"/>
  <c r="J41" i="11"/>
  <c r="BL40" i="11"/>
  <c r="BR47" i="11"/>
  <c r="BL39" i="11"/>
  <c r="AY37" i="11"/>
  <c r="BR46" i="11"/>
  <c r="AF29" i="11"/>
  <c r="AX29" i="11"/>
  <c r="BQ29" i="11"/>
  <c r="BY29" i="11"/>
  <c r="BL30" i="11"/>
  <c r="J34" i="11"/>
  <c r="BJ45" i="11"/>
  <c r="BI29" i="11"/>
  <c r="AQ45" i="11"/>
  <c r="AY32" i="11"/>
  <c r="BL102" i="11"/>
  <c r="BK41" i="11"/>
  <c r="BP34" i="11"/>
  <c r="T210" i="14"/>
  <c r="U86" i="17"/>
  <c r="U210" i="17"/>
  <c r="G594" i="20"/>
  <c r="G592" i="20"/>
  <c r="H596" i="20"/>
  <c r="F596" i="20"/>
  <c r="G595" i="20"/>
  <c r="G596" i="20"/>
  <c r="H592" i="20"/>
  <c r="I594" i="20"/>
  <c r="C594" i="20"/>
  <c r="D591" i="20"/>
  <c r="H594" i="20"/>
  <c r="I595" i="20"/>
  <c r="C595" i="20"/>
  <c r="H595" i="20"/>
  <c r="I596" i="20"/>
  <c r="J591" i="20"/>
  <c r="E1814" i="8" s="1"/>
  <c r="F594" i="20"/>
  <c r="F591" i="20"/>
  <c r="J592" i="20"/>
  <c r="F595" i="20"/>
  <c r="J594" i="20"/>
  <c r="L209" i="20"/>
  <c r="C851" i="16"/>
  <c r="I27" i="5"/>
  <c r="E851" i="16" s="1"/>
  <c r="H27" i="5"/>
  <c r="D851" i="16" s="1"/>
  <c r="J27" i="5"/>
  <c r="O71" i="5"/>
  <c r="P71" i="5" s="1"/>
  <c r="F10" i="6" s="1"/>
  <c r="M78" i="5"/>
  <c r="C4" i="21"/>
  <c r="W215" i="17"/>
  <c r="R31" i="9"/>
  <c r="W216" i="17"/>
  <c r="D847" i="16"/>
  <c r="H1035" i="16"/>
  <c r="W30" i="17"/>
  <c r="H25" i="5"/>
  <c r="D849" i="16" s="1"/>
  <c r="AZ214" i="11"/>
  <c r="BH214" i="11"/>
  <c r="BP214" i="11"/>
  <c r="H178" i="12"/>
  <c r="J173" i="12"/>
  <c r="H473" i="12"/>
  <c r="E805" i="20"/>
  <c r="E807" i="20"/>
  <c r="E808" i="20"/>
  <c r="F6" i="22"/>
  <c r="E70" i="22"/>
  <c r="E92" i="22" s="1"/>
  <c r="Q26" i="9"/>
  <c r="J194" i="14"/>
  <c r="F41" i="11"/>
  <c r="G45" i="11"/>
  <c r="G34" i="11"/>
  <c r="F45" i="11"/>
  <c r="F42" i="11"/>
  <c r="N41" i="11"/>
  <c r="O34" i="11"/>
  <c r="O103" i="11"/>
  <c r="R82" i="14"/>
  <c r="O45" i="11"/>
  <c r="N42" i="11"/>
  <c r="AL45" i="11"/>
  <c r="AL42" i="11"/>
  <c r="AM34" i="11"/>
  <c r="BA45" i="11"/>
  <c r="AW42" i="11"/>
  <c r="AW41" i="11"/>
  <c r="AW34" i="11"/>
  <c r="BC42" i="11"/>
  <c r="BC45" i="11"/>
  <c r="BR34" i="11"/>
  <c r="BR20" i="11"/>
  <c r="BR45" i="11"/>
  <c r="BR41" i="11"/>
  <c r="BV45" i="11"/>
  <c r="BS34" i="11"/>
  <c r="CD41" i="11"/>
  <c r="CD34" i="11"/>
  <c r="CD42" i="11"/>
  <c r="CD45" i="11"/>
  <c r="E48" i="11"/>
  <c r="E47" i="11"/>
  <c r="R210" i="14"/>
  <c r="O35" i="11"/>
  <c r="O58" i="11"/>
  <c r="N47" i="11"/>
  <c r="N35" i="11"/>
  <c r="R86" i="14"/>
  <c r="N58" i="11"/>
  <c r="N48" i="11"/>
  <c r="AK35" i="11"/>
  <c r="AJ35" i="11"/>
  <c r="AJ47" i="11"/>
  <c r="AQ47" i="11"/>
  <c r="AQ35" i="11"/>
  <c r="BG35" i="11"/>
  <c r="BF35" i="11"/>
  <c r="BF48" i="11"/>
  <c r="BN47" i="11"/>
  <c r="BO35" i="11"/>
  <c r="BN35" i="11"/>
  <c r="BN48" i="11"/>
  <c r="BW58" i="11"/>
  <c r="BV35" i="11"/>
  <c r="BV47" i="11"/>
  <c r="BW35" i="11"/>
  <c r="J188" i="14"/>
  <c r="F27" i="11"/>
  <c r="G27" i="11"/>
  <c r="AI29" i="11"/>
  <c r="AJ29" i="11"/>
  <c r="L47" i="11"/>
  <c r="L48" i="11"/>
  <c r="M58" i="11"/>
  <c r="M35" i="11"/>
  <c r="S195" i="14"/>
  <c r="O44" i="11"/>
  <c r="P33" i="11"/>
  <c r="O102" i="11"/>
  <c r="P44" i="11"/>
  <c r="S83" i="14"/>
  <c r="O39" i="11"/>
  <c r="O40" i="11"/>
  <c r="O33" i="11"/>
  <c r="BN45" i="11"/>
  <c r="BN41" i="11"/>
  <c r="AJ43" i="11"/>
  <c r="AJ20" i="11"/>
  <c r="AJ32" i="11"/>
  <c r="CE58" i="11"/>
  <c r="CD58" i="11"/>
  <c r="CD35" i="11"/>
  <c r="CE35" i="11"/>
  <c r="CD47" i="11"/>
  <c r="CD48" i="11"/>
  <c r="BG43" i="11"/>
  <c r="BC20" i="11"/>
  <c r="BC38" i="11"/>
  <c r="BC32" i="11"/>
  <c r="BH32" i="11"/>
  <c r="BI32" i="11"/>
  <c r="BL43" i="11"/>
  <c r="BB39" i="11"/>
  <c r="BB44" i="11"/>
  <c r="BC33" i="11"/>
  <c r="BB40" i="11"/>
  <c r="BB20" i="11"/>
  <c r="BB48" i="11"/>
  <c r="BB33" i="11"/>
  <c r="CF39" i="11"/>
  <c r="CF20" i="11"/>
  <c r="CF22" i="11" s="1"/>
  <c r="CF23" i="11" s="1"/>
  <c r="CF33" i="11"/>
  <c r="CF40" i="11"/>
  <c r="CF44" i="11"/>
  <c r="BN99" i="9"/>
  <c r="BN102" i="9"/>
  <c r="BN104" i="9"/>
  <c r="BP99" i="11"/>
  <c r="BN101" i="9"/>
  <c r="BN103" i="9"/>
  <c r="CB42" i="11"/>
  <c r="CB45" i="11"/>
  <c r="CB41" i="11"/>
  <c r="CB20" i="11"/>
  <c r="BE77" i="9"/>
  <c r="BE113" i="9"/>
  <c r="BE70" i="9"/>
  <c r="BM70" i="9"/>
  <c r="BO66" i="11" s="1"/>
  <c r="BM77" i="9"/>
  <c r="BM113" i="9"/>
  <c r="J70" i="9"/>
  <c r="N223" i="14"/>
  <c r="K61" i="9"/>
  <c r="J69" i="9"/>
  <c r="N225" i="14" s="1"/>
  <c r="J113" i="9"/>
  <c r="J116" i="9" s="1"/>
  <c r="J115" i="9" s="1"/>
  <c r="J76" i="9"/>
  <c r="J83" i="9" s="1"/>
  <c r="B133" i="4"/>
  <c r="B146" i="4" s="1"/>
  <c r="B3292" i="16"/>
  <c r="B3299" i="16" s="1"/>
  <c r="K128" i="3"/>
  <c r="L128" i="3" s="1"/>
  <c r="E657" i="16" s="1"/>
  <c r="F75" i="18"/>
  <c r="F76" i="18" s="1"/>
  <c r="C657" i="16"/>
  <c r="J111" i="3"/>
  <c r="H482" i="1"/>
  <c r="H448" i="1"/>
  <c r="V446" i="1"/>
  <c r="F622" i="1"/>
  <c r="E292" i="1"/>
  <c r="CD20" i="11"/>
  <c r="CD22" i="11" s="1"/>
  <c r="CD23" i="11" s="1"/>
  <c r="F34" i="11"/>
  <c r="L112" i="10"/>
  <c r="L113" i="10" s="1"/>
  <c r="AJ48" i="11"/>
  <c r="BR42" i="11"/>
  <c r="BQ42" i="11"/>
  <c r="CB123" i="9"/>
  <c r="H266" i="12"/>
  <c r="H316" i="12" s="1"/>
  <c r="CB120" i="9"/>
  <c r="CB125" i="9"/>
  <c r="CB116" i="9"/>
  <c r="CB117" i="9" s="1"/>
  <c r="CB281" i="9"/>
  <c r="AM22" i="1"/>
  <c r="W106" i="1"/>
  <c r="AM16" i="1"/>
  <c r="V164" i="1"/>
  <c r="V167" i="1" s="1"/>
  <c r="V173" i="1" s="1"/>
  <c r="V178" i="1" s="1"/>
  <c r="V180" i="1" s="1"/>
  <c r="AN80" i="1"/>
  <c r="V135" i="1"/>
  <c r="I107" i="3"/>
  <c r="I104" i="3"/>
  <c r="F237" i="3"/>
  <c r="G238" i="3"/>
  <c r="BI99" i="11"/>
  <c r="BG101" i="9"/>
  <c r="BK99" i="9"/>
  <c r="BG103" i="9"/>
  <c r="BG104" i="9"/>
  <c r="BG109" i="9"/>
  <c r="BG102" i="9"/>
  <c r="BW295" i="10"/>
  <c r="BX277" i="10"/>
  <c r="BY305" i="11"/>
  <c r="R261" i="10"/>
  <c r="S261" i="10"/>
  <c r="AW45" i="11"/>
  <c r="AY35" i="11"/>
  <c r="F38" i="11"/>
  <c r="G31" i="11"/>
  <c r="AR31" i="11"/>
  <c r="AQ38" i="11"/>
  <c r="BW31" i="11"/>
  <c r="BV31" i="11"/>
  <c r="H42" i="11"/>
  <c r="H45" i="11"/>
  <c r="H41" i="11"/>
  <c r="BV39" i="11"/>
  <c r="BV41" i="11"/>
  <c r="BV37" i="11"/>
  <c r="BA35" i="11"/>
  <c r="AZ35" i="11"/>
  <c r="AZ47" i="11"/>
  <c r="AZ48" i="11"/>
  <c r="AN46" i="11"/>
  <c r="AM46" i="11"/>
  <c r="AM42" i="11"/>
  <c r="AM47" i="11"/>
  <c r="BD81" i="11"/>
  <c r="AZ82" i="11"/>
  <c r="AZ43" i="11"/>
  <c r="AZ20" i="11"/>
  <c r="BD43" i="11"/>
  <c r="BD70" i="9"/>
  <c r="BH61" i="9"/>
  <c r="BD113" i="9"/>
  <c r="BH114" i="9" s="1"/>
  <c r="V125" i="1"/>
  <c r="AL28" i="1"/>
  <c r="V107" i="1"/>
  <c r="AN28" i="1"/>
  <c r="U191" i="14"/>
  <c r="F124" i="1"/>
  <c r="F52" i="1"/>
  <c r="F106" i="1"/>
  <c r="G125" i="1"/>
  <c r="G107" i="1"/>
  <c r="G52" i="1"/>
  <c r="G127" i="1" s="1"/>
  <c r="J108" i="1"/>
  <c r="J52" i="1"/>
  <c r="J127" i="1" s="1"/>
  <c r="BT24" i="9"/>
  <c r="BT25" i="9"/>
  <c r="BT26" i="9" s="1"/>
  <c r="CC98" i="9"/>
  <c r="BY94" i="9"/>
  <c r="BY104" i="9" s="1"/>
  <c r="BY108" i="9"/>
  <c r="BY98" i="9"/>
  <c r="CA103" i="11"/>
  <c r="BU101" i="9"/>
  <c r="BU102" i="9"/>
  <c r="BU103" i="9"/>
  <c r="BU99" i="9"/>
  <c r="BU109" i="9"/>
  <c r="BU104" i="9"/>
  <c r="BE102" i="9"/>
  <c r="BE99" i="9"/>
  <c r="BI99" i="9"/>
  <c r="BE101" i="9"/>
  <c r="BE109" i="9"/>
  <c r="BG98" i="11"/>
  <c r="BP22" i="10"/>
  <c r="BP23" i="10" s="1"/>
  <c r="BP21" i="10"/>
  <c r="CA22" i="10"/>
  <c r="CA23" i="10" s="1"/>
  <c r="CA21" i="10"/>
  <c r="CB105" i="10"/>
  <c r="CD110" i="10"/>
  <c r="CD123" i="10"/>
  <c r="CD112" i="10"/>
  <c r="CD113" i="10" s="1"/>
  <c r="CD119" i="10"/>
  <c r="M153" i="10"/>
  <c r="M154" i="11" s="1"/>
  <c r="Q111" i="14" s="1"/>
  <c r="M152" i="11"/>
  <c r="Q109" i="14" s="1"/>
  <c r="BN235" i="10"/>
  <c r="BN218" i="10"/>
  <c r="BN220" i="10" s="1"/>
  <c r="BN231" i="10"/>
  <c r="BB231" i="10"/>
  <c r="BB218" i="10"/>
  <c r="BB235" i="10"/>
  <c r="BY34" i="11"/>
  <c r="BX42" i="11"/>
  <c r="BX41" i="11"/>
  <c r="BX45" i="11"/>
  <c r="Q220" i="10"/>
  <c r="Q222" i="10" s="1"/>
  <c r="V262" i="17" s="1"/>
  <c r="AJ38" i="11"/>
  <c r="AJ31" i="11"/>
  <c r="AK31" i="11"/>
  <c r="R191" i="14"/>
  <c r="R81" i="14"/>
  <c r="O32" i="11"/>
  <c r="N43" i="11"/>
  <c r="BB45" i="11"/>
  <c r="AX41" i="11"/>
  <c r="AX20" i="11"/>
  <c r="AY34" i="11"/>
  <c r="AL33" i="11"/>
  <c r="AL40" i="11"/>
  <c r="AM33" i="11"/>
  <c r="AL44" i="11"/>
  <c r="AL48" i="11"/>
  <c r="AL39" i="11"/>
  <c r="CA35" i="11"/>
  <c r="CA48" i="11"/>
  <c r="CA47" i="11"/>
  <c r="BS38" i="11"/>
  <c r="BS20" i="11"/>
  <c r="BG39" i="11"/>
  <c r="BK44" i="11"/>
  <c r="BG48" i="11"/>
  <c r="BG20" i="11"/>
  <c r="BH33" i="11"/>
  <c r="AA407" i="1"/>
  <c r="M412" i="1"/>
  <c r="M413" i="1" s="1"/>
  <c r="M414" i="1" s="1"/>
  <c r="I121" i="3"/>
  <c r="J122" i="3" s="1"/>
  <c r="AM120" i="1"/>
  <c r="AP45" i="11"/>
  <c r="AZ81" i="11"/>
  <c r="CC34" i="11"/>
  <c r="BM61" i="9"/>
  <c r="CC30" i="11"/>
  <c r="CB38" i="11"/>
  <c r="CB30" i="11"/>
  <c r="AE41" i="11"/>
  <c r="AF34" i="11"/>
  <c r="AI45" i="11"/>
  <c r="AE47" i="11"/>
  <c r="AE48" i="11"/>
  <c r="BP47" i="11"/>
  <c r="BP35" i="11"/>
  <c r="BQ35" i="11"/>
  <c r="CC32" i="11"/>
  <c r="CC43" i="11"/>
  <c r="CD32" i="11"/>
  <c r="BG214" i="11"/>
  <c r="AX35" i="11"/>
  <c r="BV48" i="11"/>
  <c r="BX34" i="11"/>
  <c r="N38" i="11"/>
  <c r="O31" i="11"/>
  <c r="N31" i="11"/>
  <c r="BH31" i="11"/>
  <c r="BG38" i="11"/>
  <c r="E43" i="11"/>
  <c r="E32" i="11"/>
  <c r="I191" i="14"/>
  <c r="F43" i="11"/>
  <c r="F32" i="11"/>
  <c r="E38" i="11"/>
  <c r="BE45" i="11"/>
  <c r="BE34" i="11"/>
  <c r="BI45" i="11"/>
  <c r="BE20" i="11"/>
  <c r="F35" i="11"/>
  <c r="F48" i="11"/>
  <c r="BH47" i="11"/>
  <c r="BH48" i="11"/>
  <c r="BH35" i="11"/>
  <c r="BO214" i="11"/>
  <c r="F507" i="4"/>
  <c r="O211" i="11"/>
  <c r="O214" i="11" s="1"/>
  <c r="O216" i="11" s="1"/>
  <c r="S106" i="14" s="1"/>
  <c r="R213" i="11"/>
  <c r="R271" i="9"/>
  <c r="Q47" i="11"/>
  <c r="Q28" i="11"/>
  <c r="Z402" i="1"/>
  <c r="G662" i="1"/>
  <c r="J693" i="1" s="1"/>
  <c r="AL41" i="11"/>
  <c r="S101" i="14"/>
  <c r="N32" i="11"/>
  <c r="BI61" i="9"/>
  <c r="BE42" i="11"/>
  <c r="N102" i="11"/>
  <c r="Q44" i="11"/>
  <c r="Q33" i="11"/>
  <c r="U195" i="14"/>
  <c r="G441" i="1"/>
  <c r="G487" i="1"/>
  <c r="C575" i="1"/>
  <c r="C694" i="1" s="1"/>
  <c r="CD31" i="11"/>
  <c r="AO42" i="11"/>
  <c r="AS45" i="11"/>
  <c r="AO41" i="11"/>
  <c r="CE34" i="11"/>
  <c r="CE45" i="11"/>
  <c r="AR35" i="11"/>
  <c r="AS35" i="11"/>
  <c r="AP48" i="11"/>
  <c r="AT44" i="11"/>
  <c r="AP44" i="11"/>
  <c r="AP40" i="11"/>
  <c r="I47" i="11"/>
  <c r="J35" i="11"/>
  <c r="BN43" i="11"/>
  <c r="BN32" i="11"/>
  <c r="BN20" i="11"/>
  <c r="BN21" i="11" s="1"/>
  <c r="BO32" i="11"/>
  <c r="BL42" i="11"/>
  <c r="BL45" i="11"/>
  <c r="BL20" i="11"/>
  <c r="BL41" i="11"/>
  <c r="BW214" i="11"/>
  <c r="BW277" i="11" s="1"/>
  <c r="T261" i="10"/>
  <c r="R83" i="9"/>
  <c r="R125" i="9"/>
  <c r="Q410" i="12"/>
  <c r="Q411" i="12" s="1"/>
  <c r="H464" i="1"/>
  <c r="E416" i="1"/>
  <c r="E474" i="1" s="1"/>
  <c r="E475" i="1" s="1"/>
  <c r="BN42" i="11"/>
  <c r="F31" i="11"/>
  <c r="BF47" i="11"/>
  <c r="AY31" i="11"/>
  <c r="H433" i="1"/>
  <c r="D49" i="16"/>
  <c r="J222" i="14"/>
  <c r="F20" i="11"/>
  <c r="AK24" i="9"/>
  <c r="AK25" i="9"/>
  <c r="AK26" i="9" s="1"/>
  <c r="BL25" i="9"/>
  <c r="BL26" i="9" s="1"/>
  <c r="BL24" i="9"/>
  <c r="BV25" i="9"/>
  <c r="BV26" i="9" s="1"/>
  <c r="BV24" i="9"/>
  <c r="BV109" i="9"/>
  <c r="CD25" i="9"/>
  <c r="CD26" i="9" s="1"/>
  <c r="CD24" i="9"/>
  <c r="CD87" i="9"/>
  <c r="BH94" i="11"/>
  <c r="BJ99" i="9"/>
  <c r="BF104" i="9"/>
  <c r="BZ94" i="11"/>
  <c r="BT102" i="9"/>
  <c r="BT99" i="9"/>
  <c r="L21" i="10"/>
  <c r="L22" i="10"/>
  <c r="L23" i="10" s="1"/>
  <c r="BU22" i="10"/>
  <c r="BU23" i="10" s="1"/>
  <c r="BV105" i="10"/>
  <c r="BE70" i="10"/>
  <c r="BI70" i="10"/>
  <c r="O100" i="10"/>
  <c r="O99" i="10"/>
  <c r="Q192" i="10"/>
  <c r="R192" i="10" s="1"/>
  <c r="S192" i="10" s="1"/>
  <c r="T192" i="10" s="1"/>
  <c r="U192" i="10" s="1"/>
  <c r="V192" i="10" s="1"/>
  <c r="W192" i="10" s="1"/>
  <c r="X192" i="10" s="1"/>
  <c r="Y192" i="10" s="1"/>
  <c r="Z192" i="10" s="1"/>
  <c r="P188" i="11"/>
  <c r="T28" i="14" s="1"/>
  <c r="CD267" i="10"/>
  <c r="CD303" i="10" s="1"/>
  <c r="CD218" i="10"/>
  <c r="CD220" i="10" s="1"/>
  <c r="P256" i="10"/>
  <c r="Q256" i="10"/>
  <c r="CA297" i="10"/>
  <c r="CB280" i="10"/>
  <c r="CB297" i="10" s="1"/>
  <c r="AL20" i="11"/>
  <c r="AL32" i="11"/>
  <c r="AL43" i="11"/>
  <c r="AW43" i="11"/>
  <c r="AX32" i="11"/>
  <c r="BQ32" i="11"/>
  <c r="BQ43" i="11"/>
  <c r="I195" i="14"/>
  <c r="E40" i="11"/>
  <c r="E39" i="11"/>
  <c r="F44" i="11"/>
  <c r="E44" i="11"/>
  <c r="AY44" i="11"/>
  <c r="AY39" i="11"/>
  <c r="BQ40" i="11"/>
  <c r="CA20" i="11"/>
  <c r="CB33" i="11"/>
  <c r="CA39" i="11"/>
  <c r="Q101" i="14"/>
  <c r="M211" i="11"/>
  <c r="M214" i="11" s="1"/>
  <c r="M216" i="11" s="1"/>
  <c r="P27" i="11"/>
  <c r="T188" i="14"/>
  <c r="T79" i="14"/>
  <c r="CC54" i="10"/>
  <c r="CC58" i="10" s="1"/>
  <c r="CC57" i="10"/>
  <c r="CC109" i="10"/>
  <c r="N389" i="1"/>
  <c r="J420" i="1"/>
  <c r="BY70" i="10"/>
  <c r="N193" i="10"/>
  <c r="N196" i="10" s="1"/>
  <c r="N199" i="10" s="1"/>
  <c r="R261" i="14" s="1"/>
  <c r="BD226" i="9"/>
  <c r="BX286" i="9"/>
  <c r="BK21" i="10"/>
  <c r="Q48" i="11"/>
  <c r="BY54" i="11"/>
  <c r="BY64" i="11" s="1"/>
  <c r="CA58" i="10"/>
  <c r="BO296" i="9"/>
  <c r="BQ296" i="9"/>
  <c r="S249" i="14"/>
  <c r="O22" i="10"/>
  <c r="O23" i="10" s="1"/>
  <c r="BQ21" i="10"/>
  <c r="BQ22" i="10"/>
  <c r="BQ23" i="10" s="1"/>
  <c r="M77" i="10"/>
  <c r="BH69" i="11"/>
  <c r="BF69" i="10"/>
  <c r="BQ69" i="11"/>
  <c r="BO77" i="10"/>
  <c r="BO81" i="10" s="1"/>
  <c r="BO69" i="10"/>
  <c r="BN70" i="10"/>
  <c r="BJ77" i="10"/>
  <c r="CC103" i="10"/>
  <c r="CC93" i="10"/>
  <c r="BZ105" i="10"/>
  <c r="BZ99" i="10"/>
  <c r="BZ98" i="10"/>
  <c r="J189" i="14"/>
  <c r="F37" i="11"/>
  <c r="L37" i="11"/>
  <c r="AI27" i="11"/>
  <c r="AM39" i="11"/>
  <c r="AM37" i="11"/>
  <c r="AS39" i="11"/>
  <c r="AS41" i="11"/>
  <c r="BD37" i="11"/>
  <c r="BD27" i="11"/>
  <c r="BM27" i="11"/>
  <c r="BN27" i="11"/>
  <c r="BR39" i="11"/>
  <c r="BR37" i="11"/>
  <c r="BZ37" i="11"/>
  <c r="BZ27" i="11"/>
  <c r="CF37" i="11"/>
  <c r="CF27" i="11"/>
  <c r="N190" i="14"/>
  <c r="J28" i="11"/>
  <c r="J46" i="11"/>
  <c r="J42" i="11"/>
  <c r="J47" i="11"/>
  <c r="AJ42" i="11"/>
  <c r="AK28" i="11"/>
  <c r="AJ28" i="11"/>
  <c r="AV46" i="11"/>
  <c r="AV40" i="11"/>
  <c r="AW28" i="11"/>
  <c r="BG47" i="11"/>
  <c r="BG46" i="11"/>
  <c r="BG28" i="11"/>
  <c r="CD28" i="11"/>
  <c r="CE46" i="11"/>
  <c r="AP29" i="11"/>
  <c r="AQ29" i="11"/>
  <c r="G193" i="14"/>
  <c r="C38" i="11"/>
  <c r="C30" i="11"/>
  <c r="D30" i="11"/>
  <c r="P193" i="14"/>
  <c r="M30" i="11"/>
  <c r="L38" i="11"/>
  <c r="AL30" i="11"/>
  <c r="AK30" i="11"/>
  <c r="AK38" i="11"/>
  <c r="AT30" i="11"/>
  <c r="AU30" i="11"/>
  <c r="AT38" i="11"/>
  <c r="BE30" i="11"/>
  <c r="BD38" i="11"/>
  <c r="AS43" i="11"/>
  <c r="AO20" i="11"/>
  <c r="AO22" i="11" s="1"/>
  <c r="AO23" i="11" s="1"/>
  <c r="BB32" i="11"/>
  <c r="BA43" i="11"/>
  <c r="BA20" i="11"/>
  <c r="BW43" i="11"/>
  <c r="CA43" i="11"/>
  <c r="I44" i="11"/>
  <c r="H48" i="11"/>
  <c r="L195" i="14"/>
  <c r="H44" i="11"/>
  <c r="AE40" i="11"/>
  <c r="AE39" i="11"/>
  <c r="AU43" i="11"/>
  <c r="AQ20" i="11"/>
  <c r="AQ43" i="11"/>
  <c r="BT33" i="11"/>
  <c r="BX44" i="11"/>
  <c r="BT20" i="11"/>
  <c r="BT22" i="11" s="1"/>
  <c r="BT23" i="11" s="1"/>
  <c r="BT48" i="11"/>
  <c r="B41" i="11"/>
  <c r="F194" i="14"/>
  <c r="AY46" i="11"/>
  <c r="AY28" i="11"/>
  <c r="G48" i="11"/>
  <c r="H35" i="11"/>
  <c r="G47" i="11"/>
  <c r="AF35" i="11"/>
  <c r="AS47" i="11"/>
  <c r="AS48" i="11"/>
  <c r="BA47" i="11"/>
  <c r="BB35" i="11"/>
  <c r="BI47" i="11"/>
  <c r="BQ47" i="11"/>
  <c r="CB35" i="11"/>
  <c r="CC58" i="11"/>
  <c r="AP43" i="11"/>
  <c r="AP20" i="11"/>
  <c r="AT43" i="11"/>
  <c r="AF33" i="11"/>
  <c r="AF39" i="11"/>
  <c r="AF40" i="11"/>
  <c r="AF20" i="11"/>
  <c r="AX44" i="11"/>
  <c r="AX40" i="11"/>
  <c r="BF40" i="11"/>
  <c r="BU44" i="11"/>
  <c r="BG34" i="11"/>
  <c r="N69" i="10"/>
  <c r="Q252" i="14"/>
  <c r="O149" i="9"/>
  <c r="O151" i="9" s="1"/>
  <c r="O116" i="9"/>
  <c r="O117" i="9" s="1"/>
  <c r="CD226" i="9"/>
  <c r="CD231" i="9" s="1"/>
  <c r="CD274" i="9"/>
  <c r="AC258" i="9"/>
  <c r="BY22" i="10"/>
  <c r="BY23" i="10" s="1"/>
  <c r="BY21" i="10"/>
  <c r="N60" i="11"/>
  <c r="N72" i="10"/>
  <c r="N79" i="10" s="1"/>
  <c r="N77" i="10"/>
  <c r="N132" i="10"/>
  <c r="N132" i="11" s="1"/>
  <c r="BG70" i="10"/>
  <c r="BK70" i="10"/>
  <c r="BT77" i="10"/>
  <c r="BT83" i="10" s="1"/>
  <c r="CD100" i="10"/>
  <c r="CD95" i="10"/>
  <c r="CD98" i="10"/>
  <c r="CD105" i="10"/>
  <c r="BG37" i="11"/>
  <c r="BH27" i="11"/>
  <c r="BG27" i="11"/>
  <c r="CC27" i="11"/>
  <c r="CB27" i="11"/>
  <c r="BV38" i="11"/>
  <c r="CD38" i="11"/>
  <c r="CD30" i="11"/>
  <c r="AL38" i="11"/>
  <c r="AL31" i="11"/>
  <c r="BQ38" i="11"/>
  <c r="BQ31" i="11"/>
  <c r="C43" i="11"/>
  <c r="B38" i="11"/>
  <c r="K191" i="14"/>
  <c r="G43" i="11"/>
  <c r="AN43" i="11"/>
  <c r="AN32" i="11"/>
  <c r="BE43" i="11"/>
  <c r="BE38" i="11"/>
  <c r="BX43" i="11"/>
  <c r="BX32" i="11"/>
  <c r="BX20" i="11"/>
  <c r="BX21" i="11" s="1"/>
  <c r="BY32" i="11"/>
  <c r="CB43" i="11"/>
  <c r="N195" i="14"/>
  <c r="J40" i="11"/>
  <c r="K44" i="11"/>
  <c r="J44" i="11"/>
  <c r="AN44" i="11"/>
  <c r="AJ40" i="11"/>
  <c r="AK33" i="11"/>
  <c r="BF28" i="11"/>
  <c r="BF46" i="11"/>
  <c r="D34" i="11"/>
  <c r="C45" i="11"/>
  <c r="P215" i="11"/>
  <c r="T105" i="14" s="1"/>
  <c r="Q161" i="10"/>
  <c r="R161" i="10" s="1"/>
  <c r="S161" i="10" s="1"/>
  <c r="T161" i="10" s="1"/>
  <c r="T152" i="10" s="1"/>
  <c r="R59" i="10"/>
  <c r="P22" i="11"/>
  <c r="P23" i="11" s="1"/>
  <c r="G237" i="3"/>
  <c r="M69" i="10"/>
  <c r="BJ231" i="9"/>
  <c r="AO27" i="11"/>
  <c r="BV300" i="9"/>
  <c r="BV295" i="9"/>
  <c r="BZ305" i="9"/>
  <c r="CA288" i="9"/>
  <c r="BK296" i="9"/>
  <c r="BS296" i="9"/>
  <c r="BR296" i="9"/>
  <c r="C22" i="10"/>
  <c r="G249" i="14"/>
  <c r="AN21" i="10"/>
  <c r="AN22" i="10"/>
  <c r="AN23" i="10" s="1"/>
  <c r="AY22" i="10"/>
  <c r="AY23" i="10" s="1"/>
  <c r="AY21" i="10"/>
  <c r="BT21" i="10"/>
  <c r="BT22" i="10"/>
  <c r="BT23" i="10" s="1"/>
  <c r="L188" i="14"/>
  <c r="H27" i="11"/>
  <c r="AT39" i="11"/>
  <c r="AT37" i="11"/>
  <c r="AZ27" i="11"/>
  <c r="BA27" i="11"/>
  <c r="BF27" i="11"/>
  <c r="BE27" i="11"/>
  <c r="BO37" i="11"/>
  <c r="BO39" i="11"/>
  <c r="P190" i="14"/>
  <c r="L46" i="11"/>
  <c r="L40" i="11"/>
  <c r="L28" i="11"/>
  <c r="AZ42" i="11"/>
  <c r="AZ46" i="11"/>
  <c r="BI42" i="11"/>
  <c r="BI40" i="11"/>
  <c r="BX46" i="11"/>
  <c r="BW40" i="11"/>
  <c r="BW28" i="11"/>
  <c r="BW47" i="11"/>
  <c r="P192" i="14"/>
  <c r="L29" i="11"/>
  <c r="AV38" i="11"/>
  <c r="AV30" i="11"/>
  <c r="BN38" i="11"/>
  <c r="BW30" i="11"/>
  <c r="AM30" i="11"/>
  <c r="AM38" i="11"/>
  <c r="AU31" i="11"/>
  <c r="AT31" i="11"/>
  <c r="BK31" i="11"/>
  <c r="BJ38" i="11"/>
  <c r="BJ31" i="11"/>
  <c r="BR31" i="11"/>
  <c r="BY38" i="11"/>
  <c r="BY31" i="11"/>
  <c r="BZ31" i="11"/>
  <c r="H32" i="11"/>
  <c r="I32" i="11"/>
  <c r="I43" i="11"/>
  <c r="L191" i="14"/>
  <c r="BV77" i="9"/>
  <c r="BV78" i="9"/>
  <c r="BV81" i="9"/>
  <c r="BV113" i="9"/>
  <c r="BV125" i="9" s="1"/>
  <c r="BV61" i="9"/>
  <c r="L417" i="1"/>
  <c r="H418" i="1"/>
  <c r="BW235" i="9"/>
  <c r="BW241" i="9" s="1"/>
  <c r="BU282" i="9"/>
  <c r="BU295" i="9" s="1"/>
  <c r="M137" i="9"/>
  <c r="M139" i="9" s="1"/>
  <c r="M130" i="9" s="1"/>
  <c r="M127" i="9"/>
  <c r="Q226" i="11"/>
  <c r="Q179" i="9"/>
  <c r="Q172" i="11" s="1"/>
  <c r="AE21" i="10"/>
  <c r="AE22" i="10"/>
  <c r="AE23" i="10" s="1"/>
  <c r="AZ22" i="10"/>
  <c r="AZ23" i="10" s="1"/>
  <c r="AZ21" i="10"/>
  <c r="P258" i="10"/>
  <c r="Q258" i="10"/>
  <c r="F189" i="14"/>
  <c r="B39" i="11"/>
  <c r="S189" i="14"/>
  <c r="O37" i="11"/>
  <c r="O41" i="11"/>
  <c r="AJ39" i="11"/>
  <c r="AJ41" i="11"/>
  <c r="AZ37" i="11"/>
  <c r="AZ39" i="11"/>
  <c r="BJ41" i="11"/>
  <c r="BJ37" i="11"/>
  <c r="BJ39" i="11"/>
  <c r="C28" i="11"/>
  <c r="G190" i="14"/>
  <c r="Q190" i="14"/>
  <c r="N46" i="11"/>
  <c r="M42" i="11"/>
  <c r="M28" i="11"/>
  <c r="AQ28" i="11"/>
  <c r="AR46" i="11"/>
  <c r="BA40" i="11"/>
  <c r="BB46" i="11"/>
  <c r="BB28" i="11"/>
  <c r="BA28" i="11"/>
  <c r="BJ28" i="11"/>
  <c r="BJ40" i="11"/>
  <c r="BJ46" i="11"/>
  <c r="BK28" i="11"/>
  <c r="BK46" i="11"/>
  <c r="BZ46" i="11"/>
  <c r="BY42" i="11"/>
  <c r="E29" i="11"/>
  <c r="H192" i="14"/>
  <c r="D29" i="11"/>
  <c r="K193" i="14"/>
  <c r="H30" i="11"/>
  <c r="G30" i="11"/>
  <c r="AG30" i="11"/>
  <c r="AF30" i="11"/>
  <c r="AF38" i="11"/>
  <c r="AO38" i="11"/>
  <c r="AP30" i="11"/>
  <c r="AW30" i="11"/>
  <c r="AX30" i="11"/>
  <c r="BO30" i="11"/>
  <c r="BO38" i="11"/>
  <c r="Q267" i="9"/>
  <c r="P223" i="9"/>
  <c r="P226" i="9" s="1"/>
  <c r="P228" i="9" s="1"/>
  <c r="P267" i="9"/>
  <c r="BV58" i="10"/>
  <c r="BT54" i="11"/>
  <c r="BT81" i="11" s="1"/>
  <c r="M24" i="9"/>
  <c r="M20" i="11"/>
  <c r="Q80" i="14" s="1"/>
  <c r="AX25" i="9"/>
  <c r="AX26" i="9" s="1"/>
  <c r="AX24" i="9"/>
  <c r="BK109" i="9"/>
  <c r="BJ24" i="9"/>
  <c r="AZ25" i="9"/>
  <c r="AZ26" i="9" s="1"/>
  <c r="AZ24" i="9"/>
  <c r="R225" i="14"/>
  <c r="O73" i="9"/>
  <c r="BB101" i="9"/>
  <c r="BB104" i="9"/>
  <c r="BB99" i="9"/>
  <c r="BB102" i="9"/>
  <c r="BQ102" i="9"/>
  <c r="BS99" i="11"/>
  <c r="BQ104" i="9"/>
  <c r="CB104" i="9"/>
  <c r="CB103" i="9"/>
  <c r="CB101" i="9"/>
  <c r="CD94" i="11"/>
  <c r="CD102" i="9"/>
  <c r="CD109" i="9"/>
  <c r="CD103" i="9"/>
  <c r="CD104" i="9"/>
  <c r="CD101" i="9"/>
  <c r="BE231" i="9"/>
  <c r="BE228" i="9"/>
  <c r="BE230" i="9" s="1"/>
  <c r="BU274" i="9"/>
  <c r="BU226" i="9"/>
  <c r="BK235" i="10"/>
  <c r="BK231" i="10"/>
  <c r="BS218" i="10"/>
  <c r="BS232" i="10" s="1"/>
  <c r="BS231" i="10"/>
  <c r="BI218" i="10"/>
  <c r="BI220" i="10" s="1"/>
  <c r="BI231" i="10"/>
  <c r="BX280" i="10"/>
  <c r="BZ307" i="11" s="1"/>
  <c r="BW297" i="10"/>
  <c r="Q115" i="14"/>
  <c r="Q24" i="14"/>
  <c r="Q204" i="14"/>
  <c r="D131" i="12"/>
  <c r="M166" i="11"/>
  <c r="M38" i="11"/>
  <c r="N101" i="11"/>
  <c r="M43" i="11"/>
  <c r="M101" i="11"/>
  <c r="G188" i="14"/>
  <c r="C27" i="11"/>
  <c r="D27" i="11"/>
  <c r="Q83" i="14"/>
  <c r="M40" i="11"/>
  <c r="BY113" i="9"/>
  <c r="BY120" i="9" s="1"/>
  <c r="BY59" i="9"/>
  <c r="BK54" i="11"/>
  <c r="BO82" i="11" s="1"/>
  <c r="BI62" i="9"/>
  <c r="BU62" i="9"/>
  <c r="BQ62" i="9"/>
  <c r="K54" i="13"/>
  <c r="K58" i="13"/>
  <c r="K61" i="13"/>
  <c r="P59" i="9" s="1"/>
  <c r="CB58" i="10"/>
  <c r="CD54" i="11"/>
  <c r="C642" i="16"/>
  <c r="J269" i="3"/>
  <c r="P175" i="9"/>
  <c r="P167" i="11" s="1"/>
  <c r="T137" i="14" s="1"/>
  <c r="D499" i="8"/>
  <c r="P123" i="9"/>
  <c r="P127" i="9"/>
  <c r="BV33" i="11"/>
  <c r="BG45" i="11"/>
  <c r="BP42" i="11"/>
  <c r="R262" i="10"/>
  <c r="H2" i="16"/>
  <c r="H15" i="16" s="1"/>
  <c r="I25" i="16" s="1"/>
  <c r="I35" i="16" s="1"/>
  <c r="I45" i="16" s="1"/>
  <c r="C3270" i="16"/>
  <c r="G9" i="7"/>
  <c r="F57" i="2" s="1"/>
  <c r="O48" i="11"/>
  <c r="BN214" i="11"/>
  <c r="CB279" i="11"/>
  <c r="BW282" i="11"/>
  <c r="BW312" i="11" s="1"/>
  <c r="CE282" i="11"/>
  <c r="CE312" i="11" s="1"/>
  <c r="K59" i="3"/>
  <c r="BO45" i="11"/>
  <c r="BH34" i="11"/>
  <c r="AY20" i="11"/>
  <c r="AY22" i="11" s="1"/>
  <c r="AY23" i="11" s="1"/>
  <c r="BU48" i="11"/>
  <c r="D60" i="13"/>
  <c r="O83" i="9"/>
  <c r="P41" i="10"/>
  <c r="B134" i="4"/>
  <c r="B147" i="4" s="1"/>
  <c r="B3293" i="16"/>
  <c r="B3300" i="16" s="1"/>
  <c r="BG42" i="11"/>
  <c r="BK34" i="11"/>
  <c r="BU33" i="11"/>
  <c r="BP41" i="11"/>
  <c r="BS65" i="11"/>
  <c r="D61" i="13"/>
  <c r="I57" i="9" s="1"/>
  <c r="I113" i="9" s="1"/>
  <c r="BF32" i="11"/>
  <c r="T242" i="14"/>
  <c r="AY43" i="11"/>
  <c r="BG41" i="11"/>
  <c r="CB34" i="11"/>
  <c r="BW39" i="11"/>
  <c r="BC214" i="11"/>
  <c r="BK214" i="11"/>
  <c r="BS214" i="11"/>
  <c r="CA214" i="11"/>
  <c r="CA277" i="11" s="1"/>
  <c r="BW217" i="11"/>
  <c r="BW278" i="11" s="1"/>
  <c r="BW314" i="11" s="1"/>
  <c r="CB282" i="11"/>
  <c r="CB312" i="11" s="1"/>
  <c r="E690" i="1"/>
  <c r="H13" i="3"/>
  <c r="L20" i="11"/>
  <c r="BC41" i="11"/>
  <c r="AQ31" i="11"/>
  <c r="BG31" i="11"/>
  <c r="BO31" i="11"/>
  <c r="L58" i="11"/>
  <c r="BD214" i="11"/>
  <c r="BL214" i="11"/>
  <c r="BT214" i="11"/>
  <c r="J189" i="3"/>
  <c r="M207" i="12"/>
  <c r="F613" i="1" s="1"/>
  <c r="J392" i="20" s="1"/>
  <c r="G401" i="16"/>
  <c r="G403" i="16" s="1"/>
  <c r="G404" i="16" s="1"/>
  <c r="C406" i="16" s="1"/>
  <c r="M209" i="12"/>
  <c r="B233" i="12"/>
  <c r="F233" i="12"/>
  <c r="I233" i="12"/>
  <c r="CF217" i="11"/>
  <c r="CF278" i="11" s="1"/>
  <c r="CF314" i="11" s="1"/>
  <c r="K209" i="12"/>
  <c r="B530" i="12" s="1"/>
  <c r="C233" i="12"/>
  <c r="G233" i="12"/>
  <c r="K240" i="12"/>
  <c r="G473" i="12" s="1"/>
  <c r="J233" i="12"/>
  <c r="D233" i="12"/>
  <c r="H233" i="12"/>
  <c r="E233" i="12"/>
  <c r="C986" i="12"/>
  <c r="C989" i="12" s="1"/>
  <c r="R173" i="10"/>
  <c r="R172" i="11" s="1"/>
  <c r="R226" i="11"/>
  <c r="J348" i="1"/>
  <c r="J375" i="1" s="1"/>
  <c r="AJ321" i="1"/>
  <c r="AR321" i="1" s="1"/>
  <c r="P201" i="11"/>
  <c r="BD101" i="11"/>
  <c r="BW101" i="11"/>
  <c r="BR102" i="11"/>
  <c r="BT102" i="11"/>
  <c r="BR103" i="11"/>
  <c r="BX103" i="11"/>
  <c r="BJ217" i="11"/>
  <c r="BN217" i="11"/>
  <c r="BR217" i="11"/>
  <c r="CD217" i="11"/>
  <c r="CD278" i="11" s="1"/>
  <c r="CD314" i="11" s="1"/>
  <c r="BX59" i="10"/>
  <c r="CD59" i="10"/>
  <c r="H2275" i="16"/>
  <c r="J443" i="4"/>
  <c r="J475" i="4"/>
  <c r="V24" i="14"/>
  <c r="D792" i="12" s="1"/>
  <c r="D793" i="12" s="1"/>
  <c r="D796" i="12" s="1"/>
  <c r="U225" i="14"/>
  <c r="BI77" i="10"/>
  <c r="BX58" i="11"/>
  <c r="CD59" i="11"/>
  <c r="BP101" i="11"/>
  <c r="CF101" i="11"/>
  <c r="BW102" i="11"/>
  <c r="CF102" i="11"/>
  <c r="K62" i="9"/>
  <c r="BS61" i="9"/>
  <c r="R590" i="1"/>
  <c r="Q83" i="9"/>
  <c r="BL109" i="9"/>
  <c r="BW77" i="10"/>
  <c r="BW81" i="10" s="1"/>
  <c r="N149" i="10"/>
  <c r="BY27" i="11"/>
  <c r="BY35" i="11"/>
  <c r="CF48" i="11"/>
  <c r="BQ101" i="11"/>
  <c r="BF44" i="11"/>
  <c r="R194" i="11"/>
  <c r="AL58" i="1"/>
  <c r="P212" i="9"/>
  <c r="BH77" i="10"/>
  <c r="BH83" i="10" s="1"/>
  <c r="AO30" i="11"/>
  <c r="BT38" i="11"/>
  <c r="BU103" i="11"/>
  <c r="BY103" i="11"/>
  <c r="BW279" i="11"/>
  <c r="CA279" i="11"/>
  <c r="CE279" i="11"/>
  <c r="CD282" i="11"/>
  <c r="CD312" i="11" s="1"/>
  <c r="BT461" i="20"/>
  <c r="F1035" i="16"/>
  <c r="BT415" i="20"/>
  <c r="BT439" i="20"/>
  <c r="BT427" i="20"/>
  <c r="BT450" i="20"/>
  <c r="CB97" i="11"/>
  <c r="BU93" i="11"/>
  <c r="BT81" i="9"/>
  <c r="BT85" i="9" s="1"/>
  <c r="BP69" i="11"/>
  <c r="M501" i="20"/>
  <c r="I431" i="12"/>
  <c r="I868" i="12"/>
  <c r="G883" i="12"/>
  <c r="G905" i="12"/>
  <c r="D1059" i="20"/>
  <c r="D1089" i="20"/>
  <c r="H868" i="20"/>
  <c r="V35" i="17"/>
  <c r="U35" i="14"/>
  <c r="I1044" i="16"/>
  <c r="V35" i="14"/>
  <c r="W35" i="17"/>
  <c r="BL92" i="11"/>
  <c r="E272" i="12"/>
  <c r="E317" i="12" s="1"/>
  <c r="E167" i="12" s="1"/>
  <c r="CC69" i="11"/>
  <c r="BU77" i="10"/>
  <c r="BU81" i="10" s="1"/>
  <c r="BU69" i="10"/>
  <c r="AZ231" i="11"/>
  <c r="AZ232" i="11" s="1"/>
  <c r="BB101" i="11"/>
  <c r="BY69" i="10"/>
  <c r="BV92" i="11"/>
  <c r="BF93" i="11"/>
  <c r="AZ119" i="11"/>
  <c r="AZ101" i="11"/>
  <c r="CF99" i="11"/>
  <c r="BM69" i="11"/>
  <c r="BB231" i="11"/>
  <c r="AZ112" i="11"/>
  <c r="AZ113" i="11" s="1"/>
  <c r="L955" i="12"/>
  <c r="L959" i="12" s="1"/>
  <c r="K965" i="12"/>
  <c r="E986" i="12" s="1"/>
  <c r="E993" i="12" s="1"/>
  <c r="K173" i="12"/>
  <c r="BP65" i="11"/>
  <c r="BG69" i="11"/>
  <c r="BF99" i="11"/>
  <c r="CF279" i="11"/>
  <c r="BF98" i="11"/>
  <c r="BB99" i="11"/>
  <c r="BE91" i="11"/>
  <c r="BT92" i="11"/>
  <c r="CC120" i="11"/>
  <c r="BB116" i="11"/>
  <c r="BW120" i="11"/>
  <c r="CF94" i="11"/>
  <c r="AZ65" i="11"/>
  <c r="BX120" i="11"/>
  <c r="O136" i="20"/>
  <c r="F698" i="12"/>
  <c r="C987" i="12"/>
  <c r="C994" i="12" s="1"/>
  <c r="G672" i="20"/>
  <c r="G966" i="12"/>
  <c r="K286" i="12"/>
  <c r="K289" i="12" s="1"/>
  <c r="K290" i="12" s="1"/>
  <c r="K298" i="12"/>
  <c r="L299" i="12" s="1"/>
  <c r="G785" i="12"/>
  <c r="G906" i="12"/>
  <c r="I906" i="12" s="1"/>
  <c r="BP966" i="12"/>
  <c r="J282" i="12"/>
  <c r="J310" i="12" s="1"/>
  <c r="C947" i="12"/>
  <c r="J958" i="12"/>
  <c r="R183" i="11"/>
  <c r="Q61" i="11"/>
  <c r="Q81" i="9"/>
  <c r="U224" i="14" s="1"/>
  <c r="U226" i="14" s="1"/>
  <c r="S7" i="9"/>
  <c r="S35" i="9"/>
  <c r="S31" i="9" s="1"/>
  <c r="T12" i="9"/>
  <c r="T35" i="9" s="1"/>
  <c r="T31" i="9" s="1"/>
  <c r="Q149" i="9"/>
  <c r="B20" i="21"/>
  <c r="Q114" i="9"/>
  <c r="Q123" i="9"/>
  <c r="Q175" i="9"/>
  <c r="BD236" i="10"/>
  <c r="BD222" i="10"/>
  <c r="BD237" i="10" s="1"/>
  <c r="R139" i="9"/>
  <c r="Q194" i="11"/>
  <c r="BI231" i="11"/>
  <c r="B538" i="12"/>
  <c r="H538" i="12" s="1"/>
  <c r="P112" i="10"/>
  <c r="P113" i="10" s="1"/>
  <c r="D509" i="8"/>
  <c r="T39" i="14"/>
  <c r="P119" i="10"/>
  <c r="P143" i="10"/>
  <c r="R72" i="14"/>
  <c r="R199" i="14"/>
  <c r="N156" i="3"/>
  <c r="F651" i="16"/>
  <c r="V260" i="14"/>
  <c r="Q137" i="9"/>
  <c r="M186" i="3"/>
  <c r="N186" i="3" s="1"/>
  <c r="O186" i="3" s="1"/>
  <c r="D780" i="12"/>
  <c r="D781" i="12" s="1"/>
  <c r="BO68" i="11"/>
  <c r="BR81" i="11"/>
  <c r="BY310" i="9"/>
  <c r="T172" i="11"/>
  <c r="BC113" i="9"/>
  <c r="BC116" i="9" s="1"/>
  <c r="BC77" i="9"/>
  <c r="BC70" i="9"/>
  <c r="BC74" i="9" s="1"/>
  <c r="BR231" i="9"/>
  <c r="BR228" i="9"/>
  <c r="BR230" i="9" s="1"/>
  <c r="S197" i="18"/>
  <c r="M72" i="10"/>
  <c r="M79" i="10" s="1"/>
  <c r="Q264" i="14"/>
  <c r="M132" i="10"/>
  <c r="M60" i="11"/>
  <c r="M68" i="10"/>
  <c r="N167" i="11"/>
  <c r="R137" i="14" s="1"/>
  <c r="O171" i="11"/>
  <c r="S113" i="14" s="1"/>
  <c r="O182" i="10"/>
  <c r="M201" i="11"/>
  <c r="AY38" i="11"/>
  <c r="BE32" i="11"/>
  <c r="BI20" i="11"/>
  <c r="BG101" i="11"/>
  <c r="BL101" i="11"/>
  <c r="BU20" i="11"/>
  <c r="BU21" i="11" s="1"/>
  <c r="CD101" i="11"/>
  <c r="BH20" i="11"/>
  <c r="BH21" i="11" s="1"/>
  <c r="BN33" i="11"/>
  <c r="BQ102" i="11"/>
  <c r="Q102" i="14"/>
  <c r="BV59" i="9"/>
  <c r="R48" i="10"/>
  <c r="D687" i="1"/>
  <c r="M687" i="1" s="1"/>
  <c r="E1044" i="16"/>
  <c r="Y141" i="17"/>
  <c r="K269" i="3"/>
  <c r="D650" i="16" s="1"/>
  <c r="G105" i="1"/>
  <c r="C20" i="11"/>
  <c r="G196" i="14" s="1"/>
  <c r="BG77" i="10"/>
  <c r="BG81" i="10" s="1"/>
  <c r="BX58" i="10"/>
  <c r="AU47" i="11"/>
  <c r="AJ45" i="11"/>
  <c r="BE41" i="11"/>
  <c r="F47" i="11"/>
  <c r="AO48" i="11"/>
  <c r="BD35" i="11"/>
  <c r="AO46" i="11"/>
  <c r="AH39" i="11"/>
  <c r="BQ93" i="11"/>
  <c r="CF103" i="11"/>
  <c r="M59" i="10"/>
  <c r="F1044" i="16"/>
  <c r="Z141" i="17"/>
  <c r="J1044" i="16"/>
  <c r="AD141" i="17"/>
  <c r="D985" i="20"/>
  <c r="E226" i="23"/>
  <c r="C2504" i="16" s="1"/>
  <c r="P225" i="11"/>
  <c r="BY271" i="10"/>
  <c r="BY273" i="10" s="1"/>
  <c r="AG27" i="11"/>
  <c r="D44" i="11"/>
  <c r="AQ44" i="11"/>
  <c r="AU48" i="11"/>
  <c r="BP39" i="11"/>
  <c r="BZ40" i="11"/>
  <c r="I45" i="11"/>
  <c r="AG34" i="11"/>
  <c r="AO45" i="11"/>
  <c r="AP37" i="11"/>
  <c r="AU45" i="11"/>
  <c r="CA45" i="11"/>
  <c r="CD37" i="11"/>
  <c r="E35" i="11"/>
  <c r="G35" i="11"/>
  <c r="BJ35" i="11"/>
  <c r="BM47" i="11"/>
  <c r="AP32" i="11"/>
  <c r="BT42" i="11"/>
  <c r="BB30" i="11"/>
  <c r="AW44" i="11"/>
  <c r="AX47" i="11"/>
  <c r="AH41" i="11"/>
  <c r="AM28" i="11"/>
  <c r="BD41" i="11"/>
  <c r="I48" i="11"/>
  <c r="BV103" i="11"/>
  <c r="CC103" i="11"/>
  <c r="AZ120" i="11"/>
  <c r="AZ121" i="11" s="1"/>
  <c r="BB217" i="11"/>
  <c r="BF217" i="11"/>
  <c r="BV217" i="11"/>
  <c r="BZ217" i="11"/>
  <c r="AZ217" i="11"/>
  <c r="D327" i="12"/>
  <c r="N44" i="11"/>
  <c r="J967" i="12"/>
  <c r="BP955" i="12"/>
  <c r="H209" i="18"/>
  <c r="BZ266" i="12"/>
  <c r="M203" i="20" s="1"/>
  <c r="R33" i="9"/>
  <c r="G1044" i="16"/>
  <c r="AA141" i="17"/>
  <c r="D1016" i="12"/>
  <c r="F1827" i="16" s="1"/>
  <c r="D1827" i="16"/>
  <c r="D1828" i="16" s="1"/>
  <c r="AM57" i="1"/>
  <c r="BW58" i="10"/>
  <c r="BQ77" i="10"/>
  <c r="BX39" i="11"/>
  <c r="BZ41" i="11"/>
  <c r="BN101" i="11"/>
  <c r="BW32" i="11"/>
  <c r="BX101" i="11"/>
  <c r="BK102" i="11"/>
  <c r="BC103" i="11"/>
  <c r="BZ99" i="11"/>
  <c r="CE214" i="11"/>
  <c r="CE277" i="11" s="1"/>
  <c r="CE313" i="11" s="1"/>
  <c r="M103" i="11"/>
  <c r="N211" i="11"/>
  <c r="N214" i="11" s="1"/>
  <c r="N216" i="11" s="1"/>
  <c r="S103" i="14"/>
  <c r="BO62" i="9"/>
  <c r="H1044" i="16"/>
  <c r="AB141" i="17"/>
  <c r="O97" i="20"/>
  <c r="D226" i="23"/>
  <c r="Y48" i="17"/>
  <c r="L132" i="20"/>
  <c r="L136" i="20"/>
  <c r="P132" i="20"/>
  <c r="P136" i="20"/>
  <c r="I135" i="20"/>
  <c r="I136" i="20"/>
  <c r="M133" i="20"/>
  <c r="M136" i="20"/>
  <c r="K118" i="20"/>
  <c r="O118" i="20"/>
  <c r="BS118" i="20" s="1"/>
  <c r="D1005" i="20" s="1"/>
  <c r="BT105" i="20"/>
  <c r="D987" i="20"/>
  <c r="BT95" i="20"/>
  <c r="K503" i="20"/>
  <c r="K505" i="20" s="1"/>
  <c r="S123" i="20"/>
  <c r="BW117" i="20"/>
  <c r="J2073" i="16" s="1"/>
  <c r="BE214" i="11"/>
  <c r="BE220" i="11" s="1"/>
  <c r="BE223" i="11" s="1"/>
  <c r="BE227" i="11" s="1"/>
  <c r="BE228" i="11" s="1"/>
  <c r="L199" i="12"/>
  <c r="G1015" i="12"/>
  <c r="Y276" i="12"/>
  <c r="K207" i="12"/>
  <c r="D613" i="1" s="1"/>
  <c r="H392" i="20" s="1"/>
  <c r="L964" i="12"/>
  <c r="L967" i="12" s="1"/>
  <c r="CA77" i="10"/>
  <c r="CA83" i="10" s="1"/>
  <c r="G885" i="12"/>
  <c r="BY272" i="12"/>
  <c r="I513" i="20"/>
  <c r="J513" i="20"/>
  <c r="X276" i="12"/>
  <c r="F282" i="12"/>
  <c r="F175" i="12" s="1"/>
  <c r="F199" i="12" s="1"/>
  <c r="F201" i="12" s="1"/>
  <c r="K294" i="12"/>
  <c r="BZ93" i="11"/>
  <c r="BC93" i="11"/>
  <c r="CC98" i="11"/>
  <c r="J390" i="12"/>
  <c r="L912" i="12"/>
  <c r="C992" i="12"/>
  <c r="J396" i="12"/>
  <c r="C982" i="12"/>
  <c r="E1037" i="16"/>
  <c r="E1035" i="16"/>
  <c r="H327" i="12"/>
  <c r="E327" i="12"/>
  <c r="I327" i="12"/>
  <c r="K906" i="20"/>
  <c r="R211" i="20"/>
  <c r="R276" i="20" s="1"/>
  <c r="F588" i="20"/>
  <c r="F599" i="20" s="1"/>
  <c r="F508" i="20"/>
  <c r="E588" i="20"/>
  <c r="E599" i="20" s="1"/>
  <c r="E508" i="20"/>
  <c r="F1392" i="16"/>
  <c r="K671" i="20"/>
  <c r="R246" i="12"/>
  <c r="CB246" i="12" s="1"/>
  <c r="G675" i="20"/>
  <c r="J327" i="12"/>
  <c r="I671" i="20"/>
  <c r="P246" i="12"/>
  <c r="BZ246" i="12" s="1"/>
  <c r="L671" i="20"/>
  <c r="S246" i="12"/>
  <c r="CC246" i="12" s="1"/>
  <c r="J473" i="12"/>
  <c r="BY212" i="12"/>
  <c r="B327" i="12"/>
  <c r="F327" i="12"/>
  <c r="J671" i="20"/>
  <c r="Q246" i="12"/>
  <c r="CA246" i="12" s="1"/>
  <c r="C327" i="12"/>
  <c r="G327" i="12"/>
  <c r="Q115" i="20"/>
  <c r="BU115" i="20" s="1"/>
  <c r="BU113" i="20"/>
  <c r="F1006" i="20" s="1"/>
  <c r="F1026" i="20" s="1"/>
  <c r="N112" i="20"/>
  <c r="D41" i="24" s="1"/>
  <c r="D43" i="24" s="1"/>
  <c r="BS112" i="20"/>
  <c r="BK111" i="20"/>
  <c r="N111" i="20"/>
  <c r="D36" i="24" s="1"/>
  <c r="D38" i="24" s="1"/>
  <c r="R116" i="20"/>
  <c r="O125" i="20"/>
  <c r="BM125" i="20" s="1"/>
  <c r="BK110" i="20"/>
  <c r="O124" i="20"/>
  <c r="BM124" i="20" s="1"/>
  <c r="O113" i="20"/>
  <c r="O115" i="20" s="1"/>
  <c r="P115" i="20"/>
  <c r="BT115" i="20" s="1"/>
  <c r="BT113" i="20"/>
  <c r="E1006" i="20" s="1"/>
  <c r="E1026" i="20" s="1"/>
  <c r="D478" i="4"/>
  <c r="I315" i="4"/>
  <c r="I175" i="4" s="1"/>
  <c r="I502" i="4"/>
  <c r="K570" i="4"/>
  <c r="J602" i="4"/>
  <c r="J605" i="4"/>
  <c r="J607" i="4"/>
  <c r="J606" i="4"/>
  <c r="S353" i="8"/>
  <c r="I459" i="4"/>
  <c r="I10" i="4"/>
  <c r="J172" i="4"/>
  <c r="J357" i="4"/>
  <c r="R142" i="9"/>
  <c r="V108" i="14"/>
  <c r="V204" i="14"/>
  <c r="R165" i="11"/>
  <c r="V115" i="14"/>
  <c r="I1021" i="16"/>
  <c r="D409" i="4"/>
  <c r="D410" i="4" s="1"/>
  <c r="D226" i="4" s="1"/>
  <c r="C2" i="16"/>
  <c r="C15" i="16" s="1"/>
  <c r="D25" i="16" s="1"/>
  <c r="D35" i="16" s="1"/>
  <c r="D45" i="16" s="1"/>
  <c r="E384" i="4"/>
  <c r="H228" i="4"/>
  <c r="E160" i="4"/>
  <c r="E274" i="4"/>
  <c r="E164" i="4" s="1"/>
  <c r="G365" i="4"/>
  <c r="F234" i="4"/>
  <c r="D282" i="4"/>
  <c r="E286" i="4"/>
  <c r="E246" i="4"/>
  <c r="E257" i="4"/>
  <c r="G482" i="4"/>
  <c r="F2" i="16"/>
  <c r="F15" i="16" s="1"/>
  <c r="G25" i="16" s="1"/>
  <c r="G35" i="16" s="1"/>
  <c r="G45" i="16" s="1"/>
  <c r="E479" i="4"/>
  <c r="E482" i="4" s="1"/>
  <c r="E486" i="4" s="1"/>
  <c r="J566" i="4"/>
  <c r="F282" i="4"/>
  <c r="C237" i="4"/>
  <c r="D287" i="4"/>
  <c r="D462" i="4" s="1"/>
  <c r="D466" i="4" s="1"/>
  <c r="I166" i="4"/>
  <c r="W104" i="17"/>
  <c r="W119" i="17" s="1"/>
  <c r="H478" i="4"/>
  <c r="F423" i="4"/>
  <c r="G423" i="4" s="1"/>
  <c r="H423" i="4" s="1"/>
  <c r="G322" i="4"/>
  <c r="E592" i="16"/>
  <c r="E602" i="16" s="1"/>
  <c r="F286" i="4"/>
  <c r="G598" i="4"/>
  <c r="E594" i="16"/>
  <c r="E613" i="16" s="1"/>
  <c r="E460" i="4"/>
  <c r="E491" i="4" s="1"/>
  <c r="G600" i="4"/>
  <c r="I567" i="4"/>
  <c r="I599" i="4" s="1"/>
  <c r="I196" i="4"/>
  <c r="C1028" i="16" s="1"/>
  <c r="H5" i="5"/>
  <c r="C471" i="16" s="1"/>
  <c r="C513" i="16" s="1"/>
  <c r="E253" i="4"/>
  <c r="E252" i="4" s="1"/>
  <c r="H598" i="4"/>
  <c r="C1567" i="16"/>
  <c r="D1567" i="16"/>
  <c r="F624" i="4"/>
  <c r="J364" i="4"/>
  <c r="K364" i="4" s="1"/>
  <c r="I602" i="4"/>
  <c r="E175" i="4"/>
  <c r="G176" i="4"/>
  <c r="F308" i="4"/>
  <c r="F310" i="4" s="1"/>
  <c r="F240" i="4" s="1"/>
  <c r="F185" i="4" s="1"/>
  <c r="I365" i="4"/>
  <c r="F160" i="4"/>
  <c r="F384" i="4"/>
  <c r="BZ103" i="11"/>
  <c r="BK68" i="11"/>
  <c r="BP92" i="11"/>
  <c r="BM64" i="11"/>
  <c r="BW98" i="11"/>
  <c r="CF82" i="11"/>
  <c r="BY117" i="11"/>
  <c r="CC117" i="11"/>
  <c r="BN99" i="11"/>
  <c r="CC59" i="11"/>
  <c r="BS217" i="11"/>
  <c r="CE217" i="11"/>
  <c r="CE278" i="11" s="1"/>
  <c r="N243" i="4"/>
  <c r="N259" i="4" s="1"/>
  <c r="N284" i="4" s="1"/>
  <c r="H1021" i="16"/>
  <c r="C1098" i="16"/>
  <c r="C1110" i="16" s="1"/>
  <c r="I606" i="4"/>
  <c r="F245" i="4"/>
  <c r="E282" i="4"/>
  <c r="I352" i="4"/>
  <c r="F248" i="4"/>
  <c r="F460" i="4" s="1"/>
  <c r="F491" i="4" s="1"/>
  <c r="H597" i="4"/>
  <c r="H479" i="4"/>
  <c r="E361" i="4"/>
  <c r="E227" i="4" s="1"/>
  <c r="C1201" i="16"/>
  <c r="C1215" i="16" s="1"/>
  <c r="I282" i="4"/>
  <c r="H166" i="4"/>
  <c r="C39" i="16"/>
  <c r="E265" i="4"/>
  <c r="I173" i="4"/>
  <c r="BX351" i="12"/>
  <c r="K204" i="20" s="1"/>
  <c r="C700" i="12"/>
  <c r="K175" i="12"/>
  <c r="K178" i="12" s="1"/>
  <c r="M182" i="12"/>
  <c r="M196" i="12" s="1"/>
  <c r="E968" i="12"/>
  <c r="G968" i="12" s="1"/>
  <c r="T5" i="14"/>
  <c r="S5" i="14" s="1"/>
  <c r="T6" i="14" s="1"/>
  <c r="H878" i="12"/>
  <c r="I878" i="12" s="1"/>
  <c r="E1018" i="16"/>
  <c r="G884" i="12"/>
  <c r="D979" i="12"/>
  <c r="K459" i="12"/>
  <c r="F674" i="20"/>
  <c r="B66" i="12"/>
  <c r="B68" i="12" s="1"/>
  <c r="F176" i="12"/>
  <c r="R375" i="12"/>
  <c r="C1428" i="16" s="1"/>
  <c r="R340" i="12"/>
  <c r="O143" i="20"/>
  <c r="Q355" i="12"/>
  <c r="N142" i="20" s="1"/>
  <c r="I892" i="12"/>
  <c r="F588" i="1"/>
  <c r="K196" i="12"/>
  <c r="F904" i="12"/>
  <c r="G904" i="12" s="1"/>
  <c r="T7" i="14"/>
  <c r="S7" i="14" s="1"/>
  <c r="T8" i="14" s="1"/>
  <c r="D923" i="12"/>
  <c r="D726" i="12"/>
  <c r="D728" i="12" s="1"/>
  <c r="B726" i="12"/>
  <c r="B1015" i="12"/>
  <c r="B1679" i="16" s="1"/>
  <c r="B1672" i="16"/>
  <c r="D1423" i="16"/>
  <c r="D1424" i="16" s="1"/>
  <c r="D1426" i="16" s="1"/>
  <c r="S340" i="12"/>
  <c r="N379" i="12"/>
  <c r="B1014" i="12"/>
  <c r="B1678" i="16" s="1"/>
  <c r="B1671" i="16"/>
  <c r="E1423" i="16"/>
  <c r="E1424" i="16" s="1"/>
  <c r="F1425" i="16" s="1"/>
  <c r="T340" i="12"/>
  <c r="O142" i="20"/>
  <c r="D24" i="25"/>
  <c r="D26" i="25" s="1"/>
  <c r="H905" i="12"/>
  <c r="K273" i="12"/>
  <c r="G513" i="12" s="1"/>
  <c r="B817" i="12"/>
  <c r="BV382" i="12"/>
  <c r="H464" i="12" s="1"/>
  <c r="K964" i="12"/>
  <c r="E985" i="12" s="1"/>
  <c r="D985" i="12" s="1"/>
  <c r="E967" i="12"/>
  <c r="G967" i="12" s="1"/>
  <c r="K293" i="12"/>
  <c r="G965" i="12"/>
  <c r="BQ964" i="12"/>
  <c r="BQ967" i="12" s="1"/>
  <c r="BP965" i="12"/>
  <c r="G964" i="12"/>
  <c r="B698" i="12"/>
  <c r="B700" i="12" s="1"/>
  <c r="C332" i="12"/>
  <c r="G332" i="12"/>
  <c r="I871" i="12"/>
  <c r="B1016" i="12"/>
  <c r="B1680" i="16" s="1"/>
  <c r="B1673" i="16"/>
  <c r="R377" i="12"/>
  <c r="B332" i="12"/>
  <c r="F332" i="12"/>
  <c r="V215" i="14"/>
  <c r="R43" i="9"/>
  <c r="E332" i="12"/>
  <c r="I332" i="12"/>
  <c r="A476" i="12"/>
  <c r="C66" i="12"/>
  <c r="C68" i="12" s="1"/>
  <c r="K377" i="12"/>
  <c r="J332" i="12"/>
  <c r="A470" i="12"/>
  <c r="D332" i="12"/>
  <c r="H332" i="12"/>
  <c r="K345" i="12"/>
  <c r="G488" i="12" s="1"/>
  <c r="G491" i="12" s="1"/>
  <c r="U356" i="12"/>
  <c r="H249" i="4"/>
  <c r="G248" i="4"/>
  <c r="I343" i="4"/>
  <c r="I363" i="4" s="1"/>
  <c r="I381" i="4" s="1"/>
  <c r="I412" i="4" s="1"/>
  <c r="I420" i="4" s="1"/>
  <c r="I431" i="4" s="1"/>
  <c r="I446" i="4" s="1"/>
  <c r="I458" i="4" s="1"/>
  <c r="I498" i="4" s="1"/>
  <c r="I324" i="4"/>
  <c r="I462" i="4"/>
  <c r="I389" i="4"/>
  <c r="H600" i="4"/>
  <c r="I160" i="4"/>
  <c r="I386" i="4"/>
  <c r="G5" i="5"/>
  <c r="V5" i="17" s="1"/>
  <c r="K165" i="4"/>
  <c r="I605" i="4"/>
  <c r="B127" i="4"/>
  <c r="B140" i="4" s="1"/>
  <c r="D2" i="16"/>
  <c r="D15" i="16" s="1"/>
  <c r="E25" i="16" s="1"/>
  <c r="E35" i="16" s="1"/>
  <c r="E45" i="16" s="1"/>
  <c r="I565" i="4"/>
  <c r="J565" i="4" s="1"/>
  <c r="J597" i="4" s="1"/>
  <c r="F177" i="4"/>
  <c r="H272" i="4"/>
  <c r="E170" i="4"/>
  <c r="E173" i="4" s="1"/>
  <c r="H456" i="4"/>
  <c r="D324" i="4"/>
  <c r="P243" i="4"/>
  <c r="P259" i="4" s="1"/>
  <c r="P284" i="4" s="1"/>
  <c r="C282" i="4"/>
  <c r="H475" i="4"/>
  <c r="H442" i="4" s="1"/>
  <c r="H443" i="4" s="1"/>
  <c r="H173" i="4"/>
  <c r="D39" i="16"/>
  <c r="B130" i="4"/>
  <c r="B143" i="4" s="1"/>
  <c r="E358" i="4"/>
  <c r="C1021" i="16"/>
  <c r="I359" i="4"/>
  <c r="G602" i="4"/>
  <c r="B7" i="16"/>
  <c r="E310" i="4"/>
  <c r="E302" i="4" s="1"/>
  <c r="B111" i="4"/>
  <c r="D29" i="16"/>
  <c r="D30" i="16" s="1"/>
  <c r="D36" i="16"/>
  <c r="G456" i="4"/>
  <c r="G597" i="4"/>
  <c r="J243" i="4"/>
  <c r="J259" i="4" s="1"/>
  <c r="J284" i="4" s="1"/>
  <c r="L243" i="4"/>
  <c r="L259" i="4" s="1"/>
  <c r="L284" i="4" s="1"/>
  <c r="C527" i="4"/>
  <c r="E297" i="4"/>
  <c r="E298" i="4" s="1"/>
  <c r="C287" i="4"/>
  <c r="S359" i="8"/>
  <c r="AL430" i="20"/>
  <c r="C271" i="16"/>
  <c r="F223" i="16"/>
  <c r="J252" i="16"/>
  <c r="J242" i="16"/>
  <c r="C386" i="16"/>
  <c r="R51" i="9"/>
  <c r="J478" i="12"/>
  <c r="J479" i="12" s="1"/>
  <c r="E679" i="20"/>
  <c r="BN119" i="9"/>
  <c r="BN116" i="9"/>
  <c r="BN115" i="9" s="1"/>
  <c r="BN122" i="9"/>
  <c r="BT110" i="11"/>
  <c r="BU123" i="9"/>
  <c r="BU125" i="9"/>
  <c r="BU281" i="9"/>
  <c r="BF82" i="11"/>
  <c r="BF81" i="11"/>
  <c r="BY284" i="11"/>
  <c r="U115" i="14"/>
  <c r="U24" i="14"/>
  <c r="C557" i="12" s="1"/>
  <c r="U204" i="14"/>
  <c r="BL82" i="11"/>
  <c r="BJ54" i="11"/>
  <c r="BN81" i="11" s="1"/>
  <c r="BN61" i="9"/>
  <c r="L59" i="13"/>
  <c r="BZ113" i="9"/>
  <c r="CC113" i="9" s="1"/>
  <c r="N70" i="11"/>
  <c r="K56" i="13"/>
  <c r="O101" i="11"/>
  <c r="BD77" i="9"/>
  <c r="CA61" i="9"/>
  <c r="BQ54" i="11"/>
  <c r="BZ59" i="9"/>
  <c r="BJ77" i="9"/>
  <c r="BR61" i="9"/>
  <c r="G507" i="4"/>
  <c r="L53" i="13"/>
  <c r="BW78" i="9"/>
  <c r="BZ77" i="9"/>
  <c r="BK62" i="9"/>
  <c r="D816" i="12"/>
  <c r="BO64" i="11"/>
  <c r="BG61" i="9"/>
  <c r="BZ70" i="11"/>
  <c r="BS81" i="11"/>
  <c r="CC54" i="11"/>
  <c r="CC66" i="11" s="1"/>
  <c r="R101" i="14"/>
  <c r="BS62" i="9"/>
  <c r="BZ61" i="9"/>
  <c r="L56" i="13"/>
  <c r="BW77" i="9"/>
  <c r="BW61" i="9"/>
  <c r="P142" i="9"/>
  <c r="P211" i="11"/>
  <c r="P214" i="11" s="1"/>
  <c r="T104" i="14" s="1"/>
  <c r="BW59" i="9"/>
  <c r="BJ81" i="9"/>
  <c r="BJ85" i="9" s="1"/>
  <c r="BN70" i="9"/>
  <c r="K57" i="13"/>
  <c r="K59" i="13"/>
  <c r="CD61" i="9"/>
  <c r="K60" i="13"/>
  <c r="BZ81" i="9"/>
  <c r="CD82" i="9" s="1"/>
  <c r="BJ61" i="9"/>
  <c r="BW81" i="9"/>
  <c r="L205" i="4"/>
  <c r="D269" i="16"/>
  <c r="D223" i="16" s="1"/>
  <c r="D1035" i="16"/>
  <c r="H237" i="16"/>
  <c r="H247" i="16"/>
  <c r="C247" i="16"/>
  <c r="T174" i="11"/>
  <c r="X141" i="14" s="1"/>
  <c r="G689" i="16"/>
  <c r="G699" i="16" s="1"/>
  <c r="G707" i="16" s="1"/>
  <c r="E503" i="16"/>
  <c r="E506" i="16" s="1"/>
  <c r="E508" i="16" s="1"/>
  <c r="E509" i="16" s="1"/>
  <c r="I941" i="16"/>
  <c r="G180" i="16"/>
  <c r="D408" i="1"/>
  <c r="D413" i="1" s="1"/>
  <c r="H414" i="1" s="1"/>
  <c r="G407" i="1"/>
  <c r="V407" i="1"/>
  <c r="D703" i="1"/>
  <c r="D406" i="1"/>
  <c r="D456" i="1" s="1"/>
  <c r="X375" i="1"/>
  <c r="X402" i="1" s="1"/>
  <c r="K701" i="1"/>
  <c r="K487" i="1"/>
  <c r="K441" i="1"/>
  <c r="BI66" i="11"/>
  <c r="BG81" i="9"/>
  <c r="Q29" i="11"/>
  <c r="U84" i="14"/>
  <c r="U225" i="9"/>
  <c r="T213" i="11"/>
  <c r="S140" i="9"/>
  <c r="T140" i="9" s="1"/>
  <c r="R136" i="11"/>
  <c r="S213" i="10"/>
  <c r="S257" i="10" s="1"/>
  <c r="R215" i="10"/>
  <c r="R218" i="10" s="1"/>
  <c r="R257" i="10"/>
  <c r="I238" i="3"/>
  <c r="H237" i="3"/>
  <c r="N99" i="10"/>
  <c r="N100" i="10"/>
  <c r="N95" i="10"/>
  <c r="N98" i="10"/>
  <c r="N97" i="10"/>
  <c r="N105" i="10"/>
  <c r="O95" i="10"/>
  <c r="CA95" i="10"/>
  <c r="CA100" i="10"/>
  <c r="CA105" i="10"/>
  <c r="CA99" i="10"/>
  <c r="CD226" i="10"/>
  <c r="CD116" i="10"/>
  <c r="CF231" i="11"/>
  <c r="CF285" i="11" s="1"/>
  <c r="CF298" i="11" s="1"/>
  <c r="CD120" i="10"/>
  <c r="CD121" i="10" s="1"/>
  <c r="CA120" i="9"/>
  <c r="G266" i="12"/>
  <c r="BU266" i="12" s="1"/>
  <c r="G458" i="12" s="1"/>
  <c r="CA116" i="9"/>
  <c r="CA117" i="9" s="1"/>
  <c r="P184" i="11"/>
  <c r="T22" i="14" s="1"/>
  <c r="Q188" i="10"/>
  <c r="B673" i="16"/>
  <c r="B618" i="16"/>
  <c r="I130" i="12"/>
  <c r="R116" i="10"/>
  <c r="C50" i="21"/>
  <c r="R58" i="10"/>
  <c r="Q37" i="11"/>
  <c r="BI119" i="11"/>
  <c r="T214" i="10"/>
  <c r="O324" i="4"/>
  <c r="BV116" i="11"/>
  <c r="D225" i="4"/>
  <c r="CA98" i="10"/>
  <c r="CB87" i="9"/>
  <c r="K105" i="1"/>
  <c r="AL10" i="1"/>
  <c r="K123" i="1"/>
  <c r="BD70" i="10"/>
  <c r="BD77" i="10"/>
  <c r="BP70" i="10"/>
  <c r="BP77" i="10"/>
  <c r="BP70" i="9"/>
  <c r="BP77" i="9"/>
  <c r="BT61" i="9"/>
  <c r="BP113" i="9"/>
  <c r="Q190" i="10"/>
  <c r="R190" i="10" s="1"/>
  <c r="S190" i="10" s="1"/>
  <c r="T190" i="10" s="1"/>
  <c r="U190" i="10" s="1"/>
  <c r="V190" i="10" s="1"/>
  <c r="W190" i="10" s="1"/>
  <c r="X190" i="10" s="1"/>
  <c r="Y190" i="10" s="1"/>
  <c r="Z190" i="10" s="1"/>
  <c r="P186" i="11"/>
  <c r="T11" i="14" s="1"/>
  <c r="M37" i="11"/>
  <c r="M27" i="11"/>
  <c r="Q188" i="14"/>
  <c r="S272" i="9"/>
  <c r="T272" i="9"/>
  <c r="S213" i="11"/>
  <c r="T191" i="14"/>
  <c r="P43" i="11"/>
  <c r="T81" i="14"/>
  <c r="P32" i="11"/>
  <c r="H195" i="3"/>
  <c r="I197" i="3"/>
  <c r="C50" i="16" s="1"/>
  <c r="R127" i="9"/>
  <c r="I192" i="4"/>
  <c r="R121" i="10"/>
  <c r="V39" i="14"/>
  <c r="H160" i="4"/>
  <c r="Q109" i="10"/>
  <c r="E509" i="8" s="1"/>
  <c r="Q39" i="11"/>
  <c r="I479" i="4"/>
  <c r="I476" i="4"/>
  <c r="S148" i="11"/>
  <c r="AF407" i="1"/>
  <c r="R148" i="11"/>
  <c r="L137" i="3"/>
  <c r="M137" i="3" s="1"/>
  <c r="N137" i="3" s="1"/>
  <c r="O137" i="3" s="1"/>
  <c r="P137" i="3" s="1"/>
  <c r="CA98" i="11"/>
  <c r="BH81" i="11"/>
  <c r="F293" i="4"/>
  <c r="E293" i="4"/>
  <c r="G272" i="4"/>
  <c r="G274" i="4" s="1"/>
  <c r="G164" i="4" s="1"/>
  <c r="F274" i="4"/>
  <c r="F164" i="4" s="1"/>
  <c r="Q32" i="11"/>
  <c r="Q79" i="14"/>
  <c r="N54" i="11"/>
  <c r="O193" i="10"/>
  <c r="O196" i="10" s="1"/>
  <c r="O199" i="10" s="1"/>
  <c r="S261" i="14" s="1"/>
  <c r="CB278" i="9"/>
  <c r="CB310" i="9"/>
  <c r="CA281" i="9"/>
  <c r="B792" i="12"/>
  <c r="B793" i="12" s="1"/>
  <c r="B796" i="12" s="1"/>
  <c r="B557" i="12"/>
  <c r="CB70" i="10"/>
  <c r="E24" i="9"/>
  <c r="E20" i="11"/>
  <c r="I222" i="14"/>
  <c r="E25" i="9"/>
  <c r="M137" i="11"/>
  <c r="BF64" i="11"/>
  <c r="BI64" i="11"/>
  <c r="L81" i="9"/>
  <c r="L85" i="9" s="1"/>
  <c r="P225" i="14"/>
  <c r="M73" i="9"/>
  <c r="L61" i="11"/>
  <c r="P199" i="14" s="1"/>
  <c r="CA70" i="11"/>
  <c r="BY78" i="9"/>
  <c r="CC74" i="9"/>
  <c r="BH99" i="9"/>
  <c r="BJ94" i="11"/>
  <c r="BL99" i="9"/>
  <c r="BH102" i="9"/>
  <c r="BH109" i="9"/>
  <c r="BH101" i="9"/>
  <c r="BH103" i="9"/>
  <c r="BM104" i="9"/>
  <c r="BM103" i="9"/>
  <c r="BQ99" i="9"/>
  <c r="BM99" i="9"/>
  <c r="CC106" i="9"/>
  <c r="CC94" i="9"/>
  <c r="CC102" i="9" s="1"/>
  <c r="CE101" i="11"/>
  <c r="CC96" i="9"/>
  <c r="BC103" i="9"/>
  <c r="BC102" i="9"/>
  <c r="BC101" i="9"/>
  <c r="BC104" i="9"/>
  <c r="BC99" i="9"/>
  <c r="BG99" i="9"/>
  <c r="O127" i="9"/>
  <c r="P114" i="9"/>
  <c r="O123" i="9"/>
  <c r="N137" i="9"/>
  <c r="N127" i="9"/>
  <c r="N144" i="11"/>
  <c r="M167" i="11"/>
  <c r="Q137" i="14" s="1"/>
  <c r="M187" i="9"/>
  <c r="M173" i="11"/>
  <c r="Q140" i="14" s="1"/>
  <c r="BN69" i="11"/>
  <c r="BH69" i="10"/>
  <c r="BL69" i="10"/>
  <c r="BM69" i="10"/>
  <c r="BQ69" i="10"/>
  <c r="BM77" i="10"/>
  <c r="CD304" i="10"/>
  <c r="CA295" i="10"/>
  <c r="CB277" i="10"/>
  <c r="BW298" i="10"/>
  <c r="BX281" i="10"/>
  <c r="BS289" i="10"/>
  <c r="BT289" i="10"/>
  <c r="BT119" i="11"/>
  <c r="CC307" i="11"/>
  <c r="BD223" i="10"/>
  <c r="BD233" i="10"/>
  <c r="BX278" i="9"/>
  <c r="BX310" i="9"/>
  <c r="O154" i="11"/>
  <c r="S111" i="14" s="1"/>
  <c r="O195" i="9"/>
  <c r="O185" i="11" s="1"/>
  <c r="O130" i="9"/>
  <c r="BM81" i="11"/>
  <c r="D166" i="12"/>
  <c r="F285" i="4"/>
  <c r="CC102" i="10"/>
  <c r="CC90" i="10"/>
  <c r="CC92" i="10"/>
  <c r="BU275" i="10"/>
  <c r="BX227" i="10"/>
  <c r="BX231" i="10" s="1"/>
  <c r="BW227" i="10"/>
  <c r="BU227" i="10"/>
  <c r="BU231" i="10" s="1"/>
  <c r="M149" i="10"/>
  <c r="M144" i="11"/>
  <c r="V201" i="14"/>
  <c r="V217" i="10"/>
  <c r="E166" i="12"/>
  <c r="O140" i="9"/>
  <c r="E285" i="4"/>
  <c r="S224" i="9"/>
  <c r="S271" i="9" s="1"/>
  <c r="BX288" i="9"/>
  <c r="BW305" i="9"/>
  <c r="BY308" i="11"/>
  <c r="BW82" i="11"/>
  <c r="J273" i="4"/>
  <c r="I272" i="4"/>
  <c r="P197" i="10"/>
  <c r="CC63" i="10"/>
  <c r="CE68" i="11"/>
  <c r="M231" i="9"/>
  <c r="Q235" i="14"/>
  <c r="BZ70" i="10"/>
  <c r="CD70" i="10"/>
  <c r="BL70" i="10"/>
  <c r="BH70" i="10"/>
  <c r="BK113" i="9"/>
  <c r="BK61" i="9"/>
  <c r="BK77" i="9"/>
  <c r="BK70" i="9"/>
  <c r="BK81" i="9" s="1"/>
  <c r="O188" i="14"/>
  <c r="K27" i="11"/>
  <c r="K37" i="11"/>
  <c r="L27" i="11"/>
  <c r="BG81" i="11"/>
  <c r="AE98" i="1"/>
  <c r="AE92" i="1"/>
  <c r="AM106" i="1"/>
  <c r="E1437" i="16"/>
  <c r="U389" i="12"/>
  <c r="F1437" i="16" s="1"/>
  <c r="R379" i="12"/>
  <c r="CB356" i="12"/>
  <c r="R120" i="9"/>
  <c r="R143" i="10"/>
  <c r="R143" i="11" s="1"/>
  <c r="H282" i="4"/>
  <c r="Q41" i="11"/>
  <c r="I478" i="4"/>
  <c r="I215" i="4"/>
  <c r="C1045" i="16" s="1"/>
  <c r="S194" i="9"/>
  <c r="S203" i="9" s="1"/>
  <c r="M389" i="1"/>
  <c r="R194" i="9"/>
  <c r="R203" i="9" s="1"/>
  <c r="U192" i="14"/>
  <c r="BD232" i="10"/>
  <c r="H20" i="3"/>
  <c r="F487" i="1"/>
  <c r="F701" i="1"/>
  <c r="BT70" i="10"/>
  <c r="BV227" i="10"/>
  <c r="Q148" i="11"/>
  <c r="M63" i="3"/>
  <c r="F701" i="16" s="1"/>
  <c r="BZ306" i="11"/>
  <c r="CA123" i="9"/>
  <c r="N181" i="10"/>
  <c r="S22" i="14"/>
  <c r="BR69" i="11"/>
  <c r="BR65" i="11"/>
  <c r="K378" i="12"/>
  <c r="I483" i="4"/>
  <c r="J483" i="4" s="1"/>
  <c r="K483" i="4" s="1"/>
  <c r="L483" i="4" s="1"/>
  <c r="M483" i="4" s="1"/>
  <c r="L63" i="3"/>
  <c r="BW112" i="10"/>
  <c r="BW114" i="10" s="1"/>
  <c r="Q31" i="11"/>
  <c r="P38" i="11"/>
  <c r="BS25" i="9"/>
  <c r="BS26" i="9" s="1"/>
  <c r="BS24" i="9"/>
  <c r="BT109" i="9"/>
  <c r="BS109" i="9"/>
  <c r="N223" i="10"/>
  <c r="N227" i="10" s="1"/>
  <c r="R262" i="14"/>
  <c r="BD235" i="10"/>
  <c r="BD231" i="10"/>
  <c r="BM218" i="10"/>
  <c r="BM235" i="10"/>
  <c r="BM231" i="10"/>
  <c r="BQ231" i="10"/>
  <c r="BQ218" i="10"/>
  <c r="BQ235" i="10"/>
  <c r="CC305" i="11"/>
  <c r="BZ116" i="11"/>
  <c r="CA310" i="9"/>
  <c r="CA278" i="9"/>
  <c r="BJ70" i="11"/>
  <c r="BG72" i="11"/>
  <c r="S4" i="10"/>
  <c r="V241" i="14"/>
  <c r="U194" i="14"/>
  <c r="CD281" i="9"/>
  <c r="CF119" i="11"/>
  <c r="CD116" i="9"/>
  <c r="CD117" i="9" s="1"/>
  <c r="CA85" i="9"/>
  <c r="L123" i="1"/>
  <c r="L105" i="1"/>
  <c r="L52" i="1"/>
  <c r="BA25" i="9"/>
  <c r="BA26" i="9" s="1"/>
  <c r="BA24" i="9"/>
  <c r="BO24" i="9"/>
  <c r="BO25" i="9"/>
  <c r="BO26" i="9" s="1"/>
  <c r="Q42" i="11"/>
  <c r="BN117" i="11"/>
  <c r="M293" i="3"/>
  <c r="U102" i="14"/>
  <c r="CD70" i="11"/>
  <c r="CA102" i="11"/>
  <c r="CE92" i="11"/>
  <c r="CA92" i="11"/>
  <c r="R45" i="10"/>
  <c r="C38" i="21"/>
  <c r="S12" i="10"/>
  <c r="X247" i="17" s="1"/>
  <c r="Q27" i="11"/>
  <c r="G16" i="3"/>
  <c r="O175" i="10"/>
  <c r="O176" i="10" s="1"/>
  <c r="BZ275" i="10"/>
  <c r="BZ293" i="10" s="1"/>
  <c r="CB227" i="10"/>
  <c r="CA227" i="10"/>
  <c r="L222" i="14"/>
  <c r="H20" i="11"/>
  <c r="M25" i="9"/>
  <c r="Q222" i="14"/>
  <c r="P265" i="9"/>
  <c r="S265" i="9"/>
  <c r="Q268" i="9"/>
  <c r="P268" i="9"/>
  <c r="BX226" i="9"/>
  <c r="BV70" i="10"/>
  <c r="BR77" i="10"/>
  <c r="BR81" i="10" s="1"/>
  <c r="BT69" i="11"/>
  <c r="M97" i="10"/>
  <c r="M100" i="10"/>
  <c r="BY92" i="10"/>
  <c r="CA101" i="11"/>
  <c r="BW99" i="10"/>
  <c r="BY98" i="11"/>
  <c r="BW100" i="10"/>
  <c r="CB116" i="10"/>
  <c r="CB111" i="10"/>
  <c r="CB112" i="10" s="1"/>
  <c r="CB121" i="10"/>
  <c r="CB123" i="10"/>
  <c r="CB119" i="10"/>
  <c r="CD284" i="11"/>
  <c r="BU114" i="10"/>
  <c r="BU113" i="10"/>
  <c r="BC218" i="10"/>
  <c r="BC235" i="10"/>
  <c r="BT235" i="10"/>
  <c r="BT218" i="10"/>
  <c r="BT231" i="10"/>
  <c r="CC267" i="10"/>
  <c r="CC218" i="10"/>
  <c r="K531" i="4"/>
  <c r="H52" i="1"/>
  <c r="F478" i="4"/>
  <c r="BU46" i="11"/>
  <c r="AI34" i="11"/>
  <c r="BH64" i="11"/>
  <c r="U210" i="14"/>
  <c r="I382" i="12"/>
  <c r="BW382" i="12" s="1"/>
  <c r="I464" i="12" s="1"/>
  <c r="BB66" i="11"/>
  <c r="BE101" i="11"/>
  <c r="Q58" i="11"/>
  <c r="CF47" i="11"/>
  <c r="I34" i="11"/>
  <c r="AW20" i="11"/>
  <c r="AW40" i="11"/>
  <c r="G417" i="4"/>
  <c r="G165" i="4" s="1"/>
  <c r="CA33" i="11"/>
  <c r="AC25" i="9"/>
  <c r="AC26" i="9" s="1"/>
  <c r="I35" i="11"/>
  <c r="BD34" i="11"/>
  <c r="AX46" i="11"/>
  <c r="CD39" i="11"/>
  <c r="AL34" i="11"/>
  <c r="AW33" i="11"/>
  <c r="L35" i="11"/>
  <c r="K47" i="11"/>
  <c r="AG42" i="11"/>
  <c r="BU32" i="11"/>
  <c r="BC43" i="11"/>
  <c r="BF39" i="11"/>
  <c r="BP20" i="11"/>
  <c r="AZ32" i="11"/>
  <c r="BM65" i="11"/>
  <c r="BQ44" i="11"/>
  <c r="BW20" i="11"/>
  <c r="BJ32" i="11"/>
  <c r="BB38" i="11"/>
  <c r="BZ58" i="11"/>
  <c r="AQ48" i="11"/>
  <c r="D48" i="11"/>
  <c r="BM44" i="11"/>
  <c r="BU54" i="11"/>
  <c r="AV34" i="11"/>
  <c r="AK41" i="11"/>
  <c r="AQ32" i="11"/>
  <c r="BB81" i="11"/>
  <c r="Q35" i="11"/>
  <c r="BW69" i="11"/>
  <c r="E388" i="4"/>
  <c r="E461" i="4"/>
  <c r="E492" i="4" s="1"/>
  <c r="AL49" i="1"/>
  <c r="BV54" i="11"/>
  <c r="BZ81" i="11" s="1"/>
  <c r="BT58" i="10"/>
  <c r="BX235" i="9"/>
  <c r="BX239" i="9" s="1"/>
  <c r="BV235" i="9"/>
  <c r="BY81" i="9"/>
  <c r="CC72" i="9"/>
  <c r="BE39" i="11"/>
  <c r="BE44" i="11"/>
  <c r="BL33" i="11"/>
  <c r="BO44" i="11"/>
  <c r="L194" i="14"/>
  <c r="H34" i="11"/>
  <c r="AE42" i="11"/>
  <c r="AE20" i="11"/>
  <c r="AP34" i="11"/>
  <c r="AO34" i="11"/>
  <c r="AT45" i="11"/>
  <c r="AT20" i="11"/>
  <c r="AX45" i="11"/>
  <c r="AX34" i="11"/>
  <c r="AX42" i="11"/>
  <c r="BA34" i="11"/>
  <c r="BA103" i="11"/>
  <c r="BA42" i="11"/>
  <c r="BN34" i="11"/>
  <c r="BM34" i="11"/>
  <c r="CE41" i="11"/>
  <c r="CE42" i="11"/>
  <c r="CE20" i="11"/>
  <c r="AH35" i="11"/>
  <c r="AH48" i="11"/>
  <c r="AV48" i="11"/>
  <c r="AV35" i="11"/>
  <c r="AV47" i="11"/>
  <c r="AP39" i="11"/>
  <c r="AZ44" i="11"/>
  <c r="AV33" i="11"/>
  <c r="AV44" i="11"/>
  <c r="BS41" i="11"/>
  <c r="BS45" i="11"/>
  <c r="AV32" i="11"/>
  <c r="AW32" i="11"/>
  <c r="AV20" i="11"/>
  <c r="AR41" i="11"/>
  <c r="AR42" i="11"/>
  <c r="BZ35" i="11"/>
  <c r="CA58" i="11"/>
  <c r="BZ47" i="11"/>
  <c r="AZ38" i="11"/>
  <c r="BA32" i="11"/>
  <c r="BJ101" i="11"/>
  <c r="BK43" i="11"/>
  <c r="BL32" i="11"/>
  <c r="BT32" i="11"/>
  <c r="BS43" i="11"/>
  <c r="BS32" i="11"/>
  <c r="CA32" i="11"/>
  <c r="CA38" i="11"/>
  <c r="CC20" i="11"/>
  <c r="CC38" i="11"/>
  <c r="BD102" i="11"/>
  <c r="BD92" i="11"/>
  <c r="BG44" i="11"/>
  <c r="BG33" i="11"/>
  <c r="BG40" i="11"/>
  <c r="BO33" i="11"/>
  <c r="BN39" i="11"/>
  <c r="BR44" i="11"/>
  <c r="BP102" i="11"/>
  <c r="BS39" i="11"/>
  <c r="BS40" i="11"/>
  <c r="BU92" i="11"/>
  <c r="BZ102" i="11"/>
  <c r="BZ92" i="11"/>
  <c r="CD33" i="11"/>
  <c r="CC40" i="11"/>
  <c r="CC33" i="11"/>
  <c r="CC102" i="11"/>
  <c r="BG103" i="11"/>
  <c r="BH41" i="11"/>
  <c r="BI34" i="11"/>
  <c r="BH45" i="11"/>
  <c r="BL34" i="11"/>
  <c r="BP45" i="11"/>
  <c r="BN103" i="11"/>
  <c r="BQ34" i="11"/>
  <c r="BQ20" i="11"/>
  <c r="BR104" i="9"/>
  <c r="BR99" i="9"/>
  <c r="BX94" i="11"/>
  <c r="BS103" i="11"/>
  <c r="R44" i="10"/>
  <c r="R20" i="10"/>
  <c r="W249" i="17" s="1"/>
  <c r="L164" i="1"/>
  <c r="L167" i="1" s="1"/>
  <c r="L173" i="1" s="1"/>
  <c r="L178" i="1" s="1"/>
  <c r="L180" i="1" s="1"/>
  <c r="L135" i="1"/>
  <c r="R196" i="9"/>
  <c r="BS114" i="10"/>
  <c r="BS113" i="10"/>
  <c r="G24" i="9"/>
  <c r="G25" i="9"/>
  <c r="G20" i="11"/>
  <c r="BD25" i="9"/>
  <c r="BD26" i="9" s="1"/>
  <c r="BD24" i="9"/>
  <c r="AR44" i="11"/>
  <c r="AN33" i="11"/>
  <c r="AO33" i="11"/>
  <c r="AQ40" i="11"/>
  <c r="AR33" i="11"/>
  <c r="AQ33" i="11"/>
  <c r="AQ39" i="11"/>
  <c r="AU44" i="11"/>
  <c r="AU39" i="11"/>
  <c r="AU33" i="11"/>
  <c r="BT44" i="11"/>
  <c r="BP40" i="11"/>
  <c r="BP48" i="11"/>
  <c r="BP44" i="11"/>
  <c r="BQ33" i="11"/>
  <c r="BU39" i="11"/>
  <c r="BU37" i="11"/>
  <c r="BU41" i="11"/>
  <c r="M194" i="14"/>
  <c r="I42" i="11"/>
  <c r="N45" i="11"/>
  <c r="M41" i="11"/>
  <c r="Q82" i="14"/>
  <c r="Q194" i="14"/>
  <c r="M34" i="11"/>
  <c r="M45" i="11"/>
  <c r="N34" i="11"/>
  <c r="AU42" i="11"/>
  <c r="AU34" i="11"/>
  <c r="AY47" i="11"/>
  <c r="AY40" i="11"/>
  <c r="AY42" i="11"/>
  <c r="AZ28" i="11"/>
  <c r="BF34" i="11"/>
  <c r="BF42" i="11"/>
  <c r="BF41" i="11"/>
  <c r="BO34" i="11"/>
  <c r="BO41" i="11"/>
  <c r="BW45" i="11"/>
  <c r="BW42" i="11"/>
  <c r="CF34" i="11"/>
  <c r="CF45" i="11"/>
  <c r="BI48" i="11"/>
  <c r="BI35" i="11"/>
  <c r="BU35" i="11"/>
  <c r="BU47" i="11"/>
  <c r="BV58" i="11"/>
  <c r="CB48" i="11"/>
  <c r="CC35" i="11"/>
  <c r="CB58" i="11"/>
  <c r="BT40" i="11"/>
  <c r="BT46" i="11"/>
  <c r="BT28" i="11"/>
  <c r="BU28" i="11"/>
  <c r="BG29" i="11"/>
  <c r="BH29" i="11"/>
  <c r="AW39" i="11"/>
  <c r="AX33" i="11"/>
  <c r="AM40" i="11"/>
  <c r="AN28" i="11"/>
  <c r="BC82" i="11"/>
  <c r="BC81" i="11"/>
  <c r="BX64" i="11"/>
  <c r="BX59" i="11"/>
  <c r="BY47" i="11"/>
  <c r="BY58" i="11"/>
  <c r="CF35" i="11"/>
  <c r="CF58" i="11"/>
  <c r="BD32" i="11"/>
  <c r="BH43" i="11"/>
  <c r="BD20" i="11"/>
  <c r="BX91" i="11"/>
  <c r="BT101" i="11"/>
  <c r="BY101" i="11"/>
  <c r="BY91" i="11"/>
  <c r="BH44" i="11"/>
  <c r="BL44" i="11"/>
  <c r="Q195" i="14"/>
  <c r="N33" i="11"/>
  <c r="M48" i="11"/>
  <c r="M39" i="11"/>
  <c r="BO70" i="9"/>
  <c r="BO81" i="9" s="1"/>
  <c r="BO113" i="9"/>
  <c r="BO122" i="9" s="1"/>
  <c r="R62" i="10"/>
  <c r="R64" i="10" s="1"/>
  <c r="S13" i="10"/>
  <c r="X263" i="17" s="1"/>
  <c r="D1044" i="16"/>
  <c r="R47" i="14"/>
  <c r="BV288" i="10"/>
  <c r="CB117" i="11"/>
  <c r="BW22" i="10"/>
  <c r="BW23" i="10" s="1"/>
  <c r="BW21" i="10"/>
  <c r="I190" i="14"/>
  <c r="F46" i="11"/>
  <c r="K46" i="11"/>
  <c r="K28" i="11"/>
  <c r="D501" i="8"/>
  <c r="N286" i="3"/>
  <c r="F658" i="16"/>
  <c r="H326" i="4"/>
  <c r="I326" i="4"/>
  <c r="BG65" i="11"/>
  <c r="AN24" i="9"/>
  <c r="AN25" i="9"/>
  <c r="AN26" i="9" s="1"/>
  <c r="BF101" i="9"/>
  <c r="BF102" i="9"/>
  <c r="BQ41" i="11"/>
  <c r="S85" i="14"/>
  <c r="S193" i="14"/>
  <c r="F150" i="18"/>
  <c r="E149" i="18"/>
  <c r="I216" i="4"/>
  <c r="C1046" i="16" s="1"/>
  <c r="BG64" i="11"/>
  <c r="S171" i="11"/>
  <c r="W113" i="14" s="1"/>
  <c r="AG41" i="11"/>
  <c r="CA30" i="11"/>
  <c r="AX38" i="11"/>
  <c r="J454" i="1"/>
  <c r="L370" i="1"/>
  <c r="H527" i="4"/>
  <c r="H606" i="4"/>
  <c r="E12" i="22"/>
  <c r="F12" i="22" s="1"/>
  <c r="G12" i="22" s="1"/>
  <c r="H12" i="22" s="1"/>
  <c r="I12" i="22" s="1"/>
  <c r="J12" i="22" s="1"/>
  <c r="K12" i="22" s="1"/>
  <c r="L12" i="22" s="1"/>
  <c r="M12" i="22" s="1"/>
  <c r="N12" i="22" s="1"/>
  <c r="O12" i="22" s="1"/>
  <c r="P12" i="22" s="1"/>
  <c r="D11" i="22"/>
  <c r="K178" i="1"/>
  <c r="K180" i="1" s="1"/>
  <c r="G33" i="7"/>
  <c r="F58" i="2" s="1"/>
  <c r="F9" i="7"/>
  <c r="F17" i="7"/>
  <c r="F25" i="7"/>
  <c r="G25" i="7"/>
  <c r="F33" i="7"/>
  <c r="BF77" i="10"/>
  <c r="I41" i="11"/>
  <c r="BQ28" i="11"/>
  <c r="BC64" i="11"/>
  <c r="CC68" i="11"/>
  <c r="CF59" i="11"/>
  <c r="BI101" i="11"/>
  <c r="BS101" i="11"/>
  <c r="BF102" i="11"/>
  <c r="BH102" i="11"/>
  <c r="BV102" i="11"/>
  <c r="BB103" i="11"/>
  <c r="BF103" i="11"/>
  <c r="BM103" i="11"/>
  <c r="BU214" i="11"/>
  <c r="BU220" i="11" s="1"/>
  <c r="BU223" i="11" s="1"/>
  <c r="BU227" i="11" s="1"/>
  <c r="BU228" i="11" s="1"/>
  <c r="C501" i="8"/>
  <c r="S268" i="12"/>
  <c r="S269" i="12" s="1"/>
  <c r="R103" i="14"/>
  <c r="I76" i="18"/>
  <c r="F192" i="18" s="1"/>
  <c r="R192" i="18"/>
  <c r="D684" i="1"/>
  <c r="M684" i="1" s="1"/>
  <c r="C59" i="22"/>
  <c r="CA125" i="9"/>
  <c r="BK47" i="11"/>
  <c r="J33" i="11"/>
  <c r="BS102" i="11"/>
  <c r="BE103" i="11"/>
  <c r="BH103" i="11"/>
  <c r="BJ103" i="11"/>
  <c r="BQ103" i="11"/>
  <c r="BX214" i="11"/>
  <c r="CB214" i="11"/>
  <c r="CB277" i="11" s="1"/>
  <c r="CB313" i="11" s="1"/>
  <c r="BC217" i="11"/>
  <c r="BG217" i="11"/>
  <c r="BK217" i="11"/>
  <c r="BO217" i="11"/>
  <c r="CA217" i="11"/>
  <c r="CA278" i="11" s="1"/>
  <c r="CA314" i="11" s="1"/>
  <c r="CC279" i="11"/>
  <c r="D698" i="12"/>
  <c r="C728" i="12"/>
  <c r="G814" i="12"/>
  <c r="G886" i="12"/>
  <c r="K214" i="12"/>
  <c r="C51" i="22"/>
  <c r="C54" i="22" s="1"/>
  <c r="C40" i="22"/>
  <c r="D40" i="22" s="1"/>
  <c r="C57" i="22"/>
  <c r="C93" i="22" s="1"/>
  <c r="S401" i="12"/>
  <c r="T398" i="12"/>
  <c r="U398" i="12" s="1"/>
  <c r="F1430" i="16" s="1"/>
  <c r="F1431" i="16" s="1"/>
  <c r="K141" i="20"/>
  <c r="N377" i="12"/>
  <c r="BF296" i="9"/>
  <c r="BJ296" i="9"/>
  <c r="CB77" i="10"/>
  <c r="CB81" i="10" s="1"/>
  <c r="M194" i="11"/>
  <c r="BH38" i="11"/>
  <c r="AK32" i="11"/>
  <c r="BZ64" i="11"/>
  <c r="BA66" i="11"/>
  <c r="BF101" i="11"/>
  <c r="BK101" i="11"/>
  <c r="BV101" i="11"/>
  <c r="CC101" i="11"/>
  <c r="BE33" i="11"/>
  <c r="BG102" i="11"/>
  <c r="BN102" i="11"/>
  <c r="CB102" i="11"/>
  <c r="BD103" i="11"/>
  <c r="BI93" i="11"/>
  <c r="BS93" i="11"/>
  <c r="BT103" i="11"/>
  <c r="CD93" i="11"/>
  <c r="BF214" i="11"/>
  <c r="BJ214" i="11"/>
  <c r="BR214" i="11"/>
  <c r="BD217" i="11"/>
  <c r="BH217" i="11"/>
  <c r="BL217" i="11"/>
  <c r="BP217" i="11"/>
  <c r="BT217" i="11"/>
  <c r="BX217" i="11"/>
  <c r="CB217" i="11"/>
  <c r="CB278" i="11" s="1"/>
  <c r="CB314" i="11" s="1"/>
  <c r="CD279" i="11"/>
  <c r="CC282" i="11"/>
  <c r="CC312" i="11" s="1"/>
  <c r="T102" i="14"/>
  <c r="T212" i="9"/>
  <c r="I690" i="1"/>
  <c r="D685" i="1"/>
  <c r="M685" i="1" s="1"/>
  <c r="F690" i="1"/>
  <c r="D686" i="1"/>
  <c r="M686" i="1" s="1"/>
  <c r="I475" i="4"/>
  <c r="CE266" i="12"/>
  <c r="V268" i="12"/>
  <c r="V269" i="12" s="1"/>
  <c r="V267" i="12"/>
  <c r="D511" i="8"/>
  <c r="I678" i="1"/>
  <c r="D678" i="1"/>
  <c r="R168" i="12"/>
  <c r="C282" i="18"/>
  <c r="BN64" i="11"/>
  <c r="BN68" i="11"/>
  <c r="BI65" i="11"/>
  <c r="BI69" i="11"/>
  <c r="BZ91" i="11"/>
  <c r="BI102" i="11"/>
  <c r="BI92" i="11"/>
  <c r="BW103" i="11"/>
  <c r="BW93" i="11"/>
  <c r="BC117" i="11"/>
  <c r="BC231" i="11"/>
  <c r="BB72" i="11"/>
  <c r="BB75" i="11" s="1"/>
  <c r="BB76" i="11" s="1"/>
  <c r="BK97" i="11"/>
  <c r="BX117" i="11"/>
  <c r="AZ103" i="11"/>
  <c r="BA70" i="11"/>
  <c r="BX99" i="11"/>
  <c r="CB94" i="11"/>
  <c r="CD102" i="11"/>
  <c r="CD92" i="11"/>
  <c r="BA119" i="11"/>
  <c r="BT116" i="11"/>
  <c r="CD68" i="11"/>
  <c r="BH68" i="11"/>
  <c r="BA94" i="11"/>
  <c r="CD103" i="11"/>
  <c r="BM99" i="11"/>
  <c r="CA59" i="11"/>
  <c r="BO103" i="11"/>
  <c r="BE97" i="11"/>
  <c r="BT120" i="11"/>
  <c r="BT121" i="11" s="1"/>
  <c r="BY72" i="9"/>
  <c r="BW68" i="11"/>
  <c r="AZ98" i="11"/>
  <c r="CA69" i="11"/>
  <c r="BY77" i="10"/>
  <c r="BA69" i="11"/>
  <c r="BA65" i="11"/>
  <c r="BO101" i="11"/>
  <c r="BQ91" i="11"/>
  <c r="CB101" i="11"/>
  <c r="CF91" i="11"/>
  <c r="CB91" i="11"/>
  <c r="AZ102" i="11"/>
  <c r="AZ92" i="11"/>
  <c r="BC92" i="11"/>
  <c r="BC102" i="11"/>
  <c r="BA92" i="11"/>
  <c r="BA102" i="11"/>
  <c r="BA98" i="11"/>
  <c r="BG93" i="11"/>
  <c r="CB103" i="11"/>
  <c r="CB99" i="11"/>
  <c r="CF93" i="11"/>
  <c r="AE257" i="11"/>
  <c r="AE261" i="11" s="1"/>
  <c r="AE266" i="11" s="1"/>
  <c r="CF214" i="11"/>
  <c r="AE267" i="11"/>
  <c r="CF282" i="11"/>
  <c r="CF312" i="11" s="1"/>
  <c r="BM214" i="11"/>
  <c r="BM220" i="11" s="1"/>
  <c r="BM223" i="11" s="1"/>
  <c r="BM227" i="11" s="1"/>
  <c r="BM228" i="11" s="1"/>
  <c r="CC214" i="11"/>
  <c r="CC277" i="11" s="1"/>
  <c r="CC313" i="11" s="1"/>
  <c r="BI112" i="11"/>
  <c r="BI113" i="11" s="1"/>
  <c r="BM68" i="11"/>
  <c r="CB82" i="11"/>
  <c r="BS82" i="11"/>
  <c r="BZ98" i="11"/>
  <c r="BD91" i="11"/>
  <c r="BN97" i="11"/>
  <c r="BU91" i="11"/>
  <c r="BN92" i="11"/>
  <c r="BM98" i="11"/>
  <c r="BO92" i="11"/>
  <c r="BY92" i="11"/>
  <c r="CC92" i="11"/>
  <c r="BL93" i="11"/>
  <c r="BY93" i="11"/>
  <c r="BB120" i="11"/>
  <c r="BB121" i="11" s="1"/>
  <c r="BA214" i="11"/>
  <c r="BA220" i="11" s="1"/>
  <c r="BI214" i="11"/>
  <c r="BI220" i="11" s="1"/>
  <c r="BI223" i="11" s="1"/>
  <c r="BI227" i="11" s="1"/>
  <c r="BI228" i="11" s="1"/>
  <c r="BQ214" i="11"/>
  <c r="BQ220" i="11" s="1"/>
  <c r="BQ223" i="11" s="1"/>
  <c r="BQ227" i="11" s="1"/>
  <c r="BQ228" i="11" s="1"/>
  <c r="BY214" i="11"/>
  <c r="BY220" i="11" s="1"/>
  <c r="BY223" i="11" s="1"/>
  <c r="BY227" i="11" s="1"/>
  <c r="BY228" i="11" s="1"/>
  <c r="BH82" i="11"/>
  <c r="BR97" i="11"/>
  <c r="BE69" i="11"/>
  <c r="BL91" i="11"/>
  <c r="BT91" i="11"/>
  <c r="BB98" i="11"/>
  <c r="BR98" i="11"/>
  <c r="BR93" i="11"/>
  <c r="CB93" i="11"/>
  <c r="G478" i="4"/>
  <c r="W13" i="17"/>
  <c r="I14" i="5"/>
  <c r="K911" i="20"/>
  <c r="G910" i="20"/>
  <c r="R112" i="20"/>
  <c r="BV112" i="20" s="1"/>
  <c r="BI17" i="20"/>
  <c r="BM17" i="20"/>
  <c r="B435" i="20"/>
  <c r="AL435" i="20" s="1"/>
  <c r="H243" i="12"/>
  <c r="D477" i="12" s="1"/>
  <c r="O1443" i="16"/>
  <c r="D679" i="20"/>
  <c r="B317" i="12"/>
  <c r="B167" i="12" s="1"/>
  <c r="BP214" i="12" s="1"/>
  <c r="B465" i="12" s="1"/>
  <c r="J373" i="12"/>
  <c r="J372" i="12" s="1"/>
  <c r="C345" i="12"/>
  <c r="K956" i="12"/>
  <c r="M956" i="12" s="1"/>
  <c r="E972" i="12" s="1"/>
  <c r="G587" i="1"/>
  <c r="N591" i="1" s="1"/>
  <c r="N592" i="1" s="1"/>
  <c r="N168" i="12"/>
  <c r="E240" i="12"/>
  <c r="F241" i="12"/>
  <c r="B475" i="12" s="1"/>
  <c r="K396" i="12"/>
  <c r="CC266" i="12"/>
  <c r="J333" i="20"/>
  <c r="CB366" i="12"/>
  <c r="S417" i="12"/>
  <c r="S418" i="12" s="1"/>
  <c r="S375" i="12"/>
  <c r="D1428" i="16" s="1"/>
  <c r="S367" i="12"/>
  <c r="S373" i="12" s="1"/>
  <c r="S372" i="12" s="1"/>
  <c r="R417" i="12"/>
  <c r="O214" i="12"/>
  <c r="BY214" i="12" s="1"/>
  <c r="BU272" i="12"/>
  <c r="G518" i="12" s="1"/>
  <c r="N199" i="12"/>
  <c r="K219" i="12"/>
  <c r="B673" i="20"/>
  <c r="M172" i="12"/>
  <c r="M173" i="12" s="1"/>
  <c r="D238" i="12"/>
  <c r="G241" i="12"/>
  <c r="C475" i="12" s="1"/>
  <c r="F242" i="12"/>
  <c r="B476" i="12" s="1"/>
  <c r="M177" i="12"/>
  <c r="C346" i="12"/>
  <c r="E347" i="12"/>
  <c r="I347" i="12"/>
  <c r="E490" i="12" s="1"/>
  <c r="CC376" i="12"/>
  <c r="C1018" i="12"/>
  <c r="E1829" i="16" s="1"/>
  <c r="L196" i="12"/>
  <c r="O168" i="12"/>
  <c r="N173" i="12"/>
  <c r="I873" i="12"/>
  <c r="F338" i="12"/>
  <c r="B493" i="12" s="1"/>
  <c r="M372" i="12"/>
  <c r="D1430" i="16"/>
  <c r="D1431" i="16" s="1"/>
  <c r="B1021" i="12"/>
  <c r="U425" i="12"/>
  <c r="U426" i="12" s="1"/>
  <c r="U428" i="12" s="1"/>
  <c r="B679" i="20"/>
  <c r="F594" i="1"/>
  <c r="J236" i="20" s="1"/>
  <c r="N278" i="20" s="1"/>
  <c r="U7" i="14"/>
  <c r="BQ351" i="12"/>
  <c r="C459" i="12" s="1"/>
  <c r="D383" i="12"/>
  <c r="G240" i="12"/>
  <c r="C473" i="12" s="1"/>
  <c r="E376" i="12"/>
  <c r="F345" i="12"/>
  <c r="B488" i="12" s="1"/>
  <c r="H346" i="12"/>
  <c r="D489" i="12" s="1"/>
  <c r="H39" i="12"/>
  <c r="H41" i="12" s="1"/>
  <c r="D677" i="20"/>
  <c r="B674" i="20"/>
  <c r="G376" i="12"/>
  <c r="D347" i="12"/>
  <c r="L191" i="20"/>
  <c r="C645" i="1"/>
  <c r="E645" i="1" s="1"/>
  <c r="H582" i="1"/>
  <c r="H597" i="1" s="1"/>
  <c r="R378" i="12"/>
  <c r="U355" i="12"/>
  <c r="D5" i="21"/>
  <c r="R44" i="9"/>
  <c r="E604" i="1"/>
  <c r="I334" i="20" s="1"/>
  <c r="I347" i="20" s="1"/>
  <c r="W577" i="1"/>
  <c r="W578" i="1" s="1"/>
  <c r="C641" i="1" s="1"/>
  <c r="K268" i="12"/>
  <c r="K269" i="12" s="1"/>
  <c r="J347" i="12"/>
  <c r="F490" i="12" s="1"/>
  <c r="T18" i="14"/>
  <c r="S18" i="14" s="1"/>
  <c r="E344" i="12"/>
  <c r="I856" i="12"/>
  <c r="K856" i="12" s="1"/>
  <c r="L856" i="12" s="1"/>
  <c r="D1134" i="16"/>
  <c r="D1135" i="16" s="1"/>
  <c r="D1136" i="16" s="1"/>
  <c r="T375" i="12"/>
  <c r="E1428" i="16" s="1"/>
  <c r="V15" i="14"/>
  <c r="V216" i="14"/>
  <c r="K957" i="12"/>
  <c r="M957" i="12" s="1"/>
  <c r="E973" i="12" s="1"/>
  <c r="D973" i="12" s="1"/>
  <c r="BP956" i="12"/>
  <c r="G673" i="20"/>
  <c r="F1018" i="16"/>
  <c r="BP957" i="12"/>
  <c r="D1010" i="12"/>
  <c r="D1017" i="12" s="1"/>
  <c r="U375" i="12"/>
  <c r="F1428" i="16" s="1"/>
  <c r="V425" i="12"/>
  <c r="W426" i="12" s="1"/>
  <c r="R357" i="12"/>
  <c r="R359" i="12" s="1"/>
  <c r="X414" i="12"/>
  <c r="W417" i="12"/>
  <c r="W418" i="12" s="1"/>
  <c r="R50" i="9"/>
  <c r="C5" i="21"/>
  <c r="BQ956" i="12"/>
  <c r="BP964" i="12"/>
  <c r="G957" i="12"/>
  <c r="H880" i="12"/>
  <c r="J240" i="12"/>
  <c r="C674" i="20" s="1"/>
  <c r="O273" i="12"/>
  <c r="F1017" i="16" s="1"/>
  <c r="H167" i="12"/>
  <c r="H173" i="12" s="1"/>
  <c r="J376" i="12"/>
  <c r="BX376" i="12" s="1"/>
  <c r="J494" i="12" s="1"/>
  <c r="D1068" i="16"/>
  <c r="F79" i="12"/>
  <c r="G345" i="12"/>
  <c r="C488" i="12" s="1"/>
  <c r="B576" i="12"/>
  <c r="B587" i="12" s="1"/>
  <c r="F677" i="20"/>
  <c r="E675" i="20"/>
  <c r="I240" i="12"/>
  <c r="E473" i="12" s="1"/>
  <c r="CB376" i="12"/>
  <c r="C1421" i="16"/>
  <c r="BP351" i="12"/>
  <c r="B459" i="12" s="1"/>
  <c r="H383" i="12"/>
  <c r="U15" i="14"/>
  <c r="BU212" i="12"/>
  <c r="E383" i="12"/>
  <c r="H238" i="12"/>
  <c r="D470" i="12" s="1"/>
  <c r="C239" i="12"/>
  <c r="G239" i="12"/>
  <c r="C471" i="12" s="1"/>
  <c r="B235" i="12"/>
  <c r="J231" i="12"/>
  <c r="J232" i="12" s="1"/>
  <c r="E231" i="12"/>
  <c r="E232" i="12" s="1"/>
  <c r="I231" i="12"/>
  <c r="I232" i="12" s="1"/>
  <c r="I243" i="12"/>
  <c r="E477" i="12" s="1"/>
  <c r="C338" i="12"/>
  <c r="B338" i="12"/>
  <c r="BR351" i="12"/>
  <c r="D459" i="12" s="1"/>
  <c r="BK112" i="20"/>
  <c r="K912" i="20"/>
  <c r="K913" i="20"/>
  <c r="K910" i="20"/>
  <c r="CD304" i="11"/>
  <c r="BJ112" i="11"/>
  <c r="BJ113" i="11" s="1"/>
  <c r="BZ59" i="11"/>
  <c r="AZ66" i="11"/>
  <c r="BD93" i="11"/>
  <c r="BT76" i="9"/>
  <c r="BB97" i="11"/>
  <c r="BF92" i="11"/>
  <c r="BQ92" i="11"/>
  <c r="BA101" i="11"/>
  <c r="BS92" i="11"/>
  <c r="BU101" i="11"/>
  <c r="BI103" i="11"/>
  <c r="BZ214" i="11"/>
  <c r="BD68" i="11"/>
  <c r="BD69" i="11"/>
  <c r="BN65" i="11"/>
  <c r="BK69" i="11"/>
  <c r="CF97" i="11"/>
  <c r="BH93" i="11"/>
  <c r="BX231" i="11"/>
  <c r="BX285" i="11" s="1"/>
  <c r="BX303" i="11" s="1"/>
  <c r="BH99" i="11"/>
  <c r="AZ97" i="11"/>
  <c r="AZ64" i="11"/>
  <c r="BE93" i="11"/>
  <c r="BG91" i="11"/>
  <c r="BO102" i="11"/>
  <c r="BC65" i="11"/>
  <c r="BJ102" i="11"/>
  <c r="BC66" i="11"/>
  <c r="BW92" i="11"/>
  <c r="BB64" i="11"/>
  <c r="BA72" i="11"/>
  <c r="BA75" i="11" s="1"/>
  <c r="BA76" i="11" s="1"/>
  <c r="BA116" i="11"/>
  <c r="BA112" i="11"/>
  <c r="BA113" i="11" s="1"/>
  <c r="BH91" i="11"/>
  <c r="BA97" i="11"/>
  <c r="BN93" i="11"/>
  <c r="BC101" i="11"/>
  <c r="BB102" i="11"/>
  <c r="BH101" i="11"/>
  <c r="BM102" i="11"/>
  <c r="BN91" i="11"/>
  <c r="BY59" i="11"/>
  <c r="BU76" i="9"/>
  <c r="BO93" i="11"/>
  <c r="BP93" i="11"/>
  <c r="BC119" i="11"/>
  <c r="BP64" i="11"/>
  <c r="BK120" i="11"/>
  <c r="BM92" i="11"/>
  <c r="BJ92" i="11"/>
  <c r="AZ72" i="11"/>
  <c r="BH92" i="11"/>
  <c r="BI68" i="11"/>
  <c r="BY102" i="11"/>
  <c r="BV214" i="11"/>
  <c r="CD214" i="11"/>
  <c r="CD277" i="11" s="1"/>
  <c r="CA64" i="11"/>
  <c r="CF98" i="11"/>
  <c r="BE99" i="11"/>
  <c r="BX97" i="11"/>
  <c r="BE94" i="11"/>
  <c r="BL103" i="11"/>
  <c r="AZ99" i="11"/>
  <c r="CB120" i="11"/>
  <c r="BS91" i="11"/>
  <c r="CA117" i="11"/>
  <c r="CD120" i="11"/>
  <c r="BY124" i="9"/>
  <c r="BB110" i="11"/>
  <c r="AZ116" i="11"/>
  <c r="BV59" i="11"/>
  <c r="BY234" i="9"/>
  <c r="BZ235" i="9" s="1"/>
  <c r="BT69" i="10"/>
  <c r="BB112" i="11"/>
  <c r="BB113" i="11" s="1"/>
  <c r="BP91" i="11"/>
  <c r="BI91" i="11"/>
  <c r="BJ91" i="11"/>
  <c r="BM91" i="11"/>
  <c r="BR91" i="11"/>
  <c r="BV91" i="11"/>
  <c r="CD91" i="11"/>
  <c r="CC91" i="11"/>
  <c r="BE92" i="11"/>
  <c r="BX92" i="11"/>
  <c r="CF92" i="11"/>
  <c r="L361" i="8"/>
  <c r="D1040" i="16"/>
  <c r="L209" i="4"/>
  <c r="K27" i="5" s="1"/>
  <c r="L456" i="4"/>
  <c r="L232" i="4"/>
  <c r="K456" i="4"/>
  <c r="K209" i="4"/>
  <c r="G911" i="20"/>
  <c r="D906" i="20"/>
  <c r="H912" i="20"/>
  <c r="F663" i="20"/>
  <c r="G912" i="20"/>
  <c r="I911" i="20"/>
  <c r="L41" i="3"/>
  <c r="G913" i="20"/>
  <c r="K134" i="20"/>
  <c r="O126" i="20"/>
  <c r="BM126" i="20" s="1"/>
  <c r="J192" i="18"/>
  <c r="O195" i="18"/>
  <c r="BP101" i="20"/>
  <c r="S97" i="20"/>
  <c r="BP95" i="20"/>
  <c r="BP105" i="20"/>
  <c r="E565" i="20"/>
  <c r="E592" i="20" s="1"/>
  <c r="F656" i="20"/>
  <c r="Q321" i="20"/>
  <c r="H859" i="20"/>
  <c r="E548" i="20"/>
  <c r="E784" i="20"/>
  <c r="E971" i="20"/>
  <c r="E785" i="20"/>
  <c r="E791" i="20"/>
  <c r="P345" i="20"/>
  <c r="H877" i="20" s="1"/>
  <c r="E786" i="20"/>
  <c r="E792" i="20"/>
  <c r="BO112" i="20"/>
  <c r="K126" i="20"/>
  <c r="G76" i="18"/>
  <c r="R320" i="20"/>
  <c r="K428" i="20"/>
  <c r="B463" i="12"/>
  <c r="B518" i="12"/>
  <c r="T4" i="9"/>
  <c r="Y214" i="17" s="1"/>
  <c r="V7" i="14"/>
  <c r="J125" i="12"/>
  <c r="F376" i="12"/>
  <c r="BP376" i="12" s="1"/>
  <c r="B494" i="12" s="1"/>
  <c r="G238" i="12"/>
  <c r="C470" i="12" s="1"/>
  <c r="G317" i="12"/>
  <c r="G167" i="12" s="1"/>
  <c r="K241" i="12"/>
  <c r="H214" i="12"/>
  <c r="G471" i="12"/>
  <c r="F343" i="12"/>
  <c r="B485" i="12" s="1"/>
  <c r="Q277" i="12"/>
  <c r="I66" i="12"/>
  <c r="I68" i="12" s="1"/>
  <c r="AD10" i="14"/>
  <c r="D588" i="1"/>
  <c r="BY266" i="12"/>
  <c r="L203" i="20" s="1"/>
  <c r="BR382" i="12"/>
  <c r="D464" i="12" s="1"/>
  <c r="D346" i="12"/>
  <c r="E242" i="12"/>
  <c r="L268" i="12"/>
  <c r="L269" i="12" s="1"/>
  <c r="F239" i="12"/>
  <c r="B471" i="12" s="1"/>
  <c r="N273" i="12"/>
  <c r="I344" i="12"/>
  <c r="E486" i="12" s="1"/>
  <c r="O277" i="12"/>
  <c r="N277" i="12"/>
  <c r="G676" i="20"/>
  <c r="F676" i="20"/>
  <c r="C383" i="12"/>
  <c r="E238" i="12"/>
  <c r="I238" i="12"/>
  <c r="E470" i="12" s="1"/>
  <c r="F347" i="12"/>
  <c r="B490" i="12" s="1"/>
  <c r="D594" i="1"/>
  <c r="H236" i="20" s="1"/>
  <c r="H288" i="20" s="1"/>
  <c r="D676" i="20"/>
  <c r="O213" i="12"/>
  <c r="BY213" i="12" s="1"/>
  <c r="K460" i="12" s="1"/>
  <c r="G665" i="1" s="1"/>
  <c r="B383" i="12"/>
  <c r="H376" i="12"/>
  <c r="BV376" i="12" s="1"/>
  <c r="H494" i="12" s="1"/>
  <c r="N214" i="12"/>
  <c r="BX214" i="12" s="1"/>
  <c r="BT351" i="12"/>
  <c r="F459" i="12" s="1"/>
  <c r="O367" i="12"/>
  <c r="D934" i="1"/>
  <c r="I137" i="20"/>
  <c r="F921" i="20"/>
  <c r="G929" i="20" s="1"/>
  <c r="S390" i="20"/>
  <c r="G1652" i="16" s="1"/>
  <c r="K462" i="20"/>
  <c r="I134" i="20"/>
  <c r="I157" i="20" s="1"/>
  <c r="H462" i="20"/>
  <c r="G808" i="20"/>
  <c r="E790" i="20"/>
  <c r="E974" i="20"/>
  <c r="H476" i="4"/>
  <c r="G479" i="4"/>
  <c r="G476" i="4"/>
  <c r="G121" i="12"/>
  <c r="H121" i="12" s="1"/>
  <c r="I121" i="12" s="1"/>
  <c r="BV69" i="10"/>
  <c r="BV77" i="10"/>
  <c r="CC278" i="11"/>
  <c r="CC314" i="11" s="1"/>
  <c r="BJ116" i="11"/>
  <c r="CE103" i="11"/>
  <c r="BD94" i="11"/>
  <c r="CC99" i="11"/>
  <c r="BM97" i="11"/>
  <c r="BD97" i="11"/>
  <c r="CC97" i="11"/>
  <c r="BZ97" i="11"/>
  <c r="BF91" i="11"/>
  <c r="BV93" i="11"/>
  <c r="BG68" i="11"/>
  <c r="BK91" i="11"/>
  <c r="BA120" i="11"/>
  <c r="BA121" i="11" s="1"/>
  <c r="BK103" i="11"/>
  <c r="CB68" i="11"/>
  <c r="BA99" i="11"/>
  <c r="BM93" i="11"/>
  <c r="BK93" i="11"/>
  <c r="BR92" i="11"/>
  <c r="CB59" i="11"/>
  <c r="BA231" i="11"/>
  <c r="BX93" i="11"/>
  <c r="BX102" i="11"/>
  <c r="BM101" i="11"/>
  <c r="BK98" i="11"/>
  <c r="BX98" i="11"/>
  <c r="BF69" i="11"/>
  <c r="BD99" i="11"/>
  <c r="BN98" i="11"/>
  <c r="BK99" i="11"/>
  <c r="BR99" i="11"/>
  <c r="BF97" i="11"/>
  <c r="BZ120" i="11"/>
  <c r="CB92" i="11"/>
  <c r="BO91" i="11"/>
  <c r="BZ101" i="11"/>
  <c r="BG92" i="11"/>
  <c r="BP103" i="11"/>
  <c r="CA69" i="10"/>
  <c r="BC72" i="11"/>
  <c r="BR101" i="11"/>
  <c r="BE68" i="11"/>
  <c r="BA64" i="11"/>
  <c r="BJ93" i="11"/>
  <c r="BK92" i="11"/>
  <c r="BC112" i="11"/>
  <c r="BC113" i="11" s="1"/>
  <c r="BR69" i="10"/>
  <c r="BE102" i="11"/>
  <c r="BT93" i="11"/>
  <c r="BB93" i="11"/>
  <c r="BD98" i="11"/>
  <c r="BR94" i="11"/>
  <c r="CB98" i="11"/>
  <c r="BZ66" i="11"/>
  <c r="BE98" i="11"/>
  <c r="BW298" i="11"/>
  <c r="BC120" i="11"/>
  <c r="BC121" i="11" s="1"/>
  <c r="CD117" i="11"/>
  <c r="CF68" i="11"/>
  <c r="BU120" i="11"/>
  <c r="BC116" i="11"/>
  <c r="BB65" i="11"/>
  <c r="CC93" i="11"/>
  <c r="Q211" i="11"/>
  <c r="Q214" i="11" s="1"/>
  <c r="P166" i="11"/>
  <c r="T204" i="14"/>
  <c r="V21" i="14"/>
  <c r="D759" i="12" s="1"/>
  <c r="D760" i="12" s="1"/>
  <c r="R120" i="11"/>
  <c r="R166" i="11"/>
  <c r="H131" i="12"/>
  <c r="W15" i="14"/>
  <c r="E647" i="16"/>
  <c r="E655" i="16" s="1"/>
  <c r="E663" i="16" s="1"/>
  <c r="E680" i="16" s="1"/>
  <c r="S959" i="16"/>
  <c r="G71" i="16"/>
  <c r="F689" i="16"/>
  <c r="F699" i="16" s="1"/>
  <c r="F707" i="16" s="1"/>
  <c r="C743" i="16"/>
  <c r="D33" i="16"/>
  <c r="F503" i="16"/>
  <c r="F506" i="16" s="1"/>
  <c r="F508" i="16" s="1"/>
  <c r="F509" i="16" s="1"/>
  <c r="D352" i="16"/>
  <c r="G354" i="16"/>
  <c r="G459" i="16"/>
  <c r="E1062" i="16"/>
  <c r="G1062" i="16" s="1"/>
  <c r="M1419" i="16"/>
  <c r="M1431" i="16" s="1"/>
  <c r="L1426" i="16"/>
  <c r="G68" i="16"/>
  <c r="F398" i="16"/>
  <c r="F401" i="16" s="1"/>
  <c r="F403" i="16" s="1"/>
  <c r="F404" i="16" s="1"/>
  <c r="F1305" i="16"/>
  <c r="F1307" i="16" s="1"/>
  <c r="F1314" i="16" s="1"/>
  <c r="BZ77" i="10"/>
  <c r="BZ69" i="10"/>
  <c r="BX69" i="10"/>
  <c r="CB69" i="10"/>
  <c r="BX77" i="10"/>
  <c r="BS77" i="10"/>
  <c r="BS69" i="10"/>
  <c r="BW69" i="10"/>
  <c r="CB304" i="11"/>
  <c r="CB298" i="11"/>
  <c r="CC304" i="11"/>
  <c r="BB214" i="11"/>
  <c r="C1561" i="16"/>
  <c r="C742" i="16"/>
  <c r="D647" i="16"/>
  <c r="D655" i="16" s="1"/>
  <c r="D663" i="16" s="1"/>
  <c r="D680" i="16" s="1"/>
  <c r="H1451" i="16"/>
  <c r="D27" i="16"/>
  <c r="C1438" i="16"/>
  <c r="C1439" i="16" s="1"/>
  <c r="C514" i="16"/>
  <c r="C434" i="16"/>
  <c r="C436" i="16" s="1"/>
  <c r="C438" i="16"/>
  <c r="C440" i="16" s="1"/>
  <c r="C452" i="16" s="1"/>
  <c r="D452" i="16" s="1"/>
  <c r="E452" i="16" s="1"/>
  <c r="F452" i="16" s="1"/>
  <c r="C741" i="16"/>
  <c r="C30" i="16"/>
  <c r="C72" i="16"/>
  <c r="C33" i="16"/>
  <c r="E1065" i="16"/>
  <c r="E467" i="16"/>
  <c r="F501" i="16" s="1"/>
  <c r="C740" i="16"/>
  <c r="N992" i="16"/>
  <c r="F993" i="16" s="1"/>
  <c r="F1063" i="16"/>
  <c r="D1448" i="16"/>
  <c r="D1453" i="16" s="1"/>
  <c r="D1454" i="16" s="1"/>
  <c r="F1408" i="16"/>
  <c r="G1421" i="16"/>
  <c r="E398" i="16"/>
  <c r="E401" i="16" s="1"/>
  <c r="E403" i="16" s="1"/>
  <c r="E404" i="16" s="1"/>
  <c r="S411" i="12"/>
  <c r="D1449" i="16" s="1"/>
  <c r="G613" i="1"/>
  <c r="G614" i="1" s="1"/>
  <c r="N615" i="1" s="1"/>
  <c r="N616" i="1" s="1"/>
  <c r="G140" i="12"/>
  <c r="B733" i="12" s="1"/>
  <c r="C733" i="12" s="1"/>
  <c r="D733" i="12" s="1"/>
  <c r="F66" i="12"/>
  <c r="F68" i="12" s="1"/>
  <c r="C241" i="12"/>
  <c r="G175" i="12"/>
  <c r="G178" i="12" s="1"/>
  <c r="K966" i="12"/>
  <c r="V417" i="12"/>
  <c r="V418" i="12" s="1"/>
  <c r="C592" i="12"/>
  <c r="M176" i="12"/>
  <c r="C344" i="12"/>
  <c r="G344" i="12"/>
  <c r="C486" i="12" s="1"/>
  <c r="H345" i="12"/>
  <c r="D488" i="12" s="1"/>
  <c r="N178" i="12"/>
  <c r="I967" i="12"/>
  <c r="D608" i="1"/>
  <c r="H239" i="12"/>
  <c r="D471" i="12" s="1"/>
  <c r="I958" i="12"/>
  <c r="K390" i="12"/>
  <c r="I138" i="20"/>
  <c r="CA354" i="12"/>
  <c r="BZ378" i="12"/>
  <c r="G1009" i="12"/>
  <c r="G1016" i="12" s="1"/>
  <c r="E1030" i="12"/>
  <c r="E1041" i="12"/>
  <c r="T168" i="12"/>
  <c r="C231" i="12"/>
  <c r="C232" i="12" s="1"/>
  <c r="BV272" i="12"/>
  <c r="H463" i="12" s="1"/>
  <c r="F920" i="12"/>
  <c r="F923" i="12" s="1"/>
  <c r="C935" i="12" s="1"/>
  <c r="C1017" i="12"/>
  <c r="T268" i="12"/>
  <c r="T269" i="12" s="1"/>
  <c r="U18" i="14"/>
  <c r="I126" i="12"/>
  <c r="V18" i="14" s="1"/>
  <c r="D913" i="12"/>
  <c r="E913" i="12" s="1"/>
  <c r="G922" i="12"/>
  <c r="E934" i="12" s="1"/>
  <c r="T15" i="14"/>
  <c r="U140" i="14"/>
  <c r="H191" i="20"/>
  <c r="H286" i="20" s="1"/>
  <c r="O577" i="1"/>
  <c r="E1068" i="16"/>
  <c r="W214" i="14"/>
  <c r="BU382" i="12"/>
  <c r="G464" i="12" s="1"/>
  <c r="G383" i="12"/>
  <c r="G387" i="12" s="1"/>
  <c r="G396" i="12" s="1"/>
  <c r="G214" i="12"/>
  <c r="E345" i="12"/>
  <c r="D345" i="12"/>
  <c r="D338" i="12"/>
  <c r="F577" i="1"/>
  <c r="M168" i="12"/>
  <c r="V407" i="12"/>
  <c r="V411" i="12" s="1"/>
  <c r="U411" i="12"/>
  <c r="D815" i="12"/>
  <c r="G955" i="12"/>
  <c r="E958" i="12"/>
  <c r="G958" i="12" s="1"/>
  <c r="H877" i="12"/>
  <c r="H890" i="12"/>
  <c r="H897" i="12" s="1"/>
  <c r="E577" i="1"/>
  <c r="P577" i="1" s="1"/>
  <c r="L168" i="12"/>
  <c r="Q366" i="12"/>
  <c r="K145" i="20"/>
  <c r="U354" i="12"/>
  <c r="R273" i="12"/>
  <c r="I1017" i="16" s="1"/>
  <c r="U13" i="14"/>
  <c r="V13" i="14" s="1"/>
  <c r="W13" i="14" s="1"/>
  <c r="X13" i="14" s="1"/>
  <c r="M197" i="12"/>
  <c r="K955" i="12"/>
  <c r="C376" i="12"/>
  <c r="G343" i="12"/>
  <c r="C485" i="12" s="1"/>
  <c r="I900" i="12"/>
  <c r="E959" i="12"/>
  <c r="G959" i="12" s="1"/>
  <c r="K411" i="12"/>
  <c r="H470" i="12"/>
  <c r="E672" i="20"/>
  <c r="H476" i="12"/>
  <c r="E676" i="20"/>
  <c r="BQ272" i="12"/>
  <c r="C317" i="12"/>
  <c r="C167" i="12" s="1"/>
  <c r="G890" i="12"/>
  <c r="F903" i="12"/>
  <c r="G903" i="12" s="1"/>
  <c r="I893" i="12"/>
  <c r="I870" i="12"/>
  <c r="B729" i="12"/>
  <c r="C729" i="12" s="1"/>
  <c r="D729" i="12" s="1"/>
  <c r="AD15" i="14"/>
  <c r="BX212" i="12"/>
  <c r="G671" i="20"/>
  <c r="L232" i="20"/>
  <c r="D936" i="1" s="1"/>
  <c r="C651" i="1"/>
  <c r="E651" i="1" s="1"/>
  <c r="O591" i="1"/>
  <c r="O592" i="1" s="1"/>
  <c r="H598" i="1"/>
  <c r="J695" i="1" s="1"/>
  <c r="Q167" i="12"/>
  <c r="Q168" i="12" s="1"/>
  <c r="Q383" i="12"/>
  <c r="N378" i="12"/>
  <c r="O141" i="20"/>
  <c r="U5" i="14"/>
  <c r="I124" i="12"/>
  <c r="J124" i="12" s="1"/>
  <c r="F52" i="12"/>
  <c r="E53" i="12"/>
  <c r="H333" i="20"/>
  <c r="L202" i="18"/>
  <c r="I202" i="18"/>
  <c r="M202" i="18" s="1"/>
  <c r="U361" i="12"/>
  <c r="U362" i="12" s="1"/>
  <c r="R144" i="20" s="1"/>
  <c r="R362" i="12"/>
  <c r="O144" i="20" s="1"/>
  <c r="Q361" i="12"/>
  <c r="Q362" i="12" s="1"/>
  <c r="N144" i="20" s="1"/>
  <c r="N362" i="12"/>
  <c r="K144" i="20" s="1"/>
  <c r="CB354" i="12"/>
  <c r="D598" i="1"/>
  <c r="D695" i="1" s="1"/>
  <c r="E695" i="1" s="1"/>
  <c r="C630" i="16"/>
  <c r="I204" i="20"/>
  <c r="H459" i="12"/>
  <c r="F177" i="12"/>
  <c r="K343" i="12"/>
  <c r="G485" i="12" s="1"/>
  <c r="J343" i="12"/>
  <c r="F485" i="12" s="1"/>
  <c r="D1018" i="16"/>
  <c r="F629" i="16"/>
  <c r="G629" i="16" s="1"/>
  <c r="K193" i="12"/>
  <c r="K168" i="12"/>
  <c r="K143" i="20"/>
  <c r="Q356" i="12"/>
  <c r="N143" i="20" s="1"/>
  <c r="CB355" i="12"/>
  <c r="I39" i="12"/>
  <c r="I41" i="12" s="1"/>
  <c r="D578" i="1"/>
  <c r="D581" i="1" s="1"/>
  <c r="BQ382" i="12"/>
  <c r="C464" i="12" s="1"/>
  <c r="K163" i="12"/>
  <c r="K162" i="12" s="1"/>
  <c r="E980" i="12"/>
  <c r="F407" i="12"/>
  <c r="G431" i="12" s="1"/>
  <c r="G390" i="12" s="1"/>
  <c r="BQ955" i="12"/>
  <c r="BQ958" i="12" s="1"/>
  <c r="I475" i="12"/>
  <c r="BT212" i="12"/>
  <c r="C671" i="20"/>
  <c r="C238" i="12"/>
  <c r="J241" i="12"/>
  <c r="I242" i="12"/>
  <c r="E476" i="12" s="1"/>
  <c r="J242" i="12"/>
  <c r="D243" i="12"/>
  <c r="D244" i="12"/>
  <c r="C244" i="12"/>
  <c r="G244" i="12"/>
  <c r="C478" i="12" s="1"/>
  <c r="B675" i="20"/>
  <c r="A475" i="12"/>
  <c r="A477" i="12"/>
  <c r="B677" i="20"/>
  <c r="F518" i="12"/>
  <c r="F463" i="12"/>
  <c r="I863" i="12"/>
  <c r="I891" i="12"/>
  <c r="N268" i="12"/>
  <c r="N269" i="12" s="1"/>
  <c r="D738" i="16"/>
  <c r="E587" i="1"/>
  <c r="L173" i="12"/>
  <c r="L180" i="12" s="1"/>
  <c r="L185" i="12" s="1"/>
  <c r="L186" i="12" s="1"/>
  <c r="N210" i="12"/>
  <c r="S273" i="12"/>
  <c r="H867" i="20" s="1"/>
  <c r="S277" i="12"/>
  <c r="G1014" i="12"/>
  <c r="G289" i="12"/>
  <c r="G290" i="12" s="1"/>
  <c r="T140" i="14"/>
  <c r="S15" i="14"/>
  <c r="E346" i="12"/>
  <c r="C347" i="12"/>
  <c r="B712" i="12"/>
  <c r="C716" i="12" s="1"/>
  <c r="H879" i="12"/>
  <c r="I872" i="12"/>
  <c r="BW212" i="12"/>
  <c r="F671" i="20"/>
  <c r="I478" i="12"/>
  <c r="F679" i="20"/>
  <c r="I491" i="12"/>
  <c r="L207" i="12"/>
  <c r="C527" i="12"/>
  <c r="C1131" i="16"/>
  <c r="I1018" i="16"/>
  <c r="D1004" i="12"/>
  <c r="D1018" i="12"/>
  <c r="F1829" i="16" s="1"/>
  <c r="C1431" i="16"/>
  <c r="R30" i="9"/>
  <c r="R4" i="11"/>
  <c r="F240" i="12"/>
  <c r="B473" i="12" s="1"/>
  <c r="E243" i="12"/>
  <c r="H244" i="12"/>
  <c r="D478" i="12" s="1"/>
  <c r="C343" i="12"/>
  <c r="H343" i="12"/>
  <c r="D485" i="12" s="1"/>
  <c r="G346" i="12"/>
  <c r="C489" i="12" s="1"/>
  <c r="C735" i="12"/>
  <c r="CA376" i="12"/>
  <c r="F396" i="12"/>
  <c r="R40" i="9"/>
  <c r="S40" i="9" s="1"/>
  <c r="T40" i="9" s="1"/>
  <c r="U40" i="9" s="1"/>
  <c r="F1421" i="16"/>
  <c r="G1431" i="16"/>
  <c r="E239" i="12"/>
  <c r="H235" i="12"/>
  <c r="D481" i="12" s="1"/>
  <c r="C243" i="12"/>
  <c r="E235" i="12"/>
  <c r="E343" i="12"/>
  <c r="I343" i="12"/>
  <c r="E485" i="12" s="1"/>
  <c r="C1174" i="16"/>
  <c r="C1176" i="16" s="1"/>
  <c r="V273" i="12"/>
  <c r="Q285" i="20"/>
  <c r="AL429" i="20"/>
  <c r="S392" i="20"/>
  <c r="T395" i="20"/>
  <c r="M194" i="18"/>
  <c r="E499" i="8"/>
  <c r="S354" i="8"/>
  <c r="D391" i="8"/>
  <c r="L354" i="8"/>
  <c r="L192" i="18"/>
  <c r="D324" i="16"/>
  <c r="D329" i="16" s="1"/>
  <c r="C409" i="16"/>
  <c r="C335" i="16"/>
  <c r="C347" i="16" s="1"/>
  <c r="D347" i="16" s="1"/>
  <c r="E347" i="16" s="1"/>
  <c r="F347" i="16" s="1"/>
  <c r="C329" i="16"/>
  <c r="C331" i="16" s="1"/>
  <c r="C336" i="16"/>
  <c r="C338" i="16" s="1"/>
  <c r="C161" i="16"/>
  <c r="D167" i="16" s="1"/>
  <c r="D150" i="16"/>
  <c r="C155" i="16"/>
  <c r="C157" i="16" s="1"/>
  <c r="C162" i="16"/>
  <c r="E630" i="16"/>
  <c r="E72" i="16"/>
  <c r="D429" i="16"/>
  <c r="D503" i="16"/>
  <c r="D506" i="16" s="1"/>
  <c r="F1254" i="16"/>
  <c r="G1253" i="16" s="1"/>
  <c r="G1408" i="16"/>
  <c r="C1442" i="16"/>
  <c r="C1445" i="16" s="1"/>
  <c r="C647" i="16"/>
  <c r="C655" i="16" s="1"/>
  <c r="C663" i="16" s="1"/>
  <c r="C680" i="16" s="1"/>
  <c r="D184" i="16"/>
  <c r="I1431" i="16"/>
  <c r="F1504" i="16"/>
  <c r="D630" i="16"/>
  <c r="C744" i="16"/>
  <c r="E134" i="16"/>
  <c r="I9" i="16"/>
  <c r="G506" i="16"/>
  <c r="G508" i="16" s="1"/>
  <c r="G509" i="16" s="1"/>
  <c r="C511" i="16" s="1"/>
  <c r="I440" i="20"/>
  <c r="B921" i="20"/>
  <c r="B937" i="20" s="1"/>
  <c r="F708" i="20"/>
  <c r="F739" i="20"/>
  <c r="P349" i="20"/>
  <c r="D810" i="20"/>
  <c r="P229" i="20"/>
  <c r="F26" i="16"/>
  <c r="F859" i="16"/>
  <c r="L644" i="20"/>
  <c r="M228" i="20"/>
  <c r="M229" i="20" s="1"/>
  <c r="F735" i="20"/>
  <c r="R356" i="20"/>
  <c r="R277" i="12"/>
  <c r="CB266" i="12"/>
  <c r="C576" i="12"/>
  <c r="C587" i="12" s="1"/>
  <c r="C589" i="12"/>
  <c r="B231" i="12"/>
  <c r="B232" i="12" s="1"/>
  <c r="J235" i="12"/>
  <c r="F481" i="12" s="1"/>
  <c r="E671" i="20"/>
  <c r="J598" i="1"/>
  <c r="D656" i="1" s="1"/>
  <c r="G470" i="12"/>
  <c r="H204" i="20"/>
  <c r="G459" i="12"/>
  <c r="H231" i="12"/>
  <c r="H232" i="12" s="1"/>
  <c r="F346" i="12"/>
  <c r="B489" i="12" s="1"/>
  <c r="H471" i="12"/>
  <c r="E673" i="20"/>
  <c r="H477" i="12"/>
  <c r="E677" i="20"/>
  <c r="C240" i="12"/>
  <c r="C235" i="12"/>
  <c r="G235" i="12"/>
  <c r="C481" i="12" s="1"/>
  <c r="D241" i="12"/>
  <c r="D231" i="12"/>
  <c r="D232" i="12" s="1"/>
  <c r="E241" i="12"/>
  <c r="D235" i="12"/>
  <c r="I241" i="12"/>
  <c r="E475" i="12" s="1"/>
  <c r="H241" i="12"/>
  <c r="D475" i="12" s="1"/>
  <c r="D242" i="12"/>
  <c r="C242" i="12"/>
  <c r="G242" i="12"/>
  <c r="C476" i="12" s="1"/>
  <c r="G231" i="12"/>
  <c r="G232" i="12" s="1"/>
  <c r="H242" i="12"/>
  <c r="D476" i="12" s="1"/>
  <c r="F243" i="12"/>
  <c r="B477" i="12" s="1"/>
  <c r="F235" i="12"/>
  <c r="B481" i="12" s="1"/>
  <c r="F231" i="12"/>
  <c r="F232" i="12" s="1"/>
  <c r="G243" i="12"/>
  <c r="C477" i="12" s="1"/>
  <c r="E244" i="12"/>
  <c r="F244" i="12"/>
  <c r="B478" i="12" s="1"/>
  <c r="J244" i="12"/>
  <c r="I244" i="12"/>
  <c r="E478" i="12" s="1"/>
  <c r="I235" i="12"/>
  <c r="E481" i="12" s="1"/>
  <c r="D240" i="12"/>
  <c r="J243" i="12"/>
  <c r="D239" i="12"/>
  <c r="H240" i="12"/>
  <c r="D473" i="12" s="1"/>
  <c r="K376" i="12"/>
  <c r="K344" i="12"/>
  <c r="G486" i="12" s="1"/>
  <c r="J344" i="12"/>
  <c r="F486" i="12" s="1"/>
  <c r="J338" i="12"/>
  <c r="F493" i="12" s="1"/>
  <c r="K333" i="20"/>
  <c r="C873" i="20" s="1"/>
  <c r="G608" i="1"/>
  <c r="L393" i="20"/>
  <c r="D317" i="12"/>
  <c r="D167" i="12" s="1"/>
  <c r="BR272" i="12"/>
  <c r="I346" i="12"/>
  <c r="E489" i="12" s="1"/>
  <c r="I338" i="12"/>
  <c r="E493" i="12" s="1"/>
  <c r="J378" i="12"/>
  <c r="J346" i="12"/>
  <c r="F489" i="12" s="1"/>
  <c r="G347" i="12"/>
  <c r="C490" i="12" s="1"/>
  <c r="H347" i="12"/>
  <c r="D490" i="12" s="1"/>
  <c r="G338" i="12"/>
  <c r="C493" i="12" s="1"/>
  <c r="I201" i="18"/>
  <c r="M201" i="18" s="1"/>
  <c r="L201" i="18"/>
  <c r="F238" i="12"/>
  <c r="B470" i="12" s="1"/>
  <c r="BX224" i="12"/>
  <c r="J238" i="12"/>
  <c r="J239" i="12"/>
  <c r="I239" i="12"/>
  <c r="E471" i="12" s="1"/>
  <c r="D344" i="12"/>
  <c r="D376" i="12"/>
  <c r="H344" i="12"/>
  <c r="D486" i="12" s="1"/>
  <c r="H338" i="12"/>
  <c r="D493" i="12" s="1"/>
  <c r="J377" i="12"/>
  <c r="J345" i="12"/>
  <c r="F488" i="12" s="1"/>
  <c r="I345" i="12"/>
  <c r="E488" i="12" s="1"/>
  <c r="S168" i="12"/>
  <c r="D1421" i="16"/>
  <c r="D66" i="12"/>
  <c r="D68" i="12" s="1"/>
  <c r="F344" i="12"/>
  <c r="B486" i="12" s="1"/>
  <c r="E338" i="12"/>
  <c r="H491" i="12"/>
  <c r="CD376" i="12"/>
  <c r="BZ376" i="12"/>
  <c r="D343" i="12"/>
  <c r="L214" i="12"/>
  <c r="BZ272" i="12"/>
  <c r="L273" i="12"/>
  <c r="J379" i="12"/>
  <c r="K379" i="12"/>
  <c r="M213" i="12"/>
  <c r="M273" i="12"/>
  <c r="E768" i="16"/>
  <c r="E770" i="16" s="1"/>
  <c r="F763" i="16" s="1"/>
  <c r="C770" i="16"/>
  <c r="D769" i="16" s="1"/>
  <c r="CD379" i="12"/>
  <c r="BZ379" i="12"/>
  <c r="U268" i="12"/>
  <c r="U269" i="12" s="1"/>
  <c r="U273" i="12"/>
  <c r="G1442" i="16"/>
  <c r="U168" i="12"/>
  <c r="V168" i="12"/>
  <c r="F673" i="20"/>
  <c r="F672" i="20"/>
  <c r="G677" i="20"/>
  <c r="E66" i="12"/>
  <c r="E68" i="12" s="1"/>
  <c r="J491" i="12"/>
  <c r="I132" i="20"/>
  <c r="I155" i="20" s="1"/>
  <c r="C1171" i="16"/>
  <c r="C1447" i="16"/>
  <c r="E1436" i="16"/>
  <c r="P367" i="12"/>
  <c r="V214" i="14"/>
  <c r="O201" i="18"/>
  <c r="O202" i="18"/>
  <c r="I133" i="20"/>
  <c r="I150" i="20" s="1"/>
  <c r="T426" i="12"/>
  <c r="G1438" i="16"/>
  <c r="G1439" i="16" s="1"/>
  <c r="T367" i="12"/>
  <c r="B436" i="20"/>
  <c r="B447" i="20" s="1"/>
  <c r="C666" i="20"/>
  <c r="G1009" i="16"/>
  <c r="F1391" i="16"/>
  <c r="G805" i="20"/>
  <c r="BX450" i="20"/>
  <c r="B913" i="20"/>
  <c r="G810" i="20"/>
  <c r="D584" i="20"/>
  <c r="D594" i="20" s="1"/>
  <c r="G1007" i="16"/>
  <c r="K645" i="20"/>
  <c r="C861" i="20"/>
  <c r="I146" i="20"/>
  <c r="P127" i="20"/>
  <c r="BP113" i="20"/>
  <c r="G807" i="20"/>
  <c r="K214" i="20"/>
  <c r="AP463" i="20"/>
  <c r="R278" i="20"/>
  <c r="I921" i="20"/>
  <c r="I929" i="20" s="1"/>
  <c r="I117" i="20"/>
  <c r="BM117" i="20" s="1"/>
  <c r="C859" i="16"/>
  <c r="F689" i="20"/>
  <c r="H910" i="20"/>
  <c r="H911" i="20"/>
  <c r="H913" i="20"/>
  <c r="H1007" i="16"/>
  <c r="D307" i="18"/>
  <c r="D309" i="18" s="1"/>
  <c r="C309" i="18" s="1"/>
  <c r="O345" i="20"/>
  <c r="G877" i="20" s="1"/>
  <c r="BM116" i="20"/>
  <c r="E440" i="20"/>
  <c r="N228" i="20"/>
  <c r="N229" i="20" s="1"/>
  <c r="G462" i="20"/>
  <c r="G16" i="18"/>
  <c r="H451" i="20"/>
  <c r="F1128" i="16"/>
  <c r="L44" i="3"/>
  <c r="F32" i="16" s="1"/>
  <c r="K142" i="3"/>
  <c r="D5" i="16" s="1"/>
  <c r="C748" i="16"/>
  <c r="E934" i="1"/>
  <c r="Q276" i="20"/>
  <c r="K644" i="20"/>
  <c r="F861" i="20"/>
  <c r="G440" i="20"/>
  <c r="H929" i="20"/>
  <c r="P138" i="20"/>
  <c r="BO450" i="20"/>
  <c r="BO415" i="20"/>
  <c r="S21" i="20"/>
  <c r="S193" i="20" s="1"/>
  <c r="S191" i="20" s="1"/>
  <c r="S286" i="20" s="1"/>
  <c r="M137" i="20"/>
  <c r="D269" i="18"/>
  <c r="C269" i="18" s="1"/>
  <c r="U193" i="18"/>
  <c r="D935" i="1"/>
  <c r="F484" i="20"/>
  <c r="AQ450" i="20"/>
  <c r="AQ483" i="20"/>
  <c r="L645" i="20"/>
  <c r="C276" i="18"/>
  <c r="I131" i="18"/>
  <c r="C275" i="18" s="1"/>
  <c r="P135" i="20"/>
  <c r="K484" i="20"/>
  <c r="BZ483" i="20"/>
  <c r="H102" i="18"/>
  <c r="E196" i="18" s="1"/>
  <c r="C255" i="18" s="1"/>
  <c r="C257" i="18" s="1"/>
  <c r="U196" i="18"/>
  <c r="I209" i="20"/>
  <c r="D857" i="16"/>
  <c r="E857" i="16" s="1"/>
  <c r="E1008" i="16"/>
  <c r="M138" i="20"/>
  <c r="M134" i="20"/>
  <c r="AL431" i="20"/>
  <c r="B437" i="20"/>
  <c r="AL437" i="20" s="1"/>
  <c r="E451" i="20"/>
  <c r="E428" i="20"/>
  <c r="G428" i="20"/>
  <c r="F724" i="20"/>
  <c r="H158" i="18"/>
  <c r="R111" i="20"/>
  <c r="BV111" i="20" s="1"/>
  <c r="I543" i="20"/>
  <c r="E926" i="20"/>
  <c r="I910" i="20"/>
  <c r="BS111" i="20"/>
  <c r="C935" i="1"/>
  <c r="D858" i="16"/>
  <c r="E858" i="16" s="1"/>
  <c r="I214" i="20"/>
  <c r="M132" i="20"/>
  <c r="D663" i="20"/>
  <c r="E663" i="20" s="1"/>
  <c r="D664" i="20"/>
  <c r="E664" i="20" s="1"/>
  <c r="F664" i="20"/>
  <c r="F717" i="20"/>
  <c r="F719" i="20" s="1"/>
  <c r="F750" i="20" s="1"/>
  <c r="M76" i="20"/>
  <c r="F745" i="20"/>
  <c r="I1127" i="16"/>
  <c r="I1139" i="16" s="1"/>
  <c r="N313" i="20"/>
  <c r="K919" i="20"/>
  <c r="BZ415" i="20"/>
  <c r="L165" i="3"/>
  <c r="E6" i="16" s="1"/>
  <c r="K209" i="20"/>
  <c r="D856" i="16"/>
  <c r="E856" i="16" s="1"/>
  <c r="K229" i="20"/>
  <c r="N396" i="20"/>
  <c r="F863" i="20"/>
  <c r="I228" i="20"/>
  <c r="E919" i="20"/>
  <c r="E927" i="20" s="1"/>
  <c r="E587" i="20"/>
  <c r="F1009" i="16"/>
  <c r="G712" i="20"/>
  <c r="O6" i="20"/>
  <c r="Q229" i="20"/>
  <c r="BM324" i="20"/>
  <c r="M255" i="3"/>
  <c r="L255" i="3"/>
  <c r="L252" i="3"/>
  <c r="R333" i="20"/>
  <c r="R346" i="20" s="1"/>
  <c r="R345" i="20"/>
  <c r="L205" i="20"/>
  <c r="D585" i="20"/>
  <c r="F926" i="20"/>
  <c r="BM461" i="20"/>
  <c r="I561" i="20"/>
  <c r="L146" i="20"/>
  <c r="Q146" i="20"/>
  <c r="L168" i="3"/>
  <c r="H678" i="20"/>
  <c r="F1008" i="16"/>
  <c r="AO483" i="20"/>
  <c r="N397" i="20"/>
  <c r="G926" i="20"/>
  <c r="C552" i="20"/>
  <c r="E569" i="20"/>
  <c r="C587" i="20"/>
  <c r="F1010" i="16"/>
  <c r="F702" i="20"/>
  <c r="E651" i="20"/>
  <c r="O333" i="20"/>
  <c r="G873" i="20" s="1"/>
  <c r="N320" i="20"/>
  <c r="N321" i="20" s="1"/>
  <c r="D745" i="20"/>
  <c r="E728" i="20"/>
  <c r="E731" i="20" s="1"/>
  <c r="O132" i="20"/>
  <c r="J134" i="20"/>
  <c r="P146" i="20"/>
  <c r="J909" i="20"/>
  <c r="L276" i="20"/>
  <c r="P276" i="20"/>
  <c r="C1392" i="16"/>
  <c r="F416" i="20"/>
  <c r="D858" i="20"/>
  <c r="J228" i="20"/>
  <c r="H228" i="20"/>
  <c r="F860" i="20"/>
  <c r="D724" i="20"/>
  <c r="K124" i="20"/>
  <c r="H861" i="20"/>
  <c r="BM439" i="20"/>
  <c r="G872" i="20"/>
  <c r="BM8" i="20"/>
  <c r="BU483" i="20"/>
  <c r="N110" i="20"/>
  <c r="L122" i="3"/>
  <c r="C281" i="18"/>
  <c r="F193" i="18"/>
  <c r="D294" i="18"/>
  <c r="D295" i="18" s="1"/>
  <c r="C295" i="18" s="1"/>
  <c r="G64" i="18"/>
  <c r="L142" i="3"/>
  <c r="C749" i="16"/>
  <c r="F866" i="20"/>
  <c r="AO427" i="20"/>
  <c r="AQ439" i="20"/>
  <c r="D577" i="20"/>
  <c r="L133" i="20"/>
  <c r="L134" i="20"/>
  <c r="L138" i="20"/>
  <c r="C300" i="18"/>
  <c r="D301" i="18"/>
  <c r="C301" i="18" s="1"/>
  <c r="H1125" i="16"/>
  <c r="H1127" i="16" s="1"/>
  <c r="H1139" i="16" s="1"/>
  <c r="D957" i="20"/>
  <c r="C1231" i="16"/>
  <c r="I917" i="20"/>
  <c r="I428" i="20"/>
  <c r="BK116" i="20"/>
  <c r="K113" i="20"/>
  <c r="L127" i="20"/>
  <c r="BL113" i="20"/>
  <c r="L135" i="20"/>
  <c r="F906" i="20"/>
  <c r="F565" i="20"/>
  <c r="G718" i="20"/>
  <c r="F709" i="20" s="1"/>
  <c r="E709" i="20" s="1"/>
  <c r="G649" i="20"/>
  <c r="J643" i="20"/>
  <c r="H117" i="20"/>
  <c r="BL116" i="20"/>
  <c r="L145" i="3"/>
  <c r="L643" i="20"/>
  <c r="V193" i="18"/>
  <c r="B453" i="20"/>
  <c r="AO415" i="20"/>
  <c r="I644" i="20"/>
  <c r="K655" i="20"/>
  <c r="D586" i="20"/>
  <c r="F859" i="20"/>
  <c r="C569" i="20"/>
  <c r="C578" i="20"/>
  <c r="I1010" i="16"/>
  <c r="G451" i="20"/>
  <c r="BM450" i="20"/>
  <c r="O23" i="20"/>
  <c r="C1125" i="16"/>
  <c r="C1127" i="16" s="1"/>
  <c r="C1139" i="16" s="1"/>
  <c r="J132" i="20"/>
  <c r="J135" i="20"/>
  <c r="C1238" i="16"/>
  <c r="Q354" i="20"/>
  <c r="R354" i="20" s="1"/>
  <c r="Q395" i="20"/>
  <c r="L115" i="20"/>
  <c r="L137" i="20" s="1"/>
  <c r="C961" i="20"/>
  <c r="S285" i="20"/>
  <c r="J587" i="20"/>
  <c r="BL324" i="20"/>
  <c r="B927" i="20"/>
  <c r="B911" i="20"/>
  <c r="N17" i="20"/>
  <c r="BL17" i="20" s="1"/>
  <c r="N76" i="20"/>
  <c r="P347" i="20"/>
  <c r="H879" i="20" s="1"/>
  <c r="P191" i="20"/>
  <c r="P346" i="20" s="1"/>
  <c r="H878" i="20" s="1"/>
  <c r="D74" i="20"/>
  <c r="D560" i="20"/>
  <c r="N232" i="20"/>
  <c r="N286" i="20" s="1"/>
  <c r="F440" i="20"/>
  <c r="E921" i="20"/>
  <c r="E929" i="20" s="1"/>
  <c r="D665" i="20"/>
  <c r="E665" i="20" s="1"/>
  <c r="E1009" i="16"/>
  <c r="F646" i="20"/>
  <c r="I646" i="20" s="1"/>
  <c r="D646" i="20"/>
  <c r="D651" i="20" s="1"/>
  <c r="J133" i="20"/>
  <c r="J137" i="20"/>
  <c r="D281" i="18"/>
  <c r="D283" i="18" s="1"/>
  <c r="D805" i="20"/>
  <c r="P76" i="20"/>
  <c r="G1127" i="16"/>
  <c r="G1139" i="16" s="1"/>
  <c r="D942" i="20"/>
  <c r="Q232" i="20"/>
  <c r="Q286" i="20" s="1"/>
  <c r="I484" i="20"/>
  <c r="I920" i="20"/>
  <c r="I928" i="20" s="1"/>
  <c r="I462" i="20"/>
  <c r="BO461" i="20"/>
  <c r="H543" i="20"/>
  <c r="H561" i="20"/>
  <c r="R79" i="20"/>
  <c r="R109" i="20" s="1"/>
  <c r="BR109" i="20" s="1"/>
  <c r="BV439" i="20"/>
  <c r="K440" i="20"/>
  <c r="K918" i="20"/>
  <c r="J543" i="20"/>
  <c r="C958" i="20"/>
  <c r="S23" i="20"/>
  <c r="D945" i="20"/>
  <c r="I906" i="20"/>
  <c r="AP441" i="20"/>
  <c r="F665" i="20"/>
  <c r="C319" i="18"/>
  <c r="P368" i="20"/>
  <c r="BM327" i="20"/>
  <c r="BM329" i="20" s="1"/>
  <c r="M146" i="20"/>
  <c r="F925" i="20"/>
  <c r="D734" i="20"/>
  <c r="BI8" i="20"/>
  <c r="I569" i="20"/>
  <c r="O107" i="20"/>
  <c r="K195" i="18"/>
  <c r="M195" i="18" s="1"/>
  <c r="H221" i="8"/>
  <c r="J245" i="8"/>
  <c r="I196" i="18"/>
  <c r="J196" i="18" s="1"/>
  <c r="H358" i="8"/>
  <c r="D24" i="12"/>
  <c r="G122" i="12" s="1"/>
  <c r="J364" i="8"/>
  <c r="S357" i="8"/>
  <c r="U357" i="8"/>
  <c r="L355" i="8"/>
  <c r="C358" i="8"/>
  <c r="G358" i="8"/>
  <c r="S356" i="8"/>
  <c r="K358" i="8"/>
  <c r="Q358" i="8"/>
  <c r="L356" i="8"/>
  <c r="K196" i="18"/>
  <c r="L196" i="18" s="1"/>
  <c r="F358" i="8"/>
  <c r="L353" i="8"/>
  <c r="M192" i="18"/>
  <c r="A358" i="8"/>
  <c r="L357" i="8"/>
  <c r="U67" i="9"/>
  <c r="N175" i="10"/>
  <c r="N176" i="10" s="1"/>
  <c r="BY286" i="11"/>
  <c r="BY304" i="11" s="1"/>
  <c r="BY120" i="11"/>
  <c r="BY121" i="11" s="1"/>
  <c r="N26" i="9"/>
  <c r="N22" i="11"/>
  <c r="N23" i="11" s="1"/>
  <c r="AP25" i="9"/>
  <c r="AP26" i="9" s="1"/>
  <c r="AP24" i="9"/>
  <c r="BM25" i="9"/>
  <c r="BM26" i="9" s="1"/>
  <c r="BM24" i="9"/>
  <c r="BN109" i="9"/>
  <c r="BM109" i="9"/>
  <c r="BS64" i="11"/>
  <c r="BS68" i="11"/>
  <c r="BW72" i="9"/>
  <c r="BS76" i="9"/>
  <c r="M101" i="9"/>
  <c r="M109" i="9"/>
  <c r="M103" i="9"/>
  <c r="M102" i="9"/>
  <c r="M99" i="9"/>
  <c r="M104" i="9"/>
  <c r="M89" i="11"/>
  <c r="M97" i="11" s="1"/>
  <c r="BL94" i="11"/>
  <c r="BL98" i="11"/>
  <c r="BL99" i="11"/>
  <c r="BL97" i="11"/>
  <c r="BV231" i="11"/>
  <c r="BZ117" i="11"/>
  <c r="BV120" i="11"/>
  <c r="BI231" i="9"/>
  <c r="BI228" i="9"/>
  <c r="BQ231" i="9"/>
  <c r="BQ228" i="9"/>
  <c r="BW231" i="9"/>
  <c r="BW228" i="9"/>
  <c r="Q225" i="11"/>
  <c r="Q178" i="9"/>
  <c r="Q171" i="11" s="1"/>
  <c r="U113" i="14" s="1"/>
  <c r="U179" i="9"/>
  <c r="BY309" i="9"/>
  <c r="BX267" i="10"/>
  <c r="BX218" i="10"/>
  <c r="R172" i="10"/>
  <c r="R171" i="11" s="1"/>
  <c r="V113" i="14" s="1"/>
  <c r="R225" i="11"/>
  <c r="BG289" i="10"/>
  <c r="BE289" i="10"/>
  <c r="BH289" i="10"/>
  <c r="BF289" i="10"/>
  <c r="BO289" i="10"/>
  <c r="BP289" i="10"/>
  <c r="BN289" i="10"/>
  <c r="BM289" i="10"/>
  <c r="N103" i="11"/>
  <c r="N93" i="11"/>
  <c r="O93" i="11"/>
  <c r="F8" i="22"/>
  <c r="G1452" i="16"/>
  <c r="H1452" i="16" s="1"/>
  <c r="I1452" i="16" s="1"/>
  <c r="J1452" i="16" s="1"/>
  <c r="J1453" i="16" s="1"/>
  <c r="J1454" i="16" s="1"/>
  <c r="F1453" i="16"/>
  <c r="F1454" i="16" s="1"/>
  <c r="R54" i="11"/>
  <c r="U233" i="14"/>
  <c r="U238" i="14"/>
  <c r="M243" i="4"/>
  <c r="M259" i="4" s="1"/>
  <c r="M284" i="4" s="1"/>
  <c r="G1021" i="16"/>
  <c r="BZ294" i="10"/>
  <c r="I24" i="9"/>
  <c r="I20" i="11"/>
  <c r="M222" i="14"/>
  <c r="I25" i="9"/>
  <c r="AH24" i="9"/>
  <c r="AH25" i="9"/>
  <c r="AH26" i="9" s="1"/>
  <c r="BR68" i="11"/>
  <c r="BR64" i="11"/>
  <c r="L123" i="9"/>
  <c r="L116" i="9"/>
  <c r="L127" i="9"/>
  <c r="M114" i="9"/>
  <c r="BL231" i="9"/>
  <c r="BL228" i="9"/>
  <c r="CB300" i="9"/>
  <c r="V266" i="9"/>
  <c r="Q266" i="9"/>
  <c r="P266" i="9"/>
  <c r="T266" i="9"/>
  <c r="X266" i="9"/>
  <c r="U266" i="9"/>
  <c r="W266" i="9"/>
  <c r="Y266" i="9"/>
  <c r="S266" i="9"/>
  <c r="R266" i="9"/>
  <c r="Z266" i="9"/>
  <c r="O200" i="11"/>
  <c r="O206" i="10"/>
  <c r="S173" i="10"/>
  <c r="S172" i="11" s="1"/>
  <c r="S226" i="11"/>
  <c r="BU218" i="10"/>
  <c r="BU267" i="10"/>
  <c r="BJ289" i="10"/>
  <c r="BK289" i="10"/>
  <c r="BI289" i="10"/>
  <c r="BL289" i="10"/>
  <c r="BR289" i="10"/>
  <c r="BQ289" i="10"/>
  <c r="O62" i="11"/>
  <c r="O74" i="10"/>
  <c r="P66" i="10"/>
  <c r="O77" i="10"/>
  <c r="N92" i="11"/>
  <c r="M102" i="11"/>
  <c r="W111" i="17"/>
  <c r="V238" i="14"/>
  <c r="K598" i="1"/>
  <c r="Q591" i="1"/>
  <c r="Q592" i="1" s="1"/>
  <c r="R38" i="3"/>
  <c r="F343" i="4"/>
  <c r="F363" i="4" s="1"/>
  <c r="F381" i="4" s="1"/>
  <c r="F412" i="4" s="1"/>
  <c r="F420" i="4" s="1"/>
  <c r="F431" i="4" s="1"/>
  <c r="F446" i="4" s="1"/>
  <c r="F458" i="4" s="1"/>
  <c r="F498" i="4" s="1"/>
  <c r="F324" i="4"/>
  <c r="F170" i="4"/>
  <c r="F173" i="4" s="1"/>
  <c r="F359" i="4"/>
  <c r="F361" i="4" s="1"/>
  <c r="F227" i="4" s="1"/>
  <c r="F388" i="4"/>
  <c r="F461" i="4"/>
  <c r="F492" i="4" s="1"/>
  <c r="F263" i="4"/>
  <c r="G263" i="4" s="1"/>
  <c r="H569" i="4"/>
  <c r="G601" i="4"/>
  <c r="BW294" i="10"/>
  <c r="BW288" i="10"/>
  <c r="BY285" i="11"/>
  <c r="R268" i="9"/>
  <c r="S221" i="9"/>
  <c r="S268" i="9" s="1"/>
  <c r="R223" i="9"/>
  <c r="R226" i="9" s="1"/>
  <c r="R209" i="11"/>
  <c r="I72" i="9"/>
  <c r="H72" i="9"/>
  <c r="H76" i="9"/>
  <c r="H83" i="9" s="1"/>
  <c r="BP68" i="11"/>
  <c r="BL68" i="11"/>
  <c r="BC97" i="11"/>
  <c r="BC99" i="11"/>
  <c r="BC98" i="11"/>
  <c r="BC94" i="11"/>
  <c r="BS226" i="9"/>
  <c r="CC274" i="9"/>
  <c r="CC226" i="9"/>
  <c r="BZ300" i="9"/>
  <c r="BZ295" i="9"/>
  <c r="P179" i="9"/>
  <c r="P172" i="11" s="1"/>
  <c r="P226" i="11"/>
  <c r="N201" i="11"/>
  <c r="N206" i="10"/>
  <c r="BL231" i="10"/>
  <c r="BL235" i="10"/>
  <c r="BL218" i="10"/>
  <c r="BY293" i="10"/>
  <c r="L58" i="9"/>
  <c r="L63" i="9"/>
  <c r="M63" i="9"/>
  <c r="D1037" i="16"/>
  <c r="C20" i="21"/>
  <c r="R114" i="9"/>
  <c r="R123" i="9"/>
  <c r="V38" i="14"/>
  <c r="R175" i="9"/>
  <c r="Q73" i="9"/>
  <c r="R32" i="3"/>
  <c r="P297" i="3"/>
  <c r="T194" i="9"/>
  <c r="T148" i="11"/>
  <c r="U154" i="9"/>
  <c r="C36" i="16"/>
  <c r="BR82" i="11"/>
  <c r="BN72" i="11"/>
  <c r="BN66" i="11"/>
  <c r="BN70" i="11"/>
  <c r="H904" i="12"/>
  <c r="I898" i="12"/>
  <c r="T220" i="9"/>
  <c r="E514" i="8"/>
  <c r="BN110" i="11"/>
  <c r="BN119" i="11"/>
  <c r="M84" i="3"/>
  <c r="L59" i="3"/>
  <c r="L236" i="20"/>
  <c r="H599" i="1"/>
  <c r="J696" i="1" s="1"/>
  <c r="O209" i="12"/>
  <c r="O210" i="12" s="1"/>
  <c r="L396" i="20" s="1"/>
  <c r="H625" i="1"/>
  <c r="I255" i="3"/>
  <c r="BJ120" i="11"/>
  <c r="BJ121" i="11" s="1"/>
  <c r="BJ119" i="11"/>
  <c r="BW97" i="11"/>
  <c r="BW99" i="11"/>
  <c r="CC70" i="11"/>
  <c r="C343" i="4"/>
  <c r="C363" i="4" s="1"/>
  <c r="C381" i="4" s="1"/>
  <c r="C412" i="4" s="1"/>
  <c r="C420" i="4" s="1"/>
  <c r="C431" i="4" s="1"/>
  <c r="C446" i="4" s="1"/>
  <c r="C458" i="4" s="1"/>
  <c r="C498" i="4" s="1"/>
  <c r="C324" i="4"/>
  <c r="P132" i="10"/>
  <c r="T264" i="14"/>
  <c r="Q68" i="10"/>
  <c r="P60" i="11"/>
  <c r="U211" i="17" s="1"/>
  <c r="P68" i="10"/>
  <c r="P72" i="10"/>
  <c r="K392" i="1"/>
  <c r="K312" i="1"/>
  <c r="E441" i="1"/>
  <c r="E701" i="1"/>
  <c r="E285" i="1"/>
  <c r="J285" i="1"/>
  <c r="W284" i="1"/>
  <c r="T9" i="10"/>
  <c r="S9" i="11"/>
  <c r="O55" i="11"/>
  <c r="L80" i="3"/>
  <c r="H70" i="9"/>
  <c r="H69" i="9"/>
  <c r="L223" i="14"/>
  <c r="H113" i="9"/>
  <c r="M101" i="3"/>
  <c r="M103" i="3" s="1"/>
  <c r="N133" i="3"/>
  <c r="N101" i="3" s="1"/>
  <c r="E343" i="4"/>
  <c r="E363" i="4" s="1"/>
  <c r="E381" i="4" s="1"/>
  <c r="E412" i="4" s="1"/>
  <c r="E420" i="4" s="1"/>
  <c r="E431" i="4" s="1"/>
  <c r="E446" i="4" s="1"/>
  <c r="E458" i="4" s="1"/>
  <c r="E498" i="4" s="1"/>
  <c r="E324" i="4"/>
  <c r="G343" i="4"/>
  <c r="G363" i="4" s="1"/>
  <c r="G381" i="4" s="1"/>
  <c r="G412" i="4" s="1"/>
  <c r="G420" i="4" s="1"/>
  <c r="G431" i="4" s="1"/>
  <c r="G446" i="4" s="1"/>
  <c r="G458" i="4" s="1"/>
  <c r="G498" i="4" s="1"/>
  <c r="G324" i="4"/>
  <c r="K243" i="4"/>
  <c r="K259" i="4" s="1"/>
  <c r="K284" i="4" s="1"/>
  <c r="E1021" i="16"/>
  <c r="BP24" i="9"/>
  <c r="BQ109" i="9"/>
  <c r="N83" i="9"/>
  <c r="BO102" i="9"/>
  <c r="BF24" i="9"/>
  <c r="BF25" i="9"/>
  <c r="BF26" i="9" s="1"/>
  <c r="BF109" i="9"/>
  <c r="BC226" i="9"/>
  <c r="BC239" i="9"/>
  <c r="T252" i="14"/>
  <c r="P61" i="11"/>
  <c r="U199" i="17" s="1"/>
  <c r="S273" i="9"/>
  <c r="R273" i="9"/>
  <c r="L25" i="9"/>
  <c r="P222" i="14"/>
  <c r="L24" i="9"/>
  <c r="AV24" i="9"/>
  <c r="AV25" i="9"/>
  <c r="AV26" i="9" s="1"/>
  <c r="BP109" i="9"/>
  <c r="CB25" i="9"/>
  <c r="CB26" i="9" s="1"/>
  <c r="CB24" i="9"/>
  <c r="BB94" i="11"/>
  <c r="BF94" i="11"/>
  <c r="BS101" i="9"/>
  <c r="BS102" i="9"/>
  <c r="BS103" i="9"/>
  <c r="S38" i="14"/>
  <c r="O187" i="9"/>
  <c r="BB113" i="9"/>
  <c r="BB70" i="9"/>
  <c r="BF113" i="9"/>
  <c r="BF70" i="9"/>
  <c r="BQ113" i="9"/>
  <c r="BQ70" i="9"/>
  <c r="BQ77" i="9"/>
  <c r="BQ61" i="9"/>
  <c r="BE54" i="11"/>
  <c r="BG62" i="9"/>
  <c r="AE19" i="13"/>
  <c r="AE22" i="13"/>
  <c r="AE26" i="13"/>
  <c r="CA59" i="9" s="1"/>
  <c r="AE21" i="13"/>
  <c r="AE23" i="13"/>
  <c r="AE18" i="13"/>
  <c r="K71" i="3"/>
  <c r="L71" i="3" s="1"/>
  <c r="M71" i="3" s="1"/>
  <c r="N71" i="3" s="1"/>
  <c r="O71" i="3" s="1"/>
  <c r="P71" i="3" s="1"/>
  <c r="Q71" i="3" s="1"/>
  <c r="R71" i="3" s="1"/>
  <c r="S71" i="3" s="1"/>
  <c r="J53" i="3"/>
  <c r="CB271" i="10"/>
  <c r="H343" i="4"/>
  <c r="H363" i="4" s="1"/>
  <c r="H381" i="4" s="1"/>
  <c r="H412" i="4" s="1"/>
  <c r="H420" i="4" s="1"/>
  <c r="H431" i="4" s="1"/>
  <c r="H446" i="4" s="1"/>
  <c r="H458" i="4" s="1"/>
  <c r="H498" i="4" s="1"/>
  <c r="H324" i="4"/>
  <c r="BB24" i="9"/>
  <c r="BC109" i="9"/>
  <c r="BB25" i="9"/>
  <c r="BB26" i="9" s="1"/>
  <c r="BQ24" i="9"/>
  <c r="BQ25" i="9"/>
  <c r="BQ26" i="9" s="1"/>
  <c r="BX25" i="9"/>
  <c r="BX26" i="9" s="1"/>
  <c r="BX109" i="9"/>
  <c r="CB109" i="9"/>
  <c r="CB99" i="9"/>
  <c r="CB102" i="9"/>
  <c r="N102" i="9"/>
  <c r="N101" i="9"/>
  <c r="N104" i="9"/>
  <c r="N99" i="9"/>
  <c r="O99" i="9"/>
  <c r="N89" i="11"/>
  <c r="P269" i="9"/>
  <c r="Q269" i="9"/>
  <c r="P189" i="14"/>
  <c r="L39" i="11"/>
  <c r="L41" i="11"/>
  <c r="CF30" i="11"/>
  <c r="CE30" i="11"/>
  <c r="I38" i="11"/>
  <c r="I31" i="11"/>
  <c r="E30" i="11"/>
  <c r="BR43" i="11"/>
  <c r="BV43" i="11"/>
  <c r="AU20" i="11"/>
  <c r="AY45" i="11"/>
  <c r="BC34" i="11"/>
  <c r="BF45" i="11"/>
  <c r="BV34" i="11"/>
  <c r="BW34" i="11"/>
  <c r="BW37" i="11"/>
  <c r="BW41" i="11"/>
  <c r="T218" i="9"/>
  <c r="BW91" i="11"/>
  <c r="T277" i="12"/>
  <c r="T273" i="12"/>
  <c r="U55" i="13"/>
  <c r="CD266" i="12"/>
  <c r="P273" i="12"/>
  <c r="P277" i="12"/>
  <c r="P268" i="12"/>
  <c r="BR38" i="11"/>
  <c r="K288" i="3"/>
  <c r="C692" i="16"/>
  <c r="D205" i="16"/>
  <c r="D230" i="16" s="1"/>
  <c r="E188" i="16"/>
  <c r="K200" i="16" s="1"/>
  <c r="K203" i="16" s="1"/>
  <c r="G60" i="18"/>
  <c r="F59" i="18"/>
  <c r="D289" i="18"/>
  <c r="C289" i="18" s="1"/>
  <c r="G31" i="18"/>
  <c r="E195" i="18" s="1"/>
  <c r="C236" i="18" s="1"/>
  <c r="C238" i="18" s="1"/>
  <c r="D236" i="18"/>
  <c r="BZ382" i="12"/>
  <c r="P383" i="12"/>
  <c r="P167" i="12"/>
  <c r="P168" i="12" s="1"/>
  <c r="CA377" i="12"/>
  <c r="BV95" i="10"/>
  <c r="M236" i="20"/>
  <c r="I587" i="1"/>
  <c r="I678" i="20"/>
  <c r="Q273" i="12"/>
  <c r="Q268" i="12"/>
  <c r="Q269" i="12" s="1"/>
  <c r="CA266" i="12"/>
  <c r="N203" i="20" s="1"/>
  <c r="AL443" i="20"/>
  <c r="B454" i="20"/>
  <c r="E462" i="20"/>
  <c r="E920" i="20"/>
  <c r="E928" i="20" s="1"/>
  <c r="E494" i="20"/>
  <c r="AP464" i="20"/>
  <c r="D576" i="20"/>
  <c r="K647" i="20"/>
  <c r="I647" i="20"/>
  <c r="B52" i="21"/>
  <c r="Q120" i="10"/>
  <c r="O285" i="20"/>
  <c r="I1016" i="16" s="1"/>
  <c r="O276" i="20"/>
  <c r="D258" i="18"/>
  <c r="D256" i="18" s="1"/>
  <c r="D262" i="18" s="1"/>
  <c r="Q196" i="18"/>
  <c r="H99" i="18"/>
  <c r="C196" i="18" s="1"/>
  <c r="L193" i="18"/>
  <c r="H199" i="18"/>
  <c r="J199" i="18" s="1"/>
  <c r="P210" i="12"/>
  <c r="M396" i="20" s="1"/>
  <c r="I614" i="1"/>
  <c r="M393" i="20" s="1"/>
  <c r="H1392" i="16"/>
  <c r="G1010" i="16"/>
  <c r="C229" i="18"/>
  <c r="C231" i="18" s="1"/>
  <c r="D231" i="18"/>
  <c r="D249" i="18"/>
  <c r="H90" i="18"/>
  <c r="O194" i="18"/>
  <c r="E578" i="20"/>
  <c r="H137" i="20"/>
  <c r="H138" i="20"/>
  <c r="H135" i="20"/>
  <c r="H134" i="20"/>
  <c r="H133" i="20"/>
  <c r="H132" i="20"/>
  <c r="K132" i="20"/>
  <c r="D962" i="20"/>
  <c r="H494" i="20"/>
  <c r="D956" i="20"/>
  <c r="O192" i="18"/>
  <c r="O196" i="18"/>
  <c r="L22" i="20"/>
  <c r="L23" i="20" s="1"/>
  <c r="F569" i="20"/>
  <c r="G739" i="20"/>
  <c r="F655" i="20"/>
  <c r="N655" i="20"/>
  <c r="O327" i="20"/>
  <c r="F728" i="20"/>
  <c r="F747" i="20" s="1"/>
  <c r="D250" i="18"/>
  <c r="CD377" i="12"/>
  <c r="BZ377" i="12"/>
  <c r="D242" i="18"/>
  <c r="G38" i="18"/>
  <c r="F195" i="18" s="1"/>
  <c r="C242" i="18" s="1"/>
  <c r="C244" i="18" s="1"/>
  <c r="C268" i="18"/>
  <c r="G587" i="20"/>
  <c r="L678" i="20"/>
  <c r="H863" i="20"/>
  <c r="P396" i="20"/>
  <c r="D1653" i="16" s="1"/>
  <c r="D463" i="16"/>
  <c r="E418" i="16"/>
  <c r="G891" i="20"/>
  <c r="Q390" i="20"/>
  <c r="E1652" i="16" s="1"/>
  <c r="J920" i="20"/>
  <c r="J462" i="20"/>
  <c r="O193" i="18"/>
  <c r="AL441" i="20"/>
  <c r="B452" i="20"/>
  <c r="C1012" i="16"/>
  <c r="O390" i="20"/>
  <c r="C1652" i="16" s="1"/>
  <c r="E891" i="20"/>
  <c r="K678" i="20"/>
  <c r="J435" i="4"/>
  <c r="J116" i="20"/>
  <c r="J138" i="20" s="1"/>
  <c r="H104" i="18"/>
  <c r="H107" i="18" s="1"/>
  <c r="D261" i="18"/>
  <c r="B23" i="2"/>
  <c r="A21" i="2" s="1"/>
  <c r="E362" i="16"/>
  <c r="C379" i="16"/>
  <c r="D396" i="16" s="1"/>
  <c r="D398" i="16"/>
  <c r="D401" i="16" s="1"/>
  <c r="C445" i="16"/>
  <c r="BM11" i="20"/>
  <c r="BI11" i="20"/>
  <c r="O16" i="20"/>
  <c r="J678" i="20"/>
  <c r="E552" i="20"/>
  <c r="F552" i="20"/>
  <c r="D728" i="20"/>
  <c r="D747" i="20" s="1"/>
  <c r="D277" i="18"/>
  <c r="D251" i="18"/>
  <c r="E313" i="16"/>
  <c r="E501" i="16"/>
  <c r="L228" i="20"/>
  <c r="L229" i="20" s="1"/>
  <c r="D552" i="20"/>
  <c r="J657" i="20"/>
  <c r="C561" i="20"/>
  <c r="F561" i="20"/>
  <c r="G102" i="18"/>
  <c r="E963" i="20"/>
  <c r="P133" i="20"/>
  <c r="P134" i="20"/>
  <c r="G1011" i="12"/>
  <c r="BV415" i="20"/>
  <c r="I494" i="20"/>
  <c r="I919" i="20"/>
  <c r="I927" i="20" s="1"/>
  <c r="H552" i="20"/>
  <c r="H578" i="20"/>
  <c r="G1409" i="16"/>
  <c r="F1409" i="16"/>
  <c r="N141" i="20"/>
  <c r="E1421" i="16"/>
  <c r="R390" i="20"/>
  <c r="F1652" i="16" s="1"/>
  <c r="I552" i="20"/>
  <c r="D721" i="20"/>
  <c r="AO450" i="20"/>
  <c r="AO461" i="20"/>
  <c r="O368" i="20"/>
  <c r="E893" i="20" s="1"/>
  <c r="G710" i="20"/>
  <c r="G746" i="20" s="1"/>
  <c r="G569" i="20"/>
  <c r="G1002" i="12"/>
  <c r="G1003" i="12"/>
  <c r="B807" i="20"/>
  <c r="I599" i="20"/>
  <c r="J62" i="22"/>
  <c r="D963" i="20"/>
  <c r="J919" i="20"/>
  <c r="BX415" i="20"/>
  <c r="J918" i="20"/>
  <c r="J440" i="20"/>
  <c r="G1500" i="16"/>
  <c r="E942" i="20"/>
  <c r="G920" i="20"/>
  <c r="H928" i="20" s="1"/>
  <c r="I578" i="20"/>
  <c r="I587" i="20"/>
  <c r="R371" i="20"/>
  <c r="R387" i="20"/>
  <c r="H895" i="20" s="1"/>
  <c r="R69" i="20"/>
  <c r="L279" i="3" s="1"/>
  <c r="BV461" i="20"/>
  <c r="H587" i="20"/>
  <c r="E945" i="20"/>
  <c r="D1432" i="16"/>
  <c r="T399" i="12"/>
  <c r="E1432" i="16" s="1"/>
  <c r="E787" i="20"/>
  <c r="I1426" i="16"/>
  <c r="K1426" i="16"/>
  <c r="K142" i="20"/>
  <c r="N357" i="12"/>
  <c r="N359" i="12" s="1"/>
  <c r="F1440" i="16"/>
  <c r="U404" i="12" s="1"/>
  <c r="T404" i="12"/>
  <c r="B928" i="20"/>
  <c r="B920" i="20"/>
  <c r="B936" i="20" s="1"/>
  <c r="B912" i="20"/>
  <c r="J910" i="20"/>
  <c r="O145" i="20"/>
  <c r="B918" i="20"/>
  <c r="B934" i="20" s="1"/>
  <c r="B926" i="20"/>
  <c r="B910" i="20"/>
  <c r="J552" i="20"/>
  <c r="L1419" i="16"/>
  <c r="J578" i="20"/>
  <c r="W140" i="14"/>
  <c r="L250" i="3"/>
  <c r="D720" i="16" s="1"/>
  <c r="K255" i="3"/>
  <c r="K252" i="3"/>
  <c r="J917" i="20"/>
  <c r="J428" i="20"/>
  <c r="BV427" i="20"/>
  <c r="BW427" i="20" s="1"/>
  <c r="BX427" i="20"/>
  <c r="K917" i="20"/>
  <c r="K494" i="20"/>
  <c r="K451" i="20"/>
  <c r="K921" i="20"/>
  <c r="H909" i="20"/>
  <c r="H906" i="20"/>
  <c r="K122" i="3"/>
  <c r="M285" i="20"/>
  <c r="C512" i="20"/>
  <c r="C513" i="20" s="1"/>
  <c r="G925" i="20"/>
  <c r="D891" i="20"/>
  <c r="N390" i="20"/>
  <c r="D541" i="20"/>
  <c r="D511" i="20"/>
  <c r="F428" i="20"/>
  <c r="AQ427" i="20"/>
  <c r="D569" i="20"/>
  <c r="D583" i="20"/>
  <c r="AP482" i="20"/>
  <c r="M17" i="20"/>
  <c r="BK17" i="20" s="1"/>
  <c r="O396" i="20"/>
  <c r="C1653" i="16" s="1"/>
  <c r="P395" i="20"/>
  <c r="E42" i="16"/>
  <c r="B1391" i="16"/>
  <c r="M209" i="20"/>
  <c r="H1391" i="16" s="1"/>
  <c r="G1008" i="16"/>
  <c r="M276" i="20"/>
  <c r="E935" i="1"/>
  <c r="E874" i="20"/>
  <c r="M333" i="20"/>
  <c r="E925" i="20"/>
  <c r="AP442" i="20"/>
  <c r="D559" i="20"/>
  <c r="D565" i="20"/>
  <c r="E718" i="20"/>
  <c r="I1007" i="16"/>
  <c r="G858" i="20"/>
  <c r="C724" i="20"/>
  <c r="C745" i="20"/>
  <c r="J921" i="20"/>
  <c r="BV450" i="20"/>
  <c r="J451" i="20"/>
  <c r="J484" i="20"/>
  <c r="BX483" i="20"/>
  <c r="BW483" i="20"/>
  <c r="E859" i="20"/>
  <c r="AL427" i="20"/>
  <c r="B439" i="20"/>
  <c r="J494" i="20"/>
  <c r="R288" i="20"/>
  <c r="R314" i="20"/>
  <c r="R349" i="20"/>
  <c r="S236" i="20"/>
  <c r="M390" i="20"/>
  <c r="C891" i="20"/>
  <c r="E649" i="20"/>
  <c r="F494" i="20"/>
  <c r="AP437" i="20"/>
  <c r="E717" i="20" s="1"/>
  <c r="D548" i="20"/>
  <c r="C858" i="20"/>
  <c r="C934" i="1"/>
  <c r="E543" i="20"/>
  <c r="F873" i="20"/>
  <c r="N346" i="20"/>
  <c r="F878" i="20" s="1"/>
  <c r="F543" i="20"/>
  <c r="F587" i="20"/>
  <c r="B582" i="20"/>
  <c r="B591" i="20" s="1"/>
  <c r="H643" i="20"/>
  <c r="H649" i="20" s="1"/>
  <c r="E715" i="20"/>
  <c r="E724" i="20"/>
  <c r="E745" i="20"/>
  <c r="Q355" i="20"/>
  <c r="Q382" i="20"/>
  <c r="G894" i="20" s="1"/>
  <c r="F894" i="20"/>
  <c r="C1391" i="16"/>
  <c r="M345" i="20"/>
  <c r="E877" i="20" s="1"/>
  <c r="O395" i="20"/>
  <c r="N392" i="20"/>
  <c r="D494" i="20"/>
  <c r="AP460" i="20"/>
  <c r="D574" i="20"/>
  <c r="C543" i="20"/>
  <c r="F548" i="20"/>
  <c r="G716" i="20"/>
  <c r="G919" i="20"/>
  <c r="H927" i="20" s="1"/>
  <c r="G416" i="20"/>
  <c r="BM415" i="20"/>
  <c r="BN415" i="20" s="1"/>
  <c r="G494" i="20"/>
  <c r="BN483" i="20"/>
  <c r="G484" i="20"/>
  <c r="O654" i="20"/>
  <c r="O656" i="20" s="1"/>
  <c r="N656" i="20" s="1"/>
  <c r="F654" i="20"/>
  <c r="E657" i="20"/>
  <c r="C737" i="20"/>
  <c r="C751" i="20" s="1"/>
  <c r="C747" i="20"/>
  <c r="F736" i="20"/>
  <c r="E736" i="20"/>
  <c r="O21" i="20"/>
  <c r="C1157" i="16"/>
  <c r="H153" i="18"/>
  <c r="D313" i="18"/>
  <c r="D320" i="18"/>
  <c r="C314" i="18"/>
  <c r="D1124" i="16"/>
  <c r="D1133" i="16" s="1"/>
  <c r="P79" i="20"/>
  <c r="P109" i="20" s="1"/>
  <c r="BP109" i="20" s="1"/>
  <c r="D1149" i="16"/>
  <c r="Q346" i="20"/>
  <c r="E1157" i="16"/>
  <c r="Q21" i="20"/>
  <c r="F920" i="20"/>
  <c r="AQ461" i="20"/>
  <c r="N116" i="20"/>
  <c r="K138" i="20"/>
  <c r="L194" i="18"/>
  <c r="H214" i="20"/>
  <c r="H209" i="20"/>
  <c r="AO439" i="20"/>
  <c r="D538" i="20"/>
  <c r="D510" i="20"/>
  <c r="AP483" i="20"/>
  <c r="E561" i="20"/>
  <c r="F578" i="20"/>
  <c r="G860" i="20"/>
  <c r="G724" i="20"/>
  <c r="G715" i="20"/>
  <c r="G745" i="20"/>
  <c r="E735" i="20"/>
  <c r="V196" i="18"/>
  <c r="O286" i="20"/>
  <c r="J193" i="18"/>
  <c r="G859" i="20"/>
  <c r="O229" i="20"/>
  <c r="D971" i="20"/>
  <c r="K125" i="20"/>
  <c r="BO111" i="20"/>
  <c r="K133" i="20"/>
  <c r="R110" i="20"/>
  <c r="BV110" i="20" s="1"/>
  <c r="BS110" i="20"/>
  <c r="BO110" i="20"/>
  <c r="BS116" i="20"/>
  <c r="D1009" i="20" s="1"/>
  <c r="BO116" i="20"/>
  <c r="O138" i="20"/>
  <c r="Q127" i="20"/>
  <c r="BQ113" i="20"/>
  <c r="Q135" i="20"/>
  <c r="E906" i="20"/>
  <c r="I909" i="20"/>
  <c r="J195" i="18"/>
  <c r="AQ415" i="20"/>
  <c r="H1008" i="16"/>
  <c r="H1012" i="16" s="1"/>
  <c r="F557" i="20"/>
  <c r="I1008" i="16"/>
  <c r="D719" i="20"/>
  <c r="D750" i="20" s="1"/>
  <c r="F734" i="20"/>
  <c r="E734" i="20"/>
  <c r="O133" i="20"/>
  <c r="O134" i="20"/>
  <c r="C1239" i="16"/>
  <c r="D1158" i="16"/>
  <c r="D1125" i="16"/>
  <c r="D1127" i="16" s="1"/>
  <c r="P23" i="20"/>
  <c r="H917" i="20"/>
  <c r="H428" i="20"/>
  <c r="BO427" i="20"/>
  <c r="BM427" i="20"/>
  <c r="BN427" i="20" s="1"/>
  <c r="H918" i="20"/>
  <c r="H440" i="20"/>
  <c r="BO439" i="20"/>
  <c r="G561" i="20"/>
  <c r="P74" i="20"/>
  <c r="D1153" i="16"/>
  <c r="E1158" i="16"/>
  <c r="Q23" i="20"/>
  <c r="E1125" i="16"/>
  <c r="E1127" i="16" s="1"/>
  <c r="M127" i="20"/>
  <c r="BM113" i="20"/>
  <c r="M135" i="20"/>
  <c r="P390" i="20"/>
  <c r="D1652" i="16" s="1"/>
  <c r="F891" i="20"/>
  <c r="G599" i="20"/>
  <c r="G578" i="20"/>
  <c r="P285" i="20"/>
  <c r="H866" i="20" s="1"/>
  <c r="F942" i="20"/>
  <c r="H860" i="20"/>
  <c r="P232" i="20"/>
  <c r="Q396" i="20"/>
  <c r="E1653" i="16" s="1"/>
  <c r="R395" i="20"/>
  <c r="R232" i="20"/>
  <c r="S395" i="20"/>
  <c r="R392" i="20"/>
  <c r="R396" i="20"/>
  <c r="F1653" i="16" s="1"/>
  <c r="BX461" i="20"/>
  <c r="K920" i="20"/>
  <c r="J561" i="20"/>
  <c r="V293" i="12"/>
  <c r="C969" i="20"/>
  <c r="G543" i="20"/>
  <c r="G552" i="20"/>
  <c r="P314" i="20"/>
  <c r="P288" i="20"/>
  <c r="H869" i="20" s="1"/>
  <c r="E957" i="20"/>
  <c r="E1149" i="16"/>
  <c r="Q79" i="20"/>
  <c r="Q109" i="20" s="1"/>
  <c r="BQ109" i="20" s="1"/>
  <c r="B805" i="20"/>
  <c r="H599" i="20"/>
  <c r="H569" i="20"/>
  <c r="J599" i="20"/>
  <c r="J569" i="20"/>
  <c r="C947" i="20"/>
  <c r="BM10" i="20"/>
  <c r="G906" i="20"/>
  <c r="G909" i="20"/>
  <c r="K909" i="20"/>
  <c r="J911" i="20"/>
  <c r="J912" i="20"/>
  <c r="J913" i="20"/>
  <c r="R23" i="20"/>
  <c r="R21" i="20"/>
  <c r="Q134" i="20"/>
  <c r="Q138" i="20"/>
  <c r="Q132" i="20"/>
  <c r="BS114" i="20"/>
  <c r="D1007" i="20" s="1"/>
  <c r="R114" i="20"/>
  <c r="C906" i="20"/>
  <c r="C948" i="20"/>
  <c r="S16" i="20"/>
  <c r="BX439" i="20"/>
  <c r="S79" i="20"/>
  <c r="B925" i="20"/>
  <c r="B917" i="20"/>
  <c r="B933" i="20" s="1"/>
  <c r="J906" i="20"/>
  <c r="I912" i="20"/>
  <c r="I913" i="20"/>
  <c r="D974" i="20"/>
  <c r="C514" i="8"/>
  <c r="C496" i="8"/>
  <c r="C516" i="8" s="1"/>
  <c r="K362" i="8"/>
  <c r="J194" i="18"/>
  <c r="K654" i="20"/>
  <c r="M193" i="18"/>
  <c r="K643" i="20"/>
  <c r="H364" i="8"/>
  <c r="D496" i="8"/>
  <c r="D516" i="8" s="1"/>
  <c r="E943" i="20"/>
  <c r="M1435" i="16"/>
  <c r="D1436" i="16"/>
  <c r="D1438" i="16" s="1"/>
  <c r="D1439" i="16" s="1"/>
  <c r="F1435" i="16"/>
  <c r="F1436" i="16" s="1"/>
  <c r="O202" i="11" l="1"/>
  <c r="BX116" i="9"/>
  <c r="BX117" i="9" s="1"/>
  <c r="H685" i="16"/>
  <c r="J60" i="3"/>
  <c r="J201" i="20"/>
  <c r="S197" i="14"/>
  <c r="AE123" i="1"/>
  <c r="N85" i="9"/>
  <c r="N193" i="11"/>
  <c r="X419" i="1"/>
  <c r="C48" i="21"/>
  <c r="G623" i="1"/>
  <c r="N62" i="9"/>
  <c r="E735" i="1"/>
  <c r="E736" i="1" s="1"/>
  <c r="R73" i="10"/>
  <c r="G373" i="1"/>
  <c r="G481" i="1"/>
  <c r="E592" i="1"/>
  <c r="E696" i="1" s="1"/>
  <c r="W252" i="17"/>
  <c r="R61" i="11"/>
  <c r="W199" i="17" s="1"/>
  <c r="G371" i="1"/>
  <c r="S65" i="10"/>
  <c r="D48" i="21" s="1"/>
  <c r="BU81" i="9"/>
  <c r="BU85" i="9" s="1"/>
  <c r="O223" i="10"/>
  <c r="O227" i="10" s="1"/>
  <c r="G73" i="20"/>
  <c r="BE232" i="10"/>
  <c r="CF31" i="11"/>
  <c r="E463" i="1"/>
  <c r="L412" i="1"/>
  <c r="L413" i="1" s="1"/>
  <c r="L426" i="1"/>
  <c r="L428" i="1" s="1"/>
  <c r="L623" i="1"/>
  <c r="D641" i="16"/>
  <c r="D644" i="16" s="1"/>
  <c r="M623" i="1"/>
  <c r="L126" i="3"/>
  <c r="L110" i="3" s="1"/>
  <c r="E649" i="16" s="1"/>
  <c r="H623" i="1"/>
  <c r="L703" i="1"/>
  <c r="G592" i="1"/>
  <c r="G593" i="1" s="1"/>
  <c r="L196" i="3"/>
  <c r="F49" i="16" s="1"/>
  <c r="E46" i="16"/>
  <c r="E457" i="1"/>
  <c r="W445" i="1"/>
  <c r="O420" i="1"/>
  <c r="O421" i="1" s="1"/>
  <c r="M180" i="3"/>
  <c r="M204" i="3" s="1"/>
  <c r="F683" i="16" s="1"/>
  <c r="O135" i="10"/>
  <c r="O135" i="11" s="1"/>
  <c r="L204" i="3"/>
  <c r="E683" i="16" s="1"/>
  <c r="K196" i="3"/>
  <c r="O133" i="11"/>
  <c r="W338" i="1"/>
  <c r="S47" i="14"/>
  <c r="Q58" i="9"/>
  <c r="C537" i="12" s="1"/>
  <c r="I537" i="12" s="1"/>
  <c r="O412" i="1"/>
  <c r="O413" i="1" s="1"/>
  <c r="O414" i="1" s="1"/>
  <c r="W442" i="1"/>
  <c r="O457" i="1"/>
  <c r="O466" i="1" s="1"/>
  <c r="O484" i="1" s="1"/>
  <c r="F33" i="18"/>
  <c r="G78" i="12"/>
  <c r="BH118" i="9"/>
  <c r="J206" i="3"/>
  <c r="C644" i="16"/>
  <c r="BI74" i="9"/>
  <c r="AT73" i="1"/>
  <c r="BI118" i="9"/>
  <c r="BI124" i="9"/>
  <c r="BI125" i="9" s="1"/>
  <c r="X338" i="1"/>
  <c r="W312" i="1"/>
  <c r="D507" i="1" s="1"/>
  <c r="G368" i="1"/>
  <c r="K346" i="1"/>
  <c r="J464" i="1"/>
  <c r="BE223" i="10"/>
  <c r="K204" i="3"/>
  <c r="D683" i="16" s="1"/>
  <c r="BE220" i="10"/>
  <c r="BE236" i="10" s="1"/>
  <c r="AF117" i="1"/>
  <c r="AP117" i="1" s="1"/>
  <c r="BJ122" i="9"/>
  <c r="L64" i="3"/>
  <c r="D266" i="12"/>
  <c r="D316" i="12" s="1"/>
  <c r="BX125" i="9"/>
  <c r="O119" i="10"/>
  <c r="BH124" i="9"/>
  <c r="BH125" i="9" s="1"/>
  <c r="O121" i="10"/>
  <c r="O110" i="10"/>
  <c r="BX120" i="9"/>
  <c r="N196" i="14"/>
  <c r="BH234" i="9"/>
  <c r="BE81" i="10"/>
  <c r="C509" i="8"/>
  <c r="CB114" i="9"/>
  <c r="Q63" i="9"/>
  <c r="BX123" i="9"/>
  <c r="O123" i="10"/>
  <c r="O128" i="10" s="1"/>
  <c r="CE31" i="11"/>
  <c r="Q22" i="14"/>
  <c r="G443" i="1"/>
  <c r="Y443" i="1" s="1"/>
  <c r="O97" i="11"/>
  <c r="P153" i="9"/>
  <c r="P156" i="9" s="1"/>
  <c r="W221" i="10"/>
  <c r="X221" i="10" s="1"/>
  <c r="Y221" i="10" s="1"/>
  <c r="Y262" i="10" s="1"/>
  <c r="C815" i="12"/>
  <c r="BU115" i="9"/>
  <c r="R5" i="10"/>
  <c r="W242" i="17" s="1"/>
  <c r="BJ116" i="9"/>
  <c r="BJ115" i="9" s="1"/>
  <c r="BL112" i="11" s="1"/>
  <c r="BL113" i="11" s="1"/>
  <c r="E75" i="20"/>
  <c r="E74" i="20" s="1"/>
  <c r="E418" i="1"/>
  <c r="E402" i="1"/>
  <c r="E447" i="1" s="1"/>
  <c r="W447" i="1" s="1"/>
  <c r="X404" i="1"/>
  <c r="E664" i="1" s="1"/>
  <c r="BJ119" i="9"/>
  <c r="BJ234" i="9" s="1"/>
  <c r="D604" i="1"/>
  <c r="H334" i="20" s="1"/>
  <c r="H347" i="20" s="1"/>
  <c r="CA228" i="9"/>
  <c r="CA230" i="9" s="1"/>
  <c r="AN10" i="1"/>
  <c r="J148" i="3"/>
  <c r="J150" i="3" s="1"/>
  <c r="J338" i="3" s="1"/>
  <c r="AE45" i="1"/>
  <c r="AE82" i="1" s="1"/>
  <c r="R224" i="14"/>
  <c r="R226" i="14" s="1"/>
  <c r="C511" i="8"/>
  <c r="H475" i="1"/>
  <c r="H484" i="1" s="1"/>
  <c r="G76" i="9"/>
  <c r="G83" i="9" s="1"/>
  <c r="E482" i="1"/>
  <c r="CA81" i="11"/>
  <c r="BY230" i="10"/>
  <c r="P146" i="11"/>
  <c r="P110" i="10"/>
  <c r="O116" i="10"/>
  <c r="K66" i="3"/>
  <c r="D709" i="16" s="1"/>
  <c r="BY231" i="10"/>
  <c r="M202" i="11"/>
  <c r="E478" i="1"/>
  <c r="O112" i="10"/>
  <c r="O113" i="10" s="1"/>
  <c r="BY234" i="10"/>
  <c r="O143" i="10"/>
  <c r="O145" i="10" s="1"/>
  <c r="O147" i="10" s="1"/>
  <c r="O150" i="10" s="1"/>
  <c r="O154" i="10" s="1"/>
  <c r="O181" i="10"/>
  <c r="BY280" i="9"/>
  <c r="CC286" i="9"/>
  <c r="CC303" i="9" s="1"/>
  <c r="O98" i="11"/>
  <c r="O96" i="11"/>
  <c r="J461" i="1"/>
  <c r="CB63" i="9"/>
  <c r="BS123" i="9"/>
  <c r="BZ235" i="10"/>
  <c r="BW240" i="9"/>
  <c r="BU241" i="9"/>
  <c r="J6" i="3"/>
  <c r="J7" i="3" s="1"/>
  <c r="BZ233" i="10"/>
  <c r="AL22" i="1"/>
  <c r="K444" i="1"/>
  <c r="K462" i="1" s="1"/>
  <c r="G21" i="3"/>
  <c r="T260" i="10"/>
  <c r="X336" i="1"/>
  <c r="V47" i="14"/>
  <c r="J273" i="12"/>
  <c r="F513" i="12" s="1"/>
  <c r="J213" i="12"/>
  <c r="R29" i="10"/>
  <c r="W366" i="1"/>
  <c r="D509" i="1" s="1"/>
  <c r="R8" i="10"/>
  <c r="W246" i="17" s="1"/>
  <c r="H339" i="1"/>
  <c r="H341" i="1" s="1"/>
  <c r="H404" i="1" s="1"/>
  <c r="BF223" i="10"/>
  <c r="R7" i="11"/>
  <c r="W192" i="17" s="1"/>
  <c r="CC61" i="9"/>
  <c r="J483" i="1"/>
  <c r="CB82" i="9"/>
  <c r="V245" i="14"/>
  <c r="CC76" i="9"/>
  <c r="BX87" i="9"/>
  <c r="CB88" i="9" s="1"/>
  <c r="J268" i="12"/>
  <c r="J269" i="12" s="1"/>
  <c r="R259" i="10"/>
  <c r="R263" i="10" s="1"/>
  <c r="R189" i="10" s="1"/>
  <c r="H146" i="3"/>
  <c r="AP34" i="1"/>
  <c r="BH74" i="9"/>
  <c r="T273" i="9"/>
  <c r="BL74" i="9"/>
  <c r="M64" i="11"/>
  <c r="G292" i="1"/>
  <c r="CA304" i="9"/>
  <c r="H93" i="3"/>
  <c r="BH87" i="9"/>
  <c r="M153" i="9"/>
  <c r="U80" i="17"/>
  <c r="J258" i="3"/>
  <c r="J260" i="3" s="1"/>
  <c r="J340" i="3" s="1"/>
  <c r="BG119" i="9"/>
  <c r="BG118" i="9" s="1"/>
  <c r="I258" i="3"/>
  <c r="I260" i="3" s="1"/>
  <c r="J61" i="3"/>
  <c r="G403" i="1"/>
  <c r="G75" i="20" s="1"/>
  <c r="AF403" i="1"/>
  <c r="J465" i="1"/>
  <c r="BU240" i="9"/>
  <c r="CF64" i="11"/>
  <c r="AH22" i="11"/>
  <c r="AH23" i="11" s="1"/>
  <c r="BZ232" i="10"/>
  <c r="T196" i="14"/>
  <c r="J463" i="1"/>
  <c r="BU242" i="9"/>
  <c r="S80" i="14"/>
  <c r="BG122" i="9"/>
  <c r="AF115" i="1"/>
  <c r="AP115" i="1" s="1"/>
  <c r="S196" i="14"/>
  <c r="BY232" i="10"/>
  <c r="O153" i="9"/>
  <c r="G70" i="9"/>
  <c r="H74" i="9" s="1"/>
  <c r="BU238" i="9"/>
  <c r="BD104" i="11"/>
  <c r="BO21" i="11"/>
  <c r="BO82" i="10"/>
  <c r="E408" i="1"/>
  <c r="E413" i="1" s="1"/>
  <c r="J414" i="1" s="1"/>
  <c r="O64" i="11"/>
  <c r="BN81" i="10"/>
  <c r="BR82" i="10" s="1"/>
  <c r="O68" i="11"/>
  <c r="W403" i="1"/>
  <c r="W420" i="1" s="1"/>
  <c r="E702" i="1"/>
  <c r="E707" i="1" s="1"/>
  <c r="C35" i="21"/>
  <c r="O59" i="11"/>
  <c r="BW74" i="9"/>
  <c r="S71" i="14"/>
  <c r="E421" i="1"/>
  <c r="BL64" i="11"/>
  <c r="BT116" i="9"/>
  <c r="BT118" i="9" s="1"/>
  <c r="BT120" i="9"/>
  <c r="BV63" i="9"/>
  <c r="BM104" i="11"/>
  <c r="BV22" i="11"/>
  <c r="BV23" i="11" s="1"/>
  <c r="BH223" i="10"/>
  <c r="D682" i="16"/>
  <c r="O79" i="10"/>
  <c r="L702" i="1"/>
  <c r="BW104" i="11"/>
  <c r="BE74" i="9"/>
  <c r="BL66" i="11"/>
  <c r="G576" i="1"/>
  <c r="G582" i="1" s="1"/>
  <c r="G597" i="1" s="1"/>
  <c r="H694" i="1" s="1"/>
  <c r="E392" i="1"/>
  <c r="W392" i="1" s="1"/>
  <c r="BW81" i="11"/>
  <c r="BY103" i="9"/>
  <c r="L104" i="3"/>
  <c r="BW65" i="11"/>
  <c r="CC55" i="10"/>
  <c r="CC59" i="10" s="1"/>
  <c r="BL65" i="11"/>
  <c r="BX114" i="9"/>
  <c r="BS233" i="10"/>
  <c r="BP81" i="11"/>
  <c r="C682" i="16"/>
  <c r="BR81" i="9"/>
  <c r="BR85" i="9" s="1"/>
  <c r="BY101" i="9"/>
  <c r="AF24" i="1"/>
  <c r="AP24" i="1" s="1"/>
  <c r="CF21" i="11"/>
  <c r="BH220" i="10"/>
  <c r="BH222" i="10" s="1"/>
  <c r="BH237" i="10" s="1"/>
  <c r="BX235" i="10"/>
  <c r="H466" i="1"/>
  <c r="K104" i="3"/>
  <c r="O82" i="9"/>
  <c r="U196" i="17"/>
  <c r="P21" i="11"/>
  <c r="BU300" i="9"/>
  <c r="BX313" i="9" s="1"/>
  <c r="BX314" i="9" s="1"/>
  <c r="M155" i="9"/>
  <c r="M149" i="11" s="1"/>
  <c r="N82" i="9"/>
  <c r="BY105" i="10"/>
  <c r="T217" i="11"/>
  <c r="W429" i="1"/>
  <c r="AL16" i="1"/>
  <c r="R43" i="11"/>
  <c r="BG220" i="10"/>
  <c r="BG222" i="10" s="1"/>
  <c r="BG237" i="10" s="1"/>
  <c r="BX63" i="9"/>
  <c r="I45" i="3"/>
  <c r="W191" i="17"/>
  <c r="AM22" i="11"/>
  <c r="AM23" i="11" s="1"/>
  <c r="L134" i="11"/>
  <c r="J339" i="1"/>
  <c r="J341" i="1" s="1"/>
  <c r="V243" i="14"/>
  <c r="G71" i="20"/>
  <c r="AM110" i="1"/>
  <c r="AN107" i="1" s="1"/>
  <c r="P132" i="9"/>
  <c r="R32" i="11"/>
  <c r="W81" i="17"/>
  <c r="J64" i="3"/>
  <c r="CB296" i="10"/>
  <c r="AM101" i="1"/>
  <c r="AN97" i="1" s="1"/>
  <c r="AV97" i="1" s="1"/>
  <c r="BG223" i="10"/>
  <c r="CE54" i="11"/>
  <c r="CE81" i="11" s="1"/>
  <c r="W443" i="1"/>
  <c r="CC279" i="10"/>
  <c r="CC296" i="10" s="1"/>
  <c r="BY95" i="10"/>
  <c r="V191" i="14"/>
  <c r="G290" i="1"/>
  <c r="L107" i="3"/>
  <c r="L108" i="3" s="1"/>
  <c r="BY100" i="10"/>
  <c r="N88" i="9"/>
  <c r="BG233" i="10"/>
  <c r="E461" i="1"/>
  <c r="G70" i="20"/>
  <c r="J368" i="1"/>
  <c r="J704" i="1"/>
  <c r="BY98" i="10"/>
  <c r="BW63" i="9"/>
  <c r="I42" i="3"/>
  <c r="K64" i="3"/>
  <c r="BF233" i="10"/>
  <c r="S262" i="14"/>
  <c r="D22" i="11"/>
  <c r="BU231" i="9"/>
  <c r="BW114" i="9"/>
  <c r="M55" i="11"/>
  <c r="F339" i="1"/>
  <c r="X339" i="1" s="1"/>
  <c r="E508" i="1" s="1"/>
  <c r="J316" i="12"/>
  <c r="BH233" i="10"/>
  <c r="D416" i="1"/>
  <c r="D474" i="1" s="1"/>
  <c r="D475" i="1" s="1"/>
  <c r="D484" i="1" s="1"/>
  <c r="N80" i="11"/>
  <c r="L408" i="1"/>
  <c r="BT125" i="9"/>
  <c r="BY109" i="9"/>
  <c r="J107" i="3"/>
  <c r="J108" i="3" s="1"/>
  <c r="G317" i="1"/>
  <c r="C709" i="16"/>
  <c r="BS116" i="9"/>
  <c r="BS118" i="9" s="1"/>
  <c r="M66" i="11"/>
  <c r="U21" i="14"/>
  <c r="C759" i="12" s="1"/>
  <c r="BX266" i="12"/>
  <c r="J499" i="12" s="1"/>
  <c r="BY102" i="9"/>
  <c r="D704" i="1"/>
  <c r="R47" i="10"/>
  <c r="L453" i="1"/>
  <c r="J300" i="3" s="1"/>
  <c r="J306" i="3" s="1"/>
  <c r="J308" i="3" s="1"/>
  <c r="J337" i="3" s="1"/>
  <c r="E729" i="1"/>
  <c r="F729" i="1" s="1"/>
  <c r="P417" i="1"/>
  <c r="M65" i="11"/>
  <c r="N448" i="1"/>
  <c r="W389" i="1"/>
  <c r="BS125" i="9"/>
  <c r="O132" i="11"/>
  <c r="Q121" i="10"/>
  <c r="R6" i="11"/>
  <c r="W190" i="17" s="1"/>
  <c r="BO83" i="10"/>
  <c r="Q223" i="10"/>
  <c r="Q227" i="10" s="1"/>
  <c r="F583" i="1"/>
  <c r="F582" i="1" s="1"/>
  <c r="F580" i="1" s="1"/>
  <c r="CC65" i="10"/>
  <c r="CC69" i="10" s="1"/>
  <c r="N407" i="1"/>
  <c r="N420" i="1" s="1"/>
  <c r="N421" i="1" s="1"/>
  <c r="CB284" i="9"/>
  <c r="E682" i="16"/>
  <c r="H130" i="12"/>
  <c r="D693" i="1"/>
  <c r="E693" i="1" s="1"/>
  <c r="BO220" i="10"/>
  <c r="BO236" i="10" s="1"/>
  <c r="L60" i="3"/>
  <c r="R196" i="14"/>
  <c r="R40" i="10"/>
  <c r="BW113" i="10"/>
  <c r="CA295" i="9"/>
  <c r="BF220" i="10"/>
  <c r="BF222" i="10" s="1"/>
  <c r="BF237" i="10" s="1"/>
  <c r="CC287" i="9"/>
  <c r="CC304" i="9" s="1"/>
  <c r="CC77" i="9"/>
  <c r="X342" i="1"/>
  <c r="L418" i="1"/>
  <c r="BX304" i="9"/>
  <c r="E361" i="3"/>
  <c r="F361" i="3" s="1"/>
  <c r="G361" i="3" s="1"/>
  <c r="CB231" i="9"/>
  <c r="U80" i="14"/>
  <c r="H693" i="1"/>
  <c r="N69" i="11"/>
  <c r="V447" i="1"/>
  <c r="K112" i="1"/>
  <c r="R80" i="14"/>
  <c r="Q120" i="11"/>
  <c r="U25" i="14" s="1"/>
  <c r="C546" i="12" s="1"/>
  <c r="I546" i="12" s="1"/>
  <c r="S104" i="14"/>
  <c r="Q196" i="14"/>
  <c r="K53" i="1"/>
  <c r="Q72" i="14"/>
  <c r="G417" i="1"/>
  <c r="G416" i="1" s="1"/>
  <c r="G474" i="1" s="1"/>
  <c r="U196" i="14"/>
  <c r="U151" i="11"/>
  <c r="V151" i="11" s="1"/>
  <c r="BY99" i="9"/>
  <c r="X236" i="14"/>
  <c r="U15" i="9"/>
  <c r="U66" i="9" s="1"/>
  <c r="U68" i="9" s="1"/>
  <c r="Z237" i="17" s="1"/>
  <c r="H169" i="3"/>
  <c r="U85" i="14"/>
  <c r="L135" i="11"/>
  <c r="M109" i="11"/>
  <c r="M112" i="11" s="1"/>
  <c r="M113" i="11" s="1"/>
  <c r="BY220" i="10"/>
  <c r="BY222" i="10" s="1"/>
  <c r="BY237" i="10" s="1"/>
  <c r="C694" i="16"/>
  <c r="C696" i="16" s="1"/>
  <c r="BX81" i="11"/>
  <c r="S136" i="11"/>
  <c r="G622" i="1"/>
  <c r="BK82" i="10"/>
  <c r="T66" i="9"/>
  <c r="T68" i="9" s="1"/>
  <c r="Y237" i="17" s="1"/>
  <c r="N589" i="1"/>
  <c r="K22" i="11"/>
  <c r="K23" i="11" s="1"/>
  <c r="X285" i="1"/>
  <c r="E506" i="1" s="1"/>
  <c r="T224" i="14"/>
  <c r="T226" i="14" s="1"/>
  <c r="E9" i="21"/>
  <c r="Y418" i="1"/>
  <c r="X423" i="1" s="1"/>
  <c r="Q165" i="11"/>
  <c r="U134" i="14" s="1"/>
  <c r="Q222" i="11"/>
  <c r="U201" i="14"/>
  <c r="U207" i="14" s="1"/>
  <c r="R117" i="11"/>
  <c r="AM52" i="1"/>
  <c r="T69" i="9"/>
  <c r="Y225" i="17" s="1"/>
  <c r="Q226" i="10"/>
  <c r="C1162" i="16" s="1"/>
  <c r="BX295" i="9"/>
  <c r="BX296" i="9" s="1"/>
  <c r="BK83" i="10"/>
  <c r="M85" i="9"/>
  <c r="M86" i="9" s="1"/>
  <c r="Q224" i="14"/>
  <c r="Q226" i="14" s="1"/>
  <c r="J22" i="11"/>
  <c r="J23" i="11" s="1"/>
  <c r="C664" i="16"/>
  <c r="M140" i="9"/>
  <c r="M136" i="11" s="1"/>
  <c r="AI21" i="11"/>
  <c r="BW283" i="10"/>
  <c r="BW300" i="10" s="1"/>
  <c r="U262" i="14"/>
  <c r="J114" i="9"/>
  <c r="W446" i="1"/>
  <c r="A9" i="2"/>
  <c r="S152" i="10"/>
  <c r="BK22" i="11"/>
  <c r="BK23" i="11" s="1"/>
  <c r="V83" i="14"/>
  <c r="S168" i="11"/>
  <c r="BY22" i="11"/>
  <c r="BY23" i="11" s="1"/>
  <c r="H78" i="12"/>
  <c r="Q22" i="11"/>
  <c r="Q23" i="11" s="1"/>
  <c r="D557" i="12"/>
  <c r="K21" i="11"/>
  <c r="BY233" i="10"/>
  <c r="V448" i="1"/>
  <c r="R211" i="14"/>
  <c r="O64" i="3"/>
  <c r="Q87" i="9"/>
  <c r="BU228" i="9"/>
  <c r="BU230" i="9" s="1"/>
  <c r="BU245" i="9" s="1"/>
  <c r="Q91" i="9"/>
  <c r="Q106" i="9" s="1"/>
  <c r="B15" i="21"/>
  <c r="B17" i="21" s="1"/>
  <c r="B19" i="21" s="1"/>
  <c r="C636" i="16"/>
  <c r="O154" i="3"/>
  <c r="P154" i="3" s="1"/>
  <c r="Q154" i="3" s="1"/>
  <c r="R154" i="3" s="1"/>
  <c r="S154" i="3" s="1"/>
  <c r="H51" i="12"/>
  <c r="F7" i="12" s="1"/>
  <c r="O156" i="14" s="1"/>
  <c r="F685" i="16"/>
  <c r="R71" i="14"/>
  <c r="W336" i="1"/>
  <c r="BO233" i="10"/>
  <c r="BC220" i="11"/>
  <c r="BC223" i="11" s="1"/>
  <c r="BC227" i="11" s="1"/>
  <c r="BC228" i="11" s="1"/>
  <c r="P77" i="3"/>
  <c r="P63" i="3" s="1"/>
  <c r="P64" i="3" s="1"/>
  <c r="I459" i="12"/>
  <c r="N155" i="9"/>
  <c r="K4" i="3"/>
  <c r="BM133" i="20" s="1"/>
  <c r="N202" i="11"/>
  <c r="K60" i="3"/>
  <c r="AE127" i="1"/>
  <c r="BL220" i="11"/>
  <c r="BL223" i="11" s="1"/>
  <c r="BL227" i="11" s="1"/>
  <c r="BL228" i="11" s="1"/>
  <c r="T11" i="10"/>
  <c r="Y248" i="17" s="1"/>
  <c r="U217" i="11"/>
  <c r="BY66" i="11"/>
  <c r="L4" i="3"/>
  <c r="D37" i="21"/>
  <c r="BO104" i="11"/>
  <c r="BA104" i="11"/>
  <c r="Q212" i="9"/>
  <c r="J243" i="3"/>
  <c r="J245" i="3" s="1"/>
  <c r="BO232" i="10"/>
  <c r="M4" i="3"/>
  <c r="E339" i="1"/>
  <c r="E341" i="1" s="1"/>
  <c r="X391" i="1"/>
  <c r="C675" i="16" s="1"/>
  <c r="CC65" i="11"/>
  <c r="C711" i="16"/>
  <c r="C667" i="16"/>
  <c r="CC227" i="10"/>
  <c r="CC231" i="10" s="1"/>
  <c r="I253" i="3"/>
  <c r="CC72" i="11"/>
  <c r="CC77" i="11" s="1"/>
  <c r="S10" i="11"/>
  <c r="X81" i="17" s="1"/>
  <c r="AZ104" i="11"/>
  <c r="L130" i="10"/>
  <c r="CB233" i="10"/>
  <c r="AY21" i="11"/>
  <c r="T10" i="10"/>
  <c r="Y244" i="17" s="1"/>
  <c r="C593" i="12"/>
  <c r="BY231" i="9"/>
  <c r="BY228" i="9"/>
  <c r="BY230" i="9" s="1"/>
  <c r="C665" i="16"/>
  <c r="H393" i="1"/>
  <c r="BX296" i="10"/>
  <c r="V118" i="14"/>
  <c r="E7" i="21"/>
  <c r="BB230" i="9"/>
  <c r="BB245" i="9" s="1"/>
  <c r="D36" i="21"/>
  <c r="Q21" i="11"/>
  <c r="S7" i="10"/>
  <c r="X245" i="17" s="1"/>
  <c r="X260" i="10"/>
  <c r="Y216" i="10"/>
  <c r="Y260" i="10" s="1"/>
  <c r="D706" i="1"/>
  <c r="D707" i="1" s="1"/>
  <c r="BC83" i="10"/>
  <c r="N59" i="11"/>
  <c r="R46" i="10"/>
  <c r="T48" i="9"/>
  <c r="AR22" i="11"/>
  <c r="AR23" i="11" s="1"/>
  <c r="E464" i="1"/>
  <c r="V260" i="10"/>
  <c r="AK21" i="11"/>
  <c r="CC306" i="10"/>
  <c r="AE53" i="1"/>
  <c r="BZ87" i="9"/>
  <c r="CD88" i="9" s="1"/>
  <c r="AO21" i="11"/>
  <c r="L128" i="10"/>
  <c r="L130" i="3"/>
  <c r="E691" i="16" s="1"/>
  <c r="X221" i="14"/>
  <c r="AN56" i="1"/>
  <c r="CB220" i="10"/>
  <c r="CB222" i="10" s="1"/>
  <c r="CB237" i="10" s="1"/>
  <c r="V201" i="17"/>
  <c r="V207" i="17" s="1"/>
  <c r="BI232" i="10"/>
  <c r="W260" i="10"/>
  <c r="BW290" i="9"/>
  <c r="BW289" i="9" s="1"/>
  <c r="BW306" i="9" s="1"/>
  <c r="U13" i="9"/>
  <c r="T12" i="10"/>
  <c r="Y247" i="17" s="1"/>
  <c r="BI233" i="10"/>
  <c r="R152" i="10"/>
  <c r="R153" i="10" s="1"/>
  <c r="BF104" i="11"/>
  <c r="BZ280" i="9"/>
  <c r="K81" i="9"/>
  <c r="K85" i="9" s="1"/>
  <c r="L86" i="9" s="1"/>
  <c r="R42" i="10"/>
  <c r="H608" i="1"/>
  <c r="BK220" i="11"/>
  <c r="BK223" i="11" s="1"/>
  <c r="BK227" i="11" s="1"/>
  <c r="BK228" i="11" s="1"/>
  <c r="O225" i="14"/>
  <c r="BI223" i="10"/>
  <c r="W248" i="14"/>
  <c r="W127" i="1"/>
  <c r="P167" i="10"/>
  <c r="P175" i="10" s="1"/>
  <c r="P174" i="11" s="1"/>
  <c r="T141" i="14" s="1"/>
  <c r="D420" i="1"/>
  <c r="D421" i="1" s="1"/>
  <c r="BH81" i="10"/>
  <c r="BL82" i="10" s="1"/>
  <c r="T52" i="9"/>
  <c r="BF21" i="11"/>
  <c r="V80" i="17"/>
  <c r="U260" i="10"/>
  <c r="BU22" i="11"/>
  <c r="BU23" i="11" s="1"/>
  <c r="R104" i="14"/>
  <c r="S11" i="11"/>
  <c r="S33" i="11" s="1"/>
  <c r="L482" i="1"/>
  <c r="W53" i="1"/>
  <c r="J475" i="1"/>
  <c r="N68" i="11"/>
  <c r="BX86" i="9"/>
  <c r="M420" i="1"/>
  <c r="M421" i="1" s="1"/>
  <c r="H53" i="16"/>
  <c r="F466" i="1"/>
  <c r="BZ85" i="9"/>
  <c r="CD86" i="9" s="1"/>
  <c r="D690" i="1"/>
  <c r="M690" i="1" s="1"/>
  <c r="D1008" i="16"/>
  <c r="D1012" i="16" s="1"/>
  <c r="H1013" i="16" s="1"/>
  <c r="J214" i="20"/>
  <c r="N276" i="20"/>
  <c r="P186" i="3"/>
  <c r="Q186" i="3" s="1"/>
  <c r="R186" i="3" s="1"/>
  <c r="S186" i="3" s="1"/>
  <c r="I53" i="16"/>
  <c r="J53" i="16" s="1"/>
  <c r="M223" i="14"/>
  <c r="BT21" i="11"/>
  <c r="BX22" i="11"/>
  <c r="BX23" i="11" s="1"/>
  <c r="F465" i="1"/>
  <c r="BW281" i="9"/>
  <c r="BE104" i="11"/>
  <c r="CC103" i="9"/>
  <c r="CA114" i="9"/>
  <c r="G53" i="16"/>
  <c r="BW120" i="9"/>
  <c r="BE81" i="9"/>
  <c r="BY63" i="9"/>
  <c r="BB104" i="11"/>
  <c r="P251" i="14"/>
  <c r="P253" i="14" s="1"/>
  <c r="L83" i="10"/>
  <c r="L81" i="10"/>
  <c r="BZ231" i="9"/>
  <c r="BZ228" i="9"/>
  <c r="BZ230" i="9" s="1"/>
  <c r="BZ245" i="9" s="1"/>
  <c r="J266" i="3"/>
  <c r="J267" i="3" s="1"/>
  <c r="W390" i="1"/>
  <c r="AN48" i="1"/>
  <c r="M466" i="1"/>
  <c r="M484" i="1" s="1"/>
  <c r="X244" i="17"/>
  <c r="S32" i="10"/>
  <c r="S28" i="10" s="1"/>
  <c r="S6" i="10" s="1"/>
  <c r="S47" i="10" s="1"/>
  <c r="F61" i="2"/>
  <c r="I59" i="2"/>
  <c r="P58" i="3"/>
  <c r="Q82" i="3"/>
  <c r="T212" i="10"/>
  <c r="T256" i="10" s="1"/>
  <c r="T151" i="10" s="1"/>
  <c r="T153" i="10" s="1"/>
  <c r="BO116" i="9"/>
  <c r="BO115" i="9" s="1"/>
  <c r="BQ112" i="11" s="1"/>
  <c r="BQ113" i="11" s="1"/>
  <c r="X366" i="1"/>
  <c r="E509" i="1" s="1"/>
  <c r="L124" i="10"/>
  <c r="S256" i="10"/>
  <c r="S151" i="10" s="1"/>
  <c r="R44" i="11"/>
  <c r="W247" i="14"/>
  <c r="Q186" i="11"/>
  <c r="U11" i="14" s="1"/>
  <c r="BW116" i="9"/>
  <c r="BW117" i="9" s="1"/>
  <c r="O218" i="11"/>
  <c r="O219" i="11" s="1"/>
  <c r="I306" i="3"/>
  <c r="I308" i="3" s="1"/>
  <c r="H180" i="12"/>
  <c r="H185" i="12" s="1"/>
  <c r="H186" i="12" s="1"/>
  <c r="J12" i="3"/>
  <c r="C266" i="12"/>
  <c r="C268" i="12" s="1"/>
  <c r="C269" i="12" s="1"/>
  <c r="J234" i="3"/>
  <c r="AM59" i="1"/>
  <c r="BW125" i="9"/>
  <c r="AE112" i="1"/>
  <c r="V195" i="14"/>
  <c r="W195" i="17"/>
  <c r="H26" i="9"/>
  <c r="H22" i="11"/>
  <c r="H23" i="11" s="1"/>
  <c r="BO119" i="9"/>
  <c r="BO234" i="9" s="1"/>
  <c r="BX104" i="11"/>
  <c r="BM74" i="9"/>
  <c r="K264" i="3"/>
  <c r="K266" i="3" s="1"/>
  <c r="P224" i="14"/>
  <c r="P226" i="14" s="1"/>
  <c r="O119" i="9"/>
  <c r="O173" i="9" s="1"/>
  <c r="Q132" i="11"/>
  <c r="BB81" i="10"/>
  <c r="BW21" i="11"/>
  <c r="Q133" i="11"/>
  <c r="Q138" i="11" s="1"/>
  <c r="BS114" i="9"/>
  <c r="M72" i="11"/>
  <c r="Q198" i="14" s="1"/>
  <c r="Q200" i="14" s="1"/>
  <c r="C580" i="12"/>
  <c r="C591" i="12" s="1"/>
  <c r="O128" i="9"/>
  <c r="O129" i="9" s="1"/>
  <c r="L464" i="1"/>
  <c r="C22" i="11"/>
  <c r="G339" i="1"/>
  <c r="G341" i="1" s="1"/>
  <c r="I61" i="9"/>
  <c r="J47" i="3"/>
  <c r="J49" i="3" s="1"/>
  <c r="J336" i="3" s="1"/>
  <c r="K16" i="3"/>
  <c r="M21" i="11"/>
  <c r="J113" i="3"/>
  <c r="J119" i="3" s="1"/>
  <c r="AF27" i="1" s="1"/>
  <c r="AP27" i="1" s="1"/>
  <c r="Q259" i="10"/>
  <c r="Q263" i="10" s="1"/>
  <c r="Q189" i="10" s="1"/>
  <c r="Q191" i="10" s="1"/>
  <c r="J61" i="9"/>
  <c r="P259" i="10"/>
  <c r="P263" i="10" s="1"/>
  <c r="P189" i="10" s="1"/>
  <c r="P185" i="11" s="1"/>
  <c r="V102" i="14"/>
  <c r="L136" i="11"/>
  <c r="L138" i="11" s="1"/>
  <c r="L131" i="9"/>
  <c r="L127" i="11" s="1"/>
  <c r="BL83" i="10"/>
  <c r="BL84" i="10" s="1"/>
  <c r="J81" i="9"/>
  <c r="J87" i="9" s="1"/>
  <c r="W86" i="17"/>
  <c r="J481" i="1"/>
  <c r="V134" i="14"/>
  <c r="P216" i="11"/>
  <c r="T106" i="14" s="1"/>
  <c r="BM81" i="9"/>
  <c r="BM85" i="9" s="1"/>
  <c r="BC104" i="11"/>
  <c r="L346" i="20"/>
  <c r="D878" i="20" s="1"/>
  <c r="P133" i="9"/>
  <c r="P134" i="9" s="1"/>
  <c r="P129" i="9"/>
  <c r="Q129" i="9" s="1"/>
  <c r="Q128" i="9" s="1"/>
  <c r="Q130" i="9" s="1"/>
  <c r="R226" i="3"/>
  <c r="R228" i="3" s="1"/>
  <c r="S224" i="3"/>
  <c r="S226" i="3" s="1"/>
  <c r="S228" i="3" s="1"/>
  <c r="K116" i="9"/>
  <c r="K122" i="9"/>
  <c r="K119" i="9"/>
  <c r="D656" i="16"/>
  <c r="L27" i="3"/>
  <c r="C700" i="16"/>
  <c r="C704" i="16" s="1"/>
  <c r="AF8" i="1"/>
  <c r="AP8" i="1" s="1"/>
  <c r="V224" i="14"/>
  <c r="V226" i="14" s="1"/>
  <c r="W224" i="17"/>
  <c r="W226" i="17" s="1"/>
  <c r="BL114" i="9"/>
  <c r="BL122" i="9"/>
  <c r="BL116" i="9"/>
  <c r="BL115" i="9" s="1"/>
  <c r="BN112" i="11" s="1"/>
  <c r="BN113" i="11" s="1"/>
  <c r="BL119" i="9"/>
  <c r="P116" i="10"/>
  <c r="U254" i="17"/>
  <c r="U260" i="17" s="1"/>
  <c r="CA271" i="10"/>
  <c r="CA303" i="10"/>
  <c r="AF118" i="1"/>
  <c r="J171" i="3"/>
  <c r="J173" i="3" s="1"/>
  <c r="J339" i="3" s="1"/>
  <c r="J169" i="3"/>
  <c r="T269" i="9"/>
  <c r="U222" i="9"/>
  <c r="S8" i="9"/>
  <c r="X219" i="17" s="1"/>
  <c r="X218" i="17"/>
  <c r="U224" i="17"/>
  <c r="U226" i="17" s="1"/>
  <c r="P87" i="9"/>
  <c r="P93" i="9"/>
  <c r="P85" i="9"/>
  <c r="S72" i="14"/>
  <c r="S199" i="14"/>
  <c r="O65" i="11"/>
  <c r="I62" i="9"/>
  <c r="H62" i="9"/>
  <c r="F26" i="9"/>
  <c r="F22" i="11"/>
  <c r="F23" i="11" s="1"/>
  <c r="N119" i="9"/>
  <c r="N117" i="9"/>
  <c r="CA220" i="10"/>
  <c r="CA222" i="10" s="1"/>
  <c r="CA237" i="10" s="1"/>
  <c r="CA223" i="10"/>
  <c r="O226" i="3"/>
  <c r="O228" i="3" s="1"/>
  <c r="J26" i="9"/>
  <c r="H61" i="9"/>
  <c r="N143" i="11"/>
  <c r="N145" i="11" s="1"/>
  <c r="N151" i="9"/>
  <c r="N153" i="9" s="1"/>
  <c r="N147" i="11" s="1"/>
  <c r="G390" i="1"/>
  <c r="G393" i="1" s="1"/>
  <c r="B543" i="12"/>
  <c r="H543" i="12" s="1"/>
  <c r="P226" i="3"/>
  <c r="P228" i="3" s="1"/>
  <c r="CA63" i="9"/>
  <c r="BP220" i="10"/>
  <c r="BP236" i="10" s="1"/>
  <c r="BD81" i="9"/>
  <c r="BD85" i="9" s="1"/>
  <c r="BH86" i="9" s="1"/>
  <c r="T254" i="14"/>
  <c r="T260" i="14" s="1"/>
  <c r="AF26" i="1"/>
  <c r="AP26" i="1" s="1"/>
  <c r="J117" i="3"/>
  <c r="BJ232" i="10"/>
  <c r="BJ223" i="10"/>
  <c r="BP232" i="10"/>
  <c r="P91" i="9"/>
  <c r="U189" i="17"/>
  <c r="R91" i="9"/>
  <c r="R82" i="9"/>
  <c r="Q30" i="11"/>
  <c r="K74" i="9"/>
  <c r="S45" i="10"/>
  <c r="O104" i="11"/>
  <c r="Q139" i="9"/>
  <c r="U161" i="10"/>
  <c r="U152" i="10" s="1"/>
  <c r="I376" i="12"/>
  <c r="BS376" i="12" s="1"/>
  <c r="E494" i="12" s="1"/>
  <c r="BY280" i="10"/>
  <c r="BY297" i="10" s="1"/>
  <c r="I609" i="1"/>
  <c r="I122" i="3"/>
  <c r="C37" i="16" s="1"/>
  <c r="J482" i="1"/>
  <c r="S44" i="10"/>
  <c r="G451" i="1"/>
  <c r="G460" i="1" s="1"/>
  <c r="P120" i="10"/>
  <c r="P121" i="10" s="1"/>
  <c r="S210" i="11"/>
  <c r="W102" i="14" s="1"/>
  <c r="CC59" i="9"/>
  <c r="CC63" i="9" s="1"/>
  <c r="K116" i="3"/>
  <c r="K117" i="3" s="1"/>
  <c r="R58" i="11"/>
  <c r="P117" i="10"/>
  <c r="BN104" i="11"/>
  <c r="BJ220" i="10"/>
  <c r="BJ222" i="10" s="1"/>
  <c r="BJ237" i="10" s="1"/>
  <c r="P41" i="11"/>
  <c r="V211" i="17"/>
  <c r="W83" i="17"/>
  <c r="V193" i="17"/>
  <c r="P149" i="11"/>
  <c r="Q155" i="9"/>
  <c r="BZ303" i="10"/>
  <c r="BZ271" i="10"/>
  <c r="D703" i="16"/>
  <c r="L158" i="3"/>
  <c r="J166" i="12"/>
  <c r="CF81" i="11"/>
  <c r="BL81" i="9"/>
  <c r="V86" i="14"/>
  <c r="Q85" i="9"/>
  <c r="V224" i="17"/>
  <c r="V226" i="17" s="1"/>
  <c r="W444" i="1"/>
  <c r="T189" i="14"/>
  <c r="D38" i="21"/>
  <c r="Q142" i="9"/>
  <c r="R92" i="9"/>
  <c r="BL104" i="11"/>
  <c r="L347" i="20"/>
  <c r="D879" i="20" s="1"/>
  <c r="BT87" i="9"/>
  <c r="BK64" i="11"/>
  <c r="BZ21" i="11"/>
  <c r="BX297" i="10"/>
  <c r="V264" i="14"/>
  <c r="W264" i="17"/>
  <c r="I76" i="9"/>
  <c r="I83" i="9" s="1"/>
  <c r="L269" i="3"/>
  <c r="E650" i="16" s="1"/>
  <c r="BD74" i="9"/>
  <c r="Q38" i="11"/>
  <c r="M194" i="20"/>
  <c r="C1393" i="16" s="1"/>
  <c r="BZ104" i="11"/>
  <c r="R48" i="11"/>
  <c r="E642" i="16"/>
  <c r="O22" i="11"/>
  <c r="O23" i="11" s="1"/>
  <c r="CD223" i="10"/>
  <c r="F484" i="1"/>
  <c r="B571" i="12"/>
  <c r="U73" i="17"/>
  <c r="BN22" i="11"/>
  <c r="BN23" i="11" s="1"/>
  <c r="G112" i="1"/>
  <c r="K111" i="3"/>
  <c r="D665" i="16" s="1"/>
  <c r="J480" i="1"/>
  <c r="BP233" i="10"/>
  <c r="Q226" i="3"/>
  <c r="Q228" i="3" s="1"/>
  <c r="U211" i="14"/>
  <c r="BZ223" i="10"/>
  <c r="BZ220" i="10"/>
  <c r="E480" i="1"/>
  <c r="I279" i="3"/>
  <c r="I304" i="3" s="1"/>
  <c r="S224" i="14"/>
  <c r="S226" i="14" s="1"/>
  <c r="O85" i="9"/>
  <c r="O87" i="9"/>
  <c r="F166" i="12"/>
  <c r="CB81" i="11"/>
  <c r="BZ230" i="10"/>
  <c r="BZ234" i="10"/>
  <c r="AS22" i="11"/>
  <c r="AS23" i="11" s="1"/>
  <c r="AS21" i="11"/>
  <c r="K426" i="1"/>
  <c r="K428" i="1" s="1"/>
  <c r="K430" i="1" s="1"/>
  <c r="M423" i="1"/>
  <c r="I599" i="1"/>
  <c r="M115" i="11"/>
  <c r="M221" i="11" s="1"/>
  <c r="M235" i="9"/>
  <c r="M173" i="9"/>
  <c r="M181" i="9" s="1"/>
  <c r="M174" i="11" s="1"/>
  <c r="Q141" i="14" s="1"/>
  <c r="Q227" i="14"/>
  <c r="M234" i="9"/>
  <c r="M193" i="9"/>
  <c r="D37" i="12"/>
  <c r="D39" i="12" s="1"/>
  <c r="D41" i="12" s="1"/>
  <c r="Q26" i="14" s="1"/>
  <c r="M120" i="9"/>
  <c r="M124" i="9"/>
  <c r="M125" i="9" s="1"/>
  <c r="BR223" i="10"/>
  <c r="BR220" i="10"/>
  <c r="BR233" i="10"/>
  <c r="BR232" i="10"/>
  <c r="AL56" i="1"/>
  <c r="AL48" i="1"/>
  <c r="V52" i="1"/>
  <c r="J55" i="3"/>
  <c r="J56" i="3" s="1"/>
  <c r="M117" i="9"/>
  <c r="BU239" i="9"/>
  <c r="C15" i="21"/>
  <c r="C17" i="21" s="1"/>
  <c r="C19" i="21" s="1"/>
  <c r="Q82" i="9"/>
  <c r="R85" i="9"/>
  <c r="BK65" i="11"/>
  <c r="CC104" i="11"/>
  <c r="BW223" i="10"/>
  <c r="P58" i="9"/>
  <c r="P54" i="11" s="1"/>
  <c r="U197" i="17" s="1"/>
  <c r="D54" i="16"/>
  <c r="X389" i="1"/>
  <c r="C673" i="16" s="1"/>
  <c r="J249" i="3"/>
  <c r="J256" i="3" s="1"/>
  <c r="Q104" i="14"/>
  <c r="V210" i="14"/>
  <c r="AC257" i="10"/>
  <c r="E54" i="16"/>
  <c r="G64" i="12"/>
  <c r="D157" i="14" s="1"/>
  <c r="BJ87" i="9"/>
  <c r="CC81" i="9"/>
  <c r="CC87" i="9" s="1"/>
  <c r="U71" i="14"/>
  <c r="T47" i="14"/>
  <c r="R465" i="4"/>
  <c r="BK236" i="10"/>
  <c r="BK222" i="10"/>
  <c r="BK237" i="10" s="1"/>
  <c r="K445" i="1"/>
  <c r="L369" i="1"/>
  <c r="L371" i="1" s="1"/>
  <c r="K373" i="1"/>
  <c r="K371" i="1"/>
  <c r="K10" i="3"/>
  <c r="D664" i="16" s="1"/>
  <c r="L36" i="3"/>
  <c r="O146" i="11"/>
  <c r="O155" i="9"/>
  <c r="O149" i="11" s="1"/>
  <c r="BM21" i="11"/>
  <c r="BM22" i="11"/>
  <c r="BM23" i="11" s="1"/>
  <c r="AN16" i="1"/>
  <c r="V124" i="1"/>
  <c r="V106" i="1"/>
  <c r="I68" i="3"/>
  <c r="L295" i="3"/>
  <c r="K270" i="3"/>
  <c r="D666" i="16" s="1"/>
  <c r="S269" i="9"/>
  <c r="S270" i="9" s="1"/>
  <c r="S274" i="9" s="1"/>
  <c r="M25" i="3"/>
  <c r="E640" i="16"/>
  <c r="BX82" i="9"/>
  <c r="G69" i="9"/>
  <c r="K225" i="14" s="1"/>
  <c r="CD21" i="11"/>
  <c r="X312" i="1"/>
  <c r="E507" i="1" s="1"/>
  <c r="F55" i="2"/>
  <c r="F60" i="2" s="1"/>
  <c r="J448" i="1"/>
  <c r="Q135" i="10"/>
  <c r="B582" i="12"/>
  <c r="V85" i="17"/>
  <c r="BR116" i="9"/>
  <c r="BR118" i="9" s="1"/>
  <c r="BR114" i="9"/>
  <c r="BR120" i="9"/>
  <c r="BR123" i="9"/>
  <c r="BR125" i="9"/>
  <c r="M128" i="9"/>
  <c r="M129" i="9" s="1"/>
  <c r="BW22" i="11"/>
  <c r="BW23" i="11" s="1"/>
  <c r="Q93" i="9"/>
  <c r="Q108" i="9" s="1"/>
  <c r="R93" i="9"/>
  <c r="Q92" i="9"/>
  <c r="Q107" i="9" s="1"/>
  <c r="BS351" i="12"/>
  <c r="E459" i="12" s="1"/>
  <c r="C544" i="12"/>
  <c r="I544" i="12" s="1"/>
  <c r="BY125" i="9"/>
  <c r="P63" i="9"/>
  <c r="J183" i="3"/>
  <c r="J184" i="3" s="1"/>
  <c r="S4" i="11"/>
  <c r="X79" i="17" s="1"/>
  <c r="X241" i="17"/>
  <c r="P82" i="9"/>
  <c r="BZ82" i="9"/>
  <c r="R35" i="11"/>
  <c r="CD271" i="10"/>
  <c r="CD305" i="10" s="1"/>
  <c r="G113" i="9"/>
  <c r="G122" i="9" s="1"/>
  <c r="K230" i="14" s="1"/>
  <c r="K239" i="14" s="1"/>
  <c r="Q117" i="10"/>
  <c r="CC78" i="9"/>
  <c r="F483" i="1"/>
  <c r="Q230" i="9"/>
  <c r="V235" i="17" s="1"/>
  <c r="E6" i="21"/>
  <c r="Y217" i="17"/>
  <c r="P37" i="11"/>
  <c r="C660" i="16"/>
  <c r="M119" i="10"/>
  <c r="M121" i="10"/>
  <c r="M143" i="10"/>
  <c r="Q39" i="14"/>
  <c r="Q47" i="14" s="1"/>
  <c r="M181" i="10"/>
  <c r="M112" i="10"/>
  <c r="M113" i="10" s="1"/>
  <c r="N110" i="10"/>
  <c r="M116" i="10"/>
  <c r="I163" i="3"/>
  <c r="I166" i="3"/>
  <c r="J163" i="3"/>
  <c r="K236" i="3"/>
  <c r="K238" i="3" s="1"/>
  <c r="L231" i="3"/>
  <c r="K240" i="3"/>
  <c r="W225" i="14"/>
  <c r="X225" i="17"/>
  <c r="D18" i="21"/>
  <c r="D690" i="16"/>
  <c r="L29" i="3"/>
  <c r="L342" i="1"/>
  <c r="E462" i="1"/>
  <c r="P117" i="9"/>
  <c r="P119" i="9"/>
  <c r="L452" i="1"/>
  <c r="L461" i="1" s="1"/>
  <c r="L317" i="1"/>
  <c r="L9" i="3"/>
  <c r="E648" i="16" s="1"/>
  <c r="U6" i="14"/>
  <c r="BG362" i="20"/>
  <c r="G4243" i="16"/>
  <c r="T423" i="4"/>
  <c r="S421" i="4"/>
  <c r="U477" i="4"/>
  <c r="H315" i="4"/>
  <c r="I625" i="4"/>
  <c r="F592" i="20"/>
  <c r="C597" i="20"/>
  <c r="P78" i="5"/>
  <c r="Q71" i="5"/>
  <c r="BJ22" i="11"/>
  <c r="BJ23" i="11" s="1"/>
  <c r="BJ21" i="11"/>
  <c r="BO220" i="11"/>
  <c r="BO223" i="11" s="1"/>
  <c r="BO227" i="11" s="1"/>
  <c r="BO228" i="11" s="1"/>
  <c r="BK104" i="11"/>
  <c r="AG22" i="11"/>
  <c r="AG23" i="11" s="1"/>
  <c r="AG21" i="11"/>
  <c r="BR104" i="11"/>
  <c r="W197" i="17"/>
  <c r="CD98" i="11"/>
  <c r="V199" i="17"/>
  <c r="AN22" i="11"/>
  <c r="AN23" i="11" s="1"/>
  <c r="AN21" i="11"/>
  <c r="BV65" i="11"/>
  <c r="CD97" i="11"/>
  <c r="BV97" i="11"/>
  <c r="CD99" i="11"/>
  <c r="BV99" i="11"/>
  <c r="BO72" i="11"/>
  <c r="BO75" i="11" s="1"/>
  <c r="BD82" i="11"/>
  <c r="BV94" i="11"/>
  <c r="BV98" i="11"/>
  <c r="BP220" i="11"/>
  <c r="BP223" i="11" s="1"/>
  <c r="BP227" i="11" s="1"/>
  <c r="BP228" i="11" s="1"/>
  <c r="BT220" i="11"/>
  <c r="BT223" i="11" s="1"/>
  <c r="BT227" i="11" s="1"/>
  <c r="BT228" i="11" s="1"/>
  <c r="E597" i="20"/>
  <c r="D596" i="20"/>
  <c r="D592" i="20"/>
  <c r="G597" i="20"/>
  <c r="G601" i="20" s="1"/>
  <c r="D595" i="20"/>
  <c r="J597" i="20"/>
  <c r="J601" i="20" s="1"/>
  <c r="H597" i="20"/>
  <c r="H601" i="20" s="1"/>
  <c r="I597" i="20"/>
  <c r="I601" i="20" s="1"/>
  <c r="F597" i="20"/>
  <c r="F601" i="20" s="1"/>
  <c r="BH98" i="11"/>
  <c r="BH97" i="11"/>
  <c r="AZ220" i="11"/>
  <c r="AZ223" i="11" s="1"/>
  <c r="AZ227" i="11" s="1"/>
  <c r="AZ228" i="11" s="1"/>
  <c r="BD220" i="11"/>
  <c r="BD223" i="11" s="1"/>
  <c r="BD227" i="11" s="1"/>
  <c r="BD228" i="11" s="1"/>
  <c r="C179" i="28"/>
  <c r="BK94" i="11"/>
  <c r="BG104" i="11"/>
  <c r="BG97" i="11"/>
  <c r="BG99" i="11"/>
  <c r="BG94" i="11"/>
  <c r="W188" i="17"/>
  <c r="W79" i="17"/>
  <c r="BW94" i="11"/>
  <c r="BS98" i="11"/>
  <c r="BN220" i="11"/>
  <c r="BN223" i="11" s="1"/>
  <c r="BN227" i="11" s="1"/>
  <c r="BN228" i="11" s="1"/>
  <c r="BS97" i="11"/>
  <c r="BH220" i="11"/>
  <c r="BH223" i="11" s="1"/>
  <c r="BH227" i="11" s="1"/>
  <c r="BH228" i="11" s="1"/>
  <c r="BR220" i="11"/>
  <c r="BR223" i="11" s="1"/>
  <c r="BR227" i="11" s="1"/>
  <c r="BR228" i="11" s="1"/>
  <c r="C98" i="22"/>
  <c r="C99" i="22" s="1"/>
  <c r="BU83" i="10"/>
  <c r="BI97" i="11"/>
  <c r="BL69" i="11"/>
  <c r="BS220" i="11"/>
  <c r="BS223" i="11" s="1"/>
  <c r="BS227" i="11" s="1"/>
  <c r="BS228" i="11" s="1"/>
  <c r="G6" i="22"/>
  <c r="F70" i="22"/>
  <c r="F92" i="22" s="1"/>
  <c r="H268" i="12"/>
  <c r="H166" i="12"/>
  <c r="H168" i="12" s="1"/>
  <c r="CD82" i="11"/>
  <c r="BS21" i="11"/>
  <c r="BS22" i="11"/>
  <c r="BS23" i="11" s="1"/>
  <c r="BE119" i="9"/>
  <c r="BE122" i="9"/>
  <c r="BE116" i="9"/>
  <c r="BE115" i="9" s="1"/>
  <c r="BG112" i="11" s="1"/>
  <c r="BG113" i="11" s="1"/>
  <c r="BG110" i="11"/>
  <c r="P107" i="9"/>
  <c r="CD81" i="11"/>
  <c r="CD64" i="11"/>
  <c r="J212" i="3"/>
  <c r="D57" i="16"/>
  <c r="M83" i="10"/>
  <c r="M81" i="10"/>
  <c r="J196" i="14"/>
  <c r="F21" i="11"/>
  <c r="BZ305" i="11"/>
  <c r="BX295" i="10"/>
  <c r="BY277" i="10"/>
  <c r="C60" i="22"/>
  <c r="BU235" i="10"/>
  <c r="CE93" i="11"/>
  <c r="H273" i="12"/>
  <c r="D513" i="12" s="1"/>
  <c r="BV69" i="11"/>
  <c r="BG220" i="11"/>
  <c r="BG223" i="11" s="1"/>
  <c r="BG227" i="11" s="1"/>
  <c r="BG228" i="11" s="1"/>
  <c r="N78" i="10"/>
  <c r="I146" i="3"/>
  <c r="D657" i="16"/>
  <c r="U74" i="17"/>
  <c r="CD307" i="11"/>
  <c r="BD116" i="9"/>
  <c r="BD115" i="9" s="1"/>
  <c r="BN124" i="9"/>
  <c r="BN125" i="9" s="1"/>
  <c r="P196" i="14"/>
  <c r="L21" i="11"/>
  <c r="BY123" i="9"/>
  <c r="BY281" i="9"/>
  <c r="CA116" i="11"/>
  <c r="E266" i="12"/>
  <c r="E273" i="12" s="1"/>
  <c r="BY116" i="9"/>
  <c r="BY117" i="9" s="1"/>
  <c r="BY114" i="9"/>
  <c r="BU310" i="9"/>
  <c r="BU278" i="9"/>
  <c r="G602" i="1"/>
  <c r="L706" i="1"/>
  <c r="L416" i="1"/>
  <c r="L474" i="1" s="1"/>
  <c r="L420" i="1"/>
  <c r="L421" i="1" s="1"/>
  <c r="AQ21" i="11"/>
  <c r="AQ22" i="11"/>
  <c r="AQ23" i="11" s="1"/>
  <c r="BJ83" i="10"/>
  <c r="BN84" i="10" s="1"/>
  <c r="BJ81" i="10"/>
  <c r="BT66" i="11"/>
  <c r="CB21" i="11"/>
  <c r="CB22" i="11"/>
  <c r="CB23" i="11" s="1"/>
  <c r="BJ220" i="11"/>
  <c r="BJ223" i="11" s="1"/>
  <c r="BJ227" i="11" s="1"/>
  <c r="BJ228" i="11" s="1"/>
  <c r="M78" i="10"/>
  <c r="I143" i="3"/>
  <c r="BD122" i="9"/>
  <c r="BP98" i="11"/>
  <c r="BH65" i="11"/>
  <c r="BS104" i="11"/>
  <c r="CD310" i="9"/>
  <c r="CD278" i="9"/>
  <c r="AP21" i="11"/>
  <c r="AP22" i="11"/>
  <c r="AP23" i="11" s="1"/>
  <c r="J421" i="1"/>
  <c r="J433" i="1"/>
  <c r="BL21" i="11"/>
  <c r="BL22" i="11"/>
  <c r="BL23" i="11" s="1"/>
  <c r="CF69" i="11"/>
  <c r="CD77" i="10"/>
  <c r="BB22" i="11"/>
  <c r="BB23" i="11" s="1"/>
  <c r="BB21" i="11"/>
  <c r="CA22" i="11"/>
  <c r="CA23" i="11" s="1"/>
  <c r="CA21" i="11"/>
  <c r="BI114" i="9"/>
  <c r="BC119" i="9"/>
  <c r="BC234" i="9" s="1"/>
  <c r="C166" i="12"/>
  <c r="C168" i="12" s="1"/>
  <c r="BI98" i="11"/>
  <c r="BM94" i="11"/>
  <c r="BY81" i="11"/>
  <c r="Q251" i="14"/>
  <c r="Q253" i="14" s="1"/>
  <c r="J112" i="1"/>
  <c r="BK81" i="11"/>
  <c r="BI104" i="11"/>
  <c r="BD119" i="9"/>
  <c r="BH121" i="9" s="1"/>
  <c r="K299" i="12"/>
  <c r="BV281" i="9"/>
  <c r="BV123" i="9"/>
  <c r="BV114" i="9"/>
  <c r="B266" i="12"/>
  <c r="BV120" i="9"/>
  <c r="BV116" i="9"/>
  <c r="BV117" i="9" s="1"/>
  <c r="N123" i="10"/>
  <c r="N128" i="10" s="1"/>
  <c r="N133" i="10"/>
  <c r="N133" i="11" s="1"/>
  <c r="CD228" i="9"/>
  <c r="AC261" i="9"/>
  <c r="BA22" i="11"/>
  <c r="BA23" i="11" s="1"/>
  <c r="BA21" i="11"/>
  <c r="BE21" i="11"/>
  <c r="BE22" i="11"/>
  <c r="BE23" i="11" s="1"/>
  <c r="BG22" i="11"/>
  <c r="BG23" i="11" s="1"/>
  <c r="BG21" i="11"/>
  <c r="AX21" i="11"/>
  <c r="AX22" i="11"/>
  <c r="AX23" i="11" s="1"/>
  <c r="BB232" i="10"/>
  <c r="BB233" i="10"/>
  <c r="BB223" i="10"/>
  <c r="BB220" i="10"/>
  <c r="AZ21" i="11"/>
  <c r="AZ22" i="11"/>
  <c r="AZ23" i="11" s="1"/>
  <c r="BM114" i="9"/>
  <c r="BM116" i="9"/>
  <c r="BM119" i="9"/>
  <c r="BM122" i="9"/>
  <c r="BO119" i="11" s="1"/>
  <c r="S223" i="9"/>
  <c r="S226" i="9" s="1"/>
  <c r="CC81" i="11"/>
  <c r="C993" i="12"/>
  <c r="BP94" i="11"/>
  <c r="M210" i="12"/>
  <c r="BP97" i="11"/>
  <c r="BP104" i="11"/>
  <c r="BW220" i="11"/>
  <c r="BW223" i="11" s="1"/>
  <c r="BW227" i="11" s="1"/>
  <c r="BW228" i="11" s="1"/>
  <c r="CA93" i="11"/>
  <c r="BK82" i="11"/>
  <c r="BH22" i="11"/>
  <c r="BH23" i="11" s="1"/>
  <c r="BF110" i="11"/>
  <c r="CD66" i="11"/>
  <c r="CB104" i="11"/>
  <c r="BV85" i="9"/>
  <c r="BV87" i="9"/>
  <c r="N83" i="10"/>
  <c r="R251" i="14"/>
  <c r="R253" i="14" s="1"/>
  <c r="N81" i="10"/>
  <c r="CC274" i="10"/>
  <c r="CC110" i="10"/>
  <c r="CC111" i="10"/>
  <c r="CC119" i="10"/>
  <c r="CC123" i="10"/>
  <c r="CC116" i="10"/>
  <c r="CC121" i="10"/>
  <c r="K114" i="9"/>
  <c r="J119" i="9"/>
  <c r="J122" i="9"/>
  <c r="N230" i="14" s="1"/>
  <c r="N239" i="14" s="1"/>
  <c r="BC21" i="11"/>
  <c r="BC22" i="11"/>
  <c r="BC23" i="11" s="1"/>
  <c r="K73" i="9"/>
  <c r="M128" i="3"/>
  <c r="F657" i="16" s="1"/>
  <c r="BI94" i="11"/>
  <c r="H213" i="12"/>
  <c r="BR213" i="12" s="1"/>
  <c r="D460" i="12" s="1"/>
  <c r="BT81" i="10"/>
  <c r="F614" i="1"/>
  <c r="J393" i="20" s="1"/>
  <c r="BW83" i="10"/>
  <c r="CA84" i="10" s="1"/>
  <c r="C650" i="16"/>
  <c r="C652" i="16" s="1"/>
  <c r="J271" i="3"/>
  <c r="BS223" i="10"/>
  <c r="BS220" i="10"/>
  <c r="CA305" i="9"/>
  <c r="CC308" i="11"/>
  <c r="CB288" i="9"/>
  <c r="AF22" i="11"/>
  <c r="AF23" i="11" s="1"/>
  <c r="AF21" i="11"/>
  <c r="BX303" i="9"/>
  <c r="BY286" i="9"/>
  <c r="F127" i="1"/>
  <c r="F112" i="1"/>
  <c r="AJ22" i="11"/>
  <c r="AJ23" i="11" s="1"/>
  <c r="AJ21" i="11"/>
  <c r="BR22" i="11"/>
  <c r="BR23" i="11" s="1"/>
  <c r="BR21" i="11"/>
  <c r="BV266" i="12"/>
  <c r="H499" i="12" s="1"/>
  <c r="H510" i="12" s="1"/>
  <c r="BH104" i="11"/>
  <c r="BX288" i="10"/>
  <c r="BO81" i="11"/>
  <c r="I70" i="9"/>
  <c r="J74" i="9" s="1"/>
  <c r="I69" i="9"/>
  <c r="I73" i="9" s="1"/>
  <c r="BW242" i="9"/>
  <c r="BW243" i="9"/>
  <c r="BW239" i="9"/>
  <c r="BW238" i="9"/>
  <c r="BD231" i="9"/>
  <c r="BD240" i="9"/>
  <c r="BD241" i="9"/>
  <c r="BD228" i="9"/>
  <c r="AL21" i="11"/>
  <c r="AL22" i="11"/>
  <c r="AL23" i="11" s="1"/>
  <c r="BN223" i="10"/>
  <c r="BN232" i="10"/>
  <c r="BN233" i="10"/>
  <c r="CB377" i="12"/>
  <c r="C996" i="12"/>
  <c r="K180" i="12"/>
  <c r="K185" i="12" s="1"/>
  <c r="K186" i="12" s="1"/>
  <c r="D674" i="20"/>
  <c r="R138" i="20"/>
  <c r="D1002" i="20" s="1"/>
  <c r="D1022" i="20" s="1"/>
  <c r="BV116" i="20"/>
  <c r="R136" i="20"/>
  <c r="D1000" i="20" s="1"/>
  <c r="D1020" i="20" s="1"/>
  <c r="D1027" i="20" s="1"/>
  <c r="BV114" i="20"/>
  <c r="C988" i="12"/>
  <c r="C995" i="12" s="1"/>
  <c r="K303" i="12"/>
  <c r="K307" i="12" s="1"/>
  <c r="J299" i="12"/>
  <c r="E989" i="12"/>
  <c r="H2278" i="16"/>
  <c r="F82" i="22" s="1"/>
  <c r="F93" i="22" s="1"/>
  <c r="H2280" i="16"/>
  <c r="F83" i="22" s="1"/>
  <c r="F98" i="22" s="1"/>
  <c r="H2282" i="16"/>
  <c r="F84" i="22" s="1"/>
  <c r="G40" i="22"/>
  <c r="H40" i="22" s="1"/>
  <c r="I40" i="22" s="1"/>
  <c r="E41" i="22"/>
  <c r="F38" i="7"/>
  <c r="F26" i="7" s="1"/>
  <c r="H45" i="22"/>
  <c r="I2275" i="16"/>
  <c r="J441" i="1"/>
  <c r="E575" i="1"/>
  <c r="J487" i="1"/>
  <c r="W375" i="1"/>
  <c r="W402" i="1" s="1"/>
  <c r="J701" i="1"/>
  <c r="D1557" i="16"/>
  <c r="D15" i="22"/>
  <c r="D1558" i="16" s="1"/>
  <c r="BL119" i="11"/>
  <c r="BI81" i="10"/>
  <c r="BI83" i="10"/>
  <c r="BI84" i="10" s="1"/>
  <c r="CC220" i="11"/>
  <c r="CC223" i="11" s="1"/>
  <c r="CC227" i="11" s="1"/>
  <c r="CC228" i="11" s="1"/>
  <c r="L570" i="4"/>
  <c r="L602" i="4" s="1"/>
  <c r="K602" i="4"/>
  <c r="M499" i="4"/>
  <c r="L597" i="4"/>
  <c r="Z139" i="17"/>
  <c r="F1037" i="16"/>
  <c r="CE281" i="11"/>
  <c r="CE315" i="11" s="1"/>
  <c r="CD116" i="11"/>
  <c r="BI120" i="11"/>
  <c r="BI121" i="11" s="1"/>
  <c r="I85" i="24"/>
  <c r="F2364" i="16"/>
  <c r="CA356" i="12"/>
  <c r="I905" i="12"/>
  <c r="D1063" i="20"/>
  <c r="D1053" i="20"/>
  <c r="D786" i="12"/>
  <c r="D787" i="12" s="1"/>
  <c r="C613" i="1"/>
  <c r="C614" i="1" s="1"/>
  <c r="G393" i="20" s="1"/>
  <c r="AB113" i="17"/>
  <c r="K558" i="4"/>
  <c r="Y113" i="17" s="1"/>
  <c r="BY72" i="11"/>
  <c r="BY75" i="11" s="1"/>
  <c r="BB232" i="11"/>
  <c r="BB236" i="11" s="1"/>
  <c r="BZ220" i="11"/>
  <c r="BZ223" i="11" s="1"/>
  <c r="BZ227" i="11" s="1"/>
  <c r="BZ228" i="11" s="1"/>
  <c r="BY65" i="11"/>
  <c r="BI116" i="11"/>
  <c r="BW121" i="11"/>
  <c r="E167" i="16"/>
  <c r="D195" i="16"/>
  <c r="BL72" i="11"/>
  <c r="BL77" i="11" s="1"/>
  <c r="CE69" i="11"/>
  <c r="BY116" i="11"/>
  <c r="M558" i="4"/>
  <c r="CC110" i="11"/>
  <c r="CF303" i="11"/>
  <c r="BY119" i="11"/>
  <c r="CD121" i="11"/>
  <c r="D986" i="12"/>
  <c r="D989" i="12" s="1"/>
  <c r="D912" i="12"/>
  <c r="E912" i="12" s="1"/>
  <c r="L958" i="12"/>
  <c r="K968" i="12"/>
  <c r="H884" i="12"/>
  <c r="I884" i="12" s="1"/>
  <c r="G499" i="12"/>
  <c r="G510" i="12" s="1"/>
  <c r="K190" i="12"/>
  <c r="BT94" i="11"/>
  <c r="CB220" i="11"/>
  <c r="CB223" i="11" s="1"/>
  <c r="CB227" i="11" s="1"/>
  <c r="CB228" i="11" s="1"/>
  <c r="BJ98" i="11"/>
  <c r="CD119" i="11"/>
  <c r="BJ68" i="11"/>
  <c r="CE314" i="11"/>
  <c r="CD112" i="11"/>
  <c r="CD113" i="11" s="1"/>
  <c r="CA97" i="11"/>
  <c r="AE269" i="11"/>
  <c r="BS94" i="11"/>
  <c r="BP82" i="11"/>
  <c r="BB77" i="11"/>
  <c r="BB78" i="11" s="1"/>
  <c r="CE220" i="11"/>
  <c r="CE223" i="11" s="1"/>
  <c r="CE227" i="11" s="1"/>
  <c r="CE228" i="11" s="1"/>
  <c r="BX220" i="11"/>
  <c r="BX223" i="11" s="1"/>
  <c r="BX227" i="11" s="1"/>
  <c r="BX228" i="11" s="1"/>
  <c r="BF220" i="11"/>
  <c r="BF223" i="11" s="1"/>
  <c r="BF227" i="11" s="1"/>
  <c r="BF228" i="11" s="1"/>
  <c r="J286" i="12"/>
  <c r="J289" i="12" s="1"/>
  <c r="J290" i="12" s="1"/>
  <c r="CA355" i="12"/>
  <c r="J175" i="12"/>
  <c r="J199" i="12" s="1"/>
  <c r="J201" i="12" s="1"/>
  <c r="D29" i="25"/>
  <c r="D31" i="25" s="1"/>
  <c r="D735" i="12"/>
  <c r="D947" i="12"/>
  <c r="Q378" i="12"/>
  <c r="CA378" i="12" s="1"/>
  <c r="C1637" i="16"/>
  <c r="D230" i="23"/>
  <c r="D239" i="23"/>
  <c r="C2132" i="16"/>
  <c r="E227" i="23"/>
  <c r="C2505" i="16" s="1"/>
  <c r="E230" i="23"/>
  <c r="E239" i="23"/>
  <c r="C2516" i="16" s="1"/>
  <c r="I190" i="20"/>
  <c r="J582" i="1"/>
  <c r="E597" i="1"/>
  <c r="F694" i="1" s="1"/>
  <c r="L87" i="9"/>
  <c r="M88" i="9" s="1"/>
  <c r="CC116" i="11"/>
  <c r="CA68" i="11"/>
  <c r="BW59" i="11"/>
  <c r="BE70" i="11"/>
  <c r="BG83" i="10"/>
  <c r="K476" i="4"/>
  <c r="BY305" i="10"/>
  <c r="O156" i="3"/>
  <c r="P156" i="3" s="1"/>
  <c r="Q156" i="3" s="1"/>
  <c r="R156" i="3" s="1"/>
  <c r="S156" i="3" s="1"/>
  <c r="G651" i="16"/>
  <c r="Y139" i="17"/>
  <c r="K53" i="3"/>
  <c r="K55" i="3" s="1"/>
  <c r="BJ64" i="11"/>
  <c r="BJ81" i="11"/>
  <c r="M82" i="9"/>
  <c r="CB281" i="11"/>
  <c r="CB315" i="11" s="1"/>
  <c r="CA81" i="10"/>
  <c r="CA82" i="10" s="1"/>
  <c r="CD104" i="11"/>
  <c r="BR83" i="10"/>
  <c r="BR84" i="10" s="1"/>
  <c r="CA220" i="11"/>
  <c r="CA223" i="11" s="1"/>
  <c r="CA227" i="11" s="1"/>
  <c r="CA228" i="11" s="1"/>
  <c r="CB83" i="10"/>
  <c r="CA232" i="10"/>
  <c r="BC81" i="9"/>
  <c r="BC87" i="9" s="1"/>
  <c r="BJ66" i="11"/>
  <c r="D1834" i="16"/>
  <c r="H1828" i="16"/>
  <c r="BC122" i="9"/>
  <c r="BE119" i="11" s="1"/>
  <c r="BG114" i="9"/>
  <c r="T7" i="9"/>
  <c r="X217" i="14"/>
  <c r="U12" i="9"/>
  <c r="Z217" i="17" s="1"/>
  <c r="W218" i="14"/>
  <c r="S32" i="9"/>
  <c r="U199" i="14"/>
  <c r="U72" i="14"/>
  <c r="M133" i="10"/>
  <c r="M132" i="11"/>
  <c r="M123" i="10"/>
  <c r="BN222" i="10"/>
  <c r="BN237" i="10" s="1"/>
  <c r="BN236" i="10"/>
  <c r="L111" i="3"/>
  <c r="E665" i="16" s="1"/>
  <c r="BT65" i="11"/>
  <c r="C2063" i="16"/>
  <c r="E1828" i="16"/>
  <c r="C1863" i="16" s="1"/>
  <c r="BV220" i="11"/>
  <c r="BV223" i="11" s="1"/>
  <c r="BV227" i="11" s="1"/>
  <c r="BV228" i="11" s="1"/>
  <c r="F1828" i="16"/>
  <c r="C2064" i="16"/>
  <c r="E2064" i="16" s="1"/>
  <c r="BP958" i="12"/>
  <c r="BQ959" i="12" s="1"/>
  <c r="BV104" i="11"/>
  <c r="CB70" i="11"/>
  <c r="BO114" i="9"/>
  <c r="BJ72" i="11"/>
  <c r="BJ77" i="11" s="1"/>
  <c r="BG74" i="9"/>
  <c r="BG82" i="10"/>
  <c r="D652" i="16"/>
  <c r="BQ81" i="10"/>
  <c r="BU82" i="10" s="1"/>
  <c r="BQ83" i="10"/>
  <c r="BI21" i="11"/>
  <c r="BI22" i="11"/>
  <c r="BI23" i="11" s="1"/>
  <c r="Q71" i="14"/>
  <c r="Q211" i="14"/>
  <c r="M59" i="11"/>
  <c r="P145" i="10"/>
  <c r="P147" i="10" s="1"/>
  <c r="P150" i="10" s="1"/>
  <c r="P155" i="10" s="1"/>
  <c r="P157" i="10" s="1"/>
  <c r="P143" i="11"/>
  <c r="I308" i="4"/>
  <c r="I310" i="4" s="1"/>
  <c r="D988" i="20"/>
  <c r="BO118" i="20"/>
  <c r="N124" i="20"/>
  <c r="N118" i="20"/>
  <c r="E31" i="24"/>
  <c r="F32" i="24" s="1"/>
  <c r="R118" i="20"/>
  <c r="BV118" i="20" s="1"/>
  <c r="C270" i="16"/>
  <c r="C272" i="16" s="1"/>
  <c r="R141" i="20"/>
  <c r="U377" i="12"/>
  <c r="K210" i="12"/>
  <c r="B531" i="12" s="1"/>
  <c r="BZ68" i="11"/>
  <c r="D614" i="1"/>
  <c r="H393" i="20" s="1"/>
  <c r="F286" i="12"/>
  <c r="F289" i="12" s="1"/>
  <c r="F290" i="12" s="1"/>
  <c r="K199" i="12"/>
  <c r="K201" i="12" s="1"/>
  <c r="CC94" i="11"/>
  <c r="BX66" i="11"/>
  <c r="BO69" i="11"/>
  <c r="R143" i="20"/>
  <c r="U379" i="12"/>
  <c r="E978" i="12"/>
  <c r="E981" i="12" s="1"/>
  <c r="L968" i="12"/>
  <c r="T405" i="12"/>
  <c r="T411" i="12" s="1"/>
  <c r="T412" i="12" s="1"/>
  <c r="CF117" i="11"/>
  <c r="CA94" i="11"/>
  <c r="BY99" i="11"/>
  <c r="BT99" i="11"/>
  <c r="CA99" i="11"/>
  <c r="B528" i="12"/>
  <c r="E1430" i="16"/>
  <c r="E1442" i="16" s="1"/>
  <c r="E1445" i="16" s="1"/>
  <c r="R142" i="20"/>
  <c r="U378" i="12"/>
  <c r="BT98" i="11"/>
  <c r="G316" i="12"/>
  <c r="R285" i="20"/>
  <c r="Q117" i="20"/>
  <c r="BU117" i="20" s="1"/>
  <c r="Q137" i="20"/>
  <c r="P117" i="20"/>
  <c r="P123" i="20" s="1"/>
  <c r="BN112" i="20"/>
  <c r="N134" i="20"/>
  <c r="BP97" i="20"/>
  <c r="BT97" i="20"/>
  <c r="B517" i="20"/>
  <c r="B529" i="20" s="1"/>
  <c r="B508" i="20"/>
  <c r="S396" i="20"/>
  <c r="G1653" i="16" s="1"/>
  <c r="J459" i="12"/>
  <c r="F1438" i="16"/>
  <c r="F1439" i="16" s="1"/>
  <c r="E1426" i="16"/>
  <c r="E28" i="24"/>
  <c r="F57" i="24" s="1"/>
  <c r="BR112" i="20"/>
  <c r="R126" i="20"/>
  <c r="BP126" i="20" s="1"/>
  <c r="E41" i="24"/>
  <c r="F42" i="24" s="1"/>
  <c r="BS113" i="20"/>
  <c r="D1006" i="20" s="1"/>
  <c r="D31" i="24"/>
  <c r="N126" i="20"/>
  <c r="O127" i="20"/>
  <c r="G1009" i="20"/>
  <c r="G1029" i="20" s="1"/>
  <c r="R113" i="20"/>
  <c r="R125" i="20"/>
  <c r="BP125" i="20" s="1"/>
  <c r="E36" i="24"/>
  <c r="F37" i="24" s="1"/>
  <c r="BR114" i="20"/>
  <c r="G1007" i="20"/>
  <c r="G1027" i="20" s="1"/>
  <c r="O135" i="20"/>
  <c r="R124" i="20"/>
  <c r="BP124" i="20" s="1"/>
  <c r="K115" i="20"/>
  <c r="N115" i="20" s="1"/>
  <c r="N113" i="20"/>
  <c r="N135" i="20" s="1"/>
  <c r="BQ115" i="20"/>
  <c r="U225" i="11"/>
  <c r="H85" i="24"/>
  <c r="K273" i="4"/>
  <c r="J272" i="4"/>
  <c r="I374" i="4"/>
  <c r="I177" i="4" s="1"/>
  <c r="I182" i="4" s="1"/>
  <c r="J598" i="4"/>
  <c r="V207" i="14"/>
  <c r="C792" i="12"/>
  <c r="C793" i="12" s="1"/>
  <c r="C796" i="12" s="1"/>
  <c r="J567" i="4"/>
  <c r="E487" i="4"/>
  <c r="W5" i="17"/>
  <c r="W6" i="17" s="1"/>
  <c r="E168" i="4"/>
  <c r="D239" i="4"/>
  <c r="G487" i="4"/>
  <c r="G486" i="4"/>
  <c r="I168" i="4"/>
  <c r="L172" i="4"/>
  <c r="H482" i="4"/>
  <c r="H34" i="4" s="1"/>
  <c r="K172" i="4"/>
  <c r="J176" i="4"/>
  <c r="J478" i="4"/>
  <c r="F168" i="4"/>
  <c r="K365" i="4"/>
  <c r="F302" i="4"/>
  <c r="I361" i="4"/>
  <c r="F253" i="4"/>
  <c r="F252" i="4" s="1"/>
  <c r="H435" i="4"/>
  <c r="H231" i="4" s="1"/>
  <c r="F182" i="4"/>
  <c r="J365" i="4"/>
  <c r="H8" i="5"/>
  <c r="H47" i="5" s="1"/>
  <c r="C515" i="16"/>
  <c r="F297" i="4"/>
  <c r="F298" i="4" s="1"/>
  <c r="V6" i="17"/>
  <c r="C366" i="16"/>
  <c r="C408" i="16" s="1"/>
  <c r="C410" i="16" s="1"/>
  <c r="I480" i="4"/>
  <c r="E11" i="22"/>
  <c r="E1567" i="16"/>
  <c r="E182" i="4"/>
  <c r="J479" i="4"/>
  <c r="J480" i="4" s="1"/>
  <c r="J476" i="4"/>
  <c r="K176" i="4"/>
  <c r="L364" i="4"/>
  <c r="K443" i="4"/>
  <c r="I5" i="5"/>
  <c r="BJ65" i="11"/>
  <c r="BF72" i="11"/>
  <c r="BF77" i="11" s="1"/>
  <c r="CC112" i="11"/>
  <c r="CC113" i="11" s="1"/>
  <c r="CA91" i="11"/>
  <c r="CC119" i="11"/>
  <c r="CF120" i="11"/>
  <c r="CF121" i="11" s="1"/>
  <c r="BJ69" i="11"/>
  <c r="CA72" i="11"/>
  <c r="CA77" i="11" s="1"/>
  <c r="CC121" i="11"/>
  <c r="BJ82" i="11"/>
  <c r="BF68" i="11"/>
  <c r="BY112" i="11"/>
  <c r="BY113" i="11" s="1"/>
  <c r="BX70" i="11"/>
  <c r="BO98" i="11"/>
  <c r="CC284" i="11"/>
  <c r="BO99" i="11"/>
  <c r="BO94" i="11"/>
  <c r="BO97" i="11"/>
  <c r="BW112" i="11"/>
  <c r="BW113" i="11" s="1"/>
  <c r="F387" i="4"/>
  <c r="H168" i="4"/>
  <c r="D40" i="16"/>
  <c r="H480" i="4"/>
  <c r="N343" i="4"/>
  <c r="N363" i="4" s="1"/>
  <c r="N381" i="4" s="1"/>
  <c r="N412" i="4" s="1"/>
  <c r="N420" i="4" s="1"/>
  <c r="N431" i="4" s="1"/>
  <c r="N446" i="4" s="1"/>
  <c r="N458" i="4" s="1"/>
  <c r="N498" i="4" s="1"/>
  <c r="N324" i="4"/>
  <c r="L190" i="20"/>
  <c r="P201" i="20" s="1"/>
  <c r="K432" i="12"/>
  <c r="E1425" i="16"/>
  <c r="F473" i="12"/>
  <c r="D1425" i="16"/>
  <c r="D34" i="25"/>
  <c r="D36" i="25" s="1"/>
  <c r="F178" i="12"/>
  <c r="F180" i="12" s="1"/>
  <c r="F185" i="12" s="1"/>
  <c r="F186" i="12" s="1"/>
  <c r="BP967" i="12"/>
  <c r="BQ968" i="12" s="1"/>
  <c r="CB379" i="12"/>
  <c r="E34" i="25"/>
  <c r="F35" i="25" s="1"/>
  <c r="D599" i="1"/>
  <c r="D696" i="1" s="1"/>
  <c r="G920" i="12"/>
  <c r="E932" i="12" s="1"/>
  <c r="H922" i="12"/>
  <c r="J432" i="12"/>
  <c r="CC367" i="12"/>
  <c r="U8" i="14"/>
  <c r="E29" i="25"/>
  <c r="F30" i="25" s="1"/>
  <c r="B735" i="12"/>
  <c r="B728" i="12"/>
  <c r="B730" i="12" s="1"/>
  <c r="E24" i="25"/>
  <c r="F25" i="25" s="1"/>
  <c r="G1010" i="12"/>
  <c r="G1017" i="12" s="1"/>
  <c r="N180" i="12"/>
  <c r="N185" i="12" s="1"/>
  <c r="N186" i="12" s="1"/>
  <c r="I383" i="12"/>
  <c r="K393" i="20"/>
  <c r="I597" i="4"/>
  <c r="G8" i="5"/>
  <c r="C344" i="16" s="1"/>
  <c r="E312" i="4"/>
  <c r="E240" i="4"/>
  <c r="P343" i="4"/>
  <c r="P363" i="4" s="1"/>
  <c r="P381" i="4" s="1"/>
  <c r="P412" i="4" s="1"/>
  <c r="P420" i="4" s="1"/>
  <c r="P431" i="4" s="1"/>
  <c r="P446" i="4" s="1"/>
  <c r="P458" i="4" s="1"/>
  <c r="P498" i="4" s="1"/>
  <c r="P324" i="4"/>
  <c r="G244" i="4"/>
  <c r="G387" i="4"/>
  <c r="G460" i="4"/>
  <c r="G491" i="4" s="1"/>
  <c r="J343" i="4"/>
  <c r="J363" i="4" s="1"/>
  <c r="J381" i="4" s="1"/>
  <c r="J412" i="4" s="1"/>
  <c r="J420" i="4" s="1"/>
  <c r="J431" i="4" s="1"/>
  <c r="J446" i="4" s="1"/>
  <c r="J458" i="4" s="1"/>
  <c r="J498" i="4" s="1"/>
  <c r="J324" i="4"/>
  <c r="J164" i="4"/>
  <c r="L343" i="4"/>
  <c r="L363" i="4" s="1"/>
  <c r="L381" i="4" s="1"/>
  <c r="L412" i="4" s="1"/>
  <c r="L420" i="4" s="1"/>
  <c r="L431" i="4" s="1"/>
  <c r="L446" i="4" s="1"/>
  <c r="L458" i="4" s="1"/>
  <c r="L498" i="4" s="1"/>
  <c r="L324" i="4"/>
  <c r="S346" i="20"/>
  <c r="D341" i="16"/>
  <c r="D342" i="16" s="1"/>
  <c r="K252" i="16"/>
  <c r="K242" i="16"/>
  <c r="N367" i="12"/>
  <c r="BS382" i="12"/>
  <c r="E464" i="12" s="1"/>
  <c r="E168" i="12"/>
  <c r="BV214" i="12"/>
  <c r="H465" i="12" s="1"/>
  <c r="C283" i="18"/>
  <c r="F39" i="16"/>
  <c r="BW85" i="9"/>
  <c r="CA86" i="9" s="1"/>
  <c r="BW87" i="9"/>
  <c r="CA88" i="9" s="1"/>
  <c r="BN74" i="9"/>
  <c r="BN81" i="9"/>
  <c r="BR74" i="9"/>
  <c r="Q72" i="13"/>
  <c r="H81" i="9"/>
  <c r="BN120" i="11"/>
  <c r="BN121" i="11" s="1"/>
  <c r="I119" i="9"/>
  <c r="I122" i="9"/>
  <c r="M230" i="14" s="1"/>
  <c r="M239" i="14" s="1"/>
  <c r="I116" i="9"/>
  <c r="BN234" i="9"/>
  <c r="BR121" i="9"/>
  <c r="BN116" i="11"/>
  <c r="BP119" i="11"/>
  <c r="BZ284" i="11"/>
  <c r="BN231" i="11"/>
  <c r="BM82" i="11"/>
  <c r="M69" i="11"/>
  <c r="CD63" i="9"/>
  <c r="BZ63" i="9"/>
  <c r="BZ125" i="9"/>
  <c r="CD114" i="9"/>
  <c r="BZ116" i="9"/>
  <c r="BZ117" i="9" s="1"/>
  <c r="BZ120" i="9"/>
  <c r="F266" i="12"/>
  <c r="CB121" i="11"/>
  <c r="BZ123" i="9"/>
  <c r="BZ281" i="9"/>
  <c r="BZ114" i="9"/>
  <c r="BP112" i="11"/>
  <c r="BP113" i="11" s="1"/>
  <c r="BP110" i="11"/>
  <c r="BZ112" i="11"/>
  <c r="BZ113" i="11" s="1"/>
  <c r="CA82" i="9"/>
  <c r="BN118" i="9"/>
  <c r="G166" i="12"/>
  <c r="CC64" i="11"/>
  <c r="CC82" i="11"/>
  <c r="CE82" i="11"/>
  <c r="G605" i="4"/>
  <c r="G624" i="4" s="1"/>
  <c r="G295" i="4" s="1"/>
  <c r="U109" i="17" s="1"/>
  <c r="H605" i="4"/>
  <c r="G527" i="4"/>
  <c r="BQ81" i="11"/>
  <c r="BQ82" i="11"/>
  <c r="BQ65" i="11"/>
  <c r="BW116" i="11"/>
  <c r="BW284" i="11"/>
  <c r="BW119" i="11"/>
  <c r="L358" i="8"/>
  <c r="E324" i="16"/>
  <c r="F324" i="16" s="1"/>
  <c r="F329" i="16" s="1"/>
  <c r="F331" i="16" s="1"/>
  <c r="F291" i="16"/>
  <c r="H291" i="16"/>
  <c r="G72" i="16"/>
  <c r="F1135" i="16"/>
  <c r="F1136" i="16" s="1"/>
  <c r="C164" i="16"/>
  <c r="E1438" i="16"/>
  <c r="E1439" i="16" s="1"/>
  <c r="L454" i="1"/>
  <c r="E732" i="1"/>
  <c r="L406" i="1"/>
  <c r="L456" i="1" s="1"/>
  <c r="BQ72" i="11"/>
  <c r="BO74" i="9"/>
  <c r="CE21" i="11"/>
  <c r="CE22" i="11"/>
  <c r="CE23" i="11" s="1"/>
  <c r="BT220" i="10"/>
  <c r="BT233" i="10"/>
  <c r="BT232" i="10"/>
  <c r="BT223" i="10"/>
  <c r="M26" i="9"/>
  <c r="M22" i="11"/>
  <c r="M23" i="11" s="1"/>
  <c r="CF284" i="11"/>
  <c r="CF112" i="11"/>
  <c r="CF113" i="11" s="1"/>
  <c r="BK87" i="9"/>
  <c r="BK82" i="9"/>
  <c r="BK85" i="9"/>
  <c r="O131" i="9"/>
  <c r="O136" i="11"/>
  <c r="BW230" i="10"/>
  <c r="BW234" i="10"/>
  <c r="BW233" i="10"/>
  <c r="BW237" i="10"/>
  <c r="BW231" i="10"/>
  <c r="BW235" i="10"/>
  <c r="BW236" i="10"/>
  <c r="CC100" i="10"/>
  <c r="CC105" i="10"/>
  <c r="CC99" i="10"/>
  <c r="BS74" i="9"/>
  <c r="BX298" i="10"/>
  <c r="BY281" i="10"/>
  <c r="BY298" i="10" s="1"/>
  <c r="N139" i="9"/>
  <c r="N130" i="9" s="1"/>
  <c r="N140" i="9"/>
  <c r="N128" i="9"/>
  <c r="M187" i="3"/>
  <c r="F54" i="16"/>
  <c r="V421" i="1"/>
  <c r="Y408" i="1"/>
  <c r="D42" i="16"/>
  <c r="D43" i="16" s="1"/>
  <c r="F467" i="16"/>
  <c r="G501" i="16" s="1"/>
  <c r="C4" i="16"/>
  <c r="G38" i="7"/>
  <c r="H203" i="20"/>
  <c r="H199" i="12"/>
  <c r="CF116" i="11"/>
  <c r="R68" i="10"/>
  <c r="R60" i="11"/>
  <c r="W211" i="17" s="1"/>
  <c r="R72" i="10"/>
  <c r="K196" i="14"/>
  <c r="G21" i="11"/>
  <c r="BV244" i="9"/>
  <c r="BV241" i="9"/>
  <c r="BV242" i="9"/>
  <c r="BV243" i="9"/>
  <c r="BV240" i="9"/>
  <c r="BV239" i="9"/>
  <c r="BV238" i="9"/>
  <c r="BV245" i="9"/>
  <c r="BX228" i="9"/>
  <c r="BX241" i="9"/>
  <c r="BX240" i="9"/>
  <c r="BX231" i="9"/>
  <c r="L196" i="14"/>
  <c r="H21" i="11"/>
  <c r="BW232" i="10"/>
  <c r="CA312" i="9"/>
  <c r="CA280" i="9"/>
  <c r="BK74" i="9"/>
  <c r="BX312" i="9"/>
  <c r="BX280" i="9"/>
  <c r="BX290" i="9" s="1"/>
  <c r="CC114" i="9"/>
  <c r="CC123" i="9"/>
  <c r="CC116" i="9"/>
  <c r="CC117" i="9" s="1"/>
  <c r="CC281" i="9"/>
  <c r="I266" i="12"/>
  <c r="CC99" i="9"/>
  <c r="CC109" i="9"/>
  <c r="E26" i="9"/>
  <c r="E22" i="11"/>
  <c r="E23" i="11" s="1"/>
  <c r="R128" i="9"/>
  <c r="R131" i="9"/>
  <c r="L288" i="1"/>
  <c r="E713" i="1" s="1"/>
  <c r="K442" i="1"/>
  <c r="K402" i="1"/>
  <c r="X288" i="1"/>
  <c r="K290" i="1"/>
  <c r="K292" i="1"/>
  <c r="R134" i="20"/>
  <c r="F2109" i="16"/>
  <c r="G2109" i="16" s="1"/>
  <c r="CC101" i="9"/>
  <c r="G213" i="12"/>
  <c r="C46" i="21"/>
  <c r="Q184" i="11"/>
  <c r="U22" i="14" s="1"/>
  <c r="CC95" i="10"/>
  <c r="E701" i="16"/>
  <c r="CA82" i="11"/>
  <c r="CA120" i="11"/>
  <c r="BZ288" i="10"/>
  <c r="G268" i="12"/>
  <c r="BU268" i="12" s="1"/>
  <c r="G482" i="12" s="1"/>
  <c r="U401" i="12"/>
  <c r="BQ376" i="12"/>
  <c r="C494" i="12" s="1"/>
  <c r="CA281" i="11"/>
  <c r="CA315" i="11" s="1"/>
  <c r="CD220" i="11"/>
  <c r="CD223" i="11" s="1"/>
  <c r="CD227" i="11" s="1"/>
  <c r="CD228" i="11" s="1"/>
  <c r="CE91" i="11"/>
  <c r="BG82" i="11"/>
  <c r="N150" i="10"/>
  <c r="G26" i="9"/>
  <c r="G22" i="11"/>
  <c r="G23" i="11" s="1"/>
  <c r="BQ21" i="11"/>
  <c r="BQ22" i="11"/>
  <c r="BQ23" i="11" s="1"/>
  <c r="CC22" i="11"/>
  <c r="CC23" i="11" s="1"/>
  <c r="CC21" i="11"/>
  <c r="AV21" i="11"/>
  <c r="AV22" i="11"/>
  <c r="AV23" i="11" s="1"/>
  <c r="BX238" i="9"/>
  <c r="BX242" i="9"/>
  <c r="BX243" i="9"/>
  <c r="BP21" i="11"/>
  <c r="BP22" i="11"/>
  <c r="BP23" i="11" s="1"/>
  <c r="AW21" i="11"/>
  <c r="AW22" i="11"/>
  <c r="AW23" i="11" s="1"/>
  <c r="H112" i="1"/>
  <c r="H127" i="1"/>
  <c r="CC303" i="10"/>
  <c r="CC271" i="10"/>
  <c r="CD110" i="11"/>
  <c r="M269" i="3"/>
  <c r="N293" i="3"/>
  <c r="L112" i="1"/>
  <c r="L53" i="1"/>
  <c r="L127" i="1"/>
  <c r="BF70" i="11"/>
  <c r="BF66" i="11"/>
  <c r="C7" i="16"/>
  <c r="H45" i="3"/>
  <c r="H21" i="3"/>
  <c r="I21" i="3"/>
  <c r="C27" i="16" s="1"/>
  <c r="H42" i="3"/>
  <c r="CB66" i="11"/>
  <c r="CF70" i="11"/>
  <c r="CE59" i="11"/>
  <c r="Q106" i="14"/>
  <c r="M218" i="11"/>
  <c r="E287" i="4"/>
  <c r="E225" i="4"/>
  <c r="V261" i="10"/>
  <c r="W217" i="10"/>
  <c r="W261" i="10" s="1"/>
  <c r="BU293" i="10"/>
  <c r="BX306" i="10" s="1"/>
  <c r="BU288" i="10"/>
  <c r="BW289" i="10" s="1"/>
  <c r="CB295" i="10"/>
  <c r="CC277" i="10"/>
  <c r="CB288" i="10"/>
  <c r="CE70" i="11"/>
  <c r="CA66" i="11"/>
  <c r="CB312" i="9"/>
  <c r="CB280" i="9"/>
  <c r="N64" i="3"/>
  <c r="BT74" i="9"/>
  <c r="BP74" i="9"/>
  <c r="BP81" i="9"/>
  <c r="BI236" i="10"/>
  <c r="BI222" i="10"/>
  <c r="BI237" i="10" s="1"/>
  <c r="U214" i="10"/>
  <c r="V214" i="10" s="1"/>
  <c r="T210" i="11"/>
  <c r="X102" i="14" s="1"/>
  <c r="T258" i="10"/>
  <c r="T213" i="10"/>
  <c r="S215" i="10"/>
  <c r="S218" i="10" s="1"/>
  <c r="D465" i="1"/>
  <c r="D457" i="1"/>
  <c r="D466" i="1" s="1"/>
  <c r="O286" i="3"/>
  <c r="P286" i="3" s="1"/>
  <c r="Q286" i="3" s="1"/>
  <c r="R286" i="3" s="1"/>
  <c r="S286" i="3" s="1"/>
  <c r="G658" i="16"/>
  <c r="D39" i="21"/>
  <c r="S48" i="10"/>
  <c r="S62" i="10"/>
  <c r="S64" i="10" s="1"/>
  <c r="S13" i="11"/>
  <c r="W263" i="14"/>
  <c r="T13" i="10"/>
  <c r="BY85" i="9"/>
  <c r="BY87" i="9"/>
  <c r="BV66" i="11"/>
  <c r="BV81" i="11"/>
  <c r="BU81" i="11"/>
  <c r="BY82" i="11"/>
  <c r="CB230" i="10"/>
  <c r="CB235" i="10"/>
  <c r="CB231" i="10"/>
  <c r="CB234" i="10"/>
  <c r="BM83" i="10"/>
  <c r="BM81" i="10"/>
  <c r="BV64" i="11"/>
  <c r="R188" i="10"/>
  <c r="R197" i="10" s="1"/>
  <c r="CA231" i="11"/>
  <c r="CD232" i="11" s="1"/>
  <c r="D554" i="12"/>
  <c r="S50" i="9"/>
  <c r="BI72" i="11"/>
  <c r="E150" i="18"/>
  <c r="D149" i="18"/>
  <c r="CC220" i="10"/>
  <c r="CC223" i="10"/>
  <c r="BY104" i="11"/>
  <c r="BY97" i="11"/>
  <c r="T4" i="10"/>
  <c r="Y241" i="17" s="1"/>
  <c r="W241" i="14"/>
  <c r="CB232" i="10"/>
  <c r="L5" i="3"/>
  <c r="M5" i="3" s="1"/>
  <c r="N5" i="3" s="1"/>
  <c r="O5" i="3" s="1"/>
  <c r="P5" i="3" s="1"/>
  <c r="Q5" i="3" s="1"/>
  <c r="R5" i="3" s="1"/>
  <c r="S5" i="3" s="1"/>
  <c r="BM110" i="11"/>
  <c r="BK116" i="9"/>
  <c r="BK115" i="9" s="1"/>
  <c r="BK119" i="9"/>
  <c r="BK114" i="9"/>
  <c r="BK122" i="9"/>
  <c r="BX305" i="9"/>
  <c r="BZ308" i="11"/>
  <c r="S212" i="11"/>
  <c r="T224" i="9"/>
  <c r="BX234" i="10"/>
  <c r="BX230" i="10"/>
  <c r="CC98" i="10"/>
  <c r="BU66" i="11"/>
  <c r="CE307" i="11"/>
  <c r="BJ99" i="11"/>
  <c r="BJ104" i="11"/>
  <c r="BJ97" i="11"/>
  <c r="BN94" i="11"/>
  <c r="CD222" i="10"/>
  <c r="AC259" i="10"/>
  <c r="N66" i="11"/>
  <c r="N72" i="11"/>
  <c r="O80" i="11"/>
  <c r="N55" i="11"/>
  <c r="R197" i="14"/>
  <c r="N109" i="11"/>
  <c r="O110" i="11" s="1"/>
  <c r="N65" i="11"/>
  <c r="BD83" i="10"/>
  <c r="BH84" i="10" s="1"/>
  <c r="BD81" i="10"/>
  <c r="BZ110" i="11"/>
  <c r="CD275" i="10"/>
  <c r="CD227" i="10"/>
  <c r="X418" i="1"/>
  <c r="W423" i="1" s="1"/>
  <c r="E662" i="1"/>
  <c r="P389" i="1"/>
  <c r="C586" i="1"/>
  <c r="G406" i="1"/>
  <c r="G456" i="1" s="1"/>
  <c r="G703" i="1"/>
  <c r="L195" i="18"/>
  <c r="C439" i="16"/>
  <c r="C441" i="16" s="1"/>
  <c r="CC104" i="9"/>
  <c r="G273" i="12"/>
  <c r="C513" i="12" s="1"/>
  <c r="R132" i="10"/>
  <c r="R123" i="10" s="1"/>
  <c r="J457" i="1"/>
  <c r="Q197" i="10"/>
  <c r="M64" i="3"/>
  <c r="CA104" i="11"/>
  <c r="I1453" i="16"/>
  <c r="I1454" i="16" s="1"/>
  <c r="K1452" i="16"/>
  <c r="BV121" i="11"/>
  <c r="E598" i="1"/>
  <c r="F695" i="1" s="1"/>
  <c r="D867" i="20"/>
  <c r="C405" i="16"/>
  <c r="C407" i="16" s="1"/>
  <c r="CF104" i="11"/>
  <c r="CC298" i="11"/>
  <c r="P193" i="11"/>
  <c r="BZ121" i="11"/>
  <c r="BX298" i="11"/>
  <c r="CC281" i="11"/>
  <c r="CC283" i="11" s="1"/>
  <c r="G463" i="12"/>
  <c r="BV72" i="11"/>
  <c r="BV77" i="11" s="1"/>
  <c r="BZ119" i="11"/>
  <c r="BV119" i="11"/>
  <c r="T401" i="12"/>
  <c r="E1134" i="16"/>
  <c r="E1136" i="16" s="1"/>
  <c r="E1139" i="16" s="1"/>
  <c r="W101" i="17"/>
  <c r="BF81" i="10"/>
  <c r="BF83" i="10"/>
  <c r="BY70" i="11"/>
  <c r="V104" i="17"/>
  <c r="V103" i="17" s="1"/>
  <c r="BD22" i="11"/>
  <c r="BD23" i="11" s="1"/>
  <c r="BD21" i="11"/>
  <c r="S196" i="9"/>
  <c r="R186" i="11"/>
  <c r="V11" i="14" s="1"/>
  <c r="R21" i="10"/>
  <c r="V249" i="14"/>
  <c r="R22" i="10"/>
  <c r="R23" i="10" s="1"/>
  <c r="BT104" i="11"/>
  <c r="BT97" i="11"/>
  <c r="AT21" i="11"/>
  <c r="AT22" i="11"/>
  <c r="AT23" i="11" s="1"/>
  <c r="AE22" i="11"/>
  <c r="AE23" i="11" s="1"/>
  <c r="AE21" i="11"/>
  <c r="BC233" i="10"/>
  <c r="BC220" i="10"/>
  <c r="BC232" i="10"/>
  <c r="BC223" i="10"/>
  <c r="CA234" i="10"/>
  <c r="CA235" i="10"/>
  <c r="CA233" i="10"/>
  <c r="CA230" i="10"/>
  <c r="CA231" i="10"/>
  <c r="S20" i="10"/>
  <c r="X249" i="17" s="1"/>
  <c r="N218" i="11"/>
  <c r="R106" i="14"/>
  <c r="BG66" i="11"/>
  <c r="BG70" i="11"/>
  <c r="BQ223" i="10"/>
  <c r="BQ232" i="10"/>
  <c r="BQ233" i="10"/>
  <c r="BQ220" i="10"/>
  <c r="BM233" i="10"/>
  <c r="BM220" i="10"/>
  <c r="BM232" i="10"/>
  <c r="BM223" i="10"/>
  <c r="N64" i="11"/>
  <c r="BV233" i="10"/>
  <c r="BV236" i="10"/>
  <c r="BV234" i="10"/>
  <c r="BV235" i="10"/>
  <c r="BV230" i="10"/>
  <c r="BV231" i="10"/>
  <c r="BV232" i="10"/>
  <c r="BV237" i="10"/>
  <c r="BY288" i="9"/>
  <c r="AS107" i="1"/>
  <c r="AS113" i="1" s="1"/>
  <c r="AT112" i="1" s="1"/>
  <c r="AE102" i="1"/>
  <c r="BU230" i="10"/>
  <c r="BU234" i="10"/>
  <c r="F225" i="4"/>
  <c r="F287" i="4"/>
  <c r="N284" i="3"/>
  <c r="F642" i="16"/>
  <c r="BO65" i="11"/>
  <c r="BS69" i="11"/>
  <c r="I196" i="14"/>
  <c r="E21" i="11"/>
  <c r="Q119" i="10"/>
  <c r="U39" i="14"/>
  <c r="U47" i="14" s="1"/>
  <c r="C538" i="12"/>
  <c r="Q123" i="10"/>
  <c r="Q110" i="10"/>
  <c r="B50" i="21"/>
  <c r="Q116" i="10"/>
  <c r="Q143" i="10"/>
  <c r="Q112" i="10"/>
  <c r="R110" i="10"/>
  <c r="BP116" i="9"/>
  <c r="BP115" i="9" s="1"/>
  <c r="BP114" i="9"/>
  <c r="BP119" i="9"/>
  <c r="BT114" i="9"/>
  <c r="BP122" i="9"/>
  <c r="BP81" i="10"/>
  <c r="BP82" i="10" s="1"/>
  <c r="BP83" i="10"/>
  <c r="U272" i="9"/>
  <c r="V225" i="9"/>
  <c r="V272" i="9" s="1"/>
  <c r="BG87" i="9"/>
  <c r="BG85" i="9"/>
  <c r="BC232" i="11"/>
  <c r="BC235" i="11" s="1"/>
  <c r="CF220" i="11"/>
  <c r="CF223" i="11" s="1"/>
  <c r="CF227" i="11" s="1"/>
  <c r="CF228" i="11" s="1"/>
  <c r="CF277" i="11"/>
  <c r="CA313" i="11"/>
  <c r="BW72" i="11"/>
  <c r="BW64" i="11"/>
  <c r="BZ232" i="11"/>
  <c r="BZ235" i="11" s="1"/>
  <c r="BY83" i="10"/>
  <c r="BY81" i="10"/>
  <c r="CA65" i="11"/>
  <c r="J14" i="5"/>
  <c r="X15" i="17"/>
  <c r="X13" i="17"/>
  <c r="B446" i="20"/>
  <c r="B458" i="20" s="1"/>
  <c r="B469" i="20" s="1"/>
  <c r="BN17" i="20"/>
  <c r="BJ17" i="20"/>
  <c r="D1442" i="16"/>
  <c r="D1445" i="16" s="1"/>
  <c r="G598" i="1"/>
  <c r="H695" i="1" s="1"/>
  <c r="F986" i="12"/>
  <c r="G986" i="12" s="1"/>
  <c r="G993" i="12" s="1"/>
  <c r="D972" i="12"/>
  <c r="CB378" i="12"/>
  <c r="X417" i="12"/>
  <c r="X418" i="12" s="1"/>
  <c r="G867" i="20"/>
  <c r="O373" i="12"/>
  <c r="BY373" i="12" s="1"/>
  <c r="E609" i="1"/>
  <c r="C730" i="12"/>
  <c r="V8" i="14"/>
  <c r="W428" i="12"/>
  <c r="K232" i="20"/>
  <c r="G588" i="1"/>
  <c r="G594" i="1"/>
  <c r="G625" i="1" s="1"/>
  <c r="C479" i="12"/>
  <c r="U26" i="14"/>
  <c r="BT376" i="12"/>
  <c r="F494" i="12" s="1"/>
  <c r="F491" i="12"/>
  <c r="BR376" i="12"/>
  <c r="D494" i="12" s="1"/>
  <c r="H518" i="12"/>
  <c r="F678" i="20"/>
  <c r="V412" i="12"/>
  <c r="W390" i="12"/>
  <c r="Q357" i="12"/>
  <c r="Q359" i="12" s="1"/>
  <c r="Q367" i="12" s="1"/>
  <c r="Q373" i="12" s="1"/>
  <c r="J863" i="12"/>
  <c r="W216" i="14"/>
  <c r="S51" i="9"/>
  <c r="J126" i="12"/>
  <c r="W18" i="14" s="1"/>
  <c r="E1043" i="12"/>
  <c r="T6" i="9"/>
  <c r="Y216" i="17" s="1"/>
  <c r="E641" i="1"/>
  <c r="C653" i="1"/>
  <c r="BY268" i="12"/>
  <c r="H607" i="1"/>
  <c r="C934" i="12"/>
  <c r="C939" i="12" s="1"/>
  <c r="C942" i="12" s="1"/>
  <c r="D942" i="12" s="1"/>
  <c r="V426" i="12"/>
  <c r="V428" i="12" s="1"/>
  <c r="I880" i="12"/>
  <c r="H886" i="12"/>
  <c r="I886" i="12" s="1"/>
  <c r="U405" i="12"/>
  <c r="Q379" i="12"/>
  <c r="CA379" i="12" s="1"/>
  <c r="C933" i="12"/>
  <c r="F933" i="12" s="1"/>
  <c r="C932" i="12"/>
  <c r="S44" i="9"/>
  <c r="E962" i="20"/>
  <c r="R367" i="12"/>
  <c r="B491" i="12"/>
  <c r="B168" i="12"/>
  <c r="V5" i="14"/>
  <c r="V6" i="14" s="1"/>
  <c r="D807" i="12"/>
  <c r="G79" i="12"/>
  <c r="H79" i="12" s="1"/>
  <c r="I79" i="12" s="1"/>
  <c r="J79" i="12" s="1"/>
  <c r="K79" i="12" s="1"/>
  <c r="L79" i="12" s="1"/>
  <c r="M79" i="12" s="1"/>
  <c r="N79" i="12" s="1"/>
  <c r="O79" i="12" s="1"/>
  <c r="P79" i="12" s="1"/>
  <c r="Q79" i="12" s="1"/>
  <c r="F80" i="12"/>
  <c r="Q324" i="20"/>
  <c r="Q352" i="20" s="1"/>
  <c r="Q358" i="20" s="1"/>
  <c r="G892" i="20" s="1"/>
  <c r="Q327" i="20"/>
  <c r="CA235" i="9"/>
  <c r="BY235" i="9"/>
  <c r="CB235" i="9"/>
  <c r="CD65" i="11"/>
  <c r="CD72" i="11"/>
  <c r="BY282" i="9"/>
  <c r="BY300" i="9" s="1"/>
  <c r="BV68" i="11"/>
  <c r="BA77" i="11"/>
  <c r="BA78" i="11" s="1"/>
  <c r="BN82" i="11"/>
  <c r="AZ75" i="11"/>
  <c r="AZ76" i="11" s="1"/>
  <c r="AZ77" i="11"/>
  <c r="AZ78" i="11" s="1"/>
  <c r="K646" i="20"/>
  <c r="G678" i="20"/>
  <c r="E1040" i="16"/>
  <c r="F1040" i="16"/>
  <c r="M209" i="4"/>
  <c r="M232" i="4"/>
  <c r="M456" i="4"/>
  <c r="C307" i="18"/>
  <c r="S109" i="20"/>
  <c r="BS109" i="20" s="1"/>
  <c r="BP91" i="20"/>
  <c r="L286" i="20"/>
  <c r="R321" i="20"/>
  <c r="J646" i="20"/>
  <c r="J651" i="20" s="1"/>
  <c r="L47" i="3"/>
  <c r="L49" i="3" s="1"/>
  <c r="L336" i="3" s="1"/>
  <c r="AP461" i="20"/>
  <c r="D937" i="1"/>
  <c r="E678" i="20"/>
  <c r="P137" i="20"/>
  <c r="R133" i="20"/>
  <c r="J117" i="20"/>
  <c r="M395" i="20"/>
  <c r="D578" i="20"/>
  <c r="L277" i="20"/>
  <c r="F666" i="20"/>
  <c r="H346" i="20"/>
  <c r="T5" i="9"/>
  <c r="K392" i="20"/>
  <c r="V26" i="14"/>
  <c r="F1068" i="16"/>
  <c r="D491" i="12"/>
  <c r="H615" i="1"/>
  <c r="H620" i="1" s="1"/>
  <c r="Q620" i="1" s="1"/>
  <c r="K458" i="12"/>
  <c r="P615" i="1"/>
  <c r="X214" i="14"/>
  <c r="C867" i="20"/>
  <c r="E1017" i="16"/>
  <c r="K125" i="12"/>
  <c r="W7" i="14"/>
  <c r="W8" i="14" s="1"/>
  <c r="O146" i="20"/>
  <c r="B479" i="12"/>
  <c r="U4" i="9"/>
  <c r="G475" i="12"/>
  <c r="G479" i="12" s="1"/>
  <c r="D675" i="20"/>
  <c r="D678" i="20" s="1"/>
  <c r="F927" i="20"/>
  <c r="O346" i="20"/>
  <c r="G878" i="20" s="1"/>
  <c r="G935" i="1"/>
  <c r="C294" i="18"/>
  <c r="G1445" i="16"/>
  <c r="BC75" i="11"/>
  <c r="BC76" i="11" s="1"/>
  <c r="BC77" i="11"/>
  <c r="BC78" i="11" s="1"/>
  <c r="AZ236" i="11"/>
  <c r="AZ235" i="11"/>
  <c r="AZ238" i="11"/>
  <c r="AZ239" i="11"/>
  <c r="BW281" i="11"/>
  <c r="BW313" i="11"/>
  <c r="BW317" i="11" s="1"/>
  <c r="BX65" i="11"/>
  <c r="BX72" i="11"/>
  <c r="BX69" i="11"/>
  <c r="BG77" i="11"/>
  <c r="BG75" i="11"/>
  <c r="BA223" i="11"/>
  <c r="BV81" i="10"/>
  <c r="BV82" i="10" s="1"/>
  <c r="BV83" i="10"/>
  <c r="BA232" i="11"/>
  <c r="BA237" i="11" s="1"/>
  <c r="CD281" i="11"/>
  <c r="CD313" i="11"/>
  <c r="U104" i="14"/>
  <c r="U119" i="14" s="1"/>
  <c r="Q216" i="11"/>
  <c r="C738" i="16"/>
  <c r="C735" i="16" s="1"/>
  <c r="V25" i="14"/>
  <c r="I132" i="12"/>
  <c r="G1248" i="16"/>
  <c r="F764" i="16"/>
  <c r="G1244" i="16"/>
  <c r="G1245" i="16"/>
  <c r="G1243" i="16"/>
  <c r="G1251" i="16"/>
  <c r="F768" i="16"/>
  <c r="S412" i="12"/>
  <c r="G1247" i="16"/>
  <c r="F1511" i="16"/>
  <c r="F1506" i="16"/>
  <c r="F1516" i="16" s="1"/>
  <c r="H1453" i="16"/>
  <c r="H1454" i="16" s="1"/>
  <c r="M1426" i="16"/>
  <c r="BB220" i="11"/>
  <c r="BY69" i="11"/>
  <c r="BU69" i="11"/>
  <c r="BU65" i="11"/>
  <c r="CD69" i="11"/>
  <c r="BZ69" i="11"/>
  <c r="BZ65" i="11"/>
  <c r="BZ72" i="11"/>
  <c r="CB69" i="11"/>
  <c r="CB72" i="11"/>
  <c r="CB65" i="11"/>
  <c r="BX81" i="10"/>
  <c r="BX83" i="10"/>
  <c r="BS81" i="10"/>
  <c r="BS83" i="10"/>
  <c r="BZ81" i="10"/>
  <c r="BZ83" i="10"/>
  <c r="C1240" i="16"/>
  <c r="D1253" i="16" s="1"/>
  <c r="C510" i="16"/>
  <c r="C512" i="16" s="1"/>
  <c r="F33" i="16"/>
  <c r="D484" i="16"/>
  <c r="G1449" i="16"/>
  <c r="G1447" i="16" s="1"/>
  <c r="I874" i="12"/>
  <c r="K874" i="12" s="1"/>
  <c r="L874" i="12" s="1"/>
  <c r="L876" i="12" s="1"/>
  <c r="V390" i="12"/>
  <c r="E479" i="12"/>
  <c r="C656" i="1"/>
  <c r="G190" i="12"/>
  <c r="E987" i="12"/>
  <c r="E994" i="12" s="1"/>
  <c r="K967" i="12"/>
  <c r="U357" i="12"/>
  <c r="U359" i="12" s="1"/>
  <c r="U367" i="12" s="1"/>
  <c r="H479" i="12"/>
  <c r="I479" i="12"/>
  <c r="D730" i="12"/>
  <c r="U412" i="12"/>
  <c r="F1449" i="16"/>
  <c r="V79" i="14"/>
  <c r="R27" i="11"/>
  <c r="V188" i="14"/>
  <c r="E956" i="20"/>
  <c r="E588" i="1"/>
  <c r="L624" i="1"/>
  <c r="C675" i="20"/>
  <c r="F475" i="12"/>
  <c r="D980" i="12"/>
  <c r="F980" i="12"/>
  <c r="F987" i="12" s="1"/>
  <c r="F53" i="12"/>
  <c r="G52" i="12"/>
  <c r="H52" i="12" s="1"/>
  <c r="I52" i="12" s="1"/>
  <c r="J52" i="12" s="1"/>
  <c r="K52" i="12" s="1"/>
  <c r="L52" i="12" s="1"/>
  <c r="M52" i="12" s="1"/>
  <c r="N52" i="12" s="1"/>
  <c r="O52" i="12" s="1"/>
  <c r="P52" i="12" s="1"/>
  <c r="Q52" i="12" s="1"/>
  <c r="H1018" i="16"/>
  <c r="F868" i="20"/>
  <c r="I897" i="12"/>
  <c r="I901" i="12" s="1"/>
  <c r="H903" i="12"/>
  <c r="D910" i="12" s="1"/>
  <c r="F578" i="1"/>
  <c r="J191" i="20"/>
  <c r="F608" i="1"/>
  <c r="F598" i="1"/>
  <c r="G695" i="1" s="1"/>
  <c r="BQ214" i="12"/>
  <c r="C465" i="12" s="1"/>
  <c r="K146" i="20"/>
  <c r="F767" i="16"/>
  <c r="F769" i="16"/>
  <c r="C1180" i="16"/>
  <c r="E594" i="1"/>
  <c r="I236" i="20" s="1"/>
  <c r="I288" i="20" s="1"/>
  <c r="G624" i="1"/>
  <c r="D737" i="16"/>
  <c r="C518" i="12"/>
  <c r="C463" i="12"/>
  <c r="M955" i="12"/>
  <c r="E971" i="12" s="1"/>
  <c r="D971" i="12" s="1"/>
  <c r="K959" i="12"/>
  <c r="M959" i="12" s="1"/>
  <c r="N145" i="20"/>
  <c r="N146" i="20" s="1"/>
  <c r="CA366" i="12"/>
  <c r="I877" i="12"/>
  <c r="H883" i="12"/>
  <c r="I883" i="12" s="1"/>
  <c r="M1436" i="16"/>
  <c r="M1438" i="16" s="1"/>
  <c r="M1439" i="16" s="1"/>
  <c r="M1440" i="16" s="1"/>
  <c r="M1442" i="16" s="1"/>
  <c r="M1445" i="16" s="1"/>
  <c r="F766" i="16"/>
  <c r="F765" i="16"/>
  <c r="I232" i="20"/>
  <c r="H885" i="12"/>
  <c r="I885" i="12" s="1"/>
  <c r="I879" i="12"/>
  <c r="G173" i="12"/>
  <c r="G180" i="12" s="1"/>
  <c r="G185" i="12" s="1"/>
  <c r="G186" i="12" s="1"/>
  <c r="G199" i="12"/>
  <c r="G201" i="12" s="1"/>
  <c r="BU214" i="12"/>
  <c r="G465" i="12" s="1"/>
  <c r="F476" i="12"/>
  <c r="C676" i="20"/>
  <c r="D582" i="1"/>
  <c r="D583" i="1"/>
  <c r="F762" i="16"/>
  <c r="C491" i="12"/>
  <c r="B743" i="12"/>
  <c r="L210" i="12"/>
  <c r="C531" i="12" s="1"/>
  <c r="E613" i="1"/>
  <c r="C528" i="12"/>
  <c r="E407" i="12"/>
  <c r="F431" i="12" s="1"/>
  <c r="F390" i="12" s="1"/>
  <c r="Q577" i="1"/>
  <c r="K958" i="12"/>
  <c r="I890" i="12"/>
  <c r="I894" i="12" s="1"/>
  <c r="K894" i="12" s="1"/>
  <c r="L894" i="12" s="1"/>
  <c r="L896" i="12" s="1"/>
  <c r="I191" i="20"/>
  <c r="I346" i="20" s="1"/>
  <c r="E608" i="1"/>
  <c r="E578" i="1"/>
  <c r="N395" i="20"/>
  <c r="AL436" i="20"/>
  <c r="I158" i="20"/>
  <c r="L258" i="3"/>
  <c r="L260" i="3" s="1"/>
  <c r="L340" i="3" s="1"/>
  <c r="D434" i="16"/>
  <c r="D436" i="16" s="1"/>
  <c r="E429" i="16"/>
  <c r="C173" i="16"/>
  <c r="D155" i="16"/>
  <c r="E150" i="16"/>
  <c r="F134" i="16"/>
  <c r="E178" i="16"/>
  <c r="E184" i="16"/>
  <c r="D371" i="16"/>
  <c r="C390" i="16"/>
  <c r="G1249" i="16"/>
  <c r="G1246" i="16"/>
  <c r="G1250" i="16"/>
  <c r="G1252" i="16"/>
  <c r="F737" i="20"/>
  <c r="F751" i="20" s="1"/>
  <c r="G721" i="20"/>
  <c r="F712" i="20" s="1"/>
  <c r="K346" i="20"/>
  <c r="C878" i="20" s="1"/>
  <c r="U197" i="18"/>
  <c r="P321" i="20"/>
  <c r="P324" i="20" s="1"/>
  <c r="N249" i="3"/>
  <c r="O249" i="3" s="1"/>
  <c r="O255" i="3" s="1"/>
  <c r="P371" i="20"/>
  <c r="I651" i="20"/>
  <c r="E708" i="20"/>
  <c r="D708" i="20" s="1"/>
  <c r="C708" i="20" s="1"/>
  <c r="D764" i="16"/>
  <c r="D766" i="16"/>
  <c r="D767" i="16"/>
  <c r="D762" i="16"/>
  <c r="D763" i="16"/>
  <c r="D765" i="16"/>
  <c r="N617" i="1"/>
  <c r="P616" i="1"/>
  <c r="D768" i="16"/>
  <c r="C673" i="20"/>
  <c r="F471" i="12"/>
  <c r="E491" i="12"/>
  <c r="C655" i="1"/>
  <c r="J694" i="1"/>
  <c r="CD367" i="12"/>
  <c r="P373" i="12"/>
  <c r="BZ367" i="12"/>
  <c r="C672" i="20"/>
  <c r="F470" i="12"/>
  <c r="D463" i="12"/>
  <c r="D518" i="12"/>
  <c r="BY376" i="12"/>
  <c r="BU376" i="12"/>
  <c r="G494" i="12" s="1"/>
  <c r="F628" i="16"/>
  <c r="G628" i="16" s="1"/>
  <c r="G630" i="16" s="1"/>
  <c r="D1017" i="16"/>
  <c r="H513" i="12"/>
  <c r="C1017" i="16"/>
  <c r="D168" i="12"/>
  <c r="BR214" i="12"/>
  <c r="D465" i="12" s="1"/>
  <c r="F477" i="12"/>
  <c r="C677" i="20"/>
  <c r="F478" i="12"/>
  <c r="C679" i="20"/>
  <c r="D479" i="12"/>
  <c r="D587" i="20"/>
  <c r="K927" i="20"/>
  <c r="J928" i="20"/>
  <c r="F721" i="20"/>
  <c r="D270" i="18"/>
  <c r="C270" i="18" s="1"/>
  <c r="BO113" i="20"/>
  <c r="E193" i="18"/>
  <c r="O371" i="20"/>
  <c r="H1128" i="16"/>
  <c r="N132" i="20"/>
  <c r="BN110" i="20"/>
  <c r="F862" i="20"/>
  <c r="C277" i="18"/>
  <c r="M252" i="3"/>
  <c r="I1012" i="16"/>
  <c r="O387" i="20"/>
  <c r="E895" i="20" s="1"/>
  <c r="G928" i="20"/>
  <c r="D561" i="20"/>
  <c r="E747" i="20"/>
  <c r="K148" i="3"/>
  <c r="K150" i="3" s="1"/>
  <c r="K338" i="3" s="1"/>
  <c r="H862" i="20"/>
  <c r="E39" i="16"/>
  <c r="I935" i="20"/>
  <c r="D252" i="18"/>
  <c r="C251" i="18" s="1"/>
  <c r="C757" i="16"/>
  <c r="I914" i="20"/>
  <c r="G866" i="20"/>
  <c r="F649" i="20"/>
  <c r="I643" i="20"/>
  <c r="I649" i="20" s="1"/>
  <c r="D859" i="16"/>
  <c r="E859" i="16" s="1"/>
  <c r="L646" i="20"/>
  <c r="B448" i="20"/>
  <c r="P21" i="20"/>
  <c r="F651" i="20"/>
  <c r="E1012" i="16"/>
  <c r="F36" i="16"/>
  <c r="E922" i="20"/>
  <c r="E930" i="20" s="1"/>
  <c r="P387" i="20"/>
  <c r="F895" i="20" s="1"/>
  <c r="F893" i="20"/>
  <c r="K926" i="20"/>
  <c r="K934" i="20" s="1"/>
  <c r="I936" i="20"/>
  <c r="N277" i="20"/>
  <c r="AP439" i="20"/>
  <c r="E721" i="20" s="1"/>
  <c r="I937" i="20"/>
  <c r="L171" i="3"/>
  <c r="L173" i="3" s="1"/>
  <c r="L339" i="3" s="1"/>
  <c r="K135" i="20"/>
  <c r="F1012" i="16"/>
  <c r="J1013" i="16" s="1"/>
  <c r="D709" i="20"/>
  <c r="C709" i="20" s="1"/>
  <c r="D656" i="20"/>
  <c r="K656" i="20" s="1"/>
  <c r="F929" i="20"/>
  <c r="D666" i="20"/>
  <c r="E666" i="20" s="1"/>
  <c r="B464" i="20"/>
  <c r="B475" i="20" s="1"/>
  <c r="AL453" i="20"/>
  <c r="BK113" i="20"/>
  <c r="K127" i="20"/>
  <c r="L148" i="3"/>
  <c r="L150" i="3" s="1"/>
  <c r="L338" i="3" s="1"/>
  <c r="J926" i="20"/>
  <c r="J934" i="20" s="1"/>
  <c r="K928" i="20"/>
  <c r="V197" i="18"/>
  <c r="D737" i="20"/>
  <c r="D751" i="20" s="1"/>
  <c r="E737" i="20"/>
  <c r="E751" i="20" s="1"/>
  <c r="E5" i="16"/>
  <c r="I922" i="20"/>
  <c r="D290" i="18"/>
  <c r="C290" i="18" s="1"/>
  <c r="N21" i="20"/>
  <c r="BP115" i="20"/>
  <c r="L117" i="20"/>
  <c r="BL115" i="20"/>
  <c r="I198" i="18"/>
  <c r="J198" i="18" s="1"/>
  <c r="S358" i="8"/>
  <c r="F24" i="12"/>
  <c r="D25" i="12"/>
  <c r="M196" i="18"/>
  <c r="F3" i="4"/>
  <c r="G1512" i="16"/>
  <c r="K435" i="4"/>
  <c r="H1017" i="16"/>
  <c r="F867" i="20"/>
  <c r="Q278" i="20"/>
  <c r="E863" i="20"/>
  <c r="E862" i="20" s="1"/>
  <c r="U218" i="9"/>
  <c r="U265" i="9" s="1"/>
  <c r="BQ74" i="9"/>
  <c r="BQ81" i="9"/>
  <c r="BJ74" i="9"/>
  <c r="BF81" i="9"/>
  <c r="BF74" i="9"/>
  <c r="T72" i="14"/>
  <c r="T199" i="14"/>
  <c r="P69" i="11"/>
  <c r="Q69" i="11"/>
  <c r="BQ98" i="11"/>
  <c r="BQ97" i="11"/>
  <c r="BQ99" i="11"/>
  <c r="BQ94" i="11"/>
  <c r="BQ104" i="11"/>
  <c r="O133" i="3"/>
  <c r="N103" i="3"/>
  <c r="AF43" i="1"/>
  <c r="M282" i="3"/>
  <c r="M264" i="3" s="1"/>
  <c r="M266" i="3" s="1"/>
  <c r="X390" i="1"/>
  <c r="C674" i="16" s="1"/>
  <c r="F393" i="1"/>
  <c r="Q291" i="3"/>
  <c r="BY303" i="11"/>
  <c r="BY292" i="11"/>
  <c r="BY309" i="11" s="1"/>
  <c r="BY298" i="11"/>
  <c r="G262" i="4"/>
  <c r="H263" i="4"/>
  <c r="P62" i="11"/>
  <c r="Q66" i="10"/>
  <c r="P77" i="10"/>
  <c r="U251" i="17" s="1"/>
  <c r="P74" i="10"/>
  <c r="P79" i="10" s="1"/>
  <c r="L123" i="11"/>
  <c r="M343" i="4"/>
  <c r="M363" i="4" s="1"/>
  <c r="M381" i="4" s="1"/>
  <c r="M412" i="4" s="1"/>
  <c r="M420" i="4" s="1"/>
  <c r="M431" i="4" s="1"/>
  <c r="M446" i="4" s="1"/>
  <c r="M458" i="4" s="1"/>
  <c r="M498" i="4" s="1"/>
  <c r="M324" i="4"/>
  <c r="S5" i="10"/>
  <c r="X242" i="17" s="1"/>
  <c r="T37" i="10"/>
  <c r="M98" i="11"/>
  <c r="M104" i="11"/>
  <c r="M99" i="11"/>
  <c r="M96" i="11"/>
  <c r="BW82" i="9"/>
  <c r="BS87" i="9"/>
  <c r="BS82" i="9"/>
  <c r="BS85" i="9"/>
  <c r="L1431" i="16"/>
  <c r="L1436" i="16"/>
  <c r="L1438" i="16" s="1"/>
  <c r="L1439" i="16" s="1"/>
  <c r="L303" i="3"/>
  <c r="L300" i="3"/>
  <c r="K62" i="22"/>
  <c r="I1421" i="16"/>
  <c r="I1436" i="16"/>
  <c r="I1438" i="16" s="1"/>
  <c r="I1439" i="16" s="1"/>
  <c r="I1442" i="16"/>
  <c r="I1445" i="16" s="1"/>
  <c r="D379" i="16"/>
  <c r="E396" i="16" s="1"/>
  <c r="F362" i="16"/>
  <c r="E379" i="16" s="1"/>
  <c r="F396" i="16" s="1"/>
  <c r="P269" i="12"/>
  <c r="BZ268" i="12"/>
  <c r="N96" i="11"/>
  <c r="N97" i="11"/>
  <c r="N94" i="11"/>
  <c r="N99" i="11"/>
  <c r="O94" i="11"/>
  <c r="N104" i="11"/>
  <c r="BQ116" i="9"/>
  <c r="BQ119" i="9"/>
  <c r="BQ122" i="9"/>
  <c r="BU114" i="9"/>
  <c r="BQ114" i="9"/>
  <c r="M107" i="3"/>
  <c r="F682" i="16"/>
  <c r="M104" i="3"/>
  <c r="S20" i="14"/>
  <c r="O119" i="11"/>
  <c r="F129" i="12"/>
  <c r="O112" i="11"/>
  <c r="O113" i="11" s="1"/>
  <c r="U9" i="10"/>
  <c r="T9" i="11"/>
  <c r="T31" i="11" s="1"/>
  <c r="J287" i="1"/>
  <c r="W285" i="1"/>
  <c r="D506" i="1" s="1"/>
  <c r="P133" i="10"/>
  <c r="P123" i="10"/>
  <c r="P132" i="11"/>
  <c r="BZ238" i="9"/>
  <c r="BZ241" i="9"/>
  <c r="BZ243" i="9"/>
  <c r="BZ240" i="9"/>
  <c r="BZ239" i="9"/>
  <c r="BZ242" i="9"/>
  <c r="W391" i="1"/>
  <c r="J393" i="1"/>
  <c r="P278" i="20"/>
  <c r="D863" i="20"/>
  <c r="D862" i="20" s="1"/>
  <c r="L288" i="20"/>
  <c r="D869" i="20" s="1"/>
  <c r="L278" i="20"/>
  <c r="M59" i="3"/>
  <c r="M60" i="3" s="1"/>
  <c r="N84" i="3"/>
  <c r="BY304" i="9"/>
  <c r="CA307" i="11"/>
  <c r="U140" i="9"/>
  <c r="T136" i="11"/>
  <c r="U141" i="9"/>
  <c r="U137" i="11" s="1"/>
  <c r="P61" i="13"/>
  <c r="U171" i="11"/>
  <c r="Y113" i="14" s="1"/>
  <c r="U213" i="11"/>
  <c r="U181" i="9"/>
  <c r="U174" i="11" s="1"/>
  <c r="Y141" i="14" s="1"/>
  <c r="E7" i="16"/>
  <c r="V103" i="14"/>
  <c r="R211" i="11"/>
  <c r="R214" i="11" s="1"/>
  <c r="S38" i="3"/>
  <c r="P270" i="9"/>
  <c r="P274" i="9" s="1"/>
  <c r="P176" i="9" s="1"/>
  <c r="L119" i="9"/>
  <c r="L128" i="9"/>
  <c r="L117" i="9"/>
  <c r="N98" i="11"/>
  <c r="BX223" i="10"/>
  <c r="BX220" i="10"/>
  <c r="BX232" i="10"/>
  <c r="BX233" i="10"/>
  <c r="U226" i="11"/>
  <c r="BW232" i="11"/>
  <c r="BX232" i="11"/>
  <c r="BY232" i="11"/>
  <c r="T262" i="14"/>
  <c r="P226" i="10"/>
  <c r="P223" i="10"/>
  <c r="P227" i="10" s="1"/>
  <c r="D512" i="20"/>
  <c r="D513" i="20" s="1"/>
  <c r="H1393" i="16"/>
  <c r="R355" i="20"/>
  <c r="F1442" i="16"/>
  <c r="F1445" i="16" s="1"/>
  <c r="U399" i="12"/>
  <c r="F1432" i="16" s="1"/>
  <c r="G1018" i="12"/>
  <c r="G1140" i="16"/>
  <c r="D1222" i="16"/>
  <c r="E352" i="16"/>
  <c r="F313" i="16"/>
  <c r="E358" i="16"/>
  <c r="C491" i="16"/>
  <c r="D446" i="16"/>
  <c r="D331" i="16"/>
  <c r="AL452" i="20"/>
  <c r="B463" i="20"/>
  <c r="B474" i="20" s="1"/>
  <c r="F731" i="20"/>
  <c r="E59" i="18"/>
  <c r="F60" i="18"/>
  <c r="BO87" i="9"/>
  <c r="BO85" i="9"/>
  <c r="BO82" i="9"/>
  <c r="BU74" i="9"/>
  <c r="BB74" i="9"/>
  <c r="BB81" i="9"/>
  <c r="BU97" i="11"/>
  <c r="BY94" i="11"/>
  <c r="BU99" i="11"/>
  <c r="BU98" i="11"/>
  <c r="BU104" i="11"/>
  <c r="BU94" i="11"/>
  <c r="BE110" i="11"/>
  <c r="L225" i="14"/>
  <c r="T71" i="14"/>
  <c r="P59" i="11"/>
  <c r="T211" i="14"/>
  <c r="P68" i="11"/>
  <c r="Q68" i="11"/>
  <c r="CB114" i="10"/>
  <c r="CB113" i="10"/>
  <c r="BI110" i="11"/>
  <c r="D911" i="12"/>
  <c r="E911" i="12" s="1"/>
  <c r="I904" i="12"/>
  <c r="L264" i="3"/>
  <c r="L266" i="3" s="1"/>
  <c r="BN75" i="11"/>
  <c r="BN77" i="11"/>
  <c r="W5" i="14"/>
  <c r="K124" i="12"/>
  <c r="N483" i="4"/>
  <c r="T203" i="9"/>
  <c r="M172" i="4"/>
  <c r="Q297" i="3"/>
  <c r="D16" i="21"/>
  <c r="W237" i="14"/>
  <c r="S136" i="9"/>
  <c r="S72" i="9"/>
  <c r="CB306" i="10"/>
  <c r="CB307" i="10" s="1"/>
  <c r="BZ306" i="10"/>
  <c r="BY306" i="10"/>
  <c r="CA306" i="10"/>
  <c r="CC228" i="9"/>
  <c r="CC231" i="9"/>
  <c r="BS228" i="9"/>
  <c r="BS231" i="9"/>
  <c r="R235" i="9"/>
  <c r="O70" i="11"/>
  <c r="S73" i="14"/>
  <c r="O66" i="11"/>
  <c r="O72" i="11"/>
  <c r="R270" i="9"/>
  <c r="R274" i="9" s="1"/>
  <c r="Q270" i="9"/>
  <c r="Q274" i="9" s="1"/>
  <c r="I26" i="9"/>
  <c r="I22" i="11"/>
  <c r="I23" i="11" s="1"/>
  <c r="G1453" i="16"/>
  <c r="G1454" i="16" s="1"/>
  <c r="B686" i="12"/>
  <c r="L858" i="12"/>
  <c r="BX303" i="10"/>
  <c r="BX271" i="10"/>
  <c r="U172" i="11"/>
  <c r="BI230" i="9"/>
  <c r="G1018" i="16"/>
  <c r="E868" i="20"/>
  <c r="E205" i="16"/>
  <c r="E230" i="16" s="1"/>
  <c r="F188" i="16"/>
  <c r="D1447" i="16"/>
  <c r="D1451" i="16"/>
  <c r="AU22" i="11"/>
  <c r="AU23" i="11" s="1"/>
  <c r="AU21" i="11"/>
  <c r="BI87" i="9"/>
  <c r="BI85" i="9"/>
  <c r="BC115" i="9"/>
  <c r="BE112" i="11" s="1"/>
  <c r="BE113" i="11" s="1"/>
  <c r="K343" i="4"/>
  <c r="K363" i="4" s="1"/>
  <c r="K381" i="4" s="1"/>
  <c r="K412" i="4" s="1"/>
  <c r="K420" i="4" s="1"/>
  <c r="K431" i="4" s="1"/>
  <c r="K446" i="4" s="1"/>
  <c r="K458" i="4" s="1"/>
  <c r="K498" i="4" s="1"/>
  <c r="K324" i="4"/>
  <c r="S31" i="11"/>
  <c r="BO70" i="11"/>
  <c r="BK72" i="11"/>
  <c r="BK66" i="11"/>
  <c r="BK70" i="11"/>
  <c r="BU119" i="11"/>
  <c r="BU112" i="11"/>
  <c r="BU113" i="11" s="1"/>
  <c r="BU116" i="11"/>
  <c r="BU110" i="11"/>
  <c r="BU121" i="11"/>
  <c r="BY110" i="11"/>
  <c r="U220" i="9"/>
  <c r="U267" i="9" s="1"/>
  <c r="U148" i="11"/>
  <c r="U194" i="9"/>
  <c r="V154" i="9"/>
  <c r="V148" i="11" s="1"/>
  <c r="Q137" i="3"/>
  <c r="C816" i="12"/>
  <c r="BU220" i="10"/>
  <c r="BU223" i="10"/>
  <c r="BU233" i="10"/>
  <c r="BU232" i="10"/>
  <c r="BL230" i="9"/>
  <c r="M196" i="14"/>
  <c r="I21" i="11"/>
  <c r="F11" i="22"/>
  <c r="G8" i="22"/>
  <c r="V67" i="9"/>
  <c r="A22" i="2"/>
  <c r="A19" i="2"/>
  <c r="A6" i="2"/>
  <c r="A10" i="2"/>
  <c r="A7" i="2"/>
  <c r="A8" i="2"/>
  <c r="A20" i="2"/>
  <c r="A14" i="2"/>
  <c r="A11" i="2"/>
  <c r="A12" i="2"/>
  <c r="A17" i="2"/>
  <c r="A18" i="2"/>
  <c r="A15" i="2"/>
  <c r="A16" i="2"/>
  <c r="J231" i="4"/>
  <c r="J215" i="4"/>
  <c r="X140" i="17" s="1"/>
  <c r="D245" i="18"/>
  <c r="D243" i="18" s="1"/>
  <c r="BE81" i="11"/>
  <c r="BE64" i="11"/>
  <c r="BE72" i="11"/>
  <c r="BI81" i="11"/>
  <c r="BE65" i="11"/>
  <c r="BJ114" i="9"/>
  <c r="BF122" i="9"/>
  <c r="BF119" i="9"/>
  <c r="BF114" i="9"/>
  <c r="BF116" i="9"/>
  <c r="BF115" i="9" s="1"/>
  <c r="BC231" i="9"/>
  <c r="BC241" i="9"/>
  <c r="BC240" i="9"/>
  <c r="BC228" i="9"/>
  <c r="BU296" i="9"/>
  <c r="BW296" i="9"/>
  <c r="BV296" i="9"/>
  <c r="C43" i="16"/>
  <c r="C40" i="16"/>
  <c r="P230" i="9"/>
  <c r="U235" i="17" s="1"/>
  <c r="G51" i="12"/>
  <c r="G862" i="20"/>
  <c r="M314" i="20"/>
  <c r="M321" i="20" s="1"/>
  <c r="M327" i="20" s="1"/>
  <c r="G1012" i="16"/>
  <c r="U173" i="11"/>
  <c r="X15" i="14" s="1"/>
  <c r="J927" i="20"/>
  <c r="A13" i="2"/>
  <c r="D264" i="18"/>
  <c r="D263" i="18" s="1"/>
  <c r="R196" i="18"/>
  <c r="R197" i="18" s="1"/>
  <c r="D197" i="18" s="1"/>
  <c r="H105" i="18"/>
  <c r="D196" i="18" s="1"/>
  <c r="F418" i="16"/>
  <c r="E463" i="16"/>
  <c r="E457" i="16"/>
  <c r="G713" i="20"/>
  <c r="H207" i="18"/>
  <c r="Q197" i="18"/>
  <c r="C197" i="18" s="1"/>
  <c r="B465" i="20"/>
  <c r="B476" i="20" s="1"/>
  <c r="AL454" i="20"/>
  <c r="M232" i="20"/>
  <c r="P591" i="1"/>
  <c r="I598" i="1"/>
  <c r="M624" i="1"/>
  <c r="N624" i="1"/>
  <c r="D239" i="18"/>
  <c r="D237" i="18" s="1"/>
  <c r="L288" i="3"/>
  <c r="D692" i="16"/>
  <c r="K274" i="3"/>
  <c r="G1017" i="16"/>
  <c r="E867" i="20"/>
  <c r="BO110" i="11"/>
  <c r="T265" i="9"/>
  <c r="BQ68" i="11"/>
  <c r="BQ64" i="11"/>
  <c r="CB273" i="10"/>
  <c r="CB305" i="10"/>
  <c r="BK119" i="11"/>
  <c r="BK110" i="11"/>
  <c r="BK116" i="11"/>
  <c r="BK121" i="11"/>
  <c r="BK112" i="11"/>
  <c r="BK113" i="11" s="1"/>
  <c r="BB119" i="9"/>
  <c r="BB122" i="9"/>
  <c r="BB116" i="9"/>
  <c r="L26" i="9"/>
  <c r="L22" i="11"/>
  <c r="L23" i="11" s="1"/>
  <c r="CE306" i="11"/>
  <c r="V40" i="9"/>
  <c r="H116" i="9"/>
  <c r="H119" i="9"/>
  <c r="I114" i="9"/>
  <c r="H122" i="9"/>
  <c r="L230" i="14" s="1"/>
  <c r="L239" i="14" s="1"/>
  <c r="BQ119" i="11"/>
  <c r="L53" i="3"/>
  <c r="L55" i="3" s="1"/>
  <c r="M80" i="3"/>
  <c r="C621" i="16"/>
  <c r="X392" i="1"/>
  <c r="C676" i="16" s="1"/>
  <c r="K393" i="1"/>
  <c r="BT82" i="11"/>
  <c r="BX82" i="11"/>
  <c r="I256" i="3"/>
  <c r="T267" i="9"/>
  <c r="O23" i="3"/>
  <c r="O4" i="3" s="1"/>
  <c r="N4" i="3"/>
  <c r="V229" i="9"/>
  <c r="V217" i="11" s="1"/>
  <c r="S32" i="3"/>
  <c r="L54" i="11"/>
  <c r="L62" i="9"/>
  <c r="M62" i="9"/>
  <c r="BL220" i="10"/>
  <c r="BL232" i="10"/>
  <c r="BL233" i="10"/>
  <c r="BL223" i="10"/>
  <c r="CC310" i="9"/>
  <c r="CC278" i="9"/>
  <c r="BX68" i="11"/>
  <c r="BT68" i="11"/>
  <c r="BT64" i="11"/>
  <c r="BT72" i="11"/>
  <c r="T221" i="9"/>
  <c r="S209" i="11"/>
  <c r="H601" i="4"/>
  <c r="I569" i="4"/>
  <c r="D37" i="16"/>
  <c r="W122" i="17"/>
  <c r="O81" i="10"/>
  <c r="O78" i="10"/>
  <c r="O83" i="10"/>
  <c r="S251" i="14"/>
  <c r="S253" i="14" s="1"/>
  <c r="BU271" i="10"/>
  <c r="BU303" i="10"/>
  <c r="V197" i="14"/>
  <c r="R55" i="11"/>
  <c r="R109" i="11"/>
  <c r="BW244" i="9"/>
  <c r="BW230" i="9"/>
  <c r="BW245" i="9" s="1"/>
  <c r="BQ230" i="9"/>
  <c r="BU64" i="11"/>
  <c r="BY68" i="11"/>
  <c r="BU59" i="11"/>
  <c r="BU72" i="11"/>
  <c r="BU68" i="11"/>
  <c r="D808" i="12"/>
  <c r="V226" i="11"/>
  <c r="V141" i="9"/>
  <c r="V225" i="11"/>
  <c r="Q61" i="13"/>
  <c r="V172" i="11"/>
  <c r="V173" i="11"/>
  <c r="V171" i="11"/>
  <c r="Z113" i="14" s="1"/>
  <c r="V181" i="9"/>
  <c r="V174" i="11" s="1"/>
  <c r="Z141" i="14" s="1"/>
  <c r="BS115" i="20"/>
  <c r="O137" i="20"/>
  <c r="D1139" i="16"/>
  <c r="J1129" i="16"/>
  <c r="C261" i="18"/>
  <c r="F196" i="18"/>
  <c r="F657" i="20"/>
  <c r="F668" i="20"/>
  <c r="G922" i="20"/>
  <c r="E3" i="16"/>
  <c r="F29" i="16"/>
  <c r="F30" i="16" s="1"/>
  <c r="D543" i="20"/>
  <c r="E719" i="20"/>
  <c r="E750" i="20" s="1"/>
  <c r="E866" i="20"/>
  <c r="G1016" i="16"/>
  <c r="H914" i="20"/>
  <c r="AL447" i="20"/>
  <c r="B459" i="20"/>
  <c r="B470" i="20" s="1"/>
  <c r="K258" i="3"/>
  <c r="K260" i="3" s="1"/>
  <c r="K340" i="3" s="1"/>
  <c r="C953" i="20"/>
  <c r="D1155" i="16"/>
  <c r="L312" i="3"/>
  <c r="I926" i="20"/>
  <c r="I934" i="20" s="1"/>
  <c r="H926" i="20"/>
  <c r="H922" i="20"/>
  <c r="I925" i="20"/>
  <c r="I933" i="20" s="1"/>
  <c r="N324" i="20"/>
  <c r="N352" i="20" s="1"/>
  <c r="N358" i="20" s="1"/>
  <c r="N327" i="20"/>
  <c r="O117" i="20"/>
  <c r="C320" i="18"/>
  <c r="D321" i="18"/>
  <c r="C321" i="18" s="1"/>
  <c r="G719" i="20"/>
  <c r="G750" i="20" s="1"/>
  <c r="F707" i="20"/>
  <c r="H935" i="1"/>
  <c r="K922" i="20"/>
  <c r="J922" i="20"/>
  <c r="K925" i="20"/>
  <c r="K933" i="20" s="1"/>
  <c r="J925" i="20"/>
  <c r="J933" i="20" s="1"/>
  <c r="L1013" i="16"/>
  <c r="F922" i="20"/>
  <c r="G914" i="20"/>
  <c r="BR110" i="20"/>
  <c r="R132" i="20"/>
  <c r="N133" i="20"/>
  <c r="BR111" i="20"/>
  <c r="N125" i="20"/>
  <c r="BN111" i="20"/>
  <c r="G927" i="20"/>
  <c r="F928" i="20"/>
  <c r="N138" i="20"/>
  <c r="BN116" i="20"/>
  <c r="C313" i="18"/>
  <c r="D315" i="18"/>
  <c r="C315" i="18" s="1"/>
  <c r="K929" i="20"/>
  <c r="K937" i="20" s="1"/>
  <c r="J929" i="20"/>
  <c r="M346" i="20"/>
  <c r="E878" i="20" s="1"/>
  <c r="E873" i="20"/>
  <c r="E36" i="16"/>
  <c r="J914" i="20"/>
  <c r="K914" i="20"/>
  <c r="R286" i="20"/>
  <c r="R277" i="20"/>
  <c r="P286" i="20"/>
  <c r="P277" i="20"/>
  <c r="D257" i="18"/>
  <c r="BR116" i="20"/>
  <c r="F42" i="16"/>
  <c r="C965" i="20"/>
  <c r="S349" i="20"/>
  <c r="S288" i="20"/>
  <c r="S314" i="20"/>
  <c r="S321" i="20" s="1"/>
  <c r="AL439" i="20"/>
  <c r="B450" i="20"/>
  <c r="AL450" i="20" s="1"/>
  <c r="M21" i="20"/>
  <c r="H925" i="20"/>
  <c r="H122" i="12"/>
  <c r="J121" i="12"/>
  <c r="N1435" i="16"/>
  <c r="BY86" i="9" l="1"/>
  <c r="BU87" i="9"/>
  <c r="BY82" i="9"/>
  <c r="L207" i="3"/>
  <c r="L206" i="3" s="1"/>
  <c r="K61" i="3"/>
  <c r="Q78" i="5"/>
  <c r="R71" i="5"/>
  <c r="O86" i="9"/>
  <c r="S61" i="11"/>
  <c r="X199" i="17" s="1"/>
  <c r="W252" i="14"/>
  <c r="L197" i="3"/>
  <c r="F50" i="16" s="1"/>
  <c r="X252" i="17"/>
  <c r="T65" i="10"/>
  <c r="X252" i="14" s="1"/>
  <c r="E593" i="1"/>
  <c r="E641" i="16"/>
  <c r="E644" i="16" s="1"/>
  <c r="E645" i="16" s="1"/>
  <c r="M126" i="3"/>
  <c r="M110" i="3" s="1"/>
  <c r="F649" i="16" s="1"/>
  <c r="BR87" i="9"/>
  <c r="R69" i="11"/>
  <c r="R65" i="11"/>
  <c r="L704" i="1"/>
  <c r="V72" i="14"/>
  <c r="V74" i="17"/>
  <c r="V199" i="14"/>
  <c r="D684" i="16"/>
  <c r="C34" i="21"/>
  <c r="R41" i="10"/>
  <c r="V242" i="14"/>
  <c r="BI82" i="10"/>
  <c r="M196" i="3"/>
  <c r="M207" i="3" s="1"/>
  <c r="M206" i="3" s="1"/>
  <c r="N180" i="3"/>
  <c r="O180" i="3" s="1"/>
  <c r="G46" i="16"/>
  <c r="R39" i="10"/>
  <c r="C681" i="16"/>
  <c r="R5" i="11"/>
  <c r="W189" i="17" s="1"/>
  <c r="K197" i="3"/>
  <c r="E50" i="16" s="1"/>
  <c r="K207" i="3"/>
  <c r="K206" i="3" s="1"/>
  <c r="E49" i="16"/>
  <c r="D710" i="16"/>
  <c r="L66" i="3"/>
  <c r="E710" i="16" s="1"/>
  <c r="BN121" i="9"/>
  <c r="O138" i="11"/>
  <c r="O134" i="11"/>
  <c r="C780" i="12"/>
  <c r="C786" i="12" s="1"/>
  <c r="C787" i="12" s="1"/>
  <c r="D788" i="12" s="1"/>
  <c r="D645" i="16"/>
  <c r="Q54" i="11"/>
  <c r="U197" i="14" s="1"/>
  <c r="R62" i="9"/>
  <c r="M75" i="11"/>
  <c r="O124" i="10"/>
  <c r="O125" i="10" s="1"/>
  <c r="G461" i="1"/>
  <c r="G479" i="1"/>
  <c r="BV82" i="9"/>
  <c r="BE222" i="10"/>
  <c r="BE237" i="10" s="1"/>
  <c r="BJ124" i="9"/>
  <c r="BJ125" i="9" s="1"/>
  <c r="O123" i="11"/>
  <c r="BG124" i="9"/>
  <c r="BG125" i="9" s="1"/>
  <c r="BR266" i="12"/>
  <c r="D499" i="12" s="1"/>
  <c r="D510" i="12" s="1"/>
  <c r="D268" i="12"/>
  <c r="D269" i="12" s="1"/>
  <c r="D273" i="12"/>
  <c r="BX88" i="9"/>
  <c r="BR82" i="9"/>
  <c r="AN106" i="1"/>
  <c r="G116" i="9"/>
  <c r="G115" i="9" s="1"/>
  <c r="O143" i="11"/>
  <c r="C518" i="8" s="1"/>
  <c r="D609" i="1"/>
  <c r="O130" i="10"/>
  <c r="Z221" i="10"/>
  <c r="Z262" i="10" s="1"/>
  <c r="X262" i="10"/>
  <c r="BX268" i="12"/>
  <c r="J482" i="12" s="1"/>
  <c r="J218" i="3"/>
  <c r="BZ290" i="9"/>
  <c r="BZ289" i="9" s="1"/>
  <c r="BZ306" i="9" s="1"/>
  <c r="AN109" i="1"/>
  <c r="CE64" i="11"/>
  <c r="E483" i="1"/>
  <c r="E465" i="1"/>
  <c r="E393" i="1"/>
  <c r="W393" i="1" s="1"/>
  <c r="D510" i="1" s="1"/>
  <c r="CE72" i="11"/>
  <c r="CE77" i="11" s="1"/>
  <c r="CE78" i="11" s="1"/>
  <c r="E448" i="1"/>
  <c r="E484" i="1" s="1"/>
  <c r="AN105" i="1"/>
  <c r="AN104" i="1"/>
  <c r="I166" i="12"/>
  <c r="BW166" i="12" s="1"/>
  <c r="CE66" i="11"/>
  <c r="AN108" i="1"/>
  <c r="W262" i="10"/>
  <c r="V84" i="14"/>
  <c r="R29" i="11"/>
  <c r="AF6" i="1"/>
  <c r="AP6" i="1" s="1"/>
  <c r="Q77" i="3"/>
  <c r="Q63" i="3" s="1"/>
  <c r="Q64" i="3" s="1"/>
  <c r="H114" i="9"/>
  <c r="X225" i="14"/>
  <c r="M131" i="9"/>
  <c r="M133" i="9" s="1"/>
  <c r="M134" i="9" s="1"/>
  <c r="BJ118" i="9"/>
  <c r="C576" i="1"/>
  <c r="E18" i="21"/>
  <c r="O147" i="11"/>
  <c r="O150" i="11" s="1"/>
  <c r="T7" i="10"/>
  <c r="Y245" i="17" s="1"/>
  <c r="M156" i="9"/>
  <c r="M160" i="9" s="1"/>
  <c r="BW282" i="10"/>
  <c r="BW299" i="10" s="1"/>
  <c r="Y403" i="1"/>
  <c r="F663" i="1" s="1"/>
  <c r="F664" i="1" s="1"/>
  <c r="X247" i="14"/>
  <c r="G702" i="1"/>
  <c r="G704" i="1" s="1"/>
  <c r="V15" i="9"/>
  <c r="AA236" i="17" s="1"/>
  <c r="G408" i="1"/>
  <c r="G413" i="1" s="1"/>
  <c r="L414" i="1" s="1"/>
  <c r="X444" i="1"/>
  <c r="G402" i="1"/>
  <c r="G447" i="1" s="1"/>
  <c r="I312" i="3" s="1"/>
  <c r="I327" i="3" s="1"/>
  <c r="C554" i="12"/>
  <c r="W433" i="1"/>
  <c r="U69" i="9"/>
  <c r="Z225" i="17" s="1"/>
  <c r="W339" i="1"/>
  <c r="D508" i="1" s="1"/>
  <c r="S32" i="11"/>
  <c r="W191" i="14"/>
  <c r="X191" i="17"/>
  <c r="R8" i="11"/>
  <c r="V193" i="14" s="1"/>
  <c r="W81" i="14"/>
  <c r="S43" i="11"/>
  <c r="X237" i="14"/>
  <c r="J18" i="3"/>
  <c r="AF9" i="1" s="1"/>
  <c r="AP9" i="1" s="1"/>
  <c r="V192" i="14"/>
  <c r="W84" i="17"/>
  <c r="J190" i="20"/>
  <c r="J76" i="20" s="1"/>
  <c r="CC233" i="10"/>
  <c r="K480" i="1"/>
  <c r="CE65" i="11"/>
  <c r="T136" i="9"/>
  <c r="T137" i="9" s="1"/>
  <c r="T139" i="9" s="1"/>
  <c r="Q97" i="9"/>
  <c r="K6" i="3"/>
  <c r="D681" i="16" s="1"/>
  <c r="T72" i="9"/>
  <c r="BT115" i="9"/>
  <c r="BV112" i="11" s="1"/>
  <c r="BV113" i="11" s="1"/>
  <c r="N24" i="12"/>
  <c r="N25" i="12" s="1"/>
  <c r="BW307" i="9"/>
  <c r="R30" i="10"/>
  <c r="N457" i="1"/>
  <c r="N466" i="1" s="1"/>
  <c r="N484" i="1" s="1"/>
  <c r="E16" i="21"/>
  <c r="V246" i="14"/>
  <c r="G119" i="9"/>
  <c r="K227" i="14" s="1"/>
  <c r="BS121" i="9"/>
  <c r="S153" i="10"/>
  <c r="J120" i="3"/>
  <c r="D663" i="1"/>
  <c r="D664" i="1" s="1"/>
  <c r="CB236" i="10"/>
  <c r="AN100" i="1"/>
  <c r="AV100" i="1" s="1"/>
  <c r="I201" i="20"/>
  <c r="M82" i="10"/>
  <c r="W419" i="1"/>
  <c r="T45" i="10"/>
  <c r="BG234" i="9"/>
  <c r="BJ235" i="9" s="1"/>
  <c r="I60" i="2"/>
  <c r="J60" i="2" s="1"/>
  <c r="O82" i="10"/>
  <c r="R97" i="9"/>
  <c r="M77" i="11"/>
  <c r="AN99" i="1"/>
  <c r="AV99" i="1" s="1"/>
  <c r="R40" i="11"/>
  <c r="AN96" i="1"/>
  <c r="AV96" i="1" s="1"/>
  <c r="R47" i="11"/>
  <c r="AN95" i="1"/>
  <c r="AV95" i="1" s="1"/>
  <c r="AN98" i="1"/>
  <c r="AV98" i="1" s="1"/>
  <c r="D483" i="1"/>
  <c r="BS115" i="9"/>
  <c r="M108" i="3"/>
  <c r="G74" i="20"/>
  <c r="E36" i="21"/>
  <c r="CC75" i="11"/>
  <c r="CC76" i="11" s="1"/>
  <c r="AF7" i="1"/>
  <c r="AP7" i="1" s="1"/>
  <c r="BF236" i="10"/>
  <c r="C273" i="12"/>
  <c r="J85" i="9"/>
  <c r="K86" i="9" s="1"/>
  <c r="CC119" i="9"/>
  <c r="CC234" i="9" s="1"/>
  <c r="T10" i="11"/>
  <c r="X81" i="14" s="1"/>
  <c r="J13" i="3"/>
  <c r="BN82" i="10"/>
  <c r="P407" i="1"/>
  <c r="K267" i="3"/>
  <c r="O115" i="11"/>
  <c r="O116" i="11" s="1"/>
  <c r="R153" i="11"/>
  <c r="V110" i="14" s="1"/>
  <c r="AF25" i="1"/>
  <c r="AP25" i="1" s="1"/>
  <c r="BQ266" i="12"/>
  <c r="C499" i="12" s="1"/>
  <c r="C510" i="12" s="1"/>
  <c r="J114" i="3"/>
  <c r="T32" i="10"/>
  <c r="T28" i="10" s="1"/>
  <c r="T6" i="10" s="1"/>
  <c r="T42" i="10" s="1"/>
  <c r="F157" i="14"/>
  <c r="G706" i="1"/>
  <c r="K108" i="3"/>
  <c r="U212" i="10"/>
  <c r="V212" i="10" s="1"/>
  <c r="V256" i="10" s="1"/>
  <c r="G418" i="1"/>
  <c r="N224" i="14"/>
  <c r="N226" i="14" s="1"/>
  <c r="L707" i="1"/>
  <c r="Q133" i="9"/>
  <c r="Q129" i="11" s="1"/>
  <c r="Q182" i="10"/>
  <c r="R182" i="10" s="1"/>
  <c r="S182" i="10" s="1"/>
  <c r="T182" i="10" s="1"/>
  <c r="U182" i="10" s="1"/>
  <c r="V182" i="10" s="1"/>
  <c r="T215" i="10"/>
  <c r="T218" i="10" s="1"/>
  <c r="Q115" i="9"/>
  <c r="Q150" i="9" s="1"/>
  <c r="E704" i="1"/>
  <c r="BC118" i="9"/>
  <c r="C727" i="16"/>
  <c r="CA236" i="10"/>
  <c r="CC288" i="10"/>
  <c r="CC289" i="10" s="1"/>
  <c r="R46" i="11"/>
  <c r="L116" i="3"/>
  <c r="L117" i="3" s="1"/>
  <c r="K190" i="20"/>
  <c r="C864" i="16" s="1"/>
  <c r="N86" i="9"/>
  <c r="X248" i="14"/>
  <c r="C598" i="12"/>
  <c r="C599" i="12" s="1"/>
  <c r="BH236" i="10"/>
  <c r="V190" i="14"/>
  <c r="G578" i="1"/>
  <c r="D787" i="16" s="1"/>
  <c r="D799" i="16" s="1"/>
  <c r="H132" i="12"/>
  <c r="BG236" i="10"/>
  <c r="D129" i="12"/>
  <c r="U168" i="11"/>
  <c r="R28" i="11"/>
  <c r="X195" i="17"/>
  <c r="Q20" i="14"/>
  <c r="M119" i="11"/>
  <c r="L61" i="3"/>
  <c r="CC88" i="9"/>
  <c r="CC77" i="10"/>
  <c r="U52" i="9"/>
  <c r="P121" i="9"/>
  <c r="R96" i="9"/>
  <c r="BO84" i="10"/>
  <c r="BO86" i="9"/>
  <c r="R170" i="10"/>
  <c r="T209" i="11"/>
  <c r="BG84" i="10"/>
  <c r="F341" i="1"/>
  <c r="F404" i="1" s="1"/>
  <c r="BC124" i="9"/>
  <c r="BC125" i="9" s="1"/>
  <c r="C668" i="16"/>
  <c r="CC232" i="10"/>
  <c r="X83" i="17"/>
  <c r="M61" i="3"/>
  <c r="R106" i="9"/>
  <c r="O235" i="9"/>
  <c r="BD87" i="9"/>
  <c r="BH88" i="9" s="1"/>
  <c r="F597" i="1"/>
  <c r="G694" i="1" s="1"/>
  <c r="D660" i="16"/>
  <c r="D661" i="16" s="1"/>
  <c r="Q88" i="9"/>
  <c r="Z221" i="17"/>
  <c r="T208" i="11"/>
  <c r="X101" i="14" s="1"/>
  <c r="E37" i="21"/>
  <c r="F607" i="1"/>
  <c r="K203" i="20"/>
  <c r="CC85" i="9"/>
  <c r="CC86" i="9" s="1"/>
  <c r="P234" i="9"/>
  <c r="BU244" i="9"/>
  <c r="J458" i="12"/>
  <c r="T44" i="10"/>
  <c r="N82" i="11"/>
  <c r="W83" i="14"/>
  <c r="M130" i="3"/>
  <c r="N130" i="3" s="1"/>
  <c r="N116" i="3" s="1"/>
  <c r="BY236" i="10"/>
  <c r="CB302" i="9"/>
  <c r="CB295" i="9"/>
  <c r="BO222" i="10"/>
  <c r="BO237" i="10" s="1"/>
  <c r="Z216" i="10"/>
  <c r="Z260" i="10" s="1"/>
  <c r="BG121" i="9"/>
  <c r="T11" i="11"/>
  <c r="Y195" i="17" s="1"/>
  <c r="W195" i="14"/>
  <c r="CC235" i="10"/>
  <c r="CC234" i="10"/>
  <c r="B593" i="12"/>
  <c r="N412" i="1"/>
  <c r="N413" i="1" s="1"/>
  <c r="N414" i="1" s="1"/>
  <c r="AB407" i="1"/>
  <c r="S44" i="11"/>
  <c r="U11" i="10"/>
  <c r="Z248" i="17" s="1"/>
  <c r="BH82" i="9"/>
  <c r="CC230" i="10"/>
  <c r="CC284" i="9"/>
  <c r="CC302" i="9" s="1"/>
  <c r="Z236" i="17"/>
  <c r="F9" i="21"/>
  <c r="Y236" i="14"/>
  <c r="BU84" i="10"/>
  <c r="M222" i="11"/>
  <c r="O121" i="9"/>
  <c r="Q134" i="11"/>
  <c r="CC82" i="9"/>
  <c r="N156" i="9"/>
  <c r="N160" i="9" s="1"/>
  <c r="N161" i="9" s="1"/>
  <c r="N163" i="9" s="1"/>
  <c r="BO118" i="9"/>
  <c r="J466" i="1"/>
  <c r="U10" i="10"/>
  <c r="Z244" i="17" s="1"/>
  <c r="W245" i="14"/>
  <c r="X244" i="14"/>
  <c r="N149" i="11"/>
  <c r="N150" i="11" s="1"/>
  <c r="S29" i="10"/>
  <c r="L82" i="9"/>
  <c r="O224" i="14"/>
  <c r="O226" i="14" s="1"/>
  <c r="K87" i="9"/>
  <c r="K88" i="9" s="1"/>
  <c r="S8" i="10"/>
  <c r="X246" i="17" s="1"/>
  <c r="D52" i="16"/>
  <c r="K82" i="9"/>
  <c r="C684" i="16"/>
  <c r="Q70" i="14"/>
  <c r="Q74" i="14" s="1"/>
  <c r="T20" i="10"/>
  <c r="Y249" i="17" s="1"/>
  <c r="M182" i="9"/>
  <c r="H458" i="12"/>
  <c r="BO124" i="9"/>
  <c r="BO125" i="9" s="1"/>
  <c r="N73" i="11"/>
  <c r="BZ86" i="9"/>
  <c r="BH82" i="10"/>
  <c r="N128" i="3"/>
  <c r="N111" i="3" s="1"/>
  <c r="G665" i="16" s="1"/>
  <c r="G151" i="12"/>
  <c r="J68" i="3"/>
  <c r="J92" i="3" s="1"/>
  <c r="P218" i="11"/>
  <c r="U209" i="17" s="1"/>
  <c r="U12" i="10"/>
  <c r="Z247" i="17" s="1"/>
  <c r="E38" i="21"/>
  <c r="P94" i="9"/>
  <c r="P99" i="9" s="1"/>
  <c r="M84" i="10"/>
  <c r="Q86" i="9"/>
  <c r="CB290" i="9"/>
  <c r="CB307" i="9" s="1"/>
  <c r="S209" i="14"/>
  <c r="T197" i="14"/>
  <c r="CC307" i="10"/>
  <c r="P72" i="11"/>
  <c r="U198" i="17" s="1"/>
  <c r="Q98" i="9"/>
  <c r="S7" i="11"/>
  <c r="O6" i="3"/>
  <c r="P109" i="11"/>
  <c r="P110" i="11" s="1"/>
  <c r="P65" i="11"/>
  <c r="L128" i="11"/>
  <c r="CE283" i="11"/>
  <c r="P64" i="11"/>
  <c r="L132" i="9"/>
  <c r="BP222" i="10"/>
  <c r="BP237" i="10" s="1"/>
  <c r="K56" i="3"/>
  <c r="R86" i="9"/>
  <c r="CA290" i="9"/>
  <c r="CA307" i="9" s="1"/>
  <c r="U48" i="9"/>
  <c r="F7" i="21"/>
  <c r="Y221" i="14"/>
  <c r="V13" i="9"/>
  <c r="Q96" i="9"/>
  <c r="BZ88" i="9"/>
  <c r="I203" i="20"/>
  <c r="B537" i="12"/>
  <c r="H537" i="12" s="1"/>
  <c r="R191" i="10"/>
  <c r="R193" i="10" s="1"/>
  <c r="R196" i="10" s="1"/>
  <c r="R199" i="10" s="1"/>
  <c r="BX289" i="10"/>
  <c r="R94" i="9"/>
  <c r="P62" i="9"/>
  <c r="Q231" i="9"/>
  <c r="B780" i="12"/>
  <c r="B781" i="12" s="1"/>
  <c r="BK84" i="10"/>
  <c r="P106" i="9"/>
  <c r="R98" i="9"/>
  <c r="P96" i="9"/>
  <c r="Q62" i="9"/>
  <c r="Q187" i="11"/>
  <c r="Q193" i="10"/>
  <c r="Q196" i="10" s="1"/>
  <c r="Q199" i="10" s="1"/>
  <c r="Q204" i="10"/>
  <c r="Q200" i="11" s="1"/>
  <c r="Q202" i="11" s="1"/>
  <c r="L8" i="2"/>
  <c r="L7" i="2"/>
  <c r="J59" i="2" s="1"/>
  <c r="L10" i="2"/>
  <c r="L9" i="2"/>
  <c r="L6" i="2"/>
  <c r="X243" i="17"/>
  <c r="S46" i="10"/>
  <c r="D35" i="21"/>
  <c r="W243" i="14"/>
  <c r="S42" i="10"/>
  <c r="C316" i="12"/>
  <c r="N82" i="10"/>
  <c r="L126" i="10"/>
  <c r="L126" i="11" s="1"/>
  <c r="L125" i="10"/>
  <c r="BZ244" i="9"/>
  <c r="O234" i="9"/>
  <c r="O124" i="9"/>
  <c r="O125" i="9" s="1"/>
  <c r="S9" i="14"/>
  <c r="BM87" i="9"/>
  <c r="BM88" i="9" s="1"/>
  <c r="CD273" i="10"/>
  <c r="K271" i="3"/>
  <c r="K272" i="3" s="1"/>
  <c r="V213" i="11"/>
  <c r="U210" i="11"/>
  <c r="Y102" i="14" s="1"/>
  <c r="S27" i="11"/>
  <c r="BO77" i="11"/>
  <c r="W79" i="14"/>
  <c r="AZ237" i="11"/>
  <c r="O120" i="9"/>
  <c r="S227" i="14"/>
  <c r="S233" i="14" s="1"/>
  <c r="K250" i="3"/>
  <c r="C720" i="16" s="1"/>
  <c r="S27" i="14"/>
  <c r="S144" i="14" s="1"/>
  <c r="BD124" i="9"/>
  <c r="BD125" i="9" s="1"/>
  <c r="BD118" i="9"/>
  <c r="P182" i="10"/>
  <c r="S259" i="10"/>
  <c r="S263" i="10" s="1"/>
  <c r="S224" i="11" s="1"/>
  <c r="BE85" i="9"/>
  <c r="BI86" i="9" s="1"/>
  <c r="BE87" i="9"/>
  <c r="BI88" i="9" s="1"/>
  <c r="R107" i="9"/>
  <c r="K183" i="3"/>
  <c r="K177" i="3" s="1"/>
  <c r="S6" i="11"/>
  <c r="S40" i="11" s="1"/>
  <c r="M205" i="20"/>
  <c r="Q94" i="9"/>
  <c r="Q109" i="9" s="1"/>
  <c r="BM82" i="9"/>
  <c r="M288" i="20"/>
  <c r="E869" i="20" s="1"/>
  <c r="W188" i="14"/>
  <c r="P55" i="11"/>
  <c r="P82" i="11" s="1"/>
  <c r="F37" i="12"/>
  <c r="F39" i="12" s="1"/>
  <c r="F41" i="12" s="1"/>
  <c r="S26" i="14" s="1"/>
  <c r="O193" i="9"/>
  <c r="O188" i="9" s="1"/>
  <c r="P188" i="9" s="1"/>
  <c r="Q188" i="9" s="1"/>
  <c r="R188" i="9" s="1"/>
  <c r="S188" i="9" s="1"/>
  <c r="T188" i="9" s="1"/>
  <c r="U188" i="9" s="1"/>
  <c r="V188" i="9" s="1"/>
  <c r="W188" i="9" s="1"/>
  <c r="X188" i="9" s="1"/>
  <c r="Y188" i="9" s="1"/>
  <c r="Z188" i="9" s="1"/>
  <c r="M347" i="20"/>
  <c r="E879" i="20" s="1"/>
  <c r="P191" i="10"/>
  <c r="P193" i="10" s="1"/>
  <c r="P196" i="10" s="1"/>
  <c r="P199" i="10" s="1"/>
  <c r="U261" i="17" s="1"/>
  <c r="R82" i="3"/>
  <c r="Q58" i="3"/>
  <c r="G66" i="12"/>
  <c r="Q24" i="12" s="1"/>
  <c r="Q25" i="12" s="1"/>
  <c r="BI82" i="9"/>
  <c r="R64" i="11"/>
  <c r="P80" i="11"/>
  <c r="AZ240" i="11"/>
  <c r="BD234" i="9"/>
  <c r="U235" i="14"/>
  <c r="X188" i="17"/>
  <c r="S40" i="10"/>
  <c r="O156" i="9"/>
  <c r="O160" i="9" s="1"/>
  <c r="O161" i="9" s="1"/>
  <c r="O163" i="9" s="1"/>
  <c r="O168" i="9" s="1"/>
  <c r="E652" i="16"/>
  <c r="E653" i="16" s="1"/>
  <c r="D717" i="16" s="1"/>
  <c r="K118" i="9"/>
  <c r="BR115" i="9"/>
  <c r="BT112" i="11" s="1"/>
  <c r="BT113" i="11" s="1"/>
  <c r="BW376" i="12"/>
  <c r="I494" i="12" s="1"/>
  <c r="T62" i="10"/>
  <c r="T64" i="10" s="1"/>
  <c r="Y264" i="17" s="1"/>
  <c r="Y263" i="17"/>
  <c r="K12" i="3"/>
  <c r="K13" i="3" s="1"/>
  <c r="F168" i="12"/>
  <c r="F193" i="12"/>
  <c r="BP166" i="12"/>
  <c r="Q149" i="11"/>
  <c r="R155" i="9"/>
  <c r="V161" i="10"/>
  <c r="W161" i="10" s="1"/>
  <c r="BG82" i="9"/>
  <c r="J484" i="1"/>
  <c r="G81" i="9"/>
  <c r="K224" i="14" s="1"/>
  <c r="K226" i="14" s="1"/>
  <c r="BJ236" i="10"/>
  <c r="P173" i="9"/>
  <c r="P182" i="9" s="1"/>
  <c r="P185" i="9" s="1"/>
  <c r="Q184" i="9" s="1"/>
  <c r="U227" i="17"/>
  <c r="B570" i="12"/>
  <c r="B542" i="12"/>
  <c r="P115" i="11"/>
  <c r="P124" i="9"/>
  <c r="P125" i="9" s="1"/>
  <c r="T227" i="14"/>
  <c r="P120" i="9"/>
  <c r="G37" i="12"/>
  <c r="B581" i="12"/>
  <c r="P235" i="9"/>
  <c r="B767" i="12"/>
  <c r="Q121" i="9"/>
  <c r="P193" i="9"/>
  <c r="Q238" i="14"/>
  <c r="Q233" i="14"/>
  <c r="N423" i="1"/>
  <c r="M426" i="1"/>
  <c r="M428" i="1" s="1"/>
  <c r="M430" i="1" s="1"/>
  <c r="M433" i="1" s="1"/>
  <c r="M436" i="1" s="1"/>
  <c r="P88" i="9"/>
  <c r="O88" i="9"/>
  <c r="Q135" i="11"/>
  <c r="U269" i="9"/>
  <c r="V222" i="9"/>
  <c r="W222" i="9" s="1"/>
  <c r="W269" i="9" s="1"/>
  <c r="M145" i="10"/>
  <c r="M147" i="10" s="1"/>
  <c r="M143" i="11"/>
  <c r="M145" i="11" s="1"/>
  <c r="BZ273" i="10"/>
  <c r="BZ283" i="10" s="1"/>
  <c r="BZ305" i="10"/>
  <c r="BZ308" i="10" s="1"/>
  <c r="M183" i="11"/>
  <c r="M199" i="9"/>
  <c r="M188" i="9"/>
  <c r="BY77" i="11"/>
  <c r="CC78" i="11" s="1"/>
  <c r="D694" i="16"/>
  <c r="D696" i="16" s="1"/>
  <c r="S60" i="11"/>
  <c r="X211" i="17" s="1"/>
  <c r="X264" i="17"/>
  <c r="BM118" i="9"/>
  <c r="K234" i="3"/>
  <c r="F640" i="16"/>
  <c r="N25" i="3"/>
  <c r="N9" i="3" s="1"/>
  <c r="G648" i="16" s="1"/>
  <c r="M9" i="3"/>
  <c r="L373" i="1"/>
  <c r="L445" i="1"/>
  <c r="L463" i="1" s="1"/>
  <c r="W431" i="1"/>
  <c r="E722" i="1"/>
  <c r="K73" i="20"/>
  <c r="K162" i="3" s="1"/>
  <c r="K115" i="9"/>
  <c r="BR236" i="10"/>
  <c r="BR222" i="10"/>
  <c r="BR237" i="10" s="1"/>
  <c r="L430" i="1"/>
  <c r="K433" i="1"/>
  <c r="N193" i="9"/>
  <c r="R227" i="14"/>
  <c r="N120" i="9"/>
  <c r="N234" i="9"/>
  <c r="N124" i="9"/>
  <c r="N125" i="9" s="1"/>
  <c r="N173" i="9"/>
  <c r="N235" i="9"/>
  <c r="N121" i="9"/>
  <c r="N115" i="11"/>
  <c r="E37" i="12"/>
  <c r="E39" i="12" s="1"/>
  <c r="E41" i="12" s="1"/>
  <c r="R26" i="14" s="1"/>
  <c r="P86" i="9"/>
  <c r="BL124" i="9"/>
  <c r="BL125" i="9" s="1"/>
  <c r="BL234" i="9"/>
  <c r="BL121" i="9"/>
  <c r="M27" i="3"/>
  <c r="E656" i="16"/>
  <c r="E660" i="16" s="1"/>
  <c r="I74" i="9"/>
  <c r="W428" i="1"/>
  <c r="F10" i="7"/>
  <c r="K113" i="3"/>
  <c r="BE118" i="9"/>
  <c r="K243" i="3"/>
  <c r="K245" i="3" s="1"/>
  <c r="X445" i="1"/>
  <c r="K481" i="1"/>
  <c r="K463" i="1"/>
  <c r="BT213" i="12"/>
  <c r="F460" i="12" s="1"/>
  <c r="BX166" i="12"/>
  <c r="BX213" i="12"/>
  <c r="J460" i="12" s="1"/>
  <c r="F665" i="1" s="1"/>
  <c r="BT166" i="12"/>
  <c r="J163" i="12"/>
  <c r="J193" i="12"/>
  <c r="C577" i="1"/>
  <c r="J168" i="12"/>
  <c r="P98" i="9"/>
  <c r="P108" i="9"/>
  <c r="BL118" i="9"/>
  <c r="I93" i="3"/>
  <c r="I69" i="3"/>
  <c r="I90" i="3"/>
  <c r="BL87" i="9"/>
  <c r="BL88" i="9" s="1"/>
  <c r="BL82" i="9"/>
  <c r="BL85" i="9"/>
  <c r="BL86" i="9" s="1"/>
  <c r="CA273" i="10"/>
  <c r="CA305" i="10"/>
  <c r="CA308" i="10" s="1"/>
  <c r="O84" i="10"/>
  <c r="V273" i="9"/>
  <c r="L113" i="3"/>
  <c r="F18" i="7"/>
  <c r="S33" i="9"/>
  <c r="Y342" i="1"/>
  <c r="L444" i="1"/>
  <c r="K69" i="20"/>
  <c r="K279" i="3" s="1"/>
  <c r="L344" i="1"/>
  <c r="E720" i="1"/>
  <c r="D720" i="1" s="1"/>
  <c r="L346" i="1"/>
  <c r="L236" i="3"/>
  <c r="L240" i="3"/>
  <c r="M231" i="3"/>
  <c r="M116" i="11"/>
  <c r="M120" i="11"/>
  <c r="D130" i="12"/>
  <c r="Q21" i="14"/>
  <c r="Q108" i="14"/>
  <c r="Q120" i="14" s="1"/>
  <c r="Q201" i="14"/>
  <c r="Q207" i="14" s="1"/>
  <c r="M165" i="11"/>
  <c r="E703" i="16"/>
  <c r="M158" i="3"/>
  <c r="L160" i="3"/>
  <c r="O227" i="14"/>
  <c r="B37" i="12"/>
  <c r="K124" i="9"/>
  <c r="K125" i="9" s="1"/>
  <c r="M36" i="3"/>
  <c r="N36" i="3" s="1"/>
  <c r="O36" i="3" s="1"/>
  <c r="P36" i="3" s="1"/>
  <c r="Q36" i="3" s="1"/>
  <c r="R36" i="3" s="1"/>
  <c r="S36" i="3" s="1"/>
  <c r="L10" i="3"/>
  <c r="E664" i="16" s="1"/>
  <c r="C728" i="16"/>
  <c r="J253" i="3"/>
  <c r="BZ236" i="10"/>
  <c r="BZ222" i="10"/>
  <c r="BZ237" i="10" s="1"/>
  <c r="T268" i="9"/>
  <c r="T270" i="9" s="1"/>
  <c r="H73" i="9"/>
  <c r="T8" i="9"/>
  <c r="Y219" i="17" s="1"/>
  <c r="Y218" i="17"/>
  <c r="W219" i="14"/>
  <c r="M29" i="3"/>
  <c r="M15" i="3" s="1"/>
  <c r="E690" i="16"/>
  <c r="L15" i="3"/>
  <c r="M295" i="3"/>
  <c r="L270" i="3"/>
  <c r="E666" i="16" s="1"/>
  <c r="V112" i="1"/>
  <c r="AN52" i="1"/>
  <c r="AL59" i="1"/>
  <c r="V53" i="1"/>
  <c r="V127" i="1"/>
  <c r="AF126" i="1"/>
  <c r="AP118" i="1"/>
  <c r="O230" i="14"/>
  <c r="O239" i="14" s="1"/>
  <c r="B38" i="12"/>
  <c r="I301" i="3"/>
  <c r="V477" i="4"/>
  <c r="S465" i="4"/>
  <c r="S28" i="4"/>
  <c r="AG28" i="17" s="1"/>
  <c r="U423" i="4"/>
  <c r="T421" i="4"/>
  <c r="I312" i="4"/>
  <c r="I240" i="4"/>
  <c r="H13" i="5" s="1"/>
  <c r="AA139" i="17"/>
  <c r="L27" i="5"/>
  <c r="D179" i="28" s="1"/>
  <c r="X86" i="17"/>
  <c r="X210" i="17"/>
  <c r="D597" i="20"/>
  <c r="BF119" i="11"/>
  <c r="BB238" i="11"/>
  <c r="BB235" i="11"/>
  <c r="BB239" i="11"/>
  <c r="BL75" i="11"/>
  <c r="E3654" i="16"/>
  <c r="N78" i="4"/>
  <c r="X215" i="14"/>
  <c r="Y215" i="17"/>
  <c r="U5" i="9"/>
  <c r="Z215" i="17" s="1"/>
  <c r="Z214" i="17"/>
  <c r="BV268" i="12"/>
  <c r="H482" i="12" s="1"/>
  <c r="H269" i="12"/>
  <c r="I227" i="4"/>
  <c r="I200" i="4"/>
  <c r="C1032" i="16" s="1"/>
  <c r="M597" i="4"/>
  <c r="M502" i="4"/>
  <c r="H46" i="22"/>
  <c r="F99" i="22"/>
  <c r="C61" i="22"/>
  <c r="C103" i="22" s="1"/>
  <c r="C102" i="22"/>
  <c r="CA110" i="11"/>
  <c r="CA121" i="11"/>
  <c r="BR166" i="12"/>
  <c r="BG119" i="11"/>
  <c r="BZ298" i="11"/>
  <c r="BZ299" i="11" s="1"/>
  <c r="F625" i="1"/>
  <c r="AF158" i="20"/>
  <c r="H6" i="22"/>
  <c r="G70" i="22"/>
  <c r="G92" i="22" s="1"/>
  <c r="BG88" i="9"/>
  <c r="D653" i="16"/>
  <c r="C717" i="16" s="1"/>
  <c r="BY303" i="9"/>
  <c r="CA306" i="11"/>
  <c r="K121" i="9"/>
  <c r="J124" i="9"/>
  <c r="J125" i="9" s="1"/>
  <c r="N227" i="14"/>
  <c r="J118" i="9"/>
  <c r="BM121" i="9"/>
  <c r="BM234" i="9"/>
  <c r="BM124" i="9"/>
  <c r="BM125" i="9" s="1"/>
  <c r="BX284" i="11"/>
  <c r="BX112" i="11"/>
  <c r="BX113" i="11" s="1"/>
  <c r="BX116" i="11"/>
  <c r="BX110" i="11"/>
  <c r="BX119" i="11"/>
  <c r="CD312" i="9"/>
  <c r="CD280" i="9"/>
  <c r="E316" i="12"/>
  <c r="E268" i="12"/>
  <c r="E269" i="12" s="1"/>
  <c r="F34" i="7"/>
  <c r="BF112" i="11"/>
  <c r="BF113" i="11" s="1"/>
  <c r="BJ110" i="11"/>
  <c r="BM115" i="9"/>
  <c r="BO112" i="11" s="1"/>
  <c r="BO113" i="11" s="1"/>
  <c r="B316" i="12"/>
  <c r="B268" i="12"/>
  <c r="B273" i="12"/>
  <c r="L475" i="1"/>
  <c r="J318" i="3"/>
  <c r="CA284" i="11"/>
  <c r="CA119" i="11"/>
  <c r="CA112" i="11"/>
  <c r="CA113" i="11" s="1"/>
  <c r="BE234" i="9"/>
  <c r="BE124" i="9"/>
  <c r="BE125" i="9" s="1"/>
  <c r="BI121" i="9"/>
  <c r="N84" i="10"/>
  <c r="AC263" i="9"/>
  <c r="CD230" i="9"/>
  <c r="AC265" i="9" s="1"/>
  <c r="G607" i="1"/>
  <c r="G604" i="1"/>
  <c r="BY295" i="10"/>
  <c r="CA305" i="11"/>
  <c r="BY288" i="10"/>
  <c r="BZ289" i="10" s="1"/>
  <c r="BB118" i="9"/>
  <c r="M111" i="3"/>
  <c r="BC85" i="9"/>
  <c r="BG86" i="9" s="1"/>
  <c r="CC288" i="9"/>
  <c r="CB305" i="9"/>
  <c r="CD308" i="11"/>
  <c r="N124" i="10"/>
  <c r="N124" i="11" s="1"/>
  <c r="N135" i="10"/>
  <c r="N135" i="11" s="1"/>
  <c r="N138" i="10"/>
  <c r="N129" i="10" s="1"/>
  <c r="N130" i="10" s="1"/>
  <c r="BU312" i="9"/>
  <c r="BU280" i="9"/>
  <c r="BX315" i="9"/>
  <c r="BQ166" i="12"/>
  <c r="BD230" i="9"/>
  <c r="BD245" i="9" s="1"/>
  <c r="BD244" i="9"/>
  <c r="M225" i="14"/>
  <c r="I81" i="9"/>
  <c r="I82" i="9" s="1"/>
  <c r="J73" i="9"/>
  <c r="H193" i="12"/>
  <c r="BV166" i="12"/>
  <c r="BV213" i="12"/>
  <c r="H460" i="12" s="1"/>
  <c r="D665" i="1" s="1"/>
  <c r="BM119" i="11"/>
  <c r="BQ213" i="12"/>
  <c r="C460" i="12" s="1"/>
  <c r="CC112" i="10"/>
  <c r="BB222" i="10"/>
  <c r="BB237" i="10" s="1"/>
  <c r="BB236" i="10"/>
  <c r="CD81" i="10"/>
  <c r="CD82" i="10" s="1"/>
  <c r="CD83" i="10"/>
  <c r="CD84" i="10" s="1"/>
  <c r="F1557" i="16"/>
  <c r="F15" i="22"/>
  <c r="F1558" i="16" s="1"/>
  <c r="K68" i="3"/>
  <c r="K92" i="3" s="1"/>
  <c r="BX121" i="11"/>
  <c r="BS236" i="10"/>
  <c r="BS222" i="10"/>
  <c r="BS237" i="10" s="1"/>
  <c r="CF65" i="11"/>
  <c r="CF72" i="11"/>
  <c r="N123" i="11"/>
  <c r="AE156" i="20"/>
  <c r="AC156" i="20"/>
  <c r="AD156" i="20"/>
  <c r="AF156" i="20"/>
  <c r="AE158" i="20"/>
  <c r="AD158" i="20"/>
  <c r="AC158" i="20"/>
  <c r="G392" i="20"/>
  <c r="D1029" i="20"/>
  <c r="H2279" i="16"/>
  <c r="H2283" i="16"/>
  <c r="G1006" i="20"/>
  <c r="G1026" i="20" s="1"/>
  <c r="BV113" i="20"/>
  <c r="J404" i="1"/>
  <c r="L457" i="1"/>
  <c r="G58" i="24"/>
  <c r="E622" i="1"/>
  <c r="F693" i="1"/>
  <c r="E1557" i="16"/>
  <c r="E15" i="22"/>
  <c r="E1558" i="16" s="1"/>
  <c r="H2281" i="16"/>
  <c r="H2284" i="16"/>
  <c r="F85" i="22" s="1"/>
  <c r="I118" i="9"/>
  <c r="W418" i="1"/>
  <c r="D662" i="1"/>
  <c r="I2280" i="16"/>
  <c r="G83" i="22" s="1"/>
  <c r="I2282" i="16"/>
  <c r="G84" i="22" s="1"/>
  <c r="I2278" i="16"/>
  <c r="G82" i="22" s="1"/>
  <c r="L443" i="4"/>
  <c r="C2761" i="16"/>
  <c r="M570" i="4"/>
  <c r="N499" i="4"/>
  <c r="Q475" i="4"/>
  <c r="P475" i="4"/>
  <c r="CC232" i="11"/>
  <c r="CC235" i="11" s="1"/>
  <c r="BQ110" i="11"/>
  <c r="BJ75" i="11"/>
  <c r="BN76" i="11" s="1"/>
  <c r="CA75" i="11"/>
  <c r="C2522" i="16"/>
  <c r="BC237" i="11"/>
  <c r="F2371" i="16"/>
  <c r="F2367" i="16"/>
  <c r="F2368" i="16" s="1"/>
  <c r="F2369" i="16"/>
  <c r="F2375" i="16"/>
  <c r="F2376" i="16"/>
  <c r="E240" i="23"/>
  <c r="C2518" i="16" s="1"/>
  <c r="L273" i="4"/>
  <c r="K272" i="4"/>
  <c r="G851" i="16"/>
  <c r="J190" i="12"/>
  <c r="M958" i="12"/>
  <c r="E974" i="12" s="1"/>
  <c r="D974" i="12" s="1"/>
  <c r="D1055" i="20"/>
  <c r="D173" i="16"/>
  <c r="E173" i="16" s="1"/>
  <c r="F173" i="16" s="1"/>
  <c r="K479" i="4"/>
  <c r="K480" i="4" s="1"/>
  <c r="I221" i="4"/>
  <c r="I185" i="4" s="1"/>
  <c r="J219" i="4" s="1"/>
  <c r="D1049" i="16" s="1"/>
  <c r="W106" i="17"/>
  <c r="W120" i="17" s="1"/>
  <c r="F167" i="16"/>
  <c r="F195" i="16" s="1"/>
  <c r="E195" i="16"/>
  <c r="CA285" i="11"/>
  <c r="CA303" i="11" s="1"/>
  <c r="CA316" i="11" s="1"/>
  <c r="CA283" i="11"/>
  <c r="CA293" i="11" s="1"/>
  <c r="BY295" i="9"/>
  <c r="AA113" i="17"/>
  <c r="BI70" i="11"/>
  <c r="D625" i="1"/>
  <c r="BQ117" i="20"/>
  <c r="BZ292" i="11"/>
  <c r="BZ309" i="11" s="1"/>
  <c r="BX240" i="11"/>
  <c r="CB283" i="11"/>
  <c r="CC293" i="11" s="1"/>
  <c r="CC292" i="11" s="1"/>
  <c r="CC309" i="11" s="1"/>
  <c r="BF75" i="11"/>
  <c r="BU70" i="11"/>
  <c r="M175" i="12"/>
  <c r="J178" i="12"/>
  <c r="J180" i="12" s="1"/>
  <c r="J185" i="12" s="1"/>
  <c r="J186" i="12" s="1"/>
  <c r="M138" i="10"/>
  <c r="M129" i="10" s="1"/>
  <c r="M130" i="10" s="1"/>
  <c r="M124" i="10"/>
  <c r="M126" i="10" s="1"/>
  <c r="M126" i="11" s="1"/>
  <c r="M133" i="11"/>
  <c r="M123" i="11"/>
  <c r="M128" i="10"/>
  <c r="M443" i="4"/>
  <c r="J5" i="5"/>
  <c r="E231" i="23"/>
  <c r="F6" i="21"/>
  <c r="V12" i="9"/>
  <c r="AA217" i="17" s="1"/>
  <c r="U7" i="9"/>
  <c r="Z218" i="17" s="1"/>
  <c r="Y217" i="14"/>
  <c r="U35" i="9"/>
  <c r="U31" i="9" s="1"/>
  <c r="U6" i="9" s="1"/>
  <c r="H87" i="9"/>
  <c r="BZ237" i="11"/>
  <c r="H85" i="9"/>
  <c r="T223" i="9"/>
  <c r="T226" i="9" s="1"/>
  <c r="M6" i="3"/>
  <c r="F681" i="16" s="1"/>
  <c r="G457" i="1"/>
  <c r="M135" i="10"/>
  <c r="M135" i="11" s="1"/>
  <c r="T32" i="9"/>
  <c r="X218" i="14"/>
  <c r="K478" i="4"/>
  <c r="J591" i="1"/>
  <c r="J594" i="1" s="1"/>
  <c r="J580" i="1"/>
  <c r="P162" i="10"/>
  <c r="P159" i="10"/>
  <c r="P159" i="11" s="1"/>
  <c r="G424" i="4" s="1"/>
  <c r="G421" i="4" s="1"/>
  <c r="G465" i="4" s="1"/>
  <c r="BE66" i="11"/>
  <c r="BV84" i="10"/>
  <c r="CC315" i="11"/>
  <c r="D1559" i="16"/>
  <c r="BQ118" i="9"/>
  <c r="BV75" i="11"/>
  <c r="BT82" i="10"/>
  <c r="P147" i="11"/>
  <c r="P150" i="11" s="1"/>
  <c r="D523" i="8"/>
  <c r="P145" i="11"/>
  <c r="D518" i="8"/>
  <c r="E1834" i="16"/>
  <c r="E1835" i="16" s="1"/>
  <c r="D1844" i="16"/>
  <c r="D520" i="8"/>
  <c r="M202" i="20"/>
  <c r="I345" i="20"/>
  <c r="I285" i="20"/>
  <c r="C1016" i="16" s="1"/>
  <c r="C381" i="16"/>
  <c r="C391" i="16" s="1"/>
  <c r="C1857" i="16"/>
  <c r="C1739" i="16"/>
  <c r="AA48" i="17"/>
  <c r="D998" i="20"/>
  <c r="K117" i="20"/>
  <c r="BK117" i="20" s="1"/>
  <c r="K137" i="20"/>
  <c r="BO115" i="20"/>
  <c r="BK115" i="20"/>
  <c r="E32" i="24"/>
  <c r="E33" i="24"/>
  <c r="F34" i="24" s="1"/>
  <c r="BR118" i="20"/>
  <c r="G1005" i="20"/>
  <c r="G1025" i="20" s="1"/>
  <c r="Q123" i="20"/>
  <c r="R146" i="20"/>
  <c r="H296" i="16"/>
  <c r="D414" i="16"/>
  <c r="F296" i="16"/>
  <c r="E1431" i="16"/>
  <c r="BQ985" i="12"/>
  <c r="CF110" i="11"/>
  <c r="E982" i="12"/>
  <c r="E996" i="12" s="1"/>
  <c r="D978" i="12"/>
  <c r="E992" i="12"/>
  <c r="F978" i="12"/>
  <c r="F982" i="12" s="1"/>
  <c r="BG76" i="11"/>
  <c r="BM112" i="11"/>
  <c r="BM113" i="11" s="1"/>
  <c r="F190" i="12"/>
  <c r="C794" i="12"/>
  <c r="R127" i="20"/>
  <c r="BT117" i="20"/>
  <c r="R135" i="20"/>
  <c r="D999" i="20" s="1"/>
  <c r="D1019" i="20" s="1"/>
  <c r="L345" i="20"/>
  <c r="D877" i="20" s="1"/>
  <c r="D46" i="24"/>
  <c r="X428" i="12"/>
  <c r="D794" i="12"/>
  <c r="N117" i="20"/>
  <c r="N123" i="20" s="1"/>
  <c r="D49" i="24"/>
  <c r="E38" i="24"/>
  <c r="F39" i="24" s="1"/>
  <c r="E37" i="24"/>
  <c r="R115" i="20"/>
  <c r="D33" i="24"/>
  <c r="E46" i="24"/>
  <c r="F47" i="24" s="1"/>
  <c r="E43" i="24"/>
  <c r="F44" i="24" s="1"/>
  <c r="E42" i="24"/>
  <c r="L285" i="20"/>
  <c r="D866" i="20" s="1"/>
  <c r="L76" i="20"/>
  <c r="J599" i="4"/>
  <c r="I482" i="4"/>
  <c r="J482" i="4" s="1"/>
  <c r="J34" i="4" s="1"/>
  <c r="I53" i="5" s="1"/>
  <c r="H215" i="4"/>
  <c r="C516" i="16"/>
  <c r="C517" i="16" s="1"/>
  <c r="D471" i="16"/>
  <c r="U28" i="17"/>
  <c r="H64" i="5"/>
  <c r="C1614" i="16"/>
  <c r="F1603" i="16" s="1"/>
  <c r="C486" i="16"/>
  <c r="X5" i="17"/>
  <c r="X6" i="17" s="1"/>
  <c r="F284" i="16"/>
  <c r="C1618" i="16"/>
  <c r="F1567" i="16"/>
  <c r="H624" i="4"/>
  <c r="L176" i="4"/>
  <c r="L365" i="4"/>
  <c r="M364" i="4"/>
  <c r="I8" i="5"/>
  <c r="C170" i="16" s="1"/>
  <c r="D366" i="16"/>
  <c r="D372" i="16" s="1"/>
  <c r="H284" i="16"/>
  <c r="BC238" i="11"/>
  <c r="BC240" i="11"/>
  <c r="BC239" i="11"/>
  <c r="BC236" i="11"/>
  <c r="F993" i="12"/>
  <c r="H920" i="12"/>
  <c r="H923" i="12" s="1"/>
  <c r="T43" i="9"/>
  <c r="AT106" i="1"/>
  <c r="E26" i="25"/>
  <c r="F27" i="25" s="1"/>
  <c r="E25" i="25"/>
  <c r="R373" i="12"/>
  <c r="R372" i="12" s="1"/>
  <c r="E42" i="25"/>
  <c r="I48" i="4" s="1"/>
  <c r="N373" i="12"/>
  <c r="D42" i="25"/>
  <c r="H48" i="4" s="1"/>
  <c r="E31" i="25"/>
  <c r="F32" i="25" s="1"/>
  <c r="E30" i="25"/>
  <c r="E35" i="25"/>
  <c r="E36" i="25"/>
  <c r="F37" i="25" s="1"/>
  <c r="AT104" i="1"/>
  <c r="AT107" i="1"/>
  <c r="AT105" i="1"/>
  <c r="G245" i="4"/>
  <c r="U22" i="17"/>
  <c r="G253" i="4"/>
  <c r="F851" i="16"/>
  <c r="C1955" i="8"/>
  <c r="M417" i="4"/>
  <c r="L165" i="4"/>
  <c r="D241" i="4"/>
  <c r="E185" i="4"/>
  <c r="F40" i="16"/>
  <c r="R324" i="20"/>
  <c r="AL446" i="20"/>
  <c r="O372" i="12"/>
  <c r="CC372" i="12" s="1"/>
  <c r="BF231" i="11"/>
  <c r="BF120" i="11"/>
  <c r="BF121" i="11" s="1"/>
  <c r="BF117" i="11"/>
  <c r="BF116" i="11"/>
  <c r="BJ117" i="11"/>
  <c r="BP116" i="11"/>
  <c r="BP231" i="11"/>
  <c r="BT117" i="11"/>
  <c r="G315" i="4"/>
  <c r="U104" i="17"/>
  <c r="U103" i="17" s="1"/>
  <c r="BU213" i="12"/>
  <c r="G460" i="12" s="1"/>
  <c r="C665" i="1" s="1"/>
  <c r="G193" i="12"/>
  <c r="BU166" i="12"/>
  <c r="CB112" i="11"/>
  <c r="CB113" i="11" s="1"/>
  <c r="CB119" i="11"/>
  <c r="CB110" i="11"/>
  <c r="CB116" i="11"/>
  <c r="CB284" i="11"/>
  <c r="G168" i="12"/>
  <c r="M227" i="14"/>
  <c r="I124" i="9"/>
  <c r="I125" i="9" s="1"/>
  <c r="J121" i="9"/>
  <c r="BP120" i="11"/>
  <c r="BP121" i="11" s="1"/>
  <c r="BN85" i="9"/>
  <c r="BN86" i="9" s="1"/>
  <c r="BN82" i="9"/>
  <c r="BN87" i="9"/>
  <c r="BN88" i="9" s="1"/>
  <c r="Q193" i="11"/>
  <c r="L224" i="14"/>
  <c r="L226" i="14" s="1"/>
  <c r="BU82" i="11"/>
  <c r="BK88" i="9"/>
  <c r="F273" i="12"/>
  <c r="B513" i="12" s="1"/>
  <c r="F268" i="12"/>
  <c r="F293" i="12"/>
  <c r="BP266" i="12"/>
  <c r="F213" i="12"/>
  <c r="BP213" i="12" s="1"/>
  <c r="B460" i="12" s="1"/>
  <c r="F316" i="12"/>
  <c r="BT266" i="12"/>
  <c r="I115" i="9"/>
  <c r="BP72" i="11"/>
  <c r="BT70" i="11"/>
  <c r="BP66" i="11"/>
  <c r="BP70" i="11"/>
  <c r="E329" i="16"/>
  <c r="E331" i="16" s="1"/>
  <c r="F286" i="16"/>
  <c r="H286" i="16"/>
  <c r="D1665" i="16"/>
  <c r="F205" i="16"/>
  <c r="F230" i="16" s="1"/>
  <c r="L200" i="16"/>
  <c r="L203" i="16" s="1"/>
  <c r="B462" i="16"/>
  <c r="D197" i="16"/>
  <c r="E197" i="16" s="1"/>
  <c r="F197" i="16" s="1"/>
  <c r="D216" i="16"/>
  <c r="H238" i="16" s="1"/>
  <c r="J1137" i="16"/>
  <c r="F1139" i="16"/>
  <c r="F1140" i="16" s="1"/>
  <c r="C411" i="16"/>
  <c r="C412" i="16" s="1"/>
  <c r="BR110" i="11"/>
  <c r="BR112" i="11"/>
  <c r="BR113" i="11" s="1"/>
  <c r="I538" i="12"/>
  <c r="C539" i="12"/>
  <c r="I539" i="12" s="1"/>
  <c r="G642" i="16"/>
  <c r="O284" i="3"/>
  <c r="P284" i="3" s="1"/>
  <c r="Q284" i="3" s="1"/>
  <c r="R284" i="3" s="1"/>
  <c r="S284" i="3" s="1"/>
  <c r="BM236" i="10"/>
  <c r="BM222" i="10"/>
  <c r="BM237" i="10" s="1"/>
  <c r="H308" i="4"/>
  <c r="H310" i="4" s="1"/>
  <c r="H175" i="4"/>
  <c r="BF82" i="10"/>
  <c r="BJ82" i="10"/>
  <c r="BV110" i="11"/>
  <c r="T212" i="11"/>
  <c r="U224" i="9"/>
  <c r="U271" i="9" s="1"/>
  <c r="BQ84" i="10"/>
  <c r="BM84" i="10"/>
  <c r="BV70" i="11"/>
  <c r="BR70" i="11"/>
  <c r="BR66" i="11"/>
  <c r="BR72" i="11"/>
  <c r="CE110" i="11"/>
  <c r="CE119" i="11"/>
  <c r="CE112" i="11"/>
  <c r="CE113" i="11" s="1"/>
  <c r="CE284" i="11"/>
  <c r="G10" i="7"/>
  <c r="G34" i="7"/>
  <c r="G26" i="7"/>
  <c r="N136" i="11"/>
  <c r="N138" i="11" s="1"/>
  <c r="N131" i="9"/>
  <c r="N133" i="9" s="1"/>
  <c r="F732" i="1"/>
  <c r="E734" i="1"/>
  <c r="F734" i="1" s="1"/>
  <c r="BZ236" i="11"/>
  <c r="CC373" i="12"/>
  <c r="W118" i="17"/>
  <c r="W103" i="17"/>
  <c r="T271" i="9"/>
  <c r="W86" i="14"/>
  <c r="S48" i="11"/>
  <c r="W210" i="14"/>
  <c r="S35" i="11"/>
  <c r="S58" i="11"/>
  <c r="V258" i="10"/>
  <c r="W214" i="10"/>
  <c r="W258" i="10" s="1"/>
  <c r="CC273" i="10"/>
  <c r="CC305" i="10"/>
  <c r="CC308" i="10" s="1"/>
  <c r="N154" i="10"/>
  <c r="N155" i="10" s="1"/>
  <c r="N157" i="10" s="1"/>
  <c r="R130" i="9"/>
  <c r="R115" i="9" s="1"/>
  <c r="R133" i="9"/>
  <c r="R134" i="9" s="1"/>
  <c r="I316" i="12"/>
  <c r="BW266" i="12"/>
  <c r="BS266" i="12"/>
  <c r="I268" i="12"/>
  <c r="I213" i="12"/>
  <c r="BS213" i="12" s="1"/>
  <c r="E460" i="12" s="1"/>
  <c r="P160" i="9"/>
  <c r="O132" i="9"/>
  <c r="O127" i="11"/>
  <c r="BT222" i="10"/>
  <c r="BT237" i="10" s="1"/>
  <c r="BT236" i="10"/>
  <c r="BQ66" i="11"/>
  <c r="BQ70" i="11"/>
  <c r="BY290" i="9"/>
  <c r="BY307" i="9" s="1"/>
  <c r="BZ240" i="11"/>
  <c r="BZ238" i="11"/>
  <c r="N6" i="3"/>
  <c r="S188" i="10"/>
  <c r="T188" i="10" s="1"/>
  <c r="E484" i="16"/>
  <c r="K164" i="4"/>
  <c r="R132" i="11"/>
  <c r="BZ84" i="10"/>
  <c r="BY88" i="9"/>
  <c r="BP84" i="10"/>
  <c r="BT84" i="10"/>
  <c r="BP118" i="9"/>
  <c r="Q113" i="10"/>
  <c r="Q124" i="10"/>
  <c r="Q126" i="10" s="1"/>
  <c r="Q126" i="11" s="1"/>
  <c r="V168" i="11"/>
  <c r="W151" i="11"/>
  <c r="F462" i="4"/>
  <c r="F288" i="4"/>
  <c r="F300" i="4"/>
  <c r="F389" i="4"/>
  <c r="BQ236" i="10"/>
  <c r="BQ222" i="10"/>
  <c r="BQ237" i="10" s="1"/>
  <c r="R27" i="14"/>
  <c r="R9" i="14"/>
  <c r="N219" i="11"/>
  <c r="R209" i="14"/>
  <c r="X101" i="17"/>
  <c r="O82" i="11"/>
  <c r="CD234" i="10"/>
  <c r="CD235" i="10"/>
  <c r="CD231" i="10"/>
  <c r="AD254" i="10" s="1"/>
  <c r="CD232" i="10"/>
  <c r="AD257" i="10" s="1"/>
  <c r="CD230" i="10"/>
  <c r="CD233" i="10"/>
  <c r="CD236" i="10"/>
  <c r="AD259" i="10" s="1"/>
  <c r="C149" i="18"/>
  <c r="C150" i="18" s="1"/>
  <c r="D150" i="18"/>
  <c r="BI77" i="11"/>
  <c r="BI75" i="11"/>
  <c r="E39" i="21"/>
  <c r="T48" i="10"/>
  <c r="T13" i="11"/>
  <c r="X263" i="14"/>
  <c r="U13" i="10"/>
  <c r="Z263" i="17" s="1"/>
  <c r="S68" i="10"/>
  <c r="D46" i="21"/>
  <c r="S132" i="10"/>
  <c r="S133" i="10" s="1"/>
  <c r="S138" i="10" s="1"/>
  <c r="W264" i="14"/>
  <c r="U258" i="10"/>
  <c r="BL231" i="11"/>
  <c r="BL120" i="11"/>
  <c r="BL121" i="11" s="1"/>
  <c r="BL116" i="11"/>
  <c r="BP117" i="11"/>
  <c r="BP87" i="9"/>
  <c r="BP85" i="9"/>
  <c r="BP82" i="9"/>
  <c r="BT82" i="9"/>
  <c r="X217" i="10"/>
  <c r="E389" i="4"/>
  <c r="E391" i="4" s="1"/>
  <c r="E462" i="4"/>
  <c r="E466" i="4" s="1"/>
  <c r="E490" i="4" s="1"/>
  <c r="E494" i="4" s="1"/>
  <c r="E300" i="4"/>
  <c r="E301" i="4" s="1"/>
  <c r="N269" i="3"/>
  <c r="O293" i="3"/>
  <c r="L6" i="3"/>
  <c r="N129" i="9"/>
  <c r="BK86" i="9"/>
  <c r="J315" i="3"/>
  <c r="AF97" i="1"/>
  <c r="AS97" i="1" s="1"/>
  <c r="AF96" i="1"/>
  <c r="AS96" i="1" s="1"/>
  <c r="AF95" i="1"/>
  <c r="AS95" i="1" s="1"/>
  <c r="AF99" i="1"/>
  <c r="AS99" i="1" s="1"/>
  <c r="AF101" i="1"/>
  <c r="AS101" i="1" s="1"/>
  <c r="AF100" i="1"/>
  <c r="AS100" i="1" s="1"/>
  <c r="T196" i="9"/>
  <c r="S186" i="11"/>
  <c r="W11" i="14" s="1"/>
  <c r="BK234" i="9"/>
  <c r="BK124" i="9"/>
  <c r="BK125" i="9" s="1"/>
  <c r="BQ117" i="11"/>
  <c r="BK121" i="9"/>
  <c r="CC222" i="10"/>
  <c r="CC237" i="10" s="1"/>
  <c r="CC236" i="10"/>
  <c r="BZ239" i="11"/>
  <c r="R184" i="11"/>
  <c r="R193" i="11" s="1"/>
  <c r="E4" i="21"/>
  <c r="R133" i="10"/>
  <c r="R135" i="10" s="1"/>
  <c r="R135" i="11" s="1"/>
  <c r="BR119" i="11"/>
  <c r="AT108" i="1"/>
  <c r="AT109" i="1"/>
  <c r="BC222" i="10"/>
  <c r="BC237" i="10" s="1"/>
  <c r="BC236" i="10"/>
  <c r="BK118" i="9"/>
  <c r="U4" i="10"/>
  <c r="Z241" i="17" s="1"/>
  <c r="X241" i="14"/>
  <c r="U213" i="10"/>
  <c r="V213" i="10" s="1"/>
  <c r="CD305" i="11"/>
  <c r="CD298" i="11"/>
  <c r="X442" i="1"/>
  <c r="K478" i="1"/>
  <c r="K460" i="1"/>
  <c r="BX307" i="9"/>
  <c r="BX289" i="9"/>
  <c r="BX306" i="9" s="1"/>
  <c r="V73" i="17"/>
  <c r="V71" i="14"/>
  <c r="V211" i="14"/>
  <c r="R68" i="11"/>
  <c r="R59" i="11"/>
  <c r="G54" i="16"/>
  <c r="N187" i="3"/>
  <c r="H118" i="9"/>
  <c r="F932" i="12"/>
  <c r="BO121" i="9"/>
  <c r="BX307" i="10"/>
  <c r="BO88" i="9"/>
  <c r="D369" i="16"/>
  <c r="C387" i="16" s="1"/>
  <c r="G269" i="12"/>
  <c r="AT111" i="1"/>
  <c r="BQ268" i="12"/>
  <c r="C482" i="12" s="1"/>
  <c r="AT110" i="1"/>
  <c r="W225" i="9"/>
  <c r="O181" i="9"/>
  <c r="O174" i="11" s="1"/>
  <c r="S141" i="14" s="1"/>
  <c r="BP124" i="9"/>
  <c r="BP125" i="9" s="1"/>
  <c r="BP121" i="9"/>
  <c r="BP234" i="9"/>
  <c r="BT121" i="9"/>
  <c r="Q145" i="10"/>
  <c r="Q147" i="10" s="1"/>
  <c r="Q150" i="10" s="1"/>
  <c r="Q155" i="10" s="1"/>
  <c r="Q157" i="10" s="1"/>
  <c r="Q143" i="11"/>
  <c r="E518" i="8" s="1"/>
  <c r="Q128" i="10"/>
  <c r="Q130" i="10"/>
  <c r="Q123" i="11"/>
  <c r="Q128" i="11" s="1"/>
  <c r="P176" i="10"/>
  <c r="AF98" i="1"/>
  <c r="AS98" i="1" s="1"/>
  <c r="BY305" i="9"/>
  <c r="CA308" i="11"/>
  <c r="O133" i="9"/>
  <c r="S21" i="10"/>
  <c r="W249" i="14"/>
  <c r="S22" i="10"/>
  <c r="S23" i="10" s="1"/>
  <c r="BF84" i="10"/>
  <c r="BJ84" i="10"/>
  <c r="C588" i="1"/>
  <c r="C591" i="1"/>
  <c r="CD288" i="10"/>
  <c r="CD293" i="10"/>
  <c r="CD306" i="10" s="1"/>
  <c r="CD307" i="10" s="1"/>
  <c r="N119" i="11"/>
  <c r="E129" i="12"/>
  <c r="R20" i="14"/>
  <c r="N110" i="11"/>
  <c r="N112" i="11"/>
  <c r="N113" i="11" s="1"/>
  <c r="R198" i="14"/>
  <c r="R200" i="14" s="1"/>
  <c r="N77" i="11"/>
  <c r="N75" i="11"/>
  <c r="R70" i="14"/>
  <c r="R74" i="14" s="1"/>
  <c r="AC261" i="10"/>
  <c r="CD237" i="10"/>
  <c r="AD261" i="10" s="1"/>
  <c r="CB232" i="11"/>
  <c r="CA232" i="11"/>
  <c r="BQ82" i="10"/>
  <c r="BM82" i="10"/>
  <c r="G475" i="1"/>
  <c r="I318" i="3"/>
  <c r="BZ82" i="11"/>
  <c r="BV82" i="11"/>
  <c r="I315" i="3"/>
  <c r="T257" i="10"/>
  <c r="T259" i="10" s="1"/>
  <c r="T263" i="10" s="1"/>
  <c r="T189" i="10" s="1"/>
  <c r="CC295" i="10"/>
  <c r="CE305" i="11"/>
  <c r="BU289" i="10"/>
  <c r="BV289" i="10"/>
  <c r="Q209" i="14"/>
  <c r="Q9" i="14"/>
  <c r="M219" i="11"/>
  <c r="Q27" i="14"/>
  <c r="F650" i="16"/>
  <c r="T4" i="11"/>
  <c r="K447" i="1"/>
  <c r="C625" i="16"/>
  <c r="D625" i="16" s="1"/>
  <c r="E625" i="16" s="1"/>
  <c r="G625" i="16" s="1"/>
  <c r="K70" i="20"/>
  <c r="K20" i="3" s="1"/>
  <c r="L292" i="1"/>
  <c r="L290" i="1"/>
  <c r="L402" i="1"/>
  <c r="L447" i="1" s="1"/>
  <c r="L442" i="1"/>
  <c r="CE104" i="11"/>
  <c r="CE98" i="11"/>
  <c r="CE97" i="11"/>
  <c r="CE94" i="11"/>
  <c r="CE99" i="11"/>
  <c r="BM70" i="11"/>
  <c r="BM66" i="11"/>
  <c r="BM72" i="11"/>
  <c r="BX244" i="9"/>
  <c r="BX230" i="9"/>
  <c r="BX245" i="9" s="1"/>
  <c r="N134" i="11"/>
  <c r="G18" i="7"/>
  <c r="P327" i="20"/>
  <c r="BY82" i="10"/>
  <c r="CF313" i="11"/>
  <c r="CF281" i="11"/>
  <c r="BY84" i="10"/>
  <c r="BZ82" i="10"/>
  <c r="BW75" i="11"/>
  <c r="BW77" i="11"/>
  <c r="CA78" i="11" s="1"/>
  <c r="K14" i="5"/>
  <c r="Y13" i="17"/>
  <c r="Y15" i="17"/>
  <c r="J1652" i="16"/>
  <c r="T390" i="12"/>
  <c r="L625" i="1"/>
  <c r="K126" i="12"/>
  <c r="X18" i="14" s="1"/>
  <c r="J615" i="1"/>
  <c r="J616" i="1" s="1"/>
  <c r="G599" i="1"/>
  <c r="H696" i="1" s="1"/>
  <c r="K236" i="20"/>
  <c r="I881" i="12"/>
  <c r="N625" i="1"/>
  <c r="M625" i="1"/>
  <c r="D788" i="16"/>
  <c r="D800" i="16" s="1"/>
  <c r="E1449" i="16"/>
  <c r="E1451" i="16" s="1"/>
  <c r="CB367" i="12"/>
  <c r="C936" i="1"/>
  <c r="C937" i="1" s="1"/>
  <c r="K286" i="20"/>
  <c r="O277" i="20"/>
  <c r="L1440" i="16"/>
  <c r="L1442" i="16" s="1"/>
  <c r="L1445" i="16" s="1"/>
  <c r="Y214" i="14"/>
  <c r="V4" i="9"/>
  <c r="F934" i="12"/>
  <c r="T50" i="9"/>
  <c r="T44" i="9"/>
  <c r="X216" i="14"/>
  <c r="T51" i="9"/>
  <c r="E5" i="21"/>
  <c r="T410" i="12"/>
  <c r="T416" i="12" s="1"/>
  <c r="T417" i="12" s="1"/>
  <c r="CA367" i="12"/>
  <c r="J649" i="20"/>
  <c r="BP106" i="20"/>
  <c r="S107" i="20"/>
  <c r="CB241" i="9"/>
  <c r="CB238" i="9"/>
  <c r="CB244" i="9"/>
  <c r="CB242" i="9"/>
  <c r="CB243" i="9"/>
  <c r="CB240" i="9"/>
  <c r="CB239" i="9"/>
  <c r="CB245" i="9"/>
  <c r="BN78" i="11"/>
  <c r="BY239" i="9"/>
  <c r="BY238" i="9"/>
  <c r="BY242" i="9"/>
  <c r="BY240" i="9"/>
  <c r="BY244" i="9"/>
  <c r="BY245" i="9"/>
  <c r="BY241" i="9"/>
  <c r="BY243" i="9"/>
  <c r="CD75" i="11"/>
  <c r="CD77" i="11"/>
  <c r="CA245" i="9"/>
  <c r="CA239" i="9"/>
  <c r="CA240" i="9"/>
  <c r="CA243" i="9"/>
  <c r="CA242" i="9"/>
  <c r="CA241" i="9"/>
  <c r="CA238" i="9"/>
  <c r="CA244" i="9"/>
  <c r="G1040" i="16"/>
  <c r="N209" i="4"/>
  <c r="M27" i="5" s="1"/>
  <c r="N456" i="4"/>
  <c r="N232" i="4"/>
  <c r="J935" i="20"/>
  <c r="N252" i="3"/>
  <c r="G7" i="16" s="1"/>
  <c r="R327" i="20"/>
  <c r="P249" i="3"/>
  <c r="N255" i="3"/>
  <c r="O252" i="3"/>
  <c r="O258" i="3" s="1"/>
  <c r="O260" i="3" s="1"/>
  <c r="O340" i="3" s="1"/>
  <c r="K936" i="20"/>
  <c r="D657" i="20"/>
  <c r="L125" i="12"/>
  <c r="X7" i="14"/>
  <c r="G1068" i="16"/>
  <c r="C678" i="20"/>
  <c r="D1252" i="16"/>
  <c r="U390" i="12"/>
  <c r="D1244" i="16"/>
  <c r="D1251" i="16"/>
  <c r="C736" i="16"/>
  <c r="C734" i="16"/>
  <c r="C726" i="16" s="1"/>
  <c r="C737" i="16"/>
  <c r="CD283" i="11"/>
  <c r="CD315" i="11"/>
  <c r="BW315" i="11"/>
  <c r="BW318" i="11" s="1"/>
  <c r="BW283" i="11"/>
  <c r="BA235" i="11"/>
  <c r="BA239" i="11"/>
  <c r="BA236" i="11"/>
  <c r="BA238" i="11"/>
  <c r="BA240" i="11"/>
  <c r="BA227" i="11"/>
  <c r="BA228" i="11" s="1"/>
  <c r="BX77" i="11"/>
  <c r="BX75" i="11"/>
  <c r="BG78" i="11"/>
  <c r="C733" i="16"/>
  <c r="C725" i="16" s="1"/>
  <c r="H151" i="12"/>
  <c r="U106" i="14"/>
  <c r="U120" i="14" s="1"/>
  <c r="Q221" i="11"/>
  <c r="Q218" i="11"/>
  <c r="V209" i="17" s="1"/>
  <c r="E341" i="16"/>
  <c r="E369" i="16" s="1"/>
  <c r="D387" i="16" s="1"/>
  <c r="D1246" i="16"/>
  <c r="D1245" i="16"/>
  <c r="D1249" i="16"/>
  <c r="D1250" i="16"/>
  <c r="D1243" i="16"/>
  <c r="D1247" i="16"/>
  <c r="G1451" i="16"/>
  <c r="D1248" i="16"/>
  <c r="O1426" i="16"/>
  <c r="N1426" i="16"/>
  <c r="BS82" i="10"/>
  <c r="BW82" i="10"/>
  <c r="CB82" i="10"/>
  <c r="BX82" i="10"/>
  <c r="BZ75" i="11"/>
  <c r="BZ77" i="11"/>
  <c r="BZ78" i="11" s="1"/>
  <c r="BB223" i="11"/>
  <c r="BB237" i="11"/>
  <c r="CB77" i="11"/>
  <c r="CB75" i="11"/>
  <c r="BS84" i="10"/>
  <c r="BW84" i="10"/>
  <c r="CB84" i="10"/>
  <c r="BX84" i="10"/>
  <c r="F770" i="16"/>
  <c r="N1419" i="16"/>
  <c r="N1431" i="16" s="1"/>
  <c r="E599" i="1"/>
  <c r="F696" i="1" s="1"/>
  <c r="D987" i="12"/>
  <c r="D988" i="12" s="1"/>
  <c r="E988" i="12"/>
  <c r="E995" i="12" s="1"/>
  <c r="H190" i="20"/>
  <c r="D597" i="1"/>
  <c r="D694" i="1" s="1"/>
  <c r="D607" i="1"/>
  <c r="O582" i="1"/>
  <c r="J346" i="20"/>
  <c r="J286" i="20"/>
  <c r="M278" i="20"/>
  <c r="B744" i="12"/>
  <c r="C743" i="12"/>
  <c r="I286" i="20"/>
  <c r="J194" i="20"/>
  <c r="F599" i="1"/>
  <c r="G696" i="1" s="1"/>
  <c r="F609" i="1"/>
  <c r="E910" i="12"/>
  <c r="E914" i="12" s="1"/>
  <c r="C928" i="12"/>
  <c r="E928" i="12" s="1"/>
  <c r="G928" i="12" s="1"/>
  <c r="F994" i="12"/>
  <c r="G987" i="12"/>
  <c r="G994" i="12" s="1"/>
  <c r="D4" i="21"/>
  <c r="W215" i="14"/>
  <c r="S43" i="9"/>
  <c r="I392" i="20"/>
  <c r="E614" i="1"/>
  <c r="I887" i="12"/>
  <c r="D981" i="12"/>
  <c r="F1447" i="16"/>
  <c r="F1451" i="16"/>
  <c r="I903" i="12"/>
  <c r="I907" i="12" s="1"/>
  <c r="E712" i="20"/>
  <c r="D712" i="20" s="1"/>
  <c r="BN113" i="20"/>
  <c r="F178" i="16"/>
  <c r="F184" i="16"/>
  <c r="E371" i="16"/>
  <c r="F371" i="16" s="1"/>
  <c r="E155" i="16"/>
  <c r="F150" i="16"/>
  <c r="F155" i="16" s="1"/>
  <c r="F157" i="16" s="1"/>
  <c r="D213" i="16"/>
  <c r="D168" i="16"/>
  <c r="D174" i="16" s="1"/>
  <c r="E434" i="16"/>
  <c r="F429" i="16"/>
  <c r="F434" i="16" s="1"/>
  <c r="F436" i="16" s="1"/>
  <c r="D157" i="16"/>
  <c r="D279" i="16"/>
  <c r="D770" i="16"/>
  <c r="D519" i="16"/>
  <c r="N137" i="20"/>
  <c r="J936" i="20"/>
  <c r="BZ373" i="12"/>
  <c r="CD373" i="12"/>
  <c r="P372" i="12"/>
  <c r="N618" i="1"/>
  <c r="P617" i="1"/>
  <c r="F479" i="12"/>
  <c r="BR113" i="20"/>
  <c r="N127" i="20"/>
  <c r="K935" i="20"/>
  <c r="I1013" i="16"/>
  <c r="F930" i="20"/>
  <c r="M258" i="3"/>
  <c r="M260" i="3" s="1"/>
  <c r="M340" i="3" s="1"/>
  <c r="BN115" i="20"/>
  <c r="C249" i="18"/>
  <c r="M324" i="20"/>
  <c r="M352" i="20" s="1"/>
  <c r="M358" i="20" s="1"/>
  <c r="C892" i="20" s="1"/>
  <c r="F43" i="16"/>
  <c r="C250" i="18"/>
  <c r="Q368" i="20"/>
  <c r="Q371" i="20" s="1"/>
  <c r="C262" i="18"/>
  <c r="C263" i="18" s="1"/>
  <c r="D238" i="18"/>
  <c r="J930" i="20"/>
  <c r="AL448" i="20"/>
  <c r="B460" i="20"/>
  <c r="B471" i="20" s="1"/>
  <c r="E197" i="18"/>
  <c r="L123" i="20"/>
  <c r="BP117" i="20"/>
  <c r="BL117" i="20"/>
  <c r="G930" i="20"/>
  <c r="D244" i="18"/>
  <c r="J937" i="20"/>
  <c r="I930" i="20"/>
  <c r="I938" i="20" s="1"/>
  <c r="B486" i="20"/>
  <c r="AL464" i="20"/>
  <c r="F25" i="12"/>
  <c r="F26" i="12" s="1"/>
  <c r="G123" i="12"/>
  <c r="BL236" i="10"/>
  <c r="BL222" i="10"/>
  <c r="BL237" i="10" s="1"/>
  <c r="D1045" i="16"/>
  <c r="D1560" i="16"/>
  <c r="D37" i="22"/>
  <c r="H8" i="22"/>
  <c r="G11" i="22"/>
  <c r="G15" i="22" s="1"/>
  <c r="G1558" i="16" s="1"/>
  <c r="BK77" i="11"/>
  <c r="BK75" i="11"/>
  <c r="O483" i="4"/>
  <c r="BD70" i="11"/>
  <c r="BD66" i="11"/>
  <c r="BD72" i="11"/>
  <c r="O84" i="3"/>
  <c r="N59" i="3"/>
  <c r="N60" i="3" s="1"/>
  <c r="N61" i="3" s="1"/>
  <c r="P138" i="10"/>
  <c r="P129" i="10" s="1"/>
  <c r="P133" i="11"/>
  <c r="P124" i="10"/>
  <c r="P126" i="10" s="1"/>
  <c r="P126" i="11" s="1"/>
  <c r="BS110" i="11"/>
  <c r="BW110" i="11"/>
  <c r="L62" i="22"/>
  <c r="P81" i="10"/>
  <c r="P82" i="10" s="1"/>
  <c r="T251" i="14"/>
  <c r="T253" i="14" s="1"/>
  <c r="P88" i="10"/>
  <c r="P83" i="10"/>
  <c r="P84" i="10" s="1"/>
  <c r="P89" i="10"/>
  <c r="P87" i="10"/>
  <c r="P78" i="10"/>
  <c r="I263" i="4"/>
  <c r="P133" i="3"/>
  <c r="O101" i="3"/>
  <c r="O103" i="3" s="1"/>
  <c r="BU77" i="11"/>
  <c r="BU75" i="11"/>
  <c r="BY76" i="11" s="1"/>
  <c r="BU305" i="10"/>
  <c r="BU273" i="10"/>
  <c r="D621" i="16"/>
  <c r="CB308" i="10"/>
  <c r="M288" i="3"/>
  <c r="E692" i="16"/>
  <c r="B487" i="20"/>
  <c r="AL465" i="20"/>
  <c r="W67" i="9"/>
  <c r="R176" i="9"/>
  <c r="R157" i="9"/>
  <c r="R224" i="11"/>
  <c r="F358" i="16"/>
  <c r="F352" i="16"/>
  <c r="BF78" i="11"/>
  <c r="BJ78" i="11"/>
  <c r="BW235" i="11"/>
  <c r="BW238" i="11"/>
  <c r="BW237" i="11"/>
  <c r="BW236" i="11"/>
  <c r="BW239" i="11"/>
  <c r="BW240" i="11"/>
  <c r="BX222" i="10"/>
  <c r="BX237" i="10" s="1"/>
  <c r="BX236" i="10"/>
  <c r="V9" i="10"/>
  <c r="U9" i="11"/>
  <c r="U31" i="11" s="1"/>
  <c r="C100" i="16"/>
  <c r="R66" i="10"/>
  <c r="Q62" i="11"/>
  <c r="Q77" i="10"/>
  <c r="V251" i="17" s="1"/>
  <c r="V253" i="17" s="1"/>
  <c r="Q74" i="10"/>
  <c r="Q79" i="10" s="1"/>
  <c r="G260" i="4"/>
  <c r="G461" i="4"/>
  <c r="G492" i="4" s="1"/>
  <c r="G388" i="4"/>
  <c r="N282" i="3"/>
  <c r="BH66" i="11"/>
  <c r="BL70" i="11"/>
  <c r="BH72" i="11"/>
  <c r="BH70" i="11"/>
  <c r="BS66" i="11"/>
  <c r="BW70" i="11"/>
  <c r="BS70" i="11"/>
  <c r="BS72" i="11"/>
  <c r="K231" i="4"/>
  <c r="K215" i="4"/>
  <c r="H930" i="20"/>
  <c r="BT77" i="11"/>
  <c r="BT75" i="11"/>
  <c r="CC312" i="9"/>
  <c r="CC280" i="9"/>
  <c r="F7" i="16"/>
  <c r="W229" i="9"/>
  <c r="W273" i="9" s="1"/>
  <c r="L56" i="3"/>
  <c r="I121" i="9"/>
  <c r="L227" i="14"/>
  <c r="H124" i="9"/>
  <c r="H125" i="9" s="1"/>
  <c r="BD119" i="11"/>
  <c r="L274" i="3"/>
  <c r="P592" i="1"/>
  <c r="R592" i="1" s="1"/>
  <c r="R591" i="1"/>
  <c r="G1013" i="16"/>
  <c r="K1013" i="16"/>
  <c r="T235" i="14"/>
  <c r="P231" i="9"/>
  <c r="BF118" i="9"/>
  <c r="BH119" i="11"/>
  <c r="BE77" i="11"/>
  <c r="BE75" i="11"/>
  <c r="BE82" i="11"/>
  <c r="BI82" i="11"/>
  <c r="R137" i="3"/>
  <c r="V194" i="9"/>
  <c r="W154" i="9"/>
  <c r="BM86" i="9"/>
  <c r="O75" i="11"/>
  <c r="S70" i="14"/>
  <c r="S74" i="14" s="1"/>
  <c r="O77" i="11"/>
  <c r="S198" i="14"/>
  <c r="S200" i="14" s="1"/>
  <c r="O73" i="11"/>
  <c r="C760" i="12"/>
  <c r="C807" i="12"/>
  <c r="BV88" i="9"/>
  <c r="BY307" i="10"/>
  <c r="BY308" i="10"/>
  <c r="R297" i="3"/>
  <c r="X5" i="14"/>
  <c r="X6" i="14" s="1"/>
  <c r="L124" i="12"/>
  <c r="E684" i="16"/>
  <c r="L267" i="3"/>
  <c r="D474" i="16"/>
  <c r="C492" i="16" s="1"/>
  <c r="E446" i="16"/>
  <c r="D447" i="16"/>
  <c r="G56" i="2"/>
  <c r="G57" i="2"/>
  <c r="L133" i="9"/>
  <c r="L129" i="9"/>
  <c r="L124" i="11"/>
  <c r="L125" i="11" s="1"/>
  <c r="V104" i="14"/>
  <c r="V119" i="14" s="1"/>
  <c r="R222" i="11"/>
  <c r="V140" i="9"/>
  <c r="U136" i="11"/>
  <c r="BE120" i="11"/>
  <c r="BE121" i="11" s="1"/>
  <c r="BE117" i="11"/>
  <c r="BE231" i="11"/>
  <c r="BE116" i="11"/>
  <c r="BI117" i="11"/>
  <c r="BS119" i="11"/>
  <c r="Q372" i="12"/>
  <c r="CA372" i="12" s="1"/>
  <c r="CA373" i="12"/>
  <c r="J40" i="22"/>
  <c r="BS86" i="9"/>
  <c r="BW86" i="9"/>
  <c r="T73" i="14"/>
  <c r="P70" i="11"/>
  <c r="P66" i="11"/>
  <c r="R291" i="3"/>
  <c r="BY313" i="9"/>
  <c r="CB313" i="9"/>
  <c r="CA313" i="9"/>
  <c r="BZ313" i="9"/>
  <c r="L435" i="4"/>
  <c r="BD110" i="11"/>
  <c r="Y140" i="14"/>
  <c r="Y13" i="14"/>
  <c r="Z13" i="14" s="1"/>
  <c r="F16" i="21"/>
  <c r="Y237" i="14"/>
  <c r="U72" i="9"/>
  <c r="U136" i="9"/>
  <c r="BX305" i="10"/>
  <c r="BX308" i="10" s="1"/>
  <c r="BX273" i="10"/>
  <c r="Q224" i="11"/>
  <c r="Q157" i="9"/>
  <c r="Q176" i="9"/>
  <c r="S137" i="9"/>
  <c r="S139" i="9" s="1"/>
  <c r="L2580" i="16"/>
  <c r="R72" i="13"/>
  <c r="M2580" i="16"/>
  <c r="AL463" i="20"/>
  <c r="B485" i="20"/>
  <c r="E1559" i="16"/>
  <c r="BX235" i="11"/>
  <c r="BX239" i="11"/>
  <c r="BX238" i="11"/>
  <c r="BX236" i="11"/>
  <c r="BX237" i="11"/>
  <c r="P169" i="11"/>
  <c r="L306" i="3"/>
  <c r="L308" i="3" s="1"/>
  <c r="L337" i="3" s="1"/>
  <c r="BW88" i="9"/>
  <c r="BS88" i="9"/>
  <c r="S39" i="10"/>
  <c r="D34" i="21"/>
  <c r="S41" i="10"/>
  <c r="W242" i="14"/>
  <c r="S5" i="11"/>
  <c r="X189" i="17" s="1"/>
  <c r="M267" i="3"/>
  <c r="F684" i="16"/>
  <c r="BF85" i="9"/>
  <c r="BF87" i="9"/>
  <c r="BJ82" i="9"/>
  <c r="U221" i="9"/>
  <c r="N80" i="3"/>
  <c r="M53" i="3"/>
  <c r="M55" i="3" s="1"/>
  <c r="BQ77" i="11"/>
  <c r="BQ75" i="11"/>
  <c r="BC230" i="9"/>
  <c r="BC245" i="9" s="1"/>
  <c r="BC244" i="9"/>
  <c r="BF121" i="9"/>
  <c r="BF234" i="9"/>
  <c r="BJ121" i="9"/>
  <c r="BF124" i="9"/>
  <c r="BF125" i="9" s="1"/>
  <c r="BV86" i="9"/>
  <c r="CA307" i="10"/>
  <c r="P135" i="10"/>
  <c r="P135" i="11" s="1"/>
  <c r="I129" i="12"/>
  <c r="R119" i="11"/>
  <c r="V20" i="14"/>
  <c r="R121" i="11"/>
  <c r="R116" i="11"/>
  <c r="S157" i="9"/>
  <c r="S176" i="9"/>
  <c r="CD235" i="11"/>
  <c r="CD237" i="11"/>
  <c r="CD240" i="11"/>
  <c r="CD236" i="11"/>
  <c r="CD239" i="11"/>
  <c r="CD238" i="11"/>
  <c r="J569" i="4"/>
  <c r="J601" i="4" s="1"/>
  <c r="I601" i="4"/>
  <c r="W103" i="14"/>
  <c r="S211" i="11"/>
  <c r="S214" i="11" s="1"/>
  <c r="W104" i="14" s="1"/>
  <c r="P197" i="14"/>
  <c r="L109" i="11"/>
  <c r="L64" i="11"/>
  <c r="L65" i="11"/>
  <c r="L72" i="11"/>
  <c r="L66" i="11"/>
  <c r="L55" i="11"/>
  <c r="M82" i="11" s="1"/>
  <c r="M80" i="11"/>
  <c r="P23" i="3"/>
  <c r="AF120" i="1"/>
  <c r="X393" i="1"/>
  <c r="K404" i="1"/>
  <c r="C623" i="16" s="1"/>
  <c r="D623" i="16" s="1"/>
  <c r="E623" i="16" s="1"/>
  <c r="G623" i="16" s="1"/>
  <c r="I623" i="16" s="1"/>
  <c r="H115" i="9"/>
  <c r="W40" i="9"/>
  <c r="BB115" i="9"/>
  <c r="BD112" i="11" s="1"/>
  <c r="BD113" i="11" s="1"/>
  <c r="BB234" i="9"/>
  <c r="BB124" i="9"/>
  <c r="BB125" i="9" s="1"/>
  <c r="K275" i="3"/>
  <c r="D702" i="16"/>
  <c r="D704" i="16" s="1"/>
  <c r="D705" i="16" s="1"/>
  <c r="C719" i="16" s="1"/>
  <c r="M286" i="20"/>
  <c r="Q277" i="20"/>
  <c r="E936" i="1"/>
  <c r="M277" i="20"/>
  <c r="F463" i="16"/>
  <c r="F457" i="16"/>
  <c r="BH112" i="11"/>
  <c r="BH113" i="11" s="1"/>
  <c r="BH110" i="11"/>
  <c r="BL110" i="11"/>
  <c r="BU222" i="10"/>
  <c r="BU237" i="10" s="1"/>
  <c r="BU236" i="10"/>
  <c r="U203" i="9"/>
  <c r="V220" i="9"/>
  <c r="V267" i="9" s="1"/>
  <c r="BQ231" i="11"/>
  <c r="BQ116" i="11"/>
  <c r="BQ120" i="11"/>
  <c r="BQ121" i="11" s="1"/>
  <c r="BU117" i="11"/>
  <c r="K597" i="4"/>
  <c r="BS230" i="9"/>
  <c r="CC230" i="9"/>
  <c r="BZ307" i="10"/>
  <c r="N172" i="4"/>
  <c r="BB87" i="9"/>
  <c r="BB85" i="9"/>
  <c r="D59" i="18"/>
  <c r="D60" i="18" s="1"/>
  <c r="E60" i="18"/>
  <c r="BY238" i="11"/>
  <c r="BY236" i="11"/>
  <c r="BY240" i="11"/>
  <c r="BY239" i="11"/>
  <c r="BY237" i="11"/>
  <c r="BY235" i="11"/>
  <c r="L124" i="9"/>
  <c r="L125" i="9" s="1"/>
  <c r="L115" i="11"/>
  <c r="C37" i="12"/>
  <c r="C39" i="12" s="1"/>
  <c r="C41" i="12" s="1"/>
  <c r="L120" i="9"/>
  <c r="M121" i="9"/>
  <c r="L121" i="9"/>
  <c r="P227" i="14"/>
  <c r="W6" i="14"/>
  <c r="P123" i="11"/>
  <c r="P128" i="11" s="1"/>
  <c r="P128" i="10"/>
  <c r="BQ115" i="9"/>
  <c r="BS112" i="11" s="1"/>
  <c r="BS113" i="11" s="1"/>
  <c r="BQ234" i="9"/>
  <c r="BQ124" i="9"/>
  <c r="BQ125" i="9" s="1"/>
  <c r="BU121" i="9"/>
  <c r="BQ121" i="9"/>
  <c r="D348" i="16"/>
  <c r="U37" i="10"/>
  <c r="T5" i="10"/>
  <c r="Y242" i="17" s="1"/>
  <c r="O155" i="10"/>
  <c r="O157" i="10" s="1"/>
  <c r="R124" i="10"/>
  <c r="R124" i="11" s="1"/>
  <c r="R127" i="10"/>
  <c r="R123" i="11"/>
  <c r="N107" i="3"/>
  <c r="N108" i="3" s="1"/>
  <c r="G682" i="16"/>
  <c r="H682" i="16" s="1"/>
  <c r="N104" i="3"/>
  <c r="BQ85" i="9"/>
  <c r="BQ87" i="9"/>
  <c r="BQ82" i="9"/>
  <c r="BU82" i="9"/>
  <c r="V218" i="9"/>
  <c r="V265" i="9" s="1"/>
  <c r="C443" i="16"/>
  <c r="C449" i="16"/>
  <c r="F355" i="4"/>
  <c r="F345" i="4"/>
  <c r="G345" i="4" s="1"/>
  <c r="F348" i="4"/>
  <c r="F311" i="4"/>
  <c r="F351" i="4"/>
  <c r="G351" i="4" s="1"/>
  <c r="F358" i="4"/>
  <c r="F197" i="18"/>
  <c r="Y15" i="14"/>
  <c r="Z140" i="14"/>
  <c r="V137" i="11"/>
  <c r="D7" i="16"/>
  <c r="E37" i="16"/>
  <c r="E40" i="16"/>
  <c r="B480" i="20"/>
  <c r="AL458" i="20"/>
  <c r="F710" i="20"/>
  <c r="E707" i="20"/>
  <c r="N368" i="20"/>
  <c r="D892" i="20"/>
  <c r="D953" i="20"/>
  <c r="B481" i="20"/>
  <c r="AL459" i="20"/>
  <c r="F37" i="16"/>
  <c r="S324" i="20"/>
  <c r="S327" i="20"/>
  <c r="P352" i="20"/>
  <c r="M312" i="3"/>
  <c r="C758" i="16"/>
  <c r="L327" i="3"/>
  <c r="B461" i="20"/>
  <c r="B472" i="20" s="1"/>
  <c r="E43" i="16"/>
  <c r="K930" i="20"/>
  <c r="O123" i="20"/>
  <c r="BS117" i="20"/>
  <c r="D965" i="20"/>
  <c r="H1140" i="16"/>
  <c r="K121" i="12"/>
  <c r="I122" i="12"/>
  <c r="O1435" i="16"/>
  <c r="V189" i="14" l="1"/>
  <c r="R39" i="11"/>
  <c r="R37" i="11"/>
  <c r="W74" i="17"/>
  <c r="S71" i="5"/>
  <c r="R78" i="5"/>
  <c r="S69" i="11"/>
  <c r="W72" i="14"/>
  <c r="T61" i="11"/>
  <c r="X199" i="14" s="1"/>
  <c r="U65" i="10"/>
  <c r="U61" i="11" s="1"/>
  <c r="E48" i="21"/>
  <c r="W199" i="14"/>
  <c r="C686" i="16"/>
  <c r="N126" i="3"/>
  <c r="O126" i="3" s="1"/>
  <c r="O128" i="11"/>
  <c r="F641" i="16"/>
  <c r="F644" i="16" s="1"/>
  <c r="F645" i="16" s="1"/>
  <c r="M113" i="3"/>
  <c r="Y252" i="17"/>
  <c r="M197" i="3"/>
  <c r="G50" i="16" s="1"/>
  <c r="G49" i="16"/>
  <c r="H46" i="16"/>
  <c r="N196" i="3"/>
  <c r="H49" i="16" s="1"/>
  <c r="D686" i="16"/>
  <c r="N204" i="3"/>
  <c r="G683" i="16" s="1"/>
  <c r="H683" i="16" s="1"/>
  <c r="E709" i="16"/>
  <c r="L68" i="3"/>
  <c r="L69" i="3" s="1"/>
  <c r="M66" i="3"/>
  <c r="N66" i="3" s="1"/>
  <c r="N76" i="11"/>
  <c r="D458" i="12"/>
  <c r="C781" i="12"/>
  <c r="C782" i="12" s="1"/>
  <c r="Q64" i="11"/>
  <c r="N78" i="11"/>
  <c r="BW213" i="12"/>
  <c r="I460" i="12" s="1"/>
  <c r="E665" i="1" s="1"/>
  <c r="R80" i="11"/>
  <c r="Q65" i="11"/>
  <c r="Q55" i="11"/>
  <c r="R82" i="11" s="1"/>
  <c r="Q80" i="11"/>
  <c r="V197" i="17"/>
  <c r="Q109" i="11"/>
  <c r="U20" i="14" s="1"/>
  <c r="D552" i="12" s="1"/>
  <c r="O126" i="10"/>
  <c r="O126" i="11" s="1"/>
  <c r="O124" i="11"/>
  <c r="O125" i="11" s="1"/>
  <c r="C520" i="8"/>
  <c r="O145" i="11"/>
  <c r="C523" i="8"/>
  <c r="BZ307" i="9"/>
  <c r="T8" i="10"/>
  <c r="Y246" i="17" s="1"/>
  <c r="BR268" i="12"/>
  <c r="D482" i="12" s="1"/>
  <c r="T7" i="11"/>
  <c r="X84" i="14" s="1"/>
  <c r="T29" i="10"/>
  <c r="M127" i="11"/>
  <c r="M128" i="11" s="1"/>
  <c r="X245" i="14"/>
  <c r="M132" i="9"/>
  <c r="CE75" i="11"/>
  <c r="CE76" i="11" s="1"/>
  <c r="K201" i="20"/>
  <c r="R77" i="3"/>
  <c r="R63" i="3" s="1"/>
  <c r="R64" i="3" s="1"/>
  <c r="Y419" i="1"/>
  <c r="E466" i="1"/>
  <c r="W448" i="1"/>
  <c r="BS166" i="12"/>
  <c r="CC237" i="11"/>
  <c r="J69" i="3"/>
  <c r="J89" i="3"/>
  <c r="J95" i="3" s="1"/>
  <c r="J97" i="3" s="1"/>
  <c r="T46" i="10"/>
  <c r="W15" i="9"/>
  <c r="W66" i="9" s="1"/>
  <c r="W68" i="9" s="1"/>
  <c r="AB237" i="17" s="1"/>
  <c r="Z236" i="14"/>
  <c r="V66" i="9"/>
  <c r="V68" i="9" s="1"/>
  <c r="AA237" i="17" s="1"/>
  <c r="G9" i="21"/>
  <c r="C708" i="16"/>
  <c r="C712" i="16" s="1"/>
  <c r="V52" i="9"/>
  <c r="J19" i="3"/>
  <c r="F665" i="16"/>
  <c r="Q134" i="9"/>
  <c r="F18" i="21"/>
  <c r="G707" i="1"/>
  <c r="CD289" i="10"/>
  <c r="Y225" i="14"/>
  <c r="T40" i="10"/>
  <c r="E35" i="21"/>
  <c r="X243" i="14"/>
  <c r="T6" i="11"/>
  <c r="T28" i="11" s="1"/>
  <c r="T47" i="10"/>
  <c r="Y243" i="17"/>
  <c r="T21" i="10"/>
  <c r="V69" i="9"/>
  <c r="AA225" i="17" s="1"/>
  <c r="F36" i="21"/>
  <c r="Y244" i="14"/>
  <c r="U7" i="10"/>
  <c r="Z245" i="17" s="1"/>
  <c r="K7" i="3"/>
  <c r="G118" i="9"/>
  <c r="V10" i="10"/>
  <c r="AA244" i="17" s="1"/>
  <c r="R30" i="11"/>
  <c r="U256" i="10"/>
  <c r="U151" i="10" s="1"/>
  <c r="U153" i="10" s="1"/>
  <c r="G465" i="1"/>
  <c r="Q116" i="9"/>
  <c r="Q117" i="9" s="1"/>
  <c r="H121" i="9"/>
  <c r="J285" i="20"/>
  <c r="D1016" i="16" s="1"/>
  <c r="G448" i="1"/>
  <c r="G484" i="1" s="1"/>
  <c r="U32" i="10"/>
  <c r="U28" i="10" s="1"/>
  <c r="U6" i="10" s="1"/>
  <c r="F35" i="21" s="1"/>
  <c r="O221" i="11"/>
  <c r="G124" i="9"/>
  <c r="G125" i="9" s="1"/>
  <c r="J345" i="20"/>
  <c r="U208" i="11"/>
  <c r="Y101" i="14" s="1"/>
  <c r="G483" i="1"/>
  <c r="U10" i="11"/>
  <c r="Y81" i="14" s="1"/>
  <c r="S108" i="14"/>
  <c r="S123" i="14" s="1"/>
  <c r="R38" i="11"/>
  <c r="W85" i="17"/>
  <c r="T211" i="11"/>
  <c r="T214" i="11" s="1"/>
  <c r="X104" i="14" s="1"/>
  <c r="V85" i="14"/>
  <c r="CC120" i="9"/>
  <c r="W193" i="17"/>
  <c r="X103" i="14"/>
  <c r="O165" i="9"/>
  <c r="J61" i="2"/>
  <c r="M116" i="3"/>
  <c r="F691" i="16"/>
  <c r="P219" i="11"/>
  <c r="T27" i="14"/>
  <c r="T143" i="14" s="1"/>
  <c r="L119" i="3"/>
  <c r="CC239" i="11"/>
  <c r="P75" i="11"/>
  <c r="P76" i="11" s="1"/>
  <c r="P77" i="11"/>
  <c r="P78" i="11" s="1"/>
  <c r="R187" i="11"/>
  <c r="R204" i="10"/>
  <c r="R200" i="11" s="1"/>
  <c r="T70" i="14"/>
  <c r="T74" i="14" s="1"/>
  <c r="T198" i="14"/>
  <c r="T200" i="14" s="1"/>
  <c r="P73" i="11"/>
  <c r="G657" i="16"/>
  <c r="O128" i="3"/>
  <c r="O111" i="3" s="1"/>
  <c r="R171" i="10"/>
  <c r="R170" i="11" s="1"/>
  <c r="V136" i="14" s="1"/>
  <c r="O155" i="11"/>
  <c r="O156" i="11" s="1"/>
  <c r="O158" i="11" s="1"/>
  <c r="T22" i="10"/>
  <c r="T23" i="10" s="1"/>
  <c r="O222" i="11"/>
  <c r="X249" i="14"/>
  <c r="F130" i="12"/>
  <c r="Q111" i="11"/>
  <c r="S201" i="14"/>
  <c r="S207" i="14" s="1"/>
  <c r="O165" i="11"/>
  <c r="S134" i="14" s="1"/>
  <c r="T261" i="14"/>
  <c r="S21" i="14"/>
  <c r="W71" i="14"/>
  <c r="R99" i="9"/>
  <c r="S68" i="11"/>
  <c r="O120" i="11"/>
  <c r="F132" i="12" s="1"/>
  <c r="P204" i="10"/>
  <c r="P200" i="11" s="1"/>
  <c r="P202" i="11" s="1"/>
  <c r="F38" i="21"/>
  <c r="T9" i="14"/>
  <c r="T209" i="14"/>
  <c r="CC121" i="9"/>
  <c r="C458" i="12"/>
  <c r="U45" i="10"/>
  <c r="Y247" i="14"/>
  <c r="P119" i="11"/>
  <c r="T43" i="11"/>
  <c r="I272" i="12"/>
  <c r="I317" i="12" s="1"/>
  <c r="I167" i="12" s="1"/>
  <c r="I168" i="12" s="1"/>
  <c r="Y191" i="17"/>
  <c r="P457" i="1"/>
  <c r="P420" i="1"/>
  <c r="AD407" i="1"/>
  <c r="P412" i="1"/>
  <c r="T32" i="11"/>
  <c r="P112" i="11"/>
  <c r="P113" i="11" s="1"/>
  <c r="X191" i="14"/>
  <c r="S238" i="14"/>
  <c r="CC124" i="9"/>
  <c r="CC125" i="9" s="1"/>
  <c r="Y81" i="17"/>
  <c r="V12" i="10"/>
  <c r="AA247" i="17" s="1"/>
  <c r="G129" i="12"/>
  <c r="U43" i="9"/>
  <c r="T20" i="14"/>
  <c r="B552" i="12" s="1"/>
  <c r="AF28" i="1"/>
  <c r="AF125" i="1" s="1"/>
  <c r="Y199" i="17"/>
  <c r="F37" i="21"/>
  <c r="T69" i="11"/>
  <c r="Y83" i="17"/>
  <c r="AF10" i="1"/>
  <c r="AF105" i="1" s="1"/>
  <c r="CA289" i="9"/>
  <c r="CA306" i="9" s="1"/>
  <c r="K285" i="20"/>
  <c r="K345" i="20"/>
  <c r="C877" i="20" s="1"/>
  <c r="L183" i="3"/>
  <c r="F52" i="16" s="1"/>
  <c r="O183" i="11"/>
  <c r="CC83" i="10"/>
  <c r="CC84" i="10" s="1"/>
  <c r="CC81" i="10"/>
  <c r="CC82" i="10" s="1"/>
  <c r="Q206" i="10"/>
  <c r="S8" i="11"/>
  <c r="X193" i="17" s="1"/>
  <c r="CC238" i="11"/>
  <c r="S47" i="11"/>
  <c r="CC236" i="11"/>
  <c r="W190" i="14"/>
  <c r="O199" i="9"/>
  <c r="O202" i="9" s="1"/>
  <c r="O205" i="9" s="1"/>
  <c r="S234" i="14" s="1"/>
  <c r="CC240" i="11"/>
  <c r="K277" i="3"/>
  <c r="S46" i="11"/>
  <c r="S28" i="11"/>
  <c r="X195" i="14"/>
  <c r="E661" i="16"/>
  <c r="T44" i="11"/>
  <c r="L88" i="9"/>
  <c r="C724" i="16"/>
  <c r="T33" i="11"/>
  <c r="CB296" i="9"/>
  <c r="U44" i="10"/>
  <c r="U11" i="11"/>
  <c r="U44" i="11" s="1"/>
  <c r="V11" i="10"/>
  <c r="AA248" i="17" s="1"/>
  <c r="X83" i="14"/>
  <c r="U20" i="10"/>
  <c r="Z249" i="17" s="1"/>
  <c r="Y248" i="14"/>
  <c r="B786" i="12"/>
  <c r="B787" i="12" s="1"/>
  <c r="C788" i="12" s="1"/>
  <c r="BY78" i="11"/>
  <c r="E52" i="16"/>
  <c r="O7" i="3"/>
  <c r="W246" i="14"/>
  <c r="O78" i="11"/>
  <c r="CB289" i="9"/>
  <c r="CB306" i="9" s="1"/>
  <c r="V152" i="10"/>
  <c r="T60" i="11"/>
  <c r="Y211" i="17" s="1"/>
  <c r="S30" i="10"/>
  <c r="BN235" i="9"/>
  <c r="BN238" i="9" s="1"/>
  <c r="T132" i="10"/>
  <c r="P109" i="9"/>
  <c r="BO235" i="9"/>
  <c r="BO245" i="9" s="1"/>
  <c r="CD283" i="10"/>
  <c r="CD300" i="10" s="1"/>
  <c r="T170" i="10"/>
  <c r="Q99" i="9"/>
  <c r="E46" i="21"/>
  <c r="K69" i="3"/>
  <c r="K89" i="3"/>
  <c r="K95" i="3" s="1"/>
  <c r="K97" i="3" s="1"/>
  <c r="H82" i="9"/>
  <c r="X84" i="17"/>
  <c r="W192" i="14"/>
  <c r="W84" i="14"/>
  <c r="S29" i="11"/>
  <c r="X192" i="17"/>
  <c r="P187" i="11"/>
  <c r="B539" i="12"/>
  <c r="H539" i="12" s="1"/>
  <c r="BQ235" i="9"/>
  <c r="BQ243" i="9" s="1"/>
  <c r="BR86" i="9"/>
  <c r="G681" i="16"/>
  <c r="H681" i="16" s="1"/>
  <c r="U4" i="11"/>
  <c r="Y79" i="14" s="1"/>
  <c r="W73" i="17"/>
  <c r="S59" i="11"/>
  <c r="J24" i="2"/>
  <c r="AA221" i="17"/>
  <c r="V48" i="9"/>
  <c r="Z221" i="14"/>
  <c r="W13" i="9"/>
  <c r="G7" i="21"/>
  <c r="W211" i="14"/>
  <c r="G68" i="12"/>
  <c r="BO24" i="12" s="1"/>
  <c r="BO25" i="12" s="1"/>
  <c r="U257" i="10"/>
  <c r="B39" i="12"/>
  <c r="B41" i="12" s="1"/>
  <c r="Q130" i="11"/>
  <c r="BY289" i="9"/>
  <c r="BY306" i="9" s="1"/>
  <c r="BZ296" i="9"/>
  <c r="X219" i="14"/>
  <c r="T274" i="9"/>
  <c r="T157" i="9" s="1"/>
  <c r="T152" i="11" s="1"/>
  <c r="X109" i="14" s="1"/>
  <c r="T33" i="9"/>
  <c r="X264" i="14"/>
  <c r="X190" i="17"/>
  <c r="S82" i="3"/>
  <c r="S58" i="3" s="1"/>
  <c r="R58" i="3"/>
  <c r="S189" i="10"/>
  <c r="S170" i="10"/>
  <c r="S169" i="11" s="1"/>
  <c r="T68" i="10"/>
  <c r="V210" i="11"/>
  <c r="Z102" i="14" s="1"/>
  <c r="X222" i="9"/>
  <c r="X269" i="9" s="1"/>
  <c r="BP235" i="9"/>
  <c r="BP241" i="9" s="1"/>
  <c r="V269" i="9"/>
  <c r="BR88" i="9"/>
  <c r="F700" i="16"/>
  <c r="M16" i="3"/>
  <c r="P199" i="9"/>
  <c r="P183" i="11"/>
  <c r="R201" i="14"/>
  <c r="R207" i="14" s="1"/>
  <c r="R108" i="14"/>
  <c r="N120" i="11"/>
  <c r="N221" i="11"/>
  <c r="R21" i="14"/>
  <c r="N165" i="11"/>
  <c r="E130" i="12"/>
  <c r="N222" i="11"/>
  <c r="N117" i="11"/>
  <c r="N199" i="9"/>
  <c r="N188" i="9"/>
  <c r="N183" i="11"/>
  <c r="M150" i="10"/>
  <c r="M154" i="10" s="1"/>
  <c r="M155" i="10" s="1"/>
  <c r="M157" i="10" s="1"/>
  <c r="M147" i="11"/>
  <c r="M150" i="11" s="1"/>
  <c r="P165" i="11"/>
  <c r="T134" i="14" s="1"/>
  <c r="Q117" i="11"/>
  <c r="G130" i="12"/>
  <c r="U201" i="17"/>
  <c r="U207" i="17" s="1"/>
  <c r="T21" i="14"/>
  <c r="T108" i="14"/>
  <c r="T201" i="14"/>
  <c r="T207" i="14" s="1"/>
  <c r="P221" i="11"/>
  <c r="P222" i="11"/>
  <c r="P120" i="11"/>
  <c r="G87" i="9"/>
  <c r="H88" i="9" s="1"/>
  <c r="F690" i="16"/>
  <c r="N29" i="3"/>
  <c r="N15" i="3" s="1"/>
  <c r="O238" i="14"/>
  <c r="O233" i="14"/>
  <c r="K716" i="1"/>
  <c r="D725" i="1"/>
  <c r="F725" i="1" s="1"/>
  <c r="D719" i="1"/>
  <c r="F719" i="1" s="1"/>
  <c r="F720" i="1" s="1"/>
  <c r="Y445" i="1"/>
  <c r="L481" i="1"/>
  <c r="B815" i="12"/>
  <c r="B768" i="12"/>
  <c r="H542" i="12"/>
  <c r="B544" i="12"/>
  <c r="H544" i="12" s="1"/>
  <c r="K160" i="3"/>
  <c r="K168" i="3"/>
  <c r="K163" i="3"/>
  <c r="L163" i="3"/>
  <c r="K165" i="3"/>
  <c r="K114" i="3"/>
  <c r="K119" i="3"/>
  <c r="K120" i="3" s="1"/>
  <c r="V22" i="14"/>
  <c r="D697" i="16"/>
  <c r="G85" i="9"/>
  <c r="H86" i="9" s="1"/>
  <c r="M160" i="3"/>
  <c r="E667" i="16"/>
  <c r="E668" i="16" s="1"/>
  <c r="E711" i="16"/>
  <c r="M121" i="11"/>
  <c r="D132" i="12"/>
  <c r="Q25" i="14"/>
  <c r="C578" i="1"/>
  <c r="C581" i="1" s="1"/>
  <c r="G191" i="20"/>
  <c r="N577" i="1"/>
  <c r="C598" i="1"/>
  <c r="C696" i="1" s="1"/>
  <c r="L12" i="3"/>
  <c r="L13" i="3" s="1"/>
  <c r="M10" i="3"/>
  <c r="F664" i="16" s="1"/>
  <c r="F656" i="16"/>
  <c r="F660" i="16" s="1"/>
  <c r="F661" i="16" s="1"/>
  <c r="N27" i="3"/>
  <c r="L431" i="1"/>
  <c r="L433" i="1"/>
  <c r="L271" i="3"/>
  <c r="L272" i="3" s="1"/>
  <c r="BZ300" i="10"/>
  <c r="BZ282" i="10"/>
  <c r="BZ299" i="10" s="1"/>
  <c r="T238" i="14"/>
  <c r="T233" i="14"/>
  <c r="L238" i="3"/>
  <c r="L243" i="3"/>
  <c r="L245" i="3" s="1"/>
  <c r="CA76" i="11"/>
  <c r="E694" i="16"/>
  <c r="E696" i="16" s="1"/>
  <c r="L114" i="3"/>
  <c r="D297" i="23"/>
  <c r="O117" i="11"/>
  <c r="N158" i="3"/>
  <c r="F703" i="16"/>
  <c r="K300" i="3"/>
  <c r="K303" i="3"/>
  <c r="L280" i="3"/>
  <c r="N181" i="9"/>
  <c r="N174" i="11" s="1"/>
  <c r="R141" i="14" s="1"/>
  <c r="M202" i="9"/>
  <c r="M205" i="9" s="1"/>
  <c r="Q234" i="14" s="1"/>
  <c r="M189" i="11"/>
  <c r="B592" i="12"/>
  <c r="B580" i="12"/>
  <c r="B591" i="12" s="1"/>
  <c r="U238" i="17"/>
  <c r="U233" i="17"/>
  <c r="Q122" i="14"/>
  <c r="Q125" i="14"/>
  <c r="Q123" i="14"/>
  <c r="Q119" i="14"/>
  <c r="Q118" i="14"/>
  <c r="CA283" i="10"/>
  <c r="CB283" i="10"/>
  <c r="CB282" i="10" s="1"/>
  <c r="CB299" i="10" s="1"/>
  <c r="U215" i="10"/>
  <c r="U218" i="10" s="1"/>
  <c r="C63" i="22"/>
  <c r="L234" i="3"/>
  <c r="Y444" i="1"/>
  <c r="L462" i="1"/>
  <c r="L480" i="1"/>
  <c r="J279" i="3"/>
  <c r="F648" i="16"/>
  <c r="F652" i="16" s="1"/>
  <c r="F653" i="16" s="1"/>
  <c r="E717" i="16" s="1"/>
  <c r="O423" i="1"/>
  <c r="N426" i="1"/>
  <c r="N428" i="1" s="1"/>
  <c r="N430" i="1" s="1"/>
  <c r="N433" i="1" s="1"/>
  <c r="N436" i="1" s="1"/>
  <c r="G39" i="12"/>
  <c r="D156" i="14"/>
  <c r="D158" i="14" s="1"/>
  <c r="S155" i="9"/>
  <c r="R149" i="11"/>
  <c r="E700" i="16"/>
  <c r="L16" i="3"/>
  <c r="R233" i="14"/>
  <c r="R238" i="14"/>
  <c r="CC283" i="10"/>
  <c r="CC300" i="10" s="1"/>
  <c r="P116" i="11"/>
  <c r="P117" i="11"/>
  <c r="N116" i="11"/>
  <c r="M270" i="3"/>
  <c r="N295" i="3"/>
  <c r="M175" i="11"/>
  <c r="Q134" i="14"/>
  <c r="M240" i="3"/>
  <c r="M236" i="3"/>
  <c r="N231" i="3"/>
  <c r="G640" i="16"/>
  <c r="O25" i="3"/>
  <c r="O9" i="3" s="1"/>
  <c r="V65" i="10"/>
  <c r="T28" i="4"/>
  <c r="AH28" i="17" s="1"/>
  <c r="T465" i="4"/>
  <c r="V423" i="4"/>
  <c r="V421" i="4" s="1"/>
  <c r="U421" i="4"/>
  <c r="Y215" i="14"/>
  <c r="F4" i="21"/>
  <c r="H295" i="4"/>
  <c r="V109" i="17" s="1"/>
  <c r="H625" i="4"/>
  <c r="E179" i="28"/>
  <c r="C17" i="32"/>
  <c r="N597" i="4"/>
  <c r="Y86" i="17"/>
  <c r="Y210" i="17"/>
  <c r="N125" i="11"/>
  <c r="I46" i="22"/>
  <c r="F3660" i="16" s="1"/>
  <c r="I45" i="22"/>
  <c r="E3660" i="16"/>
  <c r="E3662" i="16" s="1"/>
  <c r="E3656" i="16"/>
  <c r="BY296" i="9"/>
  <c r="CA296" i="9"/>
  <c r="W4" i="9"/>
  <c r="AB214" i="17" s="1"/>
  <c r="AA214" i="17"/>
  <c r="V261" i="14"/>
  <c r="W261" i="17"/>
  <c r="Z216" i="17"/>
  <c r="U261" i="14"/>
  <c r="V261" i="17"/>
  <c r="Y188" i="17"/>
  <c r="Y79" i="17"/>
  <c r="AB139" i="17"/>
  <c r="D2761" i="16"/>
  <c r="H2285" i="16"/>
  <c r="I6" i="22"/>
  <c r="H70" i="22"/>
  <c r="H92" i="22" s="1"/>
  <c r="AI156" i="20"/>
  <c r="AH156" i="20"/>
  <c r="AI158" i="20"/>
  <c r="AH158" i="20"/>
  <c r="AE157" i="20"/>
  <c r="CF77" i="11"/>
  <c r="CF78" i="11" s="1"/>
  <c r="CF75" i="11"/>
  <c r="CF76" i="11" s="1"/>
  <c r="CC113" i="10"/>
  <c r="CC114" i="10"/>
  <c r="N233" i="14"/>
  <c r="N238" i="14"/>
  <c r="C1051" i="16"/>
  <c r="CE308" i="11"/>
  <c r="CC305" i="9"/>
  <c r="K334" i="20"/>
  <c r="G609" i="1"/>
  <c r="BG231" i="11"/>
  <c r="BG120" i="11"/>
  <c r="BG121" i="11" s="1"/>
  <c r="BK117" i="11"/>
  <c r="BG117" i="11"/>
  <c r="BG116" i="11"/>
  <c r="BU290" i="9"/>
  <c r="BU289" i="9" s="1"/>
  <c r="BV290" i="9"/>
  <c r="M273" i="4"/>
  <c r="L272" i="4"/>
  <c r="J82" i="9"/>
  <c r="I87" i="9"/>
  <c r="J88" i="9" s="1"/>
  <c r="M224" i="14"/>
  <c r="M226" i="14" s="1"/>
  <c r="I85" i="9"/>
  <c r="R125" i="11"/>
  <c r="BE235" i="9"/>
  <c r="BE239" i="9" s="1"/>
  <c r="BF235" i="9"/>
  <c r="BF239" i="9" s="1"/>
  <c r="BO231" i="11"/>
  <c r="BQ232" i="11" s="1"/>
  <c r="BO117" i="11"/>
  <c r="BO120" i="11"/>
  <c r="BO121" i="11" s="1"/>
  <c r="BO116" i="11"/>
  <c r="D52" i="24"/>
  <c r="D114" i="24" s="1"/>
  <c r="N125" i="10"/>
  <c r="N126" i="10"/>
  <c r="N126" i="11" s="1"/>
  <c r="CA289" i="10"/>
  <c r="CB289" i="10"/>
  <c r="G1557" i="16"/>
  <c r="BY289" i="10"/>
  <c r="AC157" i="20"/>
  <c r="AD157" i="20"/>
  <c r="AF157" i="20"/>
  <c r="C2378" i="16"/>
  <c r="C2382" i="16" s="1"/>
  <c r="C2384" i="16" s="1"/>
  <c r="I222" i="4"/>
  <c r="C1052" i="16" s="1"/>
  <c r="W27" i="17"/>
  <c r="W9" i="17"/>
  <c r="BR115" i="20"/>
  <c r="BV115" i="20"/>
  <c r="I2283" i="16"/>
  <c r="J29" i="22"/>
  <c r="I2281" i="16"/>
  <c r="C2309" i="16"/>
  <c r="C2308" i="16"/>
  <c r="I2279" i="16"/>
  <c r="I2284" i="16"/>
  <c r="G85" i="22" s="1"/>
  <c r="M164" i="4"/>
  <c r="L164" i="4"/>
  <c r="N570" i="4"/>
  <c r="O499" i="4"/>
  <c r="BJ76" i="11"/>
  <c r="C2513" i="16"/>
  <c r="C2509" i="16"/>
  <c r="C2526" i="16"/>
  <c r="C2506" i="16"/>
  <c r="C2517" i="16"/>
  <c r="L479" i="4"/>
  <c r="L480" i="4" s="1"/>
  <c r="C192" i="16"/>
  <c r="C273" i="16" s="1"/>
  <c r="C275" i="16" s="1"/>
  <c r="C276" i="16" s="1"/>
  <c r="C277" i="16" s="1"/>
  <c r="CA298" i="11"/>
  <c r="CA299" i="11" s="1"/>
  <c r="F2373" i="16"/>
  <c r="F2374" i="16" s="1"/>
  <c r="J85" i="24"/>
  <c r="G2364" i="16"/>
  <c r="K85" i="24"/>
  <c r="H2364" i="16"/>
  <c r="F2372" i="16"/>
  <c r="L478" i="4"/>
  <c r="G429" i="4"/>
  <c r="G179" i="4" s="1"/>
  <c r="CB293" i="11"/>
  <c r="CB310" i="11" s="1"/>
  <c r="BF76" i="11"/>
  <c r="D1614" i="16"/>
  <c r="D381" i="16"/>
  <c r="D391" i="16" s="1"/>
  <c r="E366" i="16"/>
  <c r="E372" i="16" s="1"/>
  <c r="CA292" i="11"/>
  <c r="CA309" i="11" s="1"/>
  <c r="F686" i="16"/>
  <c r="D1561" i="16"/>
  <c r="F985" i="12"/>
  <c r="F989" i="12" s="1"/>
  <c r="F996" i="12" s="1"/>
  <c r="M199" i="12"/>
  <c r="M178" i="12"/>
  <c r="M180" i="12" s="1"/>
  <c r="M185" i="12" s="1"/>
  <c r="M186" i="12" s="1"/>
  <c r="K123" i="20"/>
  <c r="N155" i="11"/>
  <c r="N156" i="11" s="1"/>
  <c r="N158" i="11" s="1"/>
  <c r="D207" i="16"/>
  <c r="D217" i="16" s="1"/>
  <c r="Y5" i="17"/>
  <c r="Y6" i="17" s="1"/>
  <c r="CB373" i="12"/>
  <c r="J599" i="1"/>
  <c r="Y218" i="14"/>
  <c r="U32" i="9"/>
  <c r="K5" i="5"/>
  <c r="L5" i="5"/>
  <c r="L41" i="5" s="1"/>
  <c r="L42" i="5" s="1"/>
  <c r="L476" i="4"/>
  <c r="J604" i="1"/>
  <c r="P580" i="1"/>
  <c r="I583" i="1"/>
  <c r="M129" i="11"/>
  <c r="M130" i="11" s="1"/>
  <c r="E1045" i="16"/>
  <c r="Y140" i="17"/>
  <c r="D1618" i="16"/>
  <c r="D486" i="16"/>
  <c r="D496" i="16" s="1"/>
  <c r="U8" i="9"/>
  <c r="Z219" i="17" s="1"/>
  <c r="G6" i="21"/>
  <c r="Z217" i="14"/>
  <c r="V35" i="9"/>
  <c r="V31" i="9" s="1"/>
  <c r="V6" i="9" s="1"/>
  <c r="W12" i="9"/>
  <c r="AB217" i="17" s="1"/>
  <c r="V7" i="9"/>
  <c r="AA218" i="17" s="1"/>
  <c r="M134" i="11"/>
  <c r="M138" i="11"/>
  <c r="CD308" i="10"/>
  <c r="BL235" i="9"/>
  <c r="BL245" i="9" s="1"/>
  <c r="J8" i="5"/>
  <c r="J47" i="5" s="1"/>
  <c r="E471" i="16"/>
  <c r="G691" i="16"/>
  <c r="O130" i="3"/>
  <c r="M125" i="10"/>
  <c r="M124" i="11"/>
  <c r="M125" i="11" s="1"/>
  <c r="AB48" i="17"/>
  <c r="K1739" i="16"/>
  <c r="C1740" i="16"/>
  <c r="C1741" i="16"/>
  <c r="C1859" i="16"/>
  <c r="C1935" i="16"/>
  <c r="C1938" i="16" s="1"/>
  <c r="C1941" i="16" s="1"/>
  <c r="C1942" i="16" s="1"/>
  <c r="D1018" i="20"/>
  <c r="D1025" i="20" s="1"/>
  <c r="D1026" i="20"/>
  <c r="BO117" i="20"/>
  <c r="E34" i="24"/>
  <c r="D982" i="12"/>
  <c r="D996" i="12" s="1"/>
  <c r="D992" i="12"/>
  <c r="F935" i="12"/>
  <c r="D995" i="12"/>
  <c r="F981" i="12"/>
  <c r="R117" i="20"/>
  <c r="BV117" i="20" s="1"/>
  <c r="BN117" i="20"/>
  <c r="R137" i="20"/>
  <c r="D1001" i="20" s="1"/>
  <c r="D1021" i="20" s="1"/>
  <c r="BY372" i="12"/>
  <c r="F1016" i="16"/>
  <c r="E39" i="24"/>
  <c r="E44" i="24"/>
  <c r="E47" i="24"/>
  <c r="E49" i="24"/>
  <c r="W46" i="17"/>
  <c r="I134" i="4"/>
  <c r="I102" i="4"/>
  <c r="C1257" i="16"/>
  <c r="C1259" i="16" s="1"/>
  <c r="C756" i="16"/>
  <c r="K482" i="4"/>
  <c r="K34" i="4" s="1"/>
  <c r="J53" i="5" s="1"/>
  <c r="I34" i="4"/>
  <c r="H53" i="5" s="1"/>
  <c r="H287" i="16"/>
  <c r="I64" i="5"/>
  <c r="F287" i="16"/>
  <c r="G1567" i="16"/>
  <c r="I47" i="5"/>
  <c r="M176" i="4"/>
  <c r="N364" i="4"/>
  <c r="M365" i="4"/>
  <c r="CC310" i="11"/>
  <c r="CD76" i="11"/>
  <c r="E32" i="25"/>
  <c r="D39" i="25"/>
  <c r="D53" i="25"/>
  <c r="D50" i="25"/>
  <c r="N372" i="12"/>
  <c r="BX372" i="12" s="1"/>
  <c r="BX373" i="12"/>
  <c r="E46" i="25"/>
  <c r="F47" i="25" s="1"/>
  <c r="E39" i="25"/>
  <c r="E50" i="25"/>
  <c r="E43" i="25"/>
  <c r="F43" i="25"/>
  <c r="E53" i="25"/>
  <c r="E37" i="25"/>
  <c r="E27" i="25"/>
  <c r="N417" i="4"/>
  <c r="M165" i="4"/>
  <c r="E186" i="4"/>
  <c r="F186" i="4"/>
  <c r="S352" i="20"/>
  <c r="S358" i="20" s="1"/>
  <c r="V358" i="20" s="1"/>
  <c r="V368" i="20" s="1"/>
  <c r="V324" i="20"/>
  <c r="R352" i="20"/>
  <c r="E414" i="16"/>
  <c r="F458" i="12"/>
  <c r="F499" i="12"/>
  <c r="F510" i="12" s="1"/>
  <c r="B458" i="12"/>
  <c r="B499" i="12"/>
  <c r="B510" i="12" s="1"/>
  <c r="BP268" i="12"/>
  <c r="B482" i="12" s="1"/>
  <c r="BT268" i="12"/>
  <c r="F482" i="12" s="1"/>
  <c r="F269" i="12"/>
  <c r="G175" i="4"/>
  <c r="G308" i="4"/>
  <c r="G297" i="4" s="1"/>
  <c r="G298" i="4" s="1"/>
  <c r="BP77" i="11"/>
  <c r="BP78" i="11" s="1"/>
  <c r="BP75" i="11"/>
  <c r="BP76" i="11" s="1"/>
  <c r="M238" i="14"/>
  <c r="M233" i="14"/>
  <c r="H248" i="16"/>
  <c r="C248" i="16"/>
  <c r="D1666" i="16"/>
  <c r="E1665" i="16"/>
  <c r="C1222" i="16"/>
  <c r="J1142" i="16"/>
  <c r="E342" i="16"/>
  <c r="L483" i="1"/>
  <c r="Y447" i="1"/>
  <c r="X225" i="9"/>
  <c r="X213" i="11" s="1"/>
  <c r="L465" i="1"/>
  <c r="BP88" i="9"/>
  <c r="BT88" i="9"/>
  <c r="BL232" i="11"/>
  <c r="F735" i="1"/>
  <c r="G732" i="1" s="1"/>
  <c r="H374" i="4"/>
  <c r="H177" i="4" s="1"/>
  <c r="H182" i="4" s="1"/>
  <c r="S184" i="11"/>
  <c r="W22" i="14" s="1"/>
  <c r="N7" i="3"/>
  <c r="T27" i="11"/>
  <c r="X79" i="14"/>
  <c r="X188" i="14"/>
  <c r="J328" i="3"/>
  <c r="J319" i="3"/>
  <c r="J321" i="3" s="1"/>
  <c r="J341" i="3" s="1"/>
  <c r="E495" i="4"/>
  <c r="E488" i="4"/>
  <c r="K238" i="14"/>
  <c r="K233" i="14"/>
  <c r="BW268" i="12"/>
  <c r="I482" i="12" s="1"/>
  <c r="I269" i="12"/>
  <c r="BS268" i="12"/>
  <c r="E482" i="12" s="1"/>
  <c r="X214" i="10"/>
  <c r="X258" i="10" s="1"/>
  <c r="N127" i="11"/>
  <c r="N128" i="11" s="1"/>
  <c r="N132" i="9"/>
  <c r="CE231" i="11"/>
  <c r="CE117" i="11"/>
  <c r="CE120" i="11"/>
  <c r="CE121" i="11" s="1"/>
  <c r="CE116" i="11"/>
  <c r="S197" i="10"/>
  <c r="R138" i="10"/>
  <c r="R129" i="10" s="1"/>
  <c r="R130" i="10" s="1"/>
  <c r="F341" i="16"/>
  <c r="F369" i="16" s="1"/>
  <c r="E387" i="16" s="1"/>
  <c r="O182" i="9"/>
  <c r="V257" i="10"/>
  <c r="V259" i="10" s="1"/>
  <c r="V263" i="10" s="1"/>
  <c r="W213" i="10"/>
  <c r="X213" i="10" s="1"/>
  <c r="Y241" i="14"/>
  <c r="V4" i="10"/>
  <c r="U196" i="9"/>
  <c r="T186" i="11"/>
  <c r="X11" i="14" s="1"/>
  <c r="E394" i="4"/>
  <c r="E396" i="4"/>
  <c r="E400" i="4" s="1"/>
  <c r="E393" i="4"/>
  <c r="R144" i="14"/>
  <c r="R143" i="14"/>
  <c r="S143" i="14"/>
  <c r="X151" i="11"/>
  <c r="W168" i="11"/>
  <c r="P155" i="11"/>
  <c r="P156" i="11" s="1"/>
  <c r="P158" i="11" s="1"/>
  <c r="P160" i="11" s="1"/>
  <c r="T29" i="14" s="1"/>
  <c r="Q160" i="9"/>
  <c r="E499" i="12"/>
  <c r="E510" i="12" s="1"/>
  <c r="E458" i="12"/>
  <c r="R150" i="9"/>
  <c r="R151" i="9" s="1"/>
  <c r="R116" i="9"/>
  <c r="BJ243" i="9"/>
  <c r="BJ239" i="9"/>
  <c r="BJ245" i="9"/>
  <c r="BJ238" i="9"/>
  <c r="BJ240" i="9"/>
  <c r="BJ244" i="9"/>
  <c r="BJ241" i="9"/>
  <c r="BJ242" i="9"/>
  <c r="Q143" i="14"/>
  <c r="Q144" i="14"/>
  <c r="CA237" i="11"/>
  <c r="CA239" i="11"/>
  <c r="CA238" i="11"/>
  <c r="CA235" i="11"/>
  <c r="CA240" i="11"/>
  <c r="CA236" i="11"/>
  <c r="K189" i="3"/>
  <c r="E55" i="16"/>
  <c r="K178" i="3"/>
  <c r="K209" i="3"/>
  <c r="K215" i="3" s="1"/>
  <c r="N165" i="9"/>
  <c r="N168" i="9"/>
  <c r="P293" i="3"/>
  <c r="O269" i="3"/>
  <c r="Y217" i="10"/>
  <c r="N159" i="10"/>
  <c r="N159" i="11" s="1"/>
  <c r="N162" i="10"/>
  <c r="R133" i="11"/>
  <c r="R138" i="11" s="1"/>
  <c r="X447" i="1"/>
  <c r="K465" i="1"/>
  <c r="K483" i="1"/>
  <c r="J312" i="3"/>
  <c r="CB236" i="11"/>
  <c r="CB238" i="11"/>
  <c r="CB240" i="11"/>
  <c r="CB239" i="11"/>
  <c r="CB235" i="11"/>
  <c r="CB237" i="11"/>
  <c r="O134" i="9"/>
  <c r="O129" i="11"/>
  <c r="O130" i="11" s="1"/>
  <c r="W272" i="9"/>
  <c r="H54" i="16"/>
  <c r="O187" i="3"/>
  <c r="N129" i="11"/>
  <c r="N130" i="11" s="1"/>
  <c r="N134" i="9"/>
  <c r="G650" i="16"/>
  <c r="T48" i="11"/>
  <c r="X86" i="14"/>
  <c r="T35" i="11"/>
  <c r="X210" i="14"/>
  <c r="F301" i="4"/>
  <c r="Q125" i="10"/>
  <c r="Q124" i="11"/>
  <c r="Q125" i="11" s="1"/>
  <c r="BM235" i="9"/>
  <c r="T58" i="11"/>
  <c r="V224" i="9"/>
  <c r="U212" i="11"/>
  <c r="H240" i="4"/>
  <c r="G13" i="5" s="1"/>
  <c r="V106" i="17"/>
  <c r="I302" i="4"/>
  <c r="I300" i="4" s="1"/>
  <c r="S135" i="10"/>
  <c r="S135" i="11" s="1"/>
  <c r="S132" i="11"/>
  <c r="O76" i="11"/>
  <c r="BM75" i="11"/>
  <c r="BM76" i="11" s="1"/>
  <c r="BM77" i="11"/>
  <c r="BM78" i="11" s="1"/>
  <c r="Y442" i="1"/>
  <c r="L478" i="1"/>
  <c r="L460" i="1"/>
  <c r="L448" i="1"/>
  <c r="K41" i="3"/>
  <c r="K44" i="3"/>
  <c r="L21" i="3"/>
  <c r="K18" i="3"/>
  <c r="K21" i="3"/>
  <c r="I316" i="3"/>
  <c r="I328" i="3"/>
  <c r="I319" i="3"/>
  <c r="I321" i="3" s="1"/>
  <c r="C592" i="1"/>
  <c r="C594" i="1"/>
  <c r="C599" i="1" s="1"/>
  <c r="C697" i="1" s="1"/>
  <c r="BR231" i="11"/>
  <c r="BR116" i="11"/>
  <c r="BR120" i="11"/>
  <c r="BR121" i="11" s="1"/>
  <c r="BR117" i="11"/>
  <c r="BV117" i="11"/>
  <c r="K448" i="1"/>
  <c r="BM116" i="11"/>
  <c r="BM120" i="11"/>
  <c r="BM121" i="11" s="1"/>
  <c r="BM117" i="11"/>
  <c r="BM231" i="11"/>
  <c r="L7" i="3"/>
  <c r="E681" i="16"/>
  <c r="E686" i="16" s="1"/>
  <c r="M7" i="3"/>
  <c r="X261" i="10"/>
  <c r="BP86" i="9"/>
  <c r="BT86" i="9"/>
  <c r="U62" i="10"/>
  <c r="U64" i="10" s="1"/>
  <c r="Z264" i="17" s="1"/>
  <c r="V13" i="10"/>
  <c r="AA263" i="17" s="1"/>
  <c r="F39" i="21"/>
  <c r="Y263" i="14"/>
  <c r="U48" i="10"/>
  <c r="U13" i="11"/>
  <c r="P161" i="9"/>
  <c r="P163" i="9" s="1"/>
  <c r="I458" i="12"/>
  <c r="I499" i="12"/>
  <c r="J203" i="20"/>
  <c r="BK235" i="9"/>
  <c r="BR77" i="11"/>
  <c r="BR75" i="11"/>
  <c r="CC282" i="9"/>
  <c r="CD235" i="9"/>
  <c r="CC235" i="9"/>
  <c r="CF315" i="11"/>
  <c r="CF283" i="11"/>
  <c r="CF293" i="11" s="1"/>
  <c r="CD78" i="11"/>
  <c r="CB78" i="11"/>
  <c r="L14" i="5"/>
  <c r="Z13" i="17"/>
  <c r="Z15" i="17"/>
  <c r="L126" i="12"/>
  <c r="M126" i="12" s="1"/>
  <c r="O278" i="20"/>
  <c r="K288" i="20"/>
  <c r="C869" i="20" s="1"/>
  <c r="C863" i="20"/>
  <c r="C862" i="20" s="1"/>
  <c r="E1448" i="16"/>
  <c r="E1447" i="16" s="1"/>
  <c r="Z214" i="14"/>
  <c r="V5" i="9"/>
  <c r="AA215" i="17" s="1"/>
  <c r="U51" i="9"/>
  <c r="U44" i="9"/>
  <c r="Y216" i="14"/>
  <c r="F5" i="21"/>
  <c r="U50" i="9"/>
  <c r="CB76" i="11"/>
  <c r="E2761" i="16"/>
  <c r="H1040" i="16"/>
  <c r="O456" i="4"/>
  <c r="O209" i="4"/>
  <c r="O232" i="4"/>
  <c r="P255" i="3"/>
  <c r="Q249" i="3"/>
  <c r="Q252" i="3" s="1"/>
  <c r="P252" i="3"/>
  <c r="N258" i="3"/>
  <c r="N260" i="3" s="1"/>
  <c r="N340" i="3" s="1"/>
  <c r="Q387" i="20"/>
  <c r="G895" i="20" s="1"/>
  <c r="J938" i="20"/>
  <c r="X8" i="14"/>
  <c r="M125" i="12"/>
  <c r="Y7" i="14"/>
  <c r="Y8" i="14" s="1"/>
  <c r="F944" i="20"/>
  <c r="BW293" i="11"/>
  <c r="BW292" i="11" s="1"/>
  <c r="BW309" i="11" s="1"/>
  <c r="BX293" i="11"/>
  <c r="BX292" i="11" s="1"/>
  <c r="BX309" i="11" s="1"/>
  <c r="BZ76" i="11"/>
  <c r="CE293" i="11"/>
  <c r="CD293" i="11"/>
  <c r="U209" i="14"/>
  <c r="U9" i="14"/>
  <c r="Q219" i="11"/>
  <c r="U27" i="14"/>
  <c r="H140" i="12"/>
  <c r="X172" i="11"/>
  <c r="X225" i="11"/>
  <c r="N1436" i="16"/>
  <c r="N1438" i="16" s="1"/>
  <c r="N1439" i="16" s="1"/>
  <c r="N1440" i="16" s="1"/>
  <c r="N1442" i="16" s="1"/>
  <c r="BB227" i="11"/>
  <c r="BB228" i="11" s="1"/>
  <c r="BB240" i="11"/>
  <c r="D994" i="12"/>
  <c r="C744" i="12"/>
  <c r="D743" i="12"/>
  <c r="H345" i="20"/>
  <c r="H285" i="20"/>
  <c r="I393" i="20"/>
  <c r="E625" i="1"/>
  <c r="J347" i="20"/>
  <c r="N205" i="20"/>
  <c r="J288" i="20"/>
  <c r="M368" i="20"/>
  <c r="C893" i="20" s="1"/>
  <c r="E436" i="16"/>
  <c r="E519" i="16"/>
  <c r="E168" i="16"/>
  <c r="F213" i="16"/>
  <c r="E213" i="16"/>
  <c r="E279" i="16"/>
  <c r="E157" i="16"/>
  <c r="BZ372" i="12"/>
  <c r="CD372" i="12"/>
  <c r="N619" i="1"/>
  <c r="P618" i="1"/>
  <c r="G893" i="20"/>
  <c r="B482" i="20"/>
  <c r="AL460" i="20"/>
  <c r="K938" i="20"/>
  <c r="AL486" i="20"/>
  <c r="B496" i="20"/>
  <c r="H123" i="12"/>
  <c r="G139" i="12"/>
  <c r="D732" i="12"/>
  <c r="D26" i="12"/>
  <c r="B732" i="12"/>
  <c r="C732" i="12"/>
  <c r="CA317" i="11"/>
  <c r="CA318" i="11"/>
  <c r="V151" i="10"/>
  <c r="C495" i="16"/>
  <c r="D476" i="16"/>
  <c r="C496" i="16"/>
  <c r="BQ86" i="9"/>
  <c r="BU86" i="9"/>
  <c r="L318" i="3"/>
  <c r="M318" i="3" s="1"/>
  <c r="Q23" i="3"/>
  <c r="Q4" i="3" s="1"/>
  <c r="Q6" i="3" s="1"/>
  <c r="BH231" i="11"/>
  <c r="BH120" i="11"/>
  <c r="BH121" i="11" s="1"/>
  <c r="BH116" i="11"/>
  <c r="BH117" i="11"/>
  <c r="BL117" i="11"/>
  <c r="V221" i="9"/>
  <c r="V268" i="9" s="1"/>
  <c r="E1560" i="16"/>
  <c r="E1561" i="16" s="1"/>
  <c r="CB315" i="9"/>
  <c r="CB314" i="9"/>
  <c r="S137" i="3"/>
  <c r="BS77" i="11"/>
  <c r="BS75" i="11"/>
  <c r="BU283" i="10"/>
  <c r="BU282" i="10" s="1"/>
  <c r="BV283" i="10"/>
  <c r="O104" i="3"/>
  <c r="O107" i="3"/>
  <c r="T103" i="3"/>
  <c r="P88" i="11"/>
  <c r="P104" i="10"/>
  <c r="P94" i="10"/>
  <c r="X161" i="10"/>
  <c r="W152" i="10"/>
  <c r="BO78" i="11"/>
  <c r="BK78" i="11"/>
  <c r="F1559" i="16"/>
  <c r="E2135" i="16"/>
  <c r="U209" i="11"/>
  <c r="X40" i="9"/>
  <c r="L75" i="11"/>
  <c r="M76" i="11" s="1"/>
  <c r="P198" i="14"/>
  <c r="P200" i="14" s="1"/>
  <c r="L77" i="11"/>
  <c r="M78" i="11" s="1"/>
  <c r="M73" i="11"/>
  <c r="E4" i="16"/>
  <c r="W173" i="11"/>
  <c r="AA13" i="14" s="1"/>
  <c r="W226" i="11"/>
  <c r="W213" i="11"/>
  <c r="W141" i="9"/>
  <c r="W137" i="11" s="1"/>
  <c r="W210" i="11"/>
  <c r="W172" i="11"/>
  <c r="W225" i="11"/>
  <c r="R61" i="13"/>
  <c r="W171" i="11"/>
  <c r="AA113" i="14" s="1"/>
  <c r="W181" i="9"/>
  <c r="W174" i="11" s="1"/>
  <c r="AA141" i="14" s="1"/>
  <c r="I46" i="16"/>
  <c r="J46" i="16" s="1"/>
  <c r="O204" i="3"/>
  <c r="O196" i="3"/>
  <c r="M114" i="3"/>
  <c r="X229" i="9"/>
  <c r="X273" i="9" s="1"/>
  <c r="W217" i="11"/>
  <c r="BH77" i="11"/>
  <c r="BH75" i="11"/>
  <c r="X67" i="9"/>
  <c r="N288" i="3"/>
  <c r="N274" i="3" s="1"/>
  <c r="F692" i="16"/>
  <c r="Q133" i="3"/>
  <c r="P101" i="3"/>
  <c r="P103" i="3" s="1"/>
  <c r="J263" i="4"/>
  <c r="I262" i="4"/>
  <c r="M62" i="22"/>
  <c r="D2135" i="16"/>
  <c r="X181" i="9"/>
  <c r="X174" i="11" s="1"/>
  <c r="AB141" i="14" s="1"/>
  <c r="X226" i="11"/>
  <c r="H351" i="4"/>
  <c r="R114" i="10"/>
  <c r="R146" i="10" s="1"/>
  <c r="R127" i="11"/>
  <c r="R128" i="11" s="1"/>
  <c r="E34" i="21"/>
  <c r="T39" i="10"/>
  <c r="X242" i="14"/>
  <c r="T41" i="10"/>
  <c r="T5" i="11"/>
  <c r="Y189" i="17" s="1"/>
  <c r="BT235" i="9"/>
  <c r="BS235" i="9"/>
  <c r="BS245" i="9" s="1"/>
  <c r="W182" i="10"/>
  <c r="BD231" i="11"/>
  <c r="BD117" i="11"/>
  <c r="BD116" i="11"/>
  <c r="BD120" i="11"/>
  <c r="BD121" i="11" s="1"/>
  <c r="BH235" i="9"/>
  <c r="BI235" i="9"/>
  <c r="BG235" i="9"/>
  <c r="M56" i="3"/>
  <c r="BF88" i="9"/>
  <c r="BJ88" i="9"/>
  <c r="AL485" i="20"/>
  <c r="B495" i="20"/>
  <c r="L231" i="4"/>
  <c r="L215" i="4"/>
  <c r="Z140" i="17" s="1"/>
  <c r="BZ315" i="9"/>
  <c r="BZ314" i="9"/>
  <c r="K40" i="22"/>
  <c r="S297" i="3"/>
  <c r="C808" i="12"/>
  <c r="D761" i="12"/>
  <c r="BR235" i="9"/>
  <c r="X154" i="9"/>
  <c r="W194" i="9"/>
  <c r="W148" i="11"/>
  <c r="T197" i="10"/>
  <c r="U188" i="10"/>
  <c r="T184" i="11"/>
  <c r="L233" i="14"/>
  <c r="L238" i="14"/>
  <c r="U73" i="14"/>
  <c r="U75" i="17"/>
  <c r="Q70" i="11"/>
  <c r="Q72" i="11"/>
  <c r="V198" i="17" s="1"/>
  <c r="Q66" i="11"/>
  <c r="R152" i="11"/>
  <c r="V109" i="14" s="1"/>
  <c r="R159" i="9"/>
  <c r="B497" i="20"/>
  <c r="AL487" i="20"/>
  <c r="F493" i="4"/>
  <c r="D99" i="16"/>
  <c r="D98" i="16" s="1"/>
  <c r="F257" i="4"/>
  <c r="F136" i="4"/>
  <c r="BU76" i="11"/>
  <c r="P103" i="10"/>
  <c r="P87" i="11"/>
  <c r="P93" i="10"/>
  <c r="P125" i="10"/>
  <c r="P124" i="11"/>
  <c r="P125" i="11" s="1"/>
  <c r="P238" i="14"/>
  <c r="P233" i="14"/>
  <c r="W220" i="9"/>
  <c r="W267" i="9" s="1"/>
  <c r="E937" i="1"/>
  <c r="G937" i="1" s="1"/>
  <c r="G936" i="1"/>
  <c r="H936" i="1" s="1"/>
  <c r="H937" i="1" s="1"/>
  <c r="E510" i="1"/>
  <c r="C677" i="16"/>
  <c r="L112" i="11"/>
  <c r="L113" i="11" s="1"/>
  <c r="C129" i="12"/>
  <c r="M110" i="11"/>
  <c r="J914" i="12"/>
  <c r="K914" i="12" s="1"/>
  <c r="K916" i="12" s="1"/>
  <c r="F913" i="12"/>
  <c r="F910" i="12"/>
  <c r="F912" i="12"/>
  <c r="Q152" i="11"/>
  <c r="U109" i="14" s="1"/>
  <c r="Q159" i="9"/>
  <c r="S291" i="3"/>
  <c r="E474" i="16"/>
  <c r="D492" i="16" s="1"/>
  <c r="F446" i="16"/>
  <c r="F474" i="16" s="1"/>
  <c r="E492" i="16" s="1"/>
  <c r="Y5" i="14"/>
  <c r="Y6" i="14" s="1"/>
  <c r="M124" i="12"/>
  <c r="BE78" i="11"/>
  <c r="BI78" i="11"/>
  <c r="BX78" i="11"/>
  <c r="O282" i="3"/>
  <c r="O264" i="3" s="1"/>
  <c r="O266" i="3" s="1"/>
  <c r="E621" i="16"/>
  <c r="D626" i="16"/>
  <c r="P130" i="10"/>
  <c r="P129" i="11"/>
  <c r="P130" i="11" s="1"/>
  <c r="P84" i="3"/>
  <c r="O59" i="3"/>
  <c r="O60" i="3" s="1"/>
  <c r="O61" i="3" s="1"/>
  <c r="D48" i="22"/>
  <c r="D51" i="22"/>
  <c r="D57" i="22"/>
  <c r="D93" i="22" s="1"/>
  <c r="D38" i="22"/>
  <c r="C1564" i="16" s="1"/>
  <c r="C1563" i="16"/>
  <c r="X171" i="11"/>
  <c r="AB113" i="14" s="1"/>
  <c r="U223" i="9"/>
  <c r="U226" i="9" s="1"/>
  <c r="O159" i="10"/>
  <c r="O159" i="11" s="1"/>
  <c r="O162" i="10"/>
  <c r="P201" i="14"/>
  <c r="L120" i="11"/>
  <c r="L116" i="11"/>
  <c r="C130" i="12"/>
  <c r="M117" i="11"/>
  <c r="G332" i="4"/>
  <c r="U24" i="17"/>
  <c r="C789" i="16"/>
  <c r="C801" i="16" s="1"/>
  <c r="C597" i="16"/>
  <c r="U115" i="17"/>
  <c r="G493" i="4"/>
  <c r="G257" i="4"/>
  <c r="G252" i="4"/>
  <c r="G254" i="4" s="1"/>
  <c r="S152" i="11"/>
  <c r="W109" i="14" s="1"/>
  <c r="T30" i="14"/>
  <c r="T135" i="14"/>
  <c r="F911" i="12"/>
  <c r="BY314" i="9"/>
  <c r="BY315" i="9"/>
  <c r="W140" i="9"/>
  <c r="X140" i="9" s="1"/>
  <c r="V136" i="11"/>
  <c r="L275" i="3"/>
  <c r="E702" i="16"/>
  <c r="CC290" i="9"/>
  <c r="CD290" i="9"/>
  <c r="U253" i="17"/>
  <c r="Q78" i="10"/>
  <c r="Q83" i="10"/>
  <c r="U251" i="14"/>
  <c r="U253" i="14" s="1"/>
  <c r="B45" i="21"/>
  <c r="B47" i="21" s="1"/>
  <c r="B49" i="21" s="1"/>
  <c r="Q89" i="10"/>
  <c r="Q81" i="10"/>
  <c r="Q82" i="10" s="1"/>
  <c r="Q88" i="10"/>
  <c r="Q87" i="10"/>
  <c r="W9" i="10"/>
  <c r="V9" i="11"/>
  <c r="V31" i="11" s="1"/>
  <c r="S61" i="13"/>
  <c r="X173" i="11"/>
  <c r="AA15" i="14" s="1"/>
  <c r="X141" i="9"/>
  <c r="X137" i="11" s="1"/>
  <c r="W218" i="9"/>
  <c r="V208" i="11"/>
  <c r="BQ88" i="9"/>
  <c r="BU88" i="9"/>
  <c r="R126" i="10"/>
  <c r="U5" i="10"/>
  <c r="Z242" i="17" s="1"/>
  <c r="V37" i="10"/>
  <c r="BW117" i="11"/>
  <c r="BS120" i="11"/>
  <c r="BS121" i="11" s="1"/>
  <c r="BS231" i="11"/>
  <c r="BS116" i="11"/>
  <c r="BS117" i="11"/>
  <c r="O172" i="4"/>
  <c r="T418" i="12"/>
  <c r="T428" i="12"/>
  <c r="P4" i="3"/>
  <c r="P6" i="3" s="1"/>
  <c r="D551" i="12"/>
  <c r="D774" i="12"/>
  <c r="D775" i="12" s="1"/>
  <c r="F100" i="16"/>
  <c r="O80" i="3"/>
  <c r="N53" i="3"/>
  <c r="N55" i="3" s="1"/>
  <c r="U268" i="9"/>
  <c r="U270" i="9" s="1"/>
  <c r="U274" i="9" s="1"/>
  <c r="BJ86" i="9"/>
  <c r="BF86" i="9"/>
  <c r="S39" i="11"/>
  <c r="S37" i="11"/>
  <c r="W189" i="14"/>
  <c r="S72" i="13"/>
  <c r="S133" i="11"/>
  <c r="S138" i="11" s="1"/>
  <c r="S142" i="9"/>
  <c r="Q169" i="11"/>
  <c r="Q182" i="9"/>
  <c r="Q185" i="9" s="1"/>
  <c r="R184" i="9" s="1"/>
  <c r="BX283" i="10"/>
  <c r="BY283" i="10"/>
  <c r="U137" i="9"/>
  <c r="CA314" i="9"/>
  <c r="CA315" i="9"/>
  <c r="D6" i="16"/>
  <c r="L134" i="9"/>
  <c r="L129" i="11"/>
  <c r="L130" i="11" s="1"/>
  <c r="D453" i="16"/>
  <c r="E447" i="16"/>
  <c r="V203" i="9"/>
  <c r="BE76" i="11"/>
  <c r="BI76" i="11"/>
  <c r="BX76" i="11"/>
  <c r="CD316" i="11"/>
  <c r="CC316" i="11"/>
  <c r="N264" i="3"/>
  <c r="N266" i="3" s="1"/>
  <c r="U23" i="17"/>
  <c r="G266" i="4"/>
  <c r="S66" i="10"/>
  <c r="R74" i="10"/>
  <c r="R79" i="10" s="1"/>
  <c r="R62" i="11"/>
  <c r="Q151" i="9"/>
  <c r="Q144" i="11"/>
  <c r="Q145" i="11" s="1"/>
  <c r="R169" i="11"/>
  <c r="R182" i="9"/>
  <c r="M161" i="9"/>
  <c r="M163" i="9" s="1"/>
  <c r="M274" i="3"/>
  <c r="C626" i="16"/>
  <c r="C632" i="16" s="1"/>
  <c r="C637" i="16" s="1"/>
  <c r="BU78" i="11"/>
  <c r="CB316" i="11"/>
  <c r="P86" i="11"/>
  <c r="P102" i="10"/>
  <c r="P90" i="10"/>
  <c r="P92" i="10"/>
  <c r="P134" i="11"/>
  <c r="P138" i="11"/>
  <c r="T142" i="9"/>
  <c r="BD75" i="11"/>
  <c r="BD76" i="11" s="1"/>
  <c r="BD77" i="11"/>
  <c r="BD78" i="11" s="1"/>
  <c r="P483" i="4"/>
  <c r="Q483" i="4" s="1"/>
  <c r="R483" i="4" s="1"/>
  <c r="S483" i="4" s="1"/>
  <c r="BK76" i="11"/>
  <c r="BO76" i="11"/>
  <c r="I8" i="22"/>
  <c r="H11" i="22"/>
  <c r="W212" i="10"/>
  <c r="W256" i="10" s="1"/>
  <c r="V215" i="10"/>
  <c r="V218" i="10" s="1"/>
  <c r="E965" i="20"/>
  <c r="I1140" i="16"/>
  <c r="E953" i="20"/>
  <c r="F746" i="20"/>
  <c r="F713" i="20"/>
  <c r="AL461" i="20"/>
  <c r="B483" i="20"/>
  <c r="AL483" i="20" s="1"/>
  <c r="N312" i="3"/>
  <c r="M313" i="3"/>
  <c r="E793" i="20"/>
  <c r="E789" i="20"/>
  <c r="D954" i="20"/>
  <c r="D958" i="20"/>
  <c r="B491" i="20"/>
  <c r="AL480" i="20"/>
  <c r="AL481" i="20"/>
  <c r="B492" i="20"/>
  <c r="N371" i="20"/>
  <c r="N387" i="20"/>
  <c r="D895" i="20" s="1"/>
  <c r="D893" i="20"/>
  <c r="C712" i="20"/>
  <c r="D707" i="20"/>
  <c r="E710" i="20"/>
  <c r="J122" i="12"/>
  <c r="L121" i="12"/>
  <c r="S78" i="5" l="1"/>
  <c r="T71" i="5"/>
  <c r="Y252" i="14"/>
  <c r="F48" i="21"/>
  <c r="Z252" i="17"/>
  <c r="N110" i="3"/>
  <c r="G649" i="16" s="1"/>
  <c r="G652" i="16" s="1"/>
  <c r="G653" i="16" s="1"/>
  <c r="F717" i="16" s="1"/>
  <c r="N197" i="3"/>
  <c r="H50" i="16" s="1"/>
  <c r="M68" i="3"/>
  <c r="M89" i="3" s="1"/>
  <c r="X72" i="14"/>
  <c r="F709" i="16"/>
  <c r="G641" i="16"/>
  <c r="G644" i="16" s="1"/>
  <c r="G645" i="16" s="1"/>
  <c r="N207" i="3"/>
  <c r="N206" i="3" s="1"/>
  <c r="U69" i="11"/>
  <c r="X74" i="17"/>
  <c r="M119" i="3"/>
  <c r="M120" i="3" s="1"/>
  <c r="D687" i="16"/>
  <c r="C716" i="16" s="1"/>
  <c r="X190" i="14"/>
  <c r="F710" i="16"/>
  <c r="L89" i="3"/>
  <c r="L92" i="3"/>
  <c r="D782" i="12"/>
  <c r="Q82" i="11"/>
  <c r="V200" i="17"/>
  <c r="T144" i="14"/>
  <c r="T30" i="10"/>
  <c r="C551" i="12"/>
  <c r="C558" i="12" s="1"/>
  <c r="H129" i="12"/>
  <c r="E100" i="16"/>
  <c r="C774" i="12"/>
  <c r="C775" i="12" s="1"/>
  <c r="D776" i="12" s="1"/>
  <c r="Q116" i="11"/>
  <c r="Q110" i="11"/>
  <c r="Q121" i="11"/>
  <c r="R110" i="11"/>
  <c r="Q119" i="11"/>
  <c r="Q112" i="11"/>
  <c r="Q113" i="11" s="1"/>
  <c r="BO239" i="9"/>
  <c r="BO241" i="9"/>
  <c r="BP238" i="9"/>
  <c r="BO243" i="9"/>
  <c r="X246" i="14"/>
  <c r="T8" i="11"/>
  <c r="X85" i="14" s="1"/>
  <c r="Y84" i="17"/>
  <c r="U29" i="10"/>
  <c r="H9" i="21"/>
  <c r="X192" i="14"/>
  <c r="T29" i="11"/>
  <c r="Y192" i="17"/>
  <c r="U7" i="11"/>
  <c r="Z192" i="17" s="1"/>
  <c r="X15" i="9"/>
  <c r="AC236" i="17" s="1"/>
  <c r="Y245" i="14"/>
  <c r="Y190" i="17"/>
  <c r="BP245" i="9"/>
  <c r="T47" i="11"/>
  <c r="AA236" i="14"/>
  <c r="T40" i="11"/>
  <c r="Y199" i="14"/>
  <c r="T46" i="11"/>
  <c r="AB236" i="17"/>
  <c r="U8" i="10"/>
  <c r="Z246" i="17" s="1"/>
  <c r="J253" i="22"/>
  <c r="J296" i="22"/>
  <c r="J295" i="22"/>
  <c r="J289" i="22"/>
  <c r="J291" i="22"/>
  <c r="J288" i="22"/>
  <c r="J293" i="22"/>
  <c r="H1557" i="16"/>
  <c r="H15" i="22"/>
  <c r="H1558" i="16" s="1"/>
  <c r="Y243" i="14"/>
  <c r="W52" i="9"/>
  <c r="Y72" i="14"/>
  <c r="Y74" i="17"/>
  <c r="Z199" i="17"/>
  <c r="BP239" i="9"/>
  <c r="Q118" i="9"/>
  <c r="Q114" i="11" s="1"/>
  <c r="BQ242" i="9"/>
  <c r="BP242" i="9"/>
  <c r="U211" i="11"/>
  <c r="U214" i="11" s="1"/>
  <c r="Y104" i="14" s="1"/>
  <c r="BQ244" i="9"/>
  <c r="S77" i="3"/>
  <c r="S63" i="3" s="1"/>
  <c r="S64" i="3" s="1"/>
  <c r="BP243" i="9"/>
  <c r="BP240" i="9"/>
  <c r="W69" i="9"/>
  <c r="AB225" i="17" s="1"/>
  <c r="P128" i="3"/>
  <c r="P111" i="3" s="1"/>
  <c r="U47" i="10"/>
  <c r="U6" i="11"/>
  <c r="Z190" i="17" s="1"/>
  <c r="V10" i="11"/>
  <c r="AA81" i="17" s="1"/>
  <c r="W10" i="10"/>
  <c r="AB244" i="17" s="1"/>
  <c r="AF73" i="1"/>
  <c r="AP73" i="1" s="1"/>
  <c r="V61" i="11"/>
  <c r="AA199" i="17" s="1"/>
  <c r="Z247" i="14"/>
  <c r="G36" i="21"/>
  <c r="U40" i="10"/>
  <c r="Z244" i="14"/>
  <c r="V7" i="10"/>
  <c r="AA245" i="17" s="1"/>
  <c r="P206" i="10"/>
  <c r="Z243" i="17"/>
  <c r="U46" i="10"/>
  <c r="V32" i="10"/>
  <c r="V28" i="10" s="1"/>
  <c r="V6" i="10" s="1"/>
  <c r="Z243" i="14" s="1"/>
  <c r="U42" i="10"/>
  <c r="P175" i="11"/>
  <c r="P178" i="11" s="1"/>
  <c r="Q177" i="11" s="1"/>
  <c r="BP244" i="9"/>
  <c r="W12" i="10"/>
  <c r="AB247" i="17" s="1"/>
  <c r="S25" i="14"/>
  <c r="V45" i="10"/>
  <c r="G16" i="21"/>
  <c r="V72" i="9"/>
  <c r="T176" i="9"/>
  <c r="T169" i="11" s="1"/>
  <c r="X30" i="14" s="1"/>
  <c r="G38" i="21"/>
  <c r="Z237" i="14"/>
  <c r="V136" i="9"/>
  <c r="V137" i="9" s="1"/>
  <c r="O121" i="11"/>
  <c r="C729" i="16"/>
  <c r="C730" i="16" s="1"/>
  <c r="D728" i="16" s="1"/>
  <c r="N117" i="3"/>
  <c r="O189" i="11"/>
  <c r="F135" i="12" s="1"/>
  <c r="S17" i="14" s="1"/>
  <c r="M117" i="3"/>
  <c r="O175" i="11"/>
  <c r="U259" i="10"/>
  <c r="U263" i="10" s="1"/>
  <c r="U170" i="10" s="1"/>
  <c r="Z225" i="14"/>
  <c r="G18" i="21"/>
  <c r="R205" i="10"/>
  <c r="R201" i="11" s="1"/>
  <c r="R202" i="11" s="1"/>
  <c r="BQ240" i="9"/>
  <c r="BO244" i="9"/>
  <c r="BQ241" i="9"/>
  <c r="BO242" i="9"/>
  <c r="L177" i="3"/>
  <c r="L189" i="3" s="1"/>
  <c r="U43" i="11"/>
  <c r="BQ245" i="9"/>
  <c r="BQ238" i="9"/>
  <c r="BO238" i="9"/>
  <c r="Z191" i="17"/>
  <c r="BQ239" i="9"/>
  <c r="BO240" i="9"/>
  <c r="S119" i="14"/>
  <c r="S118" i="14"/>
  <c r="Z81" i="17"/>
  <c r="G466" i="1"/>
  <c r="S120" i="14"/>
  <c r="Y188" i="14"/>
  <c r="S122" i="14"/>
  <c r="S125" i="14"/>
  <c r="Y191" i="14"/>
  <c r="U32" i="11"/>
  <c r="M12" i="3"/>
  <c r="M13" i="3" s="1"/>
  <c r="C552" i="12"/>
  <c r="AP10" i="1"/>
  <c r="B774" i="12"/>
  <c r="B775" i="12" s="1"/>
  <c r="AF107" i="1"/>
  <c r="AP28" i="1"/>
  <c r="I214" i="12"/>
  <c r="BW214" i="12" s="1"/>
  <c r="I465" i="12" s="1"/>
  <c r="U22" i="10"/>
  <c r="U23" i="10" s="1"/>
  <c r="BW272" i="12"/>
  <c r="I463" i="12" s="1"/>
  <c r="BS272" i="12"/>
  <c r="E518" i="12" s="1"/>
  <c r="T224" i="11"/>
  <c r="Z195" i="17"/>
  <c r="X85" i="17"/>
  <c r="U27" i="11"/>
  <c r="I273" i="12"/>
  <c r="E513" i="12" s="1"/>
  <c r="AF123" i="1"/>
  <c r="U21" i="10"/>
  <c r="D100" i="16"/>
  <c r="Y249" i="14"/>
  <c r="B551" i="12"/>
  <c r="B558" i="12" s="1"/>
  <c r="T59" i="11"/>
  <c r="X71" i="14"/>
  <c r="E704" i="16"/>
  <c r="E705" i="16" s="1"/>
  <c r="D719" i="16" s="1"/>
  <c r="Y195" i="14"/>
  <c r="W5" i="9"/>
  <c r="AB215" i="17" s="1"/>
  <c r="M183" i="3"/>
  <c r="N183" i="3" s="1"/>
  <c r="Z83" i="17"/>
  <c r="U33" i="11"/>
  <c r="Y83" i="14"/>
  <c r="Z79" i="17"/>
  <c r="X73" i="17"/>
  <c r="Z188" i="17"/>
  <c r="T68" i="11"/>
  <c r="X211" i="14"/>
  <c r="W85" i="14"/>
  <c r="S38" i="11"/>
  <c r="W193" i="14"/>
  <c r="E1016" i="16"/>
  <c r="C866" i="20"/>
  <c r="S30" i="11"/>
  <c r="V20" i="10"/>
  <c r="AA249" i="17" s="1"/>
  <c r="BN244" i="9"/>
  <c r="BE243" i="9"/>
  <c r="W11" i="10"/>
  <c r="AB248" i="17" s="1"/>
  <c r="BN243" i="9"/>
  <c r="Z248" i="14"/>
  <c r="CD282" i="10"/>
  <c r="CD299" i="10" s="1"/>
  <c r="L120" i="3"/>
  <c r="Y222" i="9"/>
  <c r="Z222" i="9" s="1"/>
  <c r="Z269" i="9" s="1"/>
  <c r="V44" i="10"/>
  <c r="BN245" i="9"/>
  <c r="G37" i="21"/>
  <c r="BN241" i="9"/>
  <c r="V153" i="10"/>
  <c r="V11" i="11"/>
  <c r="V33" i="11" s="1"/>
  <c r="BN240" i="9"/>
  <c r="BN239" i="9"/>
  <c r="L277" i="3"/>
  <c r="M277" i="3" s="1"/>
  <c r="N277" i="3" s="1"/>
  <c r="O277" i="3" s="1"/>
  <c r="P277" i="3" s="1"/>
  <c r="Q277" i="3" s="1"/>
  <c r="R277" i="3" s="1"/>
  <c r="S277" i="3" s="1"/>
  <c r="X4" i="9"/>
  <c r="AC214" i="17" s="1"/>
  <c r="BN242" i="9"/>
  <c r="CB300" i="10"/>
  <c r="O160" i="11"/>
  <c r="AA214" i="14"/>
  <c r="N182" i="9"/>
  <c r="T132" i="11"/>
  <c r="T133" i="10"/>
  <c r="BF245" i="9"/>
  <c r="BF238" i="9"/>
  <c r="G734" i="1"/>
  <c r="BF240" i="9"/>
  <c r="M155" i="11"/>
  <c r="M156" i="11" s="1"/>
  <c r="M158" i="11" s="1"/>
  <c r="E697" i="16"/>
  <c r="CC282" i="10"/>
  <c r="CC299" i="10" s="1"/>
  <c r="AB221" i="17"/>
  <c r="X13" i="9"/>
  <c r="W48" i="9"/>
  <c r="H7" i="21"/>
  <c r="AA221" i="14"/>
  <c r="BL239" i="9"/>
  <c r="W135" i="14"/>
  <c r="W30" i="14"/>
  <c r="BE238" i="9"/>
  <c r="Q139" i="14"/>
  <c r="BL242" i="9"/>
  <c r="F726" i="1"/>
  <c r="G725" i="1" s="1"/>
  <c r="BE242" i="9"/>
  <c r="BE245" i="9"/>
  <c r="V270" i="9"/>
  <c r="BL238" i="9"/>
  <c r="BE244" i="9"/>
  <c r="BE240" i="9"/>
  <c r="BL240" i="9"/>
  <c r="BL241" i="9"/>
  <c r="BL244" i="9"/>
  <c r="BE241" i="9"/>
  <c r="F694" i="16"/>
  <c r="F696" i="16" s="1"/>
  <c r="L18" i="3"/>
  <c r="E708" i="16" s="1"/>
  <c r="E712" i="16" s="1"/>
  <c r="BL243" i="9"/>
  <c r="N160" i="11"/>
  <c r="P25" i="3"/>
  <c r="P9" i="3" s="1"/>
  <c r="C582" i="1"/>
  <c r="C583" i="1"/>
  <c r="D667" i="16"/>
  <c r="D668" i="16" s="1"/>
  <c r="D711" i="16"/>
  <c r="K161" i="3"/>
  <c r="L161" i="3"/>
  <c r="N10" i="3"/>
  <c r="O27" i="3"/>
  <c r="G656" i="16"/>
  <c r="G660" i="16" s="1"/>
  <c r="G661" i="16" s="1"/>
  <c r="P202" i="9"/>
  <c r="P205" i="9" s="1"/>
  <c r="P189" i="11"/>
  <c r="V4" i="11"/>
  <c r="V27" i="11" s="1"/>
  <c r="AA241" i="17"/>
  <c r="I88" i="9"/>
  <c r="N236" i="3"/>
  <c r="N234" i="3" s="1"/>
  <c r="N240" i="3"/>
  <c r="O231" i="3"/>
  <c r="K280" i="3"/>
  <c r="J301" i="3"/>
  <c r="J304" i="3"/>
  <c r="J277" i="3"/>
  <c r="K278" i="3" s="1"/>
  <c r="J215" i="3"/>
  <c r="J220" i="3" s="1"/>
  <c r="N175" i="11"/>
  <c r="R134" i="14"/>
  <c r="R139" i="14" s="1"/>
  <c r="N270" i="3"/>
  <c r="O295" i="3"/>
  <c r="F666" i="16"/>
  <c r="M271" i="3"/>
  <c r="M272" i="3" s="1"/>
  <c r="G132" i="12"/>
  <c r="T25" i="14"/>
  <c r="B546" i="12" s="1"/>
  <c r="H546" i="12" s="1"/>
  <c r="P121" i="11"/>
  <c r="BF242" i="9"/>
  <c r="M243" i="3"/>
  <c r="M245" i="3" s="1"/>
  <c r="M238" i="3"/>
  <c r="M234" i="3"/>
  <c r="T155" i="9"/>
  <c r="S149" i="11"/>
  <c r="B816" i="12"/>
  <c r="B818" i="12" s="1"/>
  <c r="B770" i="12"/>
  <c r="B752" i="12" s="1"/>
  <c r="M159" i="10"/>
  <c r="M159" i="11" s="1"/>
  <c r="M162" i="10"/>
  <c r="BF243" i="9"/>
  <c r="X210" i="11"/>
  <c r="AB102" i="14" s="1"/>
  <c r="CA282" i="10"/>
  <c r="CA299" i="10" s="1"/>
  <c r="CA300" i="10"/>
  <c r="D4" i="16"/>
  <c r="K306" i="3"/>
  <c r="K308" i="3" s="1"/>
  <c r="K337" i="3" s="1"/>
  <c r="K171" i="3"/>
  <c r="K173" i="3" s="1"/>
  <c r="K339" i="3" s="1"/>
  <c r="N16" i="3"/>
  <c r="G700" i="16"/>
  <c r="T118" i="14"/>
  <c r="T123" i="14"/>
  <c r="T120" i="14"/>
  <c r="T122" i="14"/>
  <c r="T119" i="14"/>
  <c r="T125" i="14"/>
  <c r="P423" i="1"/>
  <c r="P426" i="1" s="1"/>
  <c r="P428" i="1" s="1"/>
  <c r="P430" i="1" s="1"/>
  <c r="P433" i="1" s="1"/>
  <c r="O426" i="1"/>
  <c r="O428" i="1" s="1"/>
  <c r="O430" i="1" s="1"/>
  <c r="O433" i="1" s="1"/>
  <c r="O436" i="1" s="1"/>
  <c r="BF241" i="9"/>
  <c r="BF244" i="9"/>
  <c r="F988" i="12"/>
  <c r="F995" i="12" s="1"/>
  <c r="AA252" i="17"/>
  <c r="W65" i="10"/>
  <c r="Z252" i="14"/>
  <c r="G48" i="21"/>
  <c r="F156" i="14"/>
  <c r="F158" i="14" s="1"/>
  <c r="G41" i="12"/>
  <c r="T26" i="14" s="1"/>
  <c r="G690" i="16"/>
  <c r="O29" i="3"/>
  <c r="P29" i="3" s="1"/>
  <c r="B554" i="12"/>
  <c r="B759" i="12"/>
  <c r="B807" i="12" s="1"/>
  <c r="N121" i="11"/>
  <c r="E132" i="12"/>
  <c r="R25" i="14"/>
  <c r="V223" i="9"/>
  <c r="V226" i="9" s="1"/>
  <c r="Q32" i="14"/>
  <c r="D135" i="12"/>
  <c r="M192" i="11"/>
  <c r="M195" i="11" s="1"/>
  <c r="G703" i="16"/>
  <c r="O158" i="3"/>
  <c r="P158" i="3" s="1"/>
  <c r="Q158" i="3" s="1"/>
  <c r="R158" i="3" s="1"/>
  <c r="S158" i="3" s="1"/>
  <c r="M162" i="3"/>
  <c r="F711" i="16"/>
  <c r="F667" i="16"/>
  <c r="N160" i="3"/>
  <c r="N202" i="9"/>
  <c r="N205" i="9" s="1"/>
  <c r="R234" i="14" s="1"/>
  <c r="N189" i="11"/>
  <c r="R125" i="14"/>
  <c r="R122" i="14"/>
  <c r="R123" i="14"/>
  <c r="R118" i="14"/>
  <c r="R119" i="14"/>
  <c r="R120" i="14"/>
  <c r="T483" i="4"/>
  <c r="U465" i="4"/>
  <c r="U28" i="4"/>
  <c r="AI28" i="17" s="1"/>
  <c r="V465" i="4"/>
  <c r="V28" i="4"/>
  <c r="AJ28" i="17" s="1"/>
  <c r="O295" i="4"/>
  <c r="P502" i="4"/>
  <c r="P527" i="4" s="1"/>
  <c r="O597" i="4"/>
  <c r="O625" i="4"/>
  <c r="N27" i="5"/>
  <c r="U58" i="11"/>
  <c r="Z86" i="17"/>
  <c r="Z210" i="17"/>
  <c r="F3662" i="16"/>
  <c r="I3791" i="16"/>
  <c r="H3791" i="16" s="1"/>
  <c r="E3664" i="16"/>
  <c r="E3665" i="16" s="1"/>
  <c r="E3670" i="16" s="1"/>
  <c r="J46" i="22"/>
  <c r="G3660" i="16" s="1"/>
  <c r="P78" i="4"/>
  <c r="F3654" i="16"/>
  <c r="O78" i="4"/>
  <c r="D116" i="24"/>
  <c r="D128" i="24"/>
  <c r="D62" i="24"/>
  <c r="L19" i="5"/>
  <c r="AA216" i="17"/>
  <c r="H68" i="5"/>
  <c r="CB299" i="11"/>
  <c r="BP232" i="11"/>
  <c r="BP236" i="11" s="1"/>
  <c r="CC299" i="11"/>
  <c r="CD299" i="11"/>
  <c r="BR232" i="11"/>
  <c r="BR236" i="11" s="1"/>
  <c r="AC139" i="17"/>
  <c r="N273" i="4"/>
  <c r="M272" i="4"/>
  <c r="AI157" i="20"/>
  <c r="AH157" i="20"/>
  <c r="J6" i="22"/>
  <c r="I70" i="22"/>
  <c r="I92" i="22" s="1"/>
  <c r="D65" i="24"/>
  <c r="D89" i="24"/>
  <c r="H47" i="4" s="1"/>
  <c r="J86" i="9"/>
  <c r="I86" i="9"/>
  <c r="G985" i="12"/>
  <c r="G992" i="12" s="1"/>
  <c r="C874" i="20"/>
  <c r="K347" i="20"/>
  <c r="C879" i="20" s="1"/>
  <c r="BV289" i="9"/>
  <c r="BV306" i="9" s="1"/>
  <c r="BV307" i="9"/>
  <c r="C3247" i="16"/>
  <c r="D3243" i="16" s="1"/>
  <c r="D3245" i="16" s="1"/>
  <c r="C3197" i="16"/>
  <c r="D3197" i="16"/>
  <c r="E3197" i="16"/>
  <c r="G3197" i="16"/>
  <c r="F3197" i="16"/>
  <c r="G2345" i="16"/>
  <c r="D3082" i="16"/>
  <c r="D3087" i="16" s="1"/>
  <c r="D3136" i="16" s="1"/>
  <c r="C2385" i="16"/>
  <c r="C2387" i="16" s="1"/>
  <c r="F2425" i="16" s="1"/>
  <c r="E2391" i="16"/>
  <c r="F2391" i="16" s="1"/>
  <c r="F2392" i="16" s="1"/>
  <c r="K29" i="22"/>
  <c r="L2275" i="16"/>
  <c r="J316" i="3"/>
  <c r="I2285" i="16"/>
  <c r="I2287" i="16"/>
  <c r="P499" i="4"/>
  <c r="O570" i="4"/>
  <c r="O602" i="4" s="1"/>
  <c r="E192" i="16"/>
  <c r="E198" i="16" s="1"/>
  <c r="H2371" i="16"/>
  <c r="H2369" i="16"/>
  <c r="H2367" i="16"/>
  <c r="H2375" i="16"/>
  <c r="H2376" i="16"/>
  <c r="G2369" i="16"/>
  <c r="G2367" i="16"/>
  <c r="G2368" i="16" s="1"/>
  <c r="G2371" i="16"/>
  <c r="G2375" i="16"/>
  <c r="G2376" i="16"/>
  <c r="M479" i="4"/>
  <c r="M480" i="4" s="1"/>
  <c r="D192" i="16"/>
  <c r="D198" i="16" s="1"/>
  <c r="CB292" i="11"/>
  <c r="CB309" i="11" s="1"/>
  <c r="BT78" i="11"/>
  <c r="F992" i="12"/>
  <c r="M478" i="4"/>
  <c r="E207" i="16"/>
  <c r="E217" i="16" s="1"/>
  <c r="E249" i="16" s="1"/>
  <c r="N443" i="4"/>
  <c r="F366" i="16"/>
  <c r="F372" i="16" s="1"/>
  <c r="C2204" i="16"/>
  <c r="D2063" i="16"/>
  <c r="E2063" i="16" s="1"/>
  <c r="J64" i="5"/>
  <c r="Y219" i="14"/>
  <c r="U33" i="9"/>
  <c r="W35" i="9"/>
  <c r="W31" i="9" s="1"/>
  <c r="W6" i="9" s="1"/>
  <c r="W7" i="9"/>
  <c r="AB218" i="17" s="1"/>
  <c r="X12" i="9"/>
  <c r="AC217" i="17" s="1"/>
  <c r="H6" i="21"/>
  <c r="AA217" i="14"/>
  <c r="K8" i="5"/>
  <c r="E486" i="16"/>
  <c r="E496" i="16" s="1"/>
  <c r="V209" i="11"/>
  <c r="V211" i="11" s="1"/>
  <c r="N119" i="3"/>
  <c r="O119" i="3" s="1"/>
  <c r="P119" i="3" s="1"/>
  <c r="Q119" i="3" s="1"/>
  <c r="R119" i="3" s="1"/>
  <c r="S119" i="3" s="1"/>
  <c r="W257" i="10"/>
  <c r="W259" i="10" s="1"/>
  <c r="W263" i="10" s="1"/>
  <c r="Z5" i="17"/>
  <c r="Z6" i="17" s="1"/>
  <c r="F471" i="16"/>
  <c r="E381" i="16"/>
  <c r="E391" i="16" s="1"/>
  <c r="O116" i="3"/>
  <c r="O117" i="3" s="1"/>
  <c r="P130" i="3"/>
  <c r="Q130" i="3" s="1"/>
  <c r="V8" i="9"/>
  <c r="AA219" i="17" s="1"/>
  <c r="V32" i="9"/>
  <c r="Z218" i="14"/>
  <c r="D658" i="1"/>
  <c r="D789" i="16"/>
  <c r="N476" i="4"/>
  <c r="M476" i="4"/>
  <c r="S1739" i="16"/>
  <c r="K1740" i="16"/>
  <c r="K1741" i="16"/>
  <c r="P172" i="4"/>
  <c r="Q172" i="4"/>
  <c r="C1864" i="16"/>
  <c r="AC48" i="17"/>
  <c r="BR117" i="20"/>
  <c r="R123" i="20"/>
  <c r="BT76" i="11"/>
  <c r="CB372" i="12"/>
  <c r="E50" i="24"/>
  <c r="E52" i="24"/>
  <c r="E114" i="24" s="1"/>
  <c r="F207" i="16"/>
  <c r="F217" i="16" s="1"/>
  <c r="F249" i="16" s="1"/>
  <c r="L8" i="5"/>
  <c r="L64" i="5" s="1"/>
  <c r="R185" i="9"/>
  <c r="S184" i="9" s="1"/>
  <c r="L482" i="4"/>
  <c r="M482" i="4" s="1"/>
  <c r="E402" i="4"/>
  <c r="E409" i="4" s="1"/>
  <c r="E410" i="4" s="1"/>
  <c r="E226" i="4" s="1"/>
  <c r="E239" i="4" s="1"/>
  <c r="E241" i="4" s="1"/>
  <c r="H1567" i="16"/>
  <c r="N176" i="4"/>
  <c r="N365" i="4"/>
  <c r="O364" i="4"/>
  <c r="H297" i="4"/>
  <c r="H298" i="4" s="1"/>
  <c r="BS232" i="11"/>
  <c r="BS235" i="11" s="1"/>
  <c r="E40" i="25"/>
  <c r="S368" i="20"/>
  <c r="S387" i="20" s="1"/>
  <c r="C973" i="20"/>
  <c r="AA5" i="17"/>
  <c r="N165" i="4"/>
  <c r="O417" i="4"/>
  <c r="V352" i="20"/>
  <c r="V323" i="20"/>
  <c r="V371" i="20"/>
  <c r="V387" i="20"/>
  <c r="V43" i="9"/>
  <c r="AA102" i="14"/>
  <c r="S193" i="11"/>
  <c r="BQ76" i="11"/>
  <c r="BT232" i="11"/>
  <c r="BT239" i="11" s="1"/>
  <c r="D249" i="16"/>
  <c r="E1666" i="16"/>
  <c r="E1681" i="16" s="1"/>
  <c r="E1680" i="16"/>
  <c r="F342" i="16"/>
  <c r="F348" i="16" s="1"/>
  <c r="E348" i="16"/>
  <c r="E716" i="16"/>
  <c r="D716" i="16"/>
  <c r="E687" i="16"/>
  <c r="F687" i="16"/>
  <c r="CC242" i="9"/>
  <c r="CC238" i="9"/>
  <c r="CC239" i="9"/>
  <c r="CC243" i="9"/>
  <c r="CC241" i="9"/>
  <c r="CC240" i="9"/>
  <c r="CC244" i="9"/>
  <c r="BR76" i="11"/>
  <c r="BV76" i="11"/>
  <c r="W13" i="10"/>
  <c r="AB263" i="17" s="1"/>
  <c r="V48" i="10"/>
  <c r="Z263" i="14"/>
  <c r="V13" i="11"/>
  <c r="G39" i="21"/>
  <c r="V62" i="10"/>
  <c r="V64" i="10" s="1"/>
  <c r="AA264" i="17" s="1"/>
  <c r="BO232" i="11"/>
  <c r="R134" i="11"/>
  <c r="W136" i="11"/>
  <c r="O110" i="3"/>
  <c r="O113" i="3" s="1"/>
  <c r="P126" i="3"/>
  <c r="R118" i="9"/>
  <c r="R117" i="9"/>
  <c r="Q155" i="11"/>
  <c r="R160" i="9"/>
  <c r="Y151" i="11"/>
  <c r="X168" i="11"/>
  <c r="X257" i="10"/>
  <c r="Y213" i="10"/>
  <c r="Z213" i="10" s="1"/>
  <c r="Z257" i="10" s="1"/>
  <c r="J331" i="3"/>
  <c r="BN232" i="11"/>
  <c r="R129" i="11"/>
  <c r="R130" i="11" s="1"/>
  <c r="F1045" i="16"/>
  <c r="K66" i="5"/>
  <c r="Y18" i="14"/>
  <c r="CC295" i="9"/>
  <c r="CC300" i="9"/>
  <c r="P165" i="9"/>
  <c r="P168" i="9"/>
  <c r="Y210" i="14"/>
  <c r="U48" i="11"/>
  <c r="U35" i="11"/>
  <c r="Y86" i="14"/>
  <c r="X448" i="1"/>
  <c r="K466" i="1"/>
  <c r="K484" i="1"/>
  <c r="I331" i="3"/>
  <c r="I332" i="3" s="1"/>
  <c r="I329" i="3"/>
  <c r="Q293" i="3"/>
  <c r="P269" i="3"/>
  <c r="K212" i="3"/>
  <c r="K218" i="3" s="1"/>
  <c r="E57" i="16"/>
  <c r="S139" i="14"/>
  <c r="C8" i="16"/>
  <c r="AF79" i="1"/>
  <c r="BQ78" i="11"/>
  <c r="G731" i="1"/>
  <c r="G733" i="1"/>
  <c r="G729" i="1"/>
  <c r="G735" i="1"/>
  <c r="G730" i="1"/>
  <c r="BL238" i="11"/>
  <c r="BL239" i="11"/>
  <c r="BL236" i="11"/>
  <c r="BL235" i="11"/>
  <c r="BL240" i="11"/>
  <c r="BL237" i="11"/>
  <c r="K47" i="3"/>
  <c r="K49" i="3" s="1"/>
  <c r="K336" i="3" s="1"/>
  <c r="W224" i="9"/>
  <c r="V212" i="11"/>
  <c r="P187" i="3"/>
  <c r="Q187" i="3" s="1"/>
  <c r="R187" i="3" s="1"/>
  <c r="S187" i="3" s="1"/>
  <c r="I54" i="16"/>
  <c r="J54" i="16" s="1"/>
  <c r="Z217" i="10"/>
  <c r="Z261" i="10" s="1"/>
  <c r="Y225" i="9"/>
  <c r="Z225" i="9" s="1"/>
  <c r="Z272" i="9" s="1"/>
  <c r="CD242" i="9"/>
  <c r="CD241" i="9"/>
  <c r="AD261" i="9" s="1"/>
  <c r="CD238" i="9"/>
  <c r="CD245" i="9"/>
  <c r="AD265" i="9" s="1"/>
  <c r="CD240" i="9"/>
  <c r="CD243" i="9"/>
  <c r="CD239" i="9"/>
  <c r="AD258" i="9" s="1"/>
  <c r="CD244" i="9"/>
  <c r="AD263" i="9" s="1"/>
  <c r="BV78" i="11"/>
  <c r="BR78" i="11"/>
  <c r="F46" i="21"/>
  <c r="Y264" i="14"/>
  <c r="U132" i="10"/>
  <c r="U68" i="10"/>
  <c r="U60" i="11"/>
  <c r="Z211" i="17" s="1"/>
  <c r="D708" i="16"/>
  <c r="K19" i="3"/>
  <c r="L466" i="1"/>
  <c r="L484" i="1"/>
  <c r="K75" i="20"/>
  <c r="Y448" i="1"/>
  <c r="V271" i="9"/>
  <c r="CC245" i="9"/>
  <c r="W20" i="20"/>
  <c r="BK240" i="9"/>
  <c r="BK245" i="9"/>
  <c r="BK238" i="9"/>
  <c r="BK242" i="9"/>
  <c r="BK241" i="9"/>
  <c r="BK239" i="9"/>
  <c r="BK244" i="9"/>
  <c r="BK243" i="9"/>
  <c r="E26" i="16"/>
  <c r="E32" i="16"/>
  <c r="BM241" i="9"/>
  <c r="BM239" i="9"/>
  <c r="BM240" i="9"/>
  <c r="BM238" i="9"/>
  <c r="BM243" i="9"/>
  <c r="BM242" i="9"/>
  <c r="BM245" i="9"/>
  <c r="BM244" i="9"/>
  <c r="J327" i="3"/>
  <c r="J329" i="3" s="1"/>
  <c r="Y261" i="10"/>
  <c r="V196" i="9"/>
  <c r="U186" i="11"/>
  <c r="Y11" i="14" s="1"/>
  <c r="Z241" i="14"/>
  <c r="W4" i="10"/>
  <c r="AB241" i="17" s="1"/>
  <c r="CE285" i="11"/>
  <c r="CE292" i="11" s="1"/>
  <c r="CE309" i="11" s="1"/>
  <c r="CE232" i="11"/>
  <c r="CF232" i="11"/>
  <c r="Y214" i="10"/>
  <c r="Y258" i="10" s="1"/>
  <c r="BM232" i="11"/>
  <c r="X272" i="9"/>
  <c r="CF292" i="11"/>
  <c r="CF309" i="11" s="1"/>
  <c r="CF310" i="11"/>
  <c r="M14" i="5"/>
  <c r="AA13" i="17"/>
  <c r="AA15" i="17"/>
  <c r="E1453" i="16"/>
  <c r="E1454" i="16" s="1"/>
  <c r="G4" i="21"/>
  <c r="Z215" i="14"/>
  <c r="V50" i="9"/>
  <c r="V51" i="9"/>
  <c r="Z216" i="14"/>
  <c r="G5" i="21"/>
  <c r="V44" i="9"/>
  <c r="H7" i="16"/>
  <c r="I7" i="16" s="1"/>
  <c r="P209" i="4"/>
  <c r="C4251" i="16" s="1"/>
  <c r="P232" i="4"/>
  <c r="P456" i="4"/>
  <c r="I1040" i="16"/>
  <c r="P258" i="3"/>
  <c r="P260" i="3" s="1"/>
  <c r="P340" i="3" s="1"/>
  <c r="R249" i="3"/>
  <c r="R255" i="3" s="1"/>
  <c r="Q255" i="3"/>
  <c r="N125" i="12"/>
  <c r="Z7" i="14"/>
  <c r="M371" i="20"/>
  <c r="N1445" i="16"/>
  <c r="CD292" i="11"/>
  <c r="CD309" i="11" s="1"/>
  <c r="CD310" i="11"/>
  <c r="CE310" i="11"/>
  <c r="T139" i="14"/>
  <c r="U144" i="14"/>
  <c r="U143" i="14"/>
  <c r="AB140" i="14"/>
  <c r="E174" i="16"/>
  <c r="F168" i="16"/>
  <c r="F174" i="16" s="1"/>
  <c r="AB13" i="14"/>
  <c r="N620" i="1"/>
  <c r="P619" i="1"/>
  <c r="N126" i="12"/>
  <c r="Z18" i="14"/>
  <c r="AL482" i="20"/>
  <c r="B493" i="20"/>
  <c r="F6" i="16"/>
  <c r="B541" i="20"/>
  <c r="B550" i="20" s="1"/>
  <c r="B559" i="20" s="1"/>
  <c r="B567" i="20" s="1"/>
  <c r="I123" i="12"/>
  <c r="H139" i="12"/>
  <c r="Q7" i="3"/>
  <c r="CB317" i="11"/>
  <c r="CB318" i="11"/>
  <c r="M168" i="9"/>
  <c r="M165" i="9"/>
  <c r="V30" i="14"/>
  <c r="V135" i="14"/>
  <c r="R66" i="11"/>
  <c r="V75" i="17"/>
  <c r="R70" i="11"/>
  <c r="V73" i="14"/>
  <c r="R72" i="11"/>
  <c r="W198" i="17" s="1"/>
  <c r="W200" i="17" s="1"/>
  <c r="E453" i="16"/>
  <c r="F447" i="16"/>
  <c r="F453" i="16" s="1"/>
  <c r="M215" i="4"/>
  <c r="AA140" i="17" s="1"/>
  <c r="M231" i="4"/>
  <c r="E3507" i="16" s="1"/>
  <c r="U142" i="9"/>
  <c r="U30" i="14"/>
  <c r="U135" i="14"/>
  <c r="D558" i="12"/>
  <c r="D555" i="12"/>
  <c r="W37" i="10"/>
  <c r="V5" i="10"/>
  <c r="AA242" i="17" s="1"/>
  <c r="X218" i="9"/>
  <c r="X265" i="9" s="1"/>
  <c r="W208" i="11"/>
  <c r="Q90" i="10"/>
  <c r="Q92" i="10"/>
  <c r="Q102" i="10"/>
  <c r="Q86" i="11"/>
  <c r="C132" i="12"/>
  <c r="L121" i="11"/>
  <c r="P59" i="3"/>
  <c r="P60" i="3" s="1"/>
  <c r="P61" i="3" s="1"/>
  <c r="Q84" i="3"/>
  <c r="D632" i="16"/>
  <c r="D636" i="16"/>
  <c r="R195" i="9"/>
  <c r="R154" i="11"/>
  <c r="V111" i="14" s="1"/>
  <c r="U198" i="14"/>
  <c r="U200" i="14" s="1"/>
  <c r="Q77" i="11"/>
  <c r="Q78" i="11" s="1"/>
  <c r="Q75" i="11"/>
  <c r="Q76" i="11" s="1"/>
  <c r="U70" i="14"/>
  <c r="U74" i="14" s="1"/>
  <c r="Q73" i="11"/>
  <c r="U200" i="17"/>
  <c r="U72" i="17"/>
  <c r="U76" i="17" s="1"/>
  <c r="V188" i="10"/>
  <c r="U197" i="10"/>
  <c r="U184" i="11"/>
  <c r="Y154" i="9"/>
  <c r="X194" i="9"/>
  <c r="X148" i="11"/>
  <c r="G710" i="16"/>
  <c r="G709" i="16"/>
  <c r="O66" i="3"/>
  <c r="P66" i="3" s="1"/>
  <c r="Q66" i="3" s="1"/>
  <c r="R66" i="3" s="1"/>
  <c r="S66" i="3" s="1"/>
  <c r="BH241" i="9"/>
  <c r="BH244" i="9"/>
  <c r="BH243" i="9"/>
  <c r="BH245" i="9"/>
  <c r="BH239" i="9"/>
  <c r="BH242" i="9"/>
  <c r="BH238" i="9"/>
  <c r="BH240" i="9"/>
  <c r="BD232" i="11"/>
  <c r="BE232" i="11"/>
  <c r="BG232" i="11"/>
  <c r="BF232" i="11"/>
  <c r="BT238" i="9"/>
  <c r="BT244" i="9"/>
  <c r="BT242" i="9"/>
  <c r="BT241" i="9"/>
  <c r="BT239" i="9"/>
  <c r="BT240" i="9"/>
  <c r="BT243" i="9"/>
  <c r="BT245" i="9"/>
  <c r="K22" i="22"/>
  <c r="I248" i="4"/>
  <c r="I388" i="4"/>
  <c r="I260" i="4"/>
  <c r="I13" i="4" s="1"/>
  <c r="W23" i="17" s="1"/>
  <c r="I461" i="4"/>
  <c r="I492" i="4" s="1"/>
  <c r="P107" i="3"/>
  <c r="P108" i="3" s="1"/>
  <c r="P104" i="3"/>
  <c r="O288" i="3"/>
  <c r="O274" i="3" s="1"/>
  <c r="O275" i="3" s="1"/>
  <c r="G692" i="16"/>
  <c r="AA140" i="14"/>
  <c r="Z15" i="14"/>
  <c r="C458" i="16"/>
  <c r="C460" i="16" s="1"/>
  <c r="C353" i="16"/>
  <c r="C355" i="16" s="1"/>
  <c r="Y40" i="9"/>
  <c r="X152" i="10"/>
  <c r="Y161" i="10"/>
  <c r="BV282" i="10"/>
  <c r="BV299" i="10" s="1"/>
  <c r="BV300" i="10"/>
  <c r="BI232" i="11"/>
  <c r="BJ232" i="11"/>
  <c r="BK232" i="11"/>
  <c r="I493" i="4"/>
  <c r="E789" i="16"/>
  <c r="W24" i="17"/>
  <c r="W70" i="17" s="1"/>
  <c r="W61" i="17" s="1"/>
  <c r="D822" i="16"/>
  <c r="W115" i="17"/>
  <c r="E597" i="16"/>
  <c r="I150" i="4"/>
  <c r="I332" i="4"/>
  <c r="C1100" i="16"/>
  <c r="H24" i="5"/>
  <c r="H26" i="5" s="1"/>
  <c r="D850" i="16" s="1"/>
  <c r="C1078" i="16"/>
  <c r="V170" i="10"/>
  <c r="V189" i="10"/>
  <c r="J8" i="22"/>
  <c r="I11" i="22"/>
  <c r="P95" i="10"/>
  <c r="P105" i="10"/>
  <c r="P89" i="11"/>
  <c r="P98" i="11" s="1"/>
  <c r="N435" i="4"/>
  <c r="BY282" i="10"/>
  <c r="BY299" i="10" s="1"/>
  <c r="BY300" i="10"/>
  <c r="U176" i="9"/>
  <c r="U157" i="9"/>
  <c r="U152" i="11" s="1"/>
  <c r="Y109" i="14" s="1"/>
  <c r="F34" i="21"/>
  <c r="U39" i="10"/>
  <c r="Y242" i="14"/>
  <c r="U5" i="11"/>
  <c r="Z189" i="17" s="1"/>
  <c r="U41" i="10"/>
  <c r="W265" i="9"/>
  <c r="Q103" i="10"/>
  <c r="Q93" i="10"/>
  <c r="Q87" i="11"/>
  <c r="CD307" i="9"/>
  <c r="CD289" i="9"/>
  <c r="CD306" i="9" s="1"/>
  <c r="G280" i="4"/>
  <c r="H248" i="4"/>
  <c r="G246" i="4"/>
  <c r="G255" i="4"/>
  <c r="G162" i="4"/>
  <c r="H255" i="4"/>
  <c r="C614" i="16"/>
  <c r="D60" i="22"/>
  <c r="D102" i="22" s="1"/>
  <c r="C1569" i="16"/>
  <c r="G621" i="16"/>
  <c r="E626" i="16"/>
  <c r="E632" i="16" s="1"/>
  <c r="Z5" i="14"/>
  <c r="Z6" i="14" s="1"/>
  <c r="N124" i="12"/>
  <c r="BH232" i="11"/>
  <c r="S134" i="11"/>
  <c r="B542" i="20"/>
  <c r="B551" i="20" s="1"/>
  <c r="B560" i="20" s="1"/>
  <c r="B568" i="20" s="1"/>
  <c r="BR243" i="9"/>
  <c r="BR238" i="9"/>
  <c r="BR242" i="9"/>
  <c r="BR240" i="9"/>
  <c r="BR239" i="9"/>
  <c r="BR241" i="9"/>
  <c r="BR244" i="9"/>
  <c r="BR245" i="9"/>
  <c r="G1559" i="16"/>
  <c r="G37" i="22"/>
  <c r="T39" i="11"/>
  <c r="X189" i="14"/>
  <c r="T37" i="11"/>
  <c r="D1563" i="16"/>
  <c r="E51" i="22"/>
  <c r="E38" i="22"/>
  <c r="D1564" i="16" s="1"/>
  <c r="K263" i="4"/>
  <c r="J262" i="4"/>
  <c r="J248" i="4" s="1"/>
  <c r="J244" i="4" s="1"/>
  <c r="J12" i="4" s="1"/>
  <c r="Q101" i="3"/>
  <c r="Q103" i="3" s="1"/>
  <c r="R133" i="3"/>
  <c r="Y67" i="9"/>
  <c r="Y103" i="14"/>
  <c r="N318" i="3"/>
  <c r="E476" i="16"/>
  <c r="D477" i="16"/>
  <c r="W151" i="10"/>
  <c r="W153" i="10" s="1"/>
  <c r="T66" i="10"/>
  <c r="S62" i="11"/>
  <c r="CC317" i="11"/>
  <c r="CC318" i="11"/>
  <c r="U139" i="9"/>
  <c r="BX300" i="10"/>
  <c r="BX282" i="10"/>
  <c r="BX299" i="10" s="1"/>
  <c r="N56" i="3"/>
  <c r="N68" i="3"/>
  <c r="BQ237" i="11"/>
  <c r="BQ238" i="11"/>
  <c r="BQ239" i="11"/>
  <c r="BQ236" i="11"/>
  <c r="BQ235" i="11"/>
  <c r="BQ240" i="11"/>
  <c r="Z101" i="14"/>
  <c r="Q84" i="10"/>
  <c r="R83" i="10"/>
  <c r="CC307" i="9"/>
  <c r="CC289" i="9"/>
  <c r="CC306" i="9" s="1"/>
  <c r="L1452" i="16"/>
  <c r="B822" i="12"/>
  <c r="C22" i="16"/>
  <c r="D54" i="22"/>
  <c r="D59" i="22"/>
  <c r="D98" i="22" s="1"/>
  <c r="D99" i="22" s="1"/>
  <c r="C1566" i="16"/>
  <c r="O267" i="3"/>
  <c r="X220" i="9"/>
  <c r="X267" i="9" s="1"/>
  <c r="P102" i="11"/>
  <c r="P92" i="11"/>
  <c r="L40" i="22"/>
  <c r="B540" i="20"/>
  <c r="B549" i="20" s="1"/>
  <c r="B558" i="20" s="1"/>
  <c r="B566" i="20" s="1"/>
  <c r="BG242" i="9"/>
  <c r="BG241" i="9"/>
  <c r="BG238" i="9"/>
  <c r="BG240" i="9"/>
  <c r="BG243" i="9"/>
  <c r="BG239" i="9"/>
  <c r="BG245" i="9"/>
  <c r="BG244" i="9"/>
  <c r="G702" i="16"/>
  <c r="N275" i="3"/>
  <c r="W72" i="9"/>
  <c r="AA237" i="14"/>
  <c r="W136" i="9"/>
  <c r="H16" i="21"/>
  <c r="BH76" i="11"/>
  <c r="BL76" i="11"/>
  <c r="Y229" i="9"/>
  <c r="Y273" i="9" s="1"/>
  <c r="X217" i="11"/>
  <c r="O207" i="3"/>
  <c r="O206" i="3" s="1"/>
  <c r="O197" i="3"/>
  <c r="I50" i="16" s="1"/>
  <c r="I49" i="16"/>
  <c r="J49" i="16" s="1"/>
  <c r="T107" i="3"/>
  <c r="O108" i="3"/>
  <c r="BW76" i="11"/>
  <c r="BS76" i="11"/>
  <c r="D2840" i="16"/>
  <c r="E1563" i="16"/>
  <c r="F38" i="22"/>
  <c r="E1564" i="16" s="1"/>
  <c r="R23" i="3"/>
  <c r="R4" i="3" s="1"/>
  <c r="R6" i="3" s="1"/>
  <c r="X212" i="10"/>
  <c r="W215" i="10"/>
  <c r="W218" i="10" s="1"/>
  <c r="P91" i="11"/>
  <c r="P101" i="11"/>
  <c r="F702" i="16"/>
  <c r="F704" i="16" s="1"/>
  <c r="M275" i="3"/>
  <c r="G267" i="4"/>
  <c r="G684" i="16"/>
  <c r="N267" i="3"/>
  <c r="CD317" i="11"/>
  <c r="CD318" i="11"/>
  <c r="T38" i="13"/>
  <c r="N2580" i="16" s="1"/>
  <c r="T72" i="13"/>
  <c r="U72" i="13"/>
  <c r="O53" i="3"/>
  <c r="O55" i="3" s="1"/>
  <c r="P80" i="3"/>
  <c r="P7" i="3"/>
  <c r="BV232" i="11"/>
  <c r="BU232" i="11"/>
  <c r="R111" i="10"/>
  <c r="R126" i="11"/>
  <c r="W9" i="11"/>
  <c r="W31" i="11" s="1"/>
  <c r="X9" i="10"/>
  <c r="Q104" i="10"/>
  <c r="Q94" i="10"/>
  <c r="Q88" i="11"/>
  <c r="Y140" i="9"/>
  <c r="X136" i="11"/>
  <c r="P282" i="3"/>
  <c r="P264" i="3" s="1"/>
  <c r="P266" i="3" s="1"/>
  <c r="Q195" i="9"/>
  <c r="Q154" i="11"/>
  <c r="U111" i="14" s="1"/>
  <c r="F914" i="12"/>
  <c r="X22" i="14"/>
  <c r="T193" i="11"/>
  <c r="W203" i="9"/>
  <c r="D809" i="12"/>
  <c r="BI243" i="9"/>
  <c r="BI238" i="9"/>
  <c r="BI242" i="9"/>
  <c r="BI239" i="9"/>
  <c r="BI240" i="9"/>
  <c r="BI241" i="9"/>
  <c r="BI244" i="9"/>
  <c r="BI245" i="9"/>
  <c r="X182" i="10"/>
  <c r="BS238" i="9"/>
  <c r="BS242" i="9"/>
  <c r="BS243" i="9"/>
  <c r="BS239" i="9"/>
  <c r="BS240" i="9"/>
  <c r="BS241" i="9"/>
  <c r="BS244" i="9"/>
  <c r="N62" i="22"/>
  <c r="BH78" i="11"/>
  <c r="BL78" i="11"/>
  <c r="E8" i="16"/>
  <c r="L315" i="3"/>
  <c r="F1560" i="16"/>
  <c r="F1561" i="16" s="1"/>
  <c r="P93" i="11"/>
  <c r="P103" i="11"/>
  <c r="BS78" i="11"/>
  <c r="BW78" i="11"/>
  <c r="W221" i="9"/>
  <c r="W223" i="9" s="1"/>
  <c r="E954" i="20"/>
  <c r="E958" i="20"/>
  <c r="D818" i="16"/>
  <c r="W20" i="17"/>
  <c r="I3" i="4"/>
  <c r="I91" i="4"/>
  <c r="C1075" i="16" s="1"/>
  <c r="I104" i="4"/>
  <c r="E787" i="16"/>
  <c r="E799" i="16" s="1"/>
  <c r="I136" i="4"/>
  <c r="D1121" i="16" s="1"/>
  <c r="E746" i="20"/>
  <c r="E713" i="20"/>
  <c r="N313" i="3"/>
  <c r="O312" i="3"/>
  <c r="C707" i="20"/>
  <c r="C710" i="20" s="1"/>
  <c r="C746" i="20" s="1"/>
  <c r="D710" i="20"/>
  <c r="B494" i="20"/>
  <c r="M121" i="12"/>
  <c r="K122" i="12"/>
  <c r="M69" i="3" l="1"/>
  <c r="M92" i="3"/>
  <c r="T78" i="5"/>
  <c r="U71" i="5"/>
  <c r="U78" i="5" s="1"/>
  <c r="N113" i="3"/>
  <c r="N114" i="3" s="1"/>
  <c r="U29" i="11"/>
  <c r="L95" i="3"/>
  <c r="L97" i="3" s="1"/>
  <c r="Y192" i="14"/>
  <c r="Y84" i="14"/>
  <c r="Z84" i="17"/>
  <c r="C555" i="12"/>
  <c r="Y193" i="17"/>
  <c r="Q152" i="9"/>
  <c r="Q146" i="11" s="1"/>
  <c r="C776" i="12"/>
  <c r="Z191" i="14"/>
  <c r="T30" i="11"/>
  <c r="Y85" i="17"/>
  <c r="X193" i="14"/>
  <c r="T38" i="11"/>
  <c r="U8" i="11"/>
  <c r="U30" i="11" s="1"/>
  <c r="H18" i="21"/>
  <c r="Y246" i="14"/>
  <c r="X69" i="9"/>
  <c r="AC225" i="17" s="1"/>
  <c r="AA225" i="14"/>
  <c r="U30" i="10"/>
  <c r="U28" i="11"/>
  <c r="U46" i="11"/>
  <c r="U47" i="11"/>
  <c r="Y190" i="14"/>
  <c r="X66" i="9"/>
  <c r="X68" i="9" s="1"/>
  <c r="AC237" i="17" s="1"/>
  <c r="AB236" i="14"/>
  <c r="I9" i="21"/>
  <c r="X52" i="9"/>
  <c r="Y15" i="9"/>
  <c r="J9" i="21" s="1"/>
  <c r="U40" i="11"/>
  <c r="J364" i="22"/>
  <c r="AF80" i="1"/>
  <c r="AJ80" i="1" s="1"/>
  <c r="V42" i="10"/>
  <c r="W32" i="10"/>
  <c r="W28" i="10" s="1"/>
  <c r="W6" i="10" s="1"/>
  <c r="AB243" i="17" s="1"/>
  <c r="J297" i="22"/>
  <c r="J294" i="22"/>
  <c r="K295" i="22"/>
  <c r="K296" i="22"/>
  <c r="K289" i="22"/>
  <c r="K288" i="22"/>
  <c r="K293" i="22"/>
  <c r="K291" i="22"/>
  <c r="Q78" i="4"/>
  <c r="K253" i="22"/>
  <c r="I1557" i="16"/>
  <c r="I15" i="22"/>
  <c r="I1558" i="16" s="1"/>
  <c r="Q128" i="3"/>
  <c r="Q111" i="3" s="1"/>
  <c r="O192" i="11"/>
  <c r="O195" i="11" s="1"/>
  <c r="F134" i="12" s="1"/>
  <c r="V32" i="11"/>
  <c r="S32" i="14"/>
  <c r="Z81" i="14"/>
  <c r="V43" i="11"/>
  <c r="AA191" i="17"/>
  <c r="X12" i="10"/>
  <c r="AC247" i="17" s="1"/>
  <c r="AA247" i="14"/>
  <c r="Z74" i="17"/>
  <c r="Z72" i="14"/>
  <c r="V69" i="11"/>
  <c r="Z199" i="14"/>
  <c r="H36" i="21"/>
  <c r="W7" i="10"/>
  <c r="AB245" i="17" s="1"/>
  <c r="AA244" i="14"/>
  <c r="W10" i="11"/>
  <c r="AA191" i="14" s="1"/>
  <c r="X10" i="10"/>
  <c r="AC244" i="17" s="1"/>
  <c r="H38" i="21"/>
  <c r="V8" i="10"/>
  <c r="AA246" i="17" s="1"/>
  <c r="U224" i="11"/>
  <c r="Z245" i="14"/>
  <c r="U189" i="10"/>
  <c r="V29" i="10"/>
  <c r="L178" i="3"/>
  <c r="V7" i="11"/>
  <c r="Z192" i="14" s="1"/>
  <c r="W45" i="10"/>
  <c r="F55" i="16"/>
  <c r="V46" i="10"/>
  <c r="V40" i="10"/>
  <c r="AA243" i="17"/>
  <c r="V47" i="10"/>
  <c r="G35" i="21"/>
  <c r="V6" i="11"/>
  <c r="AA190" i="17" s="1"/>
  <c r="M18" i="3"/>
  <c r="F708" i="16" s="1"/>
  <c r="F712" i="16" s="1"/>
  <c r="F713" i="16" s="1"/>
  <c r="AA215" i="14"/>
  <c r="L209" i="3"/>
  <c r="L215" i="3" s="1"/>
  <c r="L216" i="3" s="1"/>
  <c r="R206" i="10"/>
  <c r="E463" i="12"/>
  <c r="D712" i="16"/>
  <c r="D713" i="16" s="1"/>
  <c r="V21" i="10"/>
  <c r="Z249" i="14"/>
  <c r="W43" i="9"/>
  <c r="V22" i="10"/>
  <c r="V23" i="10" s="1"/>
  <c r="H4" i="21"/>
  <c r="BS214" i="12"/>
  <c r="E465" i="12" s="1"/>
  <c r="L278" i="3"/>
  <c r="F705" i="16"/>
  <c r="E719" i="16" s="1"/>
  <c r="X135" i="14"/>
  <c r="Y269" i="9"/>
  <c r="G52" i="16"/>
  <c r="B555" i="12"/>
  <c r="M177" i="3"/>
  <c r="M209" i="3" s="1"/>
  <c r="F697" i="16"/>
  <c r="H37" i="21"/>
  <c r="D729" i="16"/>
  <c r="W20" i="10"/>
  <c r="AB249" i="17" s="1"/>
  <c r="W11" i="11"/>
  <c r="W44" i="11" s="1"/>
  <c r="AA248" i="14"/>
  <c r="X11" i="10"/>
  <c r="AC248" i="17" s="1"/>
  <c r="D725" i="16"/>
  <c r="W44" i="10"/>
  <c r="Y4" i="9"/>
  <c r="AD214" i="17" s="1"/>
  <c r="AB214" i="14"/>
  <c r="X5" i="9"/>
  <c r="AC215" i="17" s="1"/>
  <c r="D727" i="16"/>
  <c r="D726" i="16"/>
  <c r="D724" i="16"/>
  <c r="L19" i="3"/>
  <c r="Z195" i="14"/>
  <c r="V44" i="11"/>
  <c r="AA195" i="17"/>
  <c r="AA83" i="17"/>
  <c r="Z83" i="14"/>
  <c r="V274" i="9"/>
  <c r="V157" i="9" s="1"/>
  <c r="V152" i="11" s="1"/>
  <c r="Z109" i="14" s="1"/>
  <c r="G713" i="1"/>
  <c r="G989" i="12"/>
  <c r="G996" i="12" s="1"/>
  <c r="T138" i="10"/>
  <c r="T133" i="11"/>
  <c r="T135" i="10"/>
  <c r="T135" i="11" s="1"/>
  <c r="K216" i="3"/>
  <c r="P436" i="1"/>
  <c r="F736" i="1"/>
  <c r="R227" i="9"/>
  <c r="S158" i="9" s="1"/>
  <c r="AC221" i="17"/>
  <c r="X48" i="9"/>
  <c r="AB221" i="14"/>
  <c r="I7" i="21"/>
  <c r="Y13" i="9"/>
  <c r="BP235" i="11"/>
  <c r="G724" i="1"/>
  <c r="G718" i="1"/>
  <c r="G720" i="1"/>
  <c r="G726" i="1"/>
  <c r="G717" i="1"/>
  <c r="G716" i="1"/>
  <c r="BR237" i="11"/>
  <c r="G694" i="16"/>
  <c r="G696" i="16" s="1"/>
  <c r="G714" i="1"/>
  <c r="G722" i="1"/>
  <c r="G719" i="1"/>
  <c r="O15" i="3"/>
  <c r="O16" i="3" s="1"/>
  <c r="Z79" i="14"/>
  <c r="AB252" i="17"/>
  <c r="X65" i="10"/>
  <c r="AA252" i="14"/>
  <c r="H48" i="21"/>
  <c r="W61" i="11"/>
  <c r="Z188" i="14"/>
  <c r="M168" i="3"/>
  <c r="M165" i="3"/>
  <c r="M163" i="3"/>
  <c r="P15" i="3"/>
  <c r="Q29" i="3"/>
  <c r="G666" i="16"/>
  <c r="N271" i="3"/>
  <c r="O236" i="3"/>
  <c r="P231" i="3"/>
  <c r="O240" i="3"/>
  <c r="F668" i="16"/>
  <c r="F669" i="16" s="1"/>
  <c r="E718" i="16" s="1"/>
  <c r="AA188" i="17"/>
  <c r="O270" i="3"/>
  <c r="O271" i="3" s="1"/>
  <c r="P295" i="3"/>
  <c r="Y272" i="9"/>
  <c r="C745" i="12"/>
  <c r="U155" i="9"/>
  <c r="T149" i="11"/>
  <c r="G135" i="12"/>
  <c r="T17" i="14" s="1"/>
  <c r="P192" i="11"/>
  <c r="P195" i="11" s="1"/>
  <c r="T32" i="14"/>
  <c r="G711" i="16"/>
  <c r="N162" i="3"/>
  <c r="G667" i="16"/>
  <c r="O160" i="3"/>
  <c r="AA79" i="17"/>
  <c r="Q25" i="3"/>
  <c r="Q9" i="3" s="1"/>
  <c r="N238" i="3"/>
  <c r="N243" i="3"/>
  <c r="N245" i="3" s="1"/>
  <c r="T234" i="14"/>
  <c r="U234" i="17"/>
  <c r="D669" i="16"/>
  <c r="C718" i="16" s="1"/>
  <c r="E669" i="16"/>
  <c r="D718" i="16" s="1"/>
  <c r="G664" i="16"/>
  <c r="N12" i="3"/>
  <c r="N13" i="3" s="1"/>
  <c r="M279" i="3"/>
  <c r="M327" i="3" s="1"/>
  <c r="G704" i="16"/>
  <c r="G705" i="16" s="1"/>
  <c r="F719" i="16" s="1"/>
  <c r="E135" i="12"/>
  <c r="N192" i="11"/>
  <c r="N195" i="11" s="1"/>
  <c r="R32" i="14"/>
  <c r="Q208" i="14"/>
  <c r="Q33" i="14"/>
  <c r="D134" i="12"/>
  <c r="M160" i="11"/>
  <c r="O10" i="3"/>
  <c r="O12" i="3" s="1"/>
  <c r="P27" i="3"/>
  <c r="Q27" i="3" s="1"/>
  <c r="Q10" i="3" s="1"/>
  <c r="C597" i="1"/>
  <c r="C695" i="1" s="1"/>
  <c r="G190" i="20"/>
  <c r="N582" i="1"/>
  <c r="P600" i="4"/>
  <c r="P624" i="4" s="1"/>
  <c r="U483" i="4"/>
  <c r="O273" i="4"/>
  <c r="N272" i="4"/>
  <c r="F179" i="28"/>
  <c r="D17" i="32"/>
  <c r="Q502" i="4"/>
  <c r="Q527" i="4" s="1"/>
  <c r="F2761" i="16"/>
  <c r="P597" i="4"/>
  <c r="AD139" i="17"/>
  <c r="O27" i="5"/>
  <c r="AZ383" i="20" s="1"/>
  <c r="BP237" i="11"/>
  <c r="AA86" i="17"/>
  <c r="AA210" i="17"/>
  <c r="BP239" i="11"/>
  <c r="BP238" i="11"/>
  <c r="BP240" i="11"/>
  <c r="I3804" i="16"/>
  <c r="H3804" i="16" s="1"/>
  <c r="I3788" i="16"/>
  <c r="H3788" i="16" s="1"/>
  <c r="G3662" i="16"/>
  <c r="G3664" i="16" s="1"/>
  <c r="G3665" i="16" s="1"/>
  <c r="I3807" i="16"/>
  <c r="H3807" i="16" s="1"/>
  <c r="F3656" i="16"/>
  <c r="F3664" i="16" s="1"/>
  <c r="F3665" i="16" s="1"/>
  <c r="I3654" i="16"/>
  <c r="I3656" i="16" s="1"/>
  <c r="K46" i="22"/>
  <c r="BR240" i="11"/>
  <c r="BR239" i="11"/>
  <c r="BR238" i="11"/>
  <c r="BR235" i="11"/>
  <c r="E116" i="24"/>
  <c r="E128" i="24"/>
  <c r="AB216" i="17"/>
  <c r="N164" i="4"/>
  <c r="F2135" i="16"/>
  <c r="G57" i="22"/>
  <c r="J46" i="24"/>
  <c r="K46" i="24" s="1"/>
  <c r="L46" i="24" s="1"/>
  <c r="M46" i="24" s="1"/>
  <c r="N46" i="24" s="1"/>
  <c r="O46" i="24" s="1"/>
  <c r="P46" i="24" s="1"/>
  <c r="Q46" i="24" s="1"/>
  <c r="R46" i="24" s="1"/>
  <c r="K6" i="22"/>
  <c r="J70" i="22"/>
  <c r="J92" i="22" s="1"/>
  <c r="P116" i="3"/>
  <c r="P117" i="3" s="1"/>
  <c r="BS239" i="11"/>
  <c r="G988" i="12"/>
  <c r="G995" i="12" s="1"/>
  <c r="BS240" i="11"/>
  <c r="BS238" i="11"/>
  <c r="BS237" i="11"/>
  <c r="BS236" i="11"/>
  <c r="D3247" i="16"/>
  <c r="E3243" i="16" s="1"/>
  <c r="E3245" i="16" s="1"/>
  <c r="E3249" i="16" s="1"/>
  <c r="D3246" i="16"/>
  <c r="D3249" i="16"/>
  <c r="D3251" i="16" s="1"/>
  <c r="C3151" i="8"/>
  <c r="C3160" i="8"/>
  <c r="G2391" i="16"/>
  <c r="H2391" i="16" s="1"/>
  <c r="I2391" i="16" s="1"/>
  <c r="J2391" i="16" s="1"/>
  <c r="E2425" i="16"/>
  <c r="C2388" i="16"/>
  <c r="M95" i="3"/>
  <c r="M97" i="3" s="1"/>
  <c r="L29" i="22"/>
  <c r="M2275" i="16"/>
  <c r="I2288" i="16"/>
  <c r="K47" i="5"/>
  <c r="P570" i="4"/>
  <c r="Q499" i="4"/>
  <c r="G2372" i="16"/>
  <c r="H2373" i="16"/>
  <c r="H2374" i="16" s="1"/>
  <c r="H2368" i="16"/>
  <c r="G2373" i="16"/>
  <c r="G2374" i="16" s="1"/>
  <c r="L85" i="24"/>
  <c r="I2364" i="16"/>
  <c r="H2372" i="16"/>
  <c r="AA6" i="17"/>
  <c r="K64" i="5"/>
  <c r="N478" i="4"/>
  <c r="E404" i="4"/>
  <c r="U35" i="17"/>
  <c r="T35" i="14"/>
  <c r="Z47" i="17"/>
  <c r="AG20" i="20"/>
  <c r="V214" i="11"/>
  <c r="Z104" i="14" s="1"/>
  <c r="D1873" i="16"/>
  <c r="D1874" i="16" s="1"/>
  <c r="Z103" i="14"/>
  <c r="I6" i="21"/>
  <c r="Y12" i="9"/>
  <c r="AD217" i="17" s="1"/>
  <c r="X35" i="9"/>
  <c r="X31" i="9" s="1"/>
  <c r="X6" i="9" s="1"/>
  <c r="X7" i="9"/>
  <c r="AC218" i="17" s="1"/>
  <c r="AB217" i="14"/>
  <c r="J332" i="3"/>
  <c r="M19" i="5"/>
  <c r="D801" i="16"/>
  <c r="D790" i="16"/>
  <c r="D802" i="16" s="1"/>
  <c r="Z219" i="14"/>
  <c r="V33" i="9"/>
  <c r="W32" i="9"/>
  <c r="AA218" i="14"/>
  <c r="K49" i="4"/>
  <c r="H2109" i="16"/>
  <c r="E2109" i="16" s="1"/>
  <c r="Y257" i="10"/>
  <c r="O443" i="4"/>
  <c r="N479" i="4"/>
  <c r="N480" i="4" s="1"/>
  <c r="Q116" i="3"/>
  <c r="R130" i="3"/>
  <c r="W8" i="9"/>
  <c r="AB219" i="17" s="1"/>
  <c r="C1865" i="16"/>
  <c r="C1867" i="16" s="1"/>
  <c r="AD48" i="17"/>
  <c r="S1741" i="16"/>
  <c r="S1740" i="16"/>
  <c r="BT237" i="11"/>
  <c r="E89" i="24"/>
  <c r="I47" i="4" s="1"/>
  <c r="E65" i="24"/>
  <c r="E53" i="24"/>
  <c r="F53" i="24"/>
  <c r="E62" i="24"/>
  <c r="E57" i="24"/>
  <c r="F58" i="24" s="1"/>
  <c r="L34" i="4"/>
  <c r="K53" i="5" s="1"/>
  <c r="L47" i="5"/>
  <c r="I1567" i="16"/>
  <c r="O176" i="4"/>
  <c r="P364" i="4"/>
  <c r="O365" i="4"/>
  <c r="S371" i="20"/>
  <c r="C974" i="20" s="1"/>
  <c r="Y379" i="12"/>
  <c r="F39" i="25"/>
  <c r="C2134" i="16" s="1"/>
  <c r="C2136" i="16" s="1"/>
  <c r="C2120" i="16" s="1"/>
  <c r="C2123" i="16" s="1"/>
  <c r="O165" i="4"/>
  <c r="P417" i="4"/>
  <c r="BT240" i="11"/>
  <c r="BT238" i="11"/>
  <c r="BT235" i="11"/>
  <c r="BT236" i="11"/>
  <c r="C1571" i="16"/>
  <c r="G1045" i="16"/>
  <c r="L66" i="5"/>
  <c r="AF266" i="11"/>
  <c r="CF238" i="11"/>
  <c r="CF235" i="11"/>
  <c r="AF269" i="11"/>
  <c r="AF261" i="11"/>
  <c r="CF239" i="11"/>
  <c r="CF236" i="11"/>
  <c r="CF240" i="11"/>
  <c r="CF237" i="11"/>
  <c r="K318" i="3"/>
  <c r="K76" i="20"/>
  <c r="K74" i="20"/>
  <c r="K312" i="3" s="1"/>
  <c r="X224" i="9"/>
  <c r="W212" i="11"/>
  <c r="F224" i="4"/>
  <c r="F312" i="4"/>
  <c r="Q126" i="3"/>
  <c r="D61" i="22"/>
  <c r="D103" i="22" s="1"/>
  <c r="BM238" i="11"/>
  <c r="BM235" i="11"/>
  <c r="BM239" i="11"/>
  <c r="BM236" i="11"/>
  <c r="BM237" i="11"/>
  <c r="BM240" i="11"/>
  <c r="E27" i="16"/>
  <c r="F27" i="16"/>
  <c r="Z214" i="10"/>
  <c r="Z258" i="10" s="1"/>
  <c r="CE303" i="11"/>
  <c r="CE298" i="11"/>
  <c r="AF16" i="1"/>
  <c r="E33" i="16"/>
  <c r="U68" i="11"/>
  <c r="Y211" i="14"/>
  <c r="U59" i="11"/>
  <c r="Y71" i="14"/>
  <c r="Y73" i="17"/>
  <c r="D3" i="16"/>
  <c r="E29" i="16"/>
  <c r="E30" i="16" s="1"/>
  <c r="H74" i="4"/>
  <c r="K220" i="3"/>
  <c r="K219" i="3"/>
  <c r="CC313" i="9"/>
  <c r="CD313" i="9"/>
  <c r="R152" i="9"/>
  <c r="R114" i="11"/>
  <c r="U133" i="10"/>
  <c r="U135" i="10" s="1"/>
  <c r="U135" i="11" s="1"/>
  <c r="U132" i="11"/>
  <c r="R293" i="3"/>
  <c r="Q269" i="3"/>
  <c r="BN237" i="11"/>
  <c r="BN238" i="11"/>
  <c r="BN239" i="11"/>
  <c r="BN235" i="11"/>
  <c r="BN236" i="11"/>
  <c r="BN240" i="11"/>
  <c r="CE237" i="11"/>
  <c r="CE238" i="11"/>
  <c r="CE235" i="11"/>
  <c r="CE240" i="11"/>
  <c r="CE239" i="11"/>
  <c r="CE236" i="11"/>
  <c r="W196" i="9"/>
  <c r="V186" i="11"/>
  <c r="Z11" i="14" s="1"/>
  <c r="U21" i="17"/>
  <c r="U59" i="17" s="1"/>
  <c r="U108" i="17"/>
  <c r="C788" i="16"/>
  <c r="BO240" i="11"/>
  <c r="BO236" i="11"/>
  <c r="BO235" i="11"/>
  <c r="BO237" i="11"/>
  <c r="BO238" i="11"/>
  <c r="BO239" i="11"/>
  <c r="V132" i="10"/>
  <c r="G46" i="21"/>
  <c r="V68" i="10"/>
  <c r="V60" i="11"/>
  <c r="AA211" i="17" s="1"/>
  <c r="Z264" i="14"/>
  <c r="V48" i="11"/>
  <c r="V35" i="11"/>
  <c r="Z210" i="14"/>
  <c r="Z86" i="14"/>
  <c r="H39" i="21"/>
  <c r="W48" i="10"/>
  <c r="AA263" i="14"/>
  <c r="X13" i="10"/>
  <c r="W13" i="11"/>
  <c r="W226" i="9"/>
  <c r="AA241" i="14"/>
  <c r="X4" i="10"/>
  <c r="AC241" i="17" s="1"/>
  <c r="W4" i="11"/>
  <c r="N177" i="3"/>
  <c r="O183" i="3"/>
  <c r="H52" i="16"/>
  <c r="W271" i="9"/>
  <c r="V58" i="11"/>
  <c r="CD296" i="9"/>
  <c r="CC296" i="9"/>
  <c r="Z151" i="11"/>
  <c r="T162" i="11" s="1"/>
  <c r="K141" i="12" s="1"/>
  <c r="Y168" i="11"/>
  <c r="S160" i="9"/>
  <c r="R155" i="11"/>
  <c r="P110" i="3"/>
  <c r="P113" i="3" s="1"/>
  <c r="P114" i="3" s="1"/>
  <c r="F57" i="16"/>
  <c r="L212" i="3"/>
  <c r="L218" i="3" s="1"/>
  <c r="W62" i="10"/>
  <c r="W64" i="10" s="1"/>
  <c r="AB264" i="17" s="1"/>
  <c r="N14" i="5"/>
  <c r="AB15" i="17"/>
  <c r="AB13" i="17"/>
  <c r="H5" i="21"/>
  <c r="W50" i="9"/>
  <c r="W44" i="9"/>
  <c r="AA216" i="14"/>
  <c r="W51" i="9"/>
  <c r="S249" i="3"/>
  <c r="J1040" i="16"/>
  <c r="R252" i="3"/>
  <c r="R258" i="3" s="1"/>
  <c r="R260" i="3" s="1"/>
  <c r="R340" i="3" s="1"/>
  <c r="Q258" i="3"/>
  <c r="Q260" i="3" s="1"/>
  <c r="Q340" i="3" s="1"/>
  <c r="Z8" i="14"/>
  <c r="O125" i="12"/>
  <c r="AA7" i="14"/>
  <c r="AA8" i="14" s="1"/>
  <c r="P97" i="11"/>
  <c r="U38" i="13"/>
  <c r="O126" i="12"/>
  <c r="AA18" i="14"/>
  <c r="P621" i="1"/>
  <c r="P620" i="1"/>
  <c r="B539" i="20"/>
  <c r="B548" i="20" s="1"/>
  <c r="B557" i="20" s="1"/>
  <c r="B565" i="20" s="1"/>
  <c r="C713" i="20"/>
  <c r="G6" i="16"/>
  <c r="B576" i="20"/>
  <c r="B585" i="20"/>
  <c r="B595" i="20" s="1"/>
  <c r="O121" i="3"/>
  <c r="J123" i="12"/>
  <c r="I139" i="12"/>
  <c r="P267" i="3"/>
  <c r="F1563" i="16"/>
  <c r="G51" i="22"/>
  <c r="G2318" i="16" s="1"/>
  <c r="G38" i="22"/>
  <c r="F1564" i="16" s="1"/>
  <c r="G48" i="22"/>
  <c r="L319" i="3"/>
  <c r="L321" i="3" s="1"/>
  <c r="L341" i="3" s="1"/>
  <c r="L316" i="3"/>
  <c r="L328" i="3"/>
  <c r="M315" i="3"/>
  <c r="Y182" i="10"/>
  <c r="U125" i="14"/>
  <c r="U122" i="14"/>
  <c r="U123" i="14"/>
  <c r="Z140" i="9"/>
  <c r="Y136" i="11"/>
  <c r="Q93" i="11"/>
  <c r="Q103" i="11"/>
  <c r="Y9" i="10"/>
  <c r="X9" i="11"/>
  <c r="X31" i="11" s="1"/>
  <c r="BU240" i="11"/>
  <c r="BU239" i="11"/>
  <c r="BU236" i="11"/>
  <c r="BU238" i="11"/>
  <c r="BU235" i="11"/>
  <c r="BU237" i="11"/>
  <c r="O56" i="3"/>
  <c r="O68" i="3"/>
  <c r="Y212" i="10"/>
  <c r="X215" i="10"/>
  <c r="X218" i="10" s="1"/>
  <c r="E1566" i="16"/>
  <c r="L72" i="4"/>
  <c r="V142" i="9"/>
  <c r="O318" i="3"/>
  <c r="Z67" i="9"/>
  <c r="J260" i="4"/>
  <c r="J388" i="4"/>
  <c r="J461" i="4"/>
  <c r="J492" i="4" s="1"/>
  <c r="D1566" i="16"/>
  <c r="E54" i="22"/>
  <c r="K72" i="4"/>
  <c r="C2848" i="16" s="1"/>
  <c r="B577" i="20"/>
  <c r="B586" i="20"/>
  <c r="B596" i="20" s="1"/>
  <c r="H244" i="4"/>
  <c r="H460" i="4"/>
  <c r="H491" i="4" s="1"/>
  <c r="H387" i="4"/>
  <c r="Q92" i="11"/>
  <c r="Q102" i="11"/>
  <c r="O435" i="4"/>
  <c r="K8" i="22"/>
  <c r="J11" i="22"/>
  <c r="J14" i="22" s="1"/>
  <c r="J1557" i="16" s="1"/>
  <c r="I339" i="4"/>
  <c r="I341" i="4"/>
  <c r="I336" i="4"/>
  <c r="I340" i="4"/>
  <c r="E599" i="16"/>
  <c r="E615" i="16" s="1"/>
  <c r="E614" i="16"/>
  <c r="E790" i="16"/>
  <c r="E802" i="16" s="1"/>
  <c r="E801" i="16"/>
  <c r="BI236" i="11"/>
  <c r="BI235" i="11"/>
  <c r="BI238" i="11"/>
  <c r="BI240" i="11"/>
  <c r="BI237" i="11"/>
  <c r="BI239" i="11"/>
  <c r="L22" i="22"/>
  <c r="BG238" i="11"/>
  <c r="BG235" i="11"/>
  <c r="BG236" i="11"/>
  <c r="BG239" i="11"/>
  <c r="BG237" i="11"/>
  <c r="BG240" i="11"/>
  <c r="U193" i="11"/>
  <c r="Y22" i="14"/>
  <c r="R84" i="3"/>
  <c r="Q59" i="3"/>
  <c r="Q60" i="3" s="1"/>
  <c r="Q61" i="3" s="1"/>
  <c r="Q91" i="11"/>
  <c r="Q101" i="11"/>
  <c r="AA101" i="14"/>
  <c r="V39" i="10"/>
  <c r="Z242" i="14"/>
  <c r="G34" i="21"/>
  <c r="V5" i="11"/>
  <c r="AA189" i="17" s="1"/>
  <c r="V41" i="10"/>
  <c r="W268" i="9"/>
  <c r="W270" i="9" s="1"/>
  <c r="Q185" i="11"/>
  <c r="M34" i="4"/>
  <c r="L53" i="5" s="1"/>
  <c r="N482" i="4"/>
  <c r="BV239" i="11"/>
  <c r="BV238" i="11"/>
  <c r="BV237" i="11"/>
  <c r="BV236" i="11"/>
  <c r="BV240" i="11"/>
  <c r="BV235" i="11"/>
  <c r="G163" i="4"/>
  <c r="G281" i="4"/>
  <c r="G282" i="4" s="1"/>
  <c r="H262" i="4"/>
  <c r="M40" i="22"/>
  <c r="S83" i="10"/>
  <c r="R77" i="10"/>
  <c r="W251" i="17" s="1"/>
  <c r="W253" i="17" s="1"/>
  <c r="N69" i="3"/>
  <c r="N89" i="3"/>
  <c r="N92" i="3"/>
  <c r="U66" i="10"/>
  <c r="T62" i="11"/>
  <c r="L263" i="4"/>
  <c r="U37" i="11"/>
  <c r="Y189" i="14"/>
  <c r="U39" i="11"/>
  <c r="P99" i="11"/>
  <c r="P104" i="11"/>
  <c r="P94" i="11"/>
  <c r="W125" i="17"/>
  <c r="W123" i="17"/>
  <c r="BE238" i="11"/>
  <c r="BE235" i="11"/>
  <c r="BE240" i="11"/>
  <c r="BE239" i="11"/>
  <c r="BE236" i="11"/>
  <c r="BE237" i="11"/>
  <c r="X37" i="10"/>
  <c r="W5" i="10"/>
  <c r="AB242" i="17" s="1"/>
  <c r="X221" i="9"/>
  <c r="O62" i="22"/>
  <c r="Q282" i="3"/>
  <c r="Q264" i="3" s="1"/>
  <c r="Q266" i="3" s="1"/>
  <c r="R7" i="3"/>
  <c r="W137" i="9"/>
  <c r="W139" i="9" s="1"/>
  <c r="W209" i="11"/>
  <c r="W211" i="11" s="1"/>
  <c r="M1452" i="16"/>
  <c r="N1452" i="16" s="1"/>
  <c r="O1452" i="16" s="1"/>
  <c r="W170" i="10"/>
  <c r="W189" i="10"/>
  <c r="F476" i="16"/>
  <c r="F477" i="16" s="1"/>
  <c r="E477" i="16"/>
  <c r="R101" i="3"/>
  <c r="R103" i="3" s="1"/>
  <c r="S133" i="3"/>
  <c r="S101" i="3" s="1"/>
  <c r="S103" i="3" s="1"/>
  <c r="C1632" i="16"/>
  <c r="BH239" i="11"/>
  <c r="BH238" i="11"/>
  <c r="BH240" i="11"/>
  <c r="BH237" i="11"/>
  <c r="BH236" i="11"/>
  <c r="BH235" i="11"/>
  <c r="I621" i="16"/>
  <c r="I626" i="16" s="1"/>
  <c r="G626" i="16"/>
  <c r="G632" i="16" s="1"/>
  <c r="G634" i="16" s="1"/>
  <c r="H28" i="5"/>
  <c r="D848" i="16"/>
  <c r="C1202" i="16"/>
  <c r="I224" i="4"/>
  <c r="I239" i="4" s="1"/>
  <c r="W25" i="17"/>
  <c r="W26" i="17" s="1"/>
  <c r="D842" i="16"/>
  <c r="D825" i="16"/>
  <c r="D843" i="16" s="1"/>
  <c r="BK240" i="11"/>
  <c r="BK237" i="11"/>
  <c r="BK239" i="11"/>
  <c r="BK236" i="11"/>
  <c r="BK235" i="11"/>
  <c r="BK238" i="11"/>
  <c r="Z40" i="9"/>
  <c r="I460" i="4"/>
  <c r="I244" i="4"/>
  <c r="I387" i="4"/>
  <c r="I391" i="4" s="1"/>
  <c r="I249" i="4"/>
  <c r="J249" i="4" s="1"/>
  <c r="BD240" i="11"/>
  <c r="BD238" i="11"/>
  <c r="BD236" i="11"/>
  <c r="BD235" i="11"/>
  <c r="BD239" i="11"/>
  <c r="BD237" i="11"/>
  <c r="X203" i="9"/>
  <c r="V197" i="10"/>
  <c r="W188" i="10"/>
  <c r="V184" i="11"/>
  <c r="V125" i="14"/>
  <c r="V123" i="14"/>
  <c r="V122" i="14"/>
  <c r="M122" i="3"/>
  <c r="M145" i="3"/>
  <c r="M142" i="3"/>
  <c r="R144" i="10"/>
  <c r="R112" i="10"/>
  <c r="R113" i="10" s="1"/>
  <c r="R111" i="11"/>
  <c r="R112" i="11" s="1"/>
  <c r="R113" i="11" s="1"/>
  <c r="Q80" i="3"/>
  <c r="P53" i="3"/>
  <c r="P55" i="3" s="1"/>
  <c r="Y172" i="11"/>
  <c r="Y213" i="11"/>
  <c r="Y141" i="9"/>
  <c r="Y137" i="11" s="1"/>
  <c r="Y181" i="9"/>
  <c r="Y174" i="11" s="1"/>
  <c r="AC141" i="14" s="1"/>
  <c r="Y225" i="11"/>
  <c r="Y173" i="11"/>
  <c r="T61" i="13"/>
  <c r="Y171" i="11"/>
  <c r="AC113" i="14" s="1"/>
  <c r="Y210" i="11"/>
  <c r="Y226" i="11"/>
  <c r="H684" i="16"/>
  <c r="G686" i="16"/>
  <c r="P96" i="11"/>
  <c r="X256" i="10"/>
  <c r="S23" i="3"/>
  <c r="S4" i="3" s="1"/>
  <c r="S6" i="3" s="1"/>
  <c r="Z229" i="9"/>
  <c r="Z273" i="9" s="1"/>
  <c r="Y217" i="11"/>
  <c r="H1559" i="16"/>
  <c r="H37" i="22"/>
  <c r="G2135" i="16" s="1"/>
  <c r="B584" i="20"/>
  <c r="B594" i="20" s="1"/>
  <c r="B575" i="20"/>
  <c r="V139" i="9"/>
  <c r="Y220" i="9"/>
  <c r="W75" i="17"/>
  <c r="S70" i="11"/>
  <c r="W73" i="14"/>
  <c r="Q104" i="3"/>
  <c r="Q107" i="3"/>
  <c r="Q108" i="3" s="1"/>
  <c r="D1569" i="16"/>
  <c r="E60" i="22"/>
  <c r="G1560" i="16"/>
  <c r="G1561" i="16" s="1"/>
  <c r="AA5" i="14"/>
  <c r="O124" i="12"/>
  <c r="U169" i="11"/>
  <c r="N215" i="4"/>
  <c r="AB140" i="17" s="1"/>
  <c r="N231" i="4"/>
  <c r="F3507" i="16" s="1"/>
  <c r="C1101" i="16"/>
  <c r="C1113" i="16" s="1"/>
  <c r="C1112" i="16"/>
  <c r="BJ235" i="11"/>
  <c r="BJ237" i="11"/>
  <c r="BJ238" i="11"/>
  <c r="BJ240" i="11"/>
  <c r="BJ239" i="11"/>
  <c r="BJ236" i="11"/>
  <c r="Y152" i="10"/>
  <c r="Z161" i="10"/>
  <c r="Z152" i="10" s="1"/>
  <c r="E12" i="16"/>
  <c r="E20" i="16"/>
  <c r="P288" i="3"/>
  <c r="BF240" i="11"/>
  <c r="BF235" i="11"/>
  <c r="BF237" i="11"/>
  <c r="BF236" i="11"/>
  <c r="BF239" i="11"/>
  <c r="BF238" i="11"/>
  <c r="Y194" i="9"/>
  <c r="Z154" i="9"/>
  <c r="Y148" i="11"/>
  <c r="R185" i="11"/>
  <c r="Q105" i="10"/>
  <c r="Q95" i="10"/>
  <c r="Q89" i="11"/>
  <c r="Q98" i="11" s="1"/>
  <c r="Y218" i="9"/>
  <c r="Y265" i="9" s="1"/>
  <c r="X208" i="11"/>
  <c r="V70" i="14"/>
  <c r="V74" i="14" s="1"/>
  <c r="R75" i="11"/>
  <c r="R76" i="11" s="1"/>
  <c r="R73" i="11"/>
  <c r="V198" i="14"/>
  <c r="V200" i="14" s="1"/>
  <c r="V72" i="17"/>
  <c r="V76" i="17" s="1"/>
  <c r="C752" i="16"/>
  <c r="E16" i="16"/>
  <c r="E23" i="16" s="1"/>
  <c r="G99" i="16"/>
  <c r="C751" i="16"/>
  <c r="C1200" i="16"/>
  <c r="C1214" i="16" s="1"/>
  <c r="I351" i="4"/>
  <c r="I345" i="4"/>
  <c r="I355" i="4"/>
  <c r="I348" i="4"/>
  <c r="I358" i="4"/>
  <c r="C1097" i="16"/>
  <c r="C1109" i="16" s="1"/>
  <c r="I311" i="4"/>
  <c r="E593" i="16"/>
  <c r="B543" i="20"/>
  <c r="B552" i="20" s="1"/>
  <c r="B561" i="20" s="1"/>
  <c r="B569" i="20" s="1"/>
  <c r="P312" i="3"/>
  <c r="O313" i="3"/>
  <c r="E17" i="16"/>
  <c r="D746" i="20"/>
  <c r="D713" i="20"/>
  <c r="D840" i="16"/>
  <c r="D820" i="16"/>
  <c r="D823" i="16"/>
  <c r="L122" i="12"/>
  <c r="N121" i="12"/>
  <c r="O114" i="3" l="1"/>
  <c r="N121" i="3"/>
  <c r="N122" i="3" s="1"/>
  <c r="Q153" i="9"/>
  <c r="C1070" i="16" s="1"/>
  <c r="Y69" i="9"/>
  <c r="AD225" i="17" s="1"/>
  <c r="I18" i="21"/>
  <c r="AB225" i="14"/>
  <c r="Y52" i="9"/>
  <c r="AC236" i="14"/>
  <c r="Z15" i="9"/>
  <c r="AE236" i="17" s="1"/>
  <c r="AD236" i="17"/>
  <c r="I16" i="21"/>
  <c r="X136" i="9"/>
  <c r="X137" i="9" s="1"/>
  <c r="AB237" i="14"/>
  <c r="X72" i="9"/>
  <c r="Y193" i="14"/>
  <c r="R128" i="3"/>
  <c r="R111" i="3" s="1"/>
  <c r="Z85" i="17"/>
  <c r="Z193" i="17"/>
  <c r="Y85" i="14"/>
  <c r="U38" i="11"/>
  <c r="S208" i="14"/>
  <c r="Y10" i="10"/>
  <c r="AD244" i="17" s="1"/>
  <c r="X32" i="10"/>
  <c r="X28" i="10" s="1"/>
  <c r="X6" i="10" s="1"/>
  <c r="X6" i="11" s="1"/>
  <c r="AC190" i="17" s="1"/>
  <c r="X61" i="11"/>
  <c r="AC199" i="17" s="1"/>
  <c r="Y66" i="9"/>
  <c r="Y68" i="9" s="1"/>
  <c r="AD237" i="17" s="1"/>
  <c r="V28" i="11"/>
  <c r="V29" i="11"/>
  <c r="V40" i="11"/>
  <c r="K364" i="22"/>
  <c r="Z190" i="14"/>
  <c r="K294" i="22"/>
  <c r="K297" i="22"/>
  <c r="L295" i="22"/>
  <c r="L296" i="22"/>
  <c r="L289" i="22"/>
  <c r="L288" i="22"/>
  <c r="L293" i="22"/>
  <c r="L291" i="22"/>
  <c r="L210" i="3"/>
  <c r="Z84" i="14"/>
  <c r="X10" i="11"/>
  <c r="AC191" i="17" s="1"/>
  <c r="AA192" i="17"/>
  <c r="AA84" i="17"/>
  <c r="X7" i="10"/>
  <c r="AC245" i="17" s="1"/>
  <c r="C750" i="16"/>
  <c r="C753" i="16" s="1"/>
  <c r="C759" i="16" s="1"/>
  <c r="AB244" i="14"/>
  <c r="AB215" i="14"/>
  <c r="S33" i="14"/>
  <c r="I36" i="21"/>
  <c r="W22" i="10"/>
  <c r="W23" i="10" s="1"/>
  <c r="R78" i="4"/>
  <c r="L253" i="22"/>
  <c r="W7" i="11"/>
  <c r="AB84" i="17" s="1"/>
  <c r="AA245" i="14"/>
  <c r="W29" i="10"/>
  <c r="W8" i="10"/>
  <c r="AB246" i="17" s="1"/>
  <c r="Y11" i="10"/>
  <c r="AD248" i="17" s="1"/>
  <c r="V8" i="11"/>
  <c r="V30" i="11" s="1"/>
  <c r="V30" i="10"/>
  <c r="Y12" i="10"/>
  <c r="AD247" i="17" s="1"/>
  <c r="I38" i="21"/>
  <c r="X45" i="10"/>
  <c r="AB247" i="14"/>
  <c r="Y5" i="9"/>
  <c r="AD215" i="17" s="1"/>
  <c r="W47" i="10"/>
  <c r="AB81" i="17"/>
  <c r="Z246" i="14"/>
  <c r="W43" i="11"/>
  <c r="AB191" i="17"/>
  <c r="W42" i="10"/>
  <c r="H35" i="21"/>
  <c r="W46" i="10"/>
  <c r="AA81" i="14"/>
  <c r="W6" i="11"/>
  <c r="AB190" i="17" s="1"/>
  <c r="W40" i="10"/>
  <c r="W21" i="10"/>
  <c r="W32" i="11"/>
  <c r="AA243" i="14"/>
  <c r="I37" i="21"/>
  <c r="X44" i="10"/>
  <c r="G55" i="16"/>
  <c r="M19" i="3"/>
  <c r="V46" i="11"/>
  <c r="AA249" i="14"/>
  <c r="N18" i="3"/>
  <c r="G708" i="16" s="1"/>
  <c r="G712" i="16" s="1"/>
  <c r="G713" i="16" s="1"/>
  <c r="V47" i="11"/>
  <c r="AC214" i="14"/>
  <c r="E713" i="16"/>
  <c r="Z4" i="9"/>
  <c r="AE214" i="17" s="1"/>
  <c r="AB248" i="14"/>
  <c r="X20" i="10"/>
  <c r="AC249" i="17" s="1"/>
  <c r="X11" i="11"/>
  <c r="AB195" i="14" s="1"/>
  <c r="M178" i="3"/>
  <c r="M189" i="3"/>
  <c r="M212" i="3" s="1"/>
  <c r="X43" i="9"/>
  <c r="I4" i="21"/>
  <c r="AA195" i="14"/>
  <c r="AB83" i="17"/>
  <c r="AB195" i="17"/>
  <c r="AA83" i="14"/>
  <c r="W33" i="11"/>
  <c r="V176" i="9"/>
  <c r="V169" i="11" s="1"/>
  <c r="Z30" i="14" s="1"/>
  <c r="V224" i="11"/>
  <c r="R228" i="9"/>
  <c r="R234" i="9" s="1"/>
  <c r="T134" i="11"/>
  <c r="T138" i="11"/>
  <c r="AD221" i="17"/>
  <c r="AC221" i="14"/>
  <c r="Y48" i="9"/>
  <c r="Z13" i="9"/>
  <c r="J7" i="21"/>
  <c r="X8" i="9"/>
  <c r="AC219" i="17" s="1"/>
  <c r="P10" i="3"/>
  <c r="P12" i="3" s="1"/>
  <c r="P13" i="3" s="1"/>
  <c r="P16" i="3"/>
  <c r="Q117" i="3"/>
  <c r="G697" i="16"/>
  <c r="P121" i="3"/>
  <c r="P142" i="3" s="1"/>
  <c r="M171" i="3"/>
  <c r="M173" i="3" s="1"/>
  <c r="M339" i="3" s="1"/>
  <c r="Q12" i="3"/>
  <c r="R33" i="14"/>
  <c r="E134" i="12"/>
  <c r="R208" i="14"/>
  <c r="N272" i="3"/>
  <c r="N279" i="3"/>
  <c r="M300" i="3"/>
  <c r="Q295" i="3"/>
  <c r="P270" i="3"/>
  <c r="P271" i="3" s="1"/>
  <c r="P272" i="3" s="1"/>
  <c r="N145" i="3"/>
  <c r="M280" i="3"/>
  <c r="R27" i="3"/>
  <c r="R10" i="3" s="1"/>
  <c r="O13" i="3"/>
  <c r="O272" i="3"/>
  <c r="Q15" i="3"/>
  <c r="Q16" i="3" s="1"/>
  <c r="R29" i="3"/>
  <c r="S29" i="3" s="1"/>
  <c r="S15" i="3" s="1"/>
  <c r="M303" i="3"/>
  <c r="R25" i="3"/>
  <c r="S25" i="3" s="1"/>
  <c r="S9" i="3" s="1"/>
  <c r="AB199" i="17"/>
  <c r="W69" i="11"/>
  <c r="AA74" i="17"/>
  <c r="AA199" i="14"/>
  <c r="AA72" i="14"/>
  <c r="X62" i="10"/>
  <c r="X64" i="10" s="1"/>
  <c r="X132" i="10" s="1"/>
  <c r="AC263" i="17"/>
  <c r="M215" i="3"/>
  <c r="M216" i="3" s="1"/>
  <c r="U208" i="17"/>
  <c r="T208" i="14"/>
  <c r="T33" i="14"/>
  <c r="G134" i="12"/>
  <c r="AC252" i="17"/>
  <c r="AB252" i="14"/>
  <c r="I48" i="21"/>
  <c r="Y65" i="10"/>
  <c r="O234" i="3"/>
  <c r="O243" i="3"/>
  <c r="O245" i="3" s="1"/>
  <c r="O238" i="3"/>
  <c r="N163" i="3"/>
  <c r="N168" i="3"/>
  <c r="N165" i="3"/>
  <c r="P160" i="3"/>
  <c r="O162" i="3"/>
  <c r="V155" i="9"/>
  <c r="U149" i="11"/>
  <c r="O279" i="3"/>
  <c r="O300" i="3" s="1"/>
  <c r="G668" i="16"/>
  <c r="G669" i="16" s="1"/>
  <c r="F718" i="16" s="1"/>
  <c r="Q231" i="3"/>
  <c r="P236" i="3"/>
  <c r="P240" i="3"/>
  <c r="BG383" i="20"/>
  <c r="G4251" i="16"/>
  <c r="Q600" i="4"/>
  <c r="Q624" i="4" s="1"/>
  <c r="V483" i="4"/>
  <c r="P273" i="4"/>
  <c r="Q273" i="4" s="1"/>
  <c r="R273" i="4" s="1"/>
  <c r="S273" i="4" s="1"/>
  <c r="T273" i="4" s="1"/>
  <c r="U273" i="4" s="1"/>
  <c r="V273" i="4" s="1"/>
  <c r="O272" i="4"/>
  <c r="P272" i="4" s="1"/>
  <c r="Q272" i="4" s="1"/>
  <c r="G179" i="28"/>
  <c r="E17" i="32"/>
  <c r="I17" i="32" s="1"/>
  <c r="AC28" i="5"/>
  <c r="AD28" i="5"/>
  <c r="G2761" i="16"/>
  <c r="AE101" i="17"/>
  <c r="R502" i="4"/>
  <c r="R527" i="4" s="1"/>
  <c r="Q597" i="4"/>
  <c r="R499" i="4"/>
  <c r="O164" i="4"/>
  <c r="AB210" i="17"/>
  <c r="AB86" i="17"/>
  <c r="L46" i="22"/>
  <c r="M46" i="22" s="1"/>
  <c r="N46" i="22" s="1"/>
  <c r="O46" i="22" s="1"/>
  <c r="P46" i="22" s="1"/>
  <c r="H3660" i="16"/>
  <c r="H3662" i="16" s="1"/>
  <c r="H3664" i="16" s="1"/>
  <c r="H3665" i="16" s="1"/>
  <c r="H3670" i="16" s="1"/>
  <c r="G3670" i="16"/>
  <c r="F3670" i="16"/>
  <c r="D3681" i="16" s="1"/>
  <c r="C3287" i="16"/>
  <c r="C159" i="28"/>
  <c r="AC216" i="17"/>
  <c r="AB188" i="17"/>
  <c r="AB79" i="17"/>
  <c r="H2761" i="16"/>
  <c r="H179" i="28"/>
  <c r="I204" i="4"/>
  <c r="C1036" i="16" s="1"/>
  <c r="G43" i="22"/>
  <c r="G59" i="22"/>
  <c r="K119" i="4"/>
  <c r="C2856" i="16" s="1"/>
  <c r="C2864" i="16" s="1"/>
  <c r="E102" i="22"/>
  <c r="E2840" i="16"/>
  <c r="G93" i="22"/>
  <c r="M29" i="22"/>
  <c r="N2275" i="16"/>
  <c r="L6" i="22"/>
  <c r="K70" i="22"/>
  <c r="K92" i="22" s="1"/>
  <c r="N95" i="3"/>
  <c r="N97" i="3" s="1"/>
  <c r="E3246" i="16"/>
  <c r="E3247" i="16"/>
  <c r="E3251" i="16"/>
  <c r="D63" i="22"/>
  <c r="E297" i="23"/>
  <c r="G2425" i="16"/>
  <c r="E3082" i="16"/>
  <c r="E3087" i="16" s="1"/>
  <c r="E3136" i="16" s="1"/>
  <c r="E778" i="20"/>
  <c r="G2392" i="16"/>
  <c r="H2392" i="16" s="1"/>
  <c r="I2392" i="16" s="1"/>
  <c r="J2392" i="16" s="1"/>
  <c r="AB20" i="20"/>
  <c r="C1636" i="16" s="1"/>
  <c r="C2840" i="16"/>
  <c r="H2345" i="16"/>
  <c r="J2364" i="16"/>
  <c r="J2369" i="16" s="1"/>
  <c r="O2580" i="16"/>
  <c r="D2848" i="16"/>
  <c r="I2289" i="16"/>
  <c r="G86" i="22" s="1"/>
  <c r="I2273" i="16"/>
  <c r="G79" i="22" s="1"/>
  <c r="Q570" i="4"/>
  <c r="R570" i="4" s="1"/>
  <c r="S570" i="4" s="1"/>
  <c r="T570" i="4" s="1"/>
  <c r="U570" i="4" s="1"/>
  <c r="V570" i="4" s="1"/>
  <c r="I2371" i="16"/>
  <c r="I2367" i="16"/>
  <c r="I2368" i="16" s="1"/>
  <c r="I2369" i="16"/>
  <c r="I2375" i="16"/>
  <c r="I2376" i="16"/>
  <c r="Y47" i="17"/>
  <c r="G39" i="25"/>
  <c r="M8" i="5"/>
  <c r="F192" i="16"/>
  <c r="F198" i="16" s="1"/>
  <c r="E1873" i="16"/>
  <c r="F1873" i="16" s="1"/>
  <c r="G1873" i="16" s="1"/>
  <c r="H1873" i="16" s="1"/>
  <c r="AB5" i="17"/>
  <c r="AB6" i="17" s="1"/>
  <c r="Y7" i="9"/>
  <c r="AD218" i="17" s="1"/>
  <c r="Z12" i="9"/>
  <c r="AE217" i="17" s="1"/>
  <c r="AC217" i="14"/>
  <c r="Y35" i="9"/>
  <c r="Y31" i="9" s="1"/>
  <c r="Y6" i="9" s="1"/>
  <c r="J6" i="21"/>
  <c r="P470" i="4"/>
  <c r="O478" i="4"/>
  <c r="O479" i="4"/>
  <c r="O480" i="4" s="1"/>
  <c r="N5" i="5"/>
  <c r="D5" i="32" s="1"/>
  <c r="D6" i="32" s="1"/>
  <c r="P443" i="4"/>
  <c r="P435" i="4"/>
  <c r="P215" i="4" s="1"/>
  <c r="D2133" i="16"/>
  <c r="S130" i="3"/>
  <c r="S116" i="3" s="1"/>
  <c r="R116" i="3"/>
  <c r="R117" i="3" s="1"/>
  <c r="W274" i="9"/>
  <c r="W176" i="9" s="1"/>
  <c r="W169" i="11" s="1"/>
  <c r="P165" i="4"/>
  <c r="Q417" i="4"/>
  <c r="W33" i="9"/>
  <c r="AA219" i="14"/>
  <c r="O476" i="4"/>
  <c r="AB218" i="14"/>
  <c r="X32" i="9"/>
  <c r="Q364" i="4"/>
  <c r="D1881" i="16"/>
  <c r="C1868" i="16"/>
  <c r="E1881" i="16"/>
  <c r="F1978" i="16" s="1"/>
  <c r="F1979" i="16" s="1"/>
  <c r="H1881" i="16"/>
  <c r="I1978" i="16" s="1"/>
  <c r="I1979" i="16" s="1"/>
  <c r="F1881" i="16"/>
  <c r="G1978" i="16" s="1"/>
  <c r="G1979" i="16" s="1"/>
  <c r="G1881" i="16"/>
  <c r="H1978" i="16" s="1"/>
  <c r="H1979" i="16" s="1"/>
  <c r="B521" i="20"/>
  <c r="B533" i="20" s="1"/>
  <c r="B512" i="20"/>
  <c r="B520" i="20"/>
  <c r="B532" i="20" s="1"/>
  <c r="B511" i="20"/>
  <c r="B519" i="20"/>
  <c r="B531" i="20" s="1"/>
  <c r="B510" i="20"/>
  <c r="J33" i="24"/>
  <c r="F50" i="24"/>
  <c r="W45" i="17"/>
  <c r="I101" i="4"/>
  <c r="I133" i="4"/>
  <c r="C755" i="16"/>
  <c r="Z141" i="9"/>
  <c r="Z137" i="11" s="1"/>
  <c r="M85" i="24"/>
  <c r="W214" i="11"/>
  <c r="AA104" i="14" s="1"/>
  <c r="Y54" i="17"/>
  <c r="L103" i="4"/>
  <c r="Z54" i="17"/>
  <c r="J13" i="4"/>
  <c r="X23" i="17" s="1"/>
  <c r="K103" i="4"/>
  <c r="J1567" i="16"/>
  <c r="P176" i="4"/>
  <c r="P365" i="4"/>
  <c r="F40" i="25"/>
  <c r="Y357" i="12"/>
  <c r="Y359" i="12" s="1"/>
  <c r="Y367" i="12" s="1"/>
  <c r="I26" i="25"/>
  <c r="I36" i="25"/>
  <c r="I31" i="25"/>
  <c r="Z217" i="11"/>
  <c r="Z225" i="11"/>
  <c r="Z172" i="11"/>
  <c r="V162" i="11"/>
  <c r="M141" i="12" s="1"/>
  <c r="Z10" i="14" s="1"/>
  <c r="AC102" i="14"/>
  <c r="U61" i="13"/>
  <c r="Z213" i="11"/>
  <c r="Z171" i="11"/>
  <c r="AD113" i="14" s="1"/>
  <c r="Z226" i="11"/>
  <c r="N189" i="3"/>
  <c r="H55" i="16"/>
  <c r="N209" i="3"/>
  <c r="N178" i="3"/>
  <c r="C800" i="16"/>
  <c r="C790" i="16"/>
  <c r="C802" i="16" s="1"/>
  <c r="F433" i="4"/>
  <c r="AA264" i="14"/>
  <c r="W68" i="10"/>
  <c r="W132" i="10"/>
  <c r="H46" i="21"/>
  <c r="W60" i="11"/>
  <c r="X10" i="14"/>
  <c r="K152" i="12"/>
  <c r="Y162" i="11"/>
  <c r="P141" i="12" s="1"/>
  <c r="Z168" i="11"/>
  <c r="S162" i="11"/>
  <c r="U162" i="11"/>
  <c r="L141" i="12" s="1"/>
  <c r="R162" i="11"/>
  <c r="I141" i="12" s="1"/>
  <c r="Q162" i="11"/>
  <c r="H141" i="12" s="1"/>
  <c r="W27" i="11"/>
  <c r="AA79" i="14"/>
  <c r="AA188" i="14"/>
  <c r="W48" i="11"/>
  <c r="AA210" i="14"/>
  <c r="AA86" i="14"/>
  <c r="W35" i="11"/>
  <c r="W58" i="11"/>
  <c r="V133" i="10"/>
  <c r="V135" i="10" s="1"/>
  <c r="V135" i="11" s="1"/>
  <c r="V132" i="11"/>
  <c r="U119" i="17"/>
  <c r="U118" i="17"/>
  <c r="R269" i="3"/>
  <c r="S293" i="3"/>
  <c r="S269" i="3" s="1"/>
  <c r="F459" i="4"/>
  <c r="F466" i="4" s="1"/>
  <c r="F490" i="4" s="1"/>
  <c r="F494" i="4" s="1"/>
  <c r="F386" i="4"/>
  <c r="F391" i="4" s="1"/>
  <c r="L313" i="3"/>
  <c r="K313" i="3"/>
  <c r="K327" i="3"/>
  <c r="W162" i="11"/>
  <c r="N141" i="12" s="1"/>
  <c r="P162" i="11"/>
  <c r="G141" i="12" s="1"/>
  <c r="X48" i="10"/>
  <c r="X13" i="11"/>
  <c r="I39" i="21"/>
  <c r="AB263" i="14"/>
  <c r="Y13" i="10"/>
  <c r="AD263" i="17" s="1"/>
  <c r="G224" i="4"/>
  <c r="U25" i="17"/>
  <c r="U26" i="17" s="1"/>
  <c r="C594" i="16"/>
  <c r="G459" i="4"/>
  <c r="G386" i="4"/>
  <c r="U138" i="10"/>
  <c r="U133" i="11"/>
  <c r="J18" i="21"/>
  <c r="AC225" i="14"/>
  <c r="Z69" i="9"/>
  <c r="AE225" i="17" s="1"/>
  <c r="R153" i="9"/>
  <c r="R146" i="11"/>
  <c r="CC314" i="9"/>
  <c r="CC315" i="9"/>
  <c r="V21" i="17"/>
  <c r="C847" i="16"/>
  <c r="H312" i="4"/>
  <c r="H6" i="4"/>
  <c r="H10" i="4" s="1"/>
  <c r="I75" i="4"/>
  <c r="D806" i="16"/>
  <c r="K591" i="1"/>
  <c r="K594" i="1" s="1"/>
  <c r="V108" i="17"/>
  <c r="C819" i="16"/>
  <c r="H190" i="4"/>
  <c r="CE316" i="11"/>
  <c r="CF316" i="11"/>
  <c r="R126" i="3"/>
  <c r="R110" i="3" s="1"/>
  <c r="Y224" i="9"/>
  <c r="Y271" i="9" s="1"/>
  <c r="X212" i="11"/>
  <c r="V24" i="17"/>
  <c r="C822" i="16"/>
  <c r="C842" i="16" s="1"/>
  <c r="H332" i="4"/>
  <c r="C848" i="16"/>
  <c r="K604" i="1"/>
  <c r="H493" i="4"/>
  <c r="C865" i="16"/>
  <c r="C866" i="16" s="1"/>
  <c r="V115" i="17"/>
  <c r="Z73" i="17"/>
  <c r="V59" i="11"/>
  <c r="V68" i="11"/>
  <c r="Z211" i="14"/>
  <c r="Z71" i="14"/>
  <c r="X196" i="9"/>
  <c r="W186" i="11"/>
  <c r="AA11" i="14" s="1"/>
  <c r="AP16" i="1"/>
  <c r="AF45" i="1"/>
  <c r="AJ45" i="1" s="1"/>
  <c r="AJ82" i="1" s="1"/>
  <c r="AF52" i="1"/>
  <c r="H1045" i="16"/>
  <c r="M66" i="5"/>
  <c r="L220" i="3"/>
  <c r="L219" i="3"/>
  <c r="S155" i="11"/>
  <c r="T160" i="9"/>
  <c r="X162" i="11"/>
  <c r="O141" i="12" s="1"/>
  <c r="I52" i="16"/>
  <c r="J52" i="16" s="1"/>
  <c r="O177" i="3"/>
  <c r="AB241" i="14"/>
  <c r="Y4" i="10"/>
  <c r="AD241" i="17" s="1"/>
  <c r="X4" i="11"/>
  <c r="C19" i="16"/>
  <c r="B758" i="12"/>
  <c r="C10" i="16"/>
  <c r="B715" i="12"/>
  <c r="B716" i="12" s="1"/>
  <c r="CD314" i="9"/>
  <c r="CD315" i="9"/>
  <c r="K315" i="3"/>
  <c r="D8" i="16"/>
  <c r="G53" i="4"/>
  <c r="C787" i="16"/>
  <c r="C799" i="16" s="1"/>
  <c r="B760" i="12"/>
  <c r="U20" i="17"/>
  <c r="U49" i="17" s="1"/>
  <c r="G3" i="4"/>
  <c r="G136" i="4"/>
  <c r="CE299" i="11"/>
  <c r="CF299" i="11"/>
  <c r="Q110" i="3"/>
  <c r="Q113" i="3" s="1"/>
  <c r="C1930" i="8"/>
  <c r="M21" i="3"/>
  <c r="M41" i="3"/>
  <c r="M44" i="3"/>
  <c r="F968" i="20" s="1"/>
  <c r="X271" i="9"/>
  <c r="O14" i="5"/>
  <c r="P14" i="5" s="1"/>
  <c r="Q14" i="5" s="1"/>
  <c r="R14" i="5" s="1"/>
  <c r="AC15" i="17"/>
  <c r="AC13" i="17"/>
  <c r="I5" i="21"/>
  <c r="X51" i="9"/>
  <c r="X50" i="9"/>
  <c r="AB216" i="14"/>
  <c r="X44" i="9"/>
  <c r="S252" i="3"/>
  <c r="S255" i="3"/>
  <c r="O145" i="3"/>
  <c r="AB7" i="14"/>
  <c r="P125" i="12"/>
  <c r="Z210" i="11"/>
  <c r="Z173" i="11"/>
  <c r="AD140" i="14" s="1"/>
  <c r="Z181" i="9"/>
  <c r="Z174" i="11" s="1"/>
  <c r="AD141" i="14" s="1"/>
  <c r="Z136" i="11"/>
  <c r="D1571" i="16"/>
  <c r="O142" i="3"/>
  <c r="T121" i="3"/>
  <c r="AB18" i="14"/>
  <c r="P126" i="12"/>
  <c r="B574" i="20"/>
  <c r="B583" i="20"/>
  <c r="B592" i="20" s="1"/>
  <c r="H6" i="16"/>
  <c r="I6" i="16" s="1"/>
  <c r="I36" i="16"/>
  <c r="K123" i="12"/>
  <c r="J139" i="12"/>
  <c r="Q288" i="3"/>
  <c r="Y135" i="14"/>
  <c r="Y30" i="14"/>
  <c r="P124" i="12"/>
  <c r="AB5" i="14"/>
  <c r="AB6" i="14" s="1"/>
  <c r="G1563" i="16"/>
  <c r="H38" i="22"/>
  <c r="G1564" i="16" s="1"/>
  <c r="H51" i="22"/>
  <c r="H57" i="22"/>
  <c r="H48" i="22"/>
  <c r="H43" i="22" s="1"/>
  <c r="S7" i="3"/>
  <c r="G42" i="16"/>
  <c r="V193" i="11"/>
  <c r="Z22" i="14"/>
  <c r="K249" i="4"/>
  <c r="L249" i="4" s="1"/>
  <c r="M249" i="4" s="1"/>
  <c r="N249" i="4" s="1"/>
  <c r="O249" i="4" s="1"/>
  <c r="P249" i="4" s="1"/>
  <c r="Q249" i="4" s="1"/>
  <c r="R249" i="4" s="1"/>
  <c r="S249" i="4" s="1"/>
  <c r="T249" i="4" s="1"/>
  <c r="U249" i="4" s="1"/>
  <c r="V249" i="4" s="1"/>
  <c r="C1221" i="16"/>
  <c r="C1223" i="16" s="1"/>
  <c r="C1216" i="16"/>
  <c r="H36" i="16"/>
  <c r="R107" i="3"/>
  <c r="R108" i="3" s="1"/>
  <c r="R104" i="3"/>
  <c r="Q267" i="3"/>
  <c r="Y221" i="9"/>
  <c r="Y223" i="9" s="1"/>
  <c r="H34" i="21"/>
  <c r="AA242" i="14"/>
  <c r="W39" i="10"/>
  <c r="W5" i="11"/>
  <c r="AB189" i="17" s="1"/>
  <c r="W41" i="10"/>
  <c r="X73" i="14"/>
  <c r="X75" i="17"/>
  <c r="T70" i="11"/>
  <c r="R81" i="10"/>
  <c r="R82" i="10" s="1"/>
  <c r="C45" i="21"/>
  <c r="C47" i="21" s="1"/>
  <c r="C49" i="21" s="1"/>
  <c r="R78" i="10"/>
  <c r="V251" i="14"/>
  <c r="V253" i="14" s="1"/>
  <c r="R89" i="10"/>
  <c r="R87" i="10"/>
  <c r="R88" i="10"/>
  <c r="S153" i="11"/>
  <c r="W110" i="14" s="1"/>
  <c r="S159" i="9"/>
  <c r="Z189" i="14"/>
  <c r="V39" i="11"/>
  <c r="V37" i="11"/>
  <c r="Q96" i="11"/>
  <c r="R59" i="3"/>
  <c r="R60" i="3" s="1"/>
  <c r="R61" i="3" s="1"/>
  <c r="S84" i="3"/>
  <c r="S59" i="3" s="1"/>
  <c r="S60" i="3" s="1"/>
  <c r="E61" i="22"/>
  <c r="E103" i="22" s="1"/>
  <c r="Z182" i="10"/>
  <c r="L331" i="3"/>
  <c r="L332" i="3" s="1"/>
  <c r="L329" i="3"/>
  <c r="Z218" i="9"/>
  <c r="Y208" i="11"/>
  <c r="Z194" i="9"/>
  <c r="Z148" i="11"/>
  <c r="X209" i="11"/>
  <c r="X211" i="11" s="1"/>
  <c r="P56" i="3"/>
  <c r="P68" i="3"/>
  <c r="R145" i="10"/>
  <c r="R147" i="10" s="1"/>
  <c r="R144" i="11"/>
  <c r="R145" i="11" s="1"/>
  <c r="W197" i="10"/>
  <c r="X188" i="10"/>
  <c r="W184" i="11"/>
  <c r="I394" i="4"/>
  <c r="I396" i="4"/>
  <c r="I400" i="4" s="1"/>
  <c r="R282" i="3"/>
  <c r="R264" i="3" s="1"/>
  <c r="R266" i="3" s="1"/>
  <c r="P62" i="22"/>
  <c r="Y37" i="10"/>
  <c r="X5" i="10"/>
  <c r="AC242" i="17" s="1"/>
  <c r="S77" i="10"/>
  <c r="X251" i="17" s="1"/>
  <c r="T83" i="10"/>
  <c r="N34" i="4"/>
  <c r="M53" i="5" s="1"/>
  <c r="O482" i="4"/>
  <c r="O89" i="3"/>
  <c r="O92" i="3"/>
  <c r="O69" i="3"/>
  <c r="AB101" i="14"/>
  <c r="Q104" i="11"/>
  <c r="Q94" i="11"/>
  <c r="Q99" i="11"/>
  <c r="Y203" i="9"/>
  <c r="Z220" i="9"/>
  <c r="Z267" i="9" s="1"/>
  <c r="X151" i="10"/>
  <c r="X153" i="10" s="1"/>
  <c r="X259" i="10"/>
  <c r="X263" i="10" s="1"/>
  <c r="AB15" i="14"/>
  <c r="AC13" i="14"/>
  <c r="AC140" i="14"/>
  <c r="Q53" i="3"/>
  <c r="Q55" i="3" s="1"/>
  <c r="R80" i="3"/>
  <c r="G36" i="16"/>
  <c r="G37" i="16" s="1"/>
  <c r="I245" i="4"/>
  <c r="I12" i="4"/>
  <c r="I246" i="4"/>
  <c r="I257" i="4"/>
  <c r="C969" i="16"/>
  <c r="C1203" i="16"/>
  <c r="C1217" i="16" s="1"/>
  <c r="H29" i="5"/>
  <c r="D853" i="16" s="1"/>
  <c r="W33" i="17"/>
  <c r="C1105" i="16"/>
  <c r="C1117" i="16" s="1"/>
  <c r="C365" i="16"/>
  <c r="C367" i="16" s="1"/>
  <c r="D852" i="16"/>
  <c r="C470" i="16"/>
  <c r="C472" i="16" s="1"/>
  <c r="H42" i="16"/>
  <c r="W142" i="9"/>
  <c r="M263" i="4"/>
  <c r="V66" i="10"/>
  <c r="U62" i="11"/>
  <c r="N40" i="22"/>
  <c r="M22" i="22"/>
  <c r="L8" i="22"/>
  <c r="K11" i="22"/>
  <c r="K14" i="22" s="1"/>
  <c r="H12" i="4"/>
  <c r="H253" i="4"/>
  <c r="H246" i="4"/>
  <c r="H245" i="4"/>
  <c r="H257" i="4"/>
  <c r="P318" i="3"/>
  <c r="J17" i="22"/>
  <c r="Z212" i="10"/>
  <c r="Z215" i="10" s="1"/>
  <c r="Z218" i="10" s="1"/>
  <c r="Y215" i="10"/>
  <c r="Y218" i="10" s="1"/>
  <c r="F1569" i="16"/>
  <c r="G60" i="22"/>
  <c r="X223" i="9"/>
  <c r="X226" i="9" s="1"/>
  <c r="P274" i="3"/>
  <c r="Y267" i="9"/>
  <c r="H1560" i="16"/>
  <c r="H1561" i="16" s="1"/>
  <c r="G687" i="16"/>
  <c r="F716" i="16"/>
  <c r="H686" i="16"/>
  <c r="M148" i="3"/>
  <c r="M150" i="3" s="1"/>
  <c r="M338" i="3" s="1"/>
  <c r="I491" i="4"/>
  <c r="I466" i="4"/>
  <c r="H626" i="16"/>
  <c r="S107" i="3"/>
  <c r="S104" i="3"/>
  <c r="AA103" i="14"/>
  <c r="X268" i="9"/>
  <c r="X270" i="9" s="1"/>
  <c r="H388" i="4"/>
  <c r="H260" i="4"/>
  <c r="H461" i="4"/>
  <c r="H492" i="4" s="1"/>
  <c r="O215" i="4"/>
  <c r="AC140" i="17" s="1"/>
  <c r="O231" i="4"/>
  <c r="G3507" i="16" s="1"/>
  <c r="Q97" i="11"/>
  <c r="AA6" i="14"/>
  <c r="I1559" i="16"/>
  <c r="Y256" i="10"/>
  <c r="Y9" i="11"/>
  <c r="Y31" i="11" s="1"/>
  <c r="Z9" i="10"/>
  <c r="N315" i="3"/>
  <c r="M319" i="3"/>
  <c r="M321" i="3" s="1"/>
  <c r="M341" i="3" s="1"/>
  <c r="M316" i="3"/>
  <c r="F1566" i="16"/>
  <c r="G54" i="22"/>
  <c r="B587" i="20"/>
  <c r="B578" i="20"/>
  <c r="P313" i="3"/>
  <c r="Q312" i="3"/>
  <c r="E612" i="16"/>
  <c r="E595" i="16"/>
  <c r="E598" i="16"/>
  <c r="O121" i="12"/>
  <c r="M122" i="12"/>
  <c r="N142" i="3" l="1"/>
  <c r="O122" i="3"/>
  <c r="S14" i="5"/>
  <c r="AG15" i="17"/>
  <c r="AG13" i="17"/>
  <c r="Q156" i="9"/>
  <c r="Q161" i="9" s="1"/>
  <c r="Q162" i="9" s="1"/>
  <c r="Q157" i="11" s="1"/>
  <c r="Q147" i="11"/>
  <c r="Q150" i="11" s="1"/>
  <c r="Q156" i="11" s="1"/>
  <c r="X22" i="10"/>
  <c r="X23" i="10" s="1"/>
  <c r="AC237" i="14"/>
  <c r="AB74" i="17"/>
  <c r="Z52" i="9"/>
  <c r="K9" i="21"/>
  <c r="AD236" i="14"/>
  <c r="J16" i="21"/>
  <c r="Z10" i="10"/>
  <c r="AE244" i="17" s="1"/>
  <c r="Z66" i="9"/>
  <c r="Z68" i="9" s="1"/>
  <c r="AE237" i="17" s="1"/>
  <c r="Y72" i="9"/>
  <c r="Y136" i="9"/>
  <c r="Y137" i="9" s="1"/>
  <c r="Y139" i="9" s="1"/>
  <c r="AB81" i="14"/>
  <c r="S128" i="3"/>
  <c r="S111" i="3" s="1"/>
  <c r="AB199" i="14"/>
  <c r="AB72" i="14"/>
  <c r="R113" i="3"/>
  <c r="R114" i="3" s="1"/>
  <c r="X69" i="11"/>
  <c r="X132" i="11"/>
  <c r="Y32" i="10"/>
  <c r="Y28" i="10" s="1"/>
  <c r="Y6" i="10" s="1"/>
  <c r="Y7" i="10"/>
  <c r="Y8" i="10" s="1"/>
  <c r="AD246" i="17" s="1"/>
  <c r="Y10" i="11"/>
  <c r="AD81" i="17" s="1"/>
  <c r="J36" i="21"/>
  <c r="AC244" i="14"/>
  <c r="AC247" i="14"/>
  <c r="AB245" i="14"/>
  <c r="X8" i="10"/>
  <c r="AC246" i="17" s="1"/>
  <c r="X29" i="10"/>
  <c r="X21" i="10"/>
  <c r="X7" i="11"/>
  <c r="AC192" i="17" s="1"/>
  <c r="N20" i="3"/>
  <c r="N41" i="3" s="1"/>
  <c r="R15" i="3"/>
  <c r="S16" i="3" s="1"/>
  <c r="Z11" i="10"/>
  <c r="AE248" i="17" s="1"/>
  <c r="J37" i="21"/>
  <c r="W8" i="11"/>
  <c r="AB85" i="17" s="1"/>
  <c r="AC81" i="17"/>
  <c r="AC248" i="14"/>
  <c r="Y44" i="10"/>
  <c r="AB191" i="14"/>
  <c r="X43" i="11"/>
  <c r="Y11" i="11"/>
  <c r="AC195" i="14" s="1"/>
  <c r="X32" i="11"/>
  <c r="W29" i="11"/>
  <c r="L364" i="22"/>
  <c r="AA84" i="14"/>
  <c r="AA192" i="14"/>
  <c r="AB192" i="17"/>
  <c r="W30" i="10"/>
  <c r="L294" i="22"/>
  <c r="M296" i="22"/>
  <c r="M295" i="22"/>
  <c r="M289" i="22"/>
  <c r="M288" i="22"/>
  <c r="M293" i="22"/>
  <c r="M291" i="22"/>
  <c r="L297" i="22"/>
  <c r="V38" i="11"/>
  <c r="S78" i="4"/>
  <c r="M253" i="22"/>
  <c r="X42" i="10"/>
  <c r="AA246" i="14"/>
  <c r="BV20" i="20"/>
  <c r="J19" i="22"/>
  <c r="J128" i="22"/>
  <c r="Z193" i="14"/>
  <c r="Z12" i="10"/>
  <c r="AE247" i="17" s="1"/>
  <c r="AC243" i="17"/>
  <c r="X47" i="10"/>
  <c r="AB243" i="14"/>
  <c r="Z85" i="14"/>
  <c r="X40" i="10"/>
  <c r="AA85" i="17"/>
  <c r="AA193" i="17"/>
  <c r="AB249" i="14"/>
  <c r="Y43" i="9"/>
  <c r="AC215" i="14"/>
  <c r="J4" i="21"/>
  <c r="O18" i="3"/>
  <c r="O20" i="3" s="1"/>
  <c r="J38" i="21"/>
  <c r="Y20" i="10"/>
  <c r="AD249" i="17" s="1"/>
  <c r="Y45" i="10"/>
  <c r="I35" i="21"/>
  <c r="X46" i="10"/>
  <c r="W47" i="11"/>
  <c r="W46" i="11"/>
  <c r="AA190" i="14"/>
  <c r="W40" i="11"/>
  <c r="W28" i="11"/>
  <c r="Z135" i="14"/>
  <c r="AD214" i="14"/>
  <c r="Z5" i="9"/>
  <c r="AE215" i="17" s="1"/>
  <c r="G57" i="16"/>
  <c r="AB83" i="14"/>
  <c r="X44" i="11"/>
  <c r="X33" i="11"/>
  <c r="AC195" i="17"/>
  <c r="AC83" i="17"/>
  <c r="R230" i="9"/>
  <c r="W235" i="17" s="1"/>
  <c r="I51" i="12"/>
  <c r="S27" i="3"/>
  <c r="S10" i="3" s="1"/>
  <c r="S12" i="3" s="1"/>
  <c r="P122" i="3"/>
  <c r="X68" i="10"/>
  <c r="AB264" i="14"/>
  <c r="I46" i="21"/>
  <c r="X33" i="9"/>
  <c r="AB219" i="14"/>
  <c r="AE221" i="17"/>
  <c r="K7" i="21"/>
  <c r="Z48" i="9"/>
  <c r="AD221" i="14"/>
  <c r="Q13" i="3"/>
  <c r="N148" i="3"/>
  <c r="N150" i="3" s="1"/>
  <c r="N338" i="3" s="1"/>
  <c r="O280" i="3"/>
  <c r="X274" i="9"/>
  <c r="X157" i="9" s="1"/>
  <c r="X152" i="11" s="1"/>
  <c r="AB109" i="14" s="1"/>
  <c r="O303" i="3"/>
  <c r="O306" i="3" s="1"/>
  <c r="O308" i="3" s="1"/>
  <c r="O337" i="3" s="1"/>
  <c r="S61" i="3"/>
  <c r="P145" i="3"/>
  <c r="P148" i="3" s="1"/>
  <c r="P150" i="3" s="1"/>
  <c r="P338" i="3" s="1"/>
  <c r="N215" i="3"/>
  <c r="N216" i="3" s="1"/>
  <c r="Y62" i="10"/>
  <c r="Y64" i="10" s="1"/>
  <c r="Y60" i="11" s="1"/>
  <c r="AD211" i="17" s="1"/>
  <c r="M306" i="3"/>
  <c r="M308" i="3" s="1"/>
  <c r="M337" i="3" s="1"/>
  <c r="R9" i="3"/>
  <c r="R12" i="3" s="1"/>
  <c r="O163" i="3"/>
  <c r="O168" i="3"/>
  <c r="O165" i="3"/>
  <c r="AD252" i="17"/>
  <c r="Y61" i="11"/>
  <c r="Z65" i="10"/>
  <c r="Z61" i="11" s="1"/>
  <c r="AE199" i="17" s="1"/>
  <c r="AC252" i="14"/>
  <c r="J48" i="21"/>
  <c r="P234" i="3"/>
  <c r="P238" i="3"/>
  <c r="P243" i="3"/>
  <c r="P245" i="3" s="1"/>
  <c r="P162" i="3"/>
  <c r="Q160" i="3"/>
  <c r="R231" i="3"/>
  <c r="Q236" i="3"/>
  <c r="Q240" i="3"/>
  <c r="N171" i="3"/>
  <c r="N173" i="3" s="1"/>
  <c r="N339" i="3" s="1"/>
  <c r="N280" i="3"/>
  <c r="N300" i="3"/>
  <c r="N303" i="3"/>
  <c r="R295" i="3"/>
  <c r="Q270" i="3"/>
  <c r="Q271" i="3" s="1"/>
  <c r="Q272" i="3" s="1"/>
  <c r="M218" i="3"/>
  <c r="M219" i="3" s="1"/>
  <c r="M328" i="3"/>
  <c r="M329" i="3" s="1"/>
  <c r="W155" i="9"/>
  <c r="V149" i="11"/>
  <c r="Y226" i="9"/>
  <c r="X60" i="11"/>
  <c r="X68" i="11" s="1"/>
  <c r="AC264" i="17"/>
  <c r="S117" i="3"/>
  <c r="X40" i="11"/>
  <c r="AB190" i="14"/>
  <c r="X46" i="11"/>
  <c r="X47" i="11"/>
  <c r="X28" i="11"/>
  <c r="R600" i="4"/>
  <c r="R624" i="4" s="1"/>
  <c r="P274" i="4"/>
  <c r="P164" i="4" s="1"/>
  <c r="K135" i="4"/>
  <c r="S499" i="4"/>
  <c r="S502" i="4"/>
  <c r="AF101" i="17"/>
  <c r="Q176" i="4"/>
  <c r="R364" i="4"/>
  <c r="Q165" i="4"/>
  <c r="R417" i="4"/>
  <c r="Q274" i="4"/>
  <c r="Q164" i="4" s="1"/>
  <c r="R272" i="4"/>
  <c r="AF15" i="17"/>
  <c r="AF13" i="17"/>
  <c r="Q435" i="4"/>
  <c r="Q215" i="4" s="1"/>
  <c r="AE140" i="17" s="1"/>
  <c r="R444" i="4"/>
  <c r="R597" i="4"/>
  <c r="K148" i="4"/>
  <c r="G92" i="24"/>
  <c r="Y64" i="17"/>
  <c r="AC210" i="17"/>
  <c r="AC86" i="17"/>
  <c r="J2278" i="16"/>
  <c r="N49" i="4" s="1"/>
  <c r="C3821" i="16" s="1"/>
  <c r="M3821" i="16" s="1"/>
  <c r="I211" i="4"/>
  <c r="C1104" i="16" s="1"/>
  <c r="C1116" i="16" s="1"/>
  <c r="AE15" i="17"/>
  <c r="AE13" i="17"/>
  <c r="N19" i="5"/>
  <c r="AB211" i="17"/>
  <c r="AD216" i="17"/>
  <c r="AC188" i="17"/>
  <c r="AC79" i="17"/>
  <c r="H44" i="22"/>
  <c r="H58" i="22"/>
  <c r="G44" i="22"/>
  <c r="G58" i="22"/>
  <c r="G95" i="22" s="1"/>
  <c r="G96" i="22" s="1"/>
  <c r="G102" i="22"/>
  <c r="D3280" i="16"/>
  <c r="G98" i="22"/>
  <c r="G99" i="22" s="1"/>
  <c r="N29" i="22"/>
  <c r="O2275" i="16"/>
  <c r="M6" i="22"/>
  <c r="L70" i="22"/>
  <c r="L92" i="22" s="1"/>
  <c r="E63" i="22"/>
  <c r="F297" i="23"/>
  <c r="W224" i="11"/>
  <c r="W157" i="9"/>
  <c r="W152" i="11" s="1"/>
  <c r="AA109" i="14" s="1"/>
  <c r="J2371" i="16"/>
  <c r="J2373" i="16" s="1"/>
  <c r="F3243" i="16"/>
  <c r="F3245" i="16" s="1"/>
  <c r="J2367" i="16"/>
  <c r="J2368" i="16" s="1"/>
  <c r="G40" i="25"/>
  <c r="H40" i="25"/>
  <c r="H2425" i="16"/>
  <c r="F3082" i="16"/>
  <c r="F3087" i="16" s="1"/>
  <c r="F3136" i="16" s="1"/>
  <c r="E767" i="20"/>
  <c r="J2375" i="16"/>
  <c r="I2345" i="16"/>
  <c r="AL20" i="20"/>
  <c r="CA20" i="20" s="1"/>
  <c r="AA47" i="17"/>
  <c r="G2317" i="16"/>
  <c r="G2319" i="16" s="1"/>
  <c r="I2373" i="16"/>
  <c r="I2374" i="16" s="1"/>
  <c r="I2372" i="16"/>
  <c r="P471" i="4"/>
  <c r="P473" i="4" s="1"/>
  <c r="M47" i="5"/>
  <c r="M64" i="5"/>
  <c r="E1874" i="16"/>
  <c r="F1874" i="16" s="1"/>
  <c r="G1874" i="16" s="1"/>
  <c r="H1874" i="16" s="1"/>
  <c r="P231" i="4"/>
  <c r="H3507" i="16" s="1"/>
  <c r="K47" i="4"/>
  <c r="C2839" i="16" s="1"/>
  <c r="X214" i="11"/>
  <c r="AB104" i="14" s="1"/>
  <c r="AD102" i="14"/>
  <c r="O95" i="3"/>
  <c r="O97" i="3" s="1"/>
  <c r="N8" i="5"/>
  <c r="AC5" i="17"/>
  <c r="AC6" i="17" s="1"/>
  <c r="Q470" i="4"/>
  <c r="Q443" i="4"/>
  <c r="P479" i="4"/>
  <c r="P478" i="4"/>
  <c r="O5" i="5"/>
  <c r="Y8" i="9"/>
  <c r="AD219" i="17" s="1"/>
  <c r="AC218" i="14"/>
  <c r="Y32" i="9"/>
  <c r="P476" i="4"/>
  <c r="J1045" i="16"/>
  <c r="AD140" i="17"/>
  <c r="Q365" i="4"/>
  <c r="Z7" i="9"/>
  <c r="AE218" i="17" s="1"/>
  <c r="K6" i="21"/>
  <c r="AD217" i="14"/>
  <c r="Z35" i="9"/>
  <c r="Z31" i="9" s="1"/>
  <c r="Z6" i="9" s="1"/>
  <c r="AE216" i="17" s="1"/>
  <c r="E2133" i="16"/>
  <c r="C1965" i="16"/>
  <c r="E1978" i="16"/>
  <c r="E1979" i="16" s="1"/>
  <c r="H1882" i="16"/>
  <c r="I1915" i="16"/>
  <c r="I1916" i="16" s="1"/>
  <c r="G1882" i="16"/>
  <c r="H1915" i="16"/>
  <c r="H1916" i="16" s="1"/>
  <c r="E1882" i="16"/>
  <c r="F1915" i="16"/>
  <c r="F1916" i="16" s="1"/>
  <c r="F1882" i="16"/>
  <c r="G1915" i="16"/>
  <c r="G1916" i="16" s="1"/>
  <c r="D1882" i="16"/>
  <c r="C1902" i="16"/>
  <c r="E1915" i="16"/>
  <c r="E1916" i="16" s="1"/>
  <c r="B509" i="20"/>
  <c r="B518" i="20"/>
  <c r="B530" i="20" s="1"/>
  <c r="B513" i="20"/>
  <c r="B522" i="20"/>
  <c r="B534" i="20" s="1"/>
  <c r="J31" i="24"/>
  <c r="K33" i="24"/>
  <c r="J38" i="24"/>
  <c r="J43" i="24"/>
  <c r="N85" i="24"/>
  <c r="M152" i="12"/>
  <c r="AA54" i="17"/>
  <c r="J36" i="25"/>
  <c r="I34" i="25"/>
  <c r="I29" i="25"/>
  <c r="J31" i="25"/>
  <c r="J26" i="25"/>
  <c r="I24" i="25"/>
  <c r="Q114" i="3"/>
  <c r="Q121" i="3"/>
  <c r="C17" i="16"/>
  <c r="J210" i="3"/>
  <c r="G152" i="12"/>
  <c r="T10" i="14"/>
  <c r="S10" i="14" s="1"/>
  <c r="R10" i="14" s="1"/>
  <c r="Q10" i="14" s="1"/>
  <c r="F394" i="4"/>
  <c r="F393" i="4"/>
  <c r="F396" i="4"/>
  <c r="F400" i="4" s="1"/>
  <c r="U10" i="14"/>
  <c r="H152" i="12"/>
  <c r="AA73" i="17"/>
  <c r="W59" i="11"/>
  <c r="AA71" i="14"/>
  <c r="W68" i="11"/>
  <c r="AA211" i="14"/>
  <c r="F1571" i="16"/>
  <c r="I402" i="4"/>
  <c r="I404" i="4" s="1"/>
  <c r="G32" i="16"/>
  <c r="G344" i="4"/>
  <c r="C593" i="16"/>
  <c r="C595" i="16" s="1"/>
  <c r="G350" i="4"/>
  <c r="G357" i="4"/>
  <c r="G347" i="4"/>
  <c r="G354" i="4"/>
  <c r="G4" i="4"/>
  <c r="B821" i="12"/>
  <c r="C16" i="16"/>
  <c r="C23" i="16" s="1"/>
  <c r="E99" i="16"/>
  <c r="AB188" i="14"/>
  <c r="AB79" i="14"/>
  <c r="X27" i="11"/>
  <c r="I55" i="16"/>
  <c r="J55" i="16" s="1"/>
  <c r="O189" i="3"/>
  <c r="O209" i="3"/>
  <c r="O215" i="3" s="1"/>
  <c r="O178" i="3"/>
  <c r="O152" i="12"/>
  <c r="AB10" i="14"/>
  <c r="C871" i="16"/>
  <c r="C869" i="16"/>
  <c r="S126" i="3"/>
  <c r="S110" i="3" s="1"/>
  <c r="CE317" i="11"/>
  <c r="CE318" i="11"/>
  <c r="V119" i="17"/>
  <c r="V120" i="17"/>
  <c r="V118" i="17"/>
  <c r="Y48" i="10"/>
  <c r="Y13" i="11"/>
  <c r="Z13" i="10"/>
  <c r="AC263" i="14"/>
  <c r="J39" i="21"/>
  <c r="AB86" i="14"/>
  <c r="AB210" i="14"/>
  <c r="X48" i="11"/>
  <c r="X35" i="11"/>
  <c r="X58" i="11"/>
  <c r="AA10" i="14"/>
  <c r="N152" i="12"/>
  <c r="B12" i="12"/>
  <c r="P49" i="5" s="1"/>
  <c r="J141" i="12"/>
  <c r="W133" i="10"/>
  <c r="W135" i="10" s="1"/>
  <c r="W135" i="11" s="1"/>
  <c r="W132" i="11"/>
  <c r="H57" i="16"/>
  <c r="N212" i="3"/>
  <c r="I1045" i="16"/>
  <c r="N66" i="5"/>
  <c r="V25" i="17"/>
  <c r="V26" i="17" s="1"/>
  <c r="H224" i="4"/>
  <c r="AD225" i="14"/>
  <c r="K18" i="21"/>
  <c r="K328" i="3"/>
  <c r="K316" i="3"/>
  <c r="K319" i="3"/>
  <c r="K321" i="3" s="1"/>
  <c r="K341" i="3" s="1"/>
  <c r="C12" i="16"/>
  <c r="C20" i="16"/>
  <c r="Z4" i="10"/>
  <c r="AE241" i="17" s="1"/>
  <c r="AC241" i="14"/>
  <c r="Y4" i="11"/>
  <c r="Y196" i="9"/>
  <c r="X186" i="11"/>
  <c r="AB11" i="14" s="1"/>
  <c r="Z224" i="9"/>
  <c r="Z212" i="11" s="1"/>
  <c r="Y212" i="11"/>
  <c r="H192" i="4"/>
  <c r="H196" i="4"/>
  <c r="D811" i="16"/>
  <c r="D807" i="16"/>
  <c r="H386" i="4"/>
  <c r="I7" i="4"/>
  <c r="H459" i="4"/>
  <c r="V59" i="17"/>
  <c r="D594" i="16"/>
  <c r="R156" i="9"/>
  <c r="R161" i="9" s="1"/>
  <c r="D1070" i="16"/>
  <c r="F488" i="4"/>
  <c r="F495" i="4"/>
  <c r="I152" i="12"/>
  <c r="V10" i="14"/>
  <c r="P152" i="12"/>
  <c r="AC10" i="14"/>
  <c r="D1930" i="8"/>
  <c r="E1930" i="8" s="1"/>
  <c r="E1931" i="8" s="1"/>
  <c r="E1933" i="8" s="1"/>
  <c r="E1935" i="8" s="1"/>
  <c r="M47" i="3"/>
  <c r="M49" i="3" s="1"/>
  <c r="M336" i="3" s="1"/>
  <c r="C699" i="12"/>
  <c r="B806" i="12"/>
  <c r="D699" i="12"/>
  <c r="B699" i="12"/>
  <c r="U160" i="9"/>
  <c r="T155" i="11"/>
  <c r="H336" i="4"/>
  <c r="H204" i="4" s="1"/>
  <c r="G26" i="16"/>
  <c r="G27" i="16" s="1"/>
  <c r="B808" i="12"/>
  <c r="C809" i="12" s="1"/>
  <c r="C761" i="12"/>
  <c r="B763" i="12"/>
  <c r="X133" i="10"/>
  <c r="X138" i="10" s="1"/>
  <c r="AF127" i="1"/>
  <c r="AF112" i="1"/>
  <c r="D597" i="16"/>
  <c r="D614" i="16" s="1"/>
  <c r="CF317" i="11"/>
  <c r="CF318" i="11"/>
  <c r="C825" i="16"/>
  <c r="C843" i="16" s="1"/>
  <c r="C841" i="16"/>
  <c r="U134" i="11"/>
  <c r="U138" i="11"/>
  <c r="C613" i="16"/>
  <c r="C599" i="16"/>
  <c r="C615" i="16" s="1"/>
  <c r="V138" i="10"/>
  <c r="V133" i="11"/>
  <c r="Y10" i="14"/>
  <c r="L152" i="12"/>
  <c r="AD15" i="17"/>
  <c r="AD13" i="17"/>
  <c r="S258" i="3"/>
  <c r="S260" i="3" s="1"/>
  <c r="S340" i="3" s="1"/>
  <c r="AC216" i="14"/>
  <c r="Y51" i="9"/>
  <c r="Y44" i="9"/>
  <c r="J5" i="21"/>
  <c r="Y50" i="9"/>
  <c r="AC15" i="14"/>
  <c r="AD13" i="14"/>
  <c r="AE13" i="14" s="1"/>
  <c r="I42" i="16"/>
  <c r="I43" i="16" s="1"/>
  <c r="O148" i="3"/>
  <c r="O150" i="3" s="1"/>
  <c r="O338" i="3" s="1"/>
  <c r="AC7" i="14"/>
  <c r="AC8" i="14" s="1"/>
  <c r="Q125" i="12"/>
  <c r="AB8" i="14"/>
  <c r="AC18" i="14"/>
  <c r="Q126" i="12"/>
  <c r="H43" i="16"/>
  <c r="D752" i="16"/>
  <c r="D751" i="16"/>
  <c r="L123" i="12"/>
  <c r="K139" i="12"/>
  <c r="N316" i="3"/>
  <c r="O315" i="3"/>
  <c r="N319" i="3"/>
  <c r="N321" i="3" s="1"/>
  <c r="N341" i="3" s="1"/>
  <c r="I1560" i="16"/>
  <c r="I1561" i="16" s="1"/>
  <c r="G4" i="16"/>
  <c r="H252" i="4"/>
  <c r="I253" i="4"/>
  <c r="W66" i="10"/>
  <c r="V62" i="11"/>
  <c r="F951" i="20"/>
  <c r="S89" i="10"/>
  <c r="S88" i="10"/>
  <c r="S81" i="10"/>
  <c r="S82" i="10" s="1"/>
  <c r="W251" i="14"/>
  <c r="S87" i="10"/>
  <c r="S78" i="10"/>
  <c r="D45" i="21"/>
  <c r="D47" i="21" s="1"/>
  <c r="S53" i="10"/>
  <c r="X250" i="17" s="1"/>
  <c r="X253" i="17" s="1"/>
  <c r="X142" i="9"/>
  <c r="R267" i="3"/>
  <c r="W193" i="11"/>
  <c r="AA22" i="14"/>
  <c r="P89" i="3"/>
  <c r="P92" i="3"/>
  <c r="P69" i="3"/>
  <c r="Z203" i="9"/>
  <c r="Z208" i="11"/>
  <c r="Z221" i="9"/>
  <c r="Z268" i="9" s="1"/>
  <c r="J460" i="4"/>
  <c r="J491" i="4" s="1"/>
  <c r="J387" i="4"/>
  <c r="H60" i="22"/>
  <c r="J2282" i="16" s="1"/>
  <c r="J2269" i="16" s="1"/>
  <c r="G1569" i="16"/>
  <c r="AC5" i="14"/>
  <c r="AC6" i="14" s="1"/>
  <c r="Q124" i="12"/>
  <c r="R288" i="3"/>
  <c r="R274" i="3" s="1"/>
  <c r="Y151" i="10"/>
  <c r="Y153" i="10" s="1"/>
  <c r="Y259" i="10"/>
  <c r="Y263" i="10" s="1"/>
  <c r="J1559" i="16"/>
  <c r="J21" i="22"/>
  <c r="J25" i="22" s="1"/>
  <c r="Q318" i="3"/>
  <c r="V22" i="17"/>
  <c r="N263" i="4"/>
  <c r="I37" i="16"/>
  <c r="J36" i="16"/>
  <c r="S80" i="3"/>
  <c r="S53" i="3" s="1"/>
  <c r="S55" i="3" s="1"/>
  <c r="R53" i="3"/>
  <c r="R55" i="3" s="1"/>
  <c r="Y209" i="11"/>
  <c r="Y211" i="11" s="1"/>
  <c r="X139" i="9"/>
  <c r="S282" i="3"/>
  <c r="S264" i="3" s="1"/>
  <c r="S266" i="3" s="1"/>
  <c r="Y188" i="10"/>
  <c r="X197" i="10"/>
  <c r="X184" i="11"/>
  <c r="R150" i="10"/>
  <c r="R155" i="10" s="1"/>
  <c r="R147" i="11"/>
  <c r="R150" i="11" s="1"/>
  <c r="R156" i="11" s="1"/>
  <c r="AB103" i="14"/>
  <c r="AC101" i="14"/>
  <c r="R93" i="10"/>
  <c r="R103" i="10"/>
  <c r="R87" i="11"/>
  <c r="W37" i="11"/>
  <c r="W39" i="11"/>
  <c r="AA189" i="14"/>
  <c r="G43" i="16"/>
  <c r="G61" i="22"/>
  <c r="G103" i="22" s="1"/>
  <c r="Z9" i="11"/>
  <c r="Z31" i="11" s="1"/>
  <c r="I490" i="4"/>
  <c r="I494" i="4" s="1"/>
  <c r="W32" i="17"/>
  <c r="I467" i="4"/>
  <c r="H65" i="5"/>
  <c r="I37" i="22"/>
  <c r="H2135" i="16" s="1"/>
  <c r="L18" i="22"/>
  <c r="K17" i="22"/>
  <c r="O40" i="22"/>
  <c r="Y73" i="14"/>
  <c r="U70" i="11"/>
  <c r="Y75" i="17"/>
  <c r="W22" i="17"/>
  <c r="I191" i="4"/>
  <c r="I16" i="4"/>
  <c r="I24" i="4" s="1"/>
  <c r="Q68" i="3"/>
  <c r="Q56" i="3"/>
  <c r="I34" i="21"/>
  <c r="AB242" i="14"/>
  <c r="X39" i="10"/>
  <c r="X5" i="11"/>
  <c r="AC189" i="17" s="1"/>
  <c r="X41" i="10"/>
  <c r="F4" i="16"/>
  <c r="R92" i="10"/>
  <c r="R90" i="10"/>
  <c r="R102" i="10"/>
  <c r="R86" i="11"/>
  <c r="I39" i="16"/>
  <c r="H5" i="16"/>
  <c r="I5" i="16" s="1"/>
  <c r="G1566" i="16"/>
  <c r="H54" i="22"/>
  <c r="H59" i="22"/>
  <c r="F8" i="16"/>
  <c r="H13" i="4"/>
  <c r="V23" i="17" s="1"/>
  <c r="H266" i="4"/>
  <c r="S108" i="3"/>
  <c r="F5" i="16"/>
  <c r="G39" i="16"/>
  <c r="G40" i="16" s="1"/>
  <c r="P275" i="3"/>
  <c r="P279" i="3"/>
  <c r="Z256" i="10"/>
  <c r="M8" i="22"/>
  <c r="L11" i="22"/>
  <c r="L14" i="22" s="1"/>
  <c r="N22" i="22"/>
  <c r="X189" i="10"/>
  <c r="X170" i="10"/>
  <c r="O34" i="4"/>
  <c r="N53" i="5" s="1"/>
  <c r="P482" i="4"/>
  <c r="U83" i="10"/>
  <c r="T77" i="10"/>
  <c r="Y251" i="17" s="1"/>
  <c r="Z37" i="10"/>
  <c r="Y5" i="10"/>
  <c r="AD242" i="17" s="1"/>
  <c r="H39" i="16"/>
  <c r="H40" i="16" s="1"/>
  <c r="G5" i="16"/>
  <c r="Z265" i="9"/>
  <c r="S154" i="11"/>
  <c r="W111" i="14" s="1"/>
  <c r="S195" i="9"/>
  <c r="S185" i="11" s="1"/>
  <c r="R104" i="10"/>
  <c r="R94" i="10"/>
  <c r="R88" i="11"/>
  <c r="Y268" i="9"/>
  <c r="Y270" i="9" s="1"/>
  <c r="Y274" i="9" s="1"/>
  <c r="H37" i="16"/>
  <c r="Q274" i="3"/>
  <c r="AA135" i="14"/>
  <c r="AA30" i="14"/>
  <c r="D753" i="16"/>
  <c r="Q313" i="3"/>
  <c r="R312" i="3"/>
  <c r="D757" i="16"/>
  <c r="D754" i="16"/>
  <c r="D750" i="16"/>
  <c r="D749" i="16"/>
  <c r="D755" i="16"/>
  <c r="D756" i="16"/>
  <c r="D748" i="16"/>
  <c r="D758" i="16"/>
  <c r="N122" i="12"/>
  <c r="P121" i="12"/>
  <c r="S527" i="4" l="1"/>
  <c r="AG104" i="17" s="1"/>
  <c r="AG101" i="17"/>
  <c r="T14" i="5"/>
  <c r="AH15" i="17"/>
  <c r="AH13" i="17"/>
  <c r="Y43" i="11"/>
  <c r="Y29" i="10"/>
  <c r="Q158" i="11"/>
  <c r="Q163" i="9"/>
  <c r="Q164" i="9" s="1"/>
  <c r="Q198" i="9" s="1"/>
  <c r="Y32" i="11"/>
  <c r="AC84" i="17"/>
  <c r="AB84" i="14"/>
  <c r="S113" i="3"/>
  <c r="S121" i="3" s="1"/>
  <c r="X8" i="11"/>
  <c r="AB85" i="14" s="1"/>
  <c r="AC81" i="14"/>
  <c r="X29" i="11"/>
  <c r="AC191" i="14"/>
  <c r="AB192" i="14"/>
  <c r="AD191" i="17"/>
  <c r="AD244" i="14"/>
  <c r="Z44" i="10"/>
  <c r="Z32" i="10"/>
  <c r="Z28" i="10" s="1"/>
  <c r="Z6" i="10" s="1"/>
  <c r="AE243" i="17" s="1"/>
  <c r="Z10" i="11"/>
  <c r="AE191" i="17" s="1"/>
  <c r="R121" i="3"/>
  <c r="R142" i="3" s="1"/>
  <c r="Z7" i="10"/>
  <c r="Z8" i="10" s="1"/>
  <c r="AE246" i="17" s="1"/>
  <c r="Z136" i="9"/>
  <c r="Z137" i="9" s="1"/>
  <c r="Z139" i="9" s="1"/>
  <c r="Z72" i="9"/>
  <c r="K16" i="21"/>
  <c r="AD248" i="14"/>
  <c r="K36" i="21"/>
  <c r="AD237" i="14"/>
  <c r="K37" i="21"/>
  <c r="Y40" i="10"/>
  <c r="Y47" i="10"/>
  <c r="Y7" i="11"/>
  <c r="AC192" i="14" s="1"/>
  <c r="AC245" i="14"/>
  <c r="AD245" i="17"/>
  <c r="Z11" i="11"/>
  <c r="N44" i="3"/>
  <c r="N47" i="3" s="1"/>
  <c r="N49" i="3" s="1"/>
  <c r="N336" i="3" s="1"/>
  <c r="X30" i="10"/>
  <c r="AB246" i="14"/>
  <c r="AB193" i="17"/>
  <c r="AA85" i="14"/>
  <c r="R16" i="3"/>
  <c r="N327" i="3"/>
  <c r="W30" i="11"/>
  <c r="N21" i="3"/>
  <c r="W38" i="11"/>
  <c r="AA193" i="14"/>
  <c r="Z20" i="10"/>
  <c r="AE249" i="17" s="1"/>
  <c r="Z45" i="10"/>
  <c r="AD247" i="14"/>
  <c r="K38" i="21"/>
  <c r="AC249" i="14"/>
  <c r="Y22" i="10"/>
  <c r="Y23" i="10" s="1"/>
  <c r="Y42" i="10"/>
  <c r="AD83" i="17"/>
  <c r="AD195" i="17"/>
  <c r="Y33" i="11"/>
  <c r="AC83" i="14"/>
  <c r="Y44" i="11"/>
  <c r="AC243" i="14"/>
  <c r="J35" i="21"/>
  <c r="Y46" i="10"/>
  <c r="Y6" i="11"/>
  <c r="AD190" i="17" s="1"/>
  <c r="M364" i="22"/>
  <c r="Y21" i="10"/>
  <c r="K4" i="21"/>
  <c r="AD243" i="17"/>
  <c r="M294" i="22"/>
  <c r="M297" i="22"/>
  <c r="N295" i="22"/>
  <c r="N296" i="22"/>
  <c r="N289" i="22"/>
  <c r="N288" i="22"/>
  <c r="N291" i="22"/>
  <c r="N293" i="22"/>
  <c r="P18" i="3"/>
  <c r="Q18" i="3" s="1"/>
  <c r="T78" i="4"/>
  <c r="N253" i="22"/>
  <c r="J37" i="22"/>
  <c r="I2135" i="16" s="1"/>
  <c r="J129" i="22"/>
  <c r="K19" i="22"/>
  <c r="K128" i="22"/>
  <c r="K21" i="22"/>
  <c r="K25" i="22" s="1"/>
  <c r="Z43" i="9"/>
  <c r="AD215" i="14"/>
  <c r="V235" i="14"/>
  <c r="R231" i="9"/>
  <c r="Y132" i="10"/>
  <c r="Y133" i="10" s="1"/>
  <c r="Y138" i="10" s="1"/>
  <c r="N218" i="3"/>
  <c r="N219" i="3" s="1"/>
  <c r="O216" i="3"/>
  <c r="AC246" i="14"/>
  <c r="M331" i="3"/>
  <c r="M332" i="3" s="1"/>
  <c r="X176" i="9"/>
  <c r="X169" i="11" s="1"/>
  <c r="J46" i="21"/>
  <c r="AC264" i="14"/>
  <c r="Y68" i="10"/>
  <c r="AD264" i="17"/>
  <c r="X224" i="11"/>
  <c r="M220" i="3"/>
  <c r="R13" i="3"/>
  <c r="S13" i="3"/>
  <c r="O171" i="3"/>
  <c r="O173" i="3" s="1"/>
  <c r="O339" i="3" s="1"/>
  <c r="W149" i="11"/>
  <c r="X155" i="9"/>
  <c r="S231" i="3"/>
  <c r="R236" i="3"/>
  <c r="R240" i="3"/>
  <c r="AE252" i="17"/>
  <c r="AD252" i="14"/>
  <c r="K48" i="21"/>
  <c r="Y68" i="11"/>
  <c r="Y8" i="11"/>
  <c r="AD193" i="17" s="1"/>
  <c r="R270" i="3"/>
  <c r="R271" i="3" s="1"/>
  <c r="R272" i="3" s="1"/>
  <c r="S295" i="3"/>
  <c r="S270" i="3" s="1"/>
  <c r="S271" i="3" s="1"/>
  <c r="Q162" i="3"/>
  <c r="R160" i="3"/>
  <c r="AD199" i="17"/>
  <c r="AC199" i="14"/>
  <c r="Y69" i="11"/>
  <c r="AC74" i="17"/>
  <c r="AC72" i="14"/>
  <c r="P163" i="3"/>
  <c r="P168" i="3"/>
  <c r="P165" i="3"/>
  <c r="Q243" i="3"/>
  <c r="Q245" i="3" s="1"/>
  <c r="Q234" i="3"/>
  <c r="Q238" i="3"/>
  <c r="Y59" i="11"/>
  <c r="Y30" i="10"/>
  <c r="Z62" i="10"/>
  <c r="Z64" i="10" s="1"/>
  <c r="AE264" i="17" s="1"/>
  <c r="AE263" i="17"/>
  <c r="N306" i="3"/>
  <c r="N308" i="3" s="1"/>
  <c r="N337" i="3" s="1"/>
  <c r="AC211" i="17"/>
  <c r="AB211" i="14"/>
  <c r="AB73" i="17"/>
  <c r="X59" i="11"/>
  <c r="AB71" i="14"/>
  <c r="AC211" i="14"/>
  <c r="AC73" i="17"/>
  <c r="AC71" i="14"/>
  <c r="O66" i="5"/>
  <c r="S600" i="4"/>
  <c r="S624" i="4" s="1"/>
  <c r="Q231" i="4"/>
  <c r="I3507" i="16" s="1"/>
  <c r="R274" i="4"/>
  <c r="R164" i="4" s="1"/>
  <c r="S272" i="4"/>
  <c r="T502" i="4"/>
  <c r="R165" i="4"/>
  <c r="S417" i="4"/>
  <c r="T499" i="4"/>
  <c r="R435" i="4"/>
  <c r="R215" i="4" s="1"/>
  <c r="S444" i="4"/>
  <c r="R176" i="4"/>
  <c r="S364" i="4"/>
  <c r="S597" i="4"/>
  <c r="AD18" i="14"/>
  <c r="R126" i="12"/>
  <c r="AE18" i="14" s="1"/>
  <c r="AD5" i="14"/>
  <c r="AD6" i="14" s="1"/>
  <c r="R124" i="12"/>
  <c r="AE5" i="14" s="1"/>
  <c r="AD7" i="14"/>
  <c r="AD8" i="14" s="1"/>
  <c r="R125" i="12"/>
  <c r="AE7" i="14" s="1"/>
  <c r="E5" i="32"/>
  <c r="E6" i="32" s="1"/>
  <c r="R365" i="4"/>
  <c r="R315" i="4"/>
  <c r="AF104" i="17"/>
  <c r="AF103" i="17" s="1"/>
  <c r="Q476" i="4"/>
  <c r="R443" i="4"/>
  <c r="R470" i="4"/>
  <c r="AD210" i="17"/>
  <c r="AD86" i="17"/>
  <c r="H32" i="5"/>
  <c r="C1204" i="16" s="1"/>
  <c r="C1218" i="16" s="1"/>
  <c r="I217" i="4"/>
  <c r="C1047" i="16" s="1"/>
  <c r="C1042" i="16"/>
  <c r="J2265" i="16"/>
  <c r="H82" i="22"/>
  <c r="J2279" i="16"/>
  <c r="J2280" i="16"/>
  <c r="J2267" i="16" s="1"/>
  <c r="O19" i="5"/>
  <c r="AD188" i="17"/>
  <c r="AD79" i="17"/>
  <c r="E150" i="28"/>
  <c r="C3556" i="16"/>
  <c r="K3556" i="16" s="1"/>
  <c r="I39" i="25"/>
  <c r="I40" i="25" s="1"/>
  <c r="I49" i="24"/>
  <c r="I50" i="24" s="1"/>
  <c r="E3280" i="16"/>
  <c r="AB47" i="17"/>
  <c r="AA64" i="17"/>
  <c r="M135" i="4"/>
  <c r="O29" i="22"/>
  <c r="P2275" i="16"/>
  <c r="F2840" i="16"/>
  <c r="N6" i="22"/>
  <c r="M70" i="22"/>
  <c r="M92" i="22" s="1"/>
  <c r="E2856" i="16"/>
  <c r="E2848" i="16"/>
  <c r="E2795" i="16"/>
  <c r="H2795" i="16" s="1"/>
  <c r="C2807" i="16" s="1"/>
  <c r="M148" i="4"/>
  <c r="D3287" i="16"/>
  <c r="M103" i="4"/>
  <c r="D3294" i="16"/>
  <c r="Z5" i="10"/>
  <c r="Z39" i="10" s="1"/>
  <c r="F3247" i="16"/>
  <c r="G3243" i="16" s="1"/>
  <c r="G3245" i="16" s="1"/>
  <c r="G3249" i="16" s="1"/>
  <c r="J2372" i="16"/>
  <c r="J2374" i="16"/>
  <c r="F3249" i="16"/>
  <c r="F3251" i="16" s="1"/>
  <c r="F3246" i="16"/>
  <c r="G63" i="22"/>
  <c r="H297" i="23"/>
  <c r="BE354" i="12"/>
  <c r="I35" i="25"/>
  <c r="BE356" i="12"/>
  <c r="I30" i="25"/>
  <c r="Q471" i="4"/>
  <c r="I2425" i="16"/>
  <c r="G3082" i="16"/>
  <c r="G3087" i="16" s="1"/>
  <c r="G3136" i="16" s="1"/>
  <c r="Z271" i="9"/>
  <c r="J2345" i="16"/>
  <c r="G2321" i="16"/>
  <c r="G2322" i="16" s="1"/>
  <c r="G2301" i="16"/>
  <c r="AQ20" i="20"/>
  <c r="CF20" i="20" s="1"/>
  <c r="AB18" i="20"/>
  <c r="D2134" i="16"/>
  <c r="P34" i="4"/>
  <c r="O53" i="5" s="1"/>
  <c r="Q482" i="4"/>
  <c r="X133" i="11"/>
  <c r="X134" i="11" s="1"/>
  <c r="F2133" i="16"/>
  <c r="Q479" i="4"/>
  <c r="Q480" i="4" s="1"/>
  <c r="P5" i="5"/>
  <c r="Q478" i="4"/>
  <c r="O8" i="5"/>
  <c r="AD5" i="17"/>
  <c r="P480" i="4"/>
  <c r="X135" i="10"/>
  <c r="X135" i="11" s="1"/>
  <c r="Z8" i="9"/>
  <c r="AE219" i="17" s="1"/>
  <c r="AD218" i="14"/>
  <c r="Z32" i="9"/>
  <c r="AC219" i="14"/>
  <c r="Y33" i="9"/>
  <c r="N64" i="5"/>
  <c r="N47" i="5"/>
  <c r="G46" i="25"/>
  <c r="G47" i="25" s="1"/>
  <c r="H52" i="24"/>
  <c r="H114" i="24" s="1"/>
  <c r="K38" i="24"/>
  <c r="J36" i="24"/>
  <c r="J37" i="24" s="1"/>
  <c r="Y45" i="17"/>
  <c r="G53" i="24"/>
  <c r="J2478" i="16" s="1"/>
  <c r="K117" i="4"/>
  <c r="C2855" i="16" s="1"/>
  <c r="K43" i="24"/>
  <c r="J41" i="24"/>
  <c r="J42" i="24" s="1"/>
  <c r="L33" i="24"/>
  <c r="K31" i="24"/>
  <c r="J32" i="24"/>
  <c r="O85" i="24"/>
  <c r="K48" i="4"/>
  <c r="C2838" i="16" s="1"/>
  <c r="G43" i="25"/>
  <c r="J2479" i="16" s="1"/>
  <c r="K118" i="4"/>
  <c r="I25" i="25"/>
  <c r="K31" i="25"/>
  <c r="J29" i="25"/>
  <c r="J30" i="25" s="1"/>
  <c r="J24" i="25"/>
  <c r="K26" i="25"/>
  <c r="K36" i="25"/>
  <c r="J34" i="25"/>
  <c r="J35" i="25" s="1"/>
  <c r="F402" i="4"/>
  <c r="F409" i="4" s="1"/>
  <c r="F410" i="4" s="1"/>
  <c r="F226" i="4" s="1"/>
  <c r="F239" i="4" s="1"/>
  <c r="F241" i="4" s="1"/>
  <c r="F961" i="20"/>
  <c r="Y214" i="11"/>
  <c r="AC104" i="14" s="1"/>
  <c r="Z223" i="9"/>
  <c r="Z226" i="9" s="1"/>
  <c r="F950" i="20"/>
  <c r="V160" i="9"/>
  <c r="U155" i="11"/>
  <c r="D599" i="16"/>
  <c r="D615" i="16" s="1"/>
  <c r="D613" i="16"/>
  <c r="J152" i="12"/>
  <c r="W10" i="14"/>
  <c r="H352" i="4"/>
  <c r="G159" i="4"/>
  <c r="G352" i="4"/>
  <c r="Z209" i="11"/>
  <c r="N328" i="3"/>
  <c r="V138" i="11"/>
  <c r="V134" i="11"/>
  <c r="B745" i="12"/>
  <c r="B811" i="12"/>
  <c r="R162" i="9"/>
  <c r="R163" i="9" s="1"/>
  <c r="R164" i="9" s="1"/>
  <c r="R198" i="9" s="1"/>
  <c r="R188" i="11" s="1"/>
  <c r="V28" i="14" s="1"/>
  <c r="D812" i="16"/>
  <c r="Y27" i="11"/>
  <c r="AC79" i="14"/>
  <c r="AC188" i="14"/>
  <c r="K331" i="3"/>
  <c r="K332" i="3" s="1"/>
  <c r="K329" i="3"/>
  <c r="AD72" i="14"/>
  <c r="AD199" i="14"/>
  <c r="AD74" i="17"/>
  <c r="Z69" i="11"/>
  <c r="W138" i="10"/>
  <c r="W133" i="11"/>
  <c r="Y58" i="11"/>
  <c r="Y48" i="11"/>
  <c r="Y35" i="11"/>
  <c r="AC86" i="14"/>
  <c r="AC210" i="14"/>
  <c r="H32" i="16"/>
  <c r="C821" i="12"/>
  <c r="B823" i="12"/>
  <c r="G359" i="4"/>
  <c r="H359" i="4"/>
  <c r="G170" i="4"/>
  <c r="G33" i="16"/>
  <c r="O21" i="3"/>
  <c r="O41" i="3"/>
  <c r="O328" i="3" s="1"/>
  <c r="O44" i="3"/>
  <c r="O327" i="3"/>
  <c r="Q145" i="3"/>
  <c r="Q122" i="3"/>
  <c r="Q142" i="3"/>
  <c r="H191" i="4"/>
  <c r="H194" i="4" s="1"/>
  <c r="E359" i="3"/>
  <c r="F359" i="3" s="1"/>
  <c r="C359" i="3"/>
  <c r="D12" i="16"/>
  <c r="D20" i="16"/>
  <c r="C818" i="16"/>
  <c r="I53" i="4"/>
  <c r="H53" i="4"/>
  <c r="H3" i="4"/>
  <c r="K582" i="1"/>
  <c r="V20" i="17"/>
  <c r="H136" i="4"/>
  <c r="C1121" i="16" s="1"/>
  <c r="H91" i="4"/>
  <c r="AD241" i="14"/>
  <c r="Z4" i="11"/>
  <c r="H26" i="16"/>
  <c r="H27" i="16" s="1"/>
  <c r="H356" i="4"/>
  <c r="G356" i="4"/>
  <c r="G171" i="4"/>
  <c r="C612" i="16"/>
  <c r="C598" i="16"/>
  <c r="G29" i="16"/>
  <c r="G30" i="16" s="1"/>
  <c r="F3" i="16"/>
  <c r="F496" i="4"/>
  <c r="Z196" i="9"/>
  <c r="Z186" i="11" s="1"/>
  <c r="AD11" i="14" s="1"/>
  <c r="Y186" i="11"/>
  <c r="AC11" i="14" s="1"/>
  <c r="AD263" i="14"/>
  <c r="Z13" i="11"/>
  <c r="K39" i="21"/>
  <c r="Z48" i="10"/>
  <c r="O212" i="3"/>
  <c r="O218" i="3" s="1"/>
  <c r="I57" i="16"/>
  <c r="J57" i="16" s="1"/>
  <c r="G349" i="4"/>
  <c r="G158" i="4"/>
  <c r="H349" i="4"/>
  <c r="G157" i="4"/>
  <c r="H346" i="4"/>
  <c r="G346" i="4"/>
  <c r="K5" i="21"/>
  <c r="Z51" i="9"/>
  <c r="AD216" i="14"/>
  <c r="Z44" i="9"/>
  <c r="Z50" i="9"/>
  <c r="J42" i="16"/>
  <c r="G1571" i="16"/>
  <c r="M123" i="12"/>
  <c r="L139" i="12"/>
  <c r="R275" i="3"/>
  <c r="J34" i="21"/>
  <c r="Y39" i="10"/>
  <c r="AC242" i="14"/>
  <c r="Y41" i="10"/>
  <c r="Y5" i="11"/>
  <c r="AD189" i="17" s="1"/>
  <c r="T88" i="10"/>
  <c r="X251" i="14"/>
  <c r="E45" i="21"/>
  <c r="E47" i="21" s="1"/>
  <c r="T87" i="10"/>
  <c r="T78" i="10"/>
  <c r="T89" i="10"/>
  <c r="T81" i="10"/>
  <c r="T82" i="10" s="1"/>
  <c r="T53" i="10"/>
  <c r="Y250" i="17" s="1"/>
  <c r="Y253" i="17" s="1"/>
  <c r="N8" i="22"/>
  <c r="M11" i="22"/>
  <c r="M14" i="22" s="1"/>
  <c r="I266" i="4"/>
  <c r="H265" i="4"/>
  <c r="R105" i="10"/>
  <c r="R95" i="10"/>
  <c r="R89" i="11"/>
  <c r="R96" i="11" s="1"/>
  <c r="P40" i="22"/>
  <c r="I488" i="4"/>
  <c r="I495" i="4"/>
  <c r="I35" i="4" s="1"/>
  <c r="AC103" i="14"/>
  <c r="E578" i="12"/>
  <c r="S54" i="10"/>
  <c r="W250" i="14"/>
  <c r="W253" i="14" s="1"/>
  <c r="S57" i="10"/>
  <c r="S59" i="10"/>
  <c r="S72" i="10"/>
  <c r="S73" i="10"/>
  <c r="S74" i="10"/>
  <c r="S102" i="10"/>
  <c r="S92" i="10"/>
  <c r="S90" i="10"/>
  <c r="S104" i="10"/>
  <c r="S94" i="10"/>
  <c r="Z73" i="14"/>
  <c r="Z75" i="17"/>
  <c r="V70" i="11"/>
  <c r="D759" i="16"/>
  <c r="Q275" i="3"/>
  <c r="Q279" i="3"/>
  <c r="Z270" i="9"/>
  <c r="V83" i="10"/>
  <c r="U77" i="10"/>
  <c r="Z251" i="17" s="1"/>
  <c r="H61" i="22"/>
  <c r="X37" i="11"/>
  <c r="AB189" i="14"/>
  <c r="X39" i="11"/>
  <c r="Q69" i="3"/>
  <c r="Q89" i="3"/>
  <c r="Q92" i="3"/>
  <c r="Y197" i="10"/>
  <c r="Z188" i="10"/>
  <c r="Y184" i="11"/>
  <c r="R68" i="3"/>
  <c r="R56" i="3"/>
  <c r="O263" i="4"/>
  <c r="H16" i="4"/>
  <c r="R318" i="3"/>
  <c r="J245" i="4"/>
  <c r="AD101" i="14"/>
  <c r="I252" i="4"/>
  <c r="J253" i="4"/>
  <c r="J252" i="4" s="1"/>
  <c r="P315" i="3"/>
  <c r="O316" i="3"/>
  <c r="O319" i="3"/>
  <c r="O321" i="3" s="1"/>
  <c r="O341" i="3" s="1"/>
  <c r="R93" i="11"/>
  <c r="O22" i="22"/>
  <c r="Z151" i="10"/>
  <c r="Z153" i="10" s="1"/>
  <c r="Z259" i="10"/>
  <c r="Z263" i="10" s="1"/>
  <c r="J39" i="16"/>
  <c r="I40" i="16"/>
  <c r="R101" i="11"/>
  <c r="R91" i="11"/>
  <c r="I30" i="4"/>
  <c r="H45" i="5"/>
  <c r="M18" i="22"/>
  <c r="L17" i="22"/>
  <c r="I51" i="22"/>
  <c r="I57" i="22"/>
  <c r="H1563" i="16"/>
  <c r="I38" i="22"/>
  <c r="H1564" i="16" s="1"/>
  <c r="I48" i="22"/>
  <c r="I33" i="4"/>
  <c r="I487" i="4"/>
  <c r="I486" i="4"/>
  <c r="R156" i="10"/>
  <c r="S267" i="3"/>
  <c r="S56" i="3"/>
  <c r="S68" i="3"/>
  <c r="J1560" i="16"/>
  <c r="J1561" i="16" s="1"/>
  <c r="Y170" i="10"/>
  <c r="Y189" i="10"/>
  <c r="S288" i="3"/>
  <c r="S274" i="3" s="1"/>
  <c r="S275" i="3" s="1"/>
  <c r="X66" i="10"/>
  <c r="W62" i="11"/>
  <c r="Y176" i="9"/>
  <c r="Y157" i="9"/>
  <c r="Y152" i="11" s="1"/>
  <c r="AC109" i="14" s="1"/>
  <c r="Y224" i="11"/>
  <c r="H4" i="16"/>
  <c r="I4" i="16" s="1"/>
  <c r="Y142" i="9"/>
  <c r="P300" i="3"/>
  <c r="P303" i="3"/>
  <c r="P280" i="3"/>
  <c r="C1024" i="16"/>
  <c r="I194" i="4"/>
  <c r="C1026" i="16" s="1"/>
  <c r="R92" i="11"/>
  <c r="R102" i="11"/>
  <c r="X193" i="11"/>
  <c r="AB22" i="14"/>
  <c r="P95" i="3"/>
  <c r="P97" i="3" s="1"/>
  <c r="S103" i="10"/>
  <c r="S93" i="10"/>
  <c r="G8" i="16"/>
  <c r="S312" i="3"/>
  <c r="R313" i="3"/>
  <c r="Q121" i="12"/>
  <c r="R121" i="12" s="1"/>
  <c r="O122" i="12"/>
  <c r="F5" i="32" l="1"/>
  <c r="F6" i="32" s="1"/>
  <c r="G35" i="6"/>
  <c r="S315" i="4"/>
  <c r="S308" i="4" s="1"/>
  <c r="Z43" i="11"/>
  <c r="T527" i="4"/>
  <c r="AH104" i="17" s="1"/>
  <c r="AH101" i="17"/>
  <c r="U14" i="5"/>
  <c r="AI15" i="17"/>
  <c r="AI13" i="17"/>
  <c r="AG103" i="17"/>
  <c r="L54" i="6"/>
  <c r="K55" i="6"/>
  <c r="S114" i="3"/>
  <c r="AC85" i="17"/>
  <c r="X38" i="11"/>
  <c r="Z32" i="11"/>
  <c r="AD81" i="14"/>
  <c r="AD191" i="14"/>
  <c r="AB193" i="14"/>
  <c r="AC193" i="17"/>
  <c r="X30" i="11"/>
  <c r="AD192" i="17"/>
  <c r="R145" i="3"/>
  <c r="R148" i="3" s="1"/>
  <c r="R150" i="3" s="1"/>
  <c r="R338" i="3" s="1"/>
  <c r="R122" i="3"/>
  <c r="Z142" i="9"/>
  <c r="Z7" i="11"/>
  <c r="Z29" i="11" s="1"/>
  <c r="Z29" i="10"/>
  <c r="AC84" i="14"/>
  <c r="AD84" i="17"/>
  <c r="Y29" i="11"/>
  <c r="AD245" i="14"/>
  <c r="AE245" i="17"/>
  <c r="Z40" i="10"/>
  <c r="N329" i="3"/>
  <c r="Z33" i="11"/>
  <c r="Z44" i="11"/>
  <c r="AD195" i="14"/>
  <c r="AE195" i="17"/>
  <c r="AD83" i="14"/>
  <c r="Z42" i="10"/>
  <c r="Z46" i="10"/>
  <c r="AD243" i="14"/>
  <c r="Z6" i="11"/>
  <c r="Z47" i="11" s="1"/>
  <c r="Z47" i="10"/>
  <c r="K35" i="21"/>
  <c r="N364" i="22"/>
  <c r="Y28" i="11"/>
  <c r="Z21" i="10"/>
  <c r="AD249" i="14"/>
  <c r="AC190" i="14"/>
  <c r="Y40" i="11"/>
  <c r="Y47" i="11"/>
  <c r="Z22" i="10"/>
  <c r="Z23" i="10" s="1"/>
  <c r="P20" i="3"/>
  <c r="P327" i="3" s="1"/>
  <c r="Y46" i="11"/>
  <c r="E1838" i="16"/>
  <c r="E1839" i="16" s="1"/>
  <c r="C1839" i="16" s="1"/>
  <c r="C1844" i="16" s="1"/>
  <c r="E1844" i="16" s="1"/>
  <c r="E1845" i="16" s="1"/>
  <c r="E1846" i="16" s="1"/>
  <c r="C352" i="22"/>
  <c r="N294" i="22"/>
  <c r="O295" i="22"/>
  <c r="O296" i="22"/>
  <c r="O289" i="22"/>
  <c r="O288" i="22"/>
  <c r="O291" i="22"/>
  <c r="O293" i="22"/>
  <c r="N297" i="22"/>
  <c r="U78" i="4"/>
  <c r="O253" i="22"/>
  <c r="J51" i="22"/>
  <c r="I1569" i="16" s="1"/>
  <c r="J57" i="22"/>
  <c r="J115" i="22"/>
  <c r="J48" i="22"/>
  <c r="J43" i="22" s="1"/>
  <c r="J58" i="22" s="1"/>
  <c r="J38" i="22"/>
  <c r="I1564" i="16" s="1"/>
  <c r="L19" i="22"/>
  <c r="L128" i="22"/>
  <c r="K37" i="22"/>
  <c r="J2135" i="16" s="1"/>
  <c r="K129" i="22"/>
  <c r="K115" i="22" s="1"/>
  <c r="I1563" i="16"/>
  <c r="L21" i="22"/>
  <c r="L25" i="22" s="1"/>
  <c r="H93" i="22"/>
  <c r="K2278" i="16"/>
  <c r="K2265" i="16" s="1"/>
  <c r="Y135" i="10"/>
  <c r="Y135" i="11" s="1"/>
  <c r="Y132" i="11"/>
  <c r="Y133" i="11"/>
  <c r="Z274" i="9"/>
  <c r="Z176" i="9" s="1"/>
  <c r="O219" i="3"/>
  <c r="N220" i="3"/>
  <c r="Z132" i="10"/>
  <c r="Z133" i="10" s="1"/>
  <c r="AD242" i="14"/>
  <c r="Z30" i="10"/>
  <c r="R279" i="3"/>
  <c r="R303" i="3" s="1"/>
  <c r="AD85" i="17"/>
  <c r="Y38" i="11"/>
  <c r="AD246" i="14"/>
  <c r="K34" i="21"/>
  <c r="AC193" i="14"/>
  <c r="S272" i="3"/>
  <c r="R231" i="4"/>
  <c r="AE8" i="14"/>
  <c r="AC85" i="14"/>
  <c r="K46" i="21"/>
  <c r="P171" i="3"/>
  <c r="P173" i="3" s="1"/>
  <c r="P339" i="3" s="1"/>
  <c r="R162" i="3"/>
  <c r="S160" i="3"/>
  <c r="S162" i="3" s="1"/>
  <c r="Z41" i="10"/>
  <c r="AE242" i="17"/>
  <c r="R234" i="3"/>
  <c r="R238" i="3"/>
  <c r="R243" i="3"/>
  <c r="R245" i="3" s="1"/>
  <c r="Y30" i="11"/>
  <c r="Z68" i="10"/>
  <c r="S236" i="3"/>
  <c r="S240" i="3"/>
  <c r="Q168" i="3"/>
  <c r="Q163" i="3"/>
  <c r="Q165" i="3"/>
  <c r="AD264" i="14"/>
  <c r="Y155" i="9"/>
  <c r="X149" i="11"/>
  <c r="Z5" i="11"/>
  <c r="AE189" i="17" s="1"/>
  <c r="Z60" i="11"/>
  <c r="AE211" i="17" s="1"/>
  <c r="AE6" i="14"/>
  <c r="T600" i="4"/>
  <c r="T624" i="4" s="1"/>
  <c r="T364" i="4"/>
  <c r="S176" i="4"/>
  <c r="T444" i="4"/>
  <c r="S435" i="4"/>
  <c r="S175" i="4"/>
  <c r="S165" i="4"/>
  <c r="T417" i="4"/>
  <c r="S365" i="4"/>
  <c r="U502" i="4"/>
  <c r="T315" i="4"/>
  <c r="U499" i="4"/>
  <c r="U597" i="4" s="1"/>
  <c r="S274" i="4"/>
  <c r="S164" i="4" s="1"/>
  <c r="T272" i="4"/>
  <c r="T597" i="4"/>
  <c r="S443" i="4"/>
  <c r="S470" i="4"/>
  <c r="J2266" i="16"/>
  <c r="H72" i="22" s="1"/>
  <c r="J2268" i="16"/>
  <c r="H74" i="22" s="1"/>
  <c r="R476" i="4"/>
  <c r="Q5" i="5"/>
  <c r="G5" i="32" s="1"/>
  <c r="G6" i="32" s="1"/>
  <c r="R479" i="4"/>
  <c r="R478" i="4"/>
  <c r="Q34" i="4"/>
  <c r="P53" i="5" s="1"/>
  <c r="R482" i="4"/>
  <c r="Q473" i="4"/>
  <c r="R471" i="4"/>
  <c r="AF140" i="17"/>
  <c r="R175" i="4"/>
  <c r="R308" i="4"/>
  <c r="R97" i="11"/>
  <c r="AE210" i="17"/>
  <c r="H33" i="5"/>
  <c r="I220" i="4"/>
  <c r="C1050" i="16" s="1"/>
  <c r="H2317" i="16"/>
  <c r="J39" i="25"/>
  <c r="J49" i="24"/>
  <c r="J50" i="24" s="1"/>
  <c r="O72" i="28"/>
  <c r="O49" i="28"/>
  <c r="C4142" i="16" s="1"/>
  <c r="H83" i="22"/>
  <c r="J2281" i="16"/>
  <c r="H71" i="22"/>
  <c r="I43" i="22"/>
  <c r="I44" i="22" s="1"/>
  <c r="C3888" i="16"/>
  <c r="F4104" i="8"/>
  <c r="F4106" i="8"/>
  <c r="J4092" i="8" s="1"/>
  <c r="H116" i="24"/>
  <c r="H128" i="24"/>
  <c r="H57" i="24"/>
  <c r="AE5" i="17"/>
  <c r="P19" i="5"/>
  <c r="AD6" i="17"/>
  <c r="AE188" i="17"/>
  <c r="H3082" i="16"/>
  <c r="H3087" i="16" s="1"/>
  <c r="H3136" i="16" s="1"/>
  <c r="I57" i="24"/>
  <c r="E2864" i="16"/>
  <c r="P29" i="22"/>
  <c r="Q2275" i="16"/>
  <c r="O6" i="22"/>
  <c r="N70" i="22"/>
  <c r="N92" i="22" s="1"/>
  <c r="J2795" i="16"/>
  <c r="D2909" i="16"/>
  <c r="D2910" i="16" s="1"/>
  <c r="H65" i="24"/>
  <c r="H62" i="24"/>
  <c r="H55" i="24"/>
  <c r="D2908" i="16" s="1"/>
  <c r="H53" i="24"/>
  <c r="K2478" i="16" s="1"/>
  <c r="D3301" i="16"/>
  <c r="Y169" i="11"/>
  <c r="AC30" i="14" s="1"/>
  <c r="G3247" i="16"/>
  <c r="G3246" i="16"/>
  <c r="E2909" i="16"/>
  <c r="G3251" i="16"/>
  <c r="H63" i="22"/>
  <c r="I297" i="23"/>
  <c r="BE355" i="12"/>
  <c r="K2345" i="16"/>
  <c r="J2425" i="16"/>
  <c r="I55" i="24"/>
  <c r="E2908" i="16" s="1"/>
  <c r="D2838" i="16"/>
  <c r="Y63" i="17"/>
  <c r="C2854" i="16"/>
  <c r="P8" i="5"/>
  <c r="P64" i="5" s="1"/>
  <c r="H92" i="24"/>
  <c r="L117" i="4" s="1"/>
  <c r="C169" i="28" s="1"/>
  <c r="K55" i="4"/>
  <c r="K59" i="4" s="1"/>
  <c r="K60" i="4" s="1"/>
  <c r="X138" i="11"/>
  <c r="E2134" i="16"/>
  <c r="Z33" i="9"/>
  <c r="AD219" i="14"/>
  <c r="P66" i="5"/>
  <c r="O47" i="5"/>
  <c r="O64" i="5"/>
  <c r="Z8" i="11"/>
  <c r="AD85" i="14" s="1"/>
  <c r="AD103" i="14"/>
  <c r="G2133" i="16"/>
  <c r="K71" i="4"/>
  <c r="C2846" i="16" s="1"/>
  <c r="H46" i="25"/>
  <c r="H47" i="25" s="1"/>
  <c r="CD120" i="20"/>
  <c r="H89" i="24"/>
  <c r="L47" i="4" s="1"/>
  <c r="C149" i="28" s="1"/>
  <c r="K32" i="24"/>
  <c r="L43" i="24"/>
  <c r="K41" i="24"/>
  <c r="K42" i="24" s="1"/>
  <c r="I53" i="24"/>
  <c r="L2478" i="16" s="1"/>
  <c r="I89" i="24"/>
  <c r="M47" i="4" s="1"/>
  <c r="Y62" i="17"/>
  <c r="K133" i="4"/>
  <c r="L31" i="24"/>
  <c r="M33" i="24"/>
  <c r="L38" i="24"/>
  <c r="K36" i="24"/>
  <c r="Z211" i="11"/>
  <c r="Z214" i="11" s="1"/>
  <c r="AD104" i="14" s="1"/>
  <c r="P85" i="24"/>
  <c r="K57" i="4"/>
  <c r="Y46" i="17"/>
  <c r="R98" i="11"/>
  <c r="K52" i="4"/>
  <c r="K134" i="4"/>
  <c r="F404" i="4"/>
  <c r="G55" i="25"/>
  <c r="K24" i="25"/>
  <c r="L26" i="25"/>
  <c r="J25" i="25"/>
  <c r="K34" i="25"/>
  <c r="K35" i="25" s="1"/>
  <c r="L36" i="25"/>
  <c r="K29" i="25"/>
  <c r="K30" i="25" s="1"/>
  <c r="L31" i="25"/>
  <c r="H43" i="25"/>
  <c r="L118" i="4"/>
  <c r="S142" i="3"/>
  <c r="S122" i="3"/>
  <c r="R199" i="9"/>
  <c r="R202" i="9" s="1"/>
  <c r="R205" i="9" s="1"/>
  <c r="W234" i="17" s="1"/>
  <c r="R165" i="9"/>
  <c r="R157" i="11"/>
  <c r="R158" i="11" s="1"/>
  <c r="N331" i="3"/>
  <c r="N332" i="3" s="1"/>
  <c r="S145" i="3"/>
  <c r="C1631" i="16"/>
  <c r="G160" i="4"/>
  <c r="H33" i="16"/>
  <c r="R18" i="3"/>
  <c r="Q20" i="3"/>
  <c r="Q327" i="3" s="1"/>
  <c r="J49" i="5"/>
  <c r="J50" i="5" s="1"/>
  <c r="Y10" i="17"/>
  <c r="Z58" i="11"/>
  <c r="Z35" i="11"/>
  <c r="AD86" i="14"/>
  <c r="AD210" i="14"/>
  <c r="Z48" i="11"/>
  <c r="X10" i="17"/>
  <c r="I49" i="5"/>
  <c r="I50" i="5" s="1"/>
  <c r="L49" i="5"/>
  <c r="L50" i="5" s="1"/>
  <c r="AA10" i="17"/>
  <c r="C840" i="16"/>
  <c r="C823" i="16"/>
  <c r="C820" i="16"/>
  <c r="O47" i="3"/>
  <c r="O49" i="3" s="1"/>
  <c r="O336" i="3" s="1"/>
  <c r="W134" i="11"/>
  <c r="W138" i="11"/>
  <c r="AC10" i="17"/>
  <c r="N49" i="5"/>
  <c r="N50" i="5" s="1"/>
  <c r="V49" i="17"/>
  <c r="D593" i="16"/>
  <c r="O220" i="3"/>
  <c r="W10" i="17"/>
  <c r="H49" i="5"/>
  <c r="H50" i="5" s="1"/>
  <c r="H63" i="5" s="1"/>
  <c r="V10" i="17"/>
  <c r="AD10" i="17"/>
  <c r="O49" i="5"/>
  <c r="K597" i="1"/>
  <c r="K580" i="1"/>
  <c r="Q582" i="1"/>
  <c r="F99" i="16"/>
  <c r="D16" i="16"/>
  <c r="D23" i="16" s="1"/>
  <c r="P403" i="1"/>
  <c r="G359" i="3"/>
  <c r="I32" i="16"/>
  <c r="Z10" i="17"/>
  <c r="K49" i="5"/>
  <c r="K50" i="5" s="1"/>
  <c r="D17" i="16"/>
  <c r="K210" i="3"/>
  <c r="Q148" i="3"/>
  <c r="Q150" i="3" s="1"/>
  <c r="Q338" i="3" s="1"/>
  <c r="H29" i="16"/>
  <c r="H30" i="16" s="1"/>
  <c r="G3" i="16"/>
  <c r="H361" i="4"/>
  <c r="H227" i="4" s="1"/>
  <c r="G361" i="4"/>
  <c r="G227" i="4" s="1"/>
  <c r="M49" i="5"/>
  <c r="M50" i="5" s="1"/>
  <c r="AB10" i="17"/>
  <c r="U10" i="17"/>
  <c r="AD79" i="14"/>
  <c r="AD188" i="14"/>
  <c r="Z27" i="11"/>
  <c r="H348" i="4"/>
  <c r="H4" i="4"/>
  <c r="H311" i="4"/>
  <c r="H345" i="4"/>
  <c r="H355" i="4"/>
  <c r="I4" i="4"/>
  <c r="I26" i="16"/>
  <c r="G173" i="4"/>
  <c r="C823" i="12"/>
  <c r="C826" i="12" s="1"/>
  <c r="D821" i="12"/>
  <c r="W160" i="9"/>
  <c r="V155" i="11"/>
  <c r="Q165" i="9"/>
  <c r="N123" i="12"/>
  <c r="M139" i="12"/>
  <c r="M147" i="12" s="1"/>
  <c r="P306" i="3"/>
  <c r="P308" i="3" s="1"/>
  <c r="P337" i="3" s="1"/>
  <c r="S279" i="3"/>
  <c r="P22" i="22"/>
  <c r="H8" i="16"/>
  <c r="I8" i="16" s="1"/>
  <c r="X22" i="17"/>
  <c r="J191" i="4"/>
  <c r="D1024" i="16" s="1"/>
  <c r="S318" i="3"/>
  <c r="P263" i="4"/>
  <c r="Q263" i="4" s="1"/>
  <c r="R263" i="4" s="1"/>
  <c r="S263" i="4" s="1"/>
  <c r="Z197" i="10"/>
  <c r="Z184" i="11"/>
  <c r="S109" i="10"/>
  <c r="W19" i="20"/>
  <c r="S58" i="10"/>
  <c r="I265" i="4"/>
  <c r="J266" i="4"/>
  <c r="J265" i="4" s="1"/>
  <c r="T93" i="10"/>
  <c r="T103" i="10"/>
  <c r="AA75" i="17"/>
  <c r="AA73" i="14"/>
  <c r="W70" i="11"/>
  <c r="N18" i="22"/>
  <c r="M17" i="22"/>
  <c r="Z189" i="10"/>
  <c r="Z170" i="10"/>
  <c r="E7" i="6"/>
  <c r="G23" i="6" s="1"/>
  <c r="Q95" i="3"/>
  <c r="Q97" i="3" s="1"/>
  <c r="U87" i="10"/>
  <c r="F45" i="21"/>
  <c r="F47" i="21" s="1"/>
  <c r="U88" i="10"/>
  <c r="U89" i="10"/>
  <c r="U78" i="10"/>
  <c r="Y251" i="14"/>
  <c r="U81" i="10"/>
  <c r="U82" i="10" s="1"/>
  <c r="U53" i="10"/>
  <c r="Z250" i="17" s="1"/>
  <c r="Z253" i="17" s="1"/>
  <c r="Q300" i="3"/>
  <c r="Q303" i="3"/>
  <c r="Q280" i="3"/>
  <c r="R94" i="11"/>
  <c r="R99" i="11"/>
  <c r="X250" i="14"/>
  <c r="X253" i="14" s="1"/>
  <c r="T54" i="10"/>
  <c r="F578" i="12"/>
  <c r="T59" i="10"/>
  <c r="T73" i="10"/>
  <c r="T57" i="10"/>
  <c r="T72" i="10"/>
  <c r="T74" i="10"/>
  <c r="T90" i="10"/>
  <c r="T102" i="10"/>
  <c r="T92" i="10"/>
  <c r="S92" i="3"/>
  <c r="S69" i="3"/>
  <c r="S89" i="3"/>
  <c r="W17" i="17"/>
  <c r="H52" i="5"/>
  <c r="P316" i="3"/>
  <c r="P319" i="3"/>
  <c r="P321" i="3" s="1"/>
  <c r="P341" i="3" s="1"/>
  <c r="Q315" i="3"/>
  <c r="R89" i="3"/>
  <c r="R69" i="3"/>
  <c r="R92" i="3"/>
  <c r="V77" i="10"/>
  <c r="AA251" i="17" s="1"/>
  <c r="W83" i="10"/>
  <c r="AB135" i="14"/>
  <c r="AB30" i="14"/>
  <c r="S95" i="10"/>
  <c r="S105" i="10"/>
  <c r="O8" i="22"/>
  <c r="N11" i="22"/>
  <c r="N14" i="22" s="1"/>
  <c r="Y37" i="11"/>
  <c r="AC189" i="14"/>
  <c r="Y39" i="11"/>
  <c r="Y66" i="10"/>
  <c r="X62" i="11"/>
  <c r="R157" i="10"/>
  <c r="H1566" i="16"/>
  <c r="I59" i="22"/>
  <c r="K2280" i="16" s="1"/>
  <c r="K2267" i="16" s="1"/>
  <c r="I54" i="22"/>
  <c r="H1569" i="16"/>
  <c r="I60" i="22"/>
  <c r="K2282" i="16" s="1"/>
  <c r="K2269" i="16" s="1"/>
  <c r="I32" i="4"/>
  <c r="W16" i="17" s="1"/>
  <c r="I433" i="4"/>
  <c r="Q188" i="11"/>
  <c r="U28" i="14" s="1"/>
  <c r="Q199" i="9"/>
  <c r="O331" i="3"/>
  <c r="O332" i="3" s="1"/>
  <c r="O329" i="3"/>
  <c r="Y193" i="11"/>
  <c r="AC22" i="14"/>
  <c r="S79" i="10"/>
  <c r="T104" i="10"/>
  <c r="T94" i="10"/>
  <c r="S313" i="3"/>
  <c r="P122" i="12"/>
  <c r="U527" i="4" l="1"/>
  <c r="AI104" i="17" s="1"/>
  <c r="AI101" i="17"/>
  <c r="AJ13" i="17"/>
  <c r="AJ15" i="17"/>
  <c r="S476" i="4"/>
  <c r="R5" i="5"/>
  <c r="H5" i="32" s="1"/>
  <c r="H6" i="32" s="1"/>
  <c r="AH103" i="17"/>
  <c r="Z28" i="11"/>
  <c r="AD84" i="14"/>
  <c r="AE192" i="17"/>
  <c r="AD192" i="14"/>
  <c r="AE190" i="17"/>
  <c r="AD190" i="14"/>
  <c r="Z40" i="11"/>
  <c r="Z46" i="11"/>
  <c r="R300" i="3"/>
  <c r="R306" i="3" s="1"/>
  <c r="R308" i="3" s="1"/>
  <c r="R337" i="3" s="1"/>
  <c r="R280" i="3"/>
  <c r="O364" i="22"/>
  <c r="P41" i="3"/>
  <c r="P328" i="3" s="1"/>
  <c r="P329" i="3" s="1"/>
  <c r="P44" i="3"/>
  <c r="P21" i="3"/>
  <c r="Z224" i="11"/>
  <c r="Z157" i="9"/>
  <c r="Z152" i="11" s="1"/>
  <c r="AD109" i="14" s="1"/>
  <c r="O294" i="22"/>
  <c r="Y134" i="11"/>
  <c r="O297" i="22"/>
  <c r="P253" i="22"/>
  <c r="P295" i="22"/>
  <c r="P296" i="22"/>
  <c r="P289" i="22"/>
  <c r="P288" i="22"/>
  <c r="P291" i="22"/>
  <c r="P293" i="22"/>
  <c r="Y138" i="11"/>
  <c r="J59" i="22"/>
  <c r="I1566" i="16"/>
  <c r="I1571" i="16" s="1"/>
  <c r="J44" i="22"/>
  <c r="J114" i="22"/>
  <c r="J123" i="22" s="1"/>
  <c r="J307" i="22" s="1"/>
  <c r="J309" i="22" s="1"/>
  <c r="K48" i="22"/>
  <c r="K43" i="22" s="1"/>
  <c r="K58" i="22" s="1"/>
  <c r="K38" i="22"/>
  <c r="J1564" i="16" s="1"/>
  <c r="K114" i="22"/>
  <c r="K123" i="22" s="1"/>
  <c r="K307" i="22" s="1"/>
  <c r="J60" i="22"/>
  <c r="K51" i="22"/>
  <c r="J1563" i="16"/>
  <c r="K57" i="22"/>
  <c r="J54" i="22"/>
  <c r="L37" i="22"/>
  <c r="L38" i="22" s="1"/>
  <c r="L129" i="22"/>
  <c r="L115" i="22" s="1"/>
  <c r="M19" i="22"/>
  <c r="M128" i="22"/>
  <c r="M21" i="22"/>
  <c r="M25" i="22" s="1"/>
  <c r="Z132" i="11"/>
  <c r="AD211" i="14"/>
  <c r="AD73" i="17"/>
  <c r="Z37" i="11"/>
  <c r="Z39" i="11"/>
  <c r="AD189" i="14"/>
  <c r="R168" i="3"/>
  <c r="R163" i="3"/>
  <c r="R165" i="3"/>
  <c r="Y149" i="11"/>
  <c r="Z155" i="9"/>
  <c r="Z149" i="11" s="1"/>
  <c r="Z68" i="11"/>
  <c r="AC135" i="14"/>
  <c r="Z59" i="11"/>
  <c r="S234" i="3"/>
  <c r="S243" i="3"/>
  <c r="S245" i="3" s="1"/>
  <c r="S238" i="3"/>
  <c r="S163" i="3"/>
  <c r="S168" i="3"/>
  <c r="S165" i="3"/>
  <c r="AD71" i="14"/>
  <c r="Q171" i="3"/>
  <c r="Q173" i="3" s="1"/>
  <c r="Q339" i="3" s="1"/>
  <c r="K37" i="24"/>
  <c r="K49" i="24"/>
  <c r="K50" i="24" s="1"/>
  <c r="R2275" i="16"/>
  <c r="V78" i="4"/>
  <c r="D1839" i="16"/>
  <c r="U600" i="4"/>
  <c r="U624" i="4" s="1"/>
  <c r="R480" i="4"/>
  <c r="T470" i="4"/>
  <c r="S5" i="5" s="1"/>
  <c r="T443" i="4"/>
  <c r="S479" i="4"/>
  <c r="S480" i="4" s="1"/>
  <c r="S478" i="4"/>
  <c r="T175" i="4"/>
  <c r="T308" i="4"/>
  <c r="S215" i="4"/>
  <c r="AG140" i="17" s="1"/>
  <c r="S231" i="4"/>
  <c r="V502" i="4"/>
  <c r="U444" i="4"/>
  <c r="T435" i="4"/>
  <c r="R473" i="4"/>
  <c r="S471" i="4"/>
  <c r="S473" i="4" s="1"/>
  <c r="U272" i="4"/>
  <c r="T274" i="4"/>
  <c r="T164" i="4" s="1"/>
  <c r="U417" i="4"/>
  <c r="T165" i="4"/>
  <c r="R34" i="4"/>
  <c r="Q53" i="5" s="1"/>
  <c r="S482" i="4"/>
  <c r="U364" i="4"/>
  <c r="T176" i="4"/>
  <c r="T263" i="4"/>
  <c r="V499" i="4"/>
  <c r="V597" i="4" s="1"/>
  <c r="T365" i="4"/>
  <c r="K39" i="25"/>
  <c r="K40" i="25" s="1"/>
  <c r="J40" i="25"/>
  <c r="AF5" i="17"/>
  <c r="Q8" i="5"/>
  <c r="Q19" i="5"/>
  <c r="AE6" i="17"/>
  <c r="Q66" i="5"/>
  <c r="AD193" i="14"/>
  <c r="AE193" i="17"/>
  <c r="B4" i="29"/>
  <c r="C5" i="29"/>
  <c r="B5" i="29"/>
  <c r="I58" i="22"/>
  <c r="H73" i="22"/>
  <c r="J2271" i="16"/>
  <c r="H75" i="22"/>
  <c r="H95" i="22"/>
  <c r="H96" i="22" s="1"/>
  <c r="H98" i="22"/>
  <c r="J69" i="24"/>
  <c r="K69" i="24" s="1"/>
  <c r="L69" i="24" s="1"/>
  <c r="J114" i="24"/>
  <c r="J116" i="24" s="1"/>
  <c r="I58" i="24"/>
  <c r="N3616" i="16"/>
  <c r="C3362" i="16"/>
  <c r="D3362" i="16" s="1"/>
  <c r="C3293" i="16"/>
  <c r="C3300" i="16" s="1"/>
  <c r="C167" i="28"/>
  <c r="D3278" i="16"/>
  <c r="D149" i="28"/>
  <c r="J57" i="24"/>
  <c r="J58" i="24" s="1"/>
  <c r="E2910" i="16"/>
  <c r="P6" i="22"/>
  <c r="O70" i="22"/>
  <c r="O92" i="22" s="1"/>
  <c r="F2909" i="16"/>
  <c r="F2910" i="16" s="1"/>
  <c r="L3377" i="16"/>
  <c r="L50" i="4"/>
  <c r="C3278" i="16"/>
  <c r="F60" i="22"/>
  <c r="C3292" i="16"/>
  <c r="H58" i="24"/>
  <c r="I92" i="24"/>
  <c r="M117" i="4" s="1"/>
  <c r="AL56" i="20"/>
  <c r="BE359" i="12"/>
  <c r="BE357" i="12"/>
  <c r="M48" i="4"/>
  <c r="D147" i="28" s="1"/>
  <c r="E769" i="20"/>
  <c r="C2862" i="16"/>
  <c r="J89" i="24"/>
  <c r="J55" i="24"/>
  <c r="F2908" i="16" s="1"/>
  <c r="D2854" i="16"/>
  <c r="E780" i="20"/>
  <c r="R95" i="3"/>
  <c r="R97" i="3" s="1"/>
  <c r="P47" i="5"/>
  <c r="P50" i="5" s="1"/>
  <c r="AL18" i="20"/>
  <c r="E2839" i="16"/>
  <c r="D2839" i="16"/>
  <c r="Z62" i="17"/>
  <c r="D2855" i="16"/>
  <c r="AB22" i="20"/>
  <c r="C2842" i="16"/>
  <c r="C2841" i="16" s="1"/>
  <c r="J2477" i="16"/>
  <c r="K102" i="4"/>
  <c r="J87" i="5"/>
  <c r="J88" i="5" s="1"/>
  <c r="L133" i="4"/>
  <c r="K56" i="4"/>
  <c r="J2480" i="16" s="1"/>
  <c r="E2397" i="16"/>
  <c r="C2437" i="16"/>
  <c r="C2438" i="16" s="1"/>
  <c r="D2438" i="16" s="1"/>
  <c r="Z46" i="17"/>
  <c r="K2069" i="16"/>
  <c r="K2073" i="16" s="1"/>
  <c r="M2073" i="16" s="1"/>
  <c r="K2479" i="16"/>
  <c r="I44" i="25"/>
  <c r="L2479" i="16" s="1"/>
  <c r="AG19" i="20"/>
  <c r="AG18" i="20"/>
  <c r="E2242" i="16"/>
  <c r="E2247" i="16" s="1"/>
  <c r="AA45" i="17"/>
  <c r="Z45" i="17"/>
  <c r="F2134" i="16"/>
  <c r="Z63" i="17"/>
  <c r="E2243" i="16"/>
  <c r="E2248" i="16" s="1"/>
  <c r="O50" i="5"/>
  <c r="S95" i="3"/>
  <c r="S97" i="3" s="1"/>
  <c r="Z30" i="11"/>
  <c r="K147" i="4"/>
  <c r="H2133" i="16"/>
  <c r="R189" i="11"/>
  <c r="V32" i="14" s="1"/>
  <c r="Z38" i="11"/>
  <c r="Y53" i="17"/>
  <c r="I46" i="25"/>
  <c r="I47" i="25" s="1"/>
  <c r="H90" i="24"/>
  <c r="H93" i="24" s="1"/>
  <c r="G295" i="23" s="1"/>
  <c r="J53" i="24"/>
  <c r="M2478" i="16" s="1"/>
  <c r="J133" i="24"/>
  <c r="J135" i="24" s="1"/>
  <c r="I90" i="24"/>
  <c r="M38" i="24"/>
  <c r="L36" i="24"/>
  <c r="L37" i="24" s="1"/>
  <c r="K70" i="4"/>
  <c r="C2847" i="16" s="1"/>
  <c r="C2863" i="16" s="1"/>
  <c r="G93" i="24"/>
  <c r="F295" i="23" s="1"/>
  <c r="M43" i="24"/>
  <c r="L41" i="24"/>
  <c r="L42" i="24" s="1"/>
  <c r="N33" i="24"/>
  <c r="M31" i="24"/>
  <c r="L32" i="24"/>
  <c r="Q85" i="24"/>
  <c r="I43" i="25"/>
  <c r="Y49" i="17"/>
  <c r="H55" i="25"/>
  <c r="L34" i="25"/>
  <c r="L35" i="25" s="1"/>
  <c r="M36" i="25"/>
  <c r="M26" i="25"/>
  <c r="L24" i="25"/>
  <c r="L29" i="25"/>
  <c r="L30" i="25" s="1"/>
  <c r="M31" i="25"/>
  <c r="K25" i="25"/>
  <c r="S148" i="3"/>
  <c r="S150" i="3" s="1"/>
  <c r="S338" i="3" s="1"/>
  <c r="E357" i="3" s="1"/>
  <c r="F357" i="3" s="1"/>
  <c r="J32" i="16"/>
  <c r="I33" i="16"/>
  <c r="D612" i="16"/>
  <c r="D595" i="16"/>
  <c r="D598" i="16"/>
  <c r="Z138" i="10"/>
  <c r="Z133" i="11"/>
  <c r="K1419" i="16"/>
  <c r="C769" i="12"/>
  <c r="C827" i="12"/>
  <c r="K599" i="1"/>
  <c r="Q580" i="1"/>
  <c r="K609" i="1"/>
  <c r="Z135" i="10"/>
  <c r="Z135" i="11" s="1"/>
  <c r="X160" i="9"/>
  <c r="W155" i="11"/>
  <c r="I27" i="16"/>
  <c r="J26" i="16"/>
  <c r="H62" i="5"/>
  <c r="C973" i="16"/>
  <c r="Q44" i="3"/>
  <c r="Q41" i="3"/>
  <c r="Q328" i="3" s="1"/>
  <c r="Q21" i="3"/>
  <c r="D823" i="12"/>
  <c r="D826" i="12" s="1"/>
  <c r="E821" i="12"/>
  <c r="F821" i="12" s="1"/>
  <c r="P413" i="1"/>
  <c r="P414" i="1" s="1"/>
  <c r="P421" i="1"/>
  <c r="P448" i="1"/>
  <c r="P466" i="1" s="1"/>
  <c r="P484" i="1" s="1"/>
  <c r="P418" i="1"/>
  <c r="P408" i="1"/>
  <c r="H3" i="16"/>
  <c r="I3" i="16" s="1"/>
  <c r="I29" i="16"/>
  <c r="S18" i="3"/>
  <c r="S20" i="3" s="1"/>
  <c r="S327" i="3" s="1"/>
  <c r="R20" i="3"/>
  <c r="H1571" i="16"/>
  <c r="O123" i="12"/>
  <c r="N139" i="12"/>
  <c r="N147" i="12" s="1"/>
  <c r="U57" i="10"/>
  <c r="U59" i="10"/>
  <c r="U54" i="10"/>
  <c r="Y250" i="14"/>
  <c r="Y253" i="14" s="1"/>
  <c r="U73" i="10"/>
  <c r="U72" i="10"/>
  <c r="U74" i="10"/>
  <c r="D1257" i="16"/>
  <c r="D1259" i="16" s="1"/>
  <c r="C1464" i="16"/>
  <c r="I61" i="22"/>
  <c r="I63" i="22" s="1"/>
  <c r="T95" i="10"/>
  <c r="T105" i="10"/>
  <c r="T109" i="10"/>
  <c r="T58" i="10"/>
  <c r="T56" i="10"/>
  <c r="AB19" i="20"/>
  <c r="O18" i="22"/>
  <c r="N17" i="22"/>
  <c r="D50" i="21"/>
  <c r="D49" i="21" s="1"/>
  <c r="S110" i="10"/>
  <c r="W39" i="14"/>
  <c r="S143" i="10"/>
  <c r="S118" i="10"/>
  <c r="X257" i="17" s="1"/>
  <c r="S123" i="10"/>
  <c r="AD22" i="14"/>
  <c r="Z193" i="11"/>
  <c r="S303" i="3"/>
  <c r="S300" i="3"/>
  <c r="S280" i="3"/>
  <c r="Q202" i="9"/>
  <c r="Q205" i="9" s="1"/>
  <c r="V234" i="17" s="1"/>
  <c r="Q189" i="11"/>
  <c r="P8" i="22"/>
  <c r="P11" i="22" s="1"/>
  <c r="P14" i="22" s="1"/>
  <c r="O11" i="22"/>
  <c r="O14" i="22" s="1"/>
  <c r="U94" i="10"/>
  <c r="U104" i="10"/>
  <c r="U102" i="10"/>
  <c r="U90" i="10"/>
  <c r="U92" i="10"/>
  <c r="AB75" i="17"/>
  <c r="X70" i="11"/>
  <c r="AB73" i="14"/>
  <c r="W77" i="10"/>
  <c r="AB251" i="17" s="1"/>
  <c r="X83" i="10"/>
  <c r="V234" i="14"/>
  <c r="Z169" i="11"/>
  <c r="V78" i="10"/>
  <c r="V89" i="10"/>
  <c r="G45" i="21"/>
  <c r="G47" i="21" s="1"/>
  <c r="Z251" i="14"/>
  <c r="V88" i="10"/>
  <c r="V81" i="10"/>
  <c r="V82" i="10" s="1"/>
  <c r="V87" i="10"/>
  <c r="V53" i="10"/>
  <c r="AA250" i="17" s="1"/>
  <c r="AA253" i="17" s="1"/>
  <c r="Q316" i="3"/>
  <c r="R315" i="3"/>
  <c r="Q319" i="3"/>
  <c r="Q321" i="3" s="1"/>
  <c r="Q341" i="3" s="1"/>
  <c r="U103" i="10"/>
  <c r="U93" i="10"/>
  <c r="Z66" i="10"/>
  <c r="Y62" i="11"/>
  <c r="T79" i="10"/>
  <c r="Q306" i="3"/>
  <c r="Q308" i="3" s="1"/>
  <c r="Q337" i="3" s="1"/>
  <c r="Q122" i="12"/>
  <c r="R122" i="12" s="1"/>
  <c r="U315" i="4" l="1"/>
  <c r="R66" i="5"/>
  <c r="R8" i="5"/>
  <c r="R19" i="5"/>
  <c r="AG5" i="17"/>
  <c r="AG6" i="17" s="1"/>
  <c r="V527" i="4"/>
  <c r="AJ104" i="17" s="1"/>
  <c r="AJ101" i="17"/>
  <c r="AH5" i="17"/>
  <c r="S8" i="5"/>
  <c r="S19" i="5"/>
  <c r="AI103" i="17"/>
  <c r="AF6" i="17"/>
  <c r="P331" i="3"/>
  <c r="P332" i="3" s="1"/>
  <c r="P47" i="3"/>
  <c r="P49" i="3" s="1"/>
  <c r="P336" i="3" s="1"/>
  <c r="P364" i="22"/>
  <c r="K309" i="22"/>
  <c r="P294" i="22"/>
  <c r="P297" i="22"/>
  <c r="J61" i="22"/>
  <c r="L48" i="22"/>
  <c r="L43" i="22" s="1"/>
  <c r="L44" i="22" s="1"/>
  <c r="J208" i="22"/>
  <c r="J210" i="22" s="1"/>
  <c r="J185" i="22"/>
  <c r="K208" i="22"/>
  <c r="K210" i="22" s="1"/>
  <c r="K185" i="22"/>
  <c r="K247" i="22"/>
  <c r="J247" i="22"/>
  <c r="K44" i="22"/>
  <c r="J1566" i="16"/>
  <c r="K54" i="22"/>
  <c r="K59" i="22"/>
  <c r="L51" i="22"/>
  <c r="L60" i="22" s="1"/>
  <c r="K60" i="22"/>
  <c r="K124" i="22"/>
  <c r="K154" i="22"/>
  <c r="K320" i="22" s="1"/>
  <c r="K151" i="22"/>
  <c r="J1569" i="16"/>
  <c r="J124" i="22"/>
  <c r="J154" i="22"/>
  <c r="J320" i="22" s="1"/>
  <c r="J322" i="22" s="1"/>
  <c r="J151" i="22"/>
  <c r="J248" i="22" s="1"/>
  <c r="P72" i="4" s="1"/>
  <c r="L114" i="22"/>
  <c r="L123" i="22" s="1"/>
  <c r="L307" i="22" s="1"/>
  <c r="L309" i="22" s="1"/>
  <c r="L57" i="22"/>
  <c r="N19" i="22"/>
  <c r="N128" i="22"/>
  <c r="M37" i="22"/>
  <c r="M51" i="22" s="1"/>
  <c r="M60" i="22" s="1"/>
  <c r="M129" i="22"/>
  <c r="P70" i="22"/>
  <c r="P92" i="22" s="1"/>
  <c r="N21" i="22"/>
  <c r="N129" i="22" s="1"/>
  <c r="L49" i="24"/>
  <c r="M49" i="24" s="1"/>
  <c r="N49" i="24" s="1"/>
  <c r="O49" i="24" s="1"/>
  <c r="P49" i="24" s="1"/>
  <c r="Q49" i="24" s="1"/>
  <c r="R49" i="24" s="1"/>
  <c r="R171" i="3"/>
  <c r="R173" i="3" s="1"/>
  <c r="R339" i="3" s="1"/>
  <c r="S171" i="3"/>
  <c r="S173" i="3" s="1"/>
  <c r="S339" i="3" s="1"/>
  <c r="E358" i="3" s="1"/>
  <c r="F358" i="3" s="1"/>
  <c r="J137" i="24"/>
  <c r="J138" i="24" s="1"/>
  <c r="J148" i="24"/>
  <c r="L39" i="25"/>
  <c r="M39" i="25" s="1"/>
  <c r="N39" i="25" s="1"/>
  <c r="O39" i="25" s="1"/>
  <c r="P39" i="25" s="1"/>
  <c r="Q39" i="25" s="1"/>
  <c r="R39" i="25" s="1"/>
  <c r="V600" i="4"/>
  <c r="V624" i="4" s="1"/>
  <c r="S34" i="4"/>
  <c r="R53" i="5" s="1"/>
  <c r="T482" i="4"/>
  <c r="U470" i="4"/>
  <c r="U443" i="4"/>
  <c r="T479" i="4"/>
  <c r="T480" i="4" s="1"/>
  <c r="T478" i="4"/>
  <c r="U176" i="4"/>
  <c r="V364" i="4"/>
  <c r="V176" i="4" s="1"/>
  <c r="T231" i="4"/>
  <c r="T215" i="4"/>
  <c r="U263" i="4"/>
  <c r="U165" i="4"/>
  <c r="V417" i="4"/>
  <c r="V165" i="4" s="1"/>
  <c r="V444" i="4"/>
  <c r="V435" i="4" s="1"/>
  <c r="U435" i="4"/>
  <c r="U365" i="4"/>
  <c r="V272" i="4"/>
  <c r="V274" i="4" s="1"/>
  <c r="V164" i="4" s="1"/>
  <c r="U274" i="4"/>
  <c r="U164" i="4" s="1"/>
  <c r="U308" i="4"/>
  <c r="U175" i="4"/>
  <c r="T471" i="4"/>
  <c r="T473" i="4" s="1"/>
  <c r="T476" i="4"/>
  <c r="Q47" i="5"/>
  <c r="Q50" i="5" s="1"/>
  <c r="Q64" i="5"/>
  <c r="K114" i="24"/>
  <c r="K116" i="24" s="1"/>
  <c r="E5" i="29" s="1"/>
  <c r="D4" i="29"/>
  <c r="D5" i="29"/>
  <c r="H84" i="22"/>
  <c r="H102" i="22" s="1"/>
  <c r="J2283" i="16"/>
  <c r="H2318" i="16"/>
  <c r="H2319" i="16" s="1"/>
  <c r="H2321" i="16" s="1"/>
  <c r="H2322" i="16" s="1"/>
  <c r="J2284" i="16"/>
  <c r="H77" i="22"/>
  <c r="J2272" i="16"/>
  <c r="H78" i="22" s="1"/>
  <c r="N72" i="4"/>
  <c r="H99" i="22"/>
  <c r="I82" i="22"/>
  <c r="K2279" i="16"/>
  <c r="O49" i="4"/>
  <c r="H5037" i="8" s="1"/>
  <c r="I75" i="22"/>
  <c r="AQ375" i="12"/>
  <c r="C3555" i="16"/>
  <c r="K3555" i="16" s="1"/>
  <c r="F148" i="28"/>
  <c r="AV56" i="20"/>
  <c r="J70" i="24"/>
  <c r="J74" i="24" s="1"/>
  <c r="J75" i="24" s="1"/>
  <c r="J119" i="24"/>
  <c r="M69" i="24"/>
  <c r="J3617" i="16"/>
  <c r="C3365" i="16"/>
  <c r="D3365" i="16" s="1"/>
  <c r="D3292" i="16"/>
  <c r="D169" i="28"/>
  <c r="L55" i="4"/>
  <c r="L56" i="4" s="1"/>
  <c r="K2480" i="16" s="1"/>
  <c r="C151" i="28"/>
  <c r="C3363" i="16"/>
  <c r="C3368" i="16" s="1"/>
  <c r="E149" i="28"/>
  <c r="E148" i="28"/>
  <c r="J46" i="25"/>
  <c r="J47" i="25" s="1"/>
  <c r="AQ382" i="12"/>
  <c r="AR382" i="12" s="1"/>
  <c r="AR383" i="12" s="1"/>
  <c r="J43" i="25"/>
  <c r="J44" i="25"/>
  <c r="M2479" i="16" s="1"/>
  <c r="G2134" i="16"/>
  <c r="AQ56" i="20"/>
  <c r="AQ57" i="20" s="1"/>
  <c r="F61" i="22"/>
  <c r="F103" i="22" s="1"/>
  <c r="F102" i="22"/>
  <c r="AL57" i="20"/>
  <c r="AQ316" i="12"/>
  <c r="AA62" i="17"/>
  <c r="M133" i="4"/>
  <c r="L57" i="4"/>
  <c r="F51" i="22"/>
  <c r="E1569" i="16" s="1"/>
  <c r="E1571" i="16" s="1"/>
  <c r="L119" i="4"/>
  <c r="F2397" i="16"/>
  <c r="E2855" i="16"/>
  <c r="J92" i="24"/>
  <c r="J61" i="24"/>
  <c r="Z48" i="17"/>
  <c r="C3281" i="16"/>
  <c r="AQ18" i="20"/>
  <c r="E3278" i="16"/>
  <c r="M55" i="4"/>
  <c r="M56" i="4" s="1"/>
  <c r="D3279" i="16"/>
  <c r="J297" i="23"/>
  <c r="M118" i="4"/>
  <c r="D167" i="28" s="1"/>
  <c r="AG22" i="20"/>
  <c r="AG56" i="20" s="1"/>
  <c r="F2914" i="16"/>
  <c r="F2839" i="16"/>
  <c r="AB45" i="17"/>
  <c r="D2846" i="16"/>
  <c r="D2862" i="16" s="1"/>
  <c r="C2584" i="16"/>
  <c r="I2584" i="16" s="1"/>
  <c r="D2842" i="16"/>
  <c r="D2841" i="16" s="1"/>
  <c r="AL19" i="20"/>
  <c r="E2838" i="16"/>
  <c r="K87" i="5"/>
  <c r="L2522" i="16"/>
  <c r="M2069" i="16"/>
  <c r="E2249" i="16"/>
  <c r="E2250" i="16" s="1"/>
  <c r="K2070" i="16"/>
  <c r="M2070" i="16" s="1"/>
  <c r="R192" i="11"/>
  <c r="R195" i="11" s="1"/>
  <c r="K44" i="25"/>
  <c r="N2479" i="16" s="1"/>
  <c r="M57" i="4"/>
  <c r="F2242" i="16"/>
  <c r="F2247" i="16" s="1"/>
  <c r="J2917" i="16" s="1"/>
  <c r="E2244" i="16"/>
  <c r="C2440" i="16"/>
  <c r="D2440" i="16" s="1"/>
  <c r="D2437" i="16" s="1"/>
  <c r="D2439" i="16" s="1"/>
  <c r="Z49" i="17"/>
  <c r="L134" i="4"/>
  <c r="H2134" i="16"/>
  <c r="Z53" i="17"/>
  <c r="F2243" i="16"/>
  <c r="F2248" i="16" s="1"/>
  <c r="I135" i="12"/>
  <c r="V17" i="14" s="1"/>
  <c r="C357" i="3"/>
  <c r="G357" i="3" s="1"/>
  <c r="I2133" i="16"/>
  <c r="M52" i="4"/>
  <c r="AA46" i="17"/>
  <c r="K46" i="25"/>
  <c r="L70" i="4"/>
  <c r="C158" i="28" s="1"/>
  <c r="J90" i="24"/>
  <c r="M70" i="4"/>
  <c r="I93" i="24"/>
  <c r="H295" i="23" s="1"/>
  <c r="N43" i="24"/>
  <c r="M41" i="24"/>
  <c r="M42" i="24" s="1"/>
  <c r="M32" i="24"/>
  <c r="N38" i="24"/>
  <c r="M36" i="24"/>
  <c r="M37" i="24" s="1"/>
  <c r="N31" i="24"/>
  <c r="O33" i="24"/>
  <c r="K101" i="4"/>
  <c r="K146" i="4"/>
  <c r="Y52" i="17"/>
  <c r="R85" i="24"/>
  <c r="L147" i="4"/>
  <c r="I55" i="25"/>
  <c r="L102" i="4"/>
  <c r="K43" i="25"/>
  <c r="F168" i="28"/>
  <c r="N26" i="25"/>
  <c r="M24" i="25"/>
  <c r="L25" i="25"/>
  <c r="M29" i="25"/>
  <c r="M30" i="25" s="1"/>
  <c r="N31" i="25"/>
  <c r="N36" i="25"/>
  <c r="M34" i="25"/>
  <c r="M35" i="25" s="1"/>
  <c r="C1635" i="16"/>
  <c r="O1428" i="16"/>
  <c r="S41" i="3"/>
  <c r="S21" i="3"/>
  <c r="S44" i="3"/>
  <c r="Z134" i="11"/>
  <c r="Z138" i="11"/>
  <c r="R44" i="3"/>
  <c r="R21" i="3"/>
  <c r="R41" i="3"/>
  <c r="R328" i="3" s="1"/>
  <c r="R327" i="3"/>
  <c r="J29" i="16"/>
  <c r="I30" i="16"/>
  <c r="D827" i="12"/>
  <c r="D769" i="12"/>
  <c r="Q47" i="3"/>
  <c r="Q49" i="3" s="1"/>
  <c r="Q336" i="3" s="1"/>
  <c r="Y160" i="9"/>
  <c r="X155" i="11"/>
  <c r="C817" i="12"/>
  <c r="C818" i="12" s="1"/>
  <c r="C770" i="12"/>
  <c r="C762" i="12"/>
  <c r="P123" i="12"/>
  <c r="O139" i="12"/>
  <c r="O147" i="12" s="1"/>
  <c r="Z62" i="11"/>
  <c r="AD135" i="14"/>
  <c r="AD30" i="14"/>
  <c r="U95" i="10"/>
  <c r="U105" i="10"/>
  <c r="J281" i="4"/>
  <c r="J163" i="4"/>
  <c r="K262" i="4"/>
  <c r="K248" i="4" s="1"/>
  <c r="O1419" i="16"/>
  <c r="E1257" i="16"/>
  <c r="E1259" i="16" s="1"/>
  <c r="D1464" i="16"/>
  <c r="C1476" i="16"/>
  <c r="G1464" i="16"/>
  <c r="K1464" i="16" s="1"/>
  <c r="Q331" i="3"/>
  <c r="Q332" i="3" s="1"/>
  <c r="Q329" i="3"/>
  <c r="AC73" i="14"/>
  <c r="AC75" i="17"/>
  <c r="Y70" i="11"/>
  <c r="V93" i="10"/>
  <c r="V103" i="10"/>
  <c r="V94" i="10"/>
  <c r="V104" i="10"/>
  <c r="Y83" i="10"/>
  <c r="X77" i="10"/>
  <c r="AC251" i="17" s="1"/>
  <c r="K1428" i="16"/>
  <c r="U79" i="10"/>
  <c r="U58" i="10"/>
  <c r="U109" i="10"/>
  <c r="E5" i="6"/>
  <c r="V54" i="10"/>
  <c r="V59" i="10"/>
  <c r="Z250" i="14"/>
  <c r="Z253" i="14" s="1"/>
  <c r="V57" i="10"/>
  <c r="V73" i="10"/>
  <c r="V72" i="10"/>
  <c r="V74" i="10"/>
  <c r="W87" i="10"/>
  <c r="W81" i="10"/>
  <c r="W82" i="10" s="1"/>
  <c r="H45" i="21"/>
  <c r="H47" i="21" s="1"/>
  <c r="W88" i="10"/>
  <c r="W89" i="10"/>
  <c r="AA251" i="14"/>
  <c r="W78" i="10"/>
  <c r="W53" i="10"/>
  <c r="AB250" i="17" s="1"/>
  <c r="AB253" i="17" s="1"/>
  <c r="H135" i="12"/>
  <c r="U17" i="14" s="1"/>
  <c r="Q192" i="11"/>
  <c r="Q195" i="11" s="1"/>
  <c r="V208" i="17" s="1"/>
  <c r="U32" i="14"/>
  <c r="S306" i="3"/>
  <c r="S308" i="3" s="1"/>
  <c r="S337" i="3" s="1"/>
  <c r="S168" i="10"/>
  <c r="J65" i="12"/>
  <c r="W257" i="14"/>
  <c r="D53" i="21"/>
  <c r="S198" i="10"/>
  <c r="R316" i="3"/>
  <c r="R319" i="3"/>
  <c r="R321" i="3" s="1"/>
  <c r="R341" i="3" s="1"/>
  <c r="S315" i="3"/>
  <c r="V92" i="10"/>
  <c r="V102" i="10"/>
  <c r="V90" i="10"/>
  <c r="U234" i="14"/>
  <c r="S127" i="10"/>
  <c r="S114" i="10" s="1"/>
  <c r="S146" i="10" s="1"/>
  <c r="S124" i="10"/>
  <c r="S126" i="10" s="1"/>
  <c r="S111" i="10" s="1"/>
  <c r="P18" i="22"/>
  <c r="P17" i="22" s="1"/>
  <c r="P128" i="22" s="1"/>
  <c r="O17" i="22"/>
  <c r="X39" i="14"/>
  <c r="T118" i="10"/>
  <c r="Y257" i="17" s="1"/>
  <c r="T110" i="10"/>
  <c r="T143" i="10"/>
  <c r="E50" i="21"/>
  <c r="E49" i="21" s="1"/>
  <c r="T123" i="10"/>
  <c r="V315" i="4" l="1"/>
  <c r="V175" i="4" s="1"/>
  <c r="L52" i="24"/>
  <c r="L114" i="24" s="1"/>
  <c r="L116" i="24" s="1"/>
  <c r="S47" i="5"/>
  <c r="S50" i="5" s="1"/>
  <c r="S64" i="5"/>
  <c r="AJ103" i="17"/>
  <c r="U476" i="4"/>
  <c r="T5" i="5"/>
  <c r="AH6" i="17"/>
  <c r="AH140" i="17"/>
  <c r="S66" i="5"/>
  <c r="R47" i="5"/>
  <c r="R50" i="5" s="1"/>
  <c r="R64" i="5"/>
  <c r="AZ233" i="20"/>
  <c r="N25" i="22"/>
  <c r="J358" i="22"/>
  <c r="P49" i="4"/>
  <c r="K358" i="22"/>
  <c r="Q49" i="4"/>
  <c r="K311" i="22"/>
  <c r="K313" i="22" s="1"/>
  <c r="K314" i="22" s="1"/>
  <c r="J311" i="22"/>
  <c r="J316" i="22" s="1"/>
  <c r="J318" i="22" s="1"/>
  <c r="J323" i="22"/>
  <c r="K322" i="22"/>
  <c r="J176" i="24"/>
  <c r="J63" i="22"/>
  <c r="L58" i="22"/>
  <c r="L59" i="22"/>
  <c r="L61" i="22" s="1"/>
  <c r="J1571" i="16"/>
  <c r="K209" i="22"/>
  <c r="K212" i="22" s="1"/>
  <c r="K217" i="22" s="1"/>
  <c r="K199" i="22"/>
  <c r="J209" i="22"/>
  <c r="J212" i="22" s="1"/>
  <c r="J217" i="22" s="1"/>
  <c r="J199" i="22"/>
  <c r="L208" i="22"/>
  <c r="L210" i="22" s="1"/>
  <c r="L185" i="22"/>
  <c r="K249" i="22"/>
  <c r="J249" i="22"/>
  <c r="L247" i="22"/>
  <c r="M57" i="22"/>
  <c r="K61" i="22"/>
  <c r="K63" i="22" s="1"/>
  <c r="J158" i="22"/>
  <c r="K158" i="22"/>
  <c r="K248" i="22"/>
  <c r="Q72" i="4" s="1"/>
  <c r="D17" i="6" s="1"/>
  <c r="N37" i="22"/>
  <c r="N57" i="22" s="1"/>
  <c r="L54" i="22"/>
  <c r="M48" i="22"/>
  <c r="M43" i="22" s="1"/>
  <c r="M44" i="22" s="1"/>
  <c r="L124" i="22"/>
  <c r="L151" i="22"/>
  <c r="L154" i="22"/>
  <c r="L320" i="22" s="1"/>
  <c r="L322" i="22" s="1"/>
  <c r="M38" i="22"/>
  <c r="N115" i="22"/>
  <c r="O19" i="22"/>
  <c r="O128" i="22"/>
  <c r="M115" i="22"/>
  <c r="P19" i="22"/>
  <c r="O21" i="22"/>
  <c r="P21" i="22"/>
  <c r="P129" i="22" s="1"/>
  <c r="I93" i="22"/>
  <c r="D11" i="29"/>
  <c r="D12" i="29" s="1"/>
  <c r="L42" i="25"/>
  <c r="G148" i="28" s="1"/>
  <c r="C358" i="3"/>
  <c r="G358" i="3" s="1"/>
  <c r="K68" i="24"/>
  <c r="E4" i="29"/>
  <c r="K53" i="24"/>
  <c r="N2478" i="16" s="1"/>
  <c r="K133" i="24"/>
  <c r="K135" i="24" s="1"/>
  <c r="K55" i="24"/>
  <c r="G2908" i="16" s="1"/>
  <c r="K57" i="24"/>
  <c r="K58" i="24" s="1"/>
  <c r="K60" i="24"/>
  <c r="K89" i="24"/>
  <c r="U231" i="4"/>
  <c r="U215" i="4"/>
  <c r="V215" i="4"/>
  <c r="V231" i="4"/>
  <c r="V470" i="4"/>
  <c r="V443" i="4"/>
  <c r="U479" i="4"/>
  <c r="U480" i="4" s="1"/>
  <c r="U478" i="4"/>
  <c r="T34" i="4"/>
  <c r="S53" i="5" s="1"/>
  <c r="U482" i="4"/>
  <c r="U471" i="4"/>
  <c r="V365" i="4"/>
  <c r="V263" i="4"/>
  <c r="M15" i="32"/>
  <c r="G2909" i="16"/>
  <c r="G2910" i="16" s="1"/>
  <c r="D3363" i="16"/>
  <c r="O47" i="28"/>
  <c r="O70" i="28"/>
  <c r="H85" i="22"/>
  <c r="H103" i="22" s="1"/>
  <c r="J2285" i="16"/>
  <c r="J2287" i="16"/>
  <c r="D3821" i="16"/>
  <c r="N3821" i="16" s="1"/>
  <c r="G2840" i="16"/>
  <c r="F150" i="28"/>
  <c r="AV20" i="20"/>
  <c r="CK20" i="20" s="1"/>
  <c r="AC47" i="17"/>
  <c r="D3556" i="16"/>
  <c r="L3556" i="16" s="1"/>
  <c r="F3280" i="16"/>
  <c r="I84" i="22"/>
  <c r="I102" i="22" s="1"/>
  <c r="K2283" i="16"/>
  <c r="I2318" i="16"/>
  <c r="O119" i="4"/>
  <c r="H5043" i="8" s="1"/>
  <c r="C3835" i="16"/>
  <c r="M3835" i="16" s="1"/>
  <c r="F2856" i="16"/>
  <c r="AB64" i="17"/>
  <c r="N135" i="4"/>
  <c r="E3294" i="16"/>
  <c r="E170" i="28"/>
  <c r="G3769" i="16"/>
  <c r="S3769" i="16" s="1"/>
  <c r="I83" i="22"/>
  <c r="I98" i="22" s="1"/>
  <c r="O72" i="4" s="1"/>
  <c r="K2281" i="16"/>
  <c r="K2284" i="16"/>
  <c r="I2317" i="16"/>
  <c r="C3828" i="16"/>
  <c r="G3760" i="16"/>
  <c r="N103" i="4"/>
  <c r="N148" i="4"/>
  <c r="C3572" i="16" s="1"/>
  <c r="K3572" i="16" s="1"/>
  <c r="AB54" i="17"/>
  <c r="E159" i="28"/>
  <c r="E3287" i="16"/>
  <c r="C3564" i="16"/>
  <c r="K3564" i="16" s="1"/>
  <c r="F2848" i="16"/>
  <c r="AV18" i="20"/>
  <c r="G297" i="23"/>
  <c r="L3376" i="16"/>
  <c r="K3377" i="16" s="1"/>
  <c r="L3378" i="16" s="1"/>
  <c r="C3366" i="16"/>
  <c r="D3366" i="16" s="1"/>
  <c r="J141" i="24"/>
  <c r="J144" i="24" s="1"/>
  <c r="J149" i="24" s="1"/>
  <c r="J128" i="24"/>
  <c r="J125" i="24"/>
  <c r="J147" i="24" s="1"/>
  <c r="H97" i="24"/>
  <c r="I97" i="24" s="1"/>
  <c r="E97" i="24"/>
  <c r="D103" i="24"/>
  <c r="E103" i="24" s="1"/>
  <c r="J3372" i="16"/>
  <c r="C3364" i="16"/>
  <c r="AQ317" i="12"/>
  <c r="N69" i="24"/>
  <c r="V33" i="14"/>
  <c r="W208" i="17"/>
  <c r="K47" i="25"/>
  <c r="AQ383" i="12"/>
  <c r="F149" i="28"/>
  <c r="D3555" i="16"/>
  <c r="L3555" i="16" s="1"/>
  <c r="J3619" i="16"/>
  <c r="J3621" i="16" s="1"/>
  <c r="J3620" i="16"/>
  <c r="G2242" i="16"/>
  <c r="G2247" i="16" s="1"/>
  <c r="C3294" i="16"/>
  <c r="C3301" i="16" s="1"/>
  <c r="C170" i="28"/>
  <c r="D3285" i="16"/>
  <c r="D3299" i="16" s="1"/>
  <c r="D158" i="28"/>
  <c r="F157" i="28"/>
  <c r="F2855" i="16"/>
  <c r="E169" i="28"/>
  <c r="E157" i="28"/>
  <c r="D3282" i="16"/>
  <c r="D152" i="28"/>
  <c r="F54" i="22"/>
  <c r="F63" i="22"/>
  <c r="L148" i="4"/>
  <c r="D2856" i="16"/>
  <c r="D2864" i="16" s="1"/>
  <c r="L135" i="4"/>
  <c r="Z64" i="17"/>
  <c r="J93" i="24"/>
  <c r="J77" i="24" s="1"/>
  <c r="G2397" i="16"/>
  <c r="N133" i="4"/>
  <c r="AB62" i="17"/>
  <c r="F52" i="22"/>
  <c r="E1570" i="16" s="1"/>
  <c r="E3292" i="16"/>
  <c r="K92" i="24"/>
  <c r="C3412" i="16"/>
  <c r="D3368" i="16"/>
  <c r="C3414" i="16" s="1"/>
  <c r="E3414" i="16" s="1"/>
  <c r="C3387" i="16"/>
  <c r="D2847" i="16"/>
  <c r="D2863" i="16" s="1"/>
  <c r="C3285" i="16"/>
  <c r="C3299" i="16" s="1"/>
  <c r="AA63" i="17"/>
  <c r="D3293" i="16"/>
  <c r="G2839" i="16"/>
  <c r="F3278" i="16"/>
  <c r="E2847" i="16"/>
  <c r="E2863" i="16" s="1"/>
  <c r="E2793" i="16"/>
  <c r="H2793" i="16" s="1"/>
  <c r="E2854" i="16"/>
  <c r="F2918" i="16"/>
  <c r="G2914" i="16"/>
  <c r="V208" i="14"/>
  <c r="I134" i="12"/>
  <c r="AL22" i="20"/>
  <c r="E2842" i="16"/>
  <c r="E2841" i="16" s="1"/>
  <c r="C2599" i="16"/>
  <c r="C2637" i="16" s="1"/>
  <c r="J2599" i="16"/>
  <c r="L2480" i="16"/>
  <c r="D2584" i="16"/>
  <c r="L2504" i="16"/>
  <c r="O2504" i="16" s="1"/>
  <c r="F2249" i="16"/>
  <c r="F2250" i="16" s="1"/>
  <c r="AA49" i="17"/>
  <c r="F2396" i="16"/>
  <c r="F2398" i="16" s="1"/>
  <c r="F2400" i="16" s="1"/>
  <c r="F2401" i="16" s="1"/>
  <c r="E2437" i="16"/>
  <c r="F2244" i="16"/>
  <c r="L146" i="4"/>
  <c r="C2433" i="16"/>
  <c r="E2396" i="16"/>
  <c r="E2398" i="16" s="1"/>
  <c r="E2400" i="16" s="1"/>
  <c r="E2401" i="16" s="1"/>
  <c r="AC45" i="17"/>
  <c r="M134" i="4"/>
  <c r="H2242" i="16"/>
  <c r="H2247" i="16" s="1"/>
  <c r="H2243" i="16"/>
  <c r="H2248" i="16" s="1"/>
  <c r="J2133" i="16"/>
  <c r="Z52" i="17"/>
  <c r="L101" i="4"/>
  <c r="L64" i="24"/>
  <c r="L133" i="24" s="1"/>
  <c r="L135" i="24" s="1"/>
  <c r="O31" i="24"/>
  <c r="P33" i="24"/>
  <c r="O38" i="24"/>
  <c r="N36" i="24"/>
  <c r="N37" i="24" s="1"/>
  <c r="AA52" i="17"/>
  <c r="M146" i="4"/>
  <c r="M101" i="4"/>
  <c r="N32" i="24"/>
  <c r="O43" i="24"/>
  <c r="N41" i="24"/>
  <c r="N42" i="24" s="1"/>
  <c r="M52" i="24"/>
  <c r="M114" i="24" s="1"/>
  <c r="M116" i="24" s="1"/>
  <c r="O36" i="25"/>
  <c r="N34" i="25"/>
  <c r="N35" i="25" s="1"/>
  <c r="G157" i="28"/>
  <c r="G168" i="28"/>
  <c r="N24" i="25"/>
  <c r="O26" i="25"/>
  <c r="O31" i="25"/>
  <c r="N29" i="25"/>
  <c r="N30" i="25" s="1"/>
  <c r="M25" i="25"/>
  <c r="M42" i="25"/>
  <c r="H148" i="28" s="1"/>
  <c r="C763" i="12"/>
  <c r="C811" i="12" s="1"/>
  <c r="C810" i="12"/>
  <c r="D762" i="12"/>
  <c r="D770" i="12"/>
  <c r="D817" i="12"/>
  <c r="D818" i="12" s="1"/>
  <c r="E356" i="3"/>
  <c r="F356" i="3" s="1"/>
  <c r="C356" i="3"/>
  <c r="R47" i="3"/>
  <c r="R49" i="3" s="1"/>
  <c r="R336" i="3" s="1"/>
  <c r="Z160" i="9"/>
  <c r="Z155" i="11" s="1"/>
  <c r="Y155" i="11"/>
  <c r="S47" i="3"/>
  <c r="S49" i="3" s="1"/>
  <c r="S336" i="3" s="1"/>
  <c r="Q123" i="12"/>
  <c r="P139" i="12"/>
  <c r="P147" i="12" s="1"/>
  <c r="T124" i="10"/>
  <c r="T126" i="10" s="1"/>
  <c r="T111" i="10" s="1"/>
  <c r="T127" i="10"/>
  <c r="T114" i="10" s="1"/>
  <c r="T146" i="10" s="1"/>
  <c r="S144" i="10"/>
  <c r="S145" i="10" s="1"/>
  <c r="S147" i="10" s="1"/>
  <c r="S150" i="10" s="1"/>
  <c r="S155" i="10" s="1"/>
  <c r="S115" i="10"/>
  <c r="X254" i="17" s="1"/>
  <c r="X260" i="17" s="1"/>
  <c r="S112" i="10"/>
  <c r="S113" i="10" s="1"/>
  <c r="C1466" i="16"/>
  <c r="F957" i="20"/>
  <c r="J1125" i="16"/>
  <c r="D1476" i="16"/>
  <c r="H1464" i="16"/>
  <c r="L1464" i="16" s="1"/>
  <c r="K388" i="4"/>
  <c r="K461" i="4"/>
  <c r="K492" i="4" s="1"/>
  <c r="K260" i="4"/>
  <c r="Z70" i="11"/>
  <c r="AD75" i="17"/>
  <c r="AD73" i="14"/>
  <c r="V95" i="10"/>
  <c r="V105" i="10"/>
  <c r="S319" i="3"/>
  <c r="S321" i="3" s="1"/>
  <c r="S341" i="3" s="1"/>
  <c r="C360" i="3" s="1"/>
  <c r="S316" i="3"/>
  <c r="U33" i="14"/>
  <c r="U208" i="14"/>
  <c r="H134" i="12"/>
  <c r="V79" i="10"/>
  <c r="R331" i="3"/>
  <c r="R332" i="3" s="1"/>
  <c r="R329" i="3"/>
  <c r="W104" i="10"/>
  <c r="W94" i="10"/>
  <c r="Y39" i="14"/>
  <c r="U143" i="10"/>
  <c r="U118" i="10"/>
  <c r="Z257" i="17" s="1"/>
  <c r="U123" i="10"/>
  <c r="F50" i="21"/>
  <c r="F49" i="21" s="1"/>
  <c r="U110" i="10"/>
  <c r="X81" i="10"/>
  <c r="X82" i="10" s="1"/>
  <c r="AB251" i="14"/>
  <c r="X78" i="10"/>
  <c r="X89" i="10"/>
  <c r="X87" i="10"/>
  <c r="I45" i="21"/>
  <c r="I47" i="21" s="1"/>
  <c r="X88" i="10"/>
  <c r="X53" i="10"/>
  <c r="AC250" i="17" s="1"/>
  <c r="AC253" i="17" s="1"/>
  <c r="E53" i="21"/>
  <c r="T168" i="10"/>
  <c r="T198" i="10"/>
  <c r="K65" i="12"/>
  <c r="X257" i="14"/>
  <c r="W59" i="10"/>
  <c r="AA250" i="14"/>
  <c r="AA253" i="14" s="1"/>
  <c r="W54" i="10"/>
  <c r="W57" i="10"/>
  <c r="W73" i="10"/>
  <c r="W72" i="10"/>
  <c r="W74" i="10"/>
  <c r="W93" i="10"/>
  <c r="W103" i="10"/>
  <c r="W90" i="10"/>
  <c r="W92" i="10"/>
  <c r="W102" i="10"/>
  <c r="V58" i="10"/>
  <c r="V109" i="10"/>
  <c r="E1464" i="16"/>
  <c r="F1257" i="16"/>
  <c r="F1259" i="16" s="1"/>
  <c r="Y77" i="10"/>
  <c r="AD251" i="17" s="1"/>
  <c r="Z83" i="10"/>
  <c r="Z77" i="10" s="1"/>
  <c r="AE251" i="17" s="1"/>
  <c r="S328" i="3"/>
  <c r="L53" i="24" l="1"/>
  <c r="O2478" i="16" s="1"/>
  <c r="L55" i="24"/>
  <c r="H2908" i="16" s="1"/>
  <c r="H2909" i="16"/>
  <c r="H2910" i="16" s="1"/>
  <c r="V308" i="4"/>
  <c r="L89" i="24"/>
  <c r="L57" i="24"/>
  <c r="L58" i="24" s="1"/>
  <c r="L68" i="24"/>
  <c r="L60" i="24"/>
  <c r="L61" i="24" s="1"/>
  <c r="AJ140" i="17"/>
  <c r="T8" i="5"/>
  <c r="AI5" i="17"/>
  <c r="T19" i="5"/>
  <c r="AI140" i="17"/>
  <c r="T66" i="5"/>
  <c r="V476" i="4"/>
  <c r="U5" i="5"/>
  <c r="O25" i="22"/>
  <c r="P25" i="22" s="1"/>
  <c r="J313" i="22"/>
  <c r="J314" i="22" s="1"/>
  <c r="J360" i="22"/>
  <c r="P119" i="4"/>
  <c r="L358" i="22"/>
  <c r="R49" i="4"/>
  <c r="K360" i="22"/>
  <c r="Q119" i="4"/>
  <c r="K359" i="22"/>
  <c r="K107" i="22"/>
  <c r="J359" i="22"/>
  <c r="J107" i="22"/>
  <c r="J332" i="22"/>
  <c r="J338" i="22" s="1"/>
  <c r="J339" i="22" s="1"/>
  <c r="K325" i="22"/>
  <c r="K327" i="22" s="1"/>
  <c r="K328" i="22" s="1"/>
  <c r="L311" i="22"/>
  <c r="L313" i="22" s="1"/>
  <c r="L314" i="22" s="1"/>
  <c r="K316" i="22"/>
  <c r="K318" i="22" s="1"/>
  <c r="J325" i="22"/>
  <c r="J327" i="22" s="1"/>
  <c r="J328" i="22" s="1"/>
  <c r="K323" i="22"/>
  <c r="L323" i="22"/>
  <c r="I2134" i="16"/>
  <c r="L209" i="22"/>
  <c r="L212" i="22" s="1"/>
  <c r="L217" i="22" s="1"/>
  <c r="L199" i="22"/>
  <c r="K161" i="22"/>
  <c r="K182" i="22"/>
  <c r="J161" i="22"/>
  <c r="J182" i="22"/>
  <c r="K250" i="22"/>
  <c r="N51" i="22"/>
  <c r="N60" i="22" s="1"/>
  <c r="L249" i="22"/>
  <c r="J250" i="22"/>
  <c r="N38" i="22"/>
  <c r="N48" i="22"/>
  <c r="N43" i="22" s="1"/>
  <c r="N58" i="22" s="1"/>
  <c r="M58" i="22"/>
  <c r="M59" i="22"/>
  <c r="M61" i="22" s="1"/>
  <c r="M54" i="22"/>
  <c r="L158" i="22"/>
  <c r="L248" i="22"/>
  <c r="R72" i="4" s="1"/>
  <c r="M114" i="22"/>
  <c r="M123" i="22" s="1"/>
  <c r="M307" i="22" s="1"/>
  <c r="N114" i="22"/>
  <c r="N123" i="22" s="1"/>
  <c r="N307" i="22" s="1"/>
  <c r="O37" i="22"/>
  <c r="O48" i="22" s="1"/>
  <c r="O129" i="22"/>
  <c r="P37" i="22"/>
  <c r="L43" i="25"/>
  <c r="D13" i="29"/>
  <c r="L44" i="25"/>
  <c r="O2479" i="16" s="1"/>
  <c r="L46" i="25"/>
  <c r="L47" i="25" s="1"/>
  <c r="K137" i="24"/>
  <c r="K176" i="24" s="1"/>
  <c r="K148" i="24"/>
  <c r="L137" i="24"/>
  <c r="L176" i="24" s="1"/>
  <c r="C4283" i="16"/>
  <c r="L148" i="24"/>
  <c r="K141" i="24"/>
  <c r="K144" i="24" s="1"/>
  <c r="K149" i="24" s="1"/>
  <c r="K154" i="24" s="1"/>
  <c r="E25" i="29" s="1"/>
  <c r="K125" i="24"/>
  <c r="K172" i="24" s="1"/>
  <c r="K90" i="24"/>
  <c r="K93" i="24" s="1"/>
  <c r="K248" i="24" s="1"/>
  <c r="K250" i="24" s="1"/>
  <c r="K61" i="24"/>
  <c r="K70" i="24"/>
  <c r="K128" i="24"/>
  <c r="L119" i="24" s="1"/>
  <c r="W125" i="24"/>
  <c r="X125" i="24" s="1"/>
  <c r="X126" i="24" s="1"/>
  <c r="V471" i="4"/>
  <c r="V473" i="4" s="1"/>
  <c r="U473" i="4"/>
  <c r="U34" i="4"/>
  <c r="T53" i="5" s="1"/>
  <c r="V482" i="4"/>
  <c r="V479" i="4"/>
  <c r="V480" i="4" s="1"/>
  <c r="V478" i="4"/>
  <c r="Q139" i="12"/>
  <c r="Q147" i="12" s="1"/>
  <c r="R123" i="12"/>
  <c r="F2864" i="16"/>
  <c r="I99" i="22"/>
  <c r="G5" i="29"/>
  <c r="G4" i="29"/>
  <c r="F5" i="29"/>
  <c r="F4" i="29"/>
  <c r="J130" i="24"/>
  <c r="D7" i="29"/>
  <c r="G3778" i="16"/>
  <c r="E3301" i="16"/>
  <c r="I2319" i="16"/>
  <c r="I2321" i="16" s="1"/>
  <c r="I2322" i="16" s="1"/>
  <c r="M3828" i="16"/>
  <c r="C3842" i="16"/>
  <c r="M3842" i="16" s="1"/>
  <c r="I85" i="22"/>
  <c r="I103" i="22" s="1"/>
  <c r="K2285" i="16"/>
  <c r="K2287" i="16"/>
  <c r="I95" i="22"/>
  <c r="D3835" i="16"/>
  <c r="N3835" i="16" s="1"/>
  <c r="F3294" i="16"/>
  <c r="O135" i="4"/>
  <c r="H3769" i="16"/>
  <c r="L3769" i="16" s="1"/>
  <c r="F170" i="28"/>
  <c r="AC64" i="17"/>
  <c r="G2856" i="16"/>
  <c r="J2288" i="16"/>
  <c r="J2273" i="16" s="1"/>
  <c r="C3369" i="16"/>
  <c r="J82" i="24"/>
  <c r="J83" i="24" s="1"/>
  <c r="J97" i="24"/>
  <c r="O97" i="24" s="1"/>
  <c r="M68" i="24"/>
  <c r="O69" i="24"/>
  <c r="J172" i="24"/>
  <c r="J177" i="24" s="1"/>
  <c r="I295" i="23"/>
  <c r="J248" i="24"/>
  <c r="J250" i="24" s="1"/>
  <c r="G149" i="28"/>
  <c r="E3555" i="16"/>
  <c r="M3555" i="16" s="1"/>
  <c r="E158" i="28"/>
  <c r="C3563" i="16"/>
  <c r="K3563" i="16" s="1"/>
  <c r="F3292" i="16"/>
  <c r="F169" i="28"/>
  <c r="E3285" i="16"/>
  <c r="E3299" i="16" s="1"/>
  <c r="L63" i="22"/>
  <c r="M57" i="24"/>
  <c r="AC62" i="17"/>
  <c r="G2855" i="16"/>
  <c r="H2397" i="16"/>
  <c r="C3389" i="16"/>
  <c r="D3387" i="16"/>
  <c r="E3412" i="16"/>
  <c r="L92" i="24"/>
  <c r="H2839" i="16"/>
  <c r="G3278" i="16"/>
  <c r="AD45" i="17"/>
  <c r="G2918" i="16"/>
  <c r="H2914" i="16"/>
  <c r="M55" i="24"/>
  <c r="I2908" i="16" s="1"/>
  <c r="I2909" i="16"/>
  <c r="F2847" i="16"/>
  <c r="F2863" i="16" s="1"/>
  <c r="C2801" i="16"/>
  <c r="J2793" i="16"/>
  <c r="D2599" i="16"/>
  <c r="D2637" i="16" s="1"/>
  <c r="K2599" i="16"/>
  <c r="H2249" i="16"/>
  <c r="H2250" i="16" s="1"/>
  <c r="M44" i="25"/>
  <c r="P2479" i="16" s="1"/>
  <c r="G2396" i="16"/>
  <c r="G2398" i="16" s="1"/>
  <c r="G2400" i="16" s="1"/>
  <c r="G2401" i="16" s="1"/>
  <c r="D2433" i="16"/>
  <c r="C2444" i="16"/>
  <c r="I2243" i="16"/>
  <c r="I2248" i="16" s="1"/>
  <c r="I2242" i="16"/>
  <c r="I2247" i="16" s="1"/>
  <c r="H2244" i="16"/>
  <c r="M46" i="25"/>
  <c r="J2134" i="16"/>
  <c r="N101" i="4"/>
  <c r="N146" i="4"/>
  <c r="C3571" i="16" s="1"/>
  <c r="K3571" i="16" s="1"/>
  <c r="AB52" i="17"/>
  <c r="N52" i="24"/>
  <c r="D3563" i="16"/>
  <c r="L3563" i="16" s="1"/>
  <c r="M60" i="24"/>
  <c r="M64" i="24"/>
  <c r="M133" i="24" s="1"/>
  <c r="M135" i="24" s="1"/>
  <c r="D4283" i="16" s="1"/>
  <c r="M53" i="24"/>
  <c r="P2478" i="16" s="1"/>
  <c r="M89" i="24"/>
  <c r="P43" i="24"/>
  <c r="O41" i="24"/>
  <c r="O42" i="24" s="1"/>
  <c r="P38" i="24"/>
  <c r="O36" i="24"/>
  <c r="O37" i="24" s="1"/>
  <c r="Q33" i="24"/>
  <c r="P31" i="24"/>
  <c r="O32" i="24"/>
  <c r="M43" i="25"/>
  <c r="H168" i="28"/>
  <c r="H157" i="28"/>
  <c r="N25" i="25"/>
  <c r="N42" i="25"/>
  <c r="P31" i="25"/>
  <c r="O29" i="25"/>
  <c r="O30" i="25" s="1"/>
  <c r="P26" i="25"/>
  <c r="O24" i="25"/>
  <c r="O34" i="25"/>
  <c r="O35" i="25" s="1"/>
  <c r="P36" i="25"/>
  <c r="G356" i="3"/>
  <c r="E355" i="3"/>
  <c r="F355" i="3" s="1"/>
  <c r="C355" i="3"/>
  <c r="D810" i="12"/>
  <c r="D763" i="12"/>
  <c r="D811" i="12" s="1"/>
  <c r="W79" i="10"/>
  <c r="E4" i="6"/>
  <c r="Z81" i="10"/>
  <c r="Z78" i="10"/>
  <c r="Z87" i="10"/>
  <c r="K45" i="21"/>
  <c r="K47" i="21" s="1"/>
  <c r="Z89" i="10"/>
  <c r="Z88" i="10"/>
  <c r="AD251" i="14"/>
  <c r="Z53" i="10"/>
  <c r="AE250" i="17" s="1"/>
  <c r="AE253" i="17" s="1"/>
  <c r="E1476" i="16"/>
  <c r="I1464" i="16"/>
  <c r="M1464" i="16" s="1"/>
  <c r="X57" i="10"/>
  <c r="AB250" i="14"/>
  <c r="AB253" i="14" s="1"/>
  <c r="X54" i="10"/>
  <c r="X59" i="10"/>
  <c r="X73" i="10"/>
  <c r="X72" i="10"/>
  <c r="X74" i="10"/>
  <c r="X92" i="10"/>
  <c r="X102" i="10"/>
  <c r="X90" i="10"/>
  <c r="C1478" i="16"/>
  <c r="G1466" i="16"/>
  <c r="K1466" i="16" s="1"/>
  <c r="S156" i="10"/>
  <c r="S157" i="10" s="1"/>
  <c r="S331" i="3"/>
  <c r="S332" i="3" s="1"/>
  <c r="S329" i="3"/>
  <c r="V110" i="10"/>
  <c r="V143" i="10"/>
  <c r="Z39" i="14"/>
  <c r="G50" i="21"/>
  <c r="G49" i="21" s="1"/>
  <c r="V118" i="10"/>
  <c r="AA257" i="17" s="1"/>
  <c r="V123" i="10"/>
  <c r="W109" i="10"/>
  <c r="W58" i="10"/>
  <c r="X93" i="10"/>
  <c r="X103" i="10"/>
  <c r="X104" i="10"/>
  <c r="X94" i="10"/>
  <c r="U124" i="10"/>
  <c r="U126" i="10" s="1"/>
  <c r="U111" i="10" s="1"/>
  <c r="U127" i="10"/>
  <c r="U114" i="10" s="1"/>
  <c r="U146" i="10" s="1"/>
  <c r="W105" i="10"/>
  <c r="W95" i="10"/>
  <c r="Y257" i="14"/>
  <c r="F53" i="21"/>
  <c r="L65" i="12"/>
  <c r="U198" i="10"/>
  <c r="U168" i="10"/>
  <c r="E360" i="3"/>
  <c r="F360" i="3" s="1"/>
  <c r="K13" i="4"/>
  <c r="Y23" i="17" s="1"/>
  <c r="K266" i="4"/>
  <c r="K265" i="4" s="1"/>
  <c r="K1430" i="16"/>
  <c r="K1431" i="16" s="1"/>
  <c r="J1134" i="16"/>
  <c r="J1136" i="16" s="1"/>
  <c r="T144" i="10"/>
  <c r="T145" i="10" s="1"/>
  <c r="T147" i="10" s="1"/>
  <c r="T150" i="10" s="1"/>
  <c r="T155" i="10" s="1"/>
  <c r="T115" i="10"/>
  <c r="Y254" i="17" s="1"/>
  <c r="Y260" i="17" s="1"/>
  <c r="T112" i="10"/>
  <c r="T113" i="10" s="1"/>
  <c r="Y89" i="10"/>
  <c r="Y78" i="10"/>
  <c r="Y88" i="10"/>
  <c r="AC251" i="14"/>
  <c r="Y81" i="10"/>
  <c r="Y82" i="10" s="1"/>
  <c r="J45" i="21"/>
  <c r="J47" i="21" s="1"/>
  <c r="Y87" i="10"/>
  <c r="Y53" i="10"/>
  <c r="AD250" i="17" s="1"/>
  <c r="AD253" i="17" s="1"/>
  <c r="O1430" i="16"/>
  <c r="O1431" i="16" s="1"/>
  <c r="D1466" i="16"/>
  <c r="J1128" i="16"/>
  <c r="J1127" i="16"/>
  <c r="F970" i="20"/>
  <c r="K1432" i="16"/>
  <c r="S116" i="10"/>
  <c r="S129" i="10"/>
  <c r="S130" i="10" s="1"/>
  <c r="J64" i="12"/>
  <c r="S117" i="10"/>
  <c r="D52" i="21"/>
  <c r="W254" i="14"/>
  <c r="W260" i="14" s="1"/>
  <c r="S167" i="10"/>
  <c r="S120" i="10"/>
  <c r="S121" i="10" s="1"/>
  <c r="S187" i="10"/>
  <c r="L90" i="24" l="1"/>
  <c r="E3563" i="16" s="1"/>
  <c r="M3563" i="16" s="1"/>
  <c r="L70" i="24"/>
  <c r="M58" i="24"/>
  <c r="I2910" i="16"/>
  <c r="J361" i="22"/>
  <c r="J363" i="22" s="1"/>
  <c r="AI6" i="17"/>
  <c r="T64" i="5"/>
  <c r="T47" i="5"/>
  <c r="T50" i="5" s="1"/>
  <c r="U8" i="5"/>
  <c r="AJ5" i="17"/>
  <c r="AJ6" i="17" s="1"/>
  <c r="U19" i="5"/>
  <c r="U66" i="5"/>
  <c r="K361" i="22"/>
  <c r="K363" i="22" s="1"/>
  <c r="L360" i="22"/>
  <c r="R119" i="4"/>
  <c r="L325" i="22"/>
  <c r="L327" i="22" s="1"/>
  <c r="L328" i="22" s="1"/>
  <c r="L316" i="22"/>
  <c r="L318" i="22" s="1"/>
  <c r="L332" i="22" s="1"/>
  <c r="L334" i="22" s="1"/>
  <c r="I96" i="22"/>
  <c r="I106" i="22"/>
  <c r="I108" i="22" s="1"/>
  <c r="L359" i="22"/>
  <c r="L107" i="22"/>
  <c r="K252" i="22"/>
  <c r="L297" i="23"/>
  <c r="N44" i="22"/>
  <c r="J252" i="22"/>
  <c r="K297" i="23"/>
  <c r="K332" i="22"/>
  <c r="K338" i="22" s="1"/>
  <c r="K339" i="22" s="1"/>
  <c r="M47" i="25"/>
  <c r="N309" i="22"/>
  <c r="M309" i="22"/>
  <c r="L161" i="22"/>
  <c r="L182" i="22"/>
  <c r="N208" i="22"/>
  <c r="N210" i="22" s="1"/>
  <c r="N185" i="22"/>
  <c r="M208" i="22"/>
  <c r="M210" i="22" s="1"/>
  <c r="M185" i="22"/>
  <c r="L250" i="22"/>
  <c r="N247" i="22"/>
  <c r="M247" i="22"/>
  <c r="N59" i="22"/>
  <c r="N61" i="22" s="1"/>
  <c r="N54" i="22"/>
  <c r="M124" i="22"/>
  <c r="M151" i="22"/>
  <c r="M154" i="22"/>
  <c r="M320" i="22" s="1"/>
  <c r="M322" i="22" s="1"/>
  <c r="N151" i="22"/>
  <c r="N154" i="22"/>
  <c r="N320" i="22" s="1"/>
  <c r="N322" i="22" s="1"/>
  <c r="N124" i="22"/>
  <c r="O43" i="22"/>
  <c r="O44" i="22" s="1"/>
  <c r="O59" i="22"/>
  <c r="O57" i="22"/>
  <c r="O38" i="22"/>
  <c r="P38" i="22"/>
  <c r="O51" i="22"/>
  <c r="O60" i="22" s="1"/>
  <c r="P115" i="22"/>
  <c r="O115" i="22"/>
  <c r="P48" i="22"/>
  <c r="P43" i="22" s="1"/>
  <c r="P44" i="22" s="1"/>
  <c r="P51" i="22"/>
  <c r="P60" i="22" s="1"/>
  <c r="P57" i="22"/>
  <c r="K138" i="24"/>
  <c r="L138" i="24"/>
  <c r="E11" i="29"/>
  <c r="E12" i="29" s="1"/>
  <c r="C4234" i="16"/>
  <c r="H5038" i="8"/>
  <c r="F11" i="29"/>
  <c r="M137" i="24"/>
  <c r="M176" i="24" s="1"/>
  <c r="M148" i="24"/>
  <c r="K130" i="24"/>
  <c r="K147" i="24"/>
  <c r="E7" i="29"/>
  <c r="E8" i="29" s="1"/>
  <c r="K185" i="24"/>
  <c r="K177" i="24"/>
  <c r="V34" i="4"/>
  <c r="U53" i="5" s="1"/>
  <c r="C51" i="6"/>
  <c r="M22" i="32"/>
  <c r="K173" i="24"/>
  <c r="E40" i="29" s="1"/>
  <c r="E39" i="29"/>
  <c r="D9" i="29"/>
  <c r="D15" i="29"/>
  <c r="D8" i="29"/>
  <c r="J208" i="24"/>
  <c r="D39" i="29"/>
  <c r="K2288" i="16"/>
  <c r="K2273" i="16" s="1"/>
  <c r="I79" i="22" s="1"/>
  <c r="H79" i="22"/>
  <c r="J2289" i="16"/>
  <c r="H86" i="22" s="1"/>
  <c r="K71" i="24"/>
  <c r="K74" i="24" s="1"/>
  <c r="K75" i="24" s="1"/>
  <c r="N68" i="24"/>
  <c r="N114" i="24"/>
  <c r="N116" i="24" s="1"/>
  <c r="L125" i="24"/>
  <c r="L147" i="24" s="1"/>
  <c r="L141" i="24"/>
  <c r="L165" i="24" s="1"/>
  <c r="E3443" i="16"/>
  <c r="K155" i="24"/>
  <c r="K211" i="24"/>
  <c r="K212" i="24" s="1"/>
  <c r="K213" i="24" s="1"/>
  <c r="K214" i="24" s="1"/>
  <c r="M70" i="24"/>
  <c r="P69" i="24"/>
  <c r="J174" i="24"/>
  <c r="D41" i="29" s="1"/>
  <c r="J173" i="24"/>
  <c r="D40" i="29" s="1"/>
  <c r="N57" i="24"/>
  <c r="N58" i="24" s="1"/>
  <c r="J295" i="23"/>
  <c r="H149" i="28"/>
  <c r="AE45" i="17"/>
  <c r="G3285" i="16"/>
  <c r="G158" i="28"/>
  <c r="F3285" i="16"/>
  <c r="F3299" i="16" s="1"/>
  <c r="F158" i="28"/>
  <c r="AD62" i="17"/>
  <c r="G169" i="28"/>
  <c r="M63" i="22"/>
  <c r="E3438" i="16"/>
  <c r="E3440" i="16" s="1"/>
  <c r="N55" i="24"/>
  <c r="G3292" i="16"/>
  <c r="H2855" i="16"/>
  <c r="I2397" i="16"/>
  <c r="M92" i="24"/>
  <c r="AE62" i="17" s="1"/>
  <c r="C3390" i="16"/>
  <c r="C3391" i="16" s="1"/>
  <c r="D3391" i="16" s="1"/>
  <c r="D3389" i="16"/>
  <c r="I2839" i="16"/>
  <c r="H3278" i="16"/>
  <c r="H2918" i="16"/>
  <c r="I2914" i="16"/>
  <c r="I2918" i="16" s="1"/>
  <c r="I2396" i="16"/>
  <c r="H2847" i="16"/>
  <c r="H2396" i="16"/>
  <c r="H2398" i="16" s="1"/>
  <c r="H2400" i="16" s="1"/>
  <c r="H2401" i="16" s="1"/>
  <c r="G2847" i="16"/>
  <c r="G2863" i="16" s="1"/>
  <c r="I2249" i="16"/>
  <c r="I2250" i="16" s="1"/>
  <c r="N46" i="25"/>
  <c r="N47" i="25" s="1"/>
  <c r="N44" i="25"/>
  <c r="E2433" i="16"/>
  <c r="D2444" i="16"/>
  <c r="I2244" i="16"/>
  <c r="J2243" i="16"/>
  <c r="J2248" i="16" s="1"/>
  <c r="J2242" i="16"/>
  <c r="J2247" i="16" s="1"/>
  <c r="X79" i="10"/>
  <c r="L93" i="24"/>
  <c r="L248" i="24" s="1"/>
  <c r="L250" i="24" s="1"/>
  <c r="O52" i="24"/>
  <c r="O114" i="24" s="1"/>
  <c r="O116" i="24" s="1"/>
  <c r="Q43" i="24"/>
  <c r="P41" i="24"/>
  <c r="P42" i="24" s="1"/>
  <c r="P32" i="24"/>
  <c r="D3571" i="16"/>
  <c r="L3571" i="16" s="1"/>
  <c r="AC52" i="17"/>
  <c r="AD52" i="17"/>
  <c r="E3571" i="16"/>
  <c r="M3571" i="16" s="1"/>
  <c r="M61" i="24"/>
  <c r="M90" i="24"/>
  <c r="Q31" i="24"/>
  <c r="R33" i="24"/>
  <c r="R31" i="24" s="1"/>
  <c r="Q38" i="24"/>
  <c r="P36" i="24"/>
  <c r="P37" i="24" s="1"/>
  <c r="N53" i="24"/>
  <c r="N64" i="24"/>
  <c r="N133" i="24" s="1"/>
  <c r="N135" i="24" s="1"/>
  <c r="E4283" i="16" s="1"/>
  <c r="N60" i="24"/>
  <c r="N89" i="24"/>
  <c r="Q26" i="25"/>
  <c r="P24" i="25"/>
  <c r="P29" i="25"/>
  <c r="P30" i="25" s="1"/>
  <c r="Q31" i="25"/>
  <c r="P34" i="25"/>
  <c r="P35" i="25" s="1"/>
  <c r="Q36" i="25"/>
  <c r="O25" i="25"/>
  <c r="O42" i="25"/>
  <c r="N43" i="25"/>
  <c r="G355" i="3"/>
  <c r="O1420" i="16"/>
  <c r="G360" i="3"/>
  <c r="U144" i="10"/>
  <c r="U145" i="10" s="1"/>
  <c r="U147" i="10" s="1"/>
  <c r="U150" i="10" s="1"/>
  <c r="U155" i="10" s="1"/>
  <c r="U115" i="10"/>
  <c r="Z254" i="17" s="1"/>
  <c r="Z260" i="17" s="1"/>
  <c r="U112" i="10"/>
  <c r="U113" i="10" s="1"/>
  <c r="S191" i="10"/>
  <c r="S171" i="10"/>
  <c r="Y102" i="10"/>
  <c r="Y90" i="10"/>
  <c r="Y92" i="10"/>
  <c r="Z104" i="10"/>
  <c r="Z94" i="10"/>
  <c r="C1465" i="16"/>
  <c r="D1185" i="16"/>
  <c r="E1185" i="16" s="1"/>
  <c r="J66" i="12"/>
  <c r="J68" i="12" s="1"/>
  <c r="Y93" i="10"/>
  <c r="Y103" i="10"/>
  <c r="T167" i="10"/>
  <c r="T129" i="10"/>
  <c r="T130" i="10" s="1"/>
  <c r="X254" i="14"/>
  <c r="X260" i="14" s="1"/>
  <c r="T120" i="10"/>
  <c r="T121" i="10" s="1"/>
  <c r="T187" i="10"/>
  <c r="K64" i="12"/>
  <c r="T116" i="10"/>
  <c r="T117" i="10"/>
  <c r="E52" i="21"/>
  <c r="AA39" i="14"/>
  <c r="W123" i="10"/>
  <c r="W118" i="10"/>
  <c r="AB257" i="17" s="1"/>
  <c r="W143" i="10"/>
  <c r="W110" i="10"/>
  <c r="H50" i="21"/>
  <c r="H49" i="21" s="1"/>
  <c r="X58" i="10"/>
  <c r="X109" i="10"/>
  <c r="AD250" i="14"/>
  <c r="AD253" i="14" s="1"/>
  <c r="Z57" i="10"/>
  <c r="Z54" i="10"/>
  <c r="Z72" i="10"/>
  <c r="Z73" i="10"/>
  <c r="Z74" i="10"/>
  <c r="Z82" i="10"/>
  <c r="J1139" i="16"/>
  <c r="K1127" i="16"/>
  <c r="E1222" i="16" s="1"/>
  <c r="F1222" i="16" s="1"/>
  <c r="T156" i="10"/>
  <c r="T157" i="10" s="1"/>
  <c r="E1466" i="16"/>
  <c r="V127" i="10"/>
  <c r="V114" i="10" s="1"/>
  <c r="V146" i="10" s="1"/>
  <c r="V124" i="10"/>
  <c r="V126" i="10" s="1"/>
  <c r="V111" i="10" s="1"/>
  <c r="X95" i="10"/>
  <c r="X105" i="10"/>
  <c r="Z90" i="10"/>
  <c r="Z102" i="10"/>
  <c r="Z92" i="10"/>
  <c r="K1420" i="16"/>
  <c r="F963" i="20"/>
  <c r="J1131" i="16"/>
  <c r="H1466" i="16"/>
  <c r="L1466" i="16" s="1"/>
  <c r="D1478" i="16"/>
  <c r="AC250" i="14"/>
  <c r="AC253" i="14" s="1"/>
  <c r="Y57" i="10"/>
  <c r="Y59" i="10"/>
  <c r="Y54" i="10"/>
  <c r="Y73" i="10"/>
  <c r="Y72" i="10"/>
  <c r="Y74" i="10"/>
  <c r="Y94" i="10"/>
  <c r="Y104" i="10"/>
  <c r="G53" i="21"/>
  <c r="V198" i="10"/>
  <c r="M65" i="12"/>
  <c r="Z257" i="14"/>
  <c r="V168" i="10"/>
  <c r="Z93" i="10"/>
  <c r="Z103" i="10"/>
  <c r="U64" i="5" l="1"/>
  <c r="U47" i="5"/>
  <c r="U50" i="5" s="1"/>
  <c r="L361" i="22"/>
  <c r="L363" i="22" s="1"/>
  <c r="M358" i="22"/>
  <c r="S49" i="4"/>
  <c r="N358" i="22"/>
  <c r="T49" i="4"/>
  <c r="AH47" i="17" s="1"/>
  <c r="M311" i="22"/>
  <c r="M316" i="22" s="1"/>
  <c r="M318" i="22" s="1"/>
  <c r="M332" i="22" s="1"/>
  <c r="N311" i="22"/>
  <c r="N316" i="22" s="1"/>
  <c r="N318" i="22" s="1"/>
  <c r="L252" i="22"/>
  <c r="M297" i="23"/>
  <c r="M334" i="22"/>
  <c r="N334" i="22" s="1"/>
  <c r="L335" i="22"/>
  <c r="L336" i="22" s="1"/>
  <c r="L343" i="22" s="1"/>
  <c r="N323" i="22"/>
  <c r="M323" i="22"/>
  <c r="N209" i="22"/>
  <c r="N212" i="22" s="1"/>
  <c r="N217" i="22" s="1"/>
  <c r="N199" i="22"/>
  <c r="M209" i="22"/>
  <c r="M212" i="22" s="1"/>
  <c r="M217" i="22" s="1"/>
  <c r="M199" i="22"/>
  <c r="M249" i="22"/>
  <c r="N249" i="22"/>
  <c r="O58" i="22"/>
  <c r="N158" i="22"/>
  <c r="N248" i="22"/>
  <c r="T72" i="4" s="1"/>
  <c r="AH54" i="17" s="1"/>
  <c r="M158" i="22"/>
  <c r="M248" i="22"/>
  <c r="S72" i="4" s="1"/>
  <c r="O114" i="22"/>
  <c r="O123" i="22" s="1"/>
  <c r="O307" i="22" s="1"/>
  <c r="P114" i="22"/>
  <c r="P123" i="22" s="1"/>
  <c r="P307" i="22" s="1"/>
  <c r="O61" i="22"/>
  <c r="O63" i="22" s="1"/>
  <c r="O54" i="22"/>
  <c r="P58" i="22"/>
  <c r="P54" i="22"/>
  <c r="P59" i="22"/>
  <c r="P61" i="22" s="1"/>
  <c r="E13" i="29"/>
  <c r="F12" i="29"/>
  <c r="G11" i="29"/>
  <c r="G12" i="29" s="1"/>
  <c r="M138" i="24"/>
  <c r="F13" i="29"/>
  <c r="H5039" i="8"/>
  <c r="O5038" i="8"/>
  <c r="P5038" i="8" s="1"/>
  <c r="H5041" i="8"/>
  <c r="H5044" i="8" s="1"/>
  <c r="E9" i="29"/>
  <c r="E15" i="29"/>
  <c r="E21" i="29" s="1"/>
  <c r="N137" i="24"/>
  <c r="N176" i="24" s="1"/>
  <c r="N148" i="24"/>
  <c r="L168" i="24"/>
  <c r="L169" i="24"/>
  <c r="W176" i="24" s="1"/>
  <c r="L144" i="24"/>
  <c r="L149" i="24" s="1"/>
  <c r="M119" i="24"/>
  <c r="M125" i="24" s="1"/>
  <c r="L172" i="24"/>
  <c r="L185" i="24"/>
  <c r="D21" i="29"/>
  <c r="D17" i="29"/>
  <c r="L130" i="24"/>
  <c r="F7" i="29"/>
  <c r="H4" i="29"/>
  <c r="H5" i="29"/>
  <c r="I4" i="29"/>
  <c r="I5" i="29"/>
  <c r="K156" i="24"/>
  <c r="E26" i="29"/>
  <c r="K2289" i="16"/>
  <c r="I86" i="22" s="1"/>
  <c r="N70" i="24"/>
  <c r="AC54" i="17"/>
  <c r="O148" i="4"/>
  <c r="D3572" i="16" s="1"/>
  <c r="L3572" i="16" s="1"/>
  <c r="H3760" i="16"/>
  <c r="D3564" i="16"/>
  <c r="L3564" i="16" s="1"/>
  <c r="G2848" i="16"/>
  <c r="G2864" i="16" s="1"/>
  <c r="D3828" i="16"/>
  <c r="F159" i="28"/>
  <c r="F3287" i="16"/>
  <c r="F3301" i="16" s="1"/>
  <c r="O103" i="4"/>
  <c r="K77" i="24"/>
  <c r="K81" i="24" s="1"/>
  <c r="K82" i="24" s="1"/>
  <c r="K83" i="24" s="1"/>
  <c r="O128" i="24"/>
  <c r="N119" i="24"/>
  <c r="W152" i="24"/>
  <c r="X152" i="24" s="1"/>
  <c r="Y152" i="24" s="1"/>
  <c r="Z152" i="24" s="1"/>
  <c r="O68" i="24"/>
  <c r="Q69" i="24"/>
  <c r="K206" i="24"/>
  <c r="D3415" i="16"/>
  <c r="K295" i="23"/>
  <c r="G3299" i="16"/>
  <c r="H3292" i="16"/>
  <c r="H169" i="28"/>
  <c r="E3447" i="16"/>
  <c r="I2398" i="16"/>
  <c r="I2400" i="16" s="1"/>
  <c r="I2401" i="16" s="1"/>
  <c r="N63" i="22"/>
  <c r="O57" i="24"/>
  <c r="O58" i="24" s="1"/>
  <c r="H2863" i="16"/>
  <c r="I2855" i="16"/>
  <c r="C3402" i="16"/>
  <c r="C3404" i="16" s="1"/>
  <c r="C3405" i="16" s="1"/>
  <c r="D3390" i="16"/>
  <c r="C3395" i="16"/>
  <c r="C3397" i="16" s="1"/>
  <c r="C3398" i="16" s="1"/>
  <c r="N92" i="24"/>
  <c r="J2397" i="16"/>
  <c r="J2914" i="16"/>
  <c r="J2918" i="16" s="1"/>
  <c r="O89" i="24"/>
  <c r="O55" i="24"/>
  <c r="J2249" i="16"/>
  <c r="J2250" i="16" s="1"/>
  <c r="C2256" i="16" s="1"/>
  <c r="C2257" i="16" s="1"/>
  <c r="O46" i="25"/>
  <c r="O47" i="25" s="1"/>
  <c r="O44" i="25"/>
  <c r="E2444" i="16"/>
  <c r="E2452" i="16" s="1"/>
  <c r="J2244" i="16"/>
  <c r="M93" i="24"/>
  <c r="O60" i="24"/>
  <c r="O53" i="24"/>
  <c r="O64" i="24"/>
  <c r="O133" i="24" s="1"/>
  <c r="O135" i="24" s="1"/>
  <c r="Q32" i="24"/>
  <c r="N61" i="24"/>
  <c r="N90" i="24"/>
  <c r="R38" i="24"/>
  <c r="R36" i="24" s="1"/>
  <c r="Q36" i="24"/>
  <c r="Q37" i="24" s="1"/>
  <c r="R43" i="24"/>
  <c r="R41" i="24" s="1"/>
  <c r="Q41" i="24"/>
  <c r="Q42" i="24" s="1"/>
  <c r="R32" i="24"/>
  <c r="P52" i="24"/>
  <c r="O43" i="25"/>
  <c r="R36" i="25"/>
  <c r="R34" i="25" s="1"/>
  <c r="Q34" i="25"/>
  <c r="Q35" i="25" s="1"/>
  <c r="P25" i="25"/>
  <c r="P42" i="25"/>
  <c r="Q29" i="25"/>
  <c r="Q30" i="25" s="1"/>
  <c r="R31" i="25"/>
  <c r="R29" i="25" s="1"/>
  <c r="Q24" i="25"/>
  <c r="R26" i="25"/>
  <c r="R24" i="25" s="1"/>
  <c r="K66" i="12"/>
  <c r="K68" i="12" s="1"/>
  <c r="D8" i="12"/>
  <c r="M157" i="14" s="1"/>
  <c r="E8" i="6"/>
  <c r="Z59" i="10"/>
  <c r="K281" i="4"/>
  <c r="K163" i="4"/>
  <c r="L262" i="4"/>
  <c r="L248" i="4" s="1"/>
  <c r="S204" i="10"/>
  <c r="S187" i="11"/>
  <c r="S193" i="10"/>
  <c r="S196" i="10" s="1"/>
  <c r="S199" i="10" s="1"/>
  <c r="X261" i="17" s="1"/>
  <c r="Y109" i="10"/>
  <c r="Y58" i="10"/>
  <c r="K1442" i="16"/>
  <c r="K1436" i="16"/>
  <c r="K1438" i="16" s="1"/>
  <c r="K1439" i="16" s="1"/>
  <c r="K1421" i="16"/>
  <c r="V144" i="10"/>
  <c r="V145" i="10" s="1"/>
  <c r="V147" i="10" s="1"/>
  <c r="V150" i="10" s="1"/>
  <c r="V155" i="10" s="1"/>
  <c r="V115" i="10"/>
  <c r="AA254" i="17" s="1"/>
  <c r="AA260" i="17" s="1"/>
  <c r="V112" i="10"/>
  <c r="V113" i="10" s="1"/>
  <c r="D1465" i="16"/>
  <c r="D1186" i="16"/>
  <c r="E1186" i="16" s="1"/>
  <c r="Y95" i="10"/>
  <c r="Y105" i="10"/>
  <c r="W127" i="10"/>
  <c r="W114" i="10" s="1"/>
  <c r="W146" i="10" s="1"/>
  <c r="W124" i="10"/>
  <c r="W126" i="10" s="1"/>
  <c r="W111" i="10" s="1"/>
  <c r="U167" i="10"/>
  <c r="U116" i="10"/>
  <c r="U117" i="10"/>
  <c r="U120" i="10"/>
  <c r="U121" i="10" s="1"/>
  <c r="U129" i="10"/>
  <c r="U130" i="10" s="1"/>
  <c r="U187" i="10"/>
  <c r="Y254" i="14"/>
  <c r="Y260" i="14" s="1"/>
  <c r="F52" i="21"/>
  <c r="L64" i="12"/>
  <c r="L66" i="12" s="1"/>
  <c r="L68" i="12" s="1"/>
  <c r="T191" i="10"/>
  <c r="T171" i="10"/>
  <c r="C1477" i="16"/>
  <c r="C1467" i="16"/>
  <c r="G1467" i="16" s="1"/>
  <c r="K1467" i="16" s="1"/>
  <c r="G1465" i="16"/>
  <c r="K1465" i="16" s="1"/>
  <c r="S170" i="11"/>
  <c r="W136" i="14" s="1"/>
  <c r="S205" i="10"/>
  <c r="S201" i="11" s="1"/>
  <c r="I1466" i="16"/>
  <c r="M1466" i="16" s="1"/>
  <c r="E1478" i="16"/>
  <c r="Z79" i="10"/>
  <c r="Y79" i="10"/>
  <c r="Z95" i="10"/>
  <c r="Z105" i="10"/>
  <c r="Z58" i="10"/>
  <c r="Z109" i="10"/>
  <c r="X110" i="10"/>
  <c r="I50" i="21"/>
  <c r="I49" i="21" s="1"/>
  <c r="AB39" i="14"/>
  <c r="X118" i="10"/>
  <c r="AC257" i="17" s="1"/>
  <c r="X143" i="10"/>
  <c r="X123" i="10"/>
  <c r="AA257" i="14"/>
  <c r="W198" i="10"/>
  <c r="H53" i="21"/>
  <c r="N65" i="12"/>
  <c r="W168" i="10"/>
  <c r="U156" i="10"/>
  <c r="U157" i="10" s="1"/>
  <c r="AG47" i="17" l="1"/>
  <c r="Q15" i="32"/>
  <c r="AG54" i="17"/>
  <c r="Q22" i="32"/>
  <c r="N360" i="22"/>
  <c r="T119" i="4"/>
  <c r="AH64" i="17" s="1"/>
  <c r="M360" i="22"/>
  <c r="S119" i="4"/>
  <c r="AG64" i="17" s="1"/>
  <c r="N325" i="22"/>
  <c r="N327" i="22" s="1"/>
  <c r="N328" i="22" s="1"/>
  <c r="N313" i="22"/>
  <c r="N314" i="22" s="1"/>
  <c r="N359" i="22"/>
  <c r="N107" i="22"/>
  <c r="M359" i="22"/>
  <c r="M107" i="22"/>
  <c r="M325" i="22"/>
  <c r="M327" i="22" s="1"/>
  <c r="M328" i="22" s="1"/>
  <c r="M336" i="22"/>
  <c r="M338" i="22" s="1"/>
  <c r="M339" i="22" s="1"/>
  <c r="M313" i="22"/>
  <c r="M314" i="22" s="1"/>
  <c r="N332" i="22"/>
  <c r="L338" i="22"/>
  <c r="L339" i="22" s="1"/>
  <c r="O334" i="22"/>
  <c r="N336" i="22"/>
  <c r="P309" i="22"/>
  <c r="O309" i="22"/>
  <c r="G13" i="29"/>
  <c r="O208" i="22"/>
  <c r="O210" i="22" s="1"/>
  <c r="O185" i="22"/>
  <c r="M161" i="22"/>
  <c r="M182" i="22"/>
  <c r="N161" i="22"/>
  <c r="N182" i="22"/>
  <c r="P208" i="22"/>
  <c r="P210" i="22" s="1"/>
  <c r="P185" i="22"/>
  <c r="M250" i="22"/>
  <c r="N250" i="22"/>
  <c r="P247" i="22"/>
  <c r="O247" i="22"/>
  <c r="P151" i="22"/>
  <c r="P154" i="22"/>
  <c r="P320" i="22" s="1"/>
  <c r="O124" i="22"/>
  <c r="O151" i="22"/>
  <c r="O154" i="22"/>
  <c r="O320" i="22" s="1"/>
  <c r="O322" i="22" s="1"/>
  <c r="P124" i="22"/>
  <c r="N138" i="24"/>
  <c r="H11" i="29"/>
  <c r="H13" i="29" s="1"/>
  <c r="E17" i="29"/>
  <c r="L177" i="24"/>
  <c r="W172" i="24"/>
  <c r="M141" i="24"/>
  <c r="M144" i="24" s="1"/>
  <c r="M149" i="24" s="1"/>
  <c r="O137" i="24"/>
  <c r="O176" i="24" s="1"/>
  <c r="O148" i="24"/>
  <c r="M185" i="24"/>
  <c r="M147" i="24"/>
  <c r="F15" i="29"/>
  <c r="F8" i="29"/>
  <c r="F9" i="29"/>
  <c r="K181" i="24"/>
  <c r="E27" i="29"/>
  <c r="M130" i="24"/>
  <c r="G7" i="29"/>
  <c r="K188" i="24"/>
  <c r="L173" i="24"/>
  <c r="F40" i="29" s="1"/>
  <c r="F39" i="29"/>
  <c r="M172" i="24"/>
  <c r="M177" i="24" s="1"/>
  <c r="N3828" i="16"/>
  <c r="D3842" i="16"/>
  <c r="N3842" i="16" s="1"/>
  <c r="H3778" i="16"/>
  <c r="L3778" i="16" s="1"/>
  <c r="L3792" i="16" s="1"/>
  <c r="L3760" i="16"/>
  <c r="L71" i="24"/>
  <c r="L74" i="24" s="1"/>
  <c r="L75" i="24" s="1"/>
  <c r="N125" i="24"/>
  <c r="N141" i="24"/>
  <c r="N144" i="24" s="1"/>
  <c r="N149" i="24" s="1"/>
  <c r="O119" i="24"/>
  <c r="O125" i="24" s="1"/>
  <c r="O147" i="24" s="1"/>
  <c r="P128" i="24"/>
  <c r="Q128" i="24" s="1"/>
  <c r="P68" i="24"/>
  <c r="P114" i="24"/>
  <c r="F3438" i="16"/>
  <c r="F3440" i="16" s="1"/>
  <c r="F3443" i="16"/>
  <c r="O70" i="24"/>
  <c r="L154" i="24"/>
  <c r="M248" i="24"/>
  <c r="M250" i="24" s="1"/>
  <c r="R69" i="24"/>
  <c r="L210" i="24"/>
  <c r="K208" i="24"/>
  <c r="P57" i="24"/>
  <c r="P58" i="24" s="1"/>
  <c r="L295" i="23"/>
  <c r="H158" i="28"/>
  <c r="AE52" i="17"/>
  <c r="E3448" i="16"/>
  <c r="P63" i="22"/>
  <c r="N93" i="24"/>
  <c r="M295" i="23" s="1"/>
  <c r="O61" i="24"/>
  <c r="P55" i="24"/>
  <c r="O92" i="24"/>
  <c r="W70" i="4"/>
  <c r="H3285" i="16"/>
  <c r="H3299" i="16" s="1"/>
  <c r="J2396" i="16"/>
  <c r="J2398" i="16" s="1"/>
  <c r="J2400" i="16" s="1"/>
  <c r="J2401" i="16" s="1"/>
  <c r="C2407" i="16" s="1"/>
  <c r="C2408" i="16" s="1"/>
  <c r="I2847" i="16"/>
  <c r="I2863" i="16" s="1"/>
  <c r="P46" i="25"/>
  <c r="P47" i="25" s="1"/>
  <c r="P44" i="25"/>
  <c r="O90" i="24"/>
  <c r="R42" i="24"/>
  <c r="R37" i="24"/>
  <c r="Q52" i="24"/>
  <c r="P53" i="24"/>
  <c r="P60" i="24"/>
  <c r="P64" i="24"/>
  <c r="P133" i="24" s="1"/>
  <c r="P89" i="24"/>
  <c r="R52" i="24"/>
  <c r="R114" i="24" s="1"/>
  <c r="R116" i="24" s="1"/>
  <c r="R25" i="25"/>
  <c r="R42" i="25"/>
  <c r="R35" i="25"/>
  <c r="Q25" i="25"/>
  <c r="Q42" i="25"/>
  <c r="P43" i="25"/>
  <c r="R30" i="25"/>
  <c r="K1449" i="16"/>
  <c r="K1451" i="16" s="1"/>
  <c r="K1445" i="16"/>
  <c r="C1619" i="16"/>
  <c r="C1620" i="16" s="1"/>
  <c r="W144" i="10"/>
  <c r="W145" i="10" s="1"/>
  <c r="W147" i="10" s="1"/>
  <c r="W150" i="10" s="1"/>
  <c r="W155" i="10" s="1"/>
  <c r="W112" i="10"/>
  <c r="W113" i="10" s="1"/>
  <c r="W115" i="10"/>
  <c r="AB254" i="17" s="1"/>
  <c r="AB260" i="17" s="1"/>
  <c r="X168" i="10"/>
  <c r="AB257" i="14"/>
  <c r="O65" i="12"/>
  <c r="X198" i="10"/>
  <c r="I53" i="21"/>
  <c r="X124" i="10"/>
  <c r="X126" i="10" s="1"/>
  <c r="X111" i="10" s="1"/>
  <c r="X127" i="10"/>
  <c r="X114" i="10" s="1"/>
  <c r="X146" i="10" s="1"/>
  <c r="Z123" i="10"/>
  <c r="AD39" i="14"/>
  <c r="Z118" i="10"/>
  <c r="AE257" i="17" s="1"/>
  <c r="Z110" i="10"/>
  <c r="Z143" i="10"/>
  <c r="K50" i="21"/>
  <c r="K49" i="21" s="1"/>
  <c r="Y110" i="10"/>
  <c r="Y118" i="10"/>
  <c r="AD257" i="17" s="1"/>
  <c r="Y123" i="10"/>
  <c r="J50" i="21"/>
  <c r="J49" i="21" s="1"/>
  <c r="Y143" i="10"/>
  <c r="AC39" i="14"/>
  <c r="L260" i="4"/>
  <c r="L388" i="4"/>
  <c r="L461" i="4"/>
  <c r="L492" i="4" s="1"/>
  <c r="D1467" i="16"/>
  <c r="D1477" i="16"/>
  <c r="H1465" i="16"/>
  <c r="L1465" i="16" s="1"/>
  <c r="S206" i="10"/>
  <c r="S200" i="11"/>
  <c r="S202" i="11" s="1"/>
  <c r="T205" i="10"/>
  <c r="T201" i="11" s="1"/>
  <c r="T170" i="11"/>
  <c r="X136" i="14" s="1"/>
  <c r="U191" i="10"/>
  <c r="U204" i="10" s="1"/>
  <c r="U171" i="10"/>
  <c r="U205" i="10" s="1"/>
  <c r="Z254" i="14"/>
  <c r="Z260" i="14" s="1"/>
  <c r="V129" i="10"/>
  <c r="V130" i="10" s="1"/>
  <c r="M64" i="12"/>
  <c r="M66" i="12" s="1"/>
  <c r="M68" i="12" s="1"/>
  <c r="G52" i="21"/>
  <c r="V187" i="10"/>
  <c r="V120" i="10"/>
  <c r="V121" i="10" s="1"/>
  <c r="V116" i="10"/>
  <c r="V117" i="10"/>
  <c r="V167" i="10"/>
  <c r="W261" i="14"/>
  <c r="T204" i="10"/>
  <c r="T187" i="11"/>
  <c r="T193" i="10"/>
  <c r="T196" i="10" s="1"/>
  <c r="T199" i="10" s="1"/>
  <c r="Y261" i="17" s="1"/>
  <c r="E1465" i="16"/>
  <c r="O1421" i="16"/>
  <c r="O1436" i="16"/>
  <c r="O1438" i="16" s="1"/>
  <c r="O1439" i="16" s="1"/>
  <c r="O1440" i="16" s="1"/>
  <c r="O1442" i="16" s="1"/>
  <c r="V156" i="10"/>
  <c r="V157" i="10" s="1"/>
  <c r="N361" i="22" l="1"/>
  <c r="N363" i="22" s="1"/>
  <c r="O358" i="22"/>
  <c r="U49" i="4"/>
  <c r="AI47" i="17" s="1"/>
  <c r="P358" i="22"/>
  <c r="V49" i="4"/>
  <c r="AJ47" i="17" s="1"/>
  <c r="M361" i="22"/>
  <c r="M363" i="22" s="1"/>
  <c r="M252" i="22"/>
  <c r="N297" i="23"/>
  <c r="M343" i="22"/>
  <c r="O311" i="22"/>
  <c r="O316" i="22" s="1"/>
  <c r="O318" i="22" s="1"/>
  <c r="O332" i="22" s="1"/>
  <c r="N252" i="22"/>
  <c r="O297" i="23"/>
  <c r="P311" i="22"/>
  <c r="P313" i="22" s="1"/>
  <c r="P314" i="22" s="1"/>
  <c r="N343" i="22"/>
  <c r="N338" i="22"/>
  <c r="N339" i="22" s="1"/>
  <c r="P334" i="22"/>
  <c r="P336" i="22" s="1"/>
  <c r="P343" i="22" s="1"/>
  <c r="C346" i="22" s="1"/>
  <c r="C347" i="22" s="1"/>
  <c r="O336" i="22"/>
  <c r="O323" i="22"/>
  <c r="P322" i="22"/>
  <c r="O209" i="22"/>
  <c r="O212" i="22" s="1"/>
  <c r="O217" i="22" s="1"/>
  <c r="O199" i="22"/>
  <c r="P209" i="22"/>
  <c r="P212" i="22" s="1"/>
  <c r="P217" i="22" s="1"/>
  <c r="P199" i="22"/>
  <c r="O249" i="22"/>
  <c r="P249" i="22"/>
  <c r="P158" i="22"/>
  <c r="P248" i="22"/>
  <c r="V72" i="4" s="1"/>
  <c r="AJ54" i="17" s="1"/>
  <c r="O158" i="22"/>
  <c r="O248" i="22"/>
  <c r="U72" i="4" s="1"/>
  <c r="AI54" i="17" s="1"/>
  <c r="H12" i="29"/>
  <c r="G3438" i="16"/>
  <c r="G3440" i="16" s="1"/>
  <c r="R128" i="24"/>
  <c r="R119" i="24" s="1"/>
  <c r="I11" i="29"/>
  <c r="I13" i="29" s="1"/>
  <c r="Q68" i="24"/>
  <c r="Q114" i="24"/>
  <c r="Q116" i="24" s="1"/>
  <c r="G3443" i="16"/>
  <c r="O138" i="24"/>
  <c r="N185" i="24"/>
  <c r="N147" i="24"/>
  <c r="O172" i="24"/>
  <c r="O173" i="24" s="1"/>
  <c r="O130" i="24"/>
  <c r="E43" i="29"/>
  <c r="K183" i="24"/>
  <c r="E45" i="29" s="1"/>
  <c r="N130" i="24"/>
  <c r="H7" i="29"/>
  <c r="L155" i="24"/>
  <c r="F25" i="29"/>
  <c r="M173" i="24"/>
  <c r="G40" i="29" s="1"/>
  <c r="G39" i="29"/>
  <c r="G15" i="29"/>
  <c r="G8" i="29"/>
  <c r="G9" i="29"/>
  <c r="E35" i="29"/>
  <c r="F21" i="29"/>
  <c r="F17" i="29"/>
  <c r="N172" i="24"/>
  <c r="N177" i="24" s="1"/>
  <c r="L77" i="24"/>
  <c r="L81" i="24" s="1"/>
  <c r="L82" i="24" s="1"/>
  <c r="M71" i="24" s="1"/>
  <c r="M74" i="24" s="1"/>
  <c r="M75" i="24" s="1"/>
  <c r="S114" i="24"/>
  <c r="P116" i="24"/>
  <c r="P70" i="24"/>
  <c r="P119" i="24"/>
  <c r="O141" i="24"/>
  <c r="O144" i="24" s="1"/>
  <c r="O149" i="24" s="1"/>
  <c r="S133" i="24"/>
  <c r="P135" i="24"/>
  <c r="P148" i="24" s="1"/>
  <c r="M154" i="24"/>
  <c r="G25" i="29" s="1"/>
  <c r="L211" i="24"/>
  <c r="L212" i="24" s="1"/>
  <c r="R68" i="24"/>
  <c r="H3443" i="16"/>
  <c r="E3449" i="16"/>
  <c r="E3451" i="16" s="1"/>
  <c r="F3444" i="16"/>
  <c r="H3438" i="16"/>
  <c r="H3440" i="16" s="1"/>
  <c r="C3415" i="16"/>
  <c r="E3417" i="16" s="1"/>
  <c r="E3418" i="16" s="1"/>
  <c r="R55" i="24"/>
  <c r="R57" i="24"/>
  <c r="Q55" i="24"/>
  <c r="Q57" i="24"/>
  <c r="Q58" i="24" s="1"/>
  <c r="O93" i="24"/>
  <c r="N295" i="23" s="1"/>
  <c r="P92" i="24"/>
  <c r="C2404" i="16"/>
  <c r="C2409" i="16" s="1"/>
  <c r="C2410" i="16" s="1"/>
  <c r="Q46" i="25"/>
  <c r="Q47" i="25" s="1"/>
  <c r="Q44" i="25"/>
  <c r="R46" i="25"/>
  <c r="R44" i="25"/>
  <c r="R64" i="24"/>
  <c r="R53" i="24"/>
  <c r="R60" i="24"/>
  <c r="R89" i="24"/>
  <c r="P61" i="24"/>
  <c r="P90" i="24"/>
  <c r="Q60" i="24"/>
  <c r="Q53" i="24"/>
  <c r="Q64" i="24"/>
  <c r="Q89" i="24"/>
  <c r="Q43" i="25"/>
  <c r="R43" i="25"/>
  <c r="K1448" i="16"/>
  <c r="K1453" i="16" s="1"/>
  <c r="K1454" i="16" s="1"/>
  <c r="C1604" i="16"/>
  <c r="C1605" i="16" s="1"/>
  <c r="C1606" i="16" s="1"/>
  <c r="L1449" i="16"/>
  <c r="M1449" i="16" s="1"/>
  <c r="N1449" i="16" s="1"/>
  <c r="C1609" i="16"/>
  <c r="C1610" i="16" s="1"/>
  <c r="C1611" i="16" s="1"/>
  <c r="O1445" i="16"/>
  <c r="D1619" i="16"/>
  <c r="D1620" i="16" s="1"/>
  <c r="U193" i="10"/>
  <c r="U196" i="10" s="1"/>
  <c r="U199" i="10" s="1"/>
  <c r="Z261" i="17" s="1"/>
  <c r="W156" i="10"/>
  <c r="W157" i="10" s="1"/>
  <c r="T200" i="11"/>
  <c r="T202" i="11" s="1"/>
  <c r="T206" i="10"/>
  <c r="U206" i="10"/>
  <c r="D1479" i="16"/>
  <c r="H1467" i="16"/>
  <c r="L1467" i="16" s="1"/>
  <c r="Y127" i="10"/>
  <c r="Y114" i="10" s="1"/>
  <c r="Y146" i="10" s="1"/>
  <c r="Y124" i="10"/>
  <c r="Y126" i="10" s="1"/>
  <c r="Y111" i="10" s="1"/>
  <c r="Z124" i="10"/>
  <c r="Z126" i="10" s="1"/>
  <c r="Z111" i="10" s="1"/>
  <c r="Z127" i="10"/>
  <c r="Z114" i="10" s="1"/>
  <c r="Z146" i="10" s="1"/>
  <c r="E1477" i="16"/>
  <c r="I1465" i="16"/>
  <c r="M1465" i="16" s="1"/>
  <c r="E1467" i="16"/>
  <c r="L13" i="4"/>
  <c r="Z23" i="17" s="1"/>
  <c r="L266" i="4"/>
  <c r="X144" i="10"/>
  <c r="X145" i="10" s="1"/>
  <c r="X147" i="10" s="1"/>
  <c r="X150" i="10" s="1"/>
  <c r="X155" i="10" s="1"/>
  <c r="X115" i="10"/>
  <c r="AC254" i="17" s="1"/>
  <c r="AC260" i="17" s="1"/>
  <c r="X112" i="10"/>
  <c r="X113" i="10" s="1"/>
  <c r="X261" i="14"/>
  <c r="V191" i="10"/>
  <c r="V204" i="10" s="1"/>
  <c r="V171" i="10"/>
  <c r="V205" i="10" s="1"/>
  <c r="Z198" i="10"/>
  <c r="Q65" i="12"/>
  <c r="K53" i="21"/>
  <c r="Z168" i="10"/>
  <c r="AD257" i="14"/>
  <c r="W120" i="10"/>
  <c r="W121" i="10" s="1"/>
  <c r="N64" i="12"/>
  <c r="N66" i="12" s="1"/>
  <c r="N68" i="12" s="1"/>
  <c r="H52" i="21"/>
  <c r="W117" i="10"/>
  <c r="W187" i="10"/>
  <c r="W129" i="10"/>
  <c r="W130" i="10" s="1"/>
  <c r="W167" i="10"/>
  <c r="W116" i="10"/>
  <c r="AA254" i="14"/>
  <c r="AA260" i="14" s="1"/>
  <c r="P65" i="12"/>
  <c r="Y198" i="10"/>
  <c r="AC257" i="14"/>
  <c r="Y168" i="10"/>
  <c r="J53" i="21"/>
  <c r="P360" i="22" l="1"/>
  <c r="V119" i="4"/>
  <c r="AJ64" i="17" s="1"/>
  <c r="O360" i="22"/>
  <c r="U119" i="4"/>
  <c r="AI64" i="17" s="1"/>
  <c r="P325" i="22"/>
  <c r="P327" i="22" s="1"/>
  <c r="P328" i="22" s="1"/>
  <c r="P359" i="22"/>
  <c r="P107" i="22"/>
  <c r="O313" i="22"/>
  <c r="O314" i="22" s="1"/>
  <c r="O325" i="22"/>
  <c r="O327" i="22" s="1"/>
  <c r="O328" i="22" s="1"/>
  <c r="O359" i="22"/>
  <c r="O107" i="22"/>
  <c r="P316" i="22"/>
  <c r="P318" i="22" s="1"/>
  <c r="P332" i="22" s="1"/>
  <c r="O338" i="22"/>
  <c r="O339" i="22" s="1"/>
  <c r="O343" i="22"/>
  <c r="C344" i="22" s="1"/>
  <c r="P323" i="22"/>
  <c r="O161" i="22"/>
  <c r="O182" i="22"/>
  <c r="P161" i="22"/>
  <c r="P182" i="22"/>
  <c r="P250" i="22"/>
  <c r="O250" i="22"/>
  <c r="Q70" i="24"/>
  <c r="I12" i="29"/>
  <c r="Q119" i="24"/>
  <c r="R125" i="24"/>
  <c r="Q92" i="24"/>
  <c r="Q133" i="24"/>
  <c r="Q135" i="24" s="1"/>
  <c r="R92" i="24"/>
  <c r="R133" i="24"/>
  <c r="R135" i="24" s="1"/>
  <c r="O185" i="24"/>
  <c r="M77" i="24"/>
  <c r="M81" i="24" s="1"/>
  <c r="M82" i="24" s="1"/>
  <c r="M83" i="24" s="1"/>
  <c r="L83" i="24"/>
  <c r="N173" i="24"/>
  <c r="H40" i="29" s="1"/>
  <c r="H39" i="29"/>
  <c r="L156" i="24"/>
  <c r="F26" i="29"/>
  <c r="G21" i="29"/>
  <c r="G17" i="29"/>
  <c r="I7" i="29"/>
  <c r="E36" i="29"/>
  <c r="K174" i="24"/>
  <c r="E41" i="29" s="1"/>
  <c r="S116" i="24"/>
  <c r="J4" i="29"/>
  <c r="J5" i="29"/>
  <c r="H8" i="29"/>
  <c r="H9" i="29"/>
  <c r="H15" i="29"/>
  <c r="P125" i="24"/>
  <c r="P147" i="24" s="1"/>
  <c r="S119" i="24"/>
  <c r="P141" i="24"/>
  <c r="P144" i="24" s="1"/>
  <c r="P149" i="24" s="1"/>
  <c r="S135" i="24"/>
  <c r="P137" i="24"/>
  <c r="P176" i="24" s="1"/>
  <c r="O177" i="24"/>
  <c r="M155" i="24"/>
  <c r="L213" i="24"/>
  <c r="L214" i="24" s="1"/>
  <c r="R70" i="24"/>
  <c r="L265" i="4"/>
  <c r="F3447" i="16"/>
  <c r="F3448" i="16" s="1"/>
  <c r="F3449" i="16" s="1"/>
  <c r="F3451" i="16" s="1"/>
  <c r="R58" i="24"/>
  <c r="P93" i="24"/>
  <c r="O295" i="23" s="1"/>
  <c r="R47" i="25"/>
  <c r="R61" i="24"/>
  <c r="R90" i="24"/>
  <c r="Q61" i="24"/>
  <c r="Q90" i="24"/>
  <c r="Y261" i="14"/>
  <c r="K1447" i="16"/>
  <c r="L1447" i="16" s="1"/>
  <c r="M1447" i="16" s="1"/>
  <c r="V206" i="10"/>
  <c r="O1449" i="16"/>
  <c r="D1604" i="16" s="1"/>
  <c r="D1609" i="16" s="1"/>
  <c r="D1610" i="16" s="1"/>
  <c r="D1611" i="16" s="1"/>
  <c r="L1451" i="16"/>
  <c r="P207" i="10"/>
  <c r="Z144" i="10"/>
  <c r="Z145" i="10" s="1"/>
  <c r="Z147" i="10" s="1"/>
  <c r="Z150" i="10" s="1"/>
  <c r="Z155" i="10" s="1"/>
  <c r="Z112" i="10"/>
  <c r="Z113" i="10" s="1"/>
  <c r="Z115" i="10"/>
  <c r="AE254" i="17" s="1"/>
  <c r="AE260" i="17" s="1"/>
  <c r="Y144" i="10"/>
  <c r="Y145" i="10" s="1"/>
  <c r="Y147" i="10" s="1"/>
  <c r="Y150" i="10" s="1"/>
  <c r="Y155" i="10" s="1"/>
  <c r="Y112" i="10"/>
  <c r="Y113" i="10" s="1"/>
  <c r="Y115" i="10"/>
  <c r="AD254" i="17" s="1"/>
  <c r="AD260" i="17" s="1"/>
  <c r="W191" i="10"/>
  <c r="W204" i="10" s="1"/>
  <c r="W171" i="10"/>
  <c r="W205" i="10" s="1"/>
  <c r="X156" i="10"/>
  <c r="X157" i="10" s="1"/>
  <c r="E1479" i="16"/>
  <c r="I1467" i="16"/>
  <c r="M1467" i="16" s="1"/>
  <c r="AB254" i="14"/>
  <c r="AB260" i="14" s="1"/>
  <c r="X116" i="10"/>
  <c r="I52" i="21"/>
  <c r="X129" i="10"/>
  <c r="X130" i="10" s="1"/>
  <c r="O64" i="12"/>
  <c r="O66" i="12" s="1"/>
  <c r="O68" i="12" s="1"/>
  <c r="X120" i="10"/>
  <c r="X121" i="10" s="1"/>
  <c r="X117" i="10"/>
  <c r="X187" i="10"/>
  <c r="X167" i="10"/>
  <c r="V193" i="10"/>
  <c r="V196" i="10" s="1"/>
  <c r="V199" i="10" s="1"/>
  <c r="AA261" i="17" s="1"/>
  <c r="M1451" i="16"/>
  <c r="C348" i="22" l="1"/>
  <c r="C350" i="22" s="1"/>
  <c r="C353" i="22" s="1"/>
  <c r="P361" i="22"/>
  <c r="P363" i="22" s="1"/>
  <c r="O361" i="22"/>
  <c r="O363" i="22" s="1"/>
  <c r="Q93" i="24"/>
  <c r="P295" i="23" s="1"/>
  <c r="P338" i="22"/>
  <c r="P339" i="22" s="1"/>
  <c r="P252" i="22"/>
  <c r="Q297" i="23"/>
  <c r="O252" i="22"/>
  <c r="P297" i="23"/>
  <c r="R93" i="24"/>
  <c r="Q295" i="23" s="1"/>
  <c r="Q137" i="24"/>
  <c r="Q138" i="24" s="1"/>
  <c r="Q148" i="24"/>
  <c r="R137" i="24"/>
  <c r="R138" i="24" s="1"/>
  <c r="R148" i="24"/>
  <c r="R130" i="24"/>
  <c r="R147" i="24"/>
  <c r="R172" i="24"/>
  <c r="R173" i="24" s="1"/>
  <c r="R141" i="24"/>
  <c r="R144" i="24" s="1"/>
  <c r="R149" i="24" s="1"/>
  <c r="R154" i="24" s="1"/>
  <c r="R155" i="24" s="1"/>
  <c r="R156" i="24" s="1"/>
  <c r="Q141" i="24"/>
  <c r="Q144" i="24" s="1"/>
  <c r="Q149" i="24" s="1"/>
  <c r="Q154" i="24" s="1"/>
  <c r="Q155" i="24" s="1"/>
  <c r="Q156" i="24" s="1"/>
  <c r="Q125" i="24"/>
  <c r="P185" i="24"/>
  <c r="P172" i="24"/>
  <c r="P173" i="24" s="1"/>
  <c r="N71" i="24"/>
  <c r="N74" i="24" s="1"/>
  <c r="N75" i="24" s="1"/>
  <c r="N77" i="24" s="1"/>
  <c r="N81" i="24" s="1"/>
  <c r="N82" i="24" s="1"/>
  <c r="O71" i="24" s="1"/>
  <c r="O74" i="24" s="1"/>
  <c r="O75" i="24" s="1"/>
  <c r="O77" i="24" s="1"/>
  <c r="O81" i="24" s="1"/>
  <c r="O82" i="24" s="1"/>
  <c r="I40" i="29"/>
  <c r="I39" i="29"/>
  <c r="I15" i="29"/>
  <c r="I8" i="29"/>
  <c r="I9" i="29"/>
  <c r="J7" i="29"/>
  <c r="F27" i="29"/>
  <c r="L188" i="24"/>
  <c r="P138" i="24"/>
  <c r="J11" i="29"/>
  <c r="M156" i="24"/>
  <c r="M168" i="24" s="1"/>
  <c r="G26" i="29"/>
  <c r="H21" i="29"/>
  <c r="H17" i="29"/>
  <c r="P130" i="24"/>
  <c r="S125" i="24"/>
  <c r="L206" i="24"/>
  <c r="L208" i="24" s="1"/>
  <c r="L1448" i="16"/>
  <c r="L1453" i="16" s="1"/>
  <c r="L1454" i="16" s="1"/>
  <c r="D1605" i="16"/>
  <c r="D1606" i="16" s="1"/>
  <c r="W206" i="10"/>
  <c r="W193" i="10"/>
  <c r="W196" i="10" s="1"/>
  <c r="W199" i="10" s="1"/>
  <c r="AB261" i="17" s="1"/>
  <c r="Z167" i="10"/>
  <c r="Z120" i="10"/>
  <c r="Z121" i="10" s="1"/>
  <c r="Z116" i="10"/>
  <c r="K52" i="21"/>
  <c r="Q64" i="12"/>
  <c r="Q66" i="12" s="1"/>
  <c r="Q68" i="12" s="1"/>
  <c r="Z129" i="10"/>
  <c r="Z130" i="10" s="1"/>
  <c r="AD254" i="14"/>
  <c r="AD260" i="14" s="1"/>
  <c r="Z117" i="10"/>
  <c r="Z187" i="10"/>
  <c r="O1451" i="16"/>
  <c r="N1451" i="16"/>
  <c r="L163" i="4"/>
  <c r="L281" i="4"/>
  <c r="M262" i="4"/>
  <c r="M248" i="4" s="1"/>
  <c r="X191" i="10"/>
  <c r="X204" i="10" s="1"/>
  <c r="X171" i="10"/>
  <c r="X205" i="10" s="1"/>
  <c r="Y167" i="10"/>
  <c r="P64" i="12"/>
  <c r="P66" i="12" s="1"/>
  <c r="P68" i="12" s="1"/>
  <c r="Y187" i="10"/>
  <c r="Y116" i="10"/>
  <c r="J52" i="21"/>
  <c r="Y129" i="10"/>
  <c r="Y130" i="10" s="1"/>
  <c r="Y117" i="10"/>
  <c r="AC254" i="14"/>
  <c r="AC260" i="14" s="1"/>
  <c r="Y120" i="10"/>
  <c r="Y121" i="10" s="1"/>
  <c r="Z261" i="14"/>
  <c r="Y156" i="10"/>
  <c r="Y157" i="10" s="1"/>
  <c r="N1447" i="16"/>
  <c r="M1448" i="16"/>
  <c r="M1453" i="16" s="1"/>
  <c r="M1454" i="16" s="1"/>
  <c r="Z156" i="10"/>
  <c r="Z157" i="10" s="1"/>
  <c r="E323" i="23" l="1"/>
  <c r="F323" i="23" s="1"/>
  <c r="C323" i="23"/>
  <c r="G323" i="23" s="1"/>
  <c r="E321" i="23"/>
  <c r="F321" i="23" s="1"/>
  <c r="C321" i="23"/>
  <c r="Q130" i="24"/>
  <c r="Q147" i="24"/>
  <c r="Q172" i="24"/>
  <c r="Q173" i="24" s="1"/>
  <c r="M188" i="24"/>
  <c r="M169" i="24"/>
  <c r="P177" i="24"/>
  <c r="N83" i="24"/>
  <c r="L181" i="24"/>
  <c r="L183" i="24" s="1"/>
  <c r="F45" i="29" s="1"/>
  <c r="J9" i="29"/>
  <c r="J15" i="29"/>
  <c r="J8" i="29"/>
  <c r="J40" i="29"/>
  <c r="J39" i="29"/>
  <c r="F35" i="29"/>
  <c r="G27" i="29"/>
  <c r="J12" i="29"/>
  <c r="J13" i="29"/>
  <c r="I21" i="29"/>
  <c r="I17" i="29"/>
  <c r="M210" i="24"/>
  <c r="M211" i="24" s="1"/>
  <c r="M212" i="24" s="1"/>
  <c r="M213" i="24" s="1"/>
  <c r="N154" i="24"/>
  <c r="H25" i="29" s="1"/>
  <c r="P71" i="24"/>
  <c r="P74" i="24" s="1"/>
  <c r="P75" i="24" s="1"/>
  <c r="P77" i="24" s="1"/>
  <c r="P81" i="24" s="1"/>
  <c r="O83" i="24"/>
  <c r="G3444" i="16"/>
  <c r="K75" i="12"/>
  <c r="X206" i="10"/>
  <c r="O75" i="12"/>
  <c r="H75" i="12"/>
  <c r="I75" i="12"/>
  <c r="J75" i="12"/>
  <c r="P75" i="12"/>
  <c r="Q73" i="12"/>
  <c r="K76" i="12" s="1"/>
  <c r="Q75" i="12"/>
  <c r="M75" i="12"/>
  <c r="O1447" i="16"/>
  <c r="O1448" i="16" s="1"/>
  <c r="O1453" i="16" s="1"/>
  <c r="O1454" i="16" s="1"/>
  <c r="N1448" i="16"/>
  <c r="N1453" i="16" s="1"/>
  <c r="N1454" i="16" s="1"/>
  <c r="L75" i="12"/>
  <c r="AA261" i="14"/>
  <c r="N75" i="12"/>
  <c r="Z191" i="10"/>
  <c r="Z204" i="10" s="1"/>
  <c r="Z171" i="10"/>
  <c r="Z205" i="10" s="1"/>
  <c r="Y191" i="10"/>
  <c r="Y204" i="10" s="1"/>
  <c r="Y171" i="10"/>
  <c r="Y205" i="10" s="1"/>
  <c r="X193" i="10"/>
  <c r="X196" i="10" s="1"/>
  <c r="X199" i="10" s="1"/>
  <c r="AC261" i="17" s="1"/>
  <c r="M260" i="4"/>
  <c r="M266" i="4" s="1"/>
  <c r="M265" i="4" s="1"/>
  <c r="M388" i="4"/>
  <c r="M461" i="4"/>
  <c r="M492" i="4" s="1"/>
  <c r="G75" i="12"/>
  <c r="G321" i="23" l="1"/>
  <c r="G11" i="6"/>
  <c r="D11" i="6" s="1"/>
  <c r="B255" i="29"/>
  <c r="F43" i="29"/>
  <c r="M181" i="24"/>
  <c r="G43" i="29" s="1"/>
  <c r="I197" i="24"/>
  <c r="B58" i="29" s="1"/>
  <c r="W170" i="24"/>
  <c r="W171" i="24" s="1"/>
  <c r="W173" i="24" s="1"/>
  <c r="F36" i="29"/>
  <c r="L174" i="24"/>
  <c r="F41" i="29" s="1"/>
  <c r="G35" i="29"/>
  <c r="J21" i="29"/>
  <c r="J17" i="29"/>
  <c r="N155" i="24"/>
  <c r="M206" i="24"/>
  <c r="M214" i="24"/>
  <c r="P82" i="24"/>
  <c r="G3447" i="16"/>
  <c r="G3448" i="16" s="1"/>
  <c r="G3449" i="16" s="1"/>
  <c r="G3451" i="16" s="1"/>
  <c r="C2452" i="16"/>
  <c r="K77" i="12"/>
  <c r="E8" i="12" s="1"/>
  <c r="Y193" i="10"/>
  <c r="Y196" i="10" s="1"/>
  <c r="Y199" i="10" s="1"/>
  <c r="AB261" i="14"/>
  <c r="Q76" i="12"/>
  <c r="Q77" i="12" s="1"/>
  <c r="P76" i="12"/>
  <c r="P77" i="12" s="1"/>
  <c r="I76" i="12"/>
  <c r="I77" i="12" s="1"/>
  <c r="L76" i="12"/>
  <c r="L77" i="12" s="1"/>
  <c r="G76" i="12"/>
  <c r="G77" i="12" s="1"/>
  <c r="N76" i="12"/>
  <c r="N77" i="12" s="1"/>
  <c r="J76" i="12"/>
  <c r="J77" i="12" s="1"/>
  <c r="O76" i="12"/>
  <c r="O77" i="12" s="1"/>
  <c r="H76" i="12"/>
  <c r="H77" i="12" s="1"/>
  <c r="M76" i="12"/>
  <c r="M77" i="12" s="1"/>
  <c r="Z206" i="10"/>
  <c r="M13" i="4"/>
  <c r="AA23" i="17" s="1"/>
  <c r="Y206" i="10"/>
  <c r="Z193" i="10"/>
  <c r="Z196" i="10" s="1"/>
  <c r="Z199" i="10" s="1"/>
  <c r="AE261" i="17" s="1"/>
  <c r="G51" i="6" l="1"/>
  <c r="B258" i="29"/>
  <c r="B263" i="29" s="1"/>
  <c r="B256" i="29"/>
  <c r="M183" i="24"/>
  <c r="G45" i="29" s="1"/>
  <c r="N156" i="24"/>
  <c r="H26" i="29"/>
  <c r="G36" i="29"/>
  <c r="M174" i="24"/>
  <c r="G41" i="29" s="1"/>
  <c r="N210" i="24"/>
  <c r="M208" i="24"/>
  <c r="Q71" i="24"/>
  <c r="Q74" i="24" s="1"/>
  <c r="Q75" i="24" s="1"/>
  <c r="Q77" i="24" s="1"/>
  <c r="Q81" i="24" s="1"/>
  <c r="P83" i="24"/>
  <c r="AC261" i="14"/>
  <c r="AD261" i="17"/>
  <c r="C2454" i="16"/>
  <c r="D2452" i="16"/>
  <c r="D2454" i="16" s="1"/>
  <c r="H82" i="12"/>
  <c r="H84" i="12"/>
  <c r="H80" i="12"/>
  <c r="H83" i="12"/>
  <c r="G80" i="12"/>
  <c r="G83" i="12"/>
  <c r="G84" i="12"/>
  <c r="G82" i="12"/>
  <c r="M84" i="12"/>
  <c r="M82" i="12"/>
  <c r="M83" i="12"/>
  <c r="AD261" i="14"/>
  <c r="J82" i="12"/>
  <c r="J84" i="12"/>
  <c r="J83" i="12"/>
  <c r="K82" i="12"/>
  <c r="K83" i="12"/>
  <c r="K84" i="12"/>
  <c r="I82" i="12"/>
  <c r="I83" i="12"/>
  <c r="I84" i="12"/>
  <c r="L84" i="12"/>
  <c r="L82" i="12"/>
  <c r="L83" i="12"/>
  <c r="H27" i="29" l="1"/>
  <c r="N168" i="24"/>
  <c r="N169" i="24" s="1"/>
  <c r="N188" i="24"/>
  <c r="O154" i="24"/>
  <c r="N211" i="24"/>
  <c r="N212" i="24" s="1"/>
  <c r="N213" i="24" s="1"/>
  <c r="Q82" i="24"/>
  <c r="E2454" i="16"/>
  <c r="C8" i="12"/>
  <c r="N157" i="14"/>
  <c r="P24" i="12"/>
  <c r="BN24" i="12"/>
  <c r="BP24" i="12"/>
  <c r="M281" i="4"/>
  <c r="M163" i="4"/>
  <c r="N262" i="4"/>
  <c r="N248" i="4" s="1"/>
  <c r="N181" i="24" l="1"/>
  <c r="H43" i="29" s="1"/>
  <c r="H35" i="29"/>
  <c r="H36" i="29"/>
  <c r="O155" i="24"/>
  <c r="I25" i="29"/>
  <c r="N214" i="24"/>
  <c r="N206" i="24"/>
  <c r="R71" i="24"/>
  <c r="R74" i="24" s="1"/>
  <c r="R75" i="24" s="1"/>
  <c r="R77" i="24" s="1"/>
  <c r="R81" i="24" s="1"/>
  <c r="R82" i="24" s="1"/>
  <c r="R83" i="24" s="1"/>
  <c r="Q83" i="24"/>
  <c r="H3444" i="16"/>
  <c r="L157" i="14"/>
  <c r="E157" i="14"/>
  <c r="G157" i="14"/>
  <c r="N388" i="4"/>
  <c r="N260" i="4"/>
  <c r="N461" i="4"/>
  <c r="N492" i="4" s="1"/>
  <c r="D1184" i="16"/>
  <c r="N183" i="24" l="1"/>
  <c r="H45" i="29" s="1"/>
  <c r="N174" i="24"/>
  <c r="H41" i="29" s="1"/>
  <c r="O156" i="24"/>
  <c r="O168" i="24" s="1"/>
  <c r="O169" i="24" s="1"/>
  <c r="I26" i="29"/>
  <c r="P154" i="24"/>
  <c r="O210" i="24"/>
  <c r="N208" i="24"/>
  <c r="D1187" i="16"/>
  <c r="H629" i="16"/>
  <c r="I629" i="16" s="1"/>
  <c r="D1188" i="16"/>
  <c r="E1184" i="16"/>
  <c r="N13" i="4"/>
  <c r="AB23" i="17" s="1"/>
  <c r="N266" i="4"/>
  <c r="N265" i="4" s="1"/>
  <c r="P155" i="24" l="1"/>
  <c r="J25" i="29"/>
  <c r="O188" i="24"/>
  <c r="I27" i="29"/>
  <c r="O211" i="24"/>
  <c r="O212" i="24" s="1"/>
  <c r="O213" i="24" s="1"/>
  <c r="H3447" i="16"/>
  <c r="H3448" i="16" s="1"/>
  <c r="H3449" i="16" s="1"/>
  <c r="H3451" i="16" s="1"/>
  <c r="O181" i="24" l="1"/>
  <c r="I43" i="29" s="1"/>
  <c r="I35" i="29"/>
  <c r="P156" i="24"/>
  <c r="P168" i="24" s="1"/>
  <c r="J26" i="29"/>
  <c r="O214" i="24"/>
  <c r="O206" i="24"/>
  <c r="E3419" i="16"/>
  <c r="E3421" i="16"/>
  <c r="N3427" i="16"/>
  <c r="N281" i="4"/>
  <c r="N163" i="4"/>
  <c r="O262" i="4"/>
  <c r="O248" i="4" s="1"/>
  <c r="O183" i="24" l="1"/>
  <c r="I45" i="29" s="1"/>
  <c r="P169" i="24"/>
  <c r="Q168" i="24"/>
  <c r="P188" i="24"/>
  <c r="I193" i="24" s="1"/>
  <c r="J27" i="29"/>
  <c r="I36" i="29"/>
  <c r="O174" i="24"/>
  <c r="I41" i="29" s="1"/>
  <c r="P210" i="24"/>
  <c r="O208" i="24"/>
  <c r="C3421" i="16"/>
  <c r="O388" i="4"/>
  <c r="O461" i="4"/>
  <c r="O492" i="4" s="1"/>
  <c r="O260" i="4"/>
  <c r="AU310" i="20" s="1"/>
  <c r="R168" i="24" l="1"/>
  <c r="R169" i="24" s="1"/>
  <c r="R174" i="24" s="1"/>
  <c r="Q169" i="24"/>
  <c r="Q174" i="24" s="1"/>
  <c r="P181" i="24"/>
  <c r="P183" i="24" s="1"/>
  <c r="J45" i="29" s="1"/>
  <c r="AU314" i="20"/>
  <c r="AU352" i="20"/>
  <c r="AU359" i="20" s="1"/>
  <c r="I194" i="24"/>
  <c r="I195" i="24" s="1"/>
  <c r="J35" i="29"/>
  <c r="P211" i="24"/>
  <c r="P212" i="24" s="1"/>
  <c r="P213" i="24" s="1"/>
  <c r="D3421" i="16"/>
  <c r="D3426" i="16" s="1"/>
  <c r="D3427" i="16" s="1"/>
  <c r="D3428" i="16" s="1"/>
  <c r="D3432" i="16" s="1"/>
  <c r="C3422" i="16"/>
  <c r="C3426" i="16" s="1"/>
  <c r="C3427" i="16" s="1"/>
  <c r="C3428" i="16" s="1"/>
  <c r="C3431" i="16"/>
  <c r="O13" i="4"/>
  <c r="AC23" i="17" s="1"/>
  <c r="O266" i="4"/>
  <c r="O265" i="4" s="1"/>
  <c r="P265" i="4" s="1"/>
  <c r="Q265" i="4" s="1"/>
  <c r="R265" i="4" s="1"/>
  <c r="S265" i="4" s="1"/>
  <c r="J43" i="29" l="1"/>
  <c r="T265" i="4"/>
  <c r="I196" i="24"/>
  <c r="P174" i="24"/>
  <c r="J41" i="29" s="1"/>
  <c r="J36" i="29"/>
  <c r="P214" i="24"/>
  <c r="P206" i="24"/>
  <c r="P208" i="24" s="1"/>
  <c r="E3428" i="16"/>
  <c r="C3429" i="16" s="1"/>
  <c r="U265" i="4" l="1"/>
  <c r="I198" i="24"/>
  <c r="B54" i="29"/>
  <c r="B57" i="29" s="1"/>
  <c r="B63" i="29" s="1"/>
  <c r="C217" i="24"/>
  <c r="C218" i="24" s="1"/>
  <c r="C216" i="24"/>
  <c r="D3429" i="16"/>
  <c r="N3428" i="16"/>
  <c r="O3428" i="16" s="1"/>
  <c r="F3456" i="16"/>
  <c r="F3457" i="16" s="1"/>
  <c r="O163" i="4"/>
  <c r="O281" i="4"/>
  <c r="P262" i="4"/>
  <c r="V265" i="4" l="1"/>
  <c r="B62" i="29"/>
  <c r="B60" i="29"/>
  <c r="B61" i="29" s="1"/>
  <c r="C219" i="24"/>
  <c r="C221" i="24" s="1"/>
  <c r="P461" i="4"/>
  <c r="P492" i="4" s="1"/>
  <c r="P388" i="4"/>
  <c r="P260" i="4"/>
  <c r="P13" i="4" l="1"/>
  <c r="P266" i="4"/>
  <c r="AD23" i="17" l="1"/>
  <c r="P267" i="4"/>
  <c r="Q262" i="4" s="1"/>
  <c r="P163" i="4" l="1"/>
  <c r="P281" i="4"/>
  <c r="Q260" i="4"/>
  <c r="Q461" i="4"/>
  <c r="Q492" i="4" s="1"/>
  <c r="Q388" i="4"/>
  <c r="G1037" i="16"/>
  <c r="N205" i="4"/>
  <c r="H1037" i="16" l="1"/>
  <c r="Q13" i="4"/>
  <c r="AE23" i="17" s="1"/>
  <c r="Q266" i="4"/>
  <c r="U327" i="20"/>
  <c r="V327" i="20" s="1"/>
  <c r="V326" i="20" s="1"/>
  <c r="J1140" i="16"/>
  <c r="J1653" i="16"/>
  <c r="W16" i="20"/>
  <c r="W17" i="20" s="1"/>
  <c r="F953" i="20"/>
  <c r="F954" i="20"/>
  <c r="F956" i="20"/>
  <c r="F958" i="20"/>
  <c r="F965" i="20"/>
  <c r="F971" i="20"/>
  <c r="F973" i="20"/>
  <c r="F974" i="20"/>
  <c r="Q267" i="4" l="1"/>
  <c r="R262" i="4" s="1"/>
  <c r="E1069" i="16"/>
  <c r="W223" i="14"/>
  <c r="S54" i="11"/>
  <c r="S55" i="11" s="1"/>
  <c r="S82" i="11" s="1"/>
  <c r="E577" i="12"/>
  <c r="E780" i="12"/>
  <c r="E781" i="12" s="1"/>
  <c r="E782" i="12" s="1"/>
  <c r="J53" i="4"/>
  <c r="W18" i="20"/>
  <c r="S59" i="9"/>
  <c r="S63" i="9" s="1"/>
  <c r="S61" i="9"/>
  <c r="S62" i="9"/>
  <c r="S76" i="9"/>
  <c r="S77" i="9"/>
  <c r="S78" i="9"/>
  <c r="S113" i="9"/>
  <c r="S114" i="9" s="1"/>
  <c r="S109" i="11" l="1"/>
  <c r="W20" i="14" s="1"/>
  <c r="E551" i="12" s="1"/>
  <c r="S175" i="9"/>
  <c r="S127" i="9"/>
  <c r="S123" i="11" s="1"/>
  <c r="S149" i="9"/>
  <c r="S143" i="11" s="1"/>
  <c r="S122" i="9"/>
  <c r="S174" i="9" s="1"/>
  <c r="Q163" i="4"/>
  <c r="Q281" i="4"/>
  <c r="R388" i="4"/>
  <c r="R260" i="4"/>
  <c r="R461" i="4"/>
  <c r="R492" i="4" s="1"/>
  <c r="W197" i="14"/>
  <c r="X197" i="17"/>
  <c r="S83" i="9"/>
  <c r="S66" i="11"/>
  <c r="S72" i="11"/>
  <c r="X198" i="17" s="1"/>
  <c r="S80" i="11"/>
  <c r="S65" i="11"/>
  <c r="S64" i="11"/>
  <c r="W22" i="20"/>
  <c r="F17" i="16"/>
  <c r="J3" i="4"/>
  <c r="W38" i="14"/>
  <c r="W47" i="14" s="1"/>
  <c r="D20" i="21"/>
  <c r="E818" i="16"/>
  <c r="E840" i="16" s="1"/>
  <c r="C1535" i="16"/>
  <c r="C1549" i="16" s="1"/>
  <c r="X20" i="17"/>
  <c r="E552" i="12" l="1"/>
  <c r="E774" i="12"/>
  <c r="E775" i="12" s="1"/>
  <c r="E776" i="12" s="1"/>
  <c r="S110" i="11"/>
  <c r="E576" i="12"/>
  <c r="J129" i="12"/>
  <c r="S118" i="11"/>
  <c r="X204" i="17" s="1"/>
  <c r="W230" i="14"/>
  <c r="W239" i="14" s="1"/>
  <c r="S131" i="9"/>
  <c r="S127" i="11" s="1"/>
  <c r="S128" i="11" s="1"/>
  <c r="S128" i="9"/>
  <c r="S124" i="11" s="1"/>
  <c r="S125" i="11" s="1"/>
  <c r="S204" i="9"/>
  <c r="S194" i="11" s="1"/>
  <c r="X230" i="17"/>
  <c r="X239" i="17" s="1"/>
  <c r="J38" i="12"/>
  <c r="D23" i="21"/>
  <c r="E800" i="12"/>
  <c r="E801" i="12" s="1"/>
  <c r="E803" i="12" s="1"/>
  <c r="W198" i="14"/>
  <c r="W200" i="14" s="1"/>
  <c r="W72" i="17"/>
  <c r="W76" i="17" s="1"/>
  <c r="W70" i="14"/>
  <c r="W74" i="14" s="1"/>
  <c r="S75" i="11"/>
  <c r="S76" i="11" s="1"/>
  <c r="R13" i="4"/>
  <c r="AF23" i="17" s="1"/>
  <c r="R266" i="4"/>
  <c r="X200" i="17"/>
  <c r="S73" i="11"/>
  <c r="D1200" i="16"/>
  <c r="D1214" i="16" s="1"/>
  <c r="J348" i="4"/>
  <c r="J355" i="4"/>
  <c r="J345" i="4"/>
  <c r="J351" i="4"/>
  <c r="J358" i="4"/>
  <c r="F16" i="16"/>
  <c r="J346" i="4"/>
  <c r="J356" i="4"/>
  <c r="J4" i="4"/>
  <c r="M210" i="3"/>
  <c r="J349" i="4"/>
  <c r="F593" i="16"/>
  <c r="F612" i="16" s="1"/>
  <c r="J170" i="4"/>
  <c r="D1097" i="16"/>
  <c r="D1109" i="16" s="1"/>
  <c r="J159" i="4"/>
  <c r="W115" i="14" l="1"/>
  <c r="W24" i="14"/>
  <c r="E792" i="12" s="1"/>
  <c r="E793" i="12" s="1"/>
  <c r="J131" i="12"/>
  <c r="S166" i="11"/>
  <c r="S119" i="11"/>
  <c r="W204" i="14"/>
  <c r="S130" i="9"/>
  <c r="S126" i="11" s="1"/>
  <c r="S133" i="9"/>
  <c r="S129" i="11" s="1"/>
  <c r="S130" i="11" s="1"/>
  <c r="S118" i="9"/>
  <c r="S152" i="9" s="1"/>
  <c r="S146" i="11" s="1"/>
  <c r="R267" i="4"/>
  <c r="S262" i="4" s="1"/>
  <c r="J157" i="4"/>
  <c r="J158" i="4"/>
  <c r="J359" i="4"/>
  <c r="J171" i="4"/>
  <c r="J173" i="4" s="1"/>
  <c r="J352" i="4"/>
  <c r="F969" i="20"/>
  <c r="F597" i="16"/>
  <c r="E822" i="16"/>
  <c r="C1537" i="16"/>
  <c r="D1100" i="16"/>
  <c r="D1112" i="16" s="1"/>
  <c r="D1078" i="16"/>
  <c r="X24" i="17"/>
  <c r="X70" i="17" s="1"/>
  <c r="X61" i="17" s="1"/>
  <c r="X115" i="17"/>
  <c r="J136" i="4"/>
  <c r="E1121" i="16" s="1"/>
  <c r="J332" i="4"/>
  <c r="I24" i="5"/>
  <c r="E848" i="16" s="1"/>
  <c r="J493" i="4"/>
  <c r="J257" i="4"/>
  <c r="E557" i="12" l="1"/>
  <c r="E558" i="12" s="1"/>
  <c r="G100" i="16"/>
  <c r="S115" i="9"/>
  <c r="S111" i="11" s="1"/>
  <c r="S112" i="11" s="1"/>
  <c r="S113" i="11" s="1"/>
  <c r="R163" i="4"/>
  <c r="S114" i="11"/>
  <c r="S134" i="9"/>
  <c r="R281" i="4"/>
  <c r="S388" i="4"/>
  <c r="S260" i="4"/>
  <c r="S461" i="4"/>
  <c r="S492" i="4" s="1"/>
  <c r="J339" i="4"/>
  <c r="J341" i="4"/>
  <c r="J340" i="4"/>
  <c r="J336" i="4"/>
  <c r="J361" i="4"/>
  <c r="C1538" i="16"/>
  <c r="C1551" i="16"/>
  <c r="E796" i="12"/>
  <c r="E794" i="12"/>
  <c r="K206" i="4"/>
  <c r="F22" i="16"/>
  <c r="F23" i="16" s="1"/>
  <c r="E822" i="12"/>
  <c r="E823" i="12" s="1"/>
  <c r="E826" i="12" s="1"/>
  <c r="H99" i="16"/>
  <c r="E823" i="16"/>
  <c r="E842" i="16"/>
  <c r="F598" i="16"/>
  <c r="F614" i="16"/>
  <c r="S150" i="9" l="1"/>
  <c r="S151" i="9" s="1"/>
  <c r="S153" i="9" s="1"/>
  <c r="S116" i="9"/>
  <c r="S117" i="9" s="1"/>
  <c r="S13" i="4"/>
  <c r="AG23" i="17" s="1"/>
  <c r="S266" i="4"/>
  <c r="J204" i="4"/>
  <c r="D1036" i="16" s="1"/>
  <c r="E1038" i="16"/>
  <c r="J227" i="4"/>
  <c r="E769" i="12"/>
  <c r="E827" i="12"/>
  <c r="J255" i="4"/>
  <c r="J162" i="4"/>
  <c r="J280" i="4"/>
  <c r="J282" i="4" s="1"/>
  <c r="J246" i="4"/>
  <c r="S144" i="11" l="1"/>
  <c r="S145" i="11" s="1"/>
  <c r="S119" i="9"/>
  <c r="X227" i="17" s="1"/>
  <c r="X238" i="17" s="1"/>
  <c r="S267" i="4"/>
  <c r="W35" i="14"/>
  <c r="X35" i="17"/>
  <c r="E1070" i="16"/>
  <c r="S147" i="11"/>
  <c r="S150" i="11" s="1"/>
  <c r="S156" i="11" s="1"/>
  <c r="S156" i="9"/>
  <c r="S161" i="9" s="1"/>
  <c r="S162" i="9" s="1"/>
  <c r="S157" i="11" s="1"/>
  <c r="K460" i="4"/>
  <c r="K491" i="4" s="1"/>
  <c r="K244" i="4"/>
  <c r="K387" i="4"/>
  <c r="E819" i="16"/>
  <c r="C1536" i="16"/>
  <c r="X21" i="17"/>
  <c r="X59" i="17" s="1"/>
  <c r="X51" i="17" s="1"/>
  <c r="X108" i="17"/>
  <c r="J6" i="4"/>
  <c r="J10" i="4" s="1"/>
  <c r="J16" i="4" s="1"/>
  <c r="J75" i="4"/>
  <c r="J91" i="4"/>
  <c r="D1075" i="16" s="1"/>
  <c r="J190" i="4"/>
  <c r="X134" i="17" s="1"/>
  <c r="J104" i="4"/>
  <c r="J150" i="4"/>
  <c r="I23" i="5"/>
  <c r="F962" i="20"/>
  <c r="E762" i="12"/>
  <c r="E810" i="12" s="1"/>
  <c r="E817" i="12"/>
  <c r="E767" i="12" l="1"/>
  <c r="E786" i="12" s="1"/>
  <c r="E787" i="12" s="1"/>
  <c r="E788" i="12" s="1"/>
  <c r="W227" i="14"/>
  <c r="W233" i="14" s="1"/>
  <c r="S173" i="9"/>
  <c r="S182" i="9" s="1"/>
  <c r="S185" i="9" s="1"/>
  <c r="S227" i="9" s="1"/>
  <c r="S120" i="9"/>
  <c r="S121" i="9"/>
  <c r="J37" i="12"/>
  <c r="J39" i="12" s="1"/>
  <c r="J41" i="12" s="1"/>
  <c r="W26" i="14" s="1"/>
  <c r="X233" i="17"/>
  <c r="S115" i="11"/>
  <c r="X201" i="17" s="1"/>
  <c r="X207" i="17" s="1"/>
  <c r="S235" i="9"/>
  <c r="D22" i="21"/>
  <c r="S124" i="9"/>
  <c r="S125" i="9" s="1"/>
  <c r="S193" i="9"/>
  <c r="S183" i="11" s="1"/>
  <c r="S163" i="4"/>
  <c r="S281" i="4"/>
  <c r="T262" i="4"/>
  <c r="S158" i="11"/>
  <c r="S163" i="9"/>
  <c r="S164" i="9" s="1"/>
  <c r="S198" i="9" s="1"/>
  <c r="W238" i="14"/>
  <c r="E841" i="16"/>
  <c r="E825" i="16"/>
  <c r="E843" i="16" s="1"/>
  <c r="E820" i="16"/>
  <c r="F10" i="16"/>
  <c r="F19" i="16"/>
  <c r="E758" i="12"/>
  <c r="X118" i="17"/>
  <c r="F594" i="16"/>
  <c r="D1098" i="16"/>
  <c r="D1201" i="16"/>
  <c r="D1215" i="16" s="1"/>
  <c r="J7" i="4"/>
  <c r="J386" i="4"/>
  <c r="J459" i="4"/>
  <c r="E847" i="16"/>
  <c r="D458" i="16"/>
  <c r="D460" i="16" s="1"/>
  <c r="D353" i="16"/>
  <c r="D355" i="16" s="1"/>
  <c r="D1202" i="16"/>
  <c r="X25" i="17"/>
  <c r="X26" i="17" s="1"/>
  <c r="J224" i="4"/>
  <c r="D1023" i="16"/>
  <c r="J194" i="4"/>
  <c r="D1026" i="16" s="1"/>
  <c r="J192" i="4"/>
  <c r="J196" i="4"/>
  <c r="C1550" i="16"/>
  <c r="C1539" i="16"/>
  <c r="C1552" i="16" s="1"/>
  <c r="K12" i="4"/>
  <c r="K245" i="4"/>
  <c r="K253" i="4"/>
  <c r="K252" i="4" s="1"/>
  <c r="W21" i="14" l="1"/>
  <c r="E554" i="12" s="1"/>
  <c r="E555" i="12" s="1"/>
  <c r="E768" i="12"/>
  <c r="E816" i="12" s="1"/>
  <c r="E818" i="12" s="1"/>
  <c r="E815" i="12"/>
  <c r="S222" i="11"/>
  <c r="E580" i="12"/>
  <c r="W201" i="14"/>
  <c r="W207" i="14" s="1"/>
  <c r="S120" i="11"/>
  <c r="J132" i="12" s="1"/>
  <c r="J130" i="12"/>
  <c r="S116" i="11"/>
  <c r="S117" i="11"/>
  <c r="S165" i="11"/>
  <c r="W134" i="14" s="1"/>
  <c r="T184" i="9"/>
  <c r="W108" i="14"/>
  <c r="W119" i="14" s="1"/>
  <c r="T260" i="4"/>
  <c r="T461" i="4"/>
  <c r="T492" i="4" s="1"/>
  <c r="T388" i="4"/>
  <c r="E759" i="12"/>
  <c r="E807" i="12" s="1"/>
  <c r="S228" i="9"/>
  <c r="T158" i="9"/>
  <c r="F613" i="16"/>
  <c r="F599" i="16"/>
  <c r="F615" i="16" s="1"/>
  <c r="F595" i="16"/>
  <c r="E806" i="12"/>
  <c r="S188" i="11"/>
  <c r="W28" i="14" s="1"/>
  <c r="S199" i="9"/>
  <c r="Y22" i="17"/>
  <c r="K191" i="4"/>
  <c r="E1024" i="16" s="1"/>
  <c r="D1101" i="16"/>
  <c r="D1113" i="16" s="1"/>
  <c r="D1110" i="16"/>
  <c r="D1028" i="16"/>
  <c r="D1216" i="16"/>
  <c r="D1221" i="16"/>
  <c r="D1223" i="16" s="1"/>
  <c r="D1224" i="16" s="1"/>
  <c r="D1225" i="16" s="1"/>
  <c r="D1226" i="16" s="1"/>
  <c r="F12" i="16"/>
  <c r="F20" i="16"/>
  <c r="S165" i="9"/>
  <c r="W123" i="14" l="1"/>
  <c r="W118" i="14"/>
  <c r="W125" i="14"/>
  <c r="W122" i="14"/>
  <c r="E770" i="12"/>
  <c r="W25" i="14"/>
  <c r="S121" i="11"/>
  <c r="T13" i="4"/>
  <c r="AH23" i="17" s="1"/>
  <c r="T266" i="4"/>
  <c r="E760" i="12"/>
  <c r="E808" i="12" s="1"/>
  <c r="E809" i="12" s="1"/>
  <c r="T153" i="11"/>
  <c r="X110" i="14" s="1"/>
  <c r="T159" i="9"/>
  <c r="J51" i="12"/>
  <c r="S230" i="9"/>
  <c r="X235" i="17" s="1"/>
  <c r="S234" i="9"/>
  <c r="S189" i="11"/>
  <c r="S202" i="9"/>
  <c r="S205" i="9" s="1"/>
  <c r="X234" i="17" s="1"/>
  <c r="T267" i="4" l="1"/>
  <c r="E761" i="12"/>
  <c r="E763" i="12"/>
  <c r="E811" i="12" s="1"/>
  <c r="T154" i="11"/>
  <c r="X111" i="14" s="1"/>
  <c r="T195" i="9"/>
  <c r="T185" i="11" s="1"/>
  <c r="W235" i="14"/>
  <c r="S231" i="9"/>
  <c r="W32" i="14"/>
  <c r="S192" i="11"/>
  <c r="S195" i="11" s="1"/>
  <c r="X208" i="17" s="1"/>
  <c r="J135" i="12"/>
  <c r="W17" i="14" s="1"/>
  <c r="W234" i="14"/>
  <c r="T163" i="4" l="1"/>
  <c r="T281" i="4"/>
  <c r="U262" i="4"/>
  <c r="W208" i="14"/>
  <c r="W33" i="14"/>
  <c r="J134" i="12"/>
  <c r="F53" i="25"/>
  <c r="U461" i="4" l="1"/>
  <c r="U492" i="4" s="1"/>
  <c r="U388" i="4"/>
  <c r="U260" i="4"/>
  <c r="L3" i="4"/>
  <c r="E1535" i="16"/>
  <c r="E1549" i="16" s="1"/>
  <c r="H16" i="16"/>
  <c r="I16" i="16" s="1"/>
  <c r="O210" i="3"/>
  <c r="U13" i="4" l="1"/>
  <c r="AI23" i="17" s="1"/>
  <c r="U266" i="4"/>
  <c r="C2874" i="16"/>
  <c r="C2890" i="16" s="1"/>
  <c r="L348" i="4"/>
  <c r="L355" i="4"/>
  <c r="L345" i="4"/>
  <c r="L358" i="4"/>
  <c r="L351" i="4"/>
  <c r="F1200" i="16"/>
  <c r="F1214" i="16" s="1"/>
  <c r="C2459" i="16"/>
  <c r="C1634" i="16"/>
  <c r="L170" i="4"/>
  <c r="Z20" i="17"/>
  <c r="H17" i="16"/>
  <c r="I17" i="16" s="1"/>
  <c r="Y20" i="17"/>
  <c r="K3" i="4"/>
  <c r="E2474" i="8" s="1"/>
  <c r="D1535" i="16"/>
  <c r="D1549" i="16" s="1"/>
  <c r="K53" i="4"/>
  <c r="L53" i="4"/>
  <c r="M53" i="4"/>
  <c r="M3" i="4"/>
  <c r="AA20" i="17"/>
  <c r="U267" i="4" l="1"/>
  <c r="M345" i="4"/>
  <c r="M348" i="4"/>
  <c r="M355" i="4"/>
  <c r="M351" i="4"/>
  <c r="M358" i="4"/>
  <c r="D2459" i="16"/>
  <c r="D2874" i="16"/>
  <c r="D2890" i="16" s="1"/>
  <c r="K355" i="4"/>
  <c r="K348" i="4"/>
  <c r="K358" i="4"/>
  <c r="K345" i="4"/>
  <c r="K351" i="4"/>
  <c r="M4" i="4"/>
  <c r="E1097" i="16"/>
  <c r="E1109" i="16" s="1"/>
  <c r="E1200" i="16"/>
  <c r="E1214" i="16" s="1"/>
  <c r="K4" i="4"/>
  <c r="L4" i="4"/>
  <c r="G16" i="16"/>
  <c r="C1638" i="16"/>
  <c r="G17" i="16"/>
  <c r="N210" i="3"/>
  <c r="U163" i="4" l="1"/>
  <c r="U281" i="4"/>
  <c r="V262" i="4"/>
  <c r="L158" i="4"/>
  <c r="L157" i="4"/>
  <c r="L159" i="4"/>
  <c r="L171" i="4"/>
  <c r="L173" i="4" s="1"/>
  <c r="K359" i="4"/>
  <c r="L359" i="4"/>
  <c r="K170" i="4"/>
  <c r="K159" i="4"/>
  <c r="K352" i="4"/>
  <c r="D1629" i="16"/>
  <c r="D1633" i="16"/>
  <c r="D1636" i="16"/>
  <c r="D1628" i="16"/>
  <c r="D1630" i="16"/>
  <c r="D1635" i="16"/>
  <c r="D1631" i="16"/>
  <c r="D1634" i="16"/>
  <c r="D1626" i="16"/>
  <c r="D1637" i="16"/>
  <c r="D1627" i="16"/>
  <c r="D1632" i="16"/>
  <c r="K157" i="4"/>
  <c r="K346" i="4"/>
  <c r="K349" i="4"/>
  <c r="K158" i="4"/>
  <c r="M170" i="4"/>
  <c r="M359" i="4"/>
  <c r="K356" i="4"/>
  <c r="K171" i="4"/>
  <c r="V461" i="4" l="1"/>
  <c r="V492" i="4" s="1"/>
  <c r="V388" i="4"/>
  <c r="V260" i="4"/>
  <c r="L349" i="4"/>
  <c r="L352" i="4"/>
  <c r="L346" i="4"/>
  <c r="L356" i="4"/>
  <c r="K173" i="4"/>
  <c r="K361" i="4"/>
  <c r="V13" i="4" l="1"/>
  <c r="AJ23" i="17" s="1"/>
  <c r="V266" i="4"/>
  <c r="V267" i="4" s="1"/>
  <c r="L227" i="4"/>
  <c r="M157" i="4"/>
  <c r="M171" i="4"/>
  <c r="M173" i="4" s="1"/>
  <c r="M349" i="4"/>
  <c r="M158" i="4"/>
  <c r="M159" i="4"/>
  <c r="M352" i="4"/>
  <c r="K227" i="4"/>
  <c r="B828" i="12"/>
  <c r="V163" i="4" l="1"/>
  <c r="V281" i="4"/>
  <c r="H12" i="16"/>
  <c r="I12" i="16" s="1"/>
  <c r="M227" i="4" l="1"/>
  <c r="F758" i="12"/>
  <c r="G758" i="12" s="1"/>
  <c r="H20" i="16"/>
  <c r="I20" i="16" s="1"/>
  <c r="G10" i="16"/>
  <c r="G19" i="16"/>
  <c r="G12" i="16"/>
  <c r="H19" i="16"/>
  <c r="I19" i="16" s="1"/>
  <c r="H10" i="16"/>
  <c r="I10" i="16" s="1"/>
  <c r="F806" i="12" l="1"/>
  <c r="G806" i="12" s="1"/>
  <c r="G20" i="16"/>
  <c r="G22" i="16"/>
  <c r="G23" i="16" s="1"/>
  <c r="H22" i="16"/>
  <c r="I22" i="16" l="1"/>
  <c r="H23" i="16"/>
  <c r="F822" i="12"/>
  <c r="F823" i="12" s="1"/>
  <c r="C837" i="12" l="1"/>
  <c r="F826" i="12"/>
  <c r="D837" i="12"/>
  <c r="B837" i="12"/>
  <c r="F837" i="12"/>
  <c r="E837" i="12"/>
  <c r="F769" i="12" l="1"/>
  <c r="F827" i="12"/>
  <c r="B829" i="12" s="1"/>
  <c r="B830" i="12" s="1"/>
  <c r="B831" i="12" s="1"/>
  <c r="F817" i="12" l="1"/>
  <c r="F762" i="12"/>
  <c r="F810" i="12" s="1"/>
  <c r="B720" i="12"/>
  <c r="B834" i="12"/>
  <c r="C720" i="12" l="1"/>
  <c r="C721" i="12" s="1"/>
  <c r="B721" i="12"/>
  <c r="D1190" i="16" l="1"/>
  <c r="D1191" i="16" s="1"/>
  <c r="D1192" i="16" s="1"/>
  <c r="D1194" i="16" s="1"/>
  <c r="D1195" i="16" s="1"/>
  <c r="U30" i="17" l="1"/>
  <c r="U111" i="17"/>
  <c r="G433" i="4"/>
  <c r="G432" i="4" s="1"/>
  <c r="G180" i="4" s="1"/>
  <c r="G182" i="4" s="1"/>
  <c r="U123" i="17" l="1"/>
  <c r="U125" i="17"/>
  <c r="U122" i="17"/>
  <c r="J156" i="4"/>
  <c r="J160" i="4" s="1"/>
  <c r="J166" i="4"/>
  <c r="X104" i="17"/>
  <c r="J315" i="4"/>
  <c r="J168" i="4" l="1"/>
  <c r="X103" i="17"/>
  <c r="X119" i="17"/>
  <c r="J308" i="4"/>
  <c r="J310" i="4" s="1"/>
  <c r="J175" i="4"/>
  <c r="J374" i="4" s="1"/>
  <c r="J216" i="4"/>
  <c r="D1046" i="16" s="1"/>
  <c r="J221" i="4" l="1"/>
  <c r="J240" i="4"/>
  <c r="I13" i="5" s="1"/>
  <c r="J177" i="4"/>
  <c r="J18" i="4" l="1"/>
  <c r="I25" i="5" s="1"/>
  <c r="I26" i="5" s="1"/>
  <c r="J225" i="4"/>
  <c r="J287" i="4"/>
  <c r="J288" i="4" s="1"/>
  <c r="J389" i="4" l="1"/>
  <c r="J391" i="4" s="1"/>
  <c r="J396" i="4" s="1"/>
  <c r="J400" i="4" s="1"/>
  <c r="J462" i="4"/>
  <c r="J24" i="4"/>
  <c r="D1030" i="16"/>
  <c r="E849" i="16"/>
  <c r="X111" i="17"/>
  <c r="X30" i="17"/>
  <c r="J393" i="4" l="1"/>
  <c r="J394" i="4" s="1"/>
  <c r="I45" i="5" s="1"/>
  <c r="X122" i="17"/>
  <c r="X123" i="17"/>
  <c r="X125" i="17"/>
  <c r="J402" i="4" l="1"/>
  <c r="J404" i="4" s="1"/>
  <c r="J27" i="4"/>
  <c r="J464" i="4"/>
  <c r="J410" i="4" l="1"/>
  <c r="J226" i="4" s="1"/>
  <c r="J239" i="4" s="1"/>
  <c r="J199" i="4"/>
  <c r="J200" i="4" s="1"/>
  <c r="X136" i="17" l="1"/>
  <c r="E850" i="16"/>
  <c r="I28" i="5"/>
  <c r="D1031" i="16"/>
  <c r="D1032" i="16" l="1"/>
  <c r="X137" i="17"/>
  <c r="D1033" i="16"/>
  <c r="J211" i="4"/>
  <c r="D1103" i="16"/>
  <c r="D1115" i="16" s="1"/>
  <c r="D1203" i="16"/>
  <c r="D1217" i="16" s="1"/>
  <c r="D365" i="16"/>
  <c r="D470" i="16"/>
  <c r="X33" i="17"/>
  <c r="E852" i="16"/>
  <c r="C304" i="16"/>
  <c r="D1105" i="16"/>
  <c r="D1117" i="16" s="1"/>
  <c r="D969" i="16"/>
  <c r="I63" i="5"/>
  <c r="C1615" i="16"/>
  <c r="I29" i="5"/>
  <c r="E853" i="16" s="1"/>
  <c r="C1616" i="16" l="1"/>
  <c r="C1621" i="16"/>
  <c r="C1622" i="16" s="1"/>
  <c r="D475" i="16"/>
  <c r="D478" i="16" s="1"/>
  <c r="D472" i="16"/>
  <c r="C485" i="16"/>
  <c r="I32" i="5"/>
  <c r="J217" i="4"/>
  <c r="D1042" i="16"/>
  <c r="D1104" i="16"/>
  <c r="D1116" i="16" s="1"/>
  <c r="C307" i="16"/>
  <c r="C1659" i="16"/>
  <c r="D973" i="16"/>
  <c r="I62" i="5"/>
  <c r="D370" i="16"/>
  <c r="D373" i="16" s="1"/>
  <c r="D367" i="16"/>
  <c r="C380" i="16"/>
  <c r="J220" i="4" l="1"/>
  <c r="X143" i="17"/>
  <c r="X142" i="17" s="1"/>
  <c r="C1623" i="16"/>
  <c r="D374" i="16"/>
  <c r="D1047" i="16"/>
  <c r="D479" i="16"/>
  <c r="D1204" i="16"/>
  <c r="D1218" i="16" s="1"/>
  <c r="I33" i="5"/>
  <c r="C305" i="16"/>
  <c r="C388" i="16"/>
  <c r="C392" i="16" s="1"/>
  <c r="C382" i="16"/>
  <c r="C383" i="16" s="1"/>
  <c r="C487" i="16"/>
  <c r="C488" i="16" s="1"/>
  <c r="C493" i="16"/>
  <c r="C497" i="16" s="1"/>
  <c r="C498" i="16" l="1"/>
  <c r="C393" i="16"/>
  <c r="D1050" i="16"/>
  <c r="J312" i="4"/>
  <c r="X106" i="17"/>
  <c r="X120" i="17" s="1"/>
  <c r="J302" i="4"/>
  <c r="J300" i="4" s="1"/>
  <c r="J301" i="4" s="1"/>
  <c r="D1051" i="16" l="1"/>
  <c r="J185" i="4"/>
  <c r="C1860" i="16"/>
  <c r="C1861" i="16" s="1"/>
  <c r="J222" i="4"/>
  <c r="D1052" i="16" s="1"/>
  <c r="X105" i="17"/>
  <c r="J311" i="4"/>
  <c r="I600" i="4"/>
  <c r="J600" i="4"/>
  <c r="X27" i="17" l="1"/>
  <c r="J186" i="4"/>
  <c r="J241" i="4" s="1"/>
  <c r="K219" i="4"/>
  <c r="E1049" i="16" s="1"/>
  <c r="X9" i="17"/>
  <c r="I68" i="5"/>
  <c r="J295" i="4"/>
  <c r="J625" i="4"/>
  <c r="I295" i="4"/>
  <c r="X144" i="17" l="1"/>
  <c r="J290" i="4"/>
  <c r="X110" i="17" s="1"/>
  <c r="X109" i="17"/>
  <c r="J297" i="4"/>
  <c r="I290" i="4"/>
  <c r="I297" i="4"/>
  <c r="W109" i="17"/>
  <c r="I298" i="4" l="1"/>
  <c r="J298" i="4"/>
  <c r="W110" i="17"/>
  <c r="O292" i="4" l="1"/>
  <c r="P292" i="4" l="1"/>
  <c r="Q292" i="4" s="1"/>
  <c r="R292" i="4" s="1"/>
  <c r="S292" i="4" s="1"/>
  <c r="J179" i="4"/>
  <c r="J28" i="4"/>
  <c r="J30" i="4" s="1"/>
  <c r="J32" i="4" s="1"/>
  <c r="X16" i="17" s="1"/>
  <c r="J465" i="4"/>
  <c r="J466" i="4" s="1"/>
  <c r="X32" i="17" s="1"/>
  <c r="T292" i="4" l="1"/>
  <c r="X28" i="17"/>
  <c r="I65" i="5"/>
  <c r="J467" i="4"/>
  <c r="J468" i="4" s="1"/>
  <c r="J490" i="4"/>
  <c r="J494" i="4" s="1"/>
  <c r="J433" i="4"/>
  <c r="J180" i="4"/>
  <c r="J182" i="4" s="1"/>
  <c r="U292" i="4" l="1"/>
  <c r="J487" i="4"/>
  <c r="J488" i="4"/>
  <c r="J495" i="4"/>
  <c r="J33" i="4"/>
  <c r="J486" i="4"/>
  <c r="V292" i="4" l="1"/>
  <c r="X17" i="17"/>
  <c r="I52" i="5"/>
  <c r="J35" i="4"/>
  <c r="J496" i="4"/>
  <c r="C781" i="16"/>
  <c r="E781" i="16"/>
  <c r="C359" i="16"/>
  <c r="C464" i="16"/>
  <c r="D451" i="16" l="1"/>
  <c r="D455" i="16" s="1"/>
  <c r="D465" i="16" s="1"/>
  <c r="D482" i="16" s="1"/>
  <c r="D346" i="16"/>
  <c r="D350" i="16" s="1"/>
  <c r="D360" i="16" s="1"/>
  <c r="D377" i="16" s="1"/>
  <c r="D464" i="16" l="1"/>
  <c r="D481" i="16" s="1"/>
  <c r="D359" i="16"/>
  <c r="D376" i="16" s="1"/>
  <c r="C451" i="16"/>
  <c r="C346" i="16"/>
  <c r="K78" i="5"/>
  <c r="K88" i="5" s="1"/>
  <c r="L78" i="5"/>
  <c r="N78" i="5"/>
  <c r="O78" i="5" l="1"/>
  <c r="D304" i="16"/>
  <c r="E304" i="16"/>
  <c r="F304" i="16"/>
  <c r="K199" i="4"/>
  <c r="K410" i="4"/>
  <c r="K226" i="4" s="1"/>
  <c r="E1031" i="16" l="1"/>
  <c r="Y136" i="17"/>
  <c r="Z166" i="12"/>
  <c r="Z266" i="12"/>
  <c r="X18" i="20"/>
  <c r="AD267" i="12" l="1"/>
  <c r="AA18" i="20"/>
  <c r="Z268" i="12"/>
  <c r="Z267" i="12"/>
  <c r="X21" i="20"/>
  <c r="X191" i="20"/>
  <c r="AW247" i="12" l="1"/>
  <c r="C3626" i="16"/>
  <c r="Z269" i="12"/>
  <c r="E2107" i="16" s="1"/>
  <c r="H2107" i="16" s="1"/>
  <c r="H2105" i="16" s="1"/>
  <c r="E2105" i="16" s="1"/>
  <c r="Z270" i="12"/>
  <c r="AD270" i="12"/>
  <c r="AA21" i="20"/>
  <c r="AA193" i="20" s="1"/>
  <c r="AA191" i="20"/>
  <c r="X193" i="20"/>
  <c r="X194" i="20" s="1"/>
  <c r="M810" i="20" s="1"/>
  <c r="X346" i="20"/>
  <c r="Z167" i="12"/>
  <c r="Z168" i="12" s="1"/>
  <c r="Z272" i="12"/>
  <c r="C3627" i="16" s="1"/>
  <c r="X239" i="20"/>
  <c r="C123" i="28" s="1"/>
  <c r="AD276" i="12" l="1"/>
  <c r="Z274" i="12"/>
  <c r="H2113" i="16"/>
  <c r="AA346" i="20"/>
  <c r="AA194" i="20"/>
  <c r="AA158" i="20" s="1"/>
  <c r="AA157" i="20" s="1"/>
  <c r="AA286" i="20"/>
  <c r="X232" i="20"/>
  <c r="X236" i="20" s="1"/>
  <c r="C127" i="28" s="1"/>
  <c r="Z276" i="12"/>
  <c r="BW120" i="20" s="1"/>
  <c r="Z273" i="12"/>
  <c r="X347" i="20"/>
  <c r="CA120" i="20" l="1"/>
  <c r="AW266" i="12"/>
  <c r="C126" i="28"/>
  <c r="P810" i="20"/>
  <c r="AA347" i="20"/>
  <c r="AA288" i="20"/>
  <c r="X286" i="20"/>
  <c r="X396" i="20"/>
  <c r="Y396" i="20"/>
  <c r="X314" i="20"/>
  <c r="X321" i="20" s="1"/>
  <c r="X349" i="20"/>
  <c r="X350" i="20" s="1"/>
  <c r="X288" i="20"/>
  <c r="C784" i="20" l="1"/>
  <c r="P811" i="20"/>
  <c r="P848" i="20" s="1"/>
  <c r="X327" i="20"/>
  <c r="X324" i="20"/>
  <c r="X352" i="20" s="1"/>
  <c r="X368" i="20" l="1"/>
  <c r="X371" i="20" l="1"/>
  <c r="X387" i="20"/>
  <c r="E2074" i="16"/>
  <c r="G2074" i="16" s="1"/>
  <c r="D1804" i="16" l="1"/>
  <c r="D1807" i="16" s="1"/>
  <c r="D1818" i="16" l="1"/>
  <c r="D1817" i="16"/>
  <c r="C1852" i="16" s="1"/>
  <c r="D1852" i="16"/>
  <c r="E1818" i="16"/>
  <c r="F1817" i="16"/>
  <c r="G1817" i="16"/>
  <c r="G2001" i="16" s="1"/>
  <c r="H1817" i="16"/>
  <c r="H2001" i="16" s="1"/>
  <c r="F1818" i="16"/>
  <c r="G1818" i="16"/>
  <c r="H1818" i="16"/>
  <c r="F2031" i="16" l="1"/>
  <c r="F2001" i="16"/>
  <c r="Q1883" i="16"/>
  <c r="H2031" i="16"/>
  <c r="P1883" i="16"/>
  <c r="G2031" i="16"/>
  <c r="E1852" i="16"/>
  <c r="O1883" i="16"/>
  <c r="E1806" i="16" l="1"/>
  <c r="E2002" i="16" s="1"/>
  <c r="N1897" i="16" s="1"/>
  <c r="I2030" i="16"/>
  <c r="R1886" i="16" l="1"/>
  <c r="E2032" i="16"/>
  <c r="N1895" i="16" s="1"/>
  <c r="F1806" i="16"/>
  <c r="F2002" i="16" s="1"/>
  <c r="O1897" i="16" s="1"/>
  <c r="E1807" i="16"/>
  <c r="N1892" i="16" s="1"/>
  <c r="E1930" i="16"/>
  <c r="I1817" i="16"/>
  <c r="I1818" i="16"/>
  <c r="R1883" i="16" l="1"/>
  <c r="I2001" i="16"/>
  <c r="F2032" i="16"/>
  <c r="O1895" i="16" s="1"/>
  <c r="F1807" i="16"/>
  <c r="O1892" i="16" s="1"/>
  <c r="G1806" i="16"/>
  <c r="G2002" i="16" s="1"/>
  <c r="P1897" i="16" s="1"/>
  <c r="I2031" i="16"/>
  <c r="H1806" i="16" l="1"/>
  <c r="H2002" i="16" s="1"/>
  <c r="Q1897" i="16" s="1"/>
  <c r="G1807" i="16"/>
  <c r="P1892" i="16" s="1"/>
  <c r="G2032" i="16"/>
  <c r="P1895" i="16" s="1"/>
  <c r="H2032" i="16" l="1"/>
  <c r="Q1895" i="16" s="1"/>
  <c r="I1806" i="16"/>
  <c r="I2002" i="16" s="1"/>
  <c r="R1897" i="16" s="1"/>
  <c r="H1807" i="16"/>
  <c r="Q1892" i="16" s="1"/>
  <c r="I2032" i="16" l="1"/>
  <c r="R1895" i="16" s="1"/>
  <c r="I1807" i="16"/>
  <c r="R1892" i="16" s="1"/>
  <c r="L199" i="4"/>
  <c r="L410" i="4"/>
  <c r="L226" i="4" s="1"/>
  <c r="F1031" i="16" l="1"/>
  <c r="Z136" i="17"/>
  <c r="M199" i="4"/>
  <c r="M410" i="4"/>
  <c r="M226" i="4" s="1"/>
  <c r="G1031" i="16" l="1"/>
  <c r="AA136" i="17"/>
  <c r="AC232" i="20" l="1"/>
  <c r="AC286" i="20" l="1"/>
  <c r="D2132" i="16"/>
  <c r="D2136" i="16" s="1"/>
  <c r="D2120" i="16" s="1"/>
  <c r="D2123" i="16" s="1"/>
  <c r="F227" i="23"/>
  <c r="D2505" i="16" s="1"/>
  <c r="F230" i="23"/>
  <c r="G231" i="23" s="1"/>
  <c r="F239" i="23"/>
  <c r="D2516" i="16" s="1"/>
  <c r="AB95" i="20"/>
  <c r="AB97" i="20" s="1"/>
  <c r="E762" i="20" l="1"/>
  <c r="E773" i="20"/>
  <c r="O2516" i="16"/>
  <c r="Q2516" i="16"/>
  <c r="D2522" i="16"/>
  <c r="F240" i="23"/>
  <c r="D2518" i="16" s="1"/>
  <c r="F231" i="23"/>
  <c r="AB99" i="20"/>
  <c r="C2540" i="16" l="1"/>
  <c r="E2504" i="16"/>
  <c r="D2506" i="16"/>
  <c r="C2611" i="16" s="1"/>
  <c r="D2509" i="16"/>
  <c r="F2611" i="16" s="1"/>
  <c r="W2616" i="16" s="1"/>
  <c r="D2513" i="16"/>
  <c r="O2522" i="16"/>
  <c r="O2517" i="16" s="1"/>
  <c r="R2516" i="16"/>
  <c r="D2517" i="16"/>
  <c r="D2611" i="16" s="1"/>
  <c r="E2611" i="16" s="1"/>
  <c r="AB101" i="20"/>
  <c r="I230" i="23"/>
  <c r="E2132" i="16"/>
  <c r="E2136" i="16" s="1"/>
  <c r="E2120" i="16" s="1"/>
  <c r="E2123" i="16" s="1"/>
  <c r="G227" i="23"/>
  <c r="E2505" i="16" s="1"/>
  <c r="G239" i="23"/>
  <c r="C2543" i="16" s="1"/>
  <c r="AG95" i="20"/>
  <c r="AG97" i="20" s="1"/>
  <c r="C2568" i="16" l="1"/>
  <c r="J2568" i="16"/>
  <c r="C2565" i="16"/>
  <c r="J2565" i="16"/>
  <c r="R2517" i="16"/>
  <c r="D2610" i="16" s="1"/>
  <c r="Q2517" i="16"/>
  <c r="G2611" i="16"/>
  <c r="O2521" i="16"/>
  <c r="O2513" i="16"/>
  <c r="O2506" i="16"/>
  <c r="C2610" i="16" s="1"/>
  <c r="O2509" i="16"/>
  <c r="F2610" i="16" s="1"/>
  <c r="W2619" i="16" s="1"/>
  <c r="D2540" i="16"/>
  <c r="F2504" i="16"/>
  <c r="E2516" i="16"/>
  <c r="AG99" i="20"/>
  <c r="AG101" i="20" s="1"/>
  <c r="G240" i="23"/>
  <c r="E2518" i="16" s="1"/>
  <c r="J230" i="23"/>
  <c r="I226" i="23"/>
  <c r="F2132" i="16"/>
  <c r="F2136" i="16" s="1"/>
  <c r="F2120" i="16" s="1"/>
  <c r="F2123" i="16" s="1"/>
  <c r="H227" i="23"/>
  <c r="F2505" i="16" s="1"/>
  <c r="D2565" i="16" l="1"/>
  <c r="K2565" i="16"/>
  <c r="G2610" i="16"/>
  <c r="G2504" i="16"/>
  <c r="E2540" i="16"/>
  <c r="E2522" i="16"/>
  <c r="G2132" i="16"/>
  <c r="G2136" i="16" s="1"/>
  <c r="G2120" i="16" s="1"/>
  <c r="G2123" i="16" s="1"/>
  <c r="I227" i="23"/>
  <c r="G2505" i="16" s="1"/>
  <c r="J226" i="23"/>
  <c r="K230" i="23"/>
  <c r="E2565" i="16" l="1"/>
  <c r="L2565" i="16"/>
  <c r="H2504" i="16"/>
  <c r="F2540" i="16"/>
  <c r="U2522" i="16"/>
  <c r="E2506" i="16"/>
  <c r="E2517" i="16"/>
  <c r="E2509" i="16"/>
  <c r="E2513" i="16"/>
  <c r="K226" i="23"/>
  <c r="L230" i="23"/>
  <c r="H2132" i="16"/>
  <c r="H2136" i="16" s="1"/>
  <c r="H2120" i="16" s="1"/>
  <c r="H2123" i="16" s="1"/>
  <c r="J227" i="23"/>
  <c r="H2505" i="16" s="1"/>
  <c r="F2565" i="16" l="1"/>
  <c r="M2565" i="16"/>
  <c r="G2540" i="16"/>
  <c r="I2504" i="16"/>
  <c r="L226" i="23"/>
  <c r="M230" i="23"/>
  <c r="I2132" i="16"/>
  <c r="I2136" i="16" s="1"/>
  <c r="I2120" i="16" s="1"/>
  <c r="I2123" i="16" s="1"/>
  <c r="K227" i="23"/>
  <c r="I2505" i="16" s="1"/>
  <c r="G2565" i="16" l="1"/>
  <c r="N2565" i="16"/>
  <c r="H2540" i="16"/>
  <c r="J2504" i="16"/>
  <c r="N230" i="23"/>
  <c r="M226" i="23"/>
  <c r="J2132" i="16"/>
  <c r="J2136" i="16" s="1"/>
  <c r="J2120" i="16" s="1"/>
  <c r="J2123" i="16" s="1"/>
  <c r="L227" i="23"/>
  <c r="J2505" i="16" s="1"/>
  <c r="H2565" i="16" l="1"/>
  <c r="O2565" i="16"/>
  <c r="N226" i="23"/>
  <c r="O230" i="23"/>
  <c r="M227" i="23"/>
  <c r="O226" i="23" l="1"/>
  <c r="P230" i="23"/>
  <c r="N227" i="23"/>
  <c r="P226" i="23" l="1"/>
  <c r="Q230" i="23"/>
  <c r="Q226" i="23" s="1"/>
  <c r="O227" i="23"/>
  <c r="Q227" i="23" l="1"/>
  <c r="P227" i="23"/>
  <c r="F65" i="24" l="1"/>
  <c r="K69" i="4"/>
  <c r="C2845" i="16" s="1"/>
  <c r="F257" i="23"/>
  <c r="K88" i="4" l="1"/>
  <c r="K89" i="4" s="1"/>
  <c r="K84" i="4"/>
  <c r="K86" i="4" s="1"/>
  <c r="K100" i="4"/>
  <c r="K74" i="4"/>
  <c r="C2850" i="16" s="1"/>
  <c r="D2525" i="16" l="1"/>
  <c r="D2526" i="16" s="1"/>
  <c r="D1536" i="16"/>
  <c r="Y21" i="17"/>
  <c r="Y59" i="17" s="1"/>
  <c r="Y51" i="17" s="1"/>
  <c r="Y108" i="17"/>
  <c r="K105" i="4"/>
  <c r="K6" i="4"/>
  <c r="K10" i="4" s="1"/>
  <c r="K81" i="4"/>
  <c r="K107" i="4"/>
  <c r="K91" i="4"/>
  <c r="E1075" i="16" s="1"/>
  <c r="K75" i="4"/>
  <c r="K190" i="4"/>
  <c r="K104" i="4"/>
  <c r="J23" i="5"/>
  <c r="E353" i="16"/>
  <c r="E355" i="16" s="1"/>
  <c r="E458" i="16"/>
  <c r="E460" i="16" s="1"/>
  <c r="C179" i="16"/>
  <c r="J84" i="5"/>
  <c r="G253" i="23" l="1"/>
  <c r="C2546" i="16"/>
  <c r="J2730" i="16"/>
  <c r="J2731" i="16" s="1"/>
  <c r="C1750" i="16"/>
  <c r="F847" i="16"/>
  <c r="E1098" i="16"/>
  <c r="E1201" i="16"/>
  <c r="E1215" i="16" s="1"/>
  <c r="K7" i="4"/>
  <c r="K459" i="4"/>
  <c r="K16" i="4"/>
  <c r="K386" i="4"/>
  <c r="C181" i="16"/>
  <c r="E1023" i="16"/>
  <c r="K192" i="4"/>
  <c r="K196" i="4"/>
  <c r="K194" i="4"/>
  <c r="E1026" i="16" s="1"/>
  <c r="D1550" i="16"/>
  <c r="E777" i="20" l="1"/>
  <c r="E776" i="20"/>
  <c r="J2571" i="16"/>
  <c r="C2571" i="16"/>
  <c r="E2638" i="16" s="1"/>
  <c r="C2577" i="16"/>
  <c r="C2579" i="16" s="1"/>
  <c r="D2546" i="16"/>
  <c r="H253" i="23"/>
  <c r="E1028" i="16"/>
  <c r="E1110" i="16"/>
  <c r="C1767" i="16"/>
  <c r="K1750" i="16"/>
  <c r="C1757" i="16"/>
  <c r="E2782" i="16" l="1"/>
  <c r="J2732" i="16"/>
  <c r="K2571" i="16"/>
  <c r="D2571" i="16"/>
  <c r="F2638" i="16" s="1"/>
  <c r="S1750" i="16"/>
  <c r="S1757" i="16" s="1"/>
  <c r="S1776" i="16" s="1"/>
  <c r="K1757" i="16"/>
  <c r="K1776" i="16" s="1"/>
  <c r="K116" i="4"/>
  <c r="F268" i="23"/>
  <c r="F272" i="23"/>
  <c r="F294" i="23" s="1"/>
  <c r="K123" i="4" l="1"/>
  <c r="C2853" i="16"/>
  <c r="C2861" i="16" s="1"/>
  <c r="H2782" i="16"/>
  <c r="G2782" i="16"/>
  <c r="G2791" i="16" s="1"/>
  <c r="E2791" i="16"/>
  <c r="K121" i="4"/>
  <c r="Y24" i="17" s="1"/>
  <c r="Y70" i="17" s="1"/>
  <c r="Y61" i="17" s="1"/>
  <c r="K145" i="4"/>
  <c r="K132" i="4"/>
  <c r="J24" i="5" l="1"/>
  <c r="K136" i="4"/>
  <c r="F1121" i="16" s="1"/>
  <c r="C2858" i="16"/>
  <c r="C2791" i="16"/>
  <c r="C2799" i="16"/>
  <c r="J2782" i="16"/>
  <c r="H2791" i="16"/>
  <c r="F2777" i="16"/>
  <c r="F2779" i="16"/>
  <c r="F2778" i="16"/>
  <c r="F2776" i="16"/>
  <c r="F2775" i="16"/>
  <c r="F2780" i="16"/>
  <c r="F2781" i="16"/>
  <c r="F2782" i="16"/>
  <c r="K332" i="4"/>
  <c r="K341" i="4" s="1"/>
  <c r="K493" i="4"/>
  <c r="E1100" i="16"/>
  <c r="E1101" i="16" s="1"/>
  <c r="E1113" i="16" s="1"/>
  <c r="C1951" i="8"/>
  <c r="C1952" i="8" s="1"/>
  <c r="D1537" i="16"/>
  <c r="D1539" i="16" s="1"/>
  <c r="D1552" i="16" s="1"/>
  <c r="Y115" i="17"/>
  <c r="E1078" i="16"/>
  <c r="K257" i="4"/>
  <c r="K150" i="4"/>
  <c r="K224" i="4" s="1"/>
  <c r="K162" i="4"/>
  <c r="K246" i="4"/>
  <c r="K255" i="4"/>
  <c r="K280" i="4"/>
  <c r="K282" i="4" s="1"/>
  <c r="L116" i="4"/>
  <c r="C3291" i="16" l="1"/>
  <c r="C166" i="28"/>
  <c r="F848" i="16"/>
  <c r="D2853" i="16"/>
  <c r="L120" i="4"/>
  <c r="C171" i="28" s="1"/>
  <c r="K339" i="4"/>
  <c r="K340" i="4"/>
  <c r="C2857" i="16"/>
  <c r="C2865" i="16" s="1"/>
  <c r="C2866" i="16"/>
  <c r="D2791" i="16"/>
  <c r="F2791" i="16"/>
  <c r="F1038" i="16"/>
  <c r="Y25" i="17"/>
  <c r="Y26" i="17" s="1"/>
  <c r="E1202" i="16"/>
  <c r="E1216" i="16" s="1"/>
  <c r="G264" i="23"/>
  <c r="C2547" i="16"/>
  <c r="J2572" i="16" s="1"/>
  <c r="D1538" i="16"/>
  <c r="E1112" i="16"/>
  <c r="D1551" i="16"/>
  <c r="K336" i="4"/>
  <c r="L122" i="4"/>
  <c r="L132" i="4"/>
  <c r="L244" i="4"/>
  <c r="L387" i="4"/>
  <c r="L460" i="4"/>
  <c r="X35" i="14"/>
  <c r="Y35" i="17"/>
  <c r="K204" i="4" l="1"/>
  <c r="Y134" i="17" s="1"/>
  <c r="L123" i="4"/>
  <c r="C2436" i="16" s="1"/>
  <c r="C2441" i="16" s="1"/>
  <c r="C3295" i="16"/>
  <c r="D3295" i="16"/>
  <c r="D3302" i="16" s="1"/>
  <c r="Z65" i="17"/>
  <c r="C2876" i="16"/>
  <c r="C2892" i="16" s="1"/>
  <c r="E798" i="20"/>
  <c r="D2858" i="16"/>
  <c r="D2857" i="16" s="1"/>
  <c r="E1221" i="16"/>
  <c r="E1223" i="16" s="1"/>
  <c r="C2586" i="16"/>
  <c r="C2572" i="16"/>
  <c r="G2638" i="16" s="1"/>
  <c r="C2548" i="16"/>
  <c r="D2547" i="16"/>
  <c r="K2572" i="16" s="1"/>
  <c r="K216" i="4"/>
  <c r="E1046" i="16" s="1"/>
  <c r="F1078" i="16"/>
  <c r="E1537" i="16"/>
  <c r="C2461" i="16"/>
  <c r="Z24" i="17"/>
  <c r="Z70" i="17" s="1"/>
  <c r="Z115" i="17"/>
  <c r="L136" i="4"/>
  <c r="G1121" i="16" s="1"/>
  <c r="L257" i="4"/>
  <c r="L332" i="4"/>
  <c r="L493" i="4"/>
  <c r="K24" i="5"/>
  <c r="C176" i="28" s="1"/>
  <c r="I264" i="23"/>
  <c r="L12" i="4"/>
  <c r="L245" i="4"/>
  <c r="L253" i="4"/>
  <c r="L252" i="4" s="1"/>
  <c r="L491" i="4"/>
  <c r="E1036" i="16" l="1"/>
  <c r="D2436" i="16"/>
  <c r="D2441" i="16" s="1"/>
  <c r="L339" i="4"/>
  <c r="L336" i="4"/>
  <c r="L340" i="4"/>
  <c r="L341" i="4"/>
  <c r="Z61" i="17"/>
  <c r="AA65" i="17"/>
  <c r="C2758" i="16"/>
  <c r="C2573" i="16"/>
  <c r="I2638" i="16" s="1"/>
  <c r="J2573" i="16"/>
  <c r="I2586" i="16"/>
  <c r="J2601" i="16" s="1"/>
  <c r="D2572" i="16"/>
  <c r="H2638" i="16" s="1"/>
  <c r="D2548" i="16"/>
  <c r="E2547" i="16"/>
  <c r="L2572" i="16" s="1"/>
  <c r="Y101" i="17"/>
  <c r="Y118" i="17" s="1"/>
  <c r="E1538" i="16"/>
  <c r="E1551" i="16"/>
  <c r="G1038" i="16"/>
  <c r="Z22" i="17"/>
  <c r="L191" i="4"/>
  <c r="G848" i="16"/>
  <c r="E2436" i="16" l="1"/>
  <c r="D2573" i="16"/>
  <c r="J2638" i="16" s="1"/>
  <c r="K2573" i="16"/>
  <c r="C2601" i="16"/>
  <c r="G2637" i="16" s="1"/>
  <c r="E2572" i="16"/>
  <c r="K295" i="4"/>
  <c r="Z101" i="17"/>
  <c r="Y104" i="17"/>
  <c r="K315" i="4"/>
  <c r="F1024" i="16"/>
  <c r="L204" i="4"/>
  <c r="L211" i="4" s="1"/>
  <c r="L162" i="4"/>
  <c r="L255" i="4"/>
  <c r="L280" i="4"/>
  <c r="L282" i="4" s="1"/>
  <c r="L246" i="4"/>
  <c r="K625" i="4" l="1"/>
  <c r="AA101" i="17"/>
  <c r="Y109" i="17"/>
  <c r="K290" i="4"/>
  <c r="K308" i="4"/>
  <c r="K297" i="4" s="1"/>
  <c r="K298" i="4" s="1"/>
  <c r="K175" i="4"/>
  <c r="K374" i="4" s="1"/>
  <c r="Y103" i="17"/>
  <c r="Y119" i="17"/>
  <c r="L216" i="4"/>
  <c r="F1046" i="16" s="1"/>
  <c r="M244" i="4"/>
  <c r="M253" i="4" s="1"/>
  <c r="M252" i="4" s="1"/>
  <c r="M387" i="4"/>
  <c r="M460" i="4"/>
  <c r="Y35" i="14"/>
  <c r="Z35" i="17"/>
  <c r="F1036" i="16"/>
  <c r="AB101" i="17" l="1"/>
  <c r="K177" i="4"/>
  <c r="M491" i="4"/>
  <c r="M12" i="4"/>
  <c r="M245" i="4"/>
  <c r="M295" i="4" l="1"/>
  <c r="M290" i="4" s="1"/>
  <c r="AC101" i="17"/>
  <c r="L295" i="4"/>
  <c r="L290" i="4" s="1"/>
  <c r="L625" i="4"/>
  <c r="AA22" i="17"/>
  <c r="M191" i="4"/>
  <c r="Z104" i="17"/>
  <c r="L315" i="4"/>
  <c r="M625" i="4" l="1"/>
  <c r="N295" i="4"/>
  <c r="N290" i="4" s="1"/>
  <c r="AD101" i="17"/>
  <c r="G1024" i="16"/>
  <c r="L175" i="4"/>
  <c r="L374" i="4" s="1"/>
  <c r="L308" i="4"/>
  <c r="L297" i="4" s="1"/>
  <c r="L298" i="4" s="1"/>
  <c r="Z103" i="17"/>
  <c r="AA104" i="17"/>
  <c r="M315" i="4"/>
  <c r="AA109" i="17"/>
  <c r="Z109" i="17"/>
  <c r="L177" i="4" l="1"/>
  <c r="N625" i="4"/>
  <c r="AA103" i="17"/>
  <c r="AB109" i="17"/>
  <c r="M175" i="4"/>
  <c r="M374" i="4" s="1"/>
  <c r="M308" i="4"/>
  <c r="M310" i="4" s="1"/>
  <c r="M240" i="4" s="1"/>
  <c r="L13" i="5" s="1"/>
  <c r="AB104" i="17"/>
  <c r="N315" i="4"/>
  <c r="N308" i="4" s="1"/>
  <c r="M177" i="4" l="1"/>
  <c r="AB103" i="17"/>
  <c r="N175" i="4"/>
  <c r="AC109" i="17"/>
  <c r="M297" i="4"/>
  <c r="M298" i="4" s="1"/>
  <c r="AC104" i="17"/>
  <c r="O315" i="4"/>
  <c r="AC103" i="17" l="1"/>
  <c r="AD104" i="17"/>
  <c r="P315" i="4"/>
  <c r="N297" i="4"/>
  <c r="N298" i="4" s="1"/>
  <c r="O175" i="4"/>
  <c r="O308" i="4"/>
  <c r="O310" i="4" s="1"/>
  <c r="O240" i="4" s="1"/>
  <c r="O297" i="4" l="1"/>
  <c r="O298" i="4" s="1"/>
  <c r="AD103" i="17"/>
  <c r="P175" i="4"/>
  <c r="P308" i="4"/>
  <c r="U12" i="17" l="1"/>
  <c r="K156" i="4" l="1"/>
  <c r="K160" i="4" s="1"/>
  <c r="K166" i="4"/>
  <c r="K168" i="4" l="1"/>
  <c r="K179" i="4"/>
  <c r="K180" i="4"/>
  <c r="K28" i="4"/>
  <c r="Y28" i="17" s="1"/>
  <c r="K465" i="4"/>
  <c r="K182" i="4" l="1"/>
  <c r="K183" i="4" s="1"/>
  <c r="K18" i="4"/>
  <c r="K225" i="4"/>
  <c r="K239" i="4" s="1"/>
  <c r="K287" i="4"/>
  <c r="K288" i="4" s="1"/>
  <c r="K198" i="4"/>
  <c r="K200" i="4" s="1"/>
  <c r="K24" i="4" l="1"/>
  <c r="J25" i="5"/>
  <c r="K462" i="4"/>
  <c r="K389" i="4"/>
  <c r="K391" i="4" s="1"/>
  <c r="K393" i="4" s="1"/>
  <c r="E1032" i="16"/>
  <c r="Y137" i="17"/>
  <c r="E1030" i="16"/>
  <c r="Y135" i="17"/>
  <c r="Y30" i="17"/>
  <c r="Y111" i="17"/>
  <c r="F849" i="16" l="1"/>
  <c r="J26" i="5"/>
  <c r="C1953" i="8"/>
  <c r="K396" i="4"/>
  <c r="K400" i="4" s="1"/>
  <c r="K394" i="4"/>
  <c r="J45" i="5" s="1"/>
  <c r="Y122" i="17"/>
  <c r="Y125" i="17"/>
  <c r="Y123" i="17"/>
  <c r="K27" i="4"/>
  <c r="K464" i="4"/>
  <c r="K466" i="4" s="1"/>
  <c r="E1103" i="16"/>
  <c r="E1115" i="16" s="1"/>
  <c r="E1033" i="16"/>
  <c r="K211" i="4"/>
  <c r="F850" i="16" l="1"/>
  <c r="C1954" i="8"/>
  <c r="C1956" i="8" s="1"/>
  <c r="J28" i="5"/>
  <c r="K402" i="4"/>
  <c r="K404" i="4" s="1"/>
  <c r="K30" i="4"/>
  <c r="E1042" i="16"/>
  <c r="E1104" i="16"/>
  <c r="E1116" i="16" s="1"/>
  <c r="K217" i="4"/>
  <c r="J32" i="5"/>
  <c r="Y32" i="17"/>
  <c r="K490" i="4"/>
  <c r="K494" i="4" s="1"/>
  <c r="K467" i="4"/>
  <c r="J65" i="5"/>
  <c r="J63" i="5" l="1"/>
  <c r="Y33" i="17"/>
  <c r="E1105" i="16"/>
  <c r="E1117" i="16" s="1"/>
  <c r="E470" i="16"/>
  <c r="E1203" i="16"/>
  <c r="E1217" i="16" s="1"/>
  <c r="C191" i="16"/>
  <c r="C193" i="16" s="1"/>
  <c r="C1752" i="16"/>
  <c r="F852" i="16"/>
  <c r="J29" i="5"/>
  <c r="F853" i="16" s="1"/>
  <c r="E365" i="16"/>
  <c r="E969" i="16"/>
  <c r="D1615" i="16"/>
  <c r="C2868" i="16"/>
  <c r="K488" i="4"/>
  <c r="K495" i="4"/>
  <c r="K33" i="4"/>
  <c r="K468" i="4"/>
  <c r="K486" i="4"/>
  <c r="K487" i="4"/>
  <c r="D305" i="16"/>
  <c r="E1204" i="16"/>
  <c r="E1218" i="16" s="1"/>
  <c r="J33" i="5"/>
  <c r="E1047" i="16"/>
  <c r="Y143" i="17"/>
  <c r="Y142" i="17" s="1"/>
  <c r="K220" i="4"/>
  <c r="E1050" i="16" s="1"/>
  <c r="K32" i="4"/>
  <c r="Y16" i="17" s="1"/>
  <c r="K433" i="4"/>
  <c r="C1753" i="16" l="1"/>
  <c r="C1770" i="16" s="1"/>
  <c r="C1759" i="16"/>
  <c r="C1760" i="16" s="1"/>
  <c r="C1769" i="16"/>
  <c r="K1752" i="16"/>
  <c r="D1616" i="16"/>
  <c r="D1621" i="16"/>
  <c r="D1622" i="16" s="1"/>
  <c r="E475" i="16"/>
  <c r="E478" i="16" s="1"/>
  <c r="D485" i="16"/>
  <c r="E472" i="16"/>
  <c r="E367" i="16"/>
  <c r="E370" i="16"/>
  <c r="E373" i="16" s="1"/>
  <c r="D380" i="16"/>
  <c r="J62" i="5"/>
  <c r="D307" i="16"/>
  <c r="D1659" i="16"/>
  <c r="E973" i="16"/>
  <c r="Y17" i="17"/>
  <c r="J52" i="5"/>
  <c r="K35" i="4"/>
  <c r="K496" i="4"/>
  <c r="D1623" i="16" l="1"/>
  <c r="E374" i="16"/>
  <c r="D388" i="16"/>
  <c r="D392" i="16" s="1"/>
  <c r="D382" i="16"/>
  <c r="D383" i="16" s="1"/>
  <c r="K1753" i="16"/>
  <c r="K1759" i="16"/>
  <c r="S1752" i="16"/>
  <c r="C1761" i="16"/>
  <c r="C1783" i="16" s="1"/>
  <c r="C1779" i="16"/>
  <c r="D493" i="16"/>
  <c r="D497" i="16" s="1"/>
  <c r="D487" i="16"/>
  <c r="D488" i="16" s="1"/>
  <c r="E479" i="16"/>
  <c r="D498" i="16" l="1"/>
  <c r="I525" i="16" s="1"/>
  <c r="D393" i="16"/>
  <c r="I524" i="16" s="1"/>
  <c r="S1753" i="16"/>
  <c r="S1759" i="16"/>
  <c r="K1779" i="16"/>
  <c r="K1760" i="16"/>
  <c r="Y110" i="17"/>
  <c r="J81" i="5"/>
  <c r="J82" i="5" s="1"/>
  <c r="S1760" i="16" l="1"/>
  <c r="S1779" i="16"/>
  <c r="K1761" i="16"/>
  <c r="K1780" i="16"/>
  <c r="C1780" i="16"/>
  <c r="E346" i="16"/>
  <c r="E350" i="16" s="1"/>
  <c r="E360" i="16" s="1"/>
  <c r="E377" i="16" s="1"/>
  <c r="E451" i="16"/>
  <c r="E455" i="16" s="1"/>
  <c r="E465" i="16" s="1"/>
  <c r="E482" i="16" s="1"/>
  <c r="C172" i="16"/>
  <c r="C1749" i="16"/>
  <c r="J85" i="5"/>
  <c r="C2683" i="16" s="1"/>
  <c r="C1784" i="16" l="1"/>
  <c r="K1781" i="16"/>
  <c r="C1781" i="16"/>
  <c r="S1780" i="16"/>
  <c r="S1761" i="16"/>
  <c r="C1751" i="16"/>
  <c r="C1768" i="16" s="1"/>
  <c r="C1756" i="16"/>
  <c r="C1758" i="16" s="1"/>
  <c r="C1775" i="16" s="1"/>
  <c r="K1749" i="16"/>
  <c r="C1766" i="16"/>
  <c r="E359" i="16"/>
  <c r="E376" i="16" s="1"/>
  <c r="C185" i="16"/>
  <c r="E464" i="16"/>
  <c r="E481" i="16" s="1"/>
  <c r="C1785" i="16" l="1"/>
  <c r="S1781" i="16"/>
  <c r="K1756" i="16"/>
  <c r="S1749" i="16"/>
  <c r="K1751" i="16"/>
  <c r="K1758" i="16" l="1"/>
  <c r="K1775" i="16"/>
  <c r="S1751" i="16"/>
  <c r="S1756" i="16"/>
  <c r="S1758" i="16" l="1"/>
  <c r="S1775" i="16"/>
  <c r="C1776" i="16"/>
  <c r="K1777" i="16"/>
  <c r="S1777" i="16" l="1"/>
  <c r="C1777" i="16"/>
  <c r="Y105" i="17"/>
  <c r="K310" i="4"/>
  <c r="K311" i="4"/>
  <c r="K312" i="4" l="1"/>
  <c r="K240" i="4"/>
  <c r="J13" i="5" s="1"/>
  <c r="K221" i="4"/>
  <c r="K302" i="4"/>
  <c r="K300" i="4" s="1"/>
  <c r="K301" i="4" s="1"/>
  <c r="Y106" i="17"/>
  <c r="Y120" i="17" s="1"/>
  <c r="E1051" i="16" l="1"/>
  <c r="K222" i="4"/>
  <c r="E1052" i="16" s="1"/>
  <c r="K185" i="4"/>
  <c r="Y9" i="17" l="1"/>
  <c r="J68" i="5"/>
  <c r="Y27" i="17"/>
  <c r="Y144" i="17" s="1"/>
  <c r="K186" i="4"/>
  <c r="K241" i="4" s="1"/>
  <c r="L219" i="4"/>
  <c r="F1049" i="16" l="1"/>
  <c r="AC285" i="20" l="1"/>
  <c r="AC288" i="20"/>
  <c r="J2728" i="16" l="1"/>
  <c r="I2728" i="16"/>
  <c r="N199" i="4"/>
  <c r="N410" i="4"/>
  <c r="N226" i="4" s="1"/>
  <c r="H1031" i="16" l="1"/>
  <c r="AB136" i="17"/>
  <c r="E779" i="20" l="1"/>
  <c r="E768" i="20"/>
  <c r="E772" i="20" l="1"/>
  <c r="E782" i="20"/>
  <c r="E774" i="20"/>
  <c r="E795" i="20"/>
  <c r="E763" i="20" l="1"/>
  <c r="E770" i="20" l="1"/>
  <c r="E761" i="20"/>
  <c r="E799" i="20" l="1"/>
  <c r="I2637" i="16"/>
  <c r="E2637" i="16"/>
  <c r="L69" i="4"/>
  <c r="C155" i="28" s="1"/>
  <c r="G257" i="23"/>
  <c r="G272" i="23"/>
  <c r="G294" i="23" s="1"/>
  <c r="L85" i="4" l="1"/>
  <c r="C3284" i="16"/>
  <c r="C3298" i="16" s="1"/>
  <c r="L145" i="4"/>
  <c r="L100" i="4"/>
  <c r="L88" i="4"/>
  <c r="D2845" i="16"/>
  <c r="D2861" i="16" s="1"/>
  <c r="L73" i="4"/>
  <c r="C3288" i="16" l="1"/>
  <c r="C3302" i="16" s="1"/>
  <c r="C160" i="28"/>
  <c r="L89" i="4"/>
  <c r="L90" i="4" s="1"/>
  <c r="D2849" i="16"/>
  <c r="D2865" i="16" s="1"/>
  <c r="Z55" i="17"/>
  <c r="L149" i="4"/>
  <c r="G298" i="23" s="1"/>
  <c r="F1074" i="16"/>
  <c r="L84" i="4"/>
  <c r="K84" i="5" s="1"/>
  <c r="E1536" i="16"/>
  <c r="C2585" i="16"/>
  <c r="I2585" i="16" s="1"/>
  <c r="E2525" i="16"/>
  <c r="D2850" i="16"/>
  <c r="D2866" i="16" s="1"/>
  <c r="Z108" i="17"/>
  <c r="Z21" i="17"/>
  <c r="Z59" i="17" s="1"/>
  <c r="L75" i="4"/>
  <c r="L81" i="4"/>
  <c r="L82" i="4" s="1"/>
  <c r="L83" i="4" s="1"/>
  <c r="L104" i="4"/>
  <c r="L150" i="4"/>
  <c r="L190" i="4"/>
  <c r="L6" i="4"/>
  <c r="L105" i="4"/>
  <c r="L76" i="4"/>
  <c r="L91" i="4"/>
  <c r="L107" i="4"/>
  <c r="K23" i="5"/>
  <c r="C175" i="28" l="1"/>
  <c r="Z51" i="17"/>
  <c r="F1075" i="16"/>
  <c r="L86" i="4"/>
  <c r="F353" i="16"/>
  <c r="F458" i="16"/>
  <c r="D179" i="16"/>
  <c r="D181" i="16" s="1"/>
  <c r="E2849" i="16"/>
  <c r="E2796" i="16"/>
  <c r="H2796" i="16" s="1"/>
  <c r="AA55" i="17"/>
  <c r="M149" i="4"/>
  <c r="H298" i="23" s="1"/>
  <c r="F1201" i="16"/>
  <c r="F1215" i="16" s="1"/>
  <c r="C2460" i="16"/>
  <c r="C2462" i="16" s="1"/>
  <c r="C2875" i="16"/>
  <c r="L10" i="4"/>
  <c r="L16" i="4" s="1"/>
  <c r="L386" i="4"/>
  <c r="L7" i="4"/>
  <c r="L459" i="4"/>
  <c r="F1023" i="16"/>
  <c r="Z134" i="17"/>
  <c r="L192" i="4"/>
  <c r="L194" i="4"/>
  <c r="F1026" i="16" s="1"/>
  <c r="L196" i="4"/>
  <c r="E2526" i="16"/>
  <c r="U2525" i="16"/>
  <c r="G847" i="16"/>
  <c r="D1877" i="16"/>
  <c r="C2757" i="16"/>
  <c r="F1202" i="16"/>
  <c r="C2587" i="16"/>
  <c r="Z25" i="17"/>
  <c r="Z26" i="17" s="1"/>
  <c r="L224" i="4"/>
  <c r="I2587" i="16"/>
  <c r="J2600" i="16"/>
  <c r="C2671" i="16" s="1"/>
  <c r="C2600" i="16"/>
  <c r="Z119" i="17"/>
  <c r="Z118" i="17"/>
  <c r="E1550" i="16"/>
  <c r="E1539" i="16"/>
  <c r="E1552" i="16" s="1"/>
  <c r="C2810" i="16" l="1"/>
  <c r="J2796" i="16"/>
  <c r="G458" i="16"/>
  <c r="F460" i="16"/>
  <c r="G460" i="16" s="1"/>
  <c r="F355" i="16"/>
  <c r="G355" i="16" s="1"/>
  <c r="G353" i="16"/>
  <c r="F2334" i="16"/>
  <c r="E2414" i="16"/>
  <c r="E2419" i="16" s="1"/>
  <c r="D1750" i="16"/>
  <c r="C2432" i="16"/>
  <c r="E2229" i="16"/>
  <c r="E2234" i="16" s="1"/>
  <c r="C3080" i="16"/>
  <c r="C2877" i="16"/>
  <c r="C2893" i="16" s="1"/>
  <c r="C2891" i="16"/>
  <c r="C2602" i="16"/>
  <c r="J2602" i="16"/>
  <c r="F1221" i="16"/>
  <c r="F1223" i="16" s="1"/>
  <c r="F1216" i="16"/>
  <c r="E1973" i="16"/>
  <c r="E1910" i="16"/>
  <c r="F1028" i="16"/>
  <c r="C2443" i="16" l="1"/>
  <c r="C2445" i="16" s="1"/>
  <c r="C2434" i="16"/>
  <c r="D2432" i="16"/>
  <c r="D1767" i="16"/>
  <c r="D1757" i="16"/>
  <c r="L1750" i="16"/>
  <c r="G3288" i="16"/>
  <c r="I81" i="25"/>
  <c r="M71" i="4"/>
  <c r="I86" i="25"/>
  <c r="D3286" i="16" l="1"/>
  <c r="D3300" i="16" s="1"/>
  <c r="D156" i="28"/>
  <c r="D2443" i="16"/>
  <c r="D2434" i="16"/>
  <c r="E2432" i="16"/>
  <c r="L1757" i="16"/>
  <c r="L1776" i="16" s="1"/>
  <c r="T1750" i="16"/>
  <c r="T1757" i="16" s="1"/>
  <c r="T1776" i="16" s="1"/>
  <c r="H3288" i="16"/>
  <c r="H2849" i="16"/>
  <c r="AD55" i="17"/>
  <c r="E2846" i="16"/>
  <c r="E2862" i="16" s="1"/>
  <c r="M102" i="4"/>
  <c r="L87" i="5"/>
  <c r="L88" i="5" s="1"/>
  <c r="M147" i="4"/>
  <c r="AA53" i="17"/>
  <c r="I2849" i="16" l="1"/>
  <c r="D2445" i="16"/>
  <c r="E2443" i="16"/>
  <c r="E2794" i="16"/>
  <c r="H2794" i="16" l="1"/>
  <c r="E2797" i="16"/>
  <c r="I2794" i="16" s="1"/>
  <c r="C2802" i="16" l="1"/>
  <c r="J2794" i="16"/>
  <c r="H2797" i="16"/>
  <c r="D2797" i="16" s="1"/>
  <c r="I2778" i="16"/>
  <c r="I2781" i="16"/>
  <c r="I2782" i="16"/>
  <c r="I2776" i="16"/>
  <c r="I2795" i="16"/>
  <c r="I2793" i="16"/>
  <c r="I2775" i="16"/>
  <c r="I2796" i="16"/>
  <c r="I2780" i="16"/>
  <c r="I2777" i="16"/>
  <c r="I2779" i="16"/>
  <c r="C2811" i="16" l="1"/>
  <c r="D2800" i="16" l="1"/>
  <c r="D2808" i="16"/>
  <c r="D2805" i="16"/>
  <c r="D2809" i="16"/>
  <c r="D2801" i="16"/>
  <c r="D2807" i="16"/>
  <c r="D2810" i="16"/>
  <c r="D2799" i="16"/>
  <c r="D2803" i="16"/>
  <c r="D2804" i="16"/>
  <c r="D2806" i="16"/>
  <c r="D2802" i="16"/>
  <c r="L156" i="4"/>
  <c r="L160" i="4" s="1"/>
  <c r="L166" i="4"/>
  <c r="L168" i="4" l="1"/>
  <c r="L179" i="4"/>
  <c r="L180" i="4"/>
  <c r="Z105" i="17"/>
  <c r="Z110" i="17"/>
  <c r="L310" i="4"/>
  <c r="L311" i="4"/>
  <c r="L182" i="4" l="1"/>
  <c r="L183" i="4" s="1"/>
  <c r="L302" i="4"/>
  <c r="L240" i="4"/>
  <c r="K13" i="5" s="1"/>
  <c r="L221" i="4"/>
  <c r="Z106" i="17"/>
  <c r="Z120" i="17" s="1"/>
  <c r="L312" i="4"/>
  <c r="L18" i="4" l="1"/>
  <c r="K25" i="5" s="1"/>
  <c r="L225" i="4"/>
  <c r="L239" i="4" s="1"/>
  <c r="L287" i="4"/>
  <c r="L198" i="4"/>
  <c r="L200" i="4" s="1"/>
  <c r="F1051" i="16"/>
  <c r="L185" i="4"/>
  <c r="L222" i="4"/>
  <c r="F1052" i="16" s="1"/>
  <c r="C177" i="28" l="1"/>
  <c r="K26" i="5"/>
  <c r="F1032" i="16"/>
  <c r="Z137" i="17"/>
  <c r="F1030" i="16"/>
  <c r="Z135" i="17"/>
  <c r="L288" i="4"/>
  <c r="L300" i="4"/>
  <c r="L301" i="4" s="1"/>
  <c r="L462" i="4"/>
  <c r="L389" i="4"/>
  <c r="L391" i="4" s="1"/>
  <c r="Z27" i="17"/>
  <c r="Z144" i="17" s="1"/>
  <c r="L186" i="4"/>
  <c r="L241" i="4" s="1"/>
  <c r="M219" i="4"/>
  <c r="D1876" i="16"/>
  <c r="Z9" i="17"/>
  <c r="K68" i="5"/>
  <c r="K75" i="5"/>
  <c r="K74" i="5" s="1"/>
  <c r="K81" i="5" s="1"/>
  <c r="K82" i="5" s="1"/>
  <c r="AG393" i="20"/>
  <c r="Z111" i="17"/>
  <c r="Z30" i="17"/>
  <c r="L24" i="4"/>
  <c r="C178" i="28" l="1"/>
  <c r="C2760" i="16"/>
  <c r="G850" i="16"/>
  <c r="L393" i="4"/>
  <c r="L384" i="4" s="1"/>
  <c r="L396" i="4"/>
  <c r="L400" i="4" s="1"/>
  <c r="F1033" i="16"/>
  <c r="D172" i="16"/>
  <c r="D176" i="16" s="1"/>
  <c r="D186" i="16" s="1"/>
  <c r="D203" i="16" s="1"/>
  <c r="F451" i="16"/>
  <c r="F455" i="16" s="1"/>
  <c r="F465" i="16" s="1"/>
  <c r="F482" i="16" s="1"/>
  <c r="D1749" i="16"/>
  <c r="F346" i="16"/>
  <c r="F350" i="16" s="1"/>
  <c r="F360" i="16" s="1"/>
  <c r="F377" i="16" s="1"/>
  <c r="F2333" i="16"/>
  <c r="F2335" i="16" s="1"/>
  <c r="E2228" i="16"/>
  <c r="E2413" i="16"/>
  <c r="C3079" i="16"/>
  <c r="C3081" i="16" s="1"/>
  <c r="C2448" i="16"/>
  <c r="K85" i="5"/>
  <c r="G1049" i="16"/>
  <c r="D1878" i="16"/>
  <c r="N1893" i="16" s="1"/>
  <c r="E1909" i="16"/>
  <c r="E1911" i="16" s="1"/>
  <c r="N1894" i="16" s="1"/>
  <c r="E1972" i="16"/>
  <c r="E1974" i="16" s="1"/>
  <c r="N1896" i="16" s="1"/>
  <c r="Z122" i="17"/>
  <c r="Z125" i="17"/>
  <c r="Z123" i="17"/>
  <c r="G849" i="16"/>
  <c r="C2759" i="16"/>
  <c r="K28" i="5"/>
  <c r="D3501" i="16" l="1"/>
  <c r="C180" i="28"/>
  <c r="L394" i="4"/>
  <c r="K45" i="5" s="1"/>
  <c r="D252" i="16"/>
  <c r="D228" i="16"/>
  <c r="E2415" i="16"/>
  <c r="E2418" i="16"/>
  <c r="E2420" i="16" s="1"/>
  <c r="D1756" i="16"/>
  <c r="D1758" i="16" s="1"/>
  <c r="D1775" i="16" s="1"/>
  <c r="D1766" i="16"/>
  <c r="D1751" i="16"/>
  <c r="D1768" i="16" s="1"/>
  <c r="L1749" i="16"/>
  <c r="F1042" i="16"/>
  <c r="L217" i="4"/>
  <c r="K32" i="5"/>
  <c r="C3668" i="16" s="1"/>
  <c r="D2448" i="16"/>
  <c r="E2448" i="16" s="1"/>
  <c r="D191" i="16"/>
  <c r="F470" i="16"/>
  <c r="G852" i="16"/>
  <c r="F1203" i="16"/>
  <c r="F1217" i="16" s="1"/>
  <c r="D1752" i="16"/>
  <c r="F365" i="16"/>
  <c r="D1880" i="16"/>
  <c r="F969" i="16"/>
  <c r="E2237" i="16"/>
  <c r="E2238" i="16" s="1"/>
  <c r="E2239" i="16" s="1"/>
  <c r="C2762" i="16"/>
  <c r="E2422" i="16"/>
  <c r="C2468" i="16"/>
  <c r="C2588" i="16"/>
  <c r="C2879" i="16"/>
  <c r="C2895" i="16" s="1"/>
  <c r="D2868" i="16"/>
  <c r="Z33" i="17"/>
  <c r="K63" i="5"/>
  <c r="K30" i="5"/>
  <c r="K29" i="5"/>
  <c r="G853" i="16" s="1"/>
  <c r="F359" i="16"/>
  <c r="F376" i="16" s="1"/>
  <c r="D185" i="16"/>
  <c r="D202" i="16" s="1"/>
  <c r="J201" i="16" s="1"/>
  <c r="F464" i="16"/>
  <c r="F481" i="16" s="1"/>
  <c r="C2465" i="16"/>
  <c r="D2683" i="16"/>
  <c r="E2230" i="16"/>
  <c r="E2233" i="16"/>
  <c r="E2235" i="16" s="1"/>
  <c r="D3502" i="16" l="1"/>
  <c r="C182" i="28"/>
  <c r="L402" i="4"/>
  <c r="L404" i="4" s="1"/>
  <c r="C2467" i="16"/>
  <c r="C2471" i="16" s="1"/>
  <c r="C2472" i="16"/>
  <c r="F1047" i="16"/>
  <c r="Z143" i="17"/>
  <c r="Z142" i="17" s="1"/>
  <c r="L220" i="4"/>
  <c r="F1050" i="16" s="1"/>
  <c r="E2423" i="16"/>
  <c r="E2424" i="16"/>
  <c r="E2426" i="16" s="1"/>
  <c r="F367" i="16"/>
  <c r="F370" i="16"/>
  <c r="F373" i="16" s="1"/>
  <c r="E380" i="16"/>
  <c r="F472" i="16"/>
  <c r="F475" i="16"/>
  <c r="F478" i="16" s="1"/>
  <c r="E485" i="16"/>
  <c r="T1749" i="16"/>
  <c r="L1751" i="16"/>
  <c r="L1756" i="16"/>
  <c r="D1883" i="16"/>
  <c r="E1913" i="16"/>
  <c r="E1976" i="16"/>
  <c r="E1977" i="16" s="1"/>
  <c r="D1884" i="16"/>
  <c r="F973" i="16"/>
  <c r="E1659" i="16"/>
  <c r="E307" i="16"/>
  <c r="K62" i="5"/>
  <c r="C2603" i="16"/>
  <c r="K2637" i="16" s="1"/>
  <c r="J2603" i="16"/>
  <c r="D1759" i="16"/>
  <c r="D1760" i="16" s="1"/>
  <c r="L1752" i="16"/>
  <c r="D1769" i="16"/>
  <c r="D1753" i="16"/>
  <c r="D1770" i="16" s="1"/>
  <c r="D206" i="16"/>
  <c r="D196" i="16"/>
  <c r="D193" i="16"/>
  <c r="F1204" i="16"/>
  <c r="F1218" i="16" s="1"/>
  <c r="E305" i="16"/>
  <c r="C2878" i="16"/>
  <c r="C2894" i="16" s="1"/>
  <c r="K33" i="5"/>
  <c r="L464" i="4"/>
  <c r="L27" i="4"/>
  <c r="C2469" i="16" l="1"/>
  <c r="F374" i="16"/>
  <c r="D233" i="16"/>
  <c r="D208" i="16"/>
  <c r="D209" i="16" s="1"/>
  <c r="E1980" i="16"/>
  <c r="E1981" i="16"/>
  <c r="E1918" i="16"/>
  <c r="E1914" i="16"/>
  <c r="E1917" i="16" s="1"/>
  <c r="T1756" i="16"/>
  <c r="T1751" i="16"/>
  <c r="E388" i="16"/>
  <c r="E392" i="16" s="1"/>
  <c r="E382" i="16"/>
  <c r="E383" i="16" s="1"/>
  <c r="E487" i="16"/>
  <c r="E488" i="16" s="1"/>
  <c r="E493" i="16"/>
  <c r="E497" i="16" s="1"/>
  <c r="D1761" i="16"/>
  <c r="D1783" i="16" s="1"/>
  <c r="D1779" i="16"/>
  <c r="D199" i="16"/>
  <c r="D200" i="16" s="1"/>
  <c r="D214" i="16"/>
  <c r="T1752" i="16"/>
  <c r="L1753" i="16"/>
  <c r="L1759" i="16"/>
  <c r="N1884" i="16"/>
  <c r="D1885" i="16"/>
  <c r="D1886" i="16"/>
  <c r="L1758" i="16"/>
  <c r="L1775" i="16"/>
  <c r="F479" i="16"/>
  <c r="N1887" i="16" l="1"/>
  <c r="E1982" i="16"/>
  <c r="E1983" i="16"/>
  <c r="E393" i="16"/>
  <c r="N1885" i="16"/>
  <c r="E1919" i="16"/>
  <c r="E1920" i="16"/>
  <c r="T1775" i="16"/>
  <c r="T1758" i="16"/>
  <c r="T1759" i="16"/>
  <c r="T1753" i="16"/>
  <c r="D218" i="16"/>
  <c r="D244" i="16"/>
  <c r="D224" i="16"/>
  <c r="D225" i="16" s="1"/>
  <c r="D226" i="16" s="1"/>
  <c r="L1777" i="16"/>
  <c r="D1776" i="16"/>
  <c r="L1760" i="16"/>
  <c r="L1779" i="16"/>
  <c r="E498" i="16"/>
  <c r="D250" i="16" l="1"/>
  <c r="D219" i="16"/>
  <c r="D251" i="16" s="1"/>
  <c r="T1760" i="16"/>
  <c r="T1779" i="16"/>
  <c r="L1761" i="16"/>
  <c r="D1780" i="16"/>
  <c r="L1780" i="16"/>
  <c r="D1777" i="16"/>
  <c r="T1777" i="16"/>
  <c r="T1780" i="16" l="1"/>
  <c r="D1781" i="16"/>
  <c r="T1761" i="16"/>
  <c r="L1781" i="16"/>
  <c r="D1784" i="16"/>
  <c r="D1785" i="16" l="1"/>
  <c r="T1781" i="16"/>
  <c r="L28" i="4"/>
  <c r="L465" i="4"/>
  <c r="L466" i="4" s="1"/>
  <c r="Z32" i="17" s="1"/>
  <c r="L490" i="4" l="1"/>
  <c r="L494" i="4" s="1"/>
  <c r="L495" i="4" s="1"/>
  <c r="L467" i="4"/>
  <c r="L33" i="4" s="1"/>
  <c r="Z17" i="17" s="1"/>
  <c r="K65" i="5"/>
  <c r="Z28" i="17"/>
  <c r="L30" i="4"/>
  <c r="K52" i="5" l="1"/>
  <c r="L468" i="4"/>
  <c r="L496" i="4"/>
  <c r="L35" i="4"/>
  <c r="L488" i="4"/>
  <c r="L486" i="4"/>
  <c r="L487" i="4"/>
  <c r="L433" i="4"/>
  <c r="L32" i="4"/>
  <c r="Z16" i="17" s="1"/>
  <c r="C849" i="16" l="1"/>
  <c r="C850" i="16"/>
  <c r="C852" i="16"/>
  <c r="C853" i="16"/>
  <c r="U9" i="17"/>
  <c r="U33" i="17"/>
  <c r="V33" i="17"/>
  <c r="U147" i="17"/>
  <c r="G627" i="1"/>
  <c r="N48" i="4" l="1"/>
  <c r="N51" i="4" s="1"/>
  <c r="J60" i="25"/>
  <c r="J83" i="25"/>
  <c r="AE104" i="17" l="1"/>
  <c r="AE103" i="17" s="1"/>
  <c r="N57" i="4"/>
  <c r="AQ21" i="20"/>
  <c r="J52" i="25"/>
  <c r="C3823" i="16"/>
  <c r="C3820" i="16"/>
  <c r="M3820" i="16" s="1"/>
  <c r="E147" i="28"/>
  <c r="C3554" i="16"/>
  <c r="K3554" i="16" s="1"/>
  <c r="Q315" i="4"/>
  <c r="N55" i="4"/>
  <c r="N56" i="4" s="1"/>
  <c r="M2480" i="16" s="1"/>
  <c r="E3279" i="16"/>
  <c r="AQ19" i="20"/>
  <c r="N71" i="4"/>
  <c r="J86" i="25"/>
  <c r="J81" i="25"/>
  <c r="E2584" i="16"/>
  <c r="F2842" i="16"/>
  <c r="AB20" i="17"/>
  <c r="F2838" i="16"/>
  <c r="AB46" i="17"/>
  <c r="J53" i="25" l="1"/>
  <c r="E168" i="28"/>
  <c r="J55" i="25"/>
  <c r="G2243" i="16"/>
  <c r="N118" i="4"/>
  <c r="N147" i="4" s="1"/>
  <c r="C3570" i="16" s="1"/>
  <c r="K3570" i="16" s="1"/>
  <c r="AB49" i="17"/>
  <c r="E3282" i="16"/>
  <c r="N53" i="4"/>
  <c r="C3558" i="16"/>
  <c r="K3558" i="16" s="1"/>
  <c r="AQ22" i="20"/>
  <c r="E152" i="28"/>
  <c r="N3" i="4"/>
  <c r="G3759" i="16"/>
  <c r="C3827" i="16"/>
  <c r="M3827" i="16" s="1"/>
  <c r="C3822" i="16"/>
  <c r="M3823" i="16"/>
  <c r="C3562" i="16"/>
  <c r="K3562" i="16" s="1"/>
  <c r="E3286" i="16"/>
  <c r="E156" i="28"/>
  <c r="Q175" i="4"/>
  <c r="Q308" i="4"/>
  <c r="N157" i="4"/>
  <c r="N359" i="4"/>
  <c r="F2841" i="16"/>
  <c r="E2599" i="16"/>
  <c r="L2599" i="16"/>
  <c r="F2846" i="16"/>
  <c r="AB53" i="17"/>
  <c r="N102" i="4"/>
  <c r="M87" i="5"/>
  <c r="M88" i="5" s="1"/>
  <c r="E2874" i="16" l="1"/>
  <c r="E2890" i="16" s="1"/>
  <c r="N348" i="4"/>
  <c r="N345" i="4"/>
  <c r="N351" i="4"/>
  <c r="N355" i="4"/>
  <c r="N358" i="4"/>
  <c r="O50" i="28"/>
  <c r="O73" i="28"/>
  <c r="C3557" i="16"/>
  <c r="C3834" i="16"/>
  <c r="M3834" i="16" s="1"/>
  <c r="AB63" i="17"/>
  <c r="N134" i="4"/>
  <c r="E3293" i="16"/>
  <c r="E3300" i="16" s="1"/>
  <c r="G3768" i="16"/>
  <c r="G3777" i="16" s="1"/>
  <c r="E167" i="28"/>
  <c r="F2854" i="16"/>
  <c r="F2862" i="16" s="1"/>
  <c r="G2248" i="16"/>
  <c r="G2249" i="16" s="1"/>
  <c r="G2250" i="16" s="1"/>
  <c r="C2253" i="16" s="1"/>
  <c r="C2258" i="16" s="1"/>
  <c r="G2244" i="16"/>
  <c r="E2459" i="16"/>
  <c r="N4" i="4"/>
  <c r="N352" i="4"/>
  <c r="N349" i="4"/>
  <c r="G3557" i="16"/>
  <c r="N356" i="4"/>
  <c r="N171" i="4"/>
  <c r="N346" i="4"/>
  <c r="N170" i="4"/>
  <c r="C3841" i="16" l="1"/>
  <c r="M3841" i="16" s="1"/>
  <c r="K3557" i="16"/>
  <c r="N158" i="4"/>
  <c r="C2260" i="16"/>
  <c r="S3768" i="16"/>
  <c r="N159" i="4"/>
  <c r="N173" i="4"/>
  <c r="N374" i="4" s="1"/>
  <c r="Q205" i="4"/>
  <c r="I4245" i="16" s="1"/>
  <c r="AF64" i="4"/>
  <c r="AF68" i="4"/>
  <c r="AF65" i="4"/>
  <c r="AF69" i="4"/>
  <c r="AF66" i="4"/>
  <c r="AF70" i="4"/>
  <c r="AF72" i="4"/>
  <c r="AF63" i="4"/>
  <c r="AF67" i="4"/>
  <c r="AF73" i="4"/>
  <c r="O205" i="4"/>
  <c r="P205" i="4"/>
  <c r="AZ365" i="20" s="1"/>
  <c r="AF71" i="4"/>
  <c r="H4245" i="16" l="1"/>
  <c r="AU365" i="20"/>
  <c r="AV365" i="20" s="1"/>
  <c r="C4245" i="16"/>
  <c r="J1037" i="16"/>
  <c r="I1037" i="16"/>
  <c r="N177" i="4"/>
  <c r="N227" i="4"/>
  <c r="BG365" i="20" l="1"/>
  <c r="G4245" i="16"/>
  <c r="J3613" i="16"/>
  <c r="AR316" i="12"/>
  <c r="J3614" i="16"/>
  <c r="K3617" i="16" l="1"/>
  <c r="K3613" i="16"/>
  <c r="J3612" i="16"/>
  <c r="AS316" i="12" l="1"/>
  <c r="AR317" i="12"/>
  <c r="L3617" i="16"/>
  <c r="AS317" i="12"/>
  <c r="L3613" i="16"/>
  <c r="K3620" i="16"/>
  <c r="K3619" i="16"/>
  <c r="K3621" i="16" s="1"/>
  <c r="AU316" i="12" l="1"/>
  <c r="AT316" i="12"/>
  <c r="M3613" i="16"/>
  <c r="N3614" i="16"/>
  <c r="L3619" i="16"/>
  <c r="L3621" i="16" s="1"/>
  <c r="L3620" i="16"/>
  <c r="M3617" i="16"/>
  <c r="AT317" i="12"/>
  <c r="N3617" i="16" l="1"/>
  <c r="N3612" i="16"/>
  <c r="M3620" i="16"/>
  <c r="M3619" i="16"/>
  <c r="M3621" i="16" s="1"/>
  <c r="AU317" i="12"/>
  <c r="N3619" i="16" l="1"/>
  <c r="N3621" i="16" s="1"/>
  <c r="N3620" i="16"/>
  <c r="H264" i="23" l="1"/>
  <c r="M69" i="4"/>
  <c r="M84" i="4" s="1"/>
  <c r="E179" i="16" s="1"/>
  <c r="E181" i="16" s="1"/>
  <c r="H257" i="23"/>
  <c r="N2730" i="16"/>
  <c r="N2731" i="16" s="1"/>
  <c r="M100" i="4" l="1"/>
  <c r="M88" i="4"/>
  <c r="M89" i="4" s="1"/>
  <c r="M74" i="4"/>
  <c r="F2525" i="16" s="1"/>
  <c r="D155" i="28"/>
  <c r="L84" i="5"/>
  <c r="F2414" i="16" s="1"/>
  <c r="F2419" i="16" s="1"/>
  <c r="N2732" i="16"/>
  <c r="M86" i="4"/>
  <c r="M85" i="4"/>
  <c r="D3284" i="16"/>
  <c r="E2845" i="16"/>
  <c r="M90" i="4" l="1"/>
  <c r="M91" i="4"/>
  <c r="AA108" i="17"/>
  <c r="AA118" i="17" s="1"/>
  <c r="D2585" i="16"/>
  <c r="D2600" i="16" s="1"/>
  <c r="F2637" i="16" s="1"/>
  <c r="L23" i="5"/>
  <c r="E1877" i="16" s="1"/>
  <c r="F1910" i="16" s="1"/>
  <c r="M6" i="4"/>
  <c r="M10" i="4" s="1"/>
  <c r="M16" i="4" s="1"/>
  <c r="M105" i="4"/>
  <c r="M107" i="4"/>
  <c r="M104" i="4"/>
  <c r="M82" i="4"/>
  <c r="M81" i="4"/>
  <c r="M79" i="4"/>
  <c r="D163" i="28" s="1"/>
  <c r="M76" i="4"/>
  <c r="M75" i="4"/>
  <c r="D3289" i="16"/>
  <c r="D161" i="28"/>
  <c r="AA21" i="17"/>
  <c r="AA59" i="17" s="1"/>
  <c r="AA51" i="17" s="1"/>
  <c r="M190" i="4"/>
  <c r="M196" i="4" s="1"/>
  <c r="G1028" i="16" s="1"/>
  <c r="E2850" i="16"/>
  <c r="C3219" i="16"/>
  <c r="D3080" i="16"/>
  <c r="D3085" i="16" s="1"/>
  <c r="D3134" i="16" s="1"/>
  <c r="F2229" i="16"/>
  <c r="F2234" i="16" s="1"/>
  <c r="E1750" i="16"/>
  <c r="M1750" i="16" s="1"/>
  <c r="G2334" i="16"/>
  <c r="G2339" i="16" s="1"/>
  <c r="V2525" i="16"/>
  <c r="AA119" i="17" l="1"/>
  <c r="D2875" i="16"/>
  <c r="D2891" i="16" s="1"/>
  <c r="D2460" i="16"/>
  <c r="K2600" i="16"/>
  <c r="D2671" i="16" s="1"/>
  <c r="D2757" i="16"/>
  <c r="D175" i="28"/>
  <c r="F1973" i="16"/>
  <c r="M7" i="4"/>
  <c r="M386" i="4"/>
  <c r="M459" i="4"/>
  <c r="M194" i="4"/>
  <c r="G1026" i="16" s="1"/>
  <c r="K249" i="23"/>
  <c r="H120" i="31" s="1"/>
  <c r="I253" i="23"/>
  <c r="E2546" i="16"/>
  <c r="G1023" i="16"/>
  <c r="M192" i="4"/>
  <c r="E1757" i="16"/>
  <c r="E1767" i="16"/>
  <c r="U1750" i="16"/>
  <c r="U1757" i="16" s="1"/>
  <c r="U1776" i="16" s="1"/>
  <c r="M1757" i="16"/>
  <c r="M1776" i="16" s="1"/>
  <c r="P69" i="4" l="1"/>
  <c r="L249" i="23"/>
  <c r="I120" i="31" s="1"/>
  <c r="E2571" i="16"/>
  <c r="L2571" i="16"/>
  <c r="E2548" i="16"/>
  <c r="M116" i="4"/>
  <c r="M123" i="4" s="1"/>
  <c r="H268" i="23"/>
  <c r="H272" i="23"/>
  <c r="H294" i="23" s="1"/>
  <c r="E2573" i="16" l="1"/>
  <c r="L2573" i="16"/>
  <c r="Q69" i="4"/>
  <c r="M249" i="23"/>
  <c r="P100" i="4"/>
  <c r="M121" i="4"/>
  <c r="E2858" i="16" s="1"/>
  <c r="D166" i="28"/>
  <c r="E2853" i="16"/>
  <c r="E2861" i="16" s="1"/>
  <c r="D3291" i="16"/>
  <c r="D3298" i="16" s="1"/>
  <c r="M145" i="4"/>
  <c r="M132" i="4"/>
  <c r="R69" i="4" l="1"/>
  <c r="J120" i="31"/>
  <c r="D3296" i="16"/>
  <c r="D3303" i="16" s="1"/>
  <c r="D2461" i="16"/>
  <c r="D2462" i="16" s="1"/>
  <c r="M257" i="4"/>
  <c r="M136" i="4"/>
  <c r="M150" i="4"/>
  <c r="AA25" i="17" s="1"/>
  <c r="AA26" i="17" s="1"/>
  <c r="M332" i="4"/>
  <c r="M341" i="4" s="1"/>
  <c r="AA115" i="17"/>
  <c r="AA24" i="17"/>
  <c r="AA70" i="17" s="1"/>
  <c r="AA61" i="17" s="1"/>
  <c r="Q100" i="4"/>
  <c r="N249" i="23"/>
  <c r="D2586" i="16"/>
  <c r="K2601" i="16" s="1"/>
  <c r="M122" i="4"/>
  <c r="M493" i="4"/>
  <c r="D172" i="28"/>
  <c r="L24" i="5"/>
  <c r="D2876" i="16"/>
  <c r="D2877" i="16" s="1"/>
  <c r="D2893" i="16" s="1"/>
  <c r="E2857" i="16"/>
  <c r="E2865" i="16" s="1"/>
  <c r="E2866" i="16"/>
  <c r="M204" i="4"/>
  <c r="K120" i="31" l="1"/>
  <c r="S69" i="4"/>
  <c r="R100" i="4"/>
  <c r="M339" i="4"/>
  <c r="D2601" i="16"/>
  <c r="H2637" i="16" s="1"/>
  <c r="D2587" i="16"/>
  <c r="D2602" i="16" s="1"/>
  <c r="J2637" i="16" s="1"/>
  <c r="M340" i="4"/>
  <c r="M224" i="4"/>
  <c r="O249" i="23"/>
  <c r="D2892" i="16"/>
  <c r="D2758" i="16"/>
  <c r="D176" i="28"/>
  <c r="H1038" i="16"/>
  <c r="M255" i="4"/>
  <c r="M246" i="4"/>
  <c r="M280" i="4"/>
  <c r="M282" i="4" s="1"/>
  <c r="N244" i="4"/>
  <c r="M162" i="4"/>
  <c r="G1036" i="16"/>
  <c r="AA134" i="17"/>
  <c r="S100" i="4" l="1"/>
  <c r="L120" i="31"/>
  <c r="T69" i="4"/>
  <c r="K2602" i="16"/>
  <c r="Q249" i="23"/>
  <c r="P249" i="23"/>
  <c r="N245" i="4"/>
  <c r="N12" i="4"/>
  <c r="M216" i="4"/>
  <c r="G1046" i="16" s="1"/>
  <c r="Z35" i="14"/>
  <c r="AA35" i="17"/>
  <c r="N387" i="4"/>
  <c r="N460" i="4"/>
  <c r="N120" i="31" l="1"/>
  <c r="V69" i="4"/>
  <c r="M120" i="31"/>
  <c r="U69" i="4"/>
  <c r="T100" i="4"/>
  <c r="N253" i="4"/>
  <c r="N252" i="4" s="1"/>
  <c r="N491" i="4"/>
  <c r="U100" i="4" l="1"/>
  <c r="V100" i="4"/>
  <c r="AB22" i="17"/>
  <c r="N191" i="4"/>
  <c r="H1024" i="16" l="1"/>
  <c r="M156" i="4" l="1"/>
  <c r="M160" i="4" s="1"/>
  <c r="M166" i="4"/>
  <c r="M179" i="4"/>
  <c r="M180" i="4"/>
  <c r="AA105" i="17"/>
  <c r="AA110" i="17"/>
  <c r="M311" i="4"/>
  <c r="M182" i="4" l="1"/>
  <c r="M168" i="4"/>
  <c r="M183" i="4" l="1"/>
  <c r="M287" i="4"/>
  <c r="M18" i="4"/>
  <c r="L25" i="5" s="1"/>
  <c r="M225" i="4"/>
  <c r="M239" i="4" s="1"/>
  <c r="M198" i="4"/>
  <c r="M200" i="4" s="1"/>
  <c r="D177" i="28" l="1"/>
  <c r="L26" i="5"/>
  <c r="G1032" i="16"/>
  <c r="AA137" i="17"/>
  <c r="G1030" i="16"/>
  <c r="AA135" i="17"/>
  <c r="AA111" i="17"/>
  <c r="AA30" i="17"/>
  <c r="M24" i="4"/>
  <c r="M288" i="4"/>
  <c r="M462" i="4"/>
  <c r="M389" i="4"/>
  <c r="M391" i="4" s="1"/>
  <c r="D178" i="28" l="1"/>
  <c r="D2760" i="16"/>
  <c r="D2759" i="16"/>
  <c r="L28" i="5"/>
  <c r="AA125" i="17"/>
  <c r="AA123" i="17"/>
  <c r="AA122" i="17"/>
  <c r="G1033" i="16"/>
  <c r="M211" i="4"/>
  <c r="M396" i="4"/>
  <c r="M400" i="4" s="1"/>
  <c r="M393" i="4"/>
  <c r="M384" i="4" s="1"/>
  <c r="E3501" i="16" l="1"/>
  <c r="D180" i="28"/>
  <c r="E1880" i="16"/>
  <c r="F2237" i="16"/>
  <c r="F2238" i="16" s="1"/>
  <c r="F2239" i="16" s="1"/>
  <c r="F2422" i="16"/>
  <c r="E2868" i="16"/>
  <c r="E191" i="16"/>
  <c r="G2342" i="16"/>
  <c r="D2588" i="16"/>
  <c r="E1752" i="16"/>
  <c r="D2762" i="16"/>
  <c r="D2468" i="16"/>
  <c r="C3235" i="16"/>
  <c r="C3236" i="16" s="1"/>
  <c r="F3347" i="16"/>
  <c r="D2879" i="16"/>
  <c r="D2895" i="16" s="1"/>
  <c r="C3200" i="16"/>
  <c r="C3208" i="16" s="1"/>
  <c r="D3305" i="16"/>
  <c r="C3435" i="16"/>
  <c r="D3089" i="16"/>
  <c r="AA33" i="17"/>
  <c r="L30" i="5"/>
  <c r="L29" i="5"/>
  <c r="L63" i="5"/>
  <c r="M394" i="4"/>
  <c r="L45" i="5" s="1"/>
  <c r="G1042" i="16"/>
  <c r="M217" i="4"/>
  <c r="L32" i="5"/>
  <c r="L36" i="5" s="1"/>
  <c r="L40" i="5" l="1"/>
  <c r="L43" i="5" s="1"/>
  <c r="D3676" i="16" s="1"/>
  <c r="D3674" i="16"/>
  <c r="D3699" i="16" s="1"/>
  <c r="D3668" i="16"/>
  <c r="D3669" i="16" s="1"/>
  <c r="D3671" i="16" s="1"/>
  <c r="L34" i="5"/>
  <c r="D3675" i="16" s="1"/>
  <c r="E3502" i="16"/>
  <c r="D182" i="28"/>
  <c r="M402" i="4"/>
  <c r="M404" i="4" s="1"/>
  <c r="E1759" i="16"/>
  <c r="E1760" i="16" s="1"/>
  <c r="M1752" i="16"/>
  <c r="E1753" i="16"/>
  <c r="E1770" i="16" s="1"/>
  <c r="E1769" i="16"/>
  <c r="D2603" i="16"/>
  <c r="L2637" i="16" s="1"/>
  <c r="K2603" i="16"/>
  <c r="F307" i="16"/>
  <c r="L62" i="5"/>
  <c r="G2343" i="16"/>
  <c r="G2344" i="16"/>
  <c r="G2346" i="16" s="1"/>
  <c r="E206" i="16"/>
  <c r="E193" i="16"/>
  <c r="E196" i="16"/>
  <c r="G1047" i="16"/>
  <c r="AA143" i="17"/>
  <c r="AA142" i="17" s="1"/>
  <c r="M220" i="4"/>
  <c r="F2424" i="16"/>
  <c r="F2426" i="16" s="1"/>
  <c r="F2423" i="16"/>
  <c r="F305" i="16"/>
  <c r="D2878" i="16"/>
  <c r="D2894" i="16" s="1"/>
  <c r="L33" i="5"/>
  <c r="M27" i="4"/>
  <c r="M464" i="4"/>
  <c r="D2472" i="16"/>
  <c r="D2467" i="16"/>
  <c r="D2471" i="16" s="1"/>
  <c r="C3201" i="16"/>
  <c r="C3202" i="16"/>
  <c r="D3090" i="16"/>
  <c r="D3093" i="16"/>
  <c r="E1884" i="16"/>
  <c r="E1883" i="16"/>
  <c r="F1913" i="16"/>
  <c r="F1914" i="16" s="1"/>
  <c r="F1976" i="16"/>
  <c r="F1977" i="16" s="1"/>
  <c r="D3702" i="16" l="1"/>
  <c r="D3700" i="16"/>
  <c r="G2347" i="16"/>
  <c r="E3531" i="16"/>
  <c r="E3530" i="16"/>
  <c r="F2427" i="16"/>
  <c r="E208" i="16"/>
  <c r="E209" i="16" s="1"/>
  <c r="E233" i="16"/>
  <c r="F1981" i="16"/>
  <c r="F1980" i="16"/>
  <c r="F1918" i="16"/>
  <c r="F1917" i="16"/>
  <c r="E1885" i="16"/>
  <c r="E1886" i="16"/>
  <c r="O1884" i="16"/>
  <c r="D2469" i="16"/>
  <c r="D3094" i="16"/>
  <c r="D3138" i="16"/>
  <c r="D3139" i="16" s="1"/>
  <c r="M1753" i="16"/>
  <c r="M1759" i="16"/>
  <c r="U1752" i="16"/>
  <c r="G1050" i="16"/>
  <c r="M221" i="4"/>
  <c r="D3091" i="16"/>
  <c r="D3148" i="16"/>
  <c r="E199" i="16"/>
  <c r="E200" i="16" s="1"/>
  <c r="E214" i="16"/>
  <c r="E1779" i="16"/>
  <c r="E1761" i="16"/>
  <c r="E1783" i="16" s="1"/>
  <c r="U1759" i="16" l="1"/>
  <c r="U1753" i="16"/>
  <c r="F1920" i="16"/>
  <c r="O1885" i="16"/>
  <c r="F1919" i="16"/>
  <c r="D3095" i="16"/>
  <c r="D3149" i="16"/>
  <c r="F1983" i="16"/>
  <c r="O1887" i="16"/>
  <c r="F1982" i="16"/>
  <c r="E244" i="16"/>
  <c r="E218" i="16"/>
  <c r="E224" i="16"/>
  <c r="E225" i="16" s="1"/>
  <c r="E226" i="16" s="1"/>
  <c r="D3140" i="16"/>
  <c r="D3150" i="16"/>
  <c r="G1051" i="16"/>
  <c r="M185" i="4"/>
  <c r="M222" i="4"/>
  <c r="G1052" i="16" s="1"/>
  <c r="M1779" i="16"/>
  <c r="M1760" i="16"/>
  <c r="M1780" i="16" l="1"/>
  <c r="M1761" i="16"/>
  <c r="E1780" i="16"/>
  <c r="E250" i="16"/>
  <c r="E219" i="16"/>
  <c r="AA106" i="17"/>
  <c r="AA120" i="17" s="1"/>
  <c r="M312" i="4"/>
  <c r="M302" i="4"/>
  <c r="M300" i="4" s="1"/>
  <c r="M301" i="4" s="1"/>
  <c r="E1876" i="16"/>
  <c r="AA9" i="17"/>
  <c r="L68" i="5"/>
  <c r="L75" i="5"/>
  <c r="L74" i="5" s="1"/>
  <c r="L81" i="5" s="1"/>
  <c r="L82" i="5" s="1"/>
  <c r="AA27" i="17"/>
  <c r="AA144" i="17" s="1"/>
  <c r="M186" i="4"/>
  <c r="M241" i="4" s="1"/>
  <c r="N219" i="4"/>
  <c r="U1760" i="16"/>
  <c r="U1779" i="16"/>
  <c r="I523" i="16" l="1"/>
  <c r="E251" i="16"/>
  <c r="E1878" i="16"/>
  <c r="O1893" i="16" s="1"/>
  <c r="F1909" i="16"/>
  <c r="F1911" i="16" s="1"/>
  <c r="O1894" i="16" s="1"/>
  <c r="F1972" i="16"/>
  <c r="F1974" i="16" s="1"/>
  <c r="O1896" i="16" s="1"/>
  <c r="E1784" i="16"/>
  <c r="M1781" i="16"/>
  <c r="E172" i="16"/>
  <c r="E176" i="16" s="1"/>
  <c r="E186" i="16" s="1"/>
  <c r="E203" i="16" s="1"/>
  <c r="F2228" i="16"/>
  <c r="F2413" i="16"/>
  <c r="E1749" i="16"/>
  <c r="G2333" i="16"/>
  <c r="C3218" i="16"/>
  <c r="C3220" i="16" s="1"/>
  <c r="D3079" i="16"/>
  <c r="L85" i="5"/>
  <c r="U1761" i="16"/>
  <c r="E1781" i="16"/>
  <c r="U1780" i="16"/>
  <c r="H1049" i="16"/>
  <c r="F2415" i="16" l="1"/>
  <c r="F2418" i="16"/>
  <c r="F2420" i="16" s="1"/>
  <c r="F2230" i="16"/>
  <c r="F2233" i="16"/>
  <c r="F2235" i="16" s="1"/>
  <c r="D2465" i="16"/>
  <c r="E2683" i="16"/>
  <c r="E185" i="16"/>
  <c r="E202" i="16" s="1"/>
  <c r="K201" i="16" s="1"/>
  <c r="D3081" i="16"/>
  <c r="D3143" i="16" s="1"/>
  <c r="D3084" i="16"/>
  <c r="E1785" i="16"/>
  <c r="U1781" i="16"/>
  <c r="C3253" i="16"/>
  <c r="C3233" i="16"/>
  <c r="E228" i="16"/>
  <c r="E252" i="16"/>
  <c r="G2338" i="16"/>
  <c r="G2340" i="16" s="1"/>
  <c r="G2335" i="16"/>
  <c r="E1756" i="16"/>
  <c r="E1758" i="16" s="1"/>
  <c r="E1775" i="16" s="1"/>
  <c r="M1749" i="16"/>
  <c r="E1751" i="16"/>
  <c r="E1768" i="16" s="1"/>
  <c r="E1766" i="16"/>
  <c r="U1749" i="16" l="1"/>
  <c r="M1751" i="16"/>
  <c r="M1756" i="16"/>
  <c r="D3086" i="16"/>
  <c r="D3144" i="16" s="1"/>
  <c r="D3133" i="16"/>
  <c r="D3135" i="16" s="1"/>
  <c r="D3145" i="16" s="1"/>
  <c r="M1758" i="16" l="1"/>
  <c r="M1775" i="16"/>
  <c r="U1756" i="16"/>
  <c r="U1751" i="16"/>
  <c r="U1758" i="16" l="1"/>
  <c r="U1775" i="16"/>
  <c r="E1776" i="16"/>
  <c r="M1777" i="16"/>
  <c r="E1777" i="16" l="1"/>
  <c r="U1777" i="16"/>
  <c r="M28" i="4"/>
  <c r="AA28" i="17" s="1"/>
  <c r="M465" i="4"/>
  <c r="M466" i="4" s="1"/>
  <c r="AA32" i="17" s="1"/>
  <c r="M30" i="4" l="1"/>
  <c r="M32" i="4" s="1"/>
  <c r="AA16" i="17" s="1"/>
  <c r="L65" i="5"/>
  <c r="M467" i="4"/>
  <c r="M468" i="4" s="1"/>
  <c r="M490" i="4"/>
  <c r="M494" i="4" s="1"/>
  <c r="M495" i="4" s="1"/>
  <c r="M35" i="4" s="1"/>
  <c r="M433" i="4" l="1"/>
  <c r="M496" i="4"/>
  <c r="M488" i="4"/>
  <c r="M33" i="4"/>
  <c r="M486" i="4"/>
  <c r="M487" i="4"/>
  <c r="AA17" i="17" l="1"/>
  <c r="L52" i="5"/>
  <c r="O199" i="4"/>
  <c r="C4239" i="16" s="1"/>
  <c r="O410" i="4"/>
  <c r="O226" i="4" s="1"/>
  <c r="I1031" i="16" l="1"/>
  <c r="AC136" i="17"/>
  <c r="H211" i="4" l="1"/>
  <c r="G3565" i="16" l="1"/>
  <c r="H3565" i="16"/>
  <c r="I3565" i="16"/>
  <c r="AA240" i="17" l="1"/>
  <c r="Z240" i="17"/>
  <c r="Y240" i="17"/>
  <c r="AE240" i="17"/>
  <c r="AD240" i="17"/>
  <c r="AB240" i="17"/>
  <c r="AC240" i="17"/>
  <c r="M117" i="5" l="1"/>
  <c r="M121" i="5" s="1"/>
  <c r="M125" i="5" s="1"/>
  <c r="M137" i="5" s="1"/>
  <c r="M118" i="5"/>
  <c r="M122" i="5" s="1"/>
  <c r="M126" i="5" s="1"/>
  <c r="M138" i="5" s="1"/>
  <c r="M139" i="5" l="1"/>
  <c r="M41" i="5" s="1"/>
  <c r="M42" i="5" l="1"/>
  <c r="V9" i="17" l="1"/>
  <c r="L627" i="1"/>
  <c r="J70" i="25" l="1"/>
  <c r="K71" i="25" s="1"/>
  <c r="J71" i="25" l="1"/>
  <c r="L70" i="25" l="1"/>
  <c r="K90" i="25" l="1"/>
  <c r="L62" i="25"/>
  <c r="AZ37" i="20" s="1"/>
  <c r="M70" i="25"/>
  <c r="K91" i="25" l="1"/>
  <c r="C4339" i="16" s="1"/>
  <c r="C4338" i="16"/>
  <c r="CN37" i="20"/>
  <c r="N233" i="28"/>
  <c r="K73" i="25"/>
  <c r="K60" i="25"/>
  <c r="AV55" i="20"/>
  <c r="AV57" i="20" s="1"/>
  <c r="L59" i="25"/>
  <c r="AZ39" i="20" s="1"/>
  <c r="L90" i="25"/>
  <c r="K93" i="25"/>
  <c r="C4341" i="16" s="1"/>
  <c r="M62" i="25"/>
  <c r="BE37" i="20" s="1"/>
  <c r="CR37" i="20" s="1"/>
  <c r="N70" i="25"/>
  <c r="L91" i="25" l="1"/>
  <c r="D4339" i="16" s="1"/>
  <c r="D4338" i="16"/>
  <c r="CN39" i="20"/>
  <c r="L93" i="25"/>
  <c r="L73" i="25"/>
  <c r="L60" i="25"/>
  <c r="K94" i="25"/>
  <c r="C4342" i="16" s="1"/>
  <c r="M59" i="25"/>
  <c r="M90" i="25"/>
  <c r="N62" i="25"/>
  <c r="O70" i="25"/>
  <c r="L94" i="25" l="1"/>
  <c r="D4342" i="16" s="1"/>
  <c r="D4341" i="16"/>
  <c r="M91" i="25"/>
  <c r="E4339" i="16" s="1"/>
  <c r="E4338" i="16"/>
  <c r="M93" i="25"/>
  <c r="E4341" i="16" s="1"/>
  <c r="BE39" i="20"/>
  <c r="L102" i="25"/>
  <c r="E91" i="29"/>
  <c r="E71" i="29"/>
  <c r="K164" i="25"/>
  <c r="O48" i="4"/>
  <c r="M14" i="32" s="1"/>
  <c r="K103" i="25"/>
  <c r="E72" i="29" s="1"/>
  <c r="M60" i="25"/>
  <c r="M73" i="25"/>
  <c r="N59" i="25"/>
  <c r="N93" i="25" s="1"/>
  <c r="F4341" i="16" s="1"/>
  <c r="N90" i="25"/>
  <c r="O62" i="25"/>
  <c r="P70" i="25"/>
  <c r="M94" i="25" l="1"/>
  <c r="E4342" i="16" s="1"/>
  <c r="L130" i="25"/>
  <c r="D4367" i="16" s="1"/>
  <c r="N91" i="25"/>
  <c r="F4339" i="16" s="1"/>
  <c r="F4338" i="16"/>
  <c r="L116" i="25"/>
  <c r="D4361" i="16" s="1"/>
  <c r="D4348" i="16"/>
  <c r="M102" i="25"/>
  <c r="G71" i="29" s="1"/>
  <c r="BE43" i="20"/>
  <c r="N4387" i="16" s="1"/>
  <c r="CR39" i="20"/>
  <c r="L113" i="25"/>
  <c r="L164" i="25"/>
  <c r="F71" i="29"/>
  <c r="P48" i="4"/>
  <c r="L103" i="25"/>
  <c r="F72" i="29" s="1"/>
  <c r="L146" i="25"/>
  <c r="O118" i="4"/>
  <c r="H3768" i="16" s="1"/>
  <c r="E78" i="29"/>
  <c r="N60" i="25"/>
  <c r="G2838" i="16"/>
  <c r="AC46" i="17"/>
  <c r="F3279" i="16"/>
  <c r="D3820" i="16"/>
  <c r="N3820" i="16" s="1"/>
  <c r="D3554" i="16"/>
  <c r="L3554" i="16" s="1"/>
  <c r="F147" i="28"/>
  <c r="AV19" i="20"/>
  <c r="K158" i="25"/>
  <c r="N73" i="25"/>
  <c r="N94" i="25"/>
  <c r="F4342" i="16" s="1"/>
  <c r="N102" i="25"/>
  <c r="F4348" i="16" s="1"/>
  <c r="O59" i="25"/>
  <c r="O93" i="25" s="1"/>
  <c r="G4341" i="16" s="1"/>
  <c r="O90" i="25"/>
  <c r="P62" i="25"/>
  <c r="Q70" i="25"/>
  <c r="AZ43" i="20" l="1"/>
  <c r="J4387" i="16" s="1"/>
  <c r="J4385" i="16" s="1"/>
  <c r="J4390" i="16" s="1"/>
  <c r="C4406" i="16"/>
  <c r="N4385" i="16"/>
  <c r="N4392" i="16"/>
  <c r="M130" i="25"/>
  <c r="E4367" i="16" s="1"/>
  <c r="P118" i="4"/>
  <c r="E3834" i="16" s="1"/>
  <c r="O3834" i="16" s="1"/>
  <c r="M164" i="25"/>
  <c r="Q48" i="4"/>
  <c r="H147" i="28" s="1"/>
  <c r="M103" i="25"/>
  <c r="G72" i="29" s="1"/>
  <c r="M113" i="25"/>
  <c r="E4358" i="16" s="1"/>
  <c r="M116" i="25"/>
  <c r="E4361" i="16" s="1"/>
  <c r="F78" i="29"/>
  <c r="F80" i="29" s="1"/>
  <c r="F91" i="29"/>
  <c r="D4375" i="16"/>
  <c r="M146" i="25"/>
  <c r="E4348" i="16"/>
  <c r="L105" i="25"/>
  <c r="D4350" i="16" s="1"/>
  <c r="D4358" i="16"/>
  <c r="O91" i="25"/>
  <c r="G4339" i="16" s="1"/>
  <c r="G4338" i="16"/>
  <c r="AZ227" i="20"/>
  <c r="AZ57" i="20"/>
  <c r="W31" i="28" s="1"/>
  <c r="R10" i="28" s="1"/>
  <c r="M10" i="28" s="1"/>
  <c r="CR43" i="20"/>
  <c r="N14" i="32"/>
  <c r="H2838" i="16"/>
  <c r="AZ19" i="20"/>
  <c r="CN43" i="20"/>
  <c r="BA19" i="20"/>
  <c r="AD46" i="17"/>
  <c r="G3279" i="16"/>
  <c r="G147" i="28"/>
  <c r="E3554" i="16"/>
  <c r="M3554" i="16" s="1"/>
  <c r="E3820" i="16"/>
  <c r="O3820" i="16" s="1"/>
  <c r="N146" i="25"/>
  <c r="R48" i="4"/>
  <c r="E4406" i="16" s="1"/>
  <c r="AC63" i="17"/>
  <c r="G2854" i="16"/>
  <c r="D3834" i="16"/>
  <c r="N3834" i="16" s="1"/>
  <c r="E74" i="29"/>
  <c r="F313" i="28"/>
  <c r="F3293" i="16"/>
  <c r="O134" i="4"/>
  <c r="F167" i="28"/>
  <c r="E80" i="29"/>
  <c r="E79" i="29"/>
  <c r="N164" i="25"/>
  <c r="H71" i="29"/>
  <c r="K165" i="25"/>
  <c r="O71" i="4"/>
  <c r="C4232" i="16" s="1"/>
  <c r="K119" i="25"/>
  <c r="K107" i="25"/>
  <c r="C4352" i="16" s="1"/>
  <c r="L3768" i="16"/>
  <c r="N116" i="25"/>
  <c r="F4361" i="16" s="1"/>
  <c r="N103" i="25"/>
  <c r="H72" i="29" s="1"/>
  <c r="O73" i="25"/>
  <c r="O60" i="25"/>
  <c r="N113" i="25"/>
  <c r="F4358" i="16" s="1"/>
  <c r="O94" i="25"/>
  <c r="G4342" i="16" s="1"/>
  <c r="O102" i="25"/>
  <c r="G4348" i="16" s="1"/>
  <c r="P59" i="25"/>
  <c r="P93" i="25" s="1"/>
  <c r="H4341" i="16" s="1"/>
  <c r="P90" i="25"/>
  <c r="Q62" i="25"/>
  <c r="R70" i="25"/>
  <c r="R62" i="25" s="1"/>
  <c r="J4392" i="16" l="1"/>
  <c r="H3279" i="16"/>
  <c r="I2838" i="16"/>
  <c r="AE46" i="17"/>
  <c r="N4390" i="16"/>
  <c r="AD63" i="17"/>
  <c r="P134" i="4"/>
  <c r="O14" i="32"/>
  <c r="D4406" i="16"/>
  <c r="N130" i="25"/>
  <c r="F4367" i="16" s="1"/>
  <c r="AZ191" i="20"/>
  <c r="H2854" i="16"/>
  <c r="G167" i="28"/>
  <c r="G3293" i="16"/>
  <c r="I3768" i="16"/>
  <c r="M3768" i="16" s="1"/>
  <c r="F3820" i="16"/>
  <c r="P3820" i="16" s="1"/>
  <c r="M105" i="25"/>
  <c r="BF19" i="20"/>
  <c r="F79" i="29"/>
  <c r="G78" i="29"/>
  <c r="G80" i="29" s="1"/>
  <c r="Q118" i="4"/>
  <c r="I2854" i="16" s="1"/>
  <c r="E4375" i="16"/>
  <c r="G91" i="29"/>
  <c r="F74" i="29"/>
  <c r="F76" i="29" s="1"/>
  <c r="L106" i="25"/>
  <c r="D4351" i="16" s="1"/>
  <c r="P91" i="25"/>
  <c r="H4339" i="16" s="1"/>
  <c r="H4338" i="16"/>
  <c r="G313" i="28"/>
  <c r="L107" i="25"/>
  <c r="D4352" i="16" s="1"/>
  <c r="L165" i="25"/>
  <c r="H91" i="29"/>
  <c r="F4375" i="16"/>
  <c r="P71" i="4"/>
  <c r="C4410" i="16" s="1"/>
  <c r="L119" i="25"/>
  <c r="L143" i="25" s="1"/>
  <c r="O146" i="25"/>
  <c r="G4375" i="16" s="1"/>
  <c r="S48" i="4"/>
  <c r="Q14" i="32" s="1"/>
  <c r="R14" i="32" s="1"/>
  <c r="C50" i="6"/>
  <c r="M21" i="32"/>
  <c r="AF46" i="17"/>
  <c r="P14" i="32"/>
  <c r="C3887" i="16"/>
  <c r="H78" i="29"/>
  <c r="H80" i="29" s="1"/>
  <c r="R118" i="4"/>
  <c r="E75" i="29"/>
  <c r="E82" i="29"/>
  <c r="E83" i="29" s="1"/>
  <c r="E76" i="29"/>
  <c r="O164" i="25"/>
  <c r="I71" i="29"/>
  <c r="J296" i="23"/>
  <c r="K143" i="25"/>
  <c r="D3827" i="16"/>
  <c r="N87" i="5"/>
  <c r="N88" i="5" s="1"/>
  <c r="O102" i="4"/>
  <c r="F3286" i="16"/>
  <c r="F3300" i="16" s="1"/>
  <c r="F156" i="28"/>
  <c r="AC53" i="17"/>
  <c r="O147" i="4"/>
  <c r="D3570" i="16" s="1"/>
  <c r="L3570" i="16" s="1"/>
  <c r="H3759" i="16"/>
  <c r="D3562" i="16"/>
  <c r="L3562" i="16" s="1"/>
  <c r="G2846" i="16"/>
  <c r="G2862" i="16" s="1"/>
  <c r="N105" i="25"/>
  <c r="O103" i="25"/>
  <c r="I72" i="29" s="1"/>
  <c r="O116" i="25"/>
  <c r="G4361" i="16" s="1"/>
  <c r="P60" i="25"/>
  <c r="O113" i="25"/>
  <c r="G4358" i="16" s="1"/>
  <c r="P73" i="25"/>
  <c r="P94" i="25"/>
  <c r="H4342" i="16" s="1"/>
  <c r="P102" i="25"/>
  <c r="H4348" i="16" s="1"/>
  <c r="R59" i="25"/>
  <c r="R93" i="25" s="1"/>
  <c r="R102" i="25" s="1"/>
  <c r="R90" i="25"/>
  <c r="Q59" i="25"/>
  <c r="Q93" i="25" s="1"/>
  <c r="Q90" i="25"/>
  <c r="Q91" i="25" s="1"/>
  <c r="H313" i="28" l="1"/>
  <c r="D16" i="6"/>
  <c r="F4406" i="16"/>
  <c r="AG46" i="17"/>
  <c r="O130" i="25"/>
  <c r="G4367" i="16" s="1"/>
  <c r="H4232" i="16"/>
  <c r="AZ242" i="20"/>
  <c r="AZ243" i="20" s="1"/>
  <c r="E4350" i="16"/>
  <c r="M119" i="25"/>
  <c r="L296" i="23" s="1"/>
  <c r="Q71" i="4"/>
  <c r="D4410" i="16" s="1"/>
  <c r="M107" i="25"/>
  <c r="E4352" i="16" s="1"/>
  <c r="M106" i="25"/>
  <c r="E4351" i="16" s="1"/>
  <c r="M165" i="25"/>
  <c r="G79" i="29"/>
  <c r="G74" i="29"/>
  <c r="G82" i="29" s="1"/>
  <c r="G84" i="29" s="1"/>
  <c r="I91" i="29"/>
  <c r="F3834" i="16"/>
  <c r="P3834" i="16" s="1"/>
  <c r="J3768" i="16"/>
  <c r="N3768" i="16" s="1"/>
  <c r="H3293" i="16"/>
  <c r="Q134" i="4"/>
  <c r="AE63" i="17"/>
  <c r="H167" i="28"/>
  <c r="F82" i="29"/>
  <c r="F84" i="29" s="1"/>
  <c r="F75" i="29"/>
  <c r="AD53" i="17"/>
  <c r="O87" i="5"/>
  <c r="O88" i="5" s="1"/>
  <c r="I3759" i="16"/>
  <c r="I3777" i="16" s="1"/>
  <c r="G3286" i="16"/>
  <c r="G3300" i="16" s="1"/>
  <c r="E3827" i="16"/>
  <c r="E3841" i="16" s="1"/>
  <c r="O3841" i="16" s="1"/>
  <c r="N21" i="32"/>
  <c r="K296" i="23"/>
  <c r="P147" i="4"/>
  <c r="E3570" i="16" s="1"/>
  <c r="M3570" i="16" s="1"/>
  <c r="G156" i="28"/>
  <c r="E3562" i="16"/>
  <c r="M3562" i="16" s="1"/>
  <c r="F88" i="29"/>
  <c r="D4372" i="16"/>
  <c r="E88" i="29"/>
  <c r="C4372" i="16"/>
  <c r="H2846" i="16"/>
  <c r="H2862" i="16" s="1"/>
  <c r="P102" i="4"/>
  <c r="BB46" i="20"/>
  <c r="N106" i="25"/>
  <c r="F4351" i="16" s="1"/>
  <c r="F4350" i="16"/>
  <c r="D50" i="6"/>
  <c r="R71" i="4"/>
  <c r="F4213" i="16"/>
  <c r="I78" i="29"/>
  <c r="I79" i="29" s="1"/>
  <c r="S118" i="4"/>
  <c r="R146" i="25"/>
  <c r="V48" i="4"/>
  <c r="AJ46" i="17" s="1"/>
  <c r="P146" i="25"/>
  <c r="T48" i="4"/>
  <c r="H79" i="29"/>
  <c r="R134" i="4"/>
  <c r="AF63" i="17"/>
  <c r="H74" i="29"/>
  <c r="H82" i="29" s="1"/>
  <c r="E84" i="29"/>
  <c r="R164" i="25"/>
  <c r="P164" i="25"/>
  <c r="J71" i="29"/>
  <c r="P130" i="25"/>
  <c r="H4367" i="16" s="1"/>
  <c r="N165" i="25"/>
  <c r="N107" i="25"/>
  <c r="F4352" i="16" s="1"/>
  <c r="N119" i="25"/>
  <c r="H3777" i="16"/>
  <c r="L3759" i="16"/>
  <c r="D3841" i="16"/>
  <c r="N3841" i="16" s="1"/>
  <c r="N3827" i="16"/>
  <c r="R73" i="25"/>
  <c r="P103" i="25"/>
  <c r="J72" i="29" s="1"/>
  <c r="P116" i="25"/>
  <c r="H4361" i="16" s="1"/>
  <c r="R116" i="25"/>
  <c r="V118" i="4" s="1"/>
  <c r="AJ63" i="17" s="1"/>
  <c r="Q73" i="25"/>
  <c r="Q60" i="25"/>
  <c r="O105" i="25"/>
  <c r="G4350" i="16" s="1"/>
  <c r="R113" i="25"/>
  <c r="P113" i="25"/>
  <c r="H4358" i="16" s="1"/>
  <c r="R60" i="25"/>
  <c r="Q94" i="25"/>
  <c r="Q102" i="25"/>
  <c r="R91" i="25"/>
  <c r="R94" i="25"/>
  <c r="S134" i="4" l="1"/>
  <c r="AG63" i="17"/>
  <c r="G4406" i="16"/>
  <c r="AH46" i="17"/>
  <c r="J4232" i="16"/>
  <c r="E4410" i="16"/>
  <c r="E50" i="6"/>
  <c r="BE242" i="20"/>
  <c r="BE243" i="20" s="1"/>
  <c r="AZ240" i="20"/>
  <c r="AZ244" i="20"/>
  <c r="Q147" i="4"/>
  <c r="Q102" i="4"/>
  <c r="F3827" i="16"/>
  <c r="P3827" i="16" s="1"/>
  <c r="M143" i="25"/>
  <c r="G88" i="29" s="1"/>
  <c r="H3286" i="16"/>
  <c r="H3300" i="16" s="1"/>
  <c r="O21" i="32"/>
  <c r="P87" i="5"/>
  <c r="P88" i="5" s="1"/>
  <c r="AE53" i="17"/>
  <c r="H156" i="28"/>
  <c r="J3759" i="16"/>
  <c r="N3759" i="16" s="1"/>
  <c r="I4232" i="16"/>
  <c r="G4213" i="16"/>
  <c r="I2846" i="16"/>
  <c r="I2862" i="16" s="1"/>
  <c r="W71" i="4"/>
  <c r="AZ232" i="20"/>
  <c r="G76" i="29"/>
  <c r="G75" i="29"/>
  <c r="F83" i="29"/>
  <c r="G83" i="29"/>
  <c r="BI259" i="20"/>
  <c r="BI265" i="20" s="1"/>
  <c r="W39" i="28"/>
  <c r="M3759" i="16"/>
  <c r="O3827" i="16"/>
  <c r="AZ304" i="20"/>
  <c r="AZ46" i="20"/>
  <c r="P21" i="32"/>
  <c r="R102" i="4"/>
  <c r="BI258" i="20"/>
  <c r="J4317" i="16" s="1"/>
  <c r="J91" i="29"/>
  <c r="H4375" i="16"/>
  <c r="AZ264" i="20"/>
  <c r="Q87" i="5"/>
  <c r="Q88" i="5" s="1"/>
  <c r="AF53" i="17"/>
  <c r="H4213" i="16"/>
  <c r="R147" i="4"/>
  <c r="S71" i="4"/>
  <c r="Q21" i="32" s="1"/>
  <c r="R21" i="32" s="1"/>
  <c r="O106" i="25"/>
  <c r="G4351" i="16" s="1"/>
  <c r="I80" i="29"/>
  <c r="J78" i="29"/>
  <c r="J80" i="29" s="1"/>
  <c r="T118" i="4"/>
  <c r="Q146" i="25"/>
  <c r="U48" i="4"/>
  <c r="AI46" i="17" s="1"/>
  <c r="V134" i="4"/>
  <c r="H76" i="29"/>
  <c r="H75" i="29"/>
  <c r="I74" i="29"/>
  <c r="I82" i="29" s="1"/>
  <c r="Q164" i="25"/>
  <c r="H83" i="29"/>
  <c r="H84" i="29"/>
  <c r="Q130" i="25"/>
  <c r="R130" i="25" s="1"/>
  <c r="O165" i="25"/>
  <c r="M296" i="23"/>
  <c r="N143" i="25"/>
  <c r="L3777" i="16"/>
  <c r="L3790" i="16" s="1"/>
  <c r="I3792" i="16" s="1"/>
  <c r="H3792" i="16" s="1"/>
  <c r="M3777" i="16"/>
  <c r="M3790" i="16" s="1"/>
  <c r="O107" i="25"/>
  <c r="G4352" i="16" s="1"/>
  <c r="O119" i="25"/>
  <c r="Q116" i="25"/>
  <c r="U118" i="4" s="1"/>
  <c r="AI63" i="17" s="1"/>
  <c r="Q103" i="25"/>
  <c r="R103" i="25"/>
  <c r="P105" i="25"/>
  <c r="H4350" i="16" s="1"/>
  <c r="R105" i="25"/>
  <c r="Q113" i="25"/>
  <c r="N85" i="4"/>
  <c r="G3757" i="16" s="1"/>
  <c r="N88" i="4"/>
  <c r="N89" i="4" s="1"/>
  <c r="I257" i="23"/>
  <c r="E155" i="28"/>
  <c r="R87" i="5" l="1"/>
  <c r="R88" i="5" s="1"/>
  <c r="AG53" i="17"/>
  <c r="T134" i="4"/>
  <c r="AH63" i="17"/>
  <c r="S147" i="4"/>
  <c r="F4410" i="16"/>
  <c r="BE46" i="20"/>
  <c r="BE232" i="20"/>
  <c r="N4396" i="16" s="1"/>
  <c r="AZ286" i="20"/>
  <c r="J4396" i="16"/>
  <c r="F3841" i="16"/>
  <c r="P3841" i="16" s="1"/>
  <c r="E4372" i="16"/>
  <c r="J3777" i="16"/>
  <c r="N3777" i="16" s="1"/>
  <c r="W47" i="28"/>
  <c r="R19" i="28"/>
  <c r="M19" i="28" s="1"/>
  <c r="BI236" i="20"/>
  <c r="BI264" i="20" s="1"/>
  <c r="AZ229" i="20"/>
  <c r="AZ230" i="20" s="1"/>
  <c r="G4232" i="16"/>
  <c r="H88" i="29"/>
  <c r="F4372" i="16"/>
  <c r="S102" i="4"/>
  <c r="V71" i="4"/>
  <c r="R106" i="25"/>
  <c r="T71" i="4"/>
  <c r="P106" i="25"/>
  <c r="H4351" i="16" s="1"/>
  <c r="J79" i="29"/>
  <c r="U134" i="4"/>
  <c r="I76" i="29"/>
  <c r="I75" i="29"/>
  <c r="J74" i="29"/>
  <c r="J76" i="29" s="1"/>
  <c r="K150" i="25"/>
  <c r="C4379" i="16" s="1"/>
  <c r="E90" i="29"/>
  <c r="I83" i="29"/>
  <c r="I84" i="29"/>
  <c r="P165" i="25"/>
  <c r="R165" i="25"/>
  <c r="N296" i="23"/>
  <c r="O143" i="25"/>
  <c r="R107" i="25"/>
  <c r="R119" i="25"/>
  <c r="P107" i="25"/>
  <c r="H4352" i="16" s="1"/>
  <c r="P119" i="25"/>
  <c r="N100" i="4"/>
  <c r="Q105" i="25"/>
  <c r="N90" i="4"/>
  <c r="W69" i="4"/>
  <c r="N73" i="4"/>
  <c r="E3284" i="16"/>
  <c r="C3561" i="16"/>
  <c r="K3561" i="16" s="1"/>
  <c r="F2845" i="16"/>
  <c r="C3826" i="16"/>
  <c r="S87" i="5" l="1"/>
  <c r="S88" i="5" s="1"/>
  <c r="AH53" i="17"/>
  <c r="V147" i="4"/>
  <c r="U87" i="5"/>
  <c r="U88" i="5" s="1"/>
  <c r="AJ53" i="17"/>
  <c r="T102" i="4"/>
  <c r="G4410" i="16"/>
  <c r="J4402" i="16"/>
  <c r="J4394" i="16"/>
  <c r="J4400" i="16" s="1"/>
  <c r="N4402" i="16"/>
  <c r="N4394" i="16"/>
  <c r="N4400" i="16" s="1"/>
  <c r="AZ228" i="20"/>
  <c r="I88" i="29"/>
  <c r="G4372" i="16"/>
  <c r="V102" i="4"/>
  <c r="T147" i="4"/>
  <c r="U71" i="4"/>
  <c r="Q106" i="25"/>
  <c r="J82" i="29"/>
  <c r="J83" i="29" s="1"/>
  <c r="J75" i="29"/>
  <c r="K151" i="25"/>
  <c r="E95" i="29"/>
  <c r="F314" i="28" s="1"/>
  <c r="Q165" i="25"/>
  <c r="O296" i="23"/>
  <c r="P143" i="25"/>
  <c r="Q296" i="23"/>
  <c r="E322" i="23" s="1"/>
  <c r="F322" i="23" s="1"/>
  <c r="R143" i="25"/>
  <c r="Q107" i="25"/>
  <c r="Q119" i="25"/>
  <c r="E160" i="28"/>
  <c r="E3288" i="16"/>
  <c r="AB55" i="17"/>
  <c r="F2849" i="16"/>
  <c r="W73" i="4"/>
  <c r="N84" i="4"/>
  <c r="G2525" i="16"/>
  <c r="G3763" i="16"/>
  <c r="C3830" i="16"/>
  <c r="E2585" i="16"/>
  <c r="E3289" i="16"/>
  <c r="C3566" i="16"/>
  <c r="N6" i="4"/>
  <c r="N76" i="4"/>
  <c r="F2850" i="16"/>
  <c r="N190" i="4"/>
  <c r="N105" i="4"/>
  <c r="N75" i="4"/>
  <c r="N79" i="4"/>
  <c r="N91" i="4"/>
  <c r="AB21" i="17"/>
  <c r="AB59" i="17" s="1"/>
  <c r="N104" i="4"/>
  <c r="N107" i="4"/>
  <c r="E161" i="28"/>
  <c r="AB108" i="17"/>
  <c r="M23" i="5"/>
  <c r="C13" i="32" s="1"/>
  <c r="M3826" i="16"/>
  <c r="U102" i="4" l="1"/>
  <c r="AI53" i="17"/>
  <c r="T87" i="5"/>
  <c r="T88" i="5" s="1"/>
  <c r="U147" i="4"/>
  <c r="J88" i="29"/>
  <c r="H4372" i="16"/>
  <c r="E163" i="28"/>
  <c r="N81" i="4"/>
  <c r="J84" i="29"/>
  <c r="K154" i="25"/>
  <c r="L170" i="25"/>
  <c r="E96" i="29"/>
  <c r="P296" i="23"/>
  <c r="C322" i="23" s="1"/>
  <c r="Q143" i="25"/>
  <c r="AB51" i="17"/>
  <c r="F179" i="16"/>
  <c r="N86" i="4"/>
  <c r="M84" i="5"/>
  <c r="E2460" i="16"/>
  <c r="E2875" i="16"/>
  <c r="N10" i="4"/>
  <c r="N16" i="4" s="1"/>
  <c r="N386" i="4"/>
  <c r="N459" i="4"/>
  <c r="N7" i="4"/>
  <c r="C3565" i="16"/>
  <c r="K3565" i="16" s="1"/>
  <c r="K3566" i="16"/>
  <c r="AB118" i="17"/>
  <c r="AB119" i="17"/>
  <c r="E2600" i="16"/>
  <c r="L2600" i="16"/>
  <c r="H1023" i="16"/>
  <c r="N192" i="4"/>
  <c r="N196" i="4"/>
  <c r="N194" i="4"/>
  <c r="H1026" i="16" s="1"/>
  <c r="C3829" i="16"/>
  <c r="M3830" i="16"/>
  <c r="F1877" i="16"/>
  <c r="E2757" i="16"/>
  <c r="E175" i="28"/>
  <c r="G3762" i="16"/>
  <c r="W2525" i="16"/>
  <c r="G322" i="23" l="1"/>
  <c r="K156" i="25"/>
  <c r="E100" i="29" s="1"/>
  <c r="E98" i="29"/>
  <c r="E102" i="29"/>
  <c r="B116" i="29"/>
  <c r="L171" i="25"/>
  <c r="E103" i="29"/>
  <c r="F1750" i="16"/>
  <c r="H2334" i="16"/>
  <c r="H2339" i="16" s="1"/>
  <c r="G2229" i="16"/>
  <c r="G2234" i="16" s="1"/>
  <c r="E3080" i="16"/>
  <c r="E3085" i="16" s="1"/>
  <c r="E3134" i="16" s="1"/>
  <c r="G2414" i="16"/>
  <c r="G2419" i="16" s="1"/>
  <c r="D3219" i="16"/>
  <c r="D3232" i="16" s="1"/>
  <c r="F181" i="16"/>
  <c r="G181" i="16" s="1"/>
  <c r="G179" i="16"/>
  <c r="H1028" i="16"/>
  <c r="G1910" i="16"/>
  <c r="G1973" i="16"/>
  <c r="E2891" i="16"/>
  <c r="G10" i="6" l="1"/>
  <c r="D10" i="6" s="1"/>
  <c r="B112" i="29"/>
  <c r="B115" i="29" s="1"/>
  <c r="B120" i="29" s="1"/>
  <c r="L144" i="25"/>
  <c r="D4373" i="16" s="1"/>
  <c r="F1767" i="16"/>
  <c r="N1750" i="16"/>
  <c r="F1757" i="16"/>
  <c r="G50" i="6" l="1"/>
  <c r="F50" i="6" s="1"/>
  <c r="E10" i="6"/>
  <c r="B113" i="29"/>
  <c r="B118" i="29"/>
  <c r="B119" i="29" s="1"/>
  <c r="F89" i="29"/>
  <c r="L158" i="25"/>
  <c r="B121" i="29"/>
  <c r="N1757" i="16"/>
  <c r="N1776" i="16" s="1"/>
  <c r="V1750" i="16"/>
  <c r="V1757" i="16" s="1"/>
  <c r="V1776" i="16" s="1"/>
  <c r="N116" i="4"/>
  <c r="N120" i="4" s="1"/>
  <c r="N123" i="4" s="1"/>
  <c r="N152" i="4" s="1"/>
  <c r="N493" i="4"/>
  <c r="I272" i="23"/>
  <c r="I294" i="23" s="1"/>
  <c r="E171" i="28" l="1"/>
  <c r="E3295" i="16"/>
  <c r="E3302" i="16" s="1"/>
  <c r="AB65" i="17"/>
  <c r="N149" i="4"/>
  <c r="I298" i="23" s="1"/>
  <c r="N145" i="4"/>
  <c r="C3569" i="16" s="1"/>
  <c r="K3569" i="16" s="1"/>
  <c r="E166" i="28"/>
  <c r="E172" i="28"/>
  <c r="E2461" i="16"/>
  <c r="E2462" i="16" s="1"/>
  <c r="E2586" i="16"/>
  <c r="E2876" i="16"/>
  <c r="G3772" i="16"/>
  <c r="C3837" i="16"/>
  <c r="F2858" i="16"/>
  <c r="AB24" i="17"/>
  <c r="AB70" i="17" s="1"/>
  <c r="E3296" i="16"/>
  <c r="E3303" i="16" s="1"/>
  <c r="N257" i="4"/>
  <c r="N136" i="4"/>
  <c r="N150" i="4"/>
  <c r="AB115" i="17"/>
  <c r="N332" i="4"/>
  <c r="N336" i="4" s="1"/>
  <c r="M24" i="5"/>
  <c r="C14" i="32" s="1"/>
  <c r="G3766" i="16"/>
  <c r="E3291" i="16"/>
  <c r="E3298" i="16" s="1"/>
  <c r="F2853" i="16"/>
  <c r="F2861" i="16" s="1"/>
  <c r="C3833" i="16"/>
  <c r="N132" i="4"/>
  <c r="N340" i="4" l="1"/>
  <c r="N341" i="4"/>
  <c r="N339" i="4"/>
  <c r="AB61" i="17"/>
  <c r="E2758" i="16"/>
  <c r="E176" i="28"/>
  <c r="F2857" i="16"/>
  <c r="F2865" i="16" s="1"/>
  <c r="F2866" i="16"/>
  <c r="C3836" i="16"/>
  <c r="C3843" i="16" s="1"/>
  <c r="M3837" i="16"/>
  <c r="C3844" i="16"/>
  <c r="M3844" i="16" s="1"/>
  <c r="M3833" i="16"/>
  <c r="C3840" i="16"/>
  <c r="M3840" i="16" s="1"/>
  <c r="G3771" i="16"/>
  <c r="G3781" i="16"/>
  <c r="G3783" i="16" s="1"/>
  <c r="AB25" i="17"/>
  <c r="AB26" i="17" s="1"/>
  <c r="E2587" i="16"/>
  <c r="C3574" i="16"/>
  <c r="N224" i="4"/>
  <c r="E2877" i="16"/>
  <c r="E2893" i="16" s="1"/>
  <c r="E2892" i="16"/>
  <c r="E2601" i="16"/>
  <c r="L2601" i="16"/>
  <c r="I1038" i="16"/>
  <c r="N204" i="4"/>
  <c r="S3766" i="16"/>
  <c r="G3775" i="16"/>
  <c r="S3771" i="16" l="1"/>
  <c r="S3772" i="16" s="1"/>
  <c r="G3780" i="16"/>
  <c r="H1036" i="16"/>
  <c r="AB134" i="17"/>
  <c r="C3573" i="16"/>
  <c r="K3573" i="16" s="1"/>
  <c r="K3574" i="16"/>
  <c r="N246" i="4"/>
  <c r="N255" i="4"/>
  <c r="N280" i="4"/>
  <c r="N282" i="4" s="1"/>
  <c r="N162" i="4"/>
  <c r="E2602" i="16"/>
  <c r="L2602" i="16"/>
  <c r="AA35" i="14" l="1"/>
  <c r="AB35" i="17"/>
  <c r="N216" i="4"/>
  <c r="H1046" i="16" s="1"/>
  <c r="O387" i="4"/>
  <c r="O460" i="4"/>
  <c r="O491" i="4" s="1"/>
  <c r="O244" i="4"/>
  <c r="O12" i="4" s="1"/>
  <c r="M171" i="25" l="1"/>
  <c r="O253" i="4"/>
  <c r="O252" i="4" s="1"/>
  <c r="O245" i="4"/>
  <c r="AC22" i="17" l="1"/>
  <c r="O191" i="4"/>
  <c r="I1024" i="16" s="1"/>
  <c r="N18" i="4"/>
  <c r="N198" i="4"/>
  <c r="N200" i="4" s="1"/>
  <c r="H1033" i="16"/>
  <c r="N225" i="4"/>
  <c r="N239" i="4" s="1"/>
  <c r="N287" i="4"/>
  <c r="N462" i="4" s="1"/>
  <c r="N389" i="4" l="1"/>
  <c r="N391" i="4" s="1"/>
  <c r="N393" i="4" s="1"/>
  <c r="N384" i="4" s="1"/>
  <c r="N394" i="4" s="1"/>
  <c r="AB137" i="17"/>
  <c r="H1032" i="16"/>
  <c r="N288" i="4"/>
  <c r="N24" i="4"/>
  <c r="M25" i="5"/>
  <c r="C15" i="32" s="1"/>
  <c r="H1030" i="16"/>
  <c r="AB135" i="17"/>
  <c r="AB111" i="17"/>
  <c r="AB30" i="17"/>
  <c r="N211" i="4"/>
  <c r="N396" i="4" l="1"/>
  <c r="N400" i="4" s="1"/>
  <c r="N402" i="4" s="1"/>
  <c r="N404" i="4" s="1"/>
  <c r="M45" i="5"/>
  <c r="AB125" i="17"/>
  <c r="AB123" i="17"/>
  <c r="AB122" i="17"/>
  <c r="N27" i="4"/>
  <c r="N464" i="4"/>
  <c r="E2759" i="16"/>
  <c r="M26" i="5"/>
  <c r="C16" i="32" s="1"/>
  <c r="E177" i="28"/>
  <c r="H1042" i="16"/>
  <c r="M32" i="5"/>
  <c r="N217" i="4"/>
  <c r="M28" i="5" l="1"/>
  <c r="C18" i="32" s="1"/>
  <c r="M36" i="5"/>
  <c r="N166" i="4"/>
  <c r="C3576" i="16"/>
  <c r="K3576" i="16" s="1"/>
  <c r="H3785" i="16"/>
  <c r="G3786" i="16" s="1"/>
  <c r="G3787" i="16" s="1"/>
  <c r="G3788" i="16" s="1"/>
  <c r="G3789" i="16" s="1"/>
  <c r="G3790" i="16" s="1"/>
  <c r="G3791" i="16" s="1"/>
  <c r="G3792" i="16" s="1"/>
  <c r="G3793" i="16" s="1"/>
  <c r="E2878" i="16"/>
  <c r="E2894" i="16" s="1"/>
  <c r="F3502" i="16"/>
  <c r="E3668" i="16"/>
  <c r="E3669" i="16" s="1"/>
  <c r="E3671" i="16" s="1"/>
  <c r="J242" i="24"/>
  <c r="J251" i="24" s="1"/>
  <c r="E3674" i="16"/>
  <c r="E182" i="28"/>
  <c r="M40" i="5"/>
  <c r="M43" i="5" s="1"/>
  <c r="M33" i="5"/>
  <c r="M34" i="5"/>
  <c r="E2760" i="16"/>
  <c r="E178" i="28"/>
  <c r="H1047" i="16"/>
  <c r="AB143" i="17"/>
  <c r="AB142" i="17" s="1"/>
  <c r="N220" i="4"/>
  <c r="F191" i="16" l="1"/>
  <c r="M63" i="5"/>
  <c r="M62" i="5" s="1"/>
  <c r="E3305" i="16"/>
  <c r="E180" i="28"/>
  <c r="D3235" i="16"/>
  <c r="D3236" i="16" s="1"/>
  <c r="D3435" i="16"/>
  <c r="D3200" i="16"/>
  <c r="D3208" i="16" s="1"/>
  <c r="D3202" i="16" s="1"/>
  <c r="G2422" i="16"/>
  <c r="G2423" i="16" s="1"/>
  <c r="M29" i="5"/>
  <c r="F1752" i="16"/>
  <c r="N1752" i="16" s="1"/>
  <c r="E2468" i="16"/>
  <c r="E2467" i="16" s="1"/>
  <c r="E2471" i="16" s="1"/>
  <c r="M30" i="5"/>
  <c r="E2879" i="16"/>
  <c r="E2895" i="16" s="1"/>
  <c r="E2588" i="16"/>
  <c r="E2603" i="16" s="1"/>
  <c r="G3347" i="16"/>
  <c r="G2237" i="16"/>
  <c r="G2238" i="16" s="1"/>
  <c r="G2239" i="16" s="1"/>
  <c r="E3089" i="16"/>
  <c r="E3090" i="16" s="1"/>
  <c r="F1880" i="16"/>
  <c r="G1913" i="16" s="1"/>
  <c r="G1914" i="16" s="1"/>
  <c r="AB33" i="17"/>
  <c r="E2762" i="16"/>
  <c r="E2768" i="16" s="1"/>
  <c r="E2769" i="16" s="1"/>
  <c r="F3501" i="16"/>
  <c r="H2342" i="16"/>
  <c r="H2344" i="16" s="1"/>
  <c r="H2346" i="16" s="1"/>
  <c r="F2868" i="16"/>
  <c r="C20" i="32"/>
  <c r="M37" i="5"/>
  <c r="E3675" i="16"/>
  <c r="E3676" i="16"/>
  <c r="F193" i="16"/>
  <c r="F196" i="16"/>
  <c r="F206" i="16"/>
  <c r="F3531" i="16"/>
  <c r="F3530" i="16"/>
  <c r="H1050" i="16"/>
  <c r="C3679" i="16"/>
  <c r="C3680" i="16" s="1"/>
  <c r="C3681" i="16" s="1"/>
  <c r="C3682" i="16" s="1"/>
  <c r="E3699" i="16"/>
  <c r="D3238" i="16" l="1"/>
  <c r="F1769" i="16"/>
  <c r="D3201" i="16"/>
  <c r="F1884" i="16"/>
  <c r="P1884" i="16" s="1"/>
  <c r="G1976" i="16"/>
  <c r="G1977" i="16" s="1"/>
  <c r="G1980" i="16" s="1"/>
  <c r="E3093" i="16"/>
  <c r="E3094" i="16" s="1"/>
  <c r="F1883" i="16"/>
  <c r="G2424" i="16"/>
  <c r="G2426" i="16" s="1"/>
  <c r="G2427" i="16" s="1"/>
  <c r="F1759" i="16"/>
  <c r="F1760" i="16" s="1"/>
  <c r="F1779" i="16" s="1"/>
  <c r="L2603" i="16"/>
  <c r="F1753" i="16"/>
  <c r="F1770" i="16" s="1"/>
  <c r="E2472" i="16"/>
  <c r="H2343" i="16"/>
  <c r="H2347" i="16" s="1"/>
  <c r="E2469" i="16"/>
  <c r="H1051" i="16"/>
  <c r="N222" i="4"/>
  <c r="H1052" i="16" s="1"/>
  <c r="N185" i="4"/>
  <c r="E3700" i="16"/>
  <c r="E3702" i="16"/>
  <c r="G1918" i="16"/>
  <c r="G1917" i="16"/>
  <c r="N1759" i="16"/>
  <c r="V1752" i="16"/>
  <c r="N1753" i="16"/>
  <c r="D3239" i="16"/>
  <c r="D3240" i="16" s="1"/>
  <c r="D3250" i="16"/>
  <c r="D3254" i="16" s="1"/>
  <c r="D3255" i="16" s="1"/>
  <c r="F199" i="16"/>
  <c r="F200" i="16" s="1"/>
  <c r="F214" i="16"/>
  <c r="E3091" i="16"/>
  <c r="E3148" i="16"/>
  <c r="F208" i="16"/>
  <c r="F209" i="16" s="1"/>
  <c r="F233" i="16"/>
  <c r="G1981" i="16" l="1"/>
  <c r="P1887" i="16" s="1"/>
  <c r="F1885" i="16"/>
  <c r="F1886" i="16"/>
  <c r="E3138" i="16"/>
  <c r="E3139" i="16" s="1"/>
  <c r="E3140" i="16" s="1"/>
  <c r="F1761" i="16"/>
  <c r="F1783" i="16" s="1"/>
  <c r="G1920" i="16"/>
  <c r="P1885" i="16"/>
  <c r="G1919" i="16"/>
  <c r="V1753" i="16"/>
  <c r="V1759" i="16"/>
  <c r="AB27" i="17"/>
  <c r="AB144" i="17" s="1"/>
  <c r="O219" i="4"/>
  <c r="N186" i="4"/>
  <c r="N241" i="4" s="1"/>
  <c r="N1779" i="16"/>
  <c r="N1760" i="16"/>
  <c r="N156" i="4"/>
  <c r="N160" i="4" s="1"/>
  <c r="N168" i="4" s="1"/>
  <c r="F244" i="16"/>
  <c r="F218" i="16"/>
  <c r="F224" i="16"/>
  <c r="F225" i="16" s="1"/>
  <c r="F226" i="16" s="1"/>
  <c r="E3149" i="16"/>
  <c r="E3095" i="16"/>
  <c r="G1982" i="16" l="1"/>
  <c r="G1983" i="16"/>
  <c r="E3150" i="16"/>
  <c r="I1049" i="16"/>
  <c r="V1779" i="16"/>
  <c r="V1760" i="16"/>
  <c r="F250" i="16"/>
  <c r="F219" i="16"/>
  <c r="F251" i="16" s="1"/>
  <c r="N1780" i="16"/>
  <c r="N1761" i="16"/>
  <c r="F1780" i="16"/>
  <c r="AB110" i="17"/>
  <c r="F1781" i="16" l="1"/>
  <c r="V1780" i="16"/>
  <c r="V1761" i="16"/>
  <c r="F1784" i="16"/>
  <c r="N1781" i="16"/>
  <c r="V1781" i="16" l="1"/>
  <c r="F1785" i="16"/>
  <c r="N28" i="4"/>
  <c r="AB28" i="17" s="1"/>
  <c r="N179" i="4"/>
  <c r="N465" i="4"/>
  <c r="N466" i="4" s="1"/>
  <c r="N30" i="4" l="1"/>
  <c r="N32" i="4" s="1"/>
  <c r="AB16" i="17" s="1"/>
  <c r="AB32" i="17"/>
  <c r="N467" i="4"/>
  <c r="N490" i="4"/>
  <c r="N494" i="4" s="1"/>
  <c r="M65" i="5"/>
  <c r="N433" i="4" l="1"/>
  <c r="N180" i="4" s="1"/>
  <c r="N182" i="4" s="1"/>
  <c r="N183" i="4" s="1"/>
  <c r="N495" i="4"/>
  <c r="N488" i="4"/>
  <c r="N33" i="4"/>
  <c r="N487" i="4"/>
  <c r="N486" i="4"/>
  <c r="N468" i="4"/>
  <c r="AB17" i="17" l="1"/>
  <c r="M52" i="5"/>
  <c r="N35" i="4"/>
  <c r="N496" i="4"/>
  <c r="H14" i="20" l="1"/>
  <c r="O40" i="4"/>
  <c r="J26" i="23"/>
  <c r="J37" i="23"/>
  <c r="J40" i="23"/>
  <c r="O110" i="4" l="1"/>
  <c r="O126" i="4" s="1"/>
  <c r="J43" i="23"/>
  <c r="J288" i="23" s="1"/>
  <c r="AV5" i="20"/>
  <c r="O63" i="4"/>
  <c r="G114" i="31"/>
  <c r="F3271" i="16"/>
  <c r="AC38" i="17"/>
  <c r="O94" i="4" l="1"/>
  <c r="O139" i="4"/>
  <c r="O44" i="4"/>
  <c r="O51" i="4" s="1"/>
  <c r="K145" i="23"/>
  <c r="L145" i="23" s="1"/>
  <c r="J148" i="23"/>
  <c r="J151" i="23"/>
  <c r="J261" i="23" s="1"/>
  <c r="J223" i="23"/>
  <c r="G3" i="31" s="1"/>
  <c r="G4" i="31" s="1"/>
  <c r="J154" i="23" l="1"/>
  <c r="J291" i="23" s="1"/>
  <c r="F146" i="28"/>
  <c r="J264" i="23"/>
  <c r="J253" i="23"/>
  <c r="J245" i="23"/>
  <c r="F2545" i="16" s="1"/>
  <c r="M2570" i="16" s="1"/>
  <c r="G117" i="31"/>
  <c r="J249" i="23"/>
  <c r="O114" i="4"/>
  <c r="O130" i="4" s="1"/>
  <c r="AV14" i="20"/>
  <c r="AV17" i="20" s="1"/>
  <c r="P51" i="4"/>
  <c r="AV21" i="20"/>
  <c r="M145" i="23"/>
  <c r="L142" i="23"/>
  <c r="D3553" i="16"/>
  <c r="L3553" i="16" s="1"/>
  <c r="G2837" i="16"/>
  <c r="AC42" i="17"/>
  <c r="F3275" i="16"/>
  <c r="K142" i="23"/>
  <c r="O59" i="4"/>
  <c r="O60" i="4" s="1"/>
  <c r="N2477" i="16" s="1"/>
  <c r="O57" i="4"/>
  <c r="O55" i="4"/>
  <c r="O56" i="4" s="1"/>
  <c r="N2480" i="16" s="1"/>
  <c r="F2547" i="16"/>
  <c r="G11" i="31"/>
  <c r="F2546" i="16"/>
  <c r="G8" i="31"/>
  <c r="G32" i="31" s="1"/>
  <c r="G6" i="31"/>
  <c r="O67" i="4"/>
  <c r="O58" i="4"/>
  <c r="F2570" i="16" l="1"/>
  <c r="Q51" i="4"/>
  <c r="BA21" i="20"/>
  <c r="E177" i="29"/>
  <c r="G71" i="31"/>
  <c r="G89" i="31" s="1"/>
  <c r="G12" i="31"/>
  <c r="E164" i="29"/>
  <c r="F2572" i="16"/>
  <c r="M2572" i="16"/>
  <c r="K148" i="23"/>
  <c r="K151" i="23"/>
  <c r="P114" i="4" s="1"/>
  <c r="K143" i="23"/>
  <c r="P44" i="4"/>
  <c r="F2571" i="16"/>
  <c r="F2548" i="16"/>
  <c r="M2571" i="16"/>
  <c r="O143" i="4"/>
  <c r="O98" i="4"/>
  <c r="F2584" i="16"/>
  <c r="G2842" i="16"/>
  <c r="G2841" i="16" s="1"/>
  <c r="D3558" i="16"/>
  <c r="F3282" i="16"/>
  <c r="D3823" i="16"/>
  <c r="AC20" i="17"/>
  <c r="AC49" i="17"/>
  <c r="O3" i="4"/>
  <c r="M17" i="32"/>
  <c r="AV22" i="20"/>
  <c r="F152" i="28"/>
  <c r="O53" i="4"/>
  <c r="Q44" i="4"/>
  <c r="BF14" i="20" s="1"/>
  <c r="L148" i="23"/>
  <c r="L151" i="23"/>
  <c r="Q114" i="4" s="1"/>
  <c r="L143" i="23"/>
  <c r="F2765" i="16"/>
  <c r="F2766" i="16" s="1"/>
  <c r="F2767" i="16" s="1"/>
  <c r="D3819" i="16"/>
  <c r="N3819" i="16" s="1"/>
  <c r="M13" i="32"/>
  <c r="G61" i="31"/>
  <c r="D25" i="32" s="1"/>
  <c r="G72" i="31"/>
  <c r="G74" i="31" s="1"/>
  <c r="G9" i="31"/>
  <c r="G14" i="31"/>
  <c r="G44" i="31" s="1"/>
  <c r="G50" i="31" s="1"/>
  <c r="E180" i="29" s="1"/>
  <c r="N145" i="23"/>
  <c r="M142" i="23"/>
  <c r="AZ21" i="20" l="1"/>
  <c r="W34" i="28" s="1"/>
  <c r="R12" i="28" s="1"/>
  <c r="M12" i="28" s="1"/>
  <c r="R51" i="4"/>
  <c r="S51" i="4" s="1"/>
  <c r="T51" i="4" s="1"/>
  <c r="BF21" i="20"/>
  <c r="P130" i="4"/>
  <c r="O355" i="4"/>
  <c r="P355" i="4" s="1"/>
  <c r="Q355" i="4" s="1"/>
  <c r="R355" i="4" s="1"/>
  <c r="S355" i="4" s="1"/>
  <c r="O345" i="4"/>
  <c r="P345" i="4" s="1"/>
  <c r="Q345" i="4" s="1"/>
  <c r="R345" i="4" s="1"/>
  <c r="S345" i="4" s="1"/>
  <c r="O348" i="4"/>
  <c r="P348" i="4" s="1"/>
  <c r="Q348" i="4" s="1"/>
  <c r="R348" i="4" s="1"/>
  <c r="S348" i="4" s="1"/>
  <c r="O351" i="4"/>
  <c r="P351" i="4" s="1"/>
  <c r="Q351" i="4" s="1"/>
  <c r="R351" i="4" s="1"/>
  <c r="S351" i="4" s="1"/>
  <c r="O358" i="4"/>
  <c r="Q130" i="4"/>
  <c r="D3822" i="16"/>
  <c r="N3823" i="16"/>
  <c r="F2573" i="16"/>
  <c r="M2573" i="16"/>
  <c r="R44" i="4"/>
  <c r="AF42" i="17" s="1"/>
  <c r="M148" i="23"/>
  <c r="M151" i="23"/>
  <c r="R114" i="4" s="1"/>
  <c r="M143" i="23"/>
  <c r="E165" i="29"/>
  <c r="E174" i="29"/>
  <c r="G3275" i="16"/>
  <c r="AD42" i="17"/>
  <c r="BA14" i="20"/>
  <c r="AZ14" i="20" s="1"/>
  <c r="N142" i="23"/>
  <c r="S44" i="4" s="1"/>
  <c r="AG42" i="17" s="1"/>
  <c r="O145" i="23"/>
  <c r="E160" i="29"/>
  <c r="F2599" i="16"/>
  <c r="M2599" i="16"/>
  <c r="E157" i="29"/>
  <c r="E158" i="29" s="1"/>
  <c r="H3275" i="16"/>
  <c r="AE42" i="17"/>
  <c r="L3558" i="16"/>
  <c r="D3557" i="16"/>
  <c r="L3557" i="16" s="1"/>
  <c r="I117" i="31"/>
  <c r="Q67" i="4"/>
  <c r="L154" i="23"/>
  <c r="L291" i="23" s="1"/>
  <c r="M16" i="32"/>
  <c r="F2459" i="16"/>
  <c r="F2874" i="16"/>
  <c r="F2890" i="16" s="1"/>
  <c r="O4" i="4"/>
  <c r="H117" i="31"/>
  <c r="P67" i="4"/>
  <c r="K154" i="23"/>
  <c r="K291" i="23" s="1"/>
  <c r="AZ193" i="20" l="1"/>
  <c r="R130" i="4"/>
  <c r="T345" i="4"/>
  <c r="T355" i="4"/>
  <c r="T348" i="4"/>
  <c r="T351" i="4"/>
  <c r="U51" i="4"/>
  <c r="O159" i="4"/>
  <c r="O352" i="4"/>
  <c r="P143" i="4"/>
  <c r="P98" i="4"/>
  <c r="Q143" i="4"/>
  <c r="W67" i="4"/>
  <c r="Q98" i="4"/>
  <c r="O158" i="4"/>
  <c r="P145" i="23"/>
  <c r="O142" i="23"/>
  <c r="T44" i="4" s="1"/>
  <c r="AH42" i="17" s="1"/>
  <c r="O171" i="4"/>
  <c r="O356" i="4"/>
  <c r="O157" i="4"/>
  <c r="O346" i="4"/>
  <c r="N148" i="23"/>
  <c r="S67" i="4" s="1"/>
  <c r="N151" i="23"/>
  <c r="S114" i="4" s="1"/>
  <c r="S130" i="4" s="1"/>
  <c r="N143" i="23"/>
  <c r="J117" i="31"/>
  <c r="R67" i="4"/>
  <c r="M154" i="23"/>
  <c r="M291" i="23" s="1"/>
  <c r="E162" i="29"/>
  <c r="E168" i="29"/>
  <c r="E161" i="29"/>
  <c r="E166" i="29"/>
  <c r="O170" i="4"/>
  <c r="O359" i="4"/>
  <c r="S98" i="4" l="1"/>
  <c r="S143" i="4"/>
  <c r="U348" i="4"/>
  <c r="U355" i="4"/>
  <c r="V51" i="4"/>
  <c r="U351" i="4"/>
  <c r="U345" i="4"/>
  <c r="O173" i="4"/>
  <c r="O374" i="4" s="1"/>
  <c r="O227" i="4"/>
  <c r="O143" i="23"/>
  <c r="O151" i="23"/>
  <c r="T114" i="4" s="1"/>
  <c r="T130" i="4" s="1"/>
  <c r="O148" i="23"/>
  <c r="T67" i="4" s="1"/>
  <c r="R143" i="4"/>
  <c r="R98" i="4"/>
  <c r="K117" i="31"/>
  <c r="N154" i="23"/>
  <c r="N291" i="23" s="1"/>
  <c r="Q145" i="23"/>
  <c r="Q142" i="23" s="1"/>
  <c r="V44" i="4" s="1"/>
  <c r="AJ42" i="17" s="1"/>
  <c r="P142" i="23"/>
  <c r="U44" i="4" s="1"/>
  <c r="AI42" i="17" s="1"/>
  <c r="E169" i="29"/>
  <c r="E170" i="29"/>
  <c r="T98" i="4" l="1"/>
  <c r="T143" i="4"/>
  <c r="V345" i="4"/>
  <c r="V351" i="4"/>
  <c r="V348" i="4"/>
  <c r="V355" i="4"/>
  <c r="P374" i="4"/>
  <c r="O177" i="4"/>
  <c r="L117" i="31"/>
  <c r="O154" i="23"/>
  <c r="O291" i="23" s="1"/>
  <c r="P148" i="23"/>
  <c r="U67" i="4" s="1"/>
  <c r="P151" i="23"/>
  <c r="U114" i="4" s="1"/>
  <c r="U130" i="4" s="1"/>
  <c r="P143" i="23"/>
  <c r="Q148" i="23"/>
  <c r="V67" i="4" s="1"/>
  <c r="Q151" i="23"/>
  <c r="V114" i="4" s="1"/>
  <c r="V130" i="4" s="1"/>
  <c r="Q143" i="23"/>
  <c r="V98" i="4" l="1"/>
  <c r="V143" i="4"/>
  <c r="U143" i="4"/>
  <c r="U98" i="4"/>
  <c r="P177" i="4"/>
  <c r="Q374" i="4"/>
  <c r="N117" i="31"/>
  <c r="Q154" i="23"/>
  <c r="Q291" i="23" s="1"/>
  <c r="C317" i="23" s="1"/>
  <c r="M117" i="31"/>
  <c r="P154" i="23"/>
  <c r="P291" i="23" s="1"/>
  <c r="E317" i="23" l="1"/>
  <c r="F317" i="23" s="1"/>
  <c r="Q177" i="4"/>
  <c r="R374" i="4"/>
  <c r="G317" i="23" l="1"/>
  <c r="D198" i="29" s="1"/>
  <c r="R177" i="4"/>
  <c r="S374" i="4"/>
  <c r="G6" i="6" l="1"/>
  <c r="D6" i="6" s="1"/>
  <c r="T374" i="4"/>
  <c r="S177" i="4"/>
  <c r="G120" i="31"/>
  <c r="G121" i="31" s="1"/>
  <c r="G128" i="31" s="1"/>
  <c r="O69" i="4"/>
  <c r="O73" i="4" s="1"/>
  <c r="O76" i="4"/>
  <c r="J257" i="23"/>
  <c r="E6" i="6" l="1"/>
  <c r="G22" i="6" s="1"/>
  <c r="O85" i="4"/>
  <c r="C3886" i="16" s="1"/>
  <c r="O84" i="4"/>
  <c r="O86" i="4" s="1"/>
  <c r="U374" i="4"/>
  <c r="T177" i="4"/>
  <c r="F155" i="28"/>
  <c r="O100" i="4"/>
  <c r="F3288" i="16"/>
  <c r="AC55" i="17"/>
  <c r="G2849" i="16"/>
  <c r="M23" i="32"/>
  <c r="C52" i="6"/>
  <c r="F160" i="28"/>
  <c r="O88" i="4"/>
  <c r="G125" i="31"/>
  <c r="G124" i="31"/>
  <c r="G130" i="31"/>
  <c r="G127" i="31"/>
  <c r="G129" i="31"/>
  <c r="G126" i="31"/>
  <c r="O107" i="4"/>
  <c r="O190" i="4"/>
  <c r="O192" i="4" s="1"/>
  <c r="O104" i="4"/>
  <c r="O105" i="4"/>
  <c r="M24" i="32"/>
  <c r="N23" i="5"/>
  <c r="O91" i="4"/>
  <c r="F161" i="28"/>
  <c r="G2850" i="16"/>
  <c r="H2525" i="16"/>
  <c r="F2585" i="16"/>
  <c r="H3763" i="16"/>
  <c r="F3289" i="16"/>
  <c r="D3830" i="16"/>
  <c r="D3886" i="16"/>
  <c r="D3887" i="16"/>
  <c r="D3888" i="16"/>
  <c r="D3566" i="16"/>
  <c r="AC21" i="17"/>
  <c r="AC59" i="17" s="1"/>
  <c r="AC108" i="17"/>
  <c r="G2845" i="16"/>
  <c r="D3826" i="16"/>
  <c r="D3561" i="16"/>
  <c r="L3561" i="16" s="1"/>
  <c r="F3284" i="16"/>
  <c r="O79" i="4"/>
  <c r="O75" i="4"/>
  <c r="X74" i="4"/>
  <c r="O6" i="4"/>
  <c r="N84" i="5" l="1"/>
  <c r="E3219" i="16" s="1"/>
  <c r="E3232" i="16" s="1"/>
  <c r="H3757" i="16"/>
  <c r="H3762" i="16" s="1"/>
  <c r="D13" i="32"/>
  <c r="C4236" i="16"/>
  <c r="M20" i="32"/>
  <c r="C4233" i="16"/>
  <c r="F163" i="28"/>
  <c r="O81" i="4"/>
  <c r="AC51" i="17"/>
  <c r="V374" i="4"/>
  <c r="V177" i="4" s="1"/>
  <c r="U177" i="4"/>
  <c r="O196" i="4"/>
  <c r="I1028" i="16" s="1"/>
  <c r="O89" i="4"/>
  <c r="O90" i="4"/>
  <c r="I1023" i="16"/>
  <c r="F175" i="28"/>
  <c r="G141" i="31"/>
  <c r="G82" i="31" s="1"/>
  <c r="G1877" i="16"/>
  <c r="H1910" i="16" s="1"/>
  <c r="F2757" i="16"/>
  <c r="O194" i="4"/>
  <c r="I1026" i="16" s="1"/>
  <c r="M2600" i="16"/>
  <c r="F2600" i="16"/>
  <c r="L3566" i="16"/>
  <c r="D3565" i="16"/>
  <c r="L3565" i="16" s="1"/>
  <c r="N3830" i="16"/>
  <c r="D3829" i="16"/>
  <c r="C3889" i="16"/>
  <c r="F2460" i="16"/>
  <c r="F2875" i="16"/>
  <c r="O10" i="4"/>
  <c r="O16" i="4" s="1"/>
  <c r="O7" i="4"/>
  <c r="O386" i="4"/>
  <c r="O459" i="4"/>
  <c r="N3826" i="16"/>
  <c r="AC119" i="17"/>
  <c r="AC118" i="17"/>
  <c r="L3763" i="16"/>
  <c r="H2229" i="16" l="1"/>
  <c r="H2234" i="16" s="1"/>
  <c r="I2334" i="16"/>
  <c r="I2339" i="16" s="1"/>
  <c r="G1750" i="16"/>
  <c r="O1750" i="16" s="1"/>
  <c r="O1757" i="16" s="1"/>
  <c r="O1776" i="16" s="1"/>
  <c r="H2414" i="16"/>
  <c r="H2419" i="16" s="1"/>
  <c r="F3080" i="16"/>
  <c r="F3085" i="16" s="1"/>
  <c r="F3134" i="16" s="1"/>
  <c r="L3757" i="16"/>
  <c r="C4235" i="16"/>
  <c r="H1973" i="16"/>
  <c r="G97" i="31"/>
  <c r="F2891" i="16"/>
  <c r="L3762" i="16"/>
  <c r="C48" i="6"/>
  <c r="W1750" i="16" l="1"/>
  <c r="W1757" i="16" s="1"/>
  <c r="W1776" i="16" s="1"/>
  <c r="G1757" i="16"/>
  <c r="G1767" i="16"/>
  <c r="G51" i="31"/>
  <c r="E176" i="29"/>
  <c r="G52" i="31" l="1"/>
  <c r="E182" i="29" s="1"/>
  <c r="E181" i="29"/>
  <c r="F2520" i="16"/>
  <c r="G2520" i="16"/>
  <c r="H2520" i="16"/>
  <c r="D2544" i="16"/>
  <c r="D2578" i="16" s="1"/>
  <c r="E2544" i="16"/>
  <c r="E2575" i="16" s="1"/>
  <c r="E2577" i="16" s="1"/>
  <c r="F2544" i="16"/>
  <c r="M2569" i="16" s="1"/>
  <c r="H239" i="23"/>
  <c r="H240" i="23" s="1"/>
  <c r="F2518" i="16" s="1"/>
  <c r="I239" i="23"/>
  <c r="J239" i="23"/>
  <c r="K242" i="23"/>
  <c r="L242" i="23" s="1"/>
  <c r="H243" i="23"/>
  <c r="F2521" i="16" s="1"/>
  <c r="I243" i="23"/>
  <c r="G2521" i="16" s="1"/>
  <c r="J243" i="23"/>
  <c r="H2521" i="16" s="1"/>
  <c r="F2569" i="16" l="1"/>
  <c r="K2569" i="16"/>
  <c r="D2575" i="16"/>
  <c r="D2577" i="16" s="1"/>
  <c r="D2579" i="16" s="1"/>
  <c r="L2569" i="16"/>
  <c r="E2569" i="16"/>
  <c r="E4233" i="16"/>
  <c r="E4236" i="16" s="1"/>
  <c r="E4239" i="16" s="1"/>
  <c r="E2578" i="16"/>
  <c r="E2579" i="16" s="1"/>
  <c r="D2569" i="16"/>
  <c r="D22" i="28"/>
  <c r="F2575" i="16"/>
  <c r="F2577" i="16" s="1"/>
  <c r="F2578" i="16"/>
  <c r="E189" i="29"/>
  <c r="E188" i="29"/>
  <c r="H78" i="31"/>
  <c r="G57" i="31"/>
  <c r="H77" i="31"/>
  <c r="J240" i="23"/>
  <c r="H2518" i="16" s="1"/>
  <c r="J2520" i="16"/>
  <c r="H2544" i="16"/>
  <c r="M242" i="23"/>
  <c r="N242" i="23" s="1"/>
  <c r="O242" i="23" s="1"/>
  <c r="P242" i="23" s="1"/>
  <c r="Q242" i="23" s="1"/>
  <c r="G2516" i="16"/>
  <c r="E2543" i="16"/>
  <c r="F2516" i="16"/>
  <c r="D2543" i="16"/>
  <c r="I2520" i="16"/>
  <c r="G2544" i="16"/>
  <c r="I240" i="23"/>
  <c r="G2518" i="16" s="1"/>
  <c r="H2516" i="16"/>
  <c r="F2543" i="16"/>
  <c r="F2579" i="16" l="1"/>
  <c r="H45" i="31"/>
  <c r="F175" i="29" s="1"/>
  <c r="T84" i="28"/>
  <c r="T89" i="28"/>
  <c r="E184" i="29"/>
  <c r="G59" i="31"/>
  <c r="E186" i="29" s="1"/>
  <c r="K2568" i="16"/>
  <c r="D2568" i="16"/>
  <c r="F2522" i="16"/>
  <c r="E2568" i="16"/>
  <c r="L2568" i="16"/>
  <c r="F2568" i="16"/>
  <c r="M2568" i="16"/>
  <c r="G2522" i="16"/>
  <c r="G2517" i="16" s="1"/>
  <c r="H2522" i="16"/>
  <c r="H2517" i="16" s="1"/>
  <c r="O2569" i="16"/>
  <c r="H2569" i="16"/>
  <c r="H2575" i="16"/>
  <c r="N2569" i="16"/>
  <c r="G2569" i="16"/>
  <c r="G2575" i="16"/>
  <c r="F22" i="28" l="1"/>
  <c r="F2526" i="16"/>
  <c r="F2506" i="16"/>
  <c r="F2513" i="16"/>
  <c r="V2522" i="16"/>
  <c r="F2509" i="16"/>
  <c r="H2509" i="16"/>
  <c r="H2526" i="16"/>
  <c r="H2506" i="16"/>
  <c r="H2513" i="16"/>
  <c r="F2517" i="16"/>
  <c r="G2526" i="16"/>
  <c r="G2506" i="16"/>
  <c r="G2513" i="16"/>
  <c r="W2522" i="16"/>
  <c r="G2509" i="16"/>
  <c r="L2265" i="16"/>
  <c r="M2265" i="16" s="1"/>
  <c r="K71" i="22" s="1"/>
  <c r="K2266" i="16"/>
  <c r="I72" i="22" s="1"/>
  <c r="I71" i="22"/>
  <c r="L22" i="28" l="1"/>
  <c r="G22" i="28"/>
  <c r="E4241" i="16"/>
  <c r="J71" i="22"/>
  <c r="L2278" i="16"/>
  <c r="L2269" i="16"/>
  <c r="M2278" i="16"/>
  <c r="N2265" i="16"/>
  <c r="M2267" i="16"/>
  <c r="M2269" i="16"/>
  <c r="L2267" i="16"/>
  <c r="E4247" i="16" l="1"/>
  <c r="E4240" i="16"/>
  <c r="E4252" i="16"/>
  <c r="J75" i="22"/>
  <c r="L2282" i="16"/>
  <c r="J82" i="22"/>
  <c r="J93" i="22" s="1"/>
  <c r="L2279" i="16"/>
  <c r="I5037" i="8"/>
  <c r="M2271" i="16"/>
  <c r="M2280" i="16"/>
  <c r="K2317" i="16" s="1"/>
  <c r="K73" i="22"/>
  <c r="M2279" i="16"/>
  <c r="K82" i="22"/>
  <c r="K93" i="22" s="1"/>
  <c r="BF20" i="20"/>
  <c r="M2282" i="16"/>
  <c r="K75" i="22"/>
  <c r="N2278" i="16"/>
  <c r="O2265" i="16"/>
  <c r="N2267" i="16"/>
  <c r="N2269" i="16"/>
  <c r="L71" i="22"/>
  <c r="L2271" i="16"/>
  <c r="L2280" i="16"/>
  <c r="J73" i="22"/>
  <c r="K5037" i="8" l="1"/>
  <c r="BA20" i="20"/>
  <c r="G150" i="28"/>
  <c r="N15" i="32"/>
  <c r="R15" i="32" s="1"/>
  <c r="E3821" i="16"/>
  <c r="O3821" i="16" s="1"/>
  <c r="G3280" i="16"/>
  <c r="H2840" i="16"/>
  <c r="AD47" i="17"/>
  <c r="E3556" i="16"/>
  <c r="M3556" i="16" s="1"/>
  <c r="J84" i="22"/>
  <c r="J102" i="22" s="1"/>
  <c r="I5043" i="8"/>
  <c r="K5043" i="8" s="1"/>
  <c r="J2318" i="16"/>
  <c r="L2283" i="16"/>
  <c r="L2284" i="16"/>
  <c r="J2317" i="16"/>
  <c r="L2281" i="16"/>
  <c r="J83" i="22"/>
  <c r="J98" i="22" s="1"/>
  <c r="W41" i="28" s="1"/>
  <c r="K2318" i="16"/>
  <c r="K2319" i="16" s="1"/>
  <c r="K2321" i="16" s="1"/>
  <c r="K2322" i="16" s="1"/>
  <c r="C2328" i="16" s="1"/>
  <c r="C2329" i="16" s="1"/>
  <c r="M2283" i="16"/>
  <c r="K84" i="22"/>
  <c r="K102" i="22" s="1"/>
  <c r="N2280" i="16"/>
  <c r="N2271" i="16"/>
  <c r="L73" i="22"/>
  <c r="F3821" i="16"/>
  <c r="P3821" i="16" s="1"/>
  <c r="I2840" i="16"/>
  <c r="H3280" i="16"/>
  <c r="AE47" i="17"/>
  <c r="H150" i="28"/>
  <c r="O15" i="32"/>
  <c r="O2278" i="16"/>
  <c r="P2265" i="16"/>
  <c r="O2267" i="16"/>
  <c r="O2269" i="16"/>
  <c r="M71" i="22"/>
  <c r="L2272" i="16"/>
  <c r="J78" i="22" s="1"/>
  <c r="J77" i="22"/>
  <c r="M2284" i="16"/>
  <c r="M2281" i="16"/>
  <c r="K83" i="22"/>
  <c r="N2282" i="16"/>
  <c r="L75" i="22"/>
  <c r="N2279" i="16"/>
  <c r="L82" i="22"/>
  <c r="L93" i="22" s="1"/>
  <c r="M2272" i="16"/>
  <c r="K78" i="22" s="1"/>
  <c r="K77" i="22"/>
  <c r="AZ20" i="20" l="1"/>
  <c r="W33" i="28" s="1"/>
  <c r="R20" i="28"/>
  <c r="M20" i="28" s="1"/>
  <c r="J2319" i="16"/>
  <c r="J2321" i="16" s="1"/>
  <c r="J2322" i="16" s="1"/>
  <c r="C2325" i="16" s="1"/>
  <c r="C2330" i="16" s="1"/>
  <c r="C2301" i="16" s="1"/>
  <c r="P135" i="4"/>
  <c r="G170" i="28"/>
  <c r="E3835" i="16"/>
  <c r="O3835" i="16" s="1"/>
  <c r="H2856" i="16"/>
  <c r="I3769" i="16"/>
  <c r="M3769" i="16" s="1"/>
  <c r="G3294" i="16"/>
  <c r="AD64" i="17"/>
  <c r="K98" i="22"/>
  <c r="K95" i="22"/>
  <c r="J95" i="22"/>
  <c r="O2282" i="16"/>
  <c r="S135" i="4" s="1"/>
  <c r="M75" i="22"/>
  <c r="O2279" i="16"/>
  <c r="M82" i="22"/>
  <c r="M93" i="22" s="1"/>
  <c r="M2287" i="16"/>
  <c r="M2285" i="16"/>
  <c r="K85" i="22"/>
  <c r="K103" i="22" s="1"/>
  <c r="N2272" i="16"/>
  <c r="L78" i="22" s="1"/>
  <c r="L77" i="22"/>
  <c r="O2280" i="16"/>
  <c r="O2271" i="16"/>
  <c r="M73" i="22"/>
  <c r="N2284" i="16"/>
  <c r="N2281" i="16"/>
  <c r="L83" i="22"/>
  <c r="N2283" i="16"/>
  <c r="L84" i="22"/>
  <c r="L102" i="22" s="1"/>
  <c r="Q2265" i="16"/>
  <c r="P2267" i="16"/>
  <c r="P2269" i="16"/>
  <c r="P2278" i="16"/>
  <c r="N71" i="22"/>
  <c r="AF47" i="17"/>
  <c r="P15" i="32"/>
  <c r="I2856" i="16"/>
  <c r="F3835" i="16"/>
  <c r="P3835" i="16" s="1"/>
  <c r="H3294" i="16"/>
  <c r="J3769" i="16"/>
  <c r="AE64" i="17"/>
  <c r="Q135" i="4"/>
  <c r="H170" i="28"/>
  <c r="L2287" i="16"/>
  <c r="L2285" i="16"/>
  <c r="J85" i="22"/>
  <c r="J103" i="22" s="1"/>
  <c r="R11" i="28" l="1"/>
  <c r="M11" i="28" s="1"/>
  <c r="W49" i="28"/>
  <c r="J96" i="22"/>
  <c r="J106" i="22"/>
  <c r="J108" i="22" s="1"/>
  <c r="K96" i="22"/>
  <c r="K106" i="22"/>
  <c r="K108" i="22" s="1"/>
  <c r="AZ192" i="20"/>
  <c r="AZ65" i="20"/>
  <c r="N3769" i="16"/>
  <c r="AF64" i="17"/>
  <c r="R135" i="4"/>
  <c r="O2281" i="16"/>
  <c r="O2284" i="16"/>
  <c r="M83" i="22"/>
  <c r="O2283" i="16"/>
  <c r="M84" i="22"/>
  <c r="M102" i="22" s="1"/>
  <c r="O2272" i="16"/>
  <c r="M78" i="22" s="1"/>
  <c r="M77" i="22"/>
  <c r="L2288" i="16"/>
  <c r="L2273" i="16" s="1"/>
  <c r="J99" i="22"/>
  <c r="P2279" i="16"/>
  <c r="N82" i="22"/>
  <c r="N93" i="22" s="1"/>
  <c r="N2287" i="16"/>
  <c r="N2285" i="16"/>
  <c r="L85" i="22"/>
  <c r="L103" i="22" s="1"/>
  <c r="L98" i="22"/>
  <c r="L95" i="22"/>
  <c r="P2282" i="16"/>
  <c r="T135" i="4" s="1"/>
  <c r="N75" i="22"/>
  <c r="P2280" i="16"/>
  <c r="P2271" i="16"/>
  <c r="N73" i="22"/>
  <c r="Q2278" i="16"/>
  <c r="R2265" i="16"/>
  <c r="Q2267" i="16"/>
  <c r="Q2269" i="16"/>
  <c r="O71" i="22"/>
  <c r="M2288" i="16"/>
  <c r="M2273" i="16" s="1"/>
  <c r="K99" i="22"/>
  <c r="L96" i="22" l="1"/>
  <c r="L106" i="22"/>
  <c r="L108" i="22" s="1"/>
  <c r="H4234" i="16"/>
  <c r="I5038" i="8"/>
  <c r="E51" i="6"/>
  <c r="F51" i="6" s="1"/>
  <c r="I4234" i="16"/>
  <c r="C2293" i="16"/>
  <c r="C2294" i="16" s="1"/>
  <c r="K79" i="22"/>
  <c r="P2281" i="16"/>
  <c r="P2284" i="16"/>
  <c r="N83" i="22"/>
  <c r="N2288" i="16"/>
  <c r="N2273" i="16" s="1"/>
  <c r="L79" i="22" s="1"/>
  <c r="M98" i="22"/>
  <c r="M95" i="22"/>
  <c r="Q2280" i="16"/>
  <c r="Q2271" i="16"/>
  <c r="O73" i="22"/>
  <c r="H2848" i="16"/>
  <c r="H2864" i="16" s="1"/>
  <c r="E3828" i="16"/>
  <c r="I3760" i="16"/>
  <c r="E3564" i="16"/>
  <c r="M3564" i="16" s="1"/>
  <c r="G3287" i="16"/>
  <c r="G3301" i="16" s="1"/>
  <c r="AD54" i="17"/>
  <c r="P103" i="4"/>
  <c r="P148" i="4"/>
  <c r="E3572" i="16" s="1"/>
  <c r="M3572" i="16" s="1"/>
  <c r="G159" i="28"/>
  <c r="N22" i="32"/>
  <c r="R22" i="32" s="1"/>
  <c r="D51" i="6"/>
  <c r="Q2282" i="16"/>
  <c r="U135" i="4" s="1"/>
  <c r="O75" i="22"/>
  <c r="R2267" i="16"/>
  <c r="R2269" i="16"/>
  <c r="R2278" i="16"/>
  <c r="P71" i="22"/>
  <c r="F3828" i="16"/>
  <c r="J3760" i="16"/>
  <c r="H3287" i="16"/>
  <c r="H3301" i="16" s="1"/>
  <c r="I2848" i="16"/>
  <c r="I2864" i="16" s="1"/>
  <c r="AE54" i="17"/>
  <c r="Q103" i="4"/>
  <c r="Q148" i="4"/>
  <c r="W72" i="4"/>
  <c r="H159" i="28"/>
  <c r="O22" i="32"/>
  <c r="C2292" i="16"/>
  <c r="J79" i="22"/>
  <c r="P2283" i="16"/>
  <c r="N84" i="22"/>
  <c r="N102" i="22" s="1"/>
  <c r="O2287" i="16"/>
  <c r="O2285" i="16"/>
  <c r="M85" i="22"/>
  <c r="M103" i="22" s="1"/>
  <c r="L99" i="22"/>
  <c r="J4234" i="16"/>
  <c r="Q2279" i="16"/>
  <c r="O82" i="22"/>
  <c r="O93" i="22" s="1"/>
  <c r="L2289" i="16"/>
  <c r="J86" i="22" s="1"/>
  <c r="M2289" i="16"/>
  <c r="K86" i="22" s="1"/>
  <c r="P2272" i="16"/>
  <c r="N78" i="22" s="1"/>
  <c r="N77" i="22"/>
  <c r="M96" i="22" l="1"/>
  <c r="M106" i="22"/>
  <c r="M108" i="22" s="1"/>
  <c r="I5039" i="8"/>
  <c r="K5038" i="8"/>
  <c r="K5039" i="8" s="1"/>
  <c r="I5041" i="8"/>
  <c r="AZ287" i="20"/>
  <c r="G4234" i="16"/>
  <c r="C2295" i="16"/>
  <c r="C2296" i="16" s="1"/>
  <c r="M99" i="22"/>
  <c r="N2289" i="16"/>
  <c r="L86" i="22" s="1"/>
  <c r="P3828" i="16"/>
  <c r="F3842" i="16"/>
  <c r="P3842" i="16" s="1"/>
  <c r="O3828" i="16"/>
  <c r="E3842" i="16"/>
  <c r="O3842" i="16" s="1"/>
  <c r="N98" i="22"/>
  <c r="N95" i="22"/>
  <c r="P2285" i="16"/>
  <c r="P2287" i="16"/>
  <c r="N85" i="22"/>
  <c r="N103" i="22" s="1"/>
  <c r="I3778" i="16"/>
  <c r="M3778" i="16" s="1"/>
  <c r="M3792" i="16" s="1"/>
  <c r="I3808" i="16" s="1"/>
  <c r="H3808" i="16" s="1"/>
  <c r="M3760" i="16"/>
  <c r="R2282" i="16"/>
  <c r="V135" i="4" s="1"/>
  <c r="P75" i="22"/>
  <c r="Q2272" i="16"/>
  <c r="O78" i="22" s="1"/>
  <c r="O77" i="22"/>
  <c r="R2271" i="16"/>
  <c r="R2280" i="16"/>
  <c r="P73" i="22"/>
  <c r="Q2281" i="16"/>
  <c r="Q2284" i="16"/>
  <c r="O83" i="22"/>
  <c r="Q2283" i="16"/>
  <c r="O84" i="22"/>
  <c r="O102" i="22" s="1"/>
  <c r="J3778" i="16"/>
  <c r="N3760" i="16"/>
  <c r="O2288" i="16"/>
  <c r="O2273" i="16" s="1"/>
  <c r="M79" i="22" s="1"/>
  <c r="R2279" i="16"/>
  <c r="P82" i="22"/>
  <c r="P93" i="22" s="1"/>
  <c r="AF54" i="17"/>
  <c r="R103" i="4"/>
  <c r="R148" i="4"/>
  <c r="P22" i="32"/>
  <c r="N96" i="22" l="1"/>
  <c r="N106" i="22"/>
  <c r="N108" i="22" s="1"/>
  <c r="K5041" i="8"/>
  <c r="K5046" i="8" s="1"/>
  <c r="K5047" i="8" s="1"/>
  <c r="K5048" i="8" s="1"/>
  <c r="K5050" i="8" s="1"/>
  <c r="K5052" i="8" s="1"/>
  <c r="K5053" i="8" s="1"/>
  <c r="I5044" i="8"/>
  <c r="K5044" i="8" s="1"/>
  <c r="L5044" i="8" s="1"/>
  <c r="S103" i="4"/>
  <c r="S148" i="4"/>
  <c r="N99" i="22"/>
  <c r="R2283" i="16"/>
  <c r="P84" i="22"/>
  <c r="P102" i="22" s="1"/>
  <c r="O95" i="22"/>
  <c r="O98" i="22"/>
  <c r="Q2287" i="16"/>
  <c r="Q2285" i="16"/>
  <c r="O85" i="22"/>
  <c r="O103" i="22" s="1"/>
  <c r="O2289" i="16"/>
  <c r="M86" i="22" s="1"/>
  <c r="R2284" i="16"/>
  <c r="R2281" i="16"/>
  <c r="P83" i="22"/>
  <c r="N3778" i="16"/>
  <c r="R2272" i="16"/>
  <c r="P78" i="22" s="1"/>
  <c r="P77" i="22"/>
  <c r="P2288" i="16"/>
  <c r="P2273" i="16" s="1"/>
  <c r="N79" i="22" s="1"/>
  <c r="O96" i="22" l="1"/>
  <c r="O106" i="22"/>
  <c r="O108" i="22" s="1"/>
  <c r="O99" i="22"/>
  <c r="T103" i="4"/>
  <c r="T148" i="4"/>
  <c r="P2289" i="16"/>
  <c r="N86" i="22" s="1"/>
  <c r="P95" i="22"/>
  <c r="P98" i="22"/>
  <c r="R2287" i="16"/>
  <c r="R2285" i="16"/>
  <c r="P85" i="22"/>
  <c r="P103" i="22" s="1"/>
  <c r="Q2288" i="16"/>
  <c r="Q2273" i="16" s="1"/>
  <c r="O79" i="22" s="1"/>
  <c r="P96" i="22" l="1"/>
  <c r="P106" i="22"/>
  <c r="P108" i="22" s="1"/>
  <c r="P99" i="22"/>
  <c r="U103" i="4"/>
  <c r="U148" i="4"/>
  <c r="Q2289" i="16"/>
  <c r="O86" i="22" s="1"/>
  <c r="R2288" i="16"/>
  <c r="R2273" i="16" s="1"/>
  <c r="P79" i="22" s="1"/>
  <c r="K2268" i="16"/>
  <c r="I74" i="22" s="1"/>
  <c r="K2271" i="16"/>
  <c r="K2272" i="16" s="1"/>
  <c r="I78" i="22" s="1"/>
  <c r="I73" i="22"/>
  <c r="F2461" i="16"/>
  <c r="F2462" i="16" s="1"/>
  <c r="F2586" i="16"/>
  <c r="F2601" i="16" s="1"/>
  <c r="G2858" i="16"/>
  <c r="F2876" i="16"/>
  <c r="F2877" i="16" s="1"/>
  <c r="F2893" i="16" s="1"/>
  <c r="F3296" i="16"/>
  <c r="F3303" i="16" s="1"/>
  <c r="H3772" i="16"/>
  <c r="L3772" i="16" s="1"/>
  <c r="D3837" i="16"/>
  <c r="D3844" i="16" s="1"/>
  <c r="N3844" i="16" s="1"/>
  <c r="AC24" i="17"/>
  <c r="AC70" i="17" s="1"/>
  <c r="AC115" i="17"/>
  <c r="O136" i="4"/>
  <c r="O150" i="4"/>
  <c r="X150" i="4" s="1"/>
  <c r="O257" i="4"/>
  <c r="O332" i="4"/>
  <c r="O493" i="4"/>
  <c r="F172" i="28"/>
  <c r="N24" i="5"/>
  <c r="O224" i="4" l="1"/>
  <c r="I77" i="22"/>
  <c r="V148" i="4"/>
  <c r="V103" i="4"/>
  <c r="R2289" i="16"/>
  <c r="P86" i="22" s="1"/>
  <c r="F2892" i="16"/>
  <c r="N3837" i="16"/>
  <c r="M2601" i="16"/>
  <c r="H3781" i="16"/>
  <c r="L3781" i="16" s="1"/>
  <c r="O341" i="4"/>
  <c r="P341" i="4" s="1"/>
  <c r="Q341" i="4" s="1"/>
  <c r="R341" i="4" s="1"/>
  <c r="S341" i="4" s="1"/>
  <c r="O340" i="4"/>
  <c r="O336" i="4"/>
  <c r="O204" i="4" s="1"/>
  <c r="F2758" i="16"/>
  <c r="F176" i="28"/>
  <c r="D14" i="32"/>
  <c r="O246" i="4"/>
  <c r="O162" i="4"/>
  <c r="O255" i="4"/>
  <c r="O280" i="4"/>
  <c r="O282" i="4" s="1"/>
  <c r="P248" i="4"/>
  <c r="F2587" i="16"/>
  <c r="D3574" i="16"/>
  <c r="AC25" i="17"/>
  <c r="AC26" i="17" s="1"/>
  <c r="G2866" i="16"/>
  <c r="AU364" i="20" l="1"/>
  <c r="AU368" i="20" s="1"/>
  <c r="C4244" i="16"/>
  <c r="T341" i="4"/>
  <c r="H3783" i="16"/>
  <c r="L3783" i="16" s="1"/>
  <c r="I1036" i="16"/>
  <c r="AC134" i="17"/>
  <c r="AB35" i="14"/>
  <c r="AC35" i="17"/>
  <c r="M2602" i="16"/>
  <c r="F2602" i="16"/>
  <c r="L3574" i="16"/>
  <c r="P387" i="4"/>
  <c r="P244" i="4"/>
  <c r="P460" i="4"/>
  <c r="P491" i="4" s="1"/>
  <c r="AV364" i="20" l="1"/>
  <c r="U341" i="4"/>
  <c r="P12" i="4"/>
  <c r="AZ310" i="20" s="1"/>
  <c r="P253" i="4"/>
  <c r="P245" i="4"/>
  <c r="V341" i="4" l="1"/>
  <c r="AD22" i="17"/>
  <c r="P191" i="4"/>
  <c r="J1024" i="16" s="1"/>
  <c r="O116" i="4"/>
  <c r="O145" i="4" s="1"/>
  <c r="D3569" i="16" s="1"/>
  <c r="J268" i="23"/>
  <c r="K268" i="23" s="1"/>
  <c r="J272" i="23"/>
  <c r="J294" i="23" s="1"/>
  <c r="O132" i="4" l="1"/>
  <c r="O120" i="4"/>
  <c r="AC65" i="17" s="1"/>
  <c r="AC61" i="17" s="1"/>
  <c r="L268" i="23"/>
  <c r="K261" i="23"/>
  <c r="F166" i="28"/>
  <c r="AD65" i="17"/>
  <c r="G3295" i="16"/>
  <c r="G3302" i="16" s="1"/>
  <c r="G171" i="28"/>
  <c r="P149" i="4"/>
  <c r="K298" i="23" s="1"/>
  <c r="G2853" i="16"/>
  <c r="D3833" i="16"/>
  <c r="F3291" i="16"/>
  <c r="F3298" i="16" s="1"/>
  <c r="H3766" i="16"/>
  <c r="L3569" i="16"/>
  <c r="D3573" i="16"/>
  <c r="L3573" i="16" s="1"/>
  <c r="F171" i="28" l="1"/>
  <c r="F3295" i="16"/>
  <c r="F3302" i="16" s="1"/>
  <c r="O149" i="4"/>
  <c r="J298" i="23" s="1"/>
  <c r="O123" i="4"/>
  <c r="O152" i="4" s="1"/>
  <c r="P116" i="4"/>
  <c r="K272" i="23"/>
  <c r="K294" i="23" s="1"/>
  <c r="M268" i="23"/>
  <c r="L261" i="23"/>
  <c r="G2861" i="16"/>
  <c r="G2857" i="16"/>
  <c r="G2865" i="16" s="1"/>
  <c r="AE65" i="17"/>
  <c r="H3295" i="16"/>
  <c r="H3302" i="16" s="1"/>
  <c r="H171" i="28"/>
  <c r="Q149" i="4"/>
  <c r="L298" i="23" s="1"/>
  <c r="H3771" i="16"/>
  <c r="H3775" i="16"/>
  <c r="L3775" i="16" s="1"/>
  <c r="L3766" i="16"/>
  <c r="N3833" i="16"/>
  <c r="D3840" i="16"/>
  <c r="N3840" i="16" s="1"/>
  <c r="D3836" i="16"/>
  <c r="D3843" i="16" s="1"/>
  <c r="Q116" i="4" l="1"/>
  <c r="L272" i="23"/>
  <c r="L294" i="23" s="1"/>
  <c r="N268" i="23"/>
  <c r="M261" i="23"/>
  <c r="P132" i="4"/>
  <c r="P145" i="4"/>
  <c r="S149" i="4"/>
  <c r="M298" i="23"/>
  <c r="H3780" i="16"/>
  <c r="L3780" i="16" s="1"/>
  <c r="L3771" i="16"/>
  <c r="AF65" i="17"/>
  <c r="R149" i="4"/>
  <c r="N298" i="23" l="1"/>
  <c r="O298" i="23" s="1"/>
  <c r="P298" i="23" s="1"/>
  <c r="Q298" i="23" s="1"/>
  <c r="E324" i="23" s="1"/>
  <c r="F324" i="23" s="1"/>
  <c r="C324" i="23"/>
  <c r="G324" i="23" s="1"/>
  <c r="G12" i="6" s="1"/>
  <c r="D12" i="6" s="1"/>
  <c r="R116" i="4"/>
  <c r="M272" i="23"/>
  <c r="M294" i="23" s="1"/>
  <c r="O268" i="23"/>
  <c r="N261" i="23"/>
  <c r="Q132" i="4"/>
  <c r="Q145" i="4"/>
  <c r="T149" i="4"/>
  <c r="P268" i="23" l="1"/>
  <c r="O261" i="23"/>
  <c r="S116" i="4"/>
  <c r="N272" i="23"/>
  <c r="N294" i="23" s="1"/>
  <c r="R132" i="4"/>
  <c r="R145" i="4"/>
  <c r="U149" i="4"/>
  <c r="G52" i="6"/>
  <c r="F52" i="6" s="1"/>
  <c r="E12" i="6"/>
  <c r="O18" i="4"/>
  <c r="O198" i="4"/>
  <c r="O225" i="4"/>
  <c r="O239" i="4" s="1"/>
  <c r="O287" i="4"/>
  <c r="O288" i="4" s="1"/>
  <c r="S132" i="4" l="1"/>
  <c r="S145" i="4"/>
  <c r="T116" i="4"/>
  <c r="O272" i="23"/>
  <c r="O294" i="23" s="1"/>
  <c r="Q268" i="23"/>
  <c r="Q261" i="23" s="1"/>
  <c r="P261" i="23"/>
  <c r="O200" i="4"/>
  <c r="C4240" i="16" s="1"/>
  <c r="C4238" i="16"/>
  <c r="N25" i="5"/>
  <c r="D15" i="32" s="1"/>
  <c r="AU316" i="20"/>
  <c r="AU321" i="20" s="1"/>
  <c r="V149" i="4"/>
  <c r="O24" i="4"/>
  <c r="O462" i="4"/>
  <c r="O389" i="4"/>
  <c r="O391" i="4" s="1"/>
  <c r="O396" i="4" s="1"/>
  <c r="O400" i="4" s="1"/>
  <c r="I1030" i="16"/>
  <c r="AC135" i="17"/>
  <c r="AC111" i="17"/>
  <c r="AC30" i="17"/>
  <c r="F177" i="28" l="1"/>
  <c r="U116" i="4"/>
  <c r="P272" i="23"/>
  <c r="P294" i="23" s="1"/>
  <c r="V116" i="4"/>
  <c r="Q272" i="23"/>
  <c r="Q294" i="23" s="1"/>
  <c r="T132" i="4"/>
  <c r="T145" i="4"/>
  <c r="AC137" i="17"/>
  <c r="I1032" i="16"/>
  <c r="N26" i="5"/>
  <c r="F2760" i="16" s="1"/>
  <c r="F2759" i="16"/>
  <c r="O393" i="4"/>
  <c r="O384" i="4" s="1"/>
  <c r="O394" i="4" s="1"/>
  <c r="AC123" i="17"/>
  <c r="AC122" i="17"/>
  <c r="AC125" i="17"/>
  <c r="I1033" i="16"/>
  <c r="O211" i="4"/>
  <c r="O212" i="4" s="1"/>
  <c r="C320" i="23" l="1"/>
  <c r="D16" i="32"/>
  <c r="N28" i="5"/>
  <c r="E3435" i="16" s="1"/>
  <c r="E3452" i="16" s="1"/>
  <c r="F178" i="28"/>
  <c r="I3794" i="16"/>
  <c r="H3794" i="16" s="1"/>
  <c r="G3794" i="16" s="1"/>
  <c r="G3795" i="16" s="1"/>
  <c r="V132" i="4"/>
  <c r="V145" i="4"/>
  <c r="E320" i="23"/>
  <c r="F320" i="23" s="1"/>
  <c r="U132" i="4"/>
  <c r="U145" i="4"/>
  <c r="G3501" i="16"/>
  <c r="G1880" i="16"/>
  <c r="I1042" i="16"/>
  <c r="N32" i="5"/>
  <c r="N45" i="5"/>
  <c r="O402" i="4"/>
  <c r="O404" i="4" s="1"/>
  <c r="O27" i="4"/>
  <c r="O464" i="4"/>
  <c r="G2868" i="16" l="1"/>
  <c r="H2422" i="16"/>
  <c r="H2423" i="16" s="1"/>
  <c r="F2879" i="16"/>
  <c r="F2895" i="16" s="1"/>
  <c r="F2468" i="16"/>
  <c r="F2472" i="16" s="1"/>
  <c r="D18" i="32"/>
  <c r="I2342" i="16"/>
  <c r="I2343" i="16" s="1"/>
  <c r="H3347" i="16"/>
  <c r="N63" i="5"/>
  <c r="N62" i="5" s="1"/>
  <c r="H2237" i="16"/>
  <c r="H2238" i="16" s="1"/>
  <c r="H2239" i="16" s="1"/>
  <c r="AC33" i="17"/>
  <c r="F2588" i="16"/>
  <c r="M2603" i="16" s="1"/>
  <c r="N30" i="5"/>
  <c r="N29" i="5"/>
  <c r="E3200" i="16"/>
  <c r="E3208" i="16" s="1"/>
  <c r="E3202" i="16" s="1"/>
  <c r="G1752" i="16"/>
  <c r="G1753" i="16" s="1"/>
  <c r="G1770" i="16" s="1"/>
  <c r="F180" i="28"/>
  <c r="F2762" i="16"/>
  <c r="F2768" i="16" s="1"/>
  <c r="F2769" i="16" s="1"/>
  <c r="F3089" i="16"/>
  <c r="F3090" i="16" s="1"/>
  <c r="F3305" i="16"/>
  <c r="E3235" i="16"/>
  <c r="E3236" i="16" s="1"/>
  <c r="F2467" i="16"/>
  <c r="F2471" i="16" s="1"/>
  <c r="H2424" i="16"/>
  <c r="H2426" i="16" s="1"/>
  <c r="H2427" i="16" s="1"/>
  <c r="G320" i="23"/>
  <c r="H1976" i="16"/>
  <c r="H1977" i="16" s="1"/>
  <c r="G1883" i="16"/>
  <c r="H1913" i="16"/>
  <c r="H1914" i="16" s="1"/>
  <c r="G1884" i="16"/>
  <c r="F2878" i="16"/>
  <c r="F2894" i="16" s="1"/>
  <c r="F3668" i="16"/>
  <c r="F3669" i="16" s="1"/>
  <c r="F3671" i="16" s="1"/>
  <c r="D3682" i="16" s="1"/>
  <c r="C3683" i="16" s="1"/>
  <c r="G3502" i="16"/>
  <c r="F3674" i="16"/>
  <c r="F3699" i="16" s="1"/>
  <c r="H3797" i="16"/>
  <c r="K242" i="24"/>
  <c r="K251" i="24" s="1"/>
  <c r="D3576" i="16"/>
  <c r="L3576" i="16" s="1"/>
  <c r="F182" i="28"/>
  <c r="N33" i="5"/>
  <c r="N36" i="5"/>
  <c r="N37" i="5" s="1"/>
  <c r="M8" i="32" s="1"/>
  <c r="N34" i="5"/>
  <c r="N40" i="5"/>
  <c r="O166" i="4"/>
  <c r="AV358" i="20"/>
  <c r="AV368" i="20" s="1"/>
  <c r="AY290" i="4"/>
  <c r="I2344" i="16" l="1"/>
  <c r="I2346" i="16" s="1"/>
  <c r="I2347" i="16" s="1"/>
  <c r="E3201" i="16"/>
  <c r="F2603" i="16"/>
  <c r="O1752" i="16"/>
  <c r="G1759" i="16"/>
  <c r="G1760" i="16" s="1"/>
  <c r="G1761" i="16" s="1"/>
  <c r="G1783" i="16" s="1"/>
  <c r="G1769" i="16"/>
  <c r="F3093" i="16"/>
  <c r="F3094" i="16" s="1"/>
  <c r="E3238" i="16"/>
  <c r="E3250" i="16" s="1"/>
  <c r="E3254" i="16" s="1"/>
  <c r="E3255" i="16" s="1"/>
  <c r="F2469" i="16"/>
  <c r="G9" i="6"/>
  <c r="D9" i="6" s="1"/>
  <c r="D201" i="29"/>
  <c r="H1917" i="16"/>
  <c r="H1918" i="16"/>
  <c r="W1752" i="16"/>
  <c r="O1753" i="16"/>
  <c r="O1759" i="16"/>
  <c r="H1980" i="16"/>
  <c r="H1981" i="16"/>
  <c r="G1886" i="16"/>
  <c r="Q1884" i="16"/>
  <c r="G1885" i="16"/>
  <c r="C4617" i="8"/>
  <c r="D20" i="32"/>
  <c r="F3148" i="16"/>
  <c r="F3091" i="16"/>
  <c r="I3798" i="16"/>
  <c r="I3796" i="16" s="1"/>
  <c r="H3796" i="16" s="1"/>
  <c r="G3796" i="16" s="1"/>
  <c r="H3801" i="16"/>
  <c r="G3802" i="16" s="1"/>
  <c r="G3803" i="16" s="1"/>
  <c r="G3804" i="16" s="1"/>
  <c r="G3805" i="16" s="1"/>
  <c r="G3806" i="16" s="1"/>
  <c r="G3807" i="16" s="1"/>
  <c r="G3808" i="16" s="1"/>
  <c r="G3809" i="16" s="1"/>
  <c r="F3675" i="16"/>
  <c r="M9" i="32"/>
  <c r="F3700" i="16"/>
  <c r="F3704" i="16"/>
  <c r="F3701" i="16"/>
  <c r="AV387" i="20"/>
  <c r="G3531" i="16"/>
  <c r="G3530" i="16"/>
  <c r="G1779" i="16" l="1"/>
  <c r="F3138" i="16"/>
  <c r="F3139" i="16" s="1"/>
  <c r="F3140" i="16" s="1"/>
  <c r="E3239" i="16"/>
  <c r="E3240" i="16" s="1"/>
  <c r="H628" i="16"/>
  <c r="I628" i="16" s="1"/>
  <c r="I630" i="16" s="1"/>
  <c r="E9" i="6"/>
  <c r="G20" i="6" s="1"/>
  <c r="O1760" i="16"/>
  <c r="O1779" i="16"/>
  <c r="F3150" i="16"/>
  <c r="W1759" i="16"/>
  <c r="W1753" i="16"/>
  <c r="Q1887" i="16"/>
  <c r="H1983" i="16"/>
  <c r="H1982" i="16"/>
  <c r="F3095" i="16"/>
  <c r="F3149" i="16"/>
  <c r="H1920" i="16"/>
  <c r="Q1885" i="16"/>
  <c r="H1919" i="16"/>
  <c r="AV371" i="20"/>
  <c r="H630" i="16" l="1"/>
  <c r="I632" i="16"/>
  <c r="W1779" i="16"/>
  <c r="W1760" i="16"/>
  <c r="O1780" i="16"/>
  <c r="G1780" i="16"/>
  <c r="O1761" i="16"/>
  <c r="AC106" i="17"/>
  <c r="AC120" i="17" s="1"/>
  <c r="O156" i="4"/>
  <c r="O160" i="4" s="1"/>
  <c r="O168" i="4" s="1"/>
  <c r="O312" i="4"/>
  <c r="I634" i="16" l="1"/>
  <c r="H634" i="16" s="1"/>
  <c r="H632" i="16"/>
  <c r="G1784" i="16"/>
  <c r="O1781" i="16"/>
  <c r="W1761" i="16"/>
  <c r="W1780" i="16"/>
  <c r="G1781" i="16"/>
  <c r="AC105" i="17"/>
  <c r="O311" i="4"/>
  <c r="AB105" i="17"/>
  <c r="O290" i="4"/>
  <c r="AC110" i="17" s="1"/>
  <c r="N310" i="4"/>
  <c r="AB106" i="17" s="1"/>
  <c r="AB120" i="17" s="1"/>
  <c r="N311" i="4"/>
  <c r="W1781" i="16" l="1"/>
  <c r="G1785" i="16"/>
  <c r="N302" i="4"/>
  <c r="N300" i="4" s="1"/>
  <c r="N301" i="4" s="1"/>
  <c r="N312" i="4"/>
  <c r="O302" i="4"/>
  <c r="O300" i="4" s="1"/>
  <c r="N240" i="4"/>
  <c r="O301" i="4" l="1"/>
  <c r="M13" i="5"/>
  <c r="F1876" i="16" l="1"/>
  <c r="AB9" i="17"/>
  <c r="M75" i="5"/>
  <c r="M74" i="5" s="1"/>
  <c r="M81" i="5" s="1"/>
  <c r="M82" i="5" s="1"/>
  <c r="C7" i="32"/>
  <c r="C10" i="32" s="1"/>
  <c r="M68" i="5"/>
  <c r="C23" i="32" s="1"/>
  <c r="N13" i="5"/>
  <c r="AU393" i="20" s="1"/>
  <c r="AW394" i="20" s="1"/>
  <c r="O304" i="4" l="1"/>
  <c r="C4627" i="8"/>
  <c r="G1876" i="16"/>
  <c r="AC9" i="17"/>
  <c r="N75" i="5"/>
  <c r="N74" i="5" s="1"/>
  <c r="N81" i="5" s="1"/>
  <c r="N82" i="5" s="1"/>
  <c r="D7" i="32"/>
  <c r="D10" i="32" s="1"/>
  <c r="N68" i="5"/>
  <c r="D23" i="32" s="1"/>
  <c r="H2333" i="16"/>
  <c r="F172" i="16"/>
  <c r="F176" i="16" s="1"/>
  <c r="F186" i="16" s="1"/>
  <c r="F203" i="16" s="1"/>
  <c r="F1749" i="16"/>
  <c r="E3079" i="16"/>
  <c r="G2228" i="16"/>
  <c r="G2413" i="16"/>
  <c r="D3218" i="16"/>
  <c r="M85" i="5"/>
  <c r="F1878" i="16"/>
  <c r="P1893" i="16" s="1"/>
  <c r="G1972" i="16"/>
  <c r="G1974" i="16" s="1"/>
  <c r="P1896" i="16" s="1"/>
  <c r="G1909" i="16"/>
  <c r="G1911" i="16" s="1"/>
  <c r="P1894" i="16" s="1"/>
  <c r="H2338" i="16" l="1"/>
  <c r="H2340" i="16" s="1"/>
  <c r="H2335" i="16"/>
  <c r="F228" i="16"/>
  <c r="F252" i="16"/>
  <c r="G2233" i="16"/>
  <c r="G2235" i="16" s="1"/>
  <c r="G2230" i="16"/>
  <c r="E2465" i="16"/>
  <c r="F185" i="16"/>
  <c r="F202" i="16" s="1"/>
  <c r="L201" i="16" s="1"/>
  <c r="F2683" i="16"/>
  <c r="G2418" i="16"/>
  <c r="G2420" i="16" s="1"/>
  <c r="G2415" i="16"/>
  <c r="E3218" i="16"/>
  <c r="I2333" i="16"/>
  <c r="G1749" i="16"/>
  <c r="F3079" i="16"/>
  <c r="H2228" i="16"/>
  <c r="H2413" i="16"/>
  <c r="N85" i="5"/>
  <c r="E3081" i="16"/>
  <c r="E3143" i="16" s="1"/>
  <c r="E3084" i="16"/>
  <c r="D3231" i="16"/>
  <c r="D3220" i="16"/>
  <c r="N1749" i="16"/>
  <c r="F1751" i="16"/>
  <c r="F1768" i="16" s="1"/>
  <c r="F1756" i="16"/>
  <c r="F1758" i="16" s="1"/>
  <c r="F1775" i="16" s="1"/>
  <c r="F1766" i="16"/>
  <c r="G1878" i="16"/>
  <c r="Q1893" i="16" s="1"/>
  <c r="H1972" i="16"/>
  <c r="H1974" i="16" s="1"/>
  <c r="Q1896" i="16" s="1"/>
  <c r="H1909" i="16"/>
  <c r="H1911" i="16" s="1"/>
  <c r="Q1894" i="16" s="1"/>
  <c r="D3233" i="16" l="1"/>
  <c r="D3252" i="16"/>
  <c r="D3253" i="16" s="1"/>
  <c r="F3084" i="16"/>
  <c r="F3081" i="16"/>
  <c r="F3143" i="16" s="1"/>
  <c r="E3231" i="16"/>
  <c r="E3220" i="16"/>
  <c r="O1749" i="16"/>
  <c r="G1751" i="16"/>
  <c r="G1768" i="16" s="1"/>
  <c r="G1756" i="16"/>
  <c r="G1758" i="16" s="1"/>
  <c r="G1775" i="16" s="1"/>
  <c r="G1766" i="16"/>
  <c r="E3086" i="16"/>
  <c r="E3144" i="16" s="1"/>
  <c r="E3133" i="16"/>
  <c r="E3135" i="16" s="1"/>
  <c r="E3145" i="16" s="1"/>
  <c r="F2465" i="16"/>
  <c r="G2683" i="16"/>
  <c r="H2233" i="16"/>
  <c r="H2235" i="16" s="1"/>
  <c r="H2230" i="16"/>
  <c r="N1751" i="16"/>
  <c r="N1756" i="16"/>
  <c r="V1749" i="16"/>
  <c r="I2338" i="16"/>
  <c r="I2340" i="16" s="1"/>
  <c r="I2335" i="16"/>
  <c r="H2418" i="16"/>
  <c r="H2420" i="16" s="1"/>
  <c r="H2415" i="16"/>
  <c r="O1751" i="16" l="1"/>
  <c r="O1756" i="16"/>
  <c r="W1749" i="16"/>
  <c r="E3233" i="16"/>
  <c r="E3252" i="16"/>
  <c r="E3253" i="16" s="1"/>
  <c r="V1751" i="16"/>
  <c r="V1756" i="16"/>
  <c r="F3086" i="16"/>
  <c r="F3144" i="16" s="1"/>
  <c r="F3133" i="16"/>
  <c r="F3135" i="16" s="1"/>
  <c r="F3145" i="16" s="1"/>
  <c r="N1775" i="16"/>
  <c r="N1758" i="16"/>
  <c r="V1758" i="16" l="1"/>
  <c r="V1775" i="16"/>
  <c r="F1776" i="16"/>
  <c r="N1777" i="16"/>
  <c r="W1751" i="16"/>
  <c r="W1756" i="16"/>
  <c r="O1775" i="16"/>
  <c r="O1758" i="16"/>
  <c r="G1776" i="16" l="1"/>
  <c r="O1777" i="16"/>
  <c r="W1758" i="16"/>
  <c r="W1775" i="16"/>
  <c r="F1777" i="16"/>
  <c r="V1777" i="16"/>
  <c r="G1777" i="16" l="1"/>
  <c r="W1777" i="16"/>
  <c r="O28" i="4"/>
  <c r="AC28" i="17" s="1"/>
  <c r="O179" i="4"/>
  <c r="O465" i="4"/>
  <c r="O466" i="4" s="1"/>
  <c r="AC32" i="17" s="1"/>
  <c r="O30" i="4" l="1"/>
  <c r="O32" i="4" s="1"/>
  <c r="AC16" i="17" s="1"/>
  <c r="N65" i="5"/>
  <c r="O490" i="4"/>
  <c r="O494" i="4" s="1"/>
  <c r="O495" i="4" s="1"/>
  <c r="O35" i="4" s="1"/>
  <c r="O180" i="4"/>
  <c r="O182" i="4" s="1"/>
  <c r="O183" i="4" s="1"/>
  <c r="O467" i="4"/>
  <c r="O433" i="4" l="1"/>
  <c r="O488" i="4"/>
  <c r="O496" i="4"/>
  <c r="O33" i="4"/>
  <c r="O487" i="4"/>
  <c r="O486" i="4"/>
  <c r="O468" i="4"/>
  <c r="AC17" i="17" l="1"/>
  <c r="N52" i="5"/>
  <c r="O216" i="4"/>
  <c r="I1046" i="16" s="1"/>
  <c r="O217" i="4" l="1"/>
  <c r="O220" i="4" s="1"/>
  <c r="I1050" i="16" s="1"/>
  <c r="O221" i="4" l="1"/>
  <c r="I1051" i="16" s="1"/>
  <c r="AC143" i="17"/>
  <c r="AC142" i="17" s="1"/>
  <c r="I1047" i="16"/>
  <c r="O185" i="4" l="1"/>
  <c r="AC27" i="17" s="1"/>
  <c r="AC144" i="17" s="1"/>
  <c r="O222" i="4"/>
  <c r="I1052" i="16" s="1"/>
  <c r="O186" i="4" l="1"/>
  <c r="O241" i="4" s="1"/>
  <c r="P219" i="4"/>
  <c r="J1049" i="16" s="1"/>
  <c r="O339" i="4"/>
  <c r="I32" i="23"/>
  <c r="J32" i="23"/>
  <c r="I34" i="23"/>
  <c r="I35" i="23" s="1"/>
  <c r="J34" i="23"/>
  <c r="J35" i="23" l="1"/>
  <c r="K34" i="23"/>
  <c r="L34" i="23" s="1"/>
  <c r="L31" i="23" s="1"/>
  <c r="K31" i="23" l="1"/>
  <c r="K32" i="23" s="1"/>
  <c r="M34" i="23"/>
  <c r="N34" i="23" s="1"/>
  <c r="L25" i="23"/>
  <c r="L32" i="23" l="1"/>
  <c r="M31" i="23"/>
  <c r="M32" i="23" s="1"/>
  <c r="K25" i="23"/>
  <c r="K26" i="23" s="1"/>
  <c r="N31" i="23"/>
  <c r="O34" i="23"/>
  <c r="Q40" i="4"/>
  <c r="BF5" i="20" s="1"/>
  <c r="BF17" i="20" s="1"/>
  <c r="L223" i="23"/>
  <c r="L26" i="23"/>
  <c r="L40" i="23"/>
  <c r="L37" i="23"/>
  <c r="P40" i="4"/>
  <c r="K223" i="23"/>
  <c r="K37" i="23" l="1"/>
  <c r="P63" i="4" s="1"/>
  <c r="K40" i="23"/>
  <c r="K263" i="23" s="1"/>
  <c r="M25" i="23"/>
  <c r="M26" i="23" s="1"/>
  <c r="I114" i="31"/>
  <c r="L43" i="23"/>
  <c r="L288" i="23" s="1"/>
  <c r="Q63" i="4"/>
  <c r="L252" i="23"/>
  <c r="P110" i="4"/>
  <c r="I3" i="31"/>
  <c r="L245" i="23"/>
  <c r="I2837" i="16"/>
  <c r="H3271" i="16"/>
  <c r="AE38" i="17"/>
  <c r="Q59" i="4"/>
  <c r="Q60" i="4" s="1"/>
  <c r="P2477" i="16" s="1"/>
  <c r="Q57" i="4"/>
  <c r="Q55" i="4"/>
  <c r="Q52" i="4"/>
  <c r="BF22" i="20" s="1"/>
  <c r="Q58" i="4"/>
  <c r="H146" i="28"/>
  <c r="H3" i="31"/>
  <c r="K245" i="23"/>
  <c r="Q110" i="4"/>
  <c r="L263" i="23"/>
  <c r="H114" i="31"/>
  <c r="K252" i="23"/>
  <c r="H2837" i="16"/>
  <c r="G3271" i="16"/>
  <c r="E3553" i="16"/>
  <c r="M3553" i="16" s="1"/>
  <c r="AD38" i="17"/>
  <c r="P59" i="4"/>
  <c r="P60" i="4" s="1"/>
  <c r="O2477" i="16" s="1"/>
  <c r="P57" i="4"/>
  <c r="W57" i="4" s="1"/>
  <c r="P55" i="4"/>
  <c r="P56" i="4" s="1"/>
  <c r="O2480" i="16" s="1"/>
  <c r="P52" i="4"/>
  <c r="BA5" i="20"/>
  <c r="P58" i="4"/>
  <c r="G146" i="28"/>
  <c r="O31" i="23"/>
  <c r="P34" i="23"/>
  <c r="R40" i="4"/>
  <c r="M223" i="23"/>
  <c r="M37" i="23"/>
  <c r="N32" i="23"/>
  <c r="N25" i="23"/>
  <c r="S40" i="4" s="1"/>
  <c r="AG38" i="17" s="1"/>
  <c r="M40" i="23" l="1"/>
  <c r="K43" i="23"/>
  <c r="K288" i="23" s="1"/>
  <c r="BA17" i="20"/>
  <c r="AZ17" i="20" s="1"/>
  <c r="AZ5" i="20"/>
  <c r="Q88" i="4"/>
  <c r="Q89" i="4" s="1"/>
  <c r="Q74" i="4"/>
  <c r="S58" i="4"/>
  <c r="Q13" i="32" s="1"/>
  <c r="S59" i="4"/>
  <c r="S60" i="4" s="1"/>
  <c r="S57" i="4"/>
  <c r="S55" i="4"/>
  <c r="S52" i="4"/>
  <c r="Q17" i="32" s="1"/>
  <c r="Q56" i="4"/>
  <c r="P2480" i="16" s="1"/>
  <c r="H2545" i="16"/>
  <c r="L239" i="23"/>
  <c r="AF38" i="17"/>
  <c r="R52" i="4"/>
  <c r="R58" i="4"/>
  <c r="P13" i="32" s="1"/>
  <c r="R55" i="4"/>
  <c r="R56" i="4" s="1"/>
  <c r="R57" i="4"/>
  <c r="R59" i="4"/>
  <c r="R60" i="4" s="1"/>
  <c r="H2845" i="16"/>
  <c r="E3561" i="16"/>
  <c r="M3561" i="16" s="1"/>
  <c r="E3826" i="16"/>
  <c r="G3284" i="16"/>
  <c r="P85" i="4"/>
  <c r="AZ294" i="20" s="1"/>
  <c r="G155" i="28"/>
  <c r="P94" i="4"/>
  <c r="P74" i="4"/>
  <c r="P84" i="4"/>
  <c r="P139" i="4"/>
  <c r="E3569" i="16" s="1"/>
  <c r="M3569" i="16" s="1"/>
  <c r="H121" i="31"/>
  <c r="H124" i="31" s="1"/>
  <c r="I2842" i="16"/>
  <c r="I2841" i="16" s="1"/>
  <c r="H2584" i="16"/>
  <c r="F3823" i="16"/>
  <c r="H3282" i="16"/>
  <c r="AE20" i="17"/>
  <c r="AE49" i="17"/>
  <c r="Q3" i="4"/>
  <c r="W52" i="4"/>
  <c r="H781" i="16" s="1"/>
  <c r="Q53" i="4"/>
  <c r="H152" i="28"/>
  <c r="O17" i="32"/>
  <c r="I6" i="31"/>
  <c r="G2547" i="16"/>
  <c r="H11" i="31"/>
  <c r="K264" i="23"/>
  <c r="N223" i="23"/>
  <c r="N26" i="23"/>
  <c r="N40" i="23"/>
  <c r="N37" i="23"/>
  <c r="S63" i="4" s="1"/>
  <c r="S88" i="4" s="1"/>
  <c r="S89" i="4" s="1"/>
  <c r="O32" i="23"/>
  <c r="O25" i="23"/>
  <c r="T40" i="4" s="1"/>
  <c r="AH38" i="17" s="1"/>
  <c r="H2547" i="16"/>
  <c r="I11" i="31"/>
  <c r="L264" i="23"/>
  <c r="J114" i="31"/>
  <c r="M43" i="23"/>
  <c r="M288" i="23" s="1"/>
  <c r="R63" i="4"/>
  <c r="M252" i="23"/>
  <c r="H3291" i="16"/>
  <c r="J3766" i="16"/>
  <c r="I2853" i="16"/>
  <c r="F3833" i="16"/>
  <c r="P3833" i="16" s="1"/>
  <c r="H166" i="28"/>
  <c r="Q126" i="4"/>
  <c r="Q121" i="4"/>
  <c r="E4263" i="16" s="1"/>
  <c r="E4272" i="16" s="1"/>
  <c r="Q123" i="4"/>
  <c r="G3291" i="16"/>
  <c r="I3766" i="16"/>
  <c r="M3766" i="16" s="1"/>
  <c r="H2853" i="16"/>
  <c r="E3833" i="16"/>
  <c r="O3833" i="16" s="1"/>
  <c r="G166" i="28"/>
  <c r="P126" i="4"/>
  <c r="P121" i="4"/>
  <c r="AZ334" i="20" s="1"/>
  <c r="P123" i="4"/>
  <c r="I121" i="31"/>
  <c r="I124" i="31" s="1"/>
  <c r="P88" i="4"/>
  <c r="G2545" i="16"/>
  <c r="K239" i="23"/>
  <c r="H2546" i="16"/>
  <c r="I8" i="31"/>
  <c r="L253" i="23"/>
  <c r="H2765" i="16"/>
  <c r="H2766" i="16" s="1"/>
  <c r="H2767" i="16" s="1"/>
  <c r="F3819" i="16"/>
  <c r="P3819" i="16" s="1"/>
  <c r="O13" i="32"/>
  <c r="P31" i="23"/>
  <c r="Q34" i="23"/>
  <c r="Q31" i="23" s="1"/>
  <c r="H6" i="31"/>
  <c r="H4" i="31"/>
  <c r="I4" i="31" s="1"/>
  <c r="H3284" i="16"/>
  <c r="I2845" i="16"/>
  <c r="F3826" i="16"/>
  <c r="Q139" i="4"/>
  <c r="Q85" i="4"/>
  <c r="H155" i="28"/>
  <c r="W63" i="4"/>
  <c r="Q94" i="4"/>
  <c r="Q84" i="4"/>
  <c r="R110" i="4"/>
  <c r="M263" i="23"/>
  <c r="G2765" i="16"/>
  <c r="G2766" i="16" s="1"/>
  <c r="G2767" i="16" s="1"/>
  <c r="E3819" i="16"/>
  <c r="O3819" i="16" s="1"/>
  <c r="N13" i="32"/>
  <c r="J3" i="31"/>
  <c r="M245" i="23"/>
  <c r="M239" i="23" s="1"/>
  <c r="G2584" i="16"/>
  <c r="E3558" i="16"/>
  <c r="E3823" i="16"/>
  <c r="G3282" i="16"/>
  <c r="H2842" i="16"/>
  <c r="H2841" i="16" s="1"/>
  <c r="AD20" i="17"/>
  <c r="AD49" i="17"/>
  <c r="P3" i="4"/>
  <c r="P53" i="4"/>
  <c r="G152" i="28"/>
  <c r="N17" i="32"/>
  <c r="BA22" i="20"/>
  <c r="G2546" i="16"/>
  <c r="H8" i="31"/>
  <c r="K253" i="23"/>
  <c r="R13" i="32" l="1"/>
  <c r="Q16" i="32"/>
  <c r="R17" i="32"/>
  <c r="AG49" i="17"/>
  <c r="AG20" i="17"/>
  <c r="Q90" i="4"/>
  <c r="AZ22" i="20"/>
  <c r="W30" i="28"/>
  <c r="R9" i="28" s="1"/>
  <c r="AZ196" i="20"/>
  <c r="CN17" i="20"/>
  <c r="AZ190" i="20"/>
  <c r="T58" i="4"/>
  <c r="T59" i="4"/>
  <c r="T60" i="4" s="1"/>
  <c r="T57" i="4"/>
  <c r="T55" i="4"/>
  <c r="T56" i="4" s="1"/>
  <c r="T52" i="4"/>
  <c r="S94" i="4"/>
  <c r="S85" i="4"/>
  <c r="Q20" i="32" s="1"/>
  <c r="S74" i="4"/>
  <c r="Q24" i="32" s="1"/>
  <c r="S84" i="4"/>
  <c r="N263" i="23"/>
  <c r="N264" i="23" s="1"/>
  <c r="S110" i="4"/>
  <c r="S139" i="4" s="1"/>
  <c r="S3" i="4"/>
  <c r="D4263" i="16"/>
  <c r="H4233" i="16"/>
  <c r="AZ300" i="20"/>
  <c r="E48" i="6"/>
  <c r="E45" i="6" s="1"/>
  <c r="I4233" i="16"/>
  <c r="P91" i="4"/>
  <c r="C4848" i="8"/>
  <c r="S56" i="4"/>
  <c r="S53" i="4"/>
  <c r="M240" i="23"/>
  <c r="I2861" i="16"/>
  <c r="J4" i="31"/>
  <c r="J5" i="31" s="1"/>
  <c r="I5" i="31"/>
  <c r="I47" i="31" s="1"/>
  <c r="G177" i="29" s="1"/>
  <c r="H3298" i="16"/>
  <c r="G3298" i="16"/>
  <c r="J2525" i="16"/>
  <c r="J3763" i="16"/>
  <c r="H3289" i="16"/>
  <c r="H2585" i="16"/>
  <c r="F3830" i="16"/>
  <c r="I2850" i="16"/>
  <c r="AE108" i="17"/>
  <c r="AE21" i="17"/>
  <c r="AE59" i="17" s="1"/>
  <c r="AE51" i="17" s="1"/>
  <c r="Q6" i="4"/>
  <c r="W74" i="4"/>
  <c r="G781" i="16" s="1"/>
  <c r="Q79" i="4"/>
  <c r="Q104" i="4"/>
  <c r="Q75" i="4"/>
  <c r="Q105" i="4"/>
  <c r="Q150" i="4"/>
  <c r="P23" i="5"/>
  <c r="I4236" i="16" s="1"/>
  <c r="Q190" i="4"/>
  <c r="Q76" i="4"/>
  <c r="H161" i="28"/>
  <c r="Q107" i="4"/>
  <c r="O24" i="32"/>
  <c r="G2572" i="16"/>
  <c r="N2572" i="16"/>
  <c r="H2874" i="16"/>
  <c r="H2890" i="16" s="1"/>
  <c r="Q4" i="4"/>
  <c r="Q350" i="4"/>
  <c r="Q347" i="4"/>
  <c r="Q344" i="4"/>
  <c r="Q357" i="4"/>
  <c r="Q354" i="4"/>
  <c r="H130" i="31"/>
  <c r="H129" i="31"/>
  <c r="H128" i="31"/>
  <c r="H127" i="31"/>
  <c r="H126" i="31"/>
  <c r="H125" i="31"/>
  <c r="E3840" i="16"/>
  <c r="O3840" i="16" s="1"/>
  <c r="O3826" i="16"/>
  <c r="AF49" i="17"/>
  <c r="AF20" i="17"/>
  <c r="R3" i="4"/>
  <c r="R53" i="4"/>
  <c r="P17" i="32"/>
  <c r="H2572" i="16"/>
  <c r="O2572" i="16"/>
  <c r="O223" i="23"/>
  <c r="O26" i="23"/>
  <c r="O40" i="23"/>
  <c r="O37" i="23"/>
  <c r="T63" i="4" s="1"/>
  <c r="T88" i="4" s="1"/>
  <c r="H9" i="31"/>
  <c r="H72" i="31"/>
  <c r="H14" i="31"/>
  <c r="H44" i="31" s="1"/>
  <c r="H61" i="31"/>
  <c r="E25" i="32" s="1"/>
  <c r="J6" i="31"/>
  <c r="H5" i="31"/>
  <c r="I9" i="31"/>
  <c r="I72" i="31"/>
  <c r="I14" i="31"/>
  <c r="I44" i="31" s="1"/>
  <c r="H2858" i="16"/>
  <c r="H2857" i="16" s="1"/>
  <c r="H2865" i="16" s="1"/>
  <c r="G2586" i="16"/>
  <c r="I3772" i="16"/>
  <c r="E3837" i="16"/>
  <c r="G3296" i="16"/>
  <c r="G2876" i="16"/>
  <c r="G2892" i="16" s="1"/>
  <c r="AD115" i="17"/>
  <c r="AD24" i="17"/>
  <c r="AD70" i="17" s="1"/>
  <c r="AD61" i="17" s="1"/>
  <c r="P257" i="4"/>
  <c r="G172" i="28"/>
  <c r="P136" i="4"/>
  <c r="P332" i="4"/>
  <c r="O24" i="5"/>
  <c r="P493" i="4"/>
  <c r="P252" i="4"/>
  <c r="H2876" i="16"/>
  <c r="H2892" i="16" s="1"/>
  <c r="I2858" i="16"/>
  <c r="I2857" i="16" s="1"/>
  <c r="I2865" i="16" s="1"/>
  <c r="H2586" i="16"/>
  <c r="J3772" i="16"/>
  <c r="F3837" i="16"/>
  <c r="H3296" i="16"/>
  <c r="AE115" i="17"/>
  <c r="AE24" i="17"/>
  <c r="AE70" i="17" s="1"/>
  <c r="AE61" i="17" s="1"/>
  <c r="H172" i="28"/>
  <c r="Q136" i="4"/>
  <c r="Q332" i="4"/>
  <c r="P24" i="5"/>
  <c r="Q493" i="4"/>
  <c r="R139" i="4"/>
  <c r="R85" i="4"/>
  <c r="R94" i="4"/>
  <c r="R74" i="4"/>
  <c r="R190" i="4" s="1"/>
  <c r="R84" i="4"/>
  <c r="K114" i="31"/>
  <c r="N43" i="23"/>
  <c r="N288" i="23" s="1"/>
  <c r="N252" i="23"/>
  <c r="O84" i="5"/>
  <c r="P86" i="4"/>
  <c r="P152" i="4"/>
  <c r="H2861" i="16"/>
  <c r="J2516" i="16"/>
  <c r="H2543" i="16"/>
  <c r="L240" i="23"/>
  <c r="J2518" i="16" s="1"/>
  <c r="G2874" i="16"/>
  <c r="G2890" i="16" s="1"/>
  <c r="P4" i="4"/>
  <c r="P347" i="4"/>
  <c r="P344" i="4"/>
  <c r="P357" i="4"/>
  <c r="P354" i="4"/>
  <c r="P350" i="4"/>
  <c r="J8" i="31"/>
  <c r="M253" i="23"/>
  <c r="N2571" i="16"/>
  <c r="G2577" i="16"/>
  <c r="G2548" i="16"/>
  <c r="G2571" i="16"/>
  <c r="O2571" i="16"/>
  <c r="H2577" i="16"/>
  <c r="H2548" i="16"/>
  <c r="H2571" i="16"/>
  <c r="O16" i="32"/>
  <c r="I2525" i="16"/>
  <c r="I3763" i="16"/>
  <c r="G3289" i="16"/>
  <c r="G2585" i="16"/>
  <c r="E3830" i="16"/>
  <c r="H2850" i="16"/>
  <c r="E3566" i="16"/>
  <c r="AD108" i="17"/>
  <c r="AD21" i="17"/>
  <c r="AD59" i="17" s="1"/>
  <c r="AD51" i="17" s="1"/>
  <c r="P6" i="4"/>
  <c r="P75" i="4"/>
  <c r="P105" i="4"/>
  <c r="P150" i="4"/>
  <c r="O23" i="5"/>
  <c r="H4236" i="16" s="1"/>
  <c r="P190" i="4"/>
  <c r="P76" i="4"/>
  <c r="G161" i="28"/>
  <c r="P107" i="4"/>
  <c r="N24" i="32"/>
  <c r="P79" i="4"/>
  <c r="P104" i="4"/>
  <c r="H2570" i="16"/>
  <c r="O2570" i="16"/>
  <c r="H2578" i="16"/>
  <c r="I130" i="31"/>
  <c r="I129" i="31"/>
  <c r="I128" i="31"/>
  <c r="I127" i="31"/>
  <c r="I126" i="31"/>
  <c r="I125" i="31"/>
  <c r="H12" i="31"/>
  <c r="F164" i="29"/>
  <c r="N16" i="32"/>
  <c r="J3757" i="16"/>
  <c r="O20" i="32"/>
  <c r="Q32" i="23"/>
  <c r="Q25" i="23"/>
  <c r="V40" i="4" s="1"/>
  <c r="AJ38" i="17" s="1"/>
  <c r="I2516" i="16"/>
  <c r="G2543" i="16"/>
  <c r="K240" i="23"/>
  <c r="I2518" i="16" s="1"/>
  <c r="J121" i="31"/>
  <c r="J124" i="31" s="1"/>
  <c r="P3823" i="16"/>
  <c r="F3822" i="16"/>
  <c r="G2599" i="16"/>
  <c r="N2599" i="16"/>
  <c r="N3766" i="16"/>
  <c r="O3823" i="16"/>
  <c r="E3822" i="16"/>
  <c r="J11" i="31"/>
  <c r="M264" i="23"/>
  <c r="P32" i="23"/>
  <c r="P25" i="23"/>
  <c r="U40" i="4" s="1"/>
  <c r="AI38" i="17" s="1"/>
  <c r="G2570" i="16"/>
  <c r="N2570" i="16"/>
  <c r="G2578" i="16"/>
  <c r="K3" i="31"/>
  <c r="N245" i="23"/>
  <c r="N239" i="23" s="1"/>
  <c r="N240" i="23" s="1"/>
  <c r="Q91" i="4"/>
  <c r="W91" i="4" s="1"/>
  <c r="I781" i="16" s="1"/>
  <c r="H2599" i="16"/>
  <c r="O2599" i="16"/>
  <c r="R88" i="4"/>
  <c r="S90" i="4" s="1"/>
  <c r="W84" i="4"/>
  <c r="P84" i="5"/>
  <c r="Q86" i="4"/>
  <c r="Q152" i="4"/>
  <c r="M3558" i="16"/>
  <c r="E3557" i="16"/>
  <c r="M3557" i="16" s="1"/>
  <c r="R123" i="4"/>
  <c r="R126" i="4"/>
  <c r="R121" i="4"/>
  <c r="F4263" i="16" s="1"/>
  <c r="F4272" i="16" s="1"/>
  <c r="F3840" i="16"/>
  <c r="P3840" i="16" s="1"/>
  <c r="P3826" i="16"/>
  <c r="P89" i="4"/>
  <c r="P90" i="4"/>
  <c r="I12" i="31"/>
  <c r="G164" i="29"/>
  <c r="I3757" i="16"/>
  <c r="D48" i="6"/>
  <c r="N20" i="32"/>
  <c r="R20" i="32" l="1"/>
  <c r="R16" i="32"/>
  <c r="S91" i="4"/>
  <c r="AG108" i="17"/>
  <c r="R23" i="5"/>
  <c r="H13" i="32" s="1"/>
  <c r="AG21" i="17"/>
  <c r="AG59" i="17" s="1"/>
  <c r="AG51" i="17" s="1"/>
  <c r="AH49" i="17"/>
  <c r="AH20" i="17"/>
  <c r="S86" i="4"/>
  <c r="R84" i="5"/>
  <c r="K11" i="31"/>
  <c r="I164" i="29" s="1"/>
  <c r="S75" i="4"/>
  <c r="R6" i="28"/>
  <c r="M6" i="28" s="1"/>
  <c r="M9" i="28"/>
  <c r="AZ194" i="20"/>
  <c r="AZ347" i="20" s="1"/>
  <c r="W35" i="28"/>
  <c r="R13" i="28" s="1"/>
  <c r="M13" i="28" s="1"/>
  <c r="T89" i="4"/>
  <c r="T90" i="4"/>
  <c r="V59" i="4"/>
  <c r="V60" i="4" s="1"/>
  <c r="V58" i="4"/>
  <c r="V57" i="4"/>
  <c r="V55" i="4"/>
  <c r="V52" i="4"/>
  <c r="S126" i="4"/>
  <c r="S121" i="4"/>
  <c r="S123" i="4"/>
  <c r="S152" i="4" s="1"/>
  <c r="U58" i="4"/>
  <c r="U59" i="4"/>
  <c r="U60" i="4" s="1"/>
  <c r="U55" i="4"/>
  <c r="U56" i="4" s="1"/>
  <c r="U57" i="4"/>
  <c r="U52" i="4"/>
  <c r="S347" i="4"/>
  <c r="S158" i="4" s="1"/>
  <c r="S354" i="4"/>
  <c r="S344" i="4"/>
  <c r="S350" i="4"/>
  <c r="S357" i="4"/>
  <c r="S170" i="4" s="1"/>
  <c r="T94" i="4"/>
  <c r="T85" i="4"/>
  <c r="T84" i="4"/>
  <c r="T74" i="4"/>
  <c r="S4" i="4"/>
  <c r="S6" i="4"/>
  <c r="S190" i="4"/>
  <c r="S76" i="4"/>
  <c r="S105" i="4"/>
  <c r="S107" i="4"/>
  <c r="S79" i="4"/>
  <c r="S81" i="4" s="1"/>
  <c r="S104" i="4"/>
  <c r="T53" i="4"/>
  <c r="T3" i="4"/>
  <c r="O263" i="23"/>
  <c r="O264" i="23" s="1"/>
  <c r="T110" i="4"/>
  <c r="T139" i="4" s="1"/>
  <c r="D4272" i="16"/>
  <c r="G4263" i="16"/>
  <c r="G4272" i="16" s="1"/>
  <c r="I4235" i="16"/>
  <c r="E4262" i="16"/>
  <c r="H4235" i="16"/>
  <c r="D4262" i="16"/>
  <c r="P20" i="32"/>
  <c r="J4233" i="16"/>
  <c r="AZ211" i="20"/>
  <c r="I71" i="31"/>
  <c r="G157" i="29" s="1"/>
  <c r="G166" i="29" s="1"/>
  <c r="AZ291" i="20"/>
  <c r="H163" i="28"/>
  <c r="Q81" i="4"/>
  <c r="Q82" i="4" s="1"/>
  <c r="G163" i="28"/>
  <c r="P81" i="4"/>
  <c r="P82" i="4" s="1"/>
  <c r="H2866" i="16"/>
  <c r="G3303" i="16"/>
  <c r="I141" i="31"/>
  <c r="I98" i="31" s="1"/>
  <c r="G2579" i="16"/>
  <c r="H2579" i="16"/>
  <c r="H141" i="31"/>
  <c r="N2600" i="16"/>
  <c r="G2600" i="16"/>
  <c r="AF115" i="17"/>
  <c r="AF24" i="17"/>
  <c r="AF70" i="17" s="1"/>
  <c r="AF61" i="17" s="1"/>
  <c r="R493" i="4"/>
  <c r="R136" i="4"/>
  <c r="R332" i="4"/>
  <c r="Q24" i="5"/>
  <c r="G14" i="32" s="1"/>
  <c r="P223" i="23"/>
  <c r="P26" i="23"/>
  <c r="P40" i="23"/>
  <c r="P37" i="23"/>
  <c r="U63" i="4" s="1"/>
  <c r="U88" i="4" s="1"/>
  <c r="I73" i="31"/>
  <c r="I75" i="31" s="1"/>
  <c r="Q37" i="23"/>
  <c r="V63" i="4" s="1"/>
  <c r="Q223" i="23"/>
  <c r="Q26" i="23"/>
  <c r="Q40" i="23"/>
  <c r="E3574" i="16"/>
  <c r="G2587" i="16"/>
  <c r="AD25" i="17"/>
  <c r="AD26" i="17" s="1"/>
  <c r="P224" i="4"/>
  <c r="H1750" i="16"/>
  <c r="I2229" i="16"/>
  <c r="I2234" i="16" s="1"/>
  <c r="I2414" i="16"/>
  <c r="I2419" i="16" s="1"/>
  <c r="J2334" i="16"/>
  <c r="J2339" i="16" s="1"/>
  <c r="G3080" i="16"/>
  <c r="G3085" i="16" s="1"/>
  <c r="G3134" i="16" s="1"/>
  <c r="F3219" i="16"/>
  <c r="F3232" i="16" s="1"/>
  <c r="P16" i="32"/>
  <c r="Q158" i="4"/>
  <c r="O2600" i="16"/>
  <c r="H2600" i="16"/>
  <c r="H47" i="31"/>
  <c r="F177" i="29" s="1"/>
  <c r="H71" i="31"/>
  <c r="E3829" i="16"/>
  <c r="O3830" i="16"/>
  <c r="E3844" i="16"/>
  <c r="O3844" i="16" s="1"/>
  <c r="K8" i="31"/>
  <c r="N253" i="23"/>
  <c r="G2758" i="16"/>
  <c r="G176" i="28"/>
  <c r="E14" i="32"/>
  <c r="L114" i="31"/>
  <c r="O43" i="23"/>
  <c r="O288" i="23" s="1"/>
  <c r="O252" i="23"/>
  <c r="Q159" i="4"/>
  <c r="H3303" i="16"/>
  <c r="J3781" i="16"/>
  <c r="N3763" i="16"/>
  <c r="J3762" i="16"/>
  <c r="O2568" i="16"/>
  <c r="H2568" i="16"/>
  <c r="I3771" i="16"/>
  <c r="M3771" i="16" s="1"/>
  <c r="M3772" i="16"/>
  <c r="J71" i="31"/>
  <c r="J47" i="31"/>
  <c r="H177" i="29" s="1"/>
  <c r="H2757" i="16"/>
  <c r="H175" i="28"/>
  <c r="F13" i="32"/>
  <c r="H2875" i="16"/>
  <c r="Q7" i="4"/>
  <c r="Q10" i="4"/>
  <c r="Q409" i="4" s="1"/>
  <c r="Q459" i="4"/>
  <c r="Q386" i="4"/>
  <c r="K6" i="31"/>
  <c r="P159" i="4"/>
  <c r="P352" i="4"/>
  <c r="Q352" i="4"/>
  <c r="K121" i="31"/>
  <c r="Q333" i="4"/>
  <c r="Q334" i="4"/>
  <c r="Q206" i="4" s="1"/>
  <c r="I4246" i="16" s="1"/>
  <c r="Q335" i="4"/>
  <c r="J3771" i="16"/>
  <c r="N3772" i="16"/>
  <c r="I3775" i="16"/>
  <c r="M3775" i="16" s="1"/>
  <c r="M3757" i="16"/>
  <c r="I1750" i="16"/>
  <c r="J2229" i="16"/>
  <c r="J2234" i="16" s="1"/>
  <c r="J2414" i="16"/>
  <c r="J2419" i="16" s="1"/>
  <c r="K2334" i="16"/>
  <c r="K2339" i="16" s="1"/>
  <c r="H3080" i="16"/>
  <c r="H3085" i="16" s="1"/>
  <c r="H3134" i="16" s="1"/>
  <c r="G3219" i="16"/>
  <c r="G3232" i="16" s="1"/>
  <c r="G2875" i="16"/>
  <c r="P7" i="4"/>
  <c r="P10" i="4"/>
  <c r="P409" i="4" s="1"/>
  <c r="P459" i="4"/>
  <c r="P386" i="4"/>
  <c r="I3781" i="16"/>
  <c r="M3763" i="16"/>
  <c r="I3762" i="16"/>
  <c r="P356" i="4"/>
  <c r="Q356" i="4"/>
  <c r="P171" i="4"/>
  <c r="J2522" i="16"/>
  <c r="J2526" i="16" s="1"/>
  <c r="R152" i="4"/>
  <c r="Q84" i="5"/>
  <c r="R86" i="4"/>
  <c r="H2601" i="16"/>
  <c r="O2601" i="16"/>
  <c r="G2601" i="16"/>
  <c r="N2601" i="16"/>
  <c r="L3" i="31"/>
  <c r="O245" i="23"/>
  <c r="O239" i="23" s="1"/>
  <c r="O240" i="23" s="1"/>
  <c r="H2587" i="16"/>
  <c r="AE25" i="17"/>
  <c r="AE26" i="17" s="1"/>
  <c r="Q224" i="4"/>
  <c r="W150" i="4"/>
  <c r="J12" i="31"/>
  <c r="H164" i="29"/>
  <c r="O2573" i="16"/>
  <c r="H2573" i="16"/>
  <c r="P334" i="4"/>
  <c r="P206" i="4" s="1"/>
  <c r="AZ366" i="20" s="1"/>
  <c r="P335" i="4"/>
  <c r="P333" i="4"/>
  <c r="Q192" i="4"/>
  <c r="Q196" i="4"/>
  <c r="J125" i="31"/>
  <c r="J130" i="31"/>
  <c r="J129" i="31"/>
  <c r="J128" i="31"/>
  <c r="J127" i="31"/>
  <c r="J126" i="31"/>
  <c r="G165" i="29"/>
  <c r="K4" i="31"/>
  <c r="F165" i="29"/>
  <c r="P170" i="4"/>
  <c r="P359" i="4"/>
  <c r="Q359" i="4"/>
  <c r="AF21" i="17"/>
  <c r="AF59" i="17" s="1"/>
  <c r="AF51" i="17" s="1"/>
  <c r="AF108" i="17"/>
  <c r="R6" i="4"/>
  <c r="P24" i="32"/>
  <c r="R24" i="32" s="1"/>
  <c r="R79" i="4"/>
  <c r="R104" i="4"/>
  <c r="R75" i="4"/>
  <c r="R105" i="4"/>
  <c r="R150" i="4"/>
  <c r="Q23" i="5"/>
  <c r="R76" i="4"/>
  <c r="R107" i="4"/>
  <c r="Q171" i="4"/>
  <c r="AE119" i="17"/>
  <c r="AE118" i="17"/>
  <c r="J14" i="31"/>
  <c r="J44" i="31" s="1"/>
  <c r="J9" i="31"/>
  <c r="J72" i="31"/>
  <c r="H2758" i="16"/>
  <c r="H176" i="28"/>
  <c r="F14" i="32"/>
  <c r="F3836" i="16"/>
  <c r="P3837" i="16"/>
  <c r="E3836" i="16"/>
  <c r="O3837" i="16"/>
  <c r="J3775" i="16"/>
  <c r="N3757" i="16"/>
  <c r="R89" i="4"/>
  <c r="R90" i="4"/>
  <c r="N2568" i="16"/>
  <c r="G2568" i="16"/>
  <c r="J1023" i="16"/>
  <c r="P192" i="4"/>
  <c r="P194" i="4"/>
  <c r="J1026" i="16" s="1"/>
  <c r="P196" i="4"/>
  <c r="AD118" i="17"/>
  <c r="AD119" i="17"/>
  <c r="N2573" i="16"/>
  <c r="G2573" i="16"/>
  <c r="P157" i="4"/>
  <c r="P346" i="4"/>
  <c r="Q346" i="4"/>
  <c r="G174" i="29"/>
  <c r="F174" i="29"/>
  <c r="Q170" i="4"/>
  <c r="I2866" i="16"/>
  <c r="R4" i="4"/>
  <c r="R350" i="4"/>
  <c r="R347" i="4"/>
  <c r="R344" i="4"/>
  <c r="R357" i="4"/>
  <c r="R354" i="4"/>
  <c r="D45" i="6"/>
  <c r="I2522" i="16"/>
  <c r="I2517" i="16" s="1"/>
  <c r="H1877" i="16"/>
  <c r="G2757" i="16"/>
  <c r="G175" i="28"/>
  <c r="E13" i="32"/>
  <c r="E3565" i="16"/>
  <c r="M3565" i="16" s="1"/>
  <c r="M3566" i="16"/>
  <c r="P349" i="4"/>
  <c r="Q349" i="4"/>
  <c r="P158" i="4"/>
  <c r="Q252" i="4"/>
  <c r="P254" i="4"/>
  <c r="G160" i="29"/>
  <c r="F160" i="29"/>
  <c r="R91" i="4"/>
  <c r="Q157" i="4"/>
  <c r="F3829" i="16"/>
  <c r="P3830" i="16"/>
  <c r="F3844" i="16"/>
  <c r="P3844" i="16" s="1"/>
  <c r="I13" i="32" l="1"/>
  <c r="S150" i="4"/>
  <c r="AG24" i="17"/>
  <c r="AG70" i="17" s="1"/>
  <c r="AG61" i="17" s="1"/>
  <c r="AG115" i="17"/>
  <c r="R24" i="5"/>
  <c r="H14" i="32" s="1"/>
  <c r="I14" i="32" s="1"/>
  <c r="T91" i="4"/>
  <c r="S23" i="5"/>
  <c r="AH108" i="17"/>
  <c r="AH21" i="17"/>
  <c r="AH59" i="17" s="1"/>
  <c r="AH51" i="17" s="1"/>
  <c r="T86" i="4"/>
  <c r="S84" i="5"/>
  <c r="AI20" i="17"/>
  <c r="AI49" i="17"/>
  <c r="AJ49" i="17"/>
  <c r="AJ20" i="17"/>
  <c r="AG118" i="17"/>
  <c r="AG119" i="17"/>
  <c r="K12" i="31"/>
  <c r="L11" i="31"/>
  <c r="L12" i="31" s="1"/>
  <c r="AZ297" i="20"/>
  <c r="R15" i="28"/>
  <c r="AZ216" i="20"/>
  <c r="W38" i="28"/>
  <c r="W46" i="28" s="1"/>
  <c r="H4246" i="16"/>
  <c r="V56" i="4"/>
  <c r="T357" i="4"/>
  <c r="T354" i="4"/>
  <c r="T356" i="4" s="1"/>
  <c r="T4" i="4"/>
  <c r="T344" i="4"/>
  <c r="T157" i="4" s="1"/>
  <c r="T347" i="4"/>
  <c r="T350" i="4"/>
  <c r="T159" i="4" s="1"/>
  <c r="S192" i="4"/>
  <c r="S196" i="4"/>
  <c r="S10" i="4"/>
  <c r="S409" i="4" s="1"/>
  <c r="S386" i="4"/>
  <c r="S459" i="4"/>
  <c r="U89" i="4"/>
  <c r="U90" i="4"/>
  <c r="S7" i="4"/>
  <c r="V94" i="4"/>
  <c r="V85" i="4"/>
  <c r="V84" i="4"/>
  <c r="V74" i="4"/>
  <c r="S159" i="4"/>
  <c r="V88" i="4"/>
  <c r="Q263" i="23"/>
  <c r="Q264" i="23" s="1"/>
  <c r="V110" i="4"/>
  <c r="T107" i="4"/>
  <c r="T6" i="4"/>
  <c r="T105" i="4"/>
  <c r="T104" i="4"/>
  <c r="T76" i="4"/>
  <c r="T75" i="4"/>
  <c r="T190" i="4"/>
  <c r="T79" i="4"/>
  <c r="T81" i="4" s="1"/>
  <c r="T82" i="4" s="1"/>
  <c r="S157" i="4"/>
  <c r="V53" i="4"/>
  <c r="V3" i="4"/>
  <c r="U94" i="4"/>
  <c r="U85" i="4"/>
  <c r="U74" i="4"/>
  <c r="U84" i="4"/>
  <c r="S171" i="4"/>
  <c r="S173" i="4" s="1"/>
  <c r="P263" i="23"/>
  <c r="M11" i="31" s="1"/>
  <c r="U110" i="4"/>
  <c r="U139" i="4" s="1"/>
  <c r="T126" i="4"/>
  <c r="T123" i="4"/>
  <c r="T152" i="4" s="1"/>
  <c r="T121" i="4"/>
  <c r="S493" i="4"/>
  <c r="S136" i="4"/>
  <c r="S332" i="4"/>
  <c r="U3" i="4"/>
  <c r="U53" i="4"/>
  <c r="D4264" i="16"/>
  <c r="D4271" i="16"/>
  <c r="E4264" i="16"/>
  <c r="E4271" i="16"/>
  <c r="AZ285" i="20"/>
  <c r="G4233" i="16"/>
  <c r="G4236" i="16" s="1"/>
  <c r="AZ236" i="20"/>
  <c r="V23" i="5"/>
  <c r="J4236" i="16"/>
  <c r="P16" i="4"/>
  <c r="J1038" i="16"/>
  <c r="R81" i="4"/>
  <c r="R82" i="4" s="1"/>
  <c r="S82" i="4"/>
  <c r="R157" i="4"/>
  <c r="S346" i="4"/>
  <c r="R159" i="4"/>
  <c r="S352" i="4"/>
  <c r="R170" i="4"/>
  <c r="S359" i="4"/>
  <c r="R158" i="4"/>
  <c r="S349" i="4"/>
  <c r="R171" i="4"/>
  <c r="S356" i="4"/>
  <c r="Q173" i="4"/>
  <c r="F3843" i="16"/>
  <c r="N3771" i="16"/>
  <c r="N3775" i="16"/>
  <c r="L4" i="31"/>
  <c r="L5" i="31" s="1"/>
  <c r="J141" i="31"/>
  <c r="J98" i="31" s="1"/>
  <c r="J2517" i="16"/>
  <c r="Q326" i="4"/>
  <c r="R346" i="4"/>
  <c r="Q336" i="4"/>
  <c r="Q204" i="4" s="1"/>
  <c r="I4244" i="16" s="1"/>
  <c r="R356" i="4"/>
  <c r="P173" i="4"/>
  <c r="H160" i="29"/>
  <c r="M3781" i="16"/>
  <c r="I3783" i="16"/>
  <c r="M3783" i="16" s="1"/>
  <c r="H2877" i="16"/>
  <c r="H2893" i="16" s="1"/>
  <c r="H2891" i="16"/>
  <c r="N3781" i="16"/>
  <c r="J3783" i="16"/>
  <c r="J1028" i="16"/>
  <c r="L6" i="31"/>
  <c r="J2506" i="16"/>
  <c r="J2509" i="16"/>
  <c r="J2513" i="16"/>
  <c r="K5" i="31"/>
  <c r="N2602" i="16"/>
  <c r="G2602" i="16"/>
  <c r="M114" i="31"/>
  <c r="P252" i="23"/>
  <c r="P43" i="23"/>
  <c r="P288" i="23" s="1"/>
  <c r="R352" i="4"/>
  <c r="E3573" i="16"/>
  <c r="M3573" i="16" s="1"/>
  <c r="M3574" i="16"/>
  <c r="F161" i="29"/>
  <c r="F168" i="29"/>
  <c r="H165" i="29"/>
  <c r="I2506" i="16"/>
  <c r="I2509" i="16"/>
  <c r="I2513" i="16"/>
  <c r="H174" i="29"/>
  <c r="Q1750" i="16"/>
  <c r="I1757" i="16"/>
  <c r="I1767" i="16"/>
  <c r="K72" i="31"/>
  <c r="K14" i="31"/>
  <c r="K44" i="31" s="1"/>
  <c r="K9" i="31"/>
  <c r="R349" i="4"/>
  <c r="G161" i="29"/>
  <c r="G168" i="29"/>
  <c r="G162" i="29"/>
  <c r="Q361" i="4"/>
  <c r="I2526" i="16"/>
  <c r="P326" i="4"/>
  <c r="P325" i="4" s="1"/>
  <c r="K126" i="31"/>
  <c r="K125" i="31"/>
  <c r="K130" i="31"/>
  <c r="K129" i="31"/>
  <c r="K128" i="31"/>
  <c r="K127" i="31"/>
  <c r="L8" i="31"/>
  <c r="O253" i="23"/>
  <c r="P1750" i="16"/>
  <c r="H1757" i="16"/>
  <c r="H1767" i="16"/>
  <c r="M3" i="31"/>
  <c r="P245" i="23"/>
  <c r="P239" i="23" s="1"/>
  <c r="P240" i="23" s="1"/>
  <c r="I1973" i="16"/>
  <c r="I1910" i="16"/>
  <c r="P361" i="4"/>
  <c r="R196" i="4"/>
  <c r="R192" i="4"/>
  <c r="G2877" i="16"/>
  <c r="G2893" i="16" s="1"/>
  <c r="G2891" i="16"/>
  <c r="K124" i="31"/>
  <c r="I165" i="29"/>
  <c r="N3" i="31"/>
  <c r="Q245" i="23"/>
  <c r="Q239" i="23" s="1"/>
  <c r="P162" i="4"/>
  <c r="P246" i="4"/>
  <c r="Q248" i="4"/>
  <c r="P280" i="4"/>
  <c r="P282" i="4" s="1"/>
  <c r="P255" i="4"/>
  <c r="G13" i="32"/>
  <c r="R7" i="4"/>
  <c r="R10" i="4"/>
  <c r="R409" i="4" s="1"/>
  <c r="R386" i="4"/>
  <c r="R459" i="4"/>
  <c r="J3780" i="16"/>
  <c r="N3762" i="16"/>
  <c r="L121" i="31"/>
  <c r="E3843" i="16"/>
  <c r="N114" i="31"/>
  <c r="Q252" i="23"/>
  <c r="Q43" i="23"/>
  <c r="Q288" i="23" s="1"/>
  <c r="R333" i="4"/>
  <c r="R334" i="4"/>
  <c r="R206" i="4" s="1"/>
  <c r="J4246" i="16" s="1"/>
  <c r="R335" i="4"/>
  <c r="I3780" i="16"/>
  <c r="M3780" i="16" s="1"/>
  <c r="M3762" i="16"/>
  <c r="R252" i="4"/>
  <c r="S252" i="4" s="1"/>
  <c r="R359" i="4"/>
  <c r="AF25" i="17"/>
  <c r="AF26" i="17" s="1"/>
  <c r="R224" i="4"/>
  <c r="AF119" i="17"/>
  <c r="AF118" i="17"/>
  <c r="P336" i="4"/>
  <c r="P204" i="4" s="1"/>
  <c r="AZ364" i="20" s="1"/>
  <c r="O2602" i="16"/>
  <c r="H2602" i="16"/>
  <c r="J73" i="31"/>
  <c r="J75" i="31" s="1"/>
  <c r="H157" i="29"/>
  <c r="H158" i="29" s="1"/>
  <c r="H73" i="31"/>
  <c r="H75" i="31" s="1"/>
  <c r="H80" i="31" s="1"/>
  <c r="F157" i="29"/>
  <c r="G158" i="29" s="1"/>
  <c r="C314" i="23" l="1"/>
  <c r="AH119" i="17"/>
  <c r="AH118" i="17"/>
  <c r="U86" i="4"/>
  <c r="T84" i="5"/>
  <c r="T23" i="5"/>
  <c r="AI21" i="17"/>
  <c r="AI59" i="17" s="1"/>
  <c r="AI51" i="17" s="1"/>
  <c r="AI108" i="17"/>
  <c r="T150" i="4"/>
  <c r="AH24" i="17"/>
  <c r="AH70" i="17" s="1"/>
  <c r="AH61" i="17" s="1"/>
  <c r="S24" i="5"/>
  <c r="AH115" i="17"/>
  <c r="V91" i="4"/>
  <c r="AJ21" i="17"/>
  <c r="AJ59" i="17" s="1"/>
  <c r="AJ51" i="17" s="1"/>
  <c r="AJ108" i="17"/>
  <c r="U23" i="5"/>
  <c r="V86" i="4"/>
  <c r="U84" i="5"/>
  <c r="S224" i="4"/>
  <c r="AG25" i="17"/>
  <c r="AG26" i="17" s="1"/>
  <c r="J164" i="29"/>
  <c r="J165" i="29" s="1"/>
  <c r="AZ314" i="20"/>
  <c r="W43" i="28"/>
  <c r="R18" i="28"/>
  <c r="M18" i="28" s="1"/>
  <c r="M15" i="28"/>
  <c r="H4244" i="16"/>
  <c r="N11" i="31"/>
  <c r="N12" i="31" s="1"/>
  <c r="T352" i="4"/>
  <c r="T346" i="4"/>
  <c r="U354" i="4"/>
  <c r="U356" i="4" s="1"/>
  <c r="U4" i="4"/>
  <c r="U344" i="4"/>
  <c r="U357" i="4"/>
  <c r="U350" i="4"/>
  <c r="U347" i="4"/>
  <c r="P264" i="23"/>
  <c r="T349" i="4"/>
  <c r="T158" i="4"/>
  <c r="V79" i="4"/>
  <c r="V81" i="4" s="1"/>
  <c r="V107" i="4"/>
  <c r="V75" i="4"/>
  <c r="V6" i="4"/>
  <c r="V105" i="4"/>
  <c r="V104" i="4"/>
  <c r="V76" i="4"/>
  <c r="V190" i="4"/>
  <c r="S333" i="4"/>
  <c r="S334" i="4"/>
  <c r="S206" i="4" s="1"/>
  <c r="S335" i="4"/>
  <c r="I4264" i="16"/>
  <c r="D4273" i="16" s="1"/>
  <c r="T136" i="4"/>
  <c r="T332" i="4"/>
  <c r="T493" i="4"/>
  <c r="U190" i="4"/>
  <c r="U105" i="4"/>
  <c r="U76" i="4"/>
  <c r="U75" i="4"/>
  <c r="U79" i="4"/>
  <c r="U81" i="4" s="1"/>
  <c r="U82" i="4" s="1"/>
  <c r="U6" i="4"/>
  <c r="U107" i="4"/>
  <c r="U104" i="4"/>
  <c r="T386" i="4"/>
  <c r="T10" i="4"/>
  <c r="T409" i="4" s="1"/>
  <c r="T7" i="4"/>
  <c r="T459" i="4"/>
  <c r="T171" i="4"/>
  <c r="U91" i="4"/>
  <c r="V126" i="4"/>
  <c r="V123" i="4"/>
  <c r="V152" i="4" s="1"/>
  <c r="V121" i="4"/>
  <c r="V139" i="4"/>
  <c r="T359" i="4"/>
  <c r="T170" i="4"/>
  <c r="V89" i="4"/>
  <c r="V90" i="4"/>
  <c r="V344" i="4"/>
  <c r="V157" i="4" s="1"/>
  <c r="V354" i="4"/>
  <c r="V171" i="4" s="1"/>
  <c r="V350" i="4"/>
  <c r="V159" i="4" s="1"/>
  <c r="V357" i="4"/>
  <c r="V170" i="4" s="1"/>
  <c r="V347" i="4"/>
  <c r="V158" i="4" s="1"/>
  <c r="V4" i="4"/>
  <c r="U126" i="4"/>
  <c r="U123" i="4"/>
  <c r="U152" i="4" s="1"/>
  <c r="U121" i="4"/>
  <c r="T192" i="4"/>
  <c r="T196" i="4"/>
  <c r="AZ288" i="20"/>
  <c r="AZ237" i="20"/>
  <c r="J4235" i="16"/>
  <c r="F4262" i="16"/>
  <c r="G4262" i="16" s="1"/>
  <c r="G4271" i="16" s="1"/>
  <c r="BG366" i="20"/>
  <c r="G4246" i="16"/>
  <c r="AE134" i="17"/>
  <c r="C4247" i="16"/>
  <c r="C4252" i="16" s="1"/>
  <c r="P199" i="4"/>
  <c r="H4239" i="16" s="1"/>
  <c r="G4239" i="16" s="1"/>
  <c r="P410" i="4"/>
  <c r="P226" i="4" s="1"/>
  <c r="R173" i="4"/>
  <c r="S361" i="4"/>
  <c r="T252" i="4"/>
  <c r="M4" i="31"/>
  <c r="N4" i="31" s="1"/>
  <c r="N5" i="31" s="1"/>
  <c r="Q240" i="23"/>
  <c r="R361" i="4"/>
  <c r="R200" i="4" s="1"/>
  <c r="K141" i="31"/>
  <c r="K98" i="31" s="1"/>
  <c r="R336" i="4"/>
  <c r="R204" i="4" s="1"/>
  <c r="J4244" i="16" s="1"/>
  <c r="L127" i="31"/>
  <c r="L126" i="31"/>
  <c r="L125" i="31"/>
  <c r="L130" i="31"/>
  <c r="L129" i="31"/>
  <c r="L128" i="31"/>
  <c r="P1757" i="16"/>
  <c r="P1776" i="16" s="1"/>
  <c r="X1750" i="16"/>
  <c r="X1757" i="16" s="1"/>
  <c r="X1776" i="16" s="1"/>
  <c r="I160" i="29"/>
  <c r="F170" i="29"/>
  <c r="F169" i="29"/>
  <c r="L124" i="31"/>
  <c r="N6" i="31"/>
  <c r="AD35" i="17"/>
  <c r="AC35" i="14"/>
  <c r="L72" i="31"/>
  <c r="L14" i="31"/>
  <c r="L44" i="31" s="1"/>
  <c r="L9" i="31"/>
  <c r="P216" i="4"/>
  <c r="J1046" i="16" s="1"/>
  <c r="Q325" i="4"/>
  <c r="Q216" i="4" s="1"/>
  <c r="M8" i="31"/>
  <c r="P253" i="23"/>
  <c r="J1036" i="16"/>
  <c r="AD134" i="17"/>
  <c r="F158" i="29"/>
  <c r="F166" i="29"/>
  <c r="R326" i="4"/>
  <c r="N3780" i="16"/>
  <c r="Q1757" i="16"/>
  <c r="Q1776" i="16" s="1"/>
  <c r="Y1750" i="16"/>
  <c r="Y1757" i="16" s="1"/>
  <c r="Y1776" i="16" s="1"/>
  <c r="M12" i="31"/>
  <c r="M121" i="31"/>
  <c r="M124" i="31" s="1"/>
  <c r="N121" i="31"/>
  <c r="H82" i="31"/>
  <c r="H83" i="31" s="1"/>
  <c r="E314" i="23"/>
  <c r="F314" i="23" s="1"/>
  <c r="Q227" i="4"/>
  <c r="Q200" i="4"/>
  <c r="L47" i="31"/>
  <c r="J177" i="29" s="1"/>
  <c r="L71" i="31"/>
  <c r="N8" i="31"/>
  <c r="Q253" i="23"/>
  <c r="Q387" i="4"/>
  <c r="Q244" i="4"/>
  <c r="Q460" i="4"/>
  <c r="M6" i="31"/>
  <c r="H166" i="29"/>
  <c r="G169" i="29"/>
  <c r="G170" i="29"/>
  <c r="K71" i="31"/>
  <c r="K47" i="31"/>
  <c r="I177" i="29" s="1"/>
  <c r="H162" i="29"/>
  <c r="H161" i="29"/>
  <c r="H168" i="29"/>
  <c r="P227" i="4"/>
  <c r="P200" i="4"/>
  <c r="AZ357" i="20" s="1"/>
  <c r="I174" i="29"/>
  <c r="F162" i="29"/>
  <c r="N3783" i="16"/>
  <c r="AI118" i="17" l="1"/>
  <c r="AI119" i="17"/>
  <c r="V150" i="4"/>
  <c r="AJ24" i="17"/>
  <c r="AJ70" i="17" s="1"/>
  <c r="AJ61" i="17" s="1"/>
  <c r="AJ115" i="17"/>
  <c r="U24" i="5"/>
  <c r="AJ118" i="17"/>
  <c r="AJ119" i="17"/>
  <c r="U150" i="4"/>
  <c r="AI24" i="17"/>
  <c r="AI70" i="17" s="1"/>
  <c r="AI61" i="17" s="1"/>
  <c r="T24" i="5"/>
  <c r="AI115" i="17"/>
  <c r="T224" i="4"/>
  <c r="AH25" i="17"/>
  <c r="AH26" i="17" s="1"/>
  <c r="R22" i="28"/>
  <c r="M22" i="28" s="1"/>
  <c r="W50" i="28"/>
  <c r="T173" i="4"/>
  <c r="T361" i="4"/>
  <c r="T200" i="4" s="1"/>
  <c r="AH137" i="17" s="1"/>
  <c r="V82" i="4"/>
  <c r="J4264" i="16"/>
  <c r="E4273" i="16" s="1"/>
  <c r="U332" i="4"/>
  <c r="U136" i="4"/>
  <c r="U493" i="4"/>
  <c r="U192" i="4"/>
  <c r="U196" i="4"/>
  <c r="U352" i="4"/>
  <c r="U159" i="4"/>
  <c r="V352" i="4"/>
  <c r="V459" i="4"/>
  <c r="V386" i="4"/>
  <c r="V7" i="4"/>
  <c r="V10" i="4"/>
  <c r="V409" i="4" s="1"/>
  <c r="U158" i="4"/>
  <c r="V349" i="4"/>
  <c r="T334" i="4"/>
  <c r="T206" i="4" s="1"/>
  <c r="T333" i="4"/>
  <c r="T335" i="4"/>
  <c r="V196" i="4"/>
  <c r="V192" i="4"/>
  <c r="U359" i="4"/>
  <c r="U170" i="4"/>
  <c r="V359" i="4"/>
  <c r="S326" i="4"/>
  <c r="U10" i="4"/>
  <c r="U409" i="4" s="1"/>
  <c r="U386" i="4"/>
  <c r="U459" i="4"/>
  <c r="U7" i="4"/>
  <c r="U349" i="4"/>
  <c r="U346" i="4"/>
  <c r="U157" i="4"/>
  <c r="V346" i="4"/>
  <c r="K4264" i="16"/>
  <c r="V332" i="4"/>
  <c r="V493" i="4"/>
  <c r="V136" i="4"/>
  <c r="V173" i="4"/>
  <c r="S336" i="4"/>
  <c r="S204" i="4" s="1"/>
  <c r="AG134" i="17" s="1"/>
  <c r="U171" i="4"/>
  <c r="V356" i="4"/>
  <c r="F4264" i="16"/>
  <c r="F4271" i="16"/>
  <c r="BG364" i="20"/>
  <c r="G4244" i="16"/>
  <c r="M5" i="31"/>
  <c r="M71" i="31" s="1"/>
  <c r="M73" i="31" s="1"/>
  <c r="H4240" i="16"/>
  <c r="AF134" i="17"/>
  <c r="AE137" i="17"/>
  <c r="I4240" i="16"/>
  <c r="AF137" i="17"/>
  <c r="J4240" i="16"/>
  <c r="J1031" i="16"/>
  <c r="AD136" i="17"/>
  <c r="R227" i="4"/>
  <c r="U252" i="4"/>
  <c r="S227" i="4"/>
  <c r="S200" i="4"/>
  <c r="AG137" i="17" s="1"/>
  <c r="G314" i="23"/>
  <c r="G3" i="6" s="1"/>
  <c r="D3" i="6" s="1"/>
  <c r="K73" i="31"/>
  <c r="K75" i="31" s="1"/>
  <c r="I157" i="29"/>
  <c r="I162" i="29" s="1"/>
  <c r="Q12" i="4"/>
  <c r="Q245" i="4"/>
  <c r="Q253" i="4"/>
  <c r="Q257" i="4"/>
  <c r="J160" i="29"/>
  <c r="L73" i="31"/>
  <c r="L75" i="31" s="1"/>
  <c r="J157" i="29"/>
  <c r="J1032" i="16"/>
  <c r="AD137" i="17"/>
  <c r="N129" i="31"/>
  <c r="N128" i="31"/>
  <c r="N127" i="31"/>
  <c r="N126" i="31"/>
  <c r="N125" i="31"/>
  <c r="N130" i="31"/>
  <c r="M72" i="31"/>
  <c r="M14" i="31"/>
  <c r="M44" i="31" s="1"/>
  <c r="M9" i="31"/>
  <c r="I161" i="29"/>
  <c r="I168" i="29"/>
  <c r="N124" i="31"/>
  <c r="R325" i="4"/>
  <c r="M128" i="31"/>
  <c r="M127" i="31"/>
  <c r="M126" i="31"/>
  <c r="M125" i="31"/>
  <c r="M130" i="31"/>
  <c r="M129" i="31"/>
  <c r="N47" i="31"/>
  <c r="N71" i="31"/>
  <c r="N73" i="31" s="1"/>
  <c r="H169" i="29"/>
  <c r="H170" i="29"/>
  <c r="L141" i="31"/>
  <c r="L98" i="31" s="1"/>
  <c r="N72" i="31"/>
  <c r="N14" i="31"/>
  <c r="N44" i="31" s="1"/>
  <c r="N9" i="31"/>
  <c r="Q491" i="4"/>
  <c r="H97" i="31"/>
  <c r="H46" i="31"/>
  <c r="J174" i="29"/>
  <c r="U224" i="4" l="1"/>
  <c r="AI25" i="17"/>
  <c r="AI26" i="17" s="1"/>
  <c r="V224" i="4"/>
  <c r="AJ25" i="17"/>
  <c r="AJ26" i="17" s="1"/>
  <c r="L4264" i="16"/>
  <c r="T326" i="4"/>
  <c r="T227" i="4"/>
  <c r="U361" i="4"/>
  <c r="U200" i="4" s="1"/>
  <c r="AI137" i="17" s="1"/>
  <c r="T336" i="4"/>
  <c r="T204" i="4" s="1"/>
  <c r="AH134" i="17" s="1"/>
  <c r="V334" i="4"/>
  <c r="V206" i="4" s="1"/>
  <c r="V333" i="4"/>
  <c r="V335" i="4"/>
  <c r="V361" i="4"/>
  <c r="U173" i="4"/>
  <c r="U333" i="4"/>
  <c r="U334" i="4"/>
  <c r="U206" i="4" s="1"/>
  <c r="U335" i="4"/>
  <c r="M47" i="31"/>
  <c r="F4273" i="16"/>
  <c r="G4264" i="16"/>
  <c r="V252" i="4"/>
  <c r="R216" i="4"/>
  <c r="S325" i="4"/>
  <c r="M141" i="31"/>
  <c r="M98" i="31" s="1"/>
  <c r="Q254" i="4"/>
  <c r="AE22" i="17"/>
  <c r="Q191" i="4"/>
  <c r="Q194" i="4" s="1"/>
  <c r="Q16" i="4"/>
  <c r="N141" i="31"/>
  <c r="N98" i="31" s="1"/>
  <c r="J158" i="29"/>
  <c r="J166" i="29"/>
  <c r="I169" i="29"/>
  <c r="I170" i="29"/>
  <c r="N75" i="31"/>
  <c r="F176" i="29"/>
  <c r="H51" i="31"/>
  <c r="J162" i="29"/>
  <c r="J161" i="29"/>
  <c r="J168" i="29"/>
  <c r="I158" i="29"/>
  <c r="I166" i="29"/>
  <c r="D195" i="29"/>
  <c r="M75" i="31"/>
  <c r="G4273" i="16" l="1"/>
  <c r="U227" i="4"/>
  <c r="U336" i="4"/>
  <c r="U204" i="4" s="1"/>
  <c r="AI134" i="17" s="1"/>
  <c r="V336" i="4"/>
  <c r="V204" i="4" s="1"/>
  <c r="AJ134" i="17" s="1"/>
  <c r="V326" i="4"/>
  <c r="V200" i="4"/>
  <c r="AJ137" i="17" s="1"/>
  <c r="V227" i="4"/>
  <c r="U326" i="4"/>
  <c r="T325" i="4"/>
  <c r="T216" i="4" s="1"/>
  <c r="S216" i="4"/>
  <c r="F200" i="29"/>
  <c r="F201" i="29"/>
  <c r="F195" i="29"/>
  <c r="F196" i="29"/>
  <c r="F197" i="29"/>
  <c r="F198" i="29"/>
  <c r="F199" i="29"/>
  <c r="Q255" i="4"/>
  <c r="Q162" i="4"/>
  <c r="R248" i="4"/>
  <c r="Q280" i="4"/>
  <c r="Q282" i="4" s="1"/>
  <c r="Q246" i="4"/>
  <c r="J170" i="29"/>
  <c r="J169" i="29"/>
  <c r="C1576" i="16"/>
  <c r="E3" i="6"/>
  <c r="G21" i="6" s="1"/>
  <c r="I48" i="6" s="1"/>
  <c r="G15" i="6"/>
  <c r="D15" i="6" s="1"/>
  <c r="H31" i="31"/>
  <c r="B212" i="29" s="1"/>
  <c r="H52" i="31"/>
  <c r="F182" i="29" s="1"/>
  <c r="H30" i="31"/>
  <c r="F181" i="29"/>
  <c r="B208" i="29" l="1"/>
  <c r="U325" i="4"/>
  <c r="U216" i="4" s="1"/>
  <c r="G45" i="6"/>
  <c r="G48" i="6" s="1"/>
  <c r="G55" i="6" s="1"/>
  <c r="F45" i="6"/>
  <c r="H48" i="6"/>
  <c r="C1578" i="16"/>
  <c r="C1580" i="16" s="1"/>
  <c r="C1584" i="16" s="1"/>
  <c r="R387" i="4"/>
  <c r="R244" i="4"/>
  <c r="R460" i="4"/>
  <c r="H32" i="31"/>
  <c r="F189" i="29" s="1"/>
  <c r="H28" i="31"/>
  <c r="H29" i="31" s="1"/>
  <c r="I78" i="31" s="1"/>
  <c r="F188" i="29"/>
  <c r="AE35" i="17"/>
  <c r="AD35" i="14"/>
  <c r="B205" i="29"/>
  <c r="B206" i="29"/>
  <c r="H57" i="31"/>
  <c r="I77" i="31"/>
  <c r="V325" i="4" l="1"/>
  <c r="V216" i="4" s="1"/>
  <c r="I80" i="31"/>
  <c r="I82" i="31" s="1"/>
  <c r="B207" i="29"/>
  <c r="R12" i="4"/>
  <c r="R245" i="4"/>
  <c r="R257" i="4"/>
  <c r="R253" i="4"/>
  <c r="B209" i="29"/>
  <c r="B211" i="29"/>
  <c r="F48" i="6"/>
  <c r="J48" i="6"/>
  <c r="H59" i="31"/>
  <c r="F186" i="29" s="1"/>
  <c r="F184" i="29"/>
  <c r="I45" i="31"/>
  <c r="R491" i="4"/>
  <c r="R254" i="4" l="1"/>
  <c r="S248" i="4" s="1"/>
  <c r="L48" i="6"/>
  <c r="I97" i="31"/>
  <c r="I46" i="31"/>
  <c r="G176" i="29" s="1"/>
  <c r="I83" i="31"/>
  <c r="AF22" i="17"/>
  <c r="R191" i="4"/>
  <c r="R194" i="4" s="1"/>
  <c r="R16" i="4"/>
  <c r="G175" i="29"/>
  <c r="I61" i="31"/>
  <c r="F25" i="32" s="1"/>
  <c r="B214" i="29"/>
  <c r="B215" i="29" s="1"/>
  <c r="B216" i="29"/>
  <c r="B217" i="29" s="1"/>
  <c r="R246" i="4" l="1"/>
  <c r="R280" i="4"/>
  <c r="R282" i="4" s="1"/>
  <c r="R162" i="4"/>
  <c r="AF35" i="17" s="1"/>
  <c r="R255" i="4"/>
  <c r="S387" i="4"/>
  <c r="S460" i="4"/>
  <c r="S244" i="4"/>
  <c r="I51" i="31"/>
  <c r="I52" i="31" s="1"/>
  <c r="G182" i="29" s="1"/>
  <c r="I31" i="31" l="1"/>
  <c r="G188" i="29" s="1"/>
  <c r="G181" i="29"/>
  <c r="I30" i="31"/>
  <c r="I57" i="31" s="1"/>
  <c r="S245" i="4"/>
  <c r="S12" i="4"/>
  <c r="AG22" i="17" s="1"/>
  <c r="S257" i="4"/>
  <c r="S253" i="4"/>
  <c r="S491" i="4"/>
  <c r="I32" i="31" l="1"/>
  <c r="G189" i="29" s="1"/>
  <c r="I28" i="31"/>
  <c r="I29" i="31" s="1"/>
  <c r="J78" i="31" s="1"/>
  <c r="J77" i="31"/>
  <c r="S254" i="4"/>
  <c r="S191" i="4"/>
  <c r="S194" i="4" s="1"/>
  <c r="S16" i="4"/>
  <c r="I59" i="31"/>
  <c r="G186" i="29" s="1"/>
  <c r="G184" i="29"/>
  <c r="J45" i="31" l="1"/>
  <c r="J61" i="31" s="1"/>
  <c r="G25" i="32" s="1"/>
  <c r="J80" i="31"/>
  <c r="J82" i="31" s="1"/>
  <c r="T248" i="4"/>
  <c r="S280" i="4"/>
  <c r="S282" i="4" s="1"/>
  <c r="S162" i="4"/>
  <c r="AG35" i="17" s="1"/>
  <c r="S255" i="4"/>
  <c r="S246" i="4"/>
  <c r="H175" i="29" l="1"/>
  <c r="T387" i="4"/>
  <c r="T460" i="4"/>
  <c r="T244" i="4"/>
  <c r="J97" i="31"/>
  <c r="J46" i="31"/>
  <c r="J83" i="31"/>
  <c r="T245" i="4" l="1"/>
  <c r="T12" i="4"/>
  <c r="AH22" i="17" s="1"/>
  <c r="T257" i="4"/>
  <c r="T253" i="4"/>
  <c r="T491" i="4"/>
  <c r="H176" i="29"/>
  <c r="J51" i="31"/>
  <c r="T254" i="4" l="1"/>
  <c r="T191" i="4"/>
  <c r="T194" i="4" s="1"/>
  <c r="T16" i="4"/>
  <c r="J52" i="31"/>
  <c r="H182" i="29" s="1"/>
  <c r="H181" i="29"/>
  <c r="J31" i="31"/>
  <c r="J30" i="31"/>
  <c r="T280" i="4" l="1"/>
  <c r="T282" i="4" s="1"/>
  <c r="U248" i="4"/>
  <c r="T162" i="4"/>
  <c r="AH35" i="17" s="1"/>
  <c r="T255" i="4"/>
  <c r="T246" i="4"/>
  <c r="J57" i="31"/>
  <c r="K77" i="31"/>
  <c r="J32" i="31"/>
  <c r="H189" i="29" s="1"/>
  <c r="J28" i="31"/>
  <c r="J29" i="31" s="1"/>
  <c r="K78" i="31" s="1"/>
  <c r="H188" i="29"/>
  <c r="U460" i="4" l="1"/>
  <c r="U244" i="4"/>
  <c r="U387" i="4"/>
  <c r="K45" i="31"/>
  <c r="K61" i="31" s="1"/>
  <c r="H25" i="32" s="1"/>
  <c r="K80" i="31"/>
  <c r="J59" i="31"/>
  <c r="H186" i="29" s="1"/>
  <c r="H184" i="29"/>
  <c r="I175" i="29" l="1"/>
  <c r="U245" i="4"/>
  <c r="U12" i="4"/>
  <c r="AI22" i="17" s="1"/>
  <c r="U257" i="4"/>
  <c r="U253" i="4"/>
  <c r="U491" i="4"/>
  <c r="K82" i="31"/>
  <c r="U191" i="4" l="1"/>
  <c r="U194" i="4" s="1"/>
  <c r="U16" i="4"/>
  <c r="U254" i="4"/>
  <c r="K46" i="31"/>
  <c r="K97" i="31"/>
  <c r="K83" i="31"/>
  <c r="U162" i="4" l="1"/>
  <c r="AI35" i="17" s="1"/>
  <c r="U255" i="4"/>
  <c r="V248" i="4"/>
  <c r="U280" i="4"/>
  <c r="U282" i="4" s="1"/>
  <c r="U246" i="4"/>
  <c r="I176" i="29"/>
  <c r="K51" i="31"/>
  <c r="V460" i="4" l="1"/>
  <c r="V244" i="4"/>
  <c r="V387" i="4"/>
  <c r="K52" i="31"/>
  <c r="I182" i="29" s="1"/>
  <c r="I181" i="29"/>
  <c r="K31" i="31"/>
  <c r="K30" i="31"/>
  <c r="V245" i="4" l="1"/>
  <c r="V12" i="4"/>
  <c r="AJ22" i="17" s="1"/>
  <c r="V257" i="4"/>
  <c r="V253" i="4"/>
  <c r="V254" i="4" s="1"/>
  <c r="V491" i="4"/>
  <c r="K57" i="31"/>
  <c r="L77" i="31"/>
  <c r="K28" i="31"/>
  <c r="K29" i="31" s="1"/>
  <c r="L78" i="31" s="1"/>
  <c r="K32" i="31"/>
  <c r="I189" i="29" s="1"/>
  <c r="I188" i="29"/>
  <c r="L45" i="31" l="1"/>
  <c r="J175" i="29" s="1"/>
  <c r="V162" i="4"/>
  <c r="AJ35" i="17" s="1"/>
  <c r="V255" i="4"/>
  <c r="V280" i="4"/>
  <c r="V282" i="4" s="1"/>
  <c r="V191" i="4"/>
  <c r="V194" i="4" s="1"/>
  <c r="V16" i="4"/>
  <c r="V246" i="4"/>
  <c r="L80" i="31"/>
  <c r="K59" i="31"/>
  <c r="I186" i="29" s="1"/>
  <c r="I184" i="29"/>
  <c r="L61" i="31" l="1"/>
  <c r="L82" i="31"/>
  <c r="L46" i="31" l="1"/>
  <c r="L97" i="31"/>
  <c r="L83" i="31"/>
  <c r="J176" i="29" l="1"/>
  <c r="L51" i="31"/>
  <c r="L52" i="31" l="1"/>
  <c r="J182" i="29" s="1"/>
  <c r="J181" i="29"/>
  <c r="L30" i="31"/>
  <c r="L31" i="31"/>
  <c r="L28" i="31" l="1"/>
  <c r="L29" i="31" s="1"/>
  <c r="M78" i="31" s="1"/>
  <c r="L32" i="31"/>
  <c r="J189" i="29" s="1"/>
  <c r="J188" i="29"/>
  <c r="L57" i="31"/>
  <c r="M77" i="31"/>
  <c r="M80" i="31" l="1"/>
  <c r="M82" i="31" s="1"/>
  <c r="L59" i="31"/>
  <c r="J186" i="29" s="1"/>
  <c r="J184" i="29"/>
  <c r="M45" i="31"/>
  <c r="M61" i="31" l="1"/>
  <c r="M97" i="31"/>
  <c r="M46" i="31"/>
  <c r="M51" i="31" s="1"/>
  <c r="M83" i="31"/>
  <c r="M52" i="31" l="1"/>
  <c r="M30" i="31"/>
  <c r="M31" i="31"/>
  <c r="M28" i="31" l="1"/>
  <c r="M29" i="31" s="1"/>
  <c r="N78" i="31" s="1"/>
  <c r="M32" i="31"/>
  <c r="M57" i="31"/>
  <c r="M59" i="31" s="1"/>
  <c r="N77" i="31"/>
  <c r="N80" i="31" l="1"/>
  <c r="N82" i="31" s="1"/>
  <c r="N45" i="31"/>
  <c r="N61" i="31" l="1"/>
  <c r="N97" i="31"/>
  <c r="N46" i="31"/>
  <c r="N51" i="31" s="1"/>
  <c r="N83" i="31"/>
  <c r="N52" i="31" l="1"/>
  <c r="N31" i="31"/>
  <c r="N30" i="31"/>
  <c r="N57" i="31" s="1"/>
  <c r="N59" i="31" s="1"/>
  <c r="N28" i="31" l="1"/>
  <c r="N29" i="31" s="1"/>
  <c r="N32" i="31"/>
  <c r="D4190" i="16"/>
  <c r="P625" i="4"/>
  <c r="Q295" i="4"/>
  <c r="R295" i="4"/>
  <c r="S295" i="4"/>
  <c r="AG109" i="17" s="1"/>
  <c r="T295" i="4"/>
  <c r="AH109" i="17" s="1"/>
  <c r="U295" i="4"/>
  <c r="AI109" i="17" s="1"/>
  <c r="V295" i="4"/>
  <c r="AJ109" i="17" s="1"/>
  <c r="U625" i="4"/>
  <c r="V625" i="4"/>
  <c r="S625" i="4" l="1"/>
  <c r="R625" i="4"/>
  <c r="Q625" i="4"/>
  <c r="T625" i="4"/>
  <c r="T297" i="4"/>
  <c r="S297" i="4"/>
  <c r="AF109" i="17"/>
  <c r="R297" i="4"/>
  <c r="AE109" i="17"/>
  <c r="Q297" i="4"/>
  <c r="V297" i="4"/>
  <c r="U297" i="4"/>
  <c r="P295" i="4"/>
  <c r="R298" i="4" l="1"/>
  <c r="U298" i="4"/>
  <c r="S298" i="4"/>
  <c r="AD109" i="17"/>
  <c r="P297" i="4"/>
  <c r="P298" i="4" s="1"/>
  <c r="V298" i="4"/>
  <c r="T298" i="4"/>
  <c r="Q298" i="4" l="1"/>
  <c r="Q199" i="4"/>
  <c r="R199" i="4"/>
  <c r="S199" i="4"/>
  <c r="AG136" i="17" s="1"/>
  <c r="T199" i="4"/>
  <c r="AH136" i="17" s="1"/>
  <c r="U199" i="4"/>
  <c r="AI136" i="17" s="1"/>
  <c r="V199" i="4"/>
  <c r="AJ136" i="17" s="1"/>
  <c r="Q410" i="4"/>
  <c r="Q226" i="4" s="1"/>
  <c r="R410" i="4"/>
  <c r="R226" i="4" s="1"/>
  <c r="S410" i="4"/>
  <c r="S226" i="4" s="1"/>
  <c r="T410" i="4"/>
  <c r="T226" i="4" s="1"/>
  <c r="U410" i="4"/>
  <c r="U226" i="4" s="1"/>
  <c r="V410" i="4"/>
  <c r="V226" i="4" s="1"/>
  <c r="AF136" i="17" l="1"/>
  <c r="J4239" i="16"/>
  <c r="AE136" i="17"/>
  <c r="I4239" i="16"/>
  <c r="B16" i="27"/>
  <c r="I4158" i="16"/>
  <c r="N171" i="25"/>
  <c r="O171" i="25"/>
  <c r="P171" i="25"/>
  <c r="Q171" i="25"/>
  <c r="R171" i="25"/>
  <c r="R144" i="25" s="1"/>
  <c r="R158" i="25" s="1"/>
  <c r="K185" i="25"/>
  <c r="K172" i="25"/>
  <c r="K167" i="25"/>
  <c r="K182" i="25"/>
  <c r="L182" i="25" s="1"/>
  <c r="L166" i="25" l="1"/>
  <c r="L168" i="25" s="1"/>
  <c r="L173" i="25" s="1"/>
  <c r="M182" i="25"/>
  <c r="M166" i="25" l="1"/>
  <c r="M168" i="25" s="1"/>
  <c r="N182" i="25"/>
  <c r="L175" i="25"/>
  <c r="O182" i="25" l="1"/>
  <c r="N166" i="25"/>
  <c r="N168" i="25" s="1"/>
  <c r="L190" i="25"/>
  <c r="L176" i="25"/>
  <c r="L150" i="25" l="1"/>
  <c r="D4379" i="16" s="1"/>
  <c r="F90" i="29"/>
  <c r="P182" i="25"/>
  <c r="O166" i="25"/>
  <c r="O168" i="25" s="1"/>
  <c r="Q182" i="25" l="1"/>
  <c r="P166" i="25"/>
  <c r="P168" i="25" s="1"/>
  <c r="L132" i="25"/>
  <c r="D4369" i="16" s="1"/>
  <c r="L151" i="25"/>
  <c r="F96" i="29" s="1"/>
  <c r="F95" i="29"/>
  <c r="G314" i="28" s="1"/>
  <c r="L131" i="25" l="1"/>
  <c r="D4368" i="16" s="1"/>
  <c r="H50" i="6"/>
  <c r="F102" i="29"/>
  <c r="L133" i="25"/>
  <c r="D4370" i="16" s="1"/>
  <c r="Q166" i="25"/>
  <c r="Q168" i="25" s="1"/>
  <c r="R182" i="25"/>
  <c r="R166" i="25" s="1"/>
  <c r="R168" i="25" s="1"/>
  <c r="R173" i="25" s="1"/>
  <c r="R175" i="25" l="1"/>
  <c r="F103" i="29"/>
  <c r="E24" i="32"/>
  <c r="J50" i="6"/>
  <c r="L154" i="25"/>
  <c r="M170" i="25"/>
  <c r="F98" i="29" l="1"/>
  <c r="L156" i="25"/>
  <c r="F100" i="29" s="1"/>
  <c r="L50" i="6"/>
  <c r="R145" i="25"/>
  <c r="R150" i="25" s="1"/>
  <c r="R151" i="25" s="1"/>
  <c r="R190" i="25"/>
  <c r="R176" i="25"/>
  <c r="M144" i="25"/>
  <c r="E4373" i="16" s="1"/>
  <c r="M173" i="25"/>
  <c r="M158" i="25" l="1"/>
  <c r="G89" i="29"/>
  <c r="M175" i="25"/>
  <c r="M190" i="25" l="1"/>
  <c r="M176" i="25"/>
  <c r="G90" i="29" l="1"/>
  <c r="M150" i="25"/>
  <c r="E4379" i="16" s="1"/>
  <c r="G95" i="29" l="1"/>
  <c r="H314" i="28" s="1"/>
  <c r="M151" i="25"/>
  <c r="G96" i="29" s="1"/>
  <c r="M132" i="25"/>
  <c r="E4369" i="16" s="1"/>
  <c r="M133" i="25" l="1"/>
  <c r="E4370" i="16" s="1"/>
  <c r="M131" i="25"/>
  <c r="E4368" i="16" s="1"/>
  <c r="G102" i="29"/>
  <c r="M154" i="25" l="1"/>
  <c r="N170" i="25"/>
  <c r="G103" i="29"/>
  <c r="F24" i="32"/>
  <c r="N144" i="25" l="1"/>
  <c r="F4373" i="16" s="1"/>
  <c r="N173" i="25"/>
  <c r="M156" i="25"/>
  <c r="G100" i="29" s="1"/>
  <c r="G98" i="29"/>
  <c r="N175" i="25" l="1"/>
  <c r="N176" i="25" s="1"/>
  <c r="N158" i="25"/>
  <c r="H89" i="29"/>
  <c r="N190" i="25" l="1"/>
  <c r="H90" i="29" l="1"/>
  <c r="N150" i="25"/>
  <c r="F4379" i="16" s="1"/>
  <c r="H95" i="29" l="1"/>
  <c r="N151" i="25"/>
  <c r="H96" i="29" s="1"/>
  <c r="N132" i="25"/>
  <c r="F4369" i="16" s="1"/>
  <c r="N133" i="25" l="1"/>
  <c r="F4370" i="16" s="1"/>
  <c r="N131" i="25"/>
  <c r="F4368" i="16" s="1"/>
  <c r="H102" i="29"/>
  <c r="N154" i="25" l="1"/>
  <c r="O170" i="25"/>
  <c r="H103" i="29"/>
  <c r="G24" i="32"/>
  <c r="O144" i="25" l="1"/>
  <c r="G4373" i="16" s="1"/>
  <c r="O173" i="25"/>
  <c r="N156" i="25"/>
  <c r="H100" i="29" s="1"/>
  <c r="H98" i="29"/>
  <c r="O175" i="25" l="1"/>
  <c r="O158" i="25"/>
  <c r="I89" i="29"/>
  <c r="O145" i="25" l="1"/>
  <c r="G4374" i="16" s="1"/>
  <c r="O190" i="25"/>
  <c r="O176" i="25"/>
  <c r="I90" i="29" l="1"/>
  <c r="O150" i="25"/>
  <c r="G4379" i="16" s="1"/>
  <c r="I95" i="29" l="1"/>
  <c r="O151" i="25"/>
  <c r="I96" i="29" s="1"/>
  <c r="O132" i="25"/>
  <c r="G4369" i="16" s="1"/>
  <c r="O133" i="25" l="1"/>
  <c r="H24" i="32" s="1"/>
  <c r="O131" i="25"/>
  <c r="G4368" i="16" s="1"/>
  <c r="I102" i="29"/>
  <c r="I103" i="29" l="1"/>
  <c r="G4370" i="16"/>
  <c r="O154" i="25"/>
  <c r="P170" i="25"/>
  <c r="P144" i="25" l="1"/>
  <c r="H4373" i="16" s="1"/>
  <c r="P173" i="25"/>
  <c r="O156" i="25"/>
  <c r="I100" i="29" s="1"/>
  <c r="I98" i="29"/>
  <c r="P175" i="25" l="1"/>
  <c r="P158" i="25"/>
  <c r="J89" i="29"/>
  <c r="P190" i="25" l="1"/>
  <c r="P145" i="25"/>
  <c r="H4374" i="16" s="1"/>
  <c r="P176" i="25"/>
  <c r="J90" i="29" l="1"/>
  <c r="P150" i="25"/>
  <c r="H4379" i="16" s="1"/>
  <c r="J95" i="29" l="1"/>
  <c r="P151" i="25"/>
  <c r="J96" i="29" s="1"/>
  <c r="P132" i="25"/>
  <c r="H4369" i="16" s="1"/>
  <c r="P133" i="25" l="1"/>
  <c r="P131" i="25"/>
  <c r="H4368" i="16" s="1"/>
  <c r="J102" i="29"/>
  <c r="J103" i="29" l="1"/>
  <c r="H4370" i="16"/>
  <c r="P154" i="25"/>
  <c r="Q170" i="25"/>
  <c r="Q144" i="25" l="1"/>
  <c r="Q173" i="25"/>
  <c r="P156" i="25"/>
  <c r="J100" i="29" s="1"/>
  <c r="J98" i="29"/>
  <c r="Q175" i="25" l="1"/>
  <c r="Q158" i="25"/>
  <c r="Q145" i="25" l="1"/>
  <c r="Q150" i="25" s="1"/>
  <c r="Q190" i="25"/>
  <c r="Q176" i="25"/>
  <c r="Q151" i="25" l="1"/>
  <c r="Q132" i="25"/>
  <c r="Q133" i="25" l="1"/>
  <c r="Q131" i="25"/>
  <c r="Q154" i="25" s="1"/>
  <c r="Q156" i="25" s="1"/>
  <c r="R132" i="25"/>
  <c r="R133" i="25" l="1"/>
  <c r="R131" i="25"/>
  <c r="R154" i="25" s="1"/>
  <c r="R156" i="25" s="1"/>
  <c r="K175" i="25"/>
  <c r="K190" i="25" s="1"/>
  <c r="S278" i="29"/>
  <c r="S279" i="29" s="1"/>
  <c r="S290" i="29" l="1"/>
  <c r="F282" i="16"/>
  <c r="H282" i="16"/>
  <c r="H100" i="16"/>
  <c r="F289" i="16"/>
  <c r="H289" i="16"/>
  <c r="F292" i="16"/>
  <c r="H292" i="16"/>
  <c r="F293" i="16"/>
  <c r="H293" i="16"/>
  <c r="F297" i="16"/>
  <c r="H297" i="16"/>
  <c r="F299" i="16"/>
  <c r="H299" i="16"/>
  <c r="F300" i="16"/>
  <c r="H300" i="16"/>
  <c r="D781" i="16"/>
  <c r="F781" i="16"/>
  <c r="J1030" i="16"/>
  <c r="J1033" i="16"/>
  <c r="J1042" i="16"/>
  <c r="J1047" i="16"/>
  <c r="C1049" i="16"/>
  <c r="J1050" i="16"/>
  <c r="J1051" i="16"/>
  <c r="J1052" i="16"/>
  <c r="F1069" i="16"/>
  <c r="G1069" i="16"/>
  <c r="F1070" i="16"/>
  <c r="G1070" i="16"/>
  <c r="D1162" i="16"/>
  <c r="E1162" i="16"/>
  <c r="F1162" i="16"/>
  <c r="G1162" i="16"/>
  <c r="H1162" i="16"/>
  <c r="I1162" i="16"/>
  <c r="H1749" i="16"/>
  <c r="I1749" i="16"/>
  <c r="P1749" i="16"/>
  <c r="Q1749" i="16"/>
  <c r="X1749" i="16"/>
  <c r="Y1749" i="16"/>
  <c r="H1751" i="16"/>
  <c r="I1751" i="16"/>
  <c r="P1751" i="16"/>
  <c r="Q1751" i="16"/>
  <c r="X1751" i="16"/>
  <c r="Y1751" i="16"/>
  <c r="H1752" i="16"/>
  <c r="I1752" i="16"/>
  <c r="P1752" i="16"/>
  <c r="Q1752" i="16"/>
  <c r="X1752" i="16"/>
  <c r="Y1752" i="16"/>
  <c r="H1753" i="16"/>
  <c r="I1753" i="16"/>
  <c r="P1753" i="16"/>
  <c r="Q1753" i="16"/>
  <c r="X1753" i="16"/>
  <c r="Y1753" i="16"/>
  <c r="H1756" i="16"/>
  <c r="I1756" i="16"/>
  <c r="P1756" i="16"/>
  <c r="Q1756" i="16"/>
  <c r="X1756" i="16"/>
  <c r="Y1756" i="16"/>
  <c r="H1758" i="16"/>
  <c r="I1758" i="16"/>
  <c r="P1758" i="16"/>
  <c r="Q1758" i="16"/>
  <c r="X1758" i="16"/>
  <c r="Y1758" i="16"/>
  <c r="H1759" i="16"/>
  <c r="I1759" i="16"/>
  <c r="P1759" i="16"/>
  <c r="Q1759" i="16"/>
  <c r="X1759" i="16"/>
  <c r="Y1759" i="16"/>
  <c r="H1760" i="16"/>
  <c r="I1760" i="16"/>
  <c r="P1760" i="16"/>
  <c r="Q1760" i="16"/>
  <c r="X1760" i="16"/>
  <c r="Y1760" i="16"/>
  <c r="H1761" i="16"/>
  <c r="I1761" i="16"/>
  <c r="P1761" i="16"/>
  <c r="Q1761" i="16"/>
  <c r="X1761" i="16"/>
  <c r="Y1761" i="16"/>
  <c r="H1766" i="16"/>
  <c r="I1766" i="16"/>
  <c r="H1768" i="16"/>
  <c r="I1768" i="16"/>
  <c r="H1769" i="16"/>
  <c r="I1769" i="16"/>
  <c r="H1770" i="16"/>
  <c r="I1770" i="16"/>
  <c r="H1775" i="16"/>
  <c r="I1775" i="16"/>
  <c r="P1775" i="16"/>
  <c r="Q1775" i="16"/>
  <c r="X1775" i="16"/>
  <c r="Y1775" i="16"/>
  <c r="H1776" i="16"/>
  <c r="I1776" i="16"/>
  <c r="H1777" i="16"/>
  <c r="I1777" i="16"/>
  <c r="P1777" i="16"/>
  <c r="Q1777" i="16"/>
  <c r="X1777" i="16"/>
  <c r="Y1777" i="16"/>
  <c r="H1779" i="16"/>
  <c r="I1779" i="16"/>
  <c r="P1779" i="16"/>
  <c r="Q1779" i="16"/>
  <c r="X1779" i="16"/>
  <c r="Y1779" i="16"/>
  <c r="H1780" i="16"/>
  <c r="I1780" i="16"/>
  <c r="P1780" i="16"/>
  <c r="Q1780" i="16"/>
  <c r="X1780" i="16"/>
  <c r="Y1780" i="16"/>
  <c r="H1781" i="16"/>
  <c r="I1781" i="16"/>
  <c r="P1781" i="16"/>
  <c r="Q1781" i="16"/>
  <c r="X1781" i="16"/>
  <c r="Y1781" i="16"/>
  <c r="H1783" i="16"/>
  <c r="I1783" i="16"/>
  <c r="H1784" i="16"/>
  <c r="I1784" i="16"/>
  <c r="H1785" i="16"/>
  <c r="I1785" i="16"/>
  <c r="H1876" i="16"/>
  <c r="H1878" i="16"/>
  <c r="H1880" i="16"/>
  <c r="H1883" i="16"/>
  <c r="H1884" i="16"/>
  <c r="R1884" i="16"/>
  <c r="H1885" i="16"/>
  <c r="R1885" i="16"/>
  <c r="H1886" i="16"/>
  <c r="R1887" i="16"/>
  <c r="R1893" i="16"/>
  <c r="R1894" i="16"/>
  <c r="R1896" i="16"/>
  <c r="I1909" i="16"/>
  <c r="I1911" i="16"/>
  <c r="I1913" i="16"/>
  <c r="I1914" i="16"/>
  <c r="I1917" i="16"/>
  <c r="I1918" i="16"/>
  <c r="I1919" i="16"/>
  <c r="I1920" i="16"/>
  <c r="I1972" i="16"/>
  <c r="I1974" i="16"/>
  <c r="I1976" i="16"/>
  <c r="I1977" i="16"/>
  <c r="I1980" i="16"/>
  <c r="I1981" i="16"/>
  <c r="I1982" i="16"/>
  <c r="I1983" i="16"/>
  <c r="I2228" i="16"/>
  <c r="J2228" i="16"/>
  <c r="I2230" i="16"/>
  <c r="J2230" i="16"/>
  <c r="I2233" i="16"/>
  <c r="J2233" i="16"/>
  <c r="I2235" i="16"/>
  <c r="J2235" i="16"/>
  <c r="I2237" i="16"/>
  <c r="J2237" i="16"/>
  <c r="I2238" i="16"/>
  <c r="J2238" i="16"/>
  <c r="I2239" i="16"/>
  <c r="J2239" i="16"/>
  <c r="J2333" i="16"/>
  <c r="K2333" i="16"/>
  <c r="J2335" i="16"/>
  <c r="K2335" i="16"/>
  <c r="J2338" i="16"/>
  <c r="K2338" i="16"/>
  <c r="J2340" i="16"/>
  <c r="K2340" i="16"/>
  <c r="J2342" i="16"/>
  <c r="K2342" i="16"/>
  <c r="J2343" i="16"/>
  <c r="K2343" i="16"/>
  <c r="J2344" i="16"/>
  <c r="K2344" i="16"/>
  <c r="J2346" i="16"/>
  <c r="K2346" i="16"/>
  <c r="J2347" i="16"/>
  <c r="K2347" i="16"/>
  <c r="I2413" i="16"/>
  <c r="J2413" i="16"/>
  <c r="I2415" i="16"/>
  <c r="J2415" i="16"/>
  <c r="I2418" i="16"/>
  <c r="J2418" i="16"/>
  <c r="I2420" i="16"/>
  <c r="J2420" i="16"/>
  <c r="I2422" i="16"/>
  <c r="J2422" i="16"/>
  <c r="I2423" i="16"/>
  <c r="J2423" i="16"/>
  <c r="I2424" i="16"/>
  <c r="J2424" i="16"/>
  <c r="I2426" i="16"/>
  <c r="J2426" i="16"/>
  <c r="I2427" i="16"/>
  <c r="J2427" i="16"/>
  <c r="C2447" i="16"/>
  <c r="D2447" i="16"/>
  <c r="E2447" i="16"/>
  <c r="C2449" i="16"/>
  <c r="D2449" i="16"/>
  <c r="E2449" i="16"/>
  <c r="C2450" i="16"/>
  <c r="D2450" i="16"/>
  <c r="G2588" i="16"/>
  <c r="H2588" i="16"/>
  <c r="G2603" i="16"/>
  <c r="H2603" i="16"/>
  <c r="N2603" i="16"/>
  <c r="O2603" i="16"/>
  <c r="H2683" i="16"/>
  <c r="G2759" i="16"/>
  <c r="H2759" i="16"/>
  <c r="G2760" i="16"/>
  <c r="H2760" i="16"/>
  <c r="G2762" i="16"/>
  <c r="H2762" i="16"/>
  <c r="G2768" i="16"/>
  <c r="H2768" i="16"/>
  <c r="G2769" i="16"/>
  <c r="H2769" i="16"/>
  <c r="H2868" i="16"/>
  <c r="I2868" i="16"/>
  <c r="G2878" i="16"/>
  <c r="H2878" i="16"/>
  <c r="G2879" i="16"/>
  <c r="H2879" i="16"/>
  <c r="G2894" i="16"/>
  <c r="H2894" i="16"/>
  <c r="G2895" i="16"/>
  <c r="H2895" i="16"/>
  <c r="G3079" i="16"/>
  <c r="H3079" i="16"/>
  <c r="G3081" i="16"/>
  <c r="H3081" i="16"/>
  <c r="G3084" i="16"/>
  <c r="H3084" i="16"/>
  <c r="G3086" i="16"/>
  <c r="H3086" i="16"/>
  <c r="G3089" i="16"/>
  <c r="H3089" i="16"/>
  <c r="G3090" i="16"/>
  <c r="H3090" i="16"/>
  <c r="G3091" i="16"/>
  <c r="H3091" i="16"/>
  <c r="G3093" i="16"/>
  <c r="H3093" i="16"/>
  <c r="G3094" i="16"/>
  <c r="H3094" i="16"/>
  <c r="G3095" i="16"/>
  <c r="H3095" i="16"/>
  <c r="G3133" i="16"/>
  <c r="H3133" i="16"/>
  <c r="G3135" i="16"/>
  <c r="H3135" i="16"/>
  <c r="G3138" i="16"/>
  <c r="H3138" i="16"/>
  <c r="G3139" i="16"/>
  <c r="H3139" i="16"/>
  <c r="G3140" i="16"/>
  <c r="H3140" i="16"/>
  <c r="G3143" i="16"/>
  <c r="H3143" i="16"/>
  <c r="G3144" i="16"/>
  <c r="H3144" i="16"/>
  <c r="G3145" i="16"/>
  <c r="H3145" i="16"/>
  <c r="G3148" i="16"/>
  <c r="H3148" i="16"/>
  <c r="G3149" i="16"/>
  <c r="H3149" i="16"/>
  <c r="G3150" i="16"/>
  <c r="H3150" i="16"/>
  <c r="F3200" i="16"/>
  <c r="G3200" i="16"/>
  <c r="F3201" i="16"/>
  <c r="G3201" i="16"/>
  <c r="F3202" i="16"/>
  <c r="G3202" i="16"/>
  <c r="F3208" i="16"/>
  <c r="G3208" i="16"/>
  <c r="F3218" i="16"/>
  <c r="G3218" i="16"/>
  <c r="F3220" i="16"/>
  <c r="G3220" i="16"/>
  <c r="F3231" i="16"/>
  <c r="G3231" i="16"/>
  <c r="F3233" i="16"/>
  <c r="G3233" i="16"/>
  <c r="F3235" i="16"/>
  <c r="G3235" i="16"/>
  <c r="F3236" i="16"/>
  <c r="G3236" i="16"/>
  <c r="F3238" i="16"/>
  <c r="G3238" i="16"/>
  <c r="F3239" i="16"/>
  <c r="G3239" i="16"/>
  <c r="F3240" i="16"/>
  <c r="G3240" i="16"/>
  <c r="F3250" i="16"/>
  <c r="G3250" i="16"/>
  <c r="F3252" i="16"/>
  <c r="G3252" i="16"/>
  <c r="F3253" i="16"/>
  <c r="G3253" i="16"/>
  <c r="F3254" i="16"/>
  <c r="G3254" i="16"/>
  <c r="F3255" i="16"/>
  <c r="G3255" i="16"/>
  <c r="G3305" i="16"/>
  <c r="H3305" i="16"/>
  <c r="I3347" i="16"/>
  <c r="F3435" i="16"/>
  <c r="G3435" i="16"/>
  <c r="H3435" i="16"/>
  <c r="F3452" i="16"/>
  <c r="G3452" i="16"/>
  <c r="H3452" i="16"/>
  <c r="H3501" i="16"/>
  <c r="I3501" i="16"/>
  <c r="H3502" i="16"/>
  <c r="I3502" i="16"/>
  <c r="H3530" i="16"/>
  <c r="I3530" i="16"/>
  <c r="H3531" i="16"/>
  <c r="I3531" i="16"/>
  <c r="E3576" i="16"/>
  <c r="M3576" i="16"/>
  <c r="G3668" i="16"/>
  <c r="H3668" i="16"/>
  <c r="G3669" i="16"/>
  <c r="H3669" i="16"/>
  <c r="G3671" i="16"/>
  <c r="H3671" i="16"/>
  <c r="G3674" i="16"/>
  <c r="H3674" i="16"/>
  <c r="G3675" i="16"/>
  <c r="H3675" i="16"/>
  <c r="F3676" i="16"/>
  <c r="G3676" i="16"/>
  <c r="H3676" i="16"/>
  <c r="G3699" i="16"/>
  <c r="H3699" i="16"/>
  <c r="G3700" i="16"/>
  <c r="H3700" i="16"/>
  <c r="G3701" i="16"/>
  <c r="H3701" i="16"/>
  <c r="F3702" i="16"/>
  <c r="G3702" i="16"/>
  <c r="H3702" i="16"/>
  <c r="G3704" i="16"/>
  <c r="H3704" i="16"/>
  <c r="H3809" i="16"/>
  <c r="I3809" i="16"/>
  <c r="G3810" i="16"/>
  <c r="H3810" i="16"/>
  <c r="I3810" i="16"/>
  <c r="G3811" i="16"/>
  <c r="H3811" i="16"/>
  <c r="I3811" i="16"/>
  <c r="H3812" i="16"/>
  <c r="I3813" i="16"/>
  <c r="G4238" i="16"/>
  <c r="H4238" i="16"/>
  <c r="I4238" i="16"/>
  <c r="J4238" i="16"/>
  <c r="G4240" i="16"/>
  <c r="G4241" i="16"/>
  <c r="H4241" i="16"/>
  <c r="I4241" i="16"/>
  <c r="J4241" i="16"/>
  <c r="G4247" i="16"/>
  <c r="H4247" i="16"/>
  <c r="I4247" i="16"/>
  <c r="J4247" i="16"/>
  <c r="J4248" i="16"/>
  <c r="G4252" i="16"/>
  <c r="H4252" i="16"/>
  <c r="I4252" i="16"/>
  <c r="J4252" i="16"/>
  <c r="H4255" i="16"/>
  <c r="I4255" i="16"/>
  <c r="J4255" i="16"/>
  <c r="H4256" i="16"/>
  <c r="I4256" i="16"/>
  <c r="J4256" i="16"/>
  <c r="H4257" i="16"/>
  <c r="I4257" i="16"/>
  <c r="J4257" i="16"/>
  <c r="D4266" i="16"/>
  <c r="E4266" i="16"/>
  <c r="F4266" i="16"/>
  <c r="G4266" i="16"/>
  <c r="D4268" i="16"/>
  <c r="E4268" i="16"/>
  <c r="F4268" i="16"/>
  <c r="G4268" i="16"/>
  <c r="D4275" i="16"/>
  <c r="E4275" i="16"/>
  <c r="F4275" i="16"/>
  <c r="G4275" i="16"/>
  <c r="D4277" i="16"/>
  <c r="E4277" i="16"/>
  <c r="F4277" i="16"/>
  <c r="G4277" i="16"/>
  <c r="V9" i="14"/>
  <c r="W9" i="14"/>
  <c r="X9" i="14"/>
  <c r="Y9" i="14"/>
  <c r="Z9" i="14"/>
  <c r="AA9" i="14"/>
  <c r="AB9" i="14"/>
  <c r="AC9" i="14"/>
  <c r="AD9" i="14"/>
  <c r="S12" i="14"/>
  <c r="T12" i="14"/>
  <c r="U12" i="14"/>
  <c r="V12" i="14"/>
  <c r="W12" i="14"/>
  <c r="X12" i="14"/>
  <c r="Y12" i="14"/>
  <c r="Z12" i="14"/>
  <c r="AA12" i="14"/>
  <c r="AB12" i="14"/>
  <c r="AC12" i="14"/>
  <c r="AD12" i="14"/>
  <c r="AE12" i="14"/>
  <c r="T14" i="14"/>
  <c r="U14" i="14"/>
  <c r="V14" i="14"/>
  <c r="W14" i="14"/>
  <c r="X14" i="14"/>
  <c r="Y14" i="14"/>
  <c r="X17" i="14"/>
  <c r="Y17" i="14"/>
  <c r="Z17" i="14"/>
  <c r="AA17" i="14"/>
  <c r="AB17" i="14"/>
  <c r="AC17" i="14"/>
  <c r="AD17" i="14"/>
  <c r="X20" i="14"/>
  <c r="Y20" i="14"/>
  <c r="Z20" i="14"/>
  <c r="AA20" i="14"/>
  <c r="AB20" i="14"/>
  <c r="AC20" i="14"/>
  <c r="AD20" i="14"/>
  <c r="X21" i="14"/>
  <c r="Y21" i="14"/>
  <c r="Z21" i="14"/>
  <c r="AA21" i="14"/>
  <c r="AB21" i="14"/>
  <c r="AC21" i="14"/>
  <c r="AD21" i="14"/>
  <c r="X24" i="14"/>
  <c r="Y24" i="14"/>
  <c r="Z24" i="14"/>
  <c r="AA24" i="14"/>
  <c r="AB24" i="14"/>
  <c r="AC24" i="14"/>
  <c r="AD24" i="14"/>
  <c r="X25" i="14"/>
  <c r="Y25" i="14"/>
  <c r="Z25" i="14"/>
  <c r="AA25" i="14"/>
  <c r="AB25" i="14"/>
  <c r="AC25" i="14"/>
  <c r="AD25" i="14"/>
  <c r="X26" i="14"/>
  <c r="Y26" i="14"/>
  <c r="Z26" i="14"/>
  <c r="AA26" i="14"/>
  <c r="AB26" i="14"/>
  <c r="AC26" i="14"/>
  <c r="AD26" i="14"/>
  <c r="V27" i="14"/>
  <c r="W27" i="14"/>
  <c r="X27" i="14"/>
  <c r="Y27" i="14"/>
  <c r="Z27" i="14"/>
  <c r="AA27" i="14"/>
  <c r="AB27" i="14"/>
  <c r="AC27" i="14"/>
  <c r="AD27" i="14"/>
  <c r="X28" i="14"/>
  <c r="Y28" i="14"/>
  <c r="Z28" i="14"/>
  <c r="AA28" i="14"/>
  <c r="AB28" i="14"/>
  <c r="AC28" i="14"/>
  <c r="AD28" i="14"/>
  <c r="U29" i="14"/>
  <c r="V29" i="14"/>
  <c r="W29" i="14"/>
  <c r="X29" i="14"/>
  <c r="Y29" i="14"/>
  <c r="Z29" i="14"/>
  <c r="AA29" i="14"/>
  <c r="AB29" i="14"/>
  <c r="AC29" i="14"/>
  <c r="AD29" i="14"/>
  <c r="AE29" i="14"/>
  <c r="X32" i="14"/>
  <c r="Y32" i="14"/>
  <c r="Z32" i="14"/>
  <c r="AA32" i="14"/>
  <c r="AB32" i="14"/>
  <c r="AC32" i="14"/>
  <c r="AD32" i="14"/>
  <c r="X33" i="14"/>
  <c r="Y33" i="14"/>
  <c r="Z33" i="14"/>
  <c r="AA33" i="14"/>
  <c r="AB33" i="14"/>
  <c r="AC33" i="14"/>
  <c r="AD33" i="14"/>
  <c r="X38" i="14"/>
  <c r="Y38" i="14"/>
  <c r="Z38" i="14"/>
  <c r="AA38" i="14"/>
  <c r="AB38" i="14"/>
  <c r="AC38" i="14"/>
  <c r="AD38" i="14"/>
  <c r="X47" i="14"/>
  <c r="Y47" i="14"/>
  <c r="Z47" i="14"/>
  <c r="AA47" i="14"/>
  <c r="AB47" i="14"/>
  <c r="AC47" i="14"/>
  <c r="AD47" i="14"/>
  <c r="X70" i="14"/>
  <c r="Y70" i="14"/>
  <c r="Z70" i="14"/>
  <c r="AA70" i="14"/>
  <c r="AB70" i="14"/>
  <c r="AC70" i="14"/>
  <c r="AD70" i="14"/>
  <c r="X74" i="14"/>
  <c r="Y74" i="14"/>
  <c r="Z74" i="14"/>
  <c r="AA74" i="14"/>
  <c r="AB74" i="14"/>
  <c r="AC74" i="14"/>
  <c r="AD74" i="14"/>
  <c r="V80" i="14"/>
  <c r="W80" i="14"/>
  <c r="X80" i="14"/>
  <c r="Y80" i="14"/>
  <c r="Z80" i="14"/>
  <c r="AA80" i="14"/>
  <c r="AB80" i="14"/>
  <c r="AC80" i="14"/>
  <c r="AD80" i="14"/>
  <c r="V82" i="14"/>
  <c r="W82" i="14"/>
  <c r="X82" i="14"/>
  <c r="Y82" i="14"/>
  <c r="Z82" i="14"/>
  <c r="AA82" i="14"/>
  <c r="AB82" i="14"/>
  <c r="AC82" i="14"/>
  <c r="AD82" i="14"/>
  <c r="V105" i="14"/>
  <c r="W105" i="14"/>
  <c r="X105" i="14"/>
  <c r="Y105" i="14"/>
  <c r="Z105" i="14"/>
  <c r="AA105" i="14"/>
  <c r="AB105" i="14"/>
  <c r="AC105" i="14"/>
  <c r="AD105" i="14"/>
  <c r="V106" i="14"/>
  <c r="W106" i="14"/>
  <c r="X106" i="14"/>
  <c r="Y106" i="14"/>
  <c r="Z106" i="14"/>
  <c r="AA106" i="14"/>
  <c r="AB106" i="14"/>
  <c r="AC106" i="14"/>
  <c r="AD106" i="14"/>
  <c r="X108" i="14"/>
  <c r="Y108" i="14"/>
  <c r="Z108" i="14"/>
  <c r="AA108" i="14"/>
  <c r="AB108" i="14"/>
  <c r="AC108" i="14"/>
  <c r="AD108" i="14"/>
  <c r="Y110" i="14"/>
  <c r="Z110" i="14"/>
  <c r="AA110" i="14"/>
  <c r="AB110" i="14"/>
  <c r="AC110" i="14"/>
  <c r="AD110" i="14"/>
  <c r="Y111" i="14"/>
  <c r="Z111" i="14"/>
  <c r="AA111" i="14"/>
  <c r="AB111" i="14"/>
  <c r="AC111" i="14"/>
  <c r="AD111" i="14"/>
  <c r="X115" i="14"/>
  <c r="Y115" i="14"/>
  <c r="Z115" i="14"/>
  <c r="AA115" i="14"/>
  <c r="AB115" i="14"/>
  <c r="AC115" i="14"/>
  <c r="AD115" i="14"/>
  <c r="X118" i="14"/>
  <c r="Y118" i="14"/>
  <c r="Z118" i="14"/>
  <c r="AA118" i="14"/>
  <c r="AB118" i="14"/>
  <c r="AC118" i="14"/>
  <c r="AD118" i="14"/>
  <c r="X119" i="14"/>
  <c r="Y119" i="14"/>
  <c r="Z119" i="14"/>
  <c r="AA119" i="14"/>
  <c r="AB119" i="14"/>
  <c r="AC119" i="14"/>
  <c r="AD119" i="14"/>
  <c r="V120" i="14"/>
  <c r="W120" i="14"/>
  <c r="X120" i="14"/>
  <c r="Y120" i="14"/>
  <c r="Z120" i="14"/>
  <c r="AA120" i="14"/>
  <c r="AB120" i="14"/>
  <c r="AC120" i="14"/>
  <c r="AD120" i="14"/>
  <c r="X122" i="14"/>
  <c r="Y122" i="14"/>
  <c r="Z122" i="14"/>
  <c r="AA122" i="14"/>
  <c r="AB122" i="14"/>
  <c r="AC122" i="14"/>
  <c r="AD122" i="14"/>
  <c r="X123" i="14"/>
  <c r="Y123" i="14"/>
  <c r="Z123" i="14"/>
  <c r="AA123" i="14"/>
  <c r="AB123" i="14"/>
  <c r="AC123" i="14"/>
  <c r="AD123" i="14"/>
  <c r="X125" i="14"/>
  <c r="Y125" i="14"/>
  <c r="Z125" i="14"/>
  <c r="AA125" i="14"/>
  <c r="AB125" i="14"/>
  <c r="AC125" i="14"/>
  <c r="AD125" i="14"/>
  <c r="X134" i="14"/>
  <c r="Y134" i="14"/>
  <c r="Z134" i="14"/>
  <c r="AA134" i="14"/>
  <c r="AB134" i="14"/>
  <c r="AC134" i="14"/>
  <c r="AD134" i="14"/>
  <c r="Y136" i="14"/>
  <c r="Z136" i="14"/>
  <c r="AA136" i="14"/>
  <c r="AB136" i="14"/>
  <c r="AC136" i="14"/>
  <c r="AD136" i="14"/>
  <c r="U137" i="14"/>
  <c r="V137" i="14"/>
  <c r="W137" i="14"/>
  <c r="X137" i="14"/>
  <c r="Y137" i="14"/>
  <c r="Z137" i="14"/>
  <c r="AA137" i="14"/>
  <c r="AB137" i="14"/>
  <c r="AC137" i="14"/>
  <c r="AD137" i="14"/>
  <c r="U139" i="14"/>
  <c r="V139" i="14"/>
  <c r="W139" i="14"/>
  <c r="X139" i="14"/>
  <c r="Y139" i="14"/>
  <c r="Z139" i="14"/>
  <c r="AA139" i="14"/>
  <c r="AB139" i="14"/>
  <c r="AC139" i="14"/>
  <c r="AD139" i="14"/>
  <c r="AE139" i="14"/>
  <c r="U141" i="14"/>
  <c r="V143" i="14"/>
  <c r="W143" i="14"/>
  <c r="X143" i="14"/>
  <c r="Y143" i="14"/>
  <c r="Z143" i="14"/>
  <c r="AA143" i="14"/>
  <c r="AB143" i="14"/>
  <c r="AC143" i="14"/>
  <c r="AD143" i="14"/>
  <c r="AE143" i="14"/>
  <c r="V144" i="14"/>
  <c r="W144" i="14"/>
  <c r="X144" i="14"/>
  <c r="Y144" i="14"/>
  <c r="Z144" i="14"/>
  <c r="AA144" i="14"/>
  <c r="AB144" i="14"/>
  <c r="AC144" i="14"/>
  <c r="AD144" i="14"/>
  <c r="T147" i="14"/>
  <c r="U147" i="14"/>
  <c r="V147" i="14"/>
  <c r="W147" i="14"/>
  <c r="X147" i="14"/>
  <c r="Y147" i="14"/>
  <c r="E156" i="14"/>
  <c r="G156" i="14"/>
  <c r="L156" i="14"/>
  <c r="M156" i="14"/>
  <c r="N156" i="14"/>
  <c r="P156" i="14"/>
  <c r="R156" i="14"/>
  <c r="S156" i="14"/>
  <c r="O157" i="14"/>
  <c r="P157" i="14"/>
  <c r="R157" i="14"/>
  <c r="S157" i="14"/>
  <c r="E158" i="14"/>
  <c r="G158" i="14"/>
  <c r="L158" i="14"/>
  <c r="M158" i="14"/>
  <c r="N158" i="14"/>
  <c r="O158" i="14"/>
  <c r="S158" i="14"/>
  <c r="V194" i="14"/>
  <c r="W194" i="14"/>
  <c r="X194" i="14"/>
  <c r="Y194" i="14"/>
  <c r="Z194" i="14"/>
  <c r="AA194" i="14"/>
  <c r="AB194" i="14"/>
  <c r="AC194" i="14"/>
  <c r="AD194" i="14"/>
  <c r="V196" i="14"/>
  <c r="W196" i="14"/>
  <c r="X196" i="14"/>
  <c r="Y196" i="14"/>
  <c r="Z196" i="14"/>
  <c r="AA196" i="14"/>
  <c r="AB196" i="14"/>
  <c r="AC196" i="14"/>
  <c r="AD196" i="14"/>
  <c r="X197" i="14"/>
  <c r="Y197" i="14"/>
  <c r="Z197" i="14"/>
  <c r="AA197" i="14"/>
  <c r="AB197" i="14"/>
  <c r="AC197" i="14"/>
  <c r="AD197" i="14"/>
  <c r="X198" i="14"/>
  <c r="Y198" i="14"/>
  <c r="Z198" i="14"/>
  <c r="AA198" i="14"/>
  <c r="AB198" i="14"/>
  <c r="AC198" i="14"/>
  <c r="AD198" i="14"/>
  <c r="X200" i="14"/>
  <c r="Y200" i="14"/>
  <c r="Z200" i="14"/>
  <c r="AA200" i="14"/>
  <c r="AB200" i="14"/>
  <c r="AC200" i="14"/>
  <c r="AD200" i="14"/>
  <c r="X201" i="14"/>
  <c r="Y201" i="14"/>
  <c r="Z201" i="14"/>
  <c r="AA201" i="14"/>
  <c r="AB201" i="14"/>
  <c r="AC201" i="14"/>
  <c r="AD201" i="14"/>
  <c r="X204" i="14"/>
  <c r="Y204" i="14"/>
  <c r="Z204" i="14"/>
  <c r="AA204" i="14"/>
  <c r="AB204" i="14"/>
  <c r="AC204" i="14"/>
  <c r="AD204" i="14"/>
  <c r="X207" i="14"/>
  <c r="Y207" i="14"/>
  <c r="Z207" i="14"/>
  <c r="AA207" i="14"/>
  <c r="AB207" i="14"/>
  <c r="AC207" i="14"/>
  <c r="AD207" i="14"/>
  <c r="X208" i="14"/>
  <c r="Y208" i="14"/>
  <c r="Z208" i="14"/>
  <c r="AA208" i="14"/>
  <c r="AB208" i="14"/>
  <c r="AC208" i="14"/>
  <c r="AD208" i="14"/>
  <c r="V209" i="14"/>
  <c r="W209" i="14"/>
  <c r="X209" i="14"/>
  <c r="Y209" i="14"/>
  <c r="Z209" i="14"/>
  <c r="AA209" i="14"/>
  <c r="AB209" i="14"/>
  <c r="AC209" i="14"/>
  <c r="AD209" i="14"/>
  <c r="V220" i="14"/>
  <c r="W220" i="14"/>
  <c r="X220" i="14"/>
  <c r="Y220" i="14"/>
  <c r="Z220" i="14"/>
  <c r="AA220" i="14"/>
  <c r="AB220" i="14"/>
  <c r="AC220" i="14"/>
  <c r="AD220" i="14"/>
  <c r="V222" i="14"/>
  <c r="W222" i="14"/>
  <c r="X222" i="14"/>
  <c r="Y222" i="14"/>
  <c r="Z222" i="14"/>
  <c r="AA222" i="14"/>
  <c r="AB222" i="14"/>
  <c r="AC222" i="14"/>
  <c r="AD222" i="14"/>
  <c r="X223" i="14"/>
  <c r="Y223" i="14"/>
  <c r="Z223" i="14"/>
  <c r="AA223" i="14"/>
  <c r="AB223" i="14"/>
  <c r="AC223" i="14"/>
  <c r="AD223" i="14"/>
  <c r="W224" i="14"/>
  <c r="X224" i="14"/>
  <c r="Y224" i="14"/>
  <c r="Z224" i="14"/>
  <c r="AA224" i="14"/>
  <c r="AB224" i="14"/>
  <c r="AC224" i="14"/>
  <c r="AD224" i="14"/>
  <c r="W226" i="14"/>
  <c r="X226" i="14"/>
  <c r="Y226" i="14"/>
  <c r="Z226" i="14"/>
  <c r="AA226" i="14"/>
  <c r="AB226" i="14"/>
  <c r="AC226" i="14"/>
  <c r="AD226" i="14"/>
  <c r="X227" i="14"/>
  <c r="Y227" i="14"/>
  <c r="Z227" i="14"/>
  <c r="AA227" i="14"/>
  <c r="AB227" i="14"/>
  <c r="AC227" i="14"/>
  <c r="AD227" i="14"/>
  <c r="X230" i="14"/>
  <c r="Y230" i="14"/>
  <c r="Z230" i="14"/>
  <c r="AA230" i="14"/>
  <c r="AB230" i="14"/>
  <c r="AC230" i="14"/>
  <c r="AD230" i="14"/>
  <c r="X233" i="14"/>
  <c r="Y233" i="14"/>
  <c r="Z233" i="14"/>
  <c r="AA233" i="14"/>
  <c r="AB233" i="14"/>
  <c r="AC233" i="14"/>
  <c r="AD233" i="14"/>
  <c r="X234" i="14"/>
  <c r="Y234" i="14"/>
  <c r="Z234" i="14"/>
  <c r="AA234" i="14"/>
  <c r="AB234" i="14"/>
  <c r="AC234" i="14"/>
  <c r="AD234" i="14"/>
  <c r="X235" i="14"/>
  <c r="Y235" i="14"/>
  <c r="Z235" i="14"/>
  <c r="AA235" i="14"/>
  <c r="AB235" i="14"/>
  <c r="AC235" i="14"/>
  <c r="AD235" i="14"/>
  <c r="X238" i="14"/>
  <c r="Y238" i="14"/>
  <c r="Z238" i="14"/>
  <c r="AA238" i="14"/>
  <c r="AB238" i="14"/>
  <c r="AC238" i="14"/>
  <c r="AD238" i="14"/>
  <c r="X239" i="14"/>
  <c r="Y239" i="14"/>
  <c r="Z239" i="14"/>
  <c r="AA239" i="14"/>
  <c r="AB239" i="14"/>
  <c r="AC239" i="14"/>
  <c r="AD239" i="14"/>
  <c r="V262" i="14"/>
  <c r="W262" i="14"/>
  <c r="X262" i="14"/>
  <c r="Y262" i="14"/>
  <c r="Z262" i="14"/>
  <c r="AA262" i="14"/>
  <c r="AB262" i="14"/>
  <c r="AC262" i="14"/>
  <c r="AD262" i="14"/>
  <c r="AD9" i="17"/>
  <c r="AE9" i="17"/>
  <c r="AF9" i="17"/>
  <c r="AG9" i="17"/>
  <c r="AH9" i="17"/>
  <c r="AI9" i="17"/>
  <c r="AJ9" i="17"/>
  <c r="V12" i="17"/>
  <c r="W12" i="17"/>
  <c r="X12" i="17"/>
  <c r="Y12" i="17"/>
  <c r="Z12" i="17"/>
  <c r="AA12" i="17"/>
  <c r="AB12" i="17"/>
  <c r="AC12" i="17"/>
  <c r="AD12" i="17"/>
  <c r="AE12" i="17"/>
  <c r="AF12" i="17"/>
  <c r="AG12" i="17"/>
  <c r="AH12" i="17"/>
  <c r="AI12" i="17"/>
  <c r="AJ12" i="17"/>
  <c r="U14" i="17"/>
  <c r="V14" i="17"/>
  <c r="W14" i="17"/>
  <c r="X14" i="17"/>
  <c r="Y14" i="17"/>
  <c r="Z14" i="17"/>
  <c r="V16" i="17"/>
  <c r="AD16" i="17"/>
  <c r="AE16" i="17"/>
  <c r="AF16" i="17"/>
  <c r="AG16" i="17"/>
  <c r="AH16" i="17"/>
  <c r="AI16" i="17"/>
  <c r="AJ16" i="17"/>
  <c r="V17" i="17"/>
  <c r="AD17" i="17"/>
  <c r="AE17" i="17"/>
  <c r="AF17" i="17"/>
  <c r="AG17" i="17"/>
  <c r="AH17" i="17"/>
  <c r="AI17" i="17"/>
  <c r="AJ17" i="17"/>
  <c r="U27" i="17"/>
  <c r="V27" i="17"/>
  <c r="AD27" i="17"/>
  <c r="AE27" i="17"/>
  <c r="AF27" i="17"/>
  <c r="AG27" i="17"/>
  <c r="AH27" i="17"/>
  <c r="AI27" i="17"/>
  <c r="AJ27" i="17"/>
  <c r="V28" i="17"/>
  <c r="AD28" i="17"/>
  <c r="AE28" i="17"/>
  <c r="V30" i="17"/>
  <c r="AD30" i="17"/>
  <c r="AE30" i="17"/>
  <c r="AF30" i="17"/>
  <c r="AG30" i="17"/>
  <c r="AH30" i="17"/>
  <c r="AI30" i="17"/>
  <c r="AJ30" i="17"/>
  <c r="U32" i="17"/>
  <c r="V32" i="17"/>
  <c r="AD32" i="17"/>
  <c r="AE32" i="17"/>
  <c r="AF32" i="17"/>
  <c r="AG32" i="17"/>
  <c r="AH32" i="17"/>
  <c r="AI32" i="17"/>
  <c r="AJ32" i="17"/>
  <c r="AD33" i="17"/>
  <c r="AE33" i="17"/>
  <c r="AF33" i="17"/>
  <c r="AG33" i="17"/>
  <c r="AH33" i="17"/>
  <c r="AI33" i="17"/>
  <c r="AJ33" i="17"/>
  <c r="X72" i="17"/>
  <c r="Y72" i="17"/>
  <c r="Z72" i="17"/>
  <c r="AA72" i="17"/>
  <c r="AB72" i="17"/>
  <c r="AC72" i="17"/>
  <c r="AD72" i="17"/>
  <c r="X76" i="17"/>
  <c r="Y76" i="17"/>
  <c r="Z76" i="17"/>
  <c r="AA76" i="17"/>
  <c r="AB76" i="17"/>
  <c r="AC76" i="17"/>
  <c r="AD76" i="17"/>
  <c r="W80" i="17"/>
  <c r="X80" i="17"/>
  <c r="Y80" i="17"/>
  <c r="Z80" i="17"/>
  <c r="AA80" i="17"/>
  <c r="AB80" i="17"/>
  <c r="AC80" i="17"/>
  <c r="AD80" i="17"/>
  <c r="W82" i="17"/>
  <c r="X82" i="17"/>
  <c r="Y82" i="17"/>
  <c r="Z82" i="17"/>
  <c r="AA82" i="17"/>
  <c r="AB82" i="17"/>
  <c r="AC82" i="17"/>
  <c r="AD82" i="17"/>
  <c r="U105" i="17"/>
  <c r="AD105" i="17"/>
  <c r="AE105" i="17"/>
  <c r="AF105" i="17"/>
  <c r="AG105" i="17"/>
  <c r="AH105" i="17"/>
  <c r="AI105" i="17"/>
  <c r="AJ105" i="17"/>
  <c r="U106" i="17"/>
  <c r="AD106" i="17"/>
  <c r="AE106" i="17"/>
  <c r="AF106" i="17"/>
  <c r="AG106" i="17"/>
  <c r="AH106" i="17"/>
  <c r="AI106" i="17"/>
  <c r="AJ106" i="17"/>
  <c r="U110" i="17"/>
  <c r="V110" i="17"/>
  <c r="AD110" i="17"/>
  <c r="AE110" i="17"/>
  <c r="AF110" i="17"/>
  <c r="AG110" i="17"/>
  <c r="AH110" i="17"/>
  <c r="AI110" i="17"/>
  <c r="AJ110" i="17"/>
  <c r="V111" i="17"/>
  <c r="AD111" i="17"/>
  <c r="AE111" i="17"/>
  <c r="AF111" i="17"/>
  <c r="AG111" i="17"/>
  <c r="AH111" i="17"/>
  <c r="AI111" i="17"/>
  <c r="AJ111" i="17"/>
  <c r="U120" i="17"/>
  <c r="AD120" i="17"/>
  <c r="AE120" i="17"/>
  <c r="AF120" i="17"/>
  <c r="AG120" i="17"/>
  <c r="AH120" i="17"/>
  <c r="AI120" i="17"/>
  <c r="AJ120" i="17"/>
  <c r="V122" i="17"/>
  <c r="AD122" i="17"/>
  <c r="AE122" i="17"/>
  <c r="AF122" i="17"/>
  <c r="AG122" i="17"/>
  <c r="AH122" i="17"/>
  <c r="AI122" i="17"/>
  <c r="AJ122" i="17"/>
  <c r="V123" i="17"/>
  <c r="AD123" i="17"/>
  <c r="AE123" i="17"/>
  <c r="AF123" i="17"/>
  <c r="AG123" i="17"/>
  <c r="AH123" i="17"/>
  <c r="AI123" i="17"/>
  <c r="AJ123" i="17"/>
  <c r="V125" i="17"/>
  <c r="AD125" i="17"/>
  <c r="AE125" i="17"/>
  <c r="AF125" i="17"/>
  <c r="AG125" i="17"/>
  <c r="AH125" i="17"/>
  <c r="AI125" i="17"/>
  <c r="AJ125" i="17"/>
  <c r="AD135" i="17"/>
  <c r="AE135" i="17"/>
  <c r="AF135" i="17"/>
  <c r="AG135" i="17"/>
  <c r="AH135" i="17"/>
  <c r="AI135" i="17"/>
  <c r="AJ135" i="17"/>
  <c r="AD142" i="17"/>
  <c r="AE142" i="17"/>
  <c r="AF142" i="17"/>
  <c r="AG142" i="17"/>
  <c r="AH142" i="17"/>
  <c r="AI142" i="17"/>
  <c r="AJ142" i="17"/>
  <c r="AD143" i="17"/>
  <c r="AE143" i="17"/>
  <c r="AF143" i="17"/>
  <c r="AG143" i="17"/>
  <c r="AH143" i="17"/>
  <c r="AI143" i="17"/>
  <c r="AJ143" i="17"/>
  <c r="AD144" i="17"/>
  <c r="AE144" i="17"/>
  <c r="AF144" i="17"/>
  <c r="AG144" i="17"/>
  <c r="AH144" i="17"/>
  <c r="AI144" i="17"/>
  <c r="AJ144" i="17"/>
  <c r="V147" i="17"/>
  <c r="W147" i="17"/>
  <c r="X147" i="17"/>
  <c r="Y147" i="17"/>
  <c r="Z147" i="17"/>
  <c r="W194" i="17"/>
  <c r="X194" i="17"/>
  <c r="Y194" i="17"/>
  <c r="Z194" i="17"/>
  <c r="AA194" i="17"/>
  <c r="AB194" i="17"/>
  <c r="AC194" i="17"/>
  <c r="AD194" i="17"/>
  <c r="AE194" i="17"/>
  <c r="W196" i="17"/>
  <c r="X196" i="17"/>
  <c r="Y196" i="17"/>
  <c r="Z196" i="17"/>
  <c r="AA196" i="17"/>
  <c r="AB196" i="17"/>
  <c r="AC196" i="17"/>
  <c r="AD196" i="17"/>
  <c r="AE196" i="17"/>
  <c r="Y197" i="17"/>
  <c r="Z197" i="17"/>
  <c r="AA197" i="17"/>
  <c r="AB197" i="17"/>
  <c r="AC197" i="17"/>
  <c r="AD197" i="17"/>
  <c r="AE197" i="17"/>
  <c r="Y198" i="17"/>
  <c r="Z198" i="17"/>
  <c r="AA198" i="17"/>
  <c r="AB198" i="17"/>
  <c r="AC198" i="17"/>
  <c r="AD198" i="17"/>
  <c r="AE198" i="17"/>
  <c r="Y200" i="17"/>
  <c r="Z200" i="17"/>
  <c r="AA200" i="17"/>
  <c r="AB200" i="17"/>
  <c r="AC200" i="17"/>
  <c r="AD200" i="17"/>
  <c r="AE200" i="17"/>
  <c r="Y201" i="17"/>
  <c r="Z201" i="17"/>
  <c r="AA201" i="17"/>
  <c r="AB201" i="17"/>
  <c r="AC201" i="17"/>
  <c r="AD201" i="17"/>
  <c r="AE201" i="17"/>
  <c r="Y204" i="17"/>
  <c r="Z204" i="17"/>
  <c r="AA204" i="17"/>
  <c r="AB204" i="17"/>
  <c r="AC204" i="17"/>
  <c r="AD204" i="17"/>
  <c r="AE204" i="17"/>
  <c r="Y207" i="17"/>
  <c r="Z207" i="17"/>
  <c r="AA207" i="17"/>
  <c r="AB207" i="17"/>
  <c r="AC207" i="17"/>
  <c r="AD207" i="17"/>
  <c r="AE207" i="17"/>
  <c r="Y208" i="17"/>
  <c r="Z208" i="17"/>
  <c r="AA208" i="17"/>
  <c r="AB208" i="17"/>
  <c r="AC208" i="17"/>
  <c r="AD208" i="17"/>
  <c r="AE208" i="17"/>
  <c r="W209" i="17"/>
  <c r="X209" i="17"/>
  <c r="Y209" i="17"/>
  <c r="Z209" i="17"/>
  <c r="AA209" i="17"/>
  <c r="AB209" i="17"/>
  <c r="AC209" i="17"/>
  <c r="AD209" i="17"/>
  <c r="AE209" i="17"/>
  <c r="W220" i="17"/>
  <c r="X220" i="17"/>
  <c r="Y220" i="17"/>
  <c r="Z220" i="17"/>
  <c r="AA220" i="17"/>
  <c r="AB220" i="17"/>
  <c r="AC220" i="17"/>
  <c r="AD220" i="17"/>
  <c r="AE220" i="17"/>
  <c r="W222" i="17"/>
  <c r="X222" i="17"/>
  <c r="Y222" i="17"/>
  <c r="Z222" i="17"/>
  <c r="AA222" i="17"/>
  <c r="AB222" i="17"/>
  <c r="AC222" i="17"/>
  <c r="AD222" i="17"/>
  <c r="AE222" i="17"/>
  <c r="Y223" i="17"/>
  <c r="Z223" i="17"/>
  <c r="AA223" i="17"/>
  <c r="AB223" i="17"/>
  <c r="AC223" i="17"/>
  <c r="AD223" i="17"/>
  <c r="AE223" i="17"/>
  <c r="X224" i="17"/>
  <c r="Y224" i="17"/>
  <c r="Z224" i="17"/>
  <c r="AA224" i="17"/>
  <c r="AB224" i="17"/>
  <c r="AC224" i="17"/>
  <c r="AD224" i="17"/>
  <c r="AE224" i="17"/>
  <c r="X226" i="17"/>
  <c r="Y226" i="17"/>
  <c r="Z226" i="17"/>
  <c r="AA226" i="17"/>
  <c r="AB226" i="17"/>
  <c r="AC226" i="17"/>
  <c r="AD226" i="17"/>
  <c r="AE226" i="17"/>
  <c r="Y227" i="17"/>
  <c r="Z227" i="17"/>
  <c r="AA227" i="17"/>
  <c r="AB227" i="17"/>
  <c r="AC227" i="17"/>
  <c r="AD227" i="17"/>
  <c r="AE227" i="17"/>
  <c r="Y230" i="17"/>
  <c r="Z230" i="17"/>
  <c r="AA230" i="17"/>
  <c r="AB230" i="17"/>
  <c r="AC230" i="17"/>
  <c r="AD230" i="17"/>
  <c r="AE230" i="17"/>
  <c r="Y233" i="17"/>
  <c r="Z233" i="17"/>
  <c r="AA233" i="17"/>
  <c r="AB233" i="17"/>
  <c r="AC233" i="17"/>
  <c r="AD233" i="17"/>
  <c r="AE233" i="17"/>
  <c r="Y234" i="17"/>
  <c r="Z234" i="17"/>
  <c r="AA234" i="17"/>
  <c r="AB234" i="17"/>
  <c r="AC234" i="17"/>
  <c r="AD234" i="17"/>
  <c r="AE234" i="17"/>
  <c r="Y235" i="17"/>
  <c r="Z235" i="17"/>
  <c r="AA235" i="17"/>
  <c r="AB235" i="17"/>
  <c r="AC235" i="17"/>
  <c r="AD235" i="17"/>
  <c r="AE235" i="17"/>
  <c r="Y238" i="17"/>
  <c r="Z238" i="17"/>
  <c r="AA238" i="17"/>
  <c r="AB238" i="17"/>
  <c r="AC238" i="17"/>
  <c r="AD238" i="17"/>
  <c r="AE238" i="17"/>
  <c r="Y239" i="17"/>
  <c r="Z239" i="17"/>
  <c r="AA239" i="17"/>
  <c r="AB239" i="17"/>
  <c r="AC239" i="17"/>
  <c r="AD239" i="17"/>
  <c r="AE239" i="17"/>
  <c r="W262" i="17"/>
  <c r="X262" i="17"/>
  <c r="Y262" i="17"/>
  <c r="Z262" i="17"/>
  <c r="AA262" i="17"/>
  <c r="AB262" i="17"/>
  <c r="AC262" i="17"/>
  <c r="AD262" i="17"/>
  <c r="AE262" i="17"/>
  <c r="L242" i="24"/>
  <c r="M242" i="24"/>
  <c r="L251" i="24"/>
  <c r="M251" i="24"/>
  <c r="J169" i="22"/>
  <c r="K169" i="22"/>
  <c r="L169" i="22"/>
  <c r="M169" i="22"/>
  <c r="N169" i="22"/>
  <c r="O169" i="22"/>
  <c r="P169" i="22"/>
  <c r="J170" i="22"/>
  <c r="K170" i="22"/>
  <c r="L170" i="22"/>
  <c r="M170" i="22"/>
  <c r="N170" i="22"/>
  <c r="O170" i="22"/>
  <c r="P170" i="22"/>
  <c r="J171" i="22"/>
  <c r="K171" i="22"/>
  <c r="L171" i="22"/>
  <c r="M171" i="22"/>
  <c r="N171" i="22"/>
  <c r="O171" i="22"/>
  <c r="P171" i="22"/>
  <c r="J184" i="22"/>
  <c r="K184" i="22"/>
  <c r="L184" i="22"/>
  <c r="M184" i="22"/>
  <c r="N184" i="22"/>
  <c r="O184" i="22"/>
  <c r="P184" i="22"/>
  <c r="J186" i="22"/>
  <c r="K186" i="22"/>
  <c r="L186" i="22"/>
  <c r="M186" i="22"/>
  <c r="N186" i="22"/>
  <c r="O186" i="22"/>
  <c r="P186" i="22"/>
  <c r="J189" i="22"/>
  <c r="K189" i="22"/>
  <c r="L189" i="22"/>
  <c r="M189" i="22"/>
  <c r="N189" i="22"/>
  <c r="O189" i="22"/>
  <c r="P189" i="22"/>
  <c r="J190" i="22"/>
  <c r="K190" i="22"/>
  <c r="L190" i="22"/>
  <c r="M190" i="22"/>
  <c r="N190" i="22"/>
  <c r="O190" i="22"/>
  <c r="P190" i="22"/>
  <c r="J195" i="22"/>
  <c r="K195" i="22"/>
  <c r="L195" i="22"/>
  <c r="M195" i="22"/>
  <c r="N195" i="22"/>
  <c r="O195" i="22"/>
  <c r="P195" i="22"/>
  <c r="J197" i="22"/>
  <c r="K197" i="22"/>
  <c r="L197" i="22"/>
  <c r="M197" i="22"/>
  <c r="N197" i="22"/>
  <c r="O197" i="22"/>
  <c r="P197" i="22"/>
  <c r="J219" i="22"/>
  <c r="K219" i="22"/>
  <c r="L219" i="22"/>
  <c r="M219" i="22"/>
  <c r="N219" i="22"/>
  <c r="O219" i="22"/>
  <c r="P219" i="22"/>
  <c r="J220" i="22"/>
  <c r="K220" i="22"/>
  <c r="L220" i="22"/>
  <c r="M220" i="22"/>
  <c r="N220" i="22"/>
  <c r="O220" i="22"/>
  <c r="P220" i="22"/>
  <c r="J254" i="22"/>
  <c r="K254" i="22"/>
  <c r="L254" i="22"/>
  <c r="M254" i="22"/>
  <c r="N254" i="22"/>
  <c r="O254" i="22"/>
  <c r="P254" i="22"/>
  <c r="J255" i="22"/>
  <c r="K255" i="22"/>
  <c r="L255" i="22"/>
  <c r="M255" i="22"/>
  <c r="N255" i="22"/>
  <c r="O255" i="22"/>
  <c r="P255" i="22"/>
  <c r="J365" i="22"/>
  <c r="K365" i="22"/>
  <c r="L365" i="22"/>
  <c r="M365" i="22"/>
  <c r="N365" i="22"/>
  <c r="O365" i="22"/>
  <c r="P365" i="22"/>
  <c r="J366" i="22"/>
  <c r="K366" i="22"/>
  <c r="L366" i="22"/>
  <c r="M366" i="22"/>
  <c r="N366" i="22"/>
  <c r="O366" i="22"/>
  <c r="P366" i="22"/>
  <c r="J367" i="22"/>
  <c r="K367" i="22"/>
  <c r="L367" i="22"/>
  <c r="M367" i="22"/>
  <c r="N367" i="22"/>
  <c r="O367" i="22"/>
  <c r="P367" i="22"/>
  <c r="P177" i="3"/>
  <c r="Q177" i="3"/>
  <c r="R177" i="3"/>
  <c r="S177" i="3"/>
  <c r="P178" i="3"/>
  <c r="Q178" i="3"/>
  <c r="R178" i="3"/>
  <c r="S178" i="3"/>
  <c r="P180" i="3"/>
  <c r="Q180" i="3"/>
  <c r="R180" i="3"/>
  <c r="S180" i="3"/>
  <c r="P181" i="3"/>
  <c r="Q181" i="3"/>
  <c r="R181" i="3"/>
  <c r="S181" i="3"/>
  <c r="P183" i="3"/>
  <c r="Q183" i="3"/>
  <c r="R183" i="3"/>
  <c r="S183" i="3"/>
  <c r="P184" i="3"/>
  <c r="Q184" i="3"/>
  <c r="R184" i="3"/>
  <c r="S184" i="3"/>
  <c r="P189" i="3"/>
  <c r="Q189" i="3"/>
  <c r="R189" i="3"/>
  <c r="S189" i="3"/>
  <c r="P196" i="3"/>
  <c r="Q196" i="3"/>
  <c r="R196" i="3"/>
  <c r="S196" i="3"/>
  <c r="P197" i="3"/>
  <c r="Q197" i="3"/>
  <c r="R197" i="3"/>
  <c r="S197" i="3"/>
  <c r="P204" i="3"/>
  <c r="Q204" i="3"/>
  <c r="R204" i="3"/>
  <c r="S204" i="3"/>
  <c r="P206" i="3"/>
  <c r="Q206" i="3"/>
  <c r="R206" i="3"/>
  <c r="S206" i="3"/>
  <c r="P207" i="3"/>
  <c r="Q207" i="3"/>
  <c r="R207" i="3"/>
  <c r="S207" i="3"/>
  <c r="P209" i="3"/>
  <c r="Q209" i="3"/>
  <c r="R209" i="3"/>
  <c r="S209" i="3"/>
  <c r="P210" i="3"/>
  <c r="Q210" i="3"/>
  <c r="R210" i="3"/>
  <c r="S210" i="3"/>
  <c r="P212" i="3"/>
  <c r="Q212" i="3"/>
  <c r="R212" i="3"/>
  <c r="S212" i="3"/>
  <c r="P215" i="3"/>
  <c r="Q215" i="3"/>
  <c r="R215" i="3"/>
  <c r="S215" i="3"/>
  <c r="P216" i="3"/>
  <c r="Q216" i="3"/>
  <c r="R216" i="3"/>
  <c r="S216" i="3"/>
  <c r="P218" i="3"/>
  <c r="Q218" i="3"/>
  <c r="R218" i="3"/>
  <c r="S218" i="3"/>
  <c r="P219" i="3"/>
  <c r="Q219" i="3"/>
  <c r="R219" i="3"/>
  <c r="S219" i="3"/>
  <c r="P220" i="3"/>
  <c r="Q220" i="3"/>
  <c r="R220" i="3"/>
  <c r="S220" i="3"/>
  <c r="C8" i="21"/>
  <c r="D8" i="21"/>
  <c r="E8" i="21"/>
  <c r="F8" i="21"/>
  <c r="G8" i="21"/>
  <c r="H8" i="21"/>
  <c r="I8" i="21"/>
  <c r="J8" i="21"/>
  <c r="K8" i="21"/>
  <c r="D15" i="21"/>
  <c r="E15" i="21"/>
  <c r="F15" i="21"/>
  <c r="G15" i="21"/>
  <c r="H15" i="21"/>
  <c r="I15" i="21"/>
  <c r="J15" i="21"/>
  <c r="K15" i="21"/>
  <c r="D17" i="21"/>
  <c r="E17" i="21"/>
  <c r="F17" i="21"/>
  <c r="G17" i="21"/>
  <c r="H17" i="21"/>
  <c r="I17" i="21"/>
  <c r="J17" i="21"/>
  <c r="K17" i="21"/>
  <c r="D19" i="21"/>
  <c r="E19" i="21"/>
  <c r="F19" i="21"/>
  <c r="G19" i="21"/>
  <c r="H19" i="21"/>
  <c r="I19" i="21"/>
  <c r="J19" i="21"/>
  <c r="K19" i="21"/>
  <c r="E20" i="21"/>
  <c r="F20" i="21"/>
  <c r="G20" i="21"/>
  <c r="H20" i="21"/>
  <c r="I20" i="21"/>
  <c r="J20" i="21"/>
  <c r="K20" i="21"/>
  <c r="E22" i="21"/>
  <c r="F22" i="21"/>
  <c r="G22" i="21"/>
  <c r="H22" i="21"/>
  <c r="I22" i="21"/>
  <c r="J22" i="21"/>
  <c r="K22" i="21"/>
  <c r="E23" i="21"/>
  <c r="F23" i="21"/>
  <c r="G23" i="21"/>
  <c r="H23" i="21"/>
  <c r="I23" i="21"/>
  <c r="J23" i="21"/>
  <c r="K23" i="21"/>
  <c r="R12" i="11"/>
  <c r="S12" i="11"/>
  <c r="T12" i="11"/>
  <c r="U12" i="11"/>
  <c r="V12" i="11"/>
  <c r="W12" i="11"/>
  <c r="X12" i="11"/>
  <c r="Y12" i="11"/>
  <c r="Z12" i="11"/>
  <c r="R20" i="11"/>
  <c r="S20" i="11"/>
  <c r="T20" i="11"/>
  <c r="U20" i="11"/>
  <c r="V20" i="11"/>
  <c r="W20" i="11"/>
  <c r="X20" i="11"/>
  <c r="Y20" i="11"/>
  <c r="Z20" i="11"/>
  <c r="R21" i="11"/>
  <c r="S21" i="11"/>
  <c r="T21" i="11"/>
  <c r="U21" i="11"/>
  <c r="V21" i="11"/>
  <c r="W21" i="11"/>
  <c r="X21" i="11"/>
  <c r="Y21" i="11"/>
  <c r="Z21" i="11"/>
  <c r="R22" i="11"/>
  <c r="S22" i="11"/>
  <c r="T22" i="11"/>
  <c r="U22" i="11"/>
  <c r="V22" i="11"/>
  <c r="W22" i="11"/>
  <c r="X22" i="11"/>
  <c r="Y22" i="11"/>
  <c r="Z22" i="11"/>
  <c r="R23" i="11"/>
  <c r="S23" i="11"/>
  <c r="T23" i="11"/>
  <c r="U23" i="11"/>
  <c r="V23" i="11"/>
  <c r="W23" i="11"/>
  <c r="X23" i="11"/>
  <c r="Y23" i="11"/>
  <c r="Z23" i="11"/>
  <c r="R34" i="11"/>
  <c r="S34" i="11"/>
  <c r="T34" i="11"/>
  <c r="U34" i="11"/>
  <c r="V34" i="11"/>
  <c r="W34" i="11"/>
  <c r="X34" i="11"/>
  <c r="Y34" i="11"/>
  <c r="Z34" i="11"/>
  <c r="R41" i="11"/>
  <c r="S41" i="11"/>
  <c r="T41" i="11"/>
  <c r="U41" i="11"/>
  <c r="V41" i="11"/>
  <c r="W41" i="11"/>
  <c r="X41" i="11"/>
  <c r="Y41" i="11"/>
  <c r="Z41" i="11"/>
  <c r="R42" i="11"/>
  <c r="S42" i="11"/>
  <c r="T42" i="11"/>
  <c r="U42" i="11"/>
  <c r="V42" i="11"/>
  <c r="W42" i="11"/>
  <c r="X42" i="11"/>
  <c r="Y42" i="11"/>
  <c r="Z42" i="11"/>
  <c r="R45" i="11"/>
  <c r="S45" i="11"/>
  <c r="T45" i="11"/>
  <c r="U45" i="11"/>
  <c r="V45" i="11"/>
  <c r="W45" i="11"/>
  <c r="X45" i="11"/>
  <c r="Y45" i="11"/>
  <c r="Z45" i="11"/>
  <c r="T54" i="11"/>
  <c r="U54" i="11"/>
  <c r="V54" i="11"/>
  <c r="W54" i="11"/>
  <c r="X54" i="11"/>
  <c r="Y54" i="11"/>
  <c r="Z54" i="11"/>
  <c r="T55" i="11"/>
  <c r="U55" i="11"/>
  <c r="V55" i="11"/>
  <c r="W55" i="11"/>
  <c r="X55" i="11"/>
  <c r="Y55" i="11"/>
  <c r="Z55" i="11"/>
  <c r="T64" i="11"/>
  <c r="U64" i="11"/>
  <c r="V64" i="11"/>
  <c r="W64" i="11"/>
  <c r="X64" i="11"/>
  <c r="Y64" i="11"/>
  <c r="Z64" i="11"/>
  <c r="T65" i="11"/>
  <c r="U65" i="11"/>
  <c r="V65" i="11"/>
  <c r="W65" i="11"/>
  <c r="X65" i="11"/>
  <c r="Y65" i="11"/>
  <c r="Z65" i="11"/>
  <c r="T66" i="11"/>
  <c r="U66" i="11"/>
  <c r="V66" i="11"/>
  <c r="W66" i="11"/>
  <c r="X66" i="11"/>
  <c r="Y66" i="11"/>
  <c r="Z66" i="11"/>
  <c r="T72" i="11"/>
  <c r="U72" i="11"/>
  <c r="V72" i="11"/>
  <c r="W72" i="11"/>
  <c r="X72" i="11"/>
  <c r="Y72" i="11"/>
  <c r="Z72" i="11"/>
  <c r="T73" i="11"/>
  <c r="U73" i="11"/>
  <c r="V73" i="11"/>
  <c r="W73" i="11"/>
  <c r="X73" i="11"/>
  <c r="Y73" i="11"/>
  <c r="Z73" i="11"/>
  <c r="T75" i="11"/>
  <c r="U75" i="11"/>
  <c r="V75" i="11"/>
  <c r="W75" i="11"/>
  <c r="X75" i="11"/>
  <c r="Y75" i="11"/>
  <c r="Z75" i="11"/>
  <c r="T76" i="11"/>
  <c r="U76" i="11"/>
  <c r="V76" i="11"/>
  <c r="W76" i="11"/>
  <c r="X76" i="11"/>
  <c r="Y76" i="11"/>
  <c r="Z76" i="11"/>
  <c r="R77" i="11"/>
  <c r="S77" i="11"/>
  <c r="T77" i="11"/>
  <c r="U77" i="11"/>
  <c r="V77" i="11"/>
  <c r="W77" i="11"/>
  <c r="X77" i="11"/>
  <c r="Y77" i="11"/>
  <c r="Z77" i="11"/>
  <c r="R78" i="11"/>
  <c r="S78" i="11"/>
  <c r="T78" i="11"/>
  <c r="U78" i="11"/>
  <c r="V78" i="11"/>
  <c r="W78" i="11"/>
  <c r="X78" i="11"/>
  <c r="Y78" i="11"/>
  <c r="Z78" i="11"/>
  <c r="T80" i="11"/>
  <c r="U80" i="11"/>
  <c r="V80" i="11"/>
  <c r="W80" i="11"/>
  <c r="X80" i="11"/>
  <c r="Y80" i="11"/>
  <c r="Z80" i="11"/>
  <c r="T82" i="11"/>
  <c r="U82" i="11"/>
  <c r="V82" i="11"/>
  <c r="W82" i="11"/>
  <c r="X82" i="11"/>
  <c r="Y82" i="11"/>
  <c r="Z82" i="11"/>
  <c r="S86" i="11"/>
  <c r="T86" i="11"/>
  <c r="U86" i="11"/>
  <c r="V86" i="11"/>
  <c r="W86" i="11"/>
  <c r="X86" i="11"/>
  <c r="Y86" i="11"/>
  <c r="Z86" i="11"/>
  <c r="S87" i="11"/>
  <c r="T87" i="11"/>
  <c r="U87" i="11"/>
  <c r="V87" i="11"/>
  <c r="W87" i="11"/>
  <c r="X87" i="11"/>
  <c r="Y87" i="11"/>
  <c r="Z87" i="11"/>
  <c r="S88" i="11"/>
  <c r="T88" i="11"/>
  <c r="U88" i="11"/>
  <c r="V88" i="11"/>
  <c r="W88" i="11"/>
  <c r="X88" i="11"/>
  <c r="Y88" i="11"/>
  <c r="Z88" i="11"/>
  <c r="S89" i="11"/>
  <c r="T89" i="11"/>
  <c r="U89" i="11"/>
  <c r="V89" i="11"/>
  <c r="W89" i="11"/>
  <c r="X89" i="11"/>
  <c r="Y89" i="11"/>
  <c r="Z89" i="11"/>
  <c r="S91" i="11"/>
  <c r="T91" i="11"/>
  <c r="U91" i="11"/>
  <c r="V91" i="11"/>
  <c r="W91" i="11"/>
  <c r="X91" i="11"/>
  <c r="Y91" i="11"/>
  <c r="Z91" i="11"/>
  <c r="S92" i="11"/>
  <c r="T92" i="11"/>
  <c r="U92" i="11"/>
  <c r="V92" i="11"/>
  <c r="W92" i="11"/>
  <c r="X92" i="11"/>
  <c r="Y92" i="11"/>
  <c r="Z92" i="11"/>
  <c r="S93" i="11"/>
  <c r="T93" i="11"/>
  <c r="U93" i="11"/>
  <c r="V93" i="11"/>
  <c r="W93" i="11"/>
  <c r="X93" i="11"/>
  <c r="Y93" i="11"/>
  <c r="Z93" i="11"/>
  <c r="S94" i="11"/>
  <c r="T94" i="11"/>
  <c r="U94" i="11"/>
  <c r="V94" i="11"/>
  <c r="W94" i="11"/>
  <c r="X94" i="11"/>
  <c r="Y94" i="11"/>
  <c r="Z94" i="11"/>
  <c r="S96" i="11"/>
  <c r="T96" i="11"/>
  <c r="U96" i="11"/>
  <c r="V96" i="11"/>
  <c r="W96" i="11"/>
  <c r="X96" i="11"/>
  <c r="Y96" i="11"/>
  <c r="Z96" i="11"/>
  <c r="S97" i="11"/>
  <c r="T97" i="11"/>
  <c r="U97" i="11"/>
  <c r="V97" i="11"/>
  <c r="W97" i="11"/>
  <c r="X97" i="11"/>
  <c r="Y97" i="11"/>
  <c r="Z97" i="11"/>
  <c r="S98" i="11"/>
  <c r="T98" i="11"/>
  <c r="U98" i="11"/>
  <c r="V98" i="11"/>
  <c r="W98" i="11"/>
  <c r="X98" i="11"/>
  <c r="Y98" i="11"/>
  <c r="Z98" i="11"/>
  <c r="S99" i="11"/>
  <c r="T99" i="11"/>
  <c r="U99" i="11"/>
  <c r="V99" i="11"/>
  <c r="W99" i="11"/>
  <c r="X99" i="11"/>
  <c r="Y99" i="11"/>
  <c r="Z99" i="11"/>
  <c r="S101" i="11"/>
  <c r="T101" i="11"/>
  <c r="U101" i="11"/>
  <c r="V101" i="11"/>
  <c r="W101" i="11"/>
  <c r="X101" i="11"/>
  <c r="Y101" i="11"/>
  <c r="Z101" i="11"/>
  <c r="S102" i="11"/>
  <c r="T102" i="11"/>
  <c r="U102" i="11"/>
  <c r="V102" i="11"/>
  <c r="W102" i="11"/>
  <c r="X102" i="11"/>
  <c r="Y102" i="11"/>
  <c r="Z102" i="11"/>
  <c r="R103" i="11"/>
  <c r="S103" i="11"/>
  <c r="T103" i="11"/>
  <c r="U103" i="11"/>
  <c r="V103" i="11"/>
  <c r="W103" i="11"/>
  <c r="X103" i="11"/>
  <c r="Y103" i="11"/>
  <c r="Z103" i="11"/>
  <c r="R104" i="11"/>
  <c r="S104" i="11"/>
  <c r="T104" i="11"/>
  <c r="U104" i="11"/>
  <c r="V104" i="11"/>
  <c r="W104" i="11"/>
  <c r="X104" i="11"/>
  <c r="Y104" i="11"/>
  <c r="Z104" i="11"/>
  <c r="T109" i="11"/>
  <c r="U109" i="11"/>
  <c r="V109" i="11"/>
  <c r="W109" i="11"/>
  <c r="X109" i="11"/>
  <c r="Y109" i="11"/>
  <c r="Z109" i="11"/>
  <c r="T110" i="11"/>
  <c r="U110" i="11"/>
  <c r="V110" i="11"/>
  <c r="W110" i="11"/>
  <c r="X110" i="11"/>
  <c r="Y110" i="11"/>
  <c r="Z110" i="11"/>
  <c r="T111" i="11"/>
  <c r="U111" i="11"/>
  <c r="V111" i="11"/>
  <c r="W111" i="11"/>
  <c r="X111" i="11"/>
  <c r="Y111" i="11"/>
  <c r="Z111" i="11"/>
  <c r="T112" i="11"/>
  <c r="U112" i="11"/>
  <c r="V112" i="11"/>
  <c r="W112" i="11"/>
  <c r="X112" i="11"/>
  <c r="Y112" i="11"/>
  <c r="Z112" i="11"/>
  <c r="T113" i="11"/>
  <c r="U113" i="11"/>
  <c r="V113" i="11"/>
  <c r="W113" i="11"/>
  <c r="X113" i="11"/>
  <c r="Y113" i="11"/>
  <c r="Z113" i="11"/>
  <c r="T114" i="11"/>
  <c r="U114" i="11"/>
  <c r="V114" i="11"/>
  <c r="W114" i="11"/>
  <c r="X114" i="11"/>
  <c r="Y114" i="11"/>
  <c r="Z114" i="11"/>
  <c r="T115" i="11"/>
  <c r="U115" i="11"/>
  <c r="V115" i="11"/>
  <c r="W115" i="11"/>
  <c r="X115" i="11"/>
  <c r="Y115" i="11"/>
  <c r="Z115" i="11"/>
  <c r="T116" i="11"/>
  <c r="U116" i="11"/>
  <c r="V116" i="11"/>
  <c r="W116" i="11"/>
  <c r="X116" i="11"/>
  <c r="Y116" i="11"/>
  <c r="Z116" i="11"/>
  <c r="T117" i="11"/>
  <c r="U117" i="11"/>
  <c r="V117" i="11"/>
  <c r="W117" i="11"/>
  <c r="X117" i="11"/>
  <c r="Y117" i="11"/>
  <c r="Z117" i="11"/>
  <c r="T118" i="11"/>
  <c r="U118" i="11"/>
  <c r="V118" i="11"/>
  <c r="W118" i="11"/>
  <c r="X118" i="11"/>
  <c r="Y118" i="11"/>
  <c r="Z118" i="11"/>
  <c r="T119" i="11"/>
  <c r="U119" i="11"/>
  <c r="V119" i="11"/>
  <c r="W119" i="11"/>
  <c r="X119" i="11"/>
  <c r="Y119" i="11"/>
  <c r="Z119" i="11"/>
  <c r="T120" i="11"/>
  <c r="U120" i="11"/>
  <c r="V120" i="11"/>
  <c r="W120" i="11"/>
  <c r="X120" i="11"/>
  <c r="Y120" i="11"/>
  <c r="Z120" i="11"/>
  <c r="T121" i="11"/>
  <c r="U121" i="11"/>
  <c r="V121" i="11"/>
  <c r="W121" i="11"/>
  <c r="X121" i="11"/>
  <c r="Y121" i="11"/>
  <c r="Z121" i="11"/>
  <c r="T123" i="11"/>
  <c r="U123" i="11"/>
  <c r="V123" i="11"/>
  <c r="W123" i="11"/>
  <c r="X123" i="11"/>
  <c r="Y123" i="11"/>
  <c r="Z123" i="11"/>
  <c r="T124" i="11"/>
  <c r="U124" i="11"/>
  <c r="V124" i="11"/>
  <c r="W124" i="11"/>
  <c r="X124" i="11"/>
  <c r="Y124" i="11"/>
  <c r="Z124" i="11"/>
  <c r="T125" i="11"/>
  <c r="U125" i="11"/>
  <c r="V125" i="11"/>
  <c r="W125" i="11"/>
  <c r="X125" i="11"/>
  <c r="Y125" i="11"/>
  <c r="Z125" i="11"/>
  <c r="T126" i="11"/>
  <c r="U126" i="11"/>
  <c r="V126" i="11"/>
  <c r="W126" i="11"/>
  <c r="X126" i="11"/>
  <c r="Y126" i="11"/>
  <c r="Z126" i="11"/>
  <c r="T127" i="11"/>
  <c r="U127" i="11"/>
  <c r="V127" i="11"/>
  <c r="W127" i="11"/>
  <c r="X127" i="11"/>
  <c r="Y127" i="11"/>
  <c r="Z127" i="11"/>
  <c r="T128" i="11"/>
  <c r="U128" i="11"/>
  <c r="V128" i="11"/>
  <c r="W128" i="11"/>
  <c r="X128" i="11"/>
  <c r="Y128" i="11"/>
  <c r="Z128" i="11"/>
  <c r="T129" i="11"/>
  <c r="U129" i="11"/>
  <c r="V129" i="11"/>
  <c r="W129" i="11"/>
  <c r="X129" i="11"/>
  <c r="Y129" i="11"/>
  <c r="Z129" i="11"/>
  <c r="T130" i="11"/>
  <c r="U130" i="11"/>
  <c r="V130" i="11"/>
  <c r="W130" i="11"/>
  <c r="X130" i="11"/>
  <c r="Y130" i="11"/>
  <c r="Z130" i="11"/>
  <c r="T143" i="11"/>
  <c r="U143" i="11"/>
  <c r="V143" i="11"/>
  <c r="W143" i="11"/>
  <c r="X143" i="11"/>
  <c r="Y143" i="11"/>
  <c r="Z143" i="11"/>
  <c r="T144" i="11"/>
  <c r="U144" i="11"/>
  <c r="V144" i="11"/>
  <c r="W144" i="11"/>
  <c r="X144" i="11"/>
  <c r="Y144" i="11"/>
  <c r="Z144" i="11"/>
  <c r="T145" i="11"/>
  <c r="U145" i="11"/>
  <c r="V145" i="11"/>
  <c r="W145" i="11"/>
  <c r="X145" i="11"/>
  <c r="Y145" i="11"/>
  <c r="Z145" i="11"/>
  <c r="T146" i="11"/>
  <c r="U146" i="11"/>
  <c r="V146" i="11"/>
  <c r="W146" i="11"/>
  <c r="X146" i="11"/>
  <c r="Y146" i="11"/>
  <c r="Z146" i="11"/>
  <c r="T147" i="11"/>
  <c r="U147" i="11"/>
  <c r="V147" i="11"/>
  <c r="W147" i="11"/>
  <c r="X147" i="11"/>
  <c r="Y147" i="11"/>
  <c r="Z147" i="11"/>
  <c r="T150" i="11"/>
  <c r="U150" i="11"/>
  <c r="V150" i="11"/>
  <c r="W150" i="11"/>
  <c r="X150" i="11"/>
  <c r="Y150" i="11"/>
  <c r="Z150" i="11"/>
  <c r="U153" i="11"/>
  <c r="V153" i="11"/>
  <c r="W153" i="11"/>
  <c r="X153" i="11"/>
  <c r="Y153" i="11"/>
  <c r="Z153" i="11"/>
  <c r="U154" i="11"/>
  <c r="V154" i="11"/>
  <c r="W154" i="11"/>
  <c r="X154" i="11"/>
  <c r="Y154" i="11"/>
  <c r="Z154" i="11"/>
  <c r="T156" i="11"/>
  <c r="U156" i="11"/>
  <c r="V156" i="11"/>
  <c r="W156" i="11"/>
  <c r="X156" i="11"/>
  <c r="Y156" i="11"/>
  <c r="Z156" i="11"/>
  <c r="T157" i="11"/>
  <c r="U157" i="11"/>
  <c r="V157" i="11"/>
  <c r="W157" i="11"/>
  <c r="X157" i="11"/>
  <c r="Y157" i="11"/>
  <c r="Z157" i="11"/>
  <c r="T158" i="11"/>
  <c r="U158" i="11"/>
  <c r="V158" i="11"/>
  <c r="W158" i="11"/>
  <c r="X158" i="11"/>
  <c r="Y158" i="11"/>
  <c r="Z158" i="11"/>
  <c r="Q159" i="11"/>
  <c r="R159" i="11"/>
  <c r="S159" i="11"/>
  <c r="T159" i="11"/>
  <c r="U159" i="11"/>
  <c r="V159" i="11"/>
  <c r="W159" i="11"/>
  <c r="X159" i="11"/>
  <c r="Y159" i="11"/>
  <c r="Z159" i="11"/>
  <c r="Q160" i="11"/>
  <c r="R160" i="11"/>
  <c r="S160" i="11"/>
  <c r="T160" i="11"/>
  <c r="U160" i="11"/>
  <c r="V160" i="11"/>
  <c r="W160" i="11"/>
  <c r="X160" i="11"/>
  <c r="Y160" i="11"/>
  <c r="Z160" i="11"/>
  <c r="T165" i="11"/>
  <c r="U165" i="11"/>
  <c r="V165" i="11"/>
  <c r="W165" i="11"/>
  <c r="X165" i="11"/>
  <c r="Y165" i="11"/>
  <c r="Z165" i="11"/>
  <c r="T166" i="11"/>
  <c r="U166" i="11"/>
  <c r="V166" i="11"/>
  <c r="W166" i="11"/>
  <c r="X166" i="11"/>
  <c r="Y166" i="11"/>
  <c r="Z166" i="11"/>
  <c r="Q167" i="11"/>
  <c r="R167" i="11"/>
  <c r="S167" i="11"/>
  <c r="T167" i="11"/>
  <c r="U167" i="11"/>
  <c r="V167" i="11"/>
  <c r="W167" i="11"/>
  <c r="X167" i="11"/>
  <c r="Y167" i="11"/>
  <c r="Z167" i="11"/>
  <c r="U170" i="11"/>
  <c r="V170" i="11"/>
  <c r="W170" i="11"/>
  <c r="X170" i="11"/>
  <c r="Y170" i="11"/>
  <c r="Z170" i="11"/>
  <c r="Q174" i="11"/>
  <c r="Q175" i="11"/>
  <c r="R175" i="11"/>
  <c r="S175" i="11"/>
  <c r="T175" i="11"/>
  <c r="U175" i="11"/>
  <c r="V175" i="11"/>
  <c r="W175" i="11"/>
  <c r="X175" i="11"/>
  <c r="Y175" i="11"/>
  <c r="Z175" i="11"/>
  <c r="R177" i="11"/>
  <c r="S177" i="11"/>
  <c r="T177" i="11"/>
  <c r="U177" i="11"/>
  <c r="V177" i="11"/>
  <c r="W177" i="11"/>
  <c r="X177" i="11"/>
  <c r="Y177" i="11"/>
  <c r="Z177" i="11"/>
  <c r="Q178" i="11"/>
  <c r="R178" i="11"/>
  <c r="S178" i="11"/>
  <c r="T178" i="11"/>
  <c r="U178" i="11"/>
  <c r="V178" i="11"/>
  <c r="W178" i="11"/>
  <c r="X178" i="11"/>
  <c r="Y178" i="11"/>
  <c r="Z178" i="11"/>
  <c r="T183" i="11"/>
  <c r="U183" i="11"/>
  <c r="V183" i="11"/>
  <c r="W183" i="11"/>
  <c r="X183" i="11"/>
  <c r="Y183" i="11"/>
  <c r="Z183" i="11"/>
  <c r="U185" i="11"/>
  <c r="V185" i="11"/>
  <c r="W185" i="11"/>
  <c r="X185" i="11"/>
  <c r="Y185" i="11"/>
  <c r="Z185" i="11"/>
  <c r="U187" i="11"/>
  <c r="V187" i="11"/>
  <c r="W187" i="11"/>
  <c r="X187" i="11"/>
  <c r="Y187" i="11"/>
  <c r="Z187" i="11"/>
  <c r="T188" i="11"/>
  <c r="U188" i="11"/>
  <c r="V188" i="11"/>
  <c r="W188" i="11"/>
  <c r="X188" i="11"/>
  <c r="Y188" i="11"/>
  <c r="Z188" i="11"/>
  <c r="T189" i="11"/>
  <c r="U189" i="11"/>
  <c r="V189" i="11"/>
  <c r="W189" i="11"/>
  <c r="X189" i="11"/>
  <c r="Y189" i="11"/>
  <c r="Z189" i="11"/>
  <c r="T192" i="11"/>
  <c r="U192" i="11"/>
  <c r="V192" i="11"/>
  <c r="W192" i="11"/>
  <c r="X192" i="11"/>
  <c r="Y192" i="11"/>
  <c r="Z192" i="11"/>
  <c r="T194" i="11"/>
  <c r="U194" i="11"/>
  <c r="V194" i="11"/>
  <c r="W194" i="11"/>
  <c r="X194" i="11"/>
  <c r="Y194" i="11"/>
  <c r="Z194" i="11"/>
  <c r="T195" i="11"/>
  <c r="U195" i="11"/>
  <c r="V195" i="11"/>
  <c r="W195" i="11"/>
  <c r="X195" i="11"/>
  <c r="Y195" i="11"/>
  <c r="Z195" i="11"/>
  <c r="U200" i="11"/>
  <c r="V200" i="11"/>
  <c r="W200" i="11"/>
  <c r="X200" i="11"/>
  <c r="Y200" i="11"/>
  <c r="Z200" i="11"/>
  <c r="U201" i="11"/>
  <c r="V201" i="11"/>
  <c r="W201" i="11"/>
  <c r="X201" i="11"/>
  <c r="Y201" i="11"/>
  <c r="Z201" i="11"/>
  <c r="U202" i="11"/>
  <c r="V202" i="11"/>
  <c r="W202" i="11"/>
  <c r="X202" i="11"/>
  <c r="Y202" i="11"/>
  <c r="Z202" i="11"/>
  <c r="P203" i="11"/>
  <c r="Q203" i="11"/>
  <c r="R203" i="11"/>
  <c r="S203" i="11"/>
  <c r="T203" i="11"/>
  <c r="U203" i="11"/>
  <c r="R215" i="11"/>
  <c r="S215" i="11"/>
  <c r="T215" i="11"/>
  <c r="U215" i="11"/>
  <c r="V215" i="11"/>
  <c r="W215" i="11"/>
  <c r="X215" i="11"/>
  <c r="Y215" i="11"/>
  <c r="Z215" i="11"/>
  <c r="R216" i="11"/>
  <c r="S216" i="11"/>
  <c r="T216" i="11"/>
  <c r="U216" i="11"/>
  <c r="V216" i="11"/>
  <c r="W216" i="11"/>
  <c r="X216" i="11"/>
  <c r="Y216" i="11"/>
  <c r="Z216" i="11"/>
  <c r="R218" i="11"/>
  <c r="S218" i="11"/>
  <c r="T218" i="11"/>
  <c r="U218" i="11"/>
  <c r="V218" i="11"/>
  <c r="W218" i="11"/>
  <c r="X218" i="11"/>
  <c r="Y218" i="11"/>
  <c r="Z218" i="11"/>
  <c r="R219" i="11"/>
  <c r="S219" i="11"/>
  <c r="T219" i="11"/>
  <c r="U219" i="11"/>
  <c r="V219" i="11"/>
  <c r="W219" i="11"/>
  <c r="X219" i="11"/>
  <c r="Y219" i="11"/>
  <c r="Z219" i="11"/>
  <c r="R221" i="11"/>
  <c r="S221" i="11"/>
  <c r="T221" i="11"/>
  <c r="U221" i="11"/>
  <c r="V221" i="11"/>
  <c r="W221" i="11"/>
  <c r="X221" i="11"/>
  <c r="Y221" i="11"/>
  <c r="Z221" i="11"/>
  <c r="T222" i="11"/>
  <c r="U222" i="11"/>
  <c r="V222" i="11"/>
  <c r="W222" i="11"/>
  <c r="X222" i="11"/>
  <c r="Y222" i="11"/>
  <c r="Z222" i="11"/>
  <c r="C7" i="12"/>
  <c r="D7" i="12"/>
  <c r="E7" i="12"/>
  <c r="G7" i="12"/>
  <c r="I7" i="12"/>
  <c r="J7" i="12"/>
  <c r="F8" i="12"/>
  <c r="G8" i="12"/>
  <c r="I8" i="12"/>
  <c r="J8" i="12"/>
  <c r="C9" i="12"/>
  <c r="D9" i="12"/>
  <c r="E9" i="12"/>
  <c r="F9" i="12"/>
  <c r="J9" i="12"/>
  <c r="B13" i="12"/>
  <c r="B14" i="12"/>
  <c r="B15" i="12"/>
  <c r="B17" i="12"/>
  <c r="B19" i="12"/>
  <c r="C23" i="12"/>
  <c r="E23" i="12"/>
  <c r="G23" i="12"/>
  <c r="P23" i="12"/>
  <c r="BN23" i="12"/>
  <c r="BP23" i="12"/>
  <c r="C24" i="12"/>
  <c r="E24" i="12"/>
  <c r="G24" i="12"/>
  <c r="C25" i="12"/>
  <c r="E25" i="12"/>
  <c r="G25" i="12"/>
  <c r="P25" i="12"/>
  <c r="BN25" i="12"/>
  <c r="BP25" i="12"/>
  <c r="C26" i="12"/>
  <c r="E26" i="12"/>
  <c r="G26" i="12"/>
  <c r="K37" i="12"/>
  <c r="L37" i="12"/>
  <c r="M37" i="12"/>
  <c r="N37" i="12"/>
  <c r="O37" i="12"/>
  <c r="P37" i="12"/>
  <c r="Q37" i="12"/>
  <c r="K38" i="12"/>
  <c r="L38" i="12"/>
  <c r="M38" i="12"/>
  <c r="N38" i="12"/>
  <c r="O38" i="12"/>
  <c r="P38" i="12"/>
  <c r="Q38" i="12"/>
  <c r="K39" i="12"/>
  <c r="L39" i="12"/>
  <c r="M39" i="12"/>
  <c r="N39" i="12"/>
  <c r="O39" i="12"/>
  <c r="P39" i="12"/>
  <c r="Q39" i="12"/>
  <c r="K41" i="12"/>
  <c r="L41" i="12"/>
  <c r="M41" i="12"/>
  <c r="N41" i="12"/>
  <c r="O41" i="12"/>
  <c r="P41" i="12"/>
  <c r="Q41" i="12"/>
  <c r="Q46" i="12"/>
  <c r="G48" i="12"/>
  <c r="H48" i="12"/>
  <c r="I48" i="12"/>
  <c r="J48" i="12"/>
  <c r="K48" i="12"/>
  <c r="L48" i="12"/>
  <c r="M48" i="12"/>
  <c r="N48" i="12"/>
  <c r="O48" i="12"/>
  <c r="P48" i="12"/>
  <c r="Q48" i="12"/>
  <c r="G49" i="12"/>
  <c r="H49" i="12"/>
  <c r="I49" i="12"/>
  <c r="J49" i="12"/>
  <c r="K49" i="12"/>
  <c r="L49" i="12"/>
  <c r="M49" i="12"/>
  <c r="N49" i="12"/>
  <c r="O49" i="12"/>
  <c r="P49" i="12"/>
  <c r="Q49" i="12"/>
  <c r="G50" i="12"/>
  <c r="H50" i="12"/>
  <c r="I50" i="12"/>
  <c r="J50" i="12"/>
  <c r="K50" i="12"/>
  <c r="L50" i="12"/>
  <c r="M50" i="12"/>
  <c r="N50" i="12"/>
  <c r="O50" i="12"/>
  <c r="P50" i="12"/>
  <c r="Q50" i="12"/>
  <c r="K51" i="12"/>
  <c r="L51" i="12"/>
  <c r="M51" i="12"/>
  <c r="N51" i="12"/>
  <c r="O51" i="12"/>
  <c r="P51" i="12"/>
  <c r="Q51" i="12"/>
  <c r="G53" i="12"/>
  <c r="H53" i="12"/>
  <c r="I53" i="12"/>
  <c r="J53" i="12"/>
  <c r="K53" i="12"/>
  <c r="L53" i="12"/>
  <c r="M53" i="12"/>
  <c r="N53" i="12"/>
  <c r="O53" i="12"/>
  <c r="P53" i="12"/>
  <c r="Q53" i="12"/>
  <c r="G55" i="12"/>
  <c r="H55" i="12"/>
  <c r="I55" i="12"/>
  <c r="J55" i="12"/>
  <c r="K55" i="12"/>
  <c r="L55" i="12"/>
  <c r="M55" i="12"/>
  <c r="G56" i="12"/>
  <c r="H56" i="12"/>
  <c r="I56" i="12"/>
  <c r="J56" i="12"/>
  <c r="K56" i="12"/>
  <c r="L56" i="12"/>
  <c r="M56" i="12"/>
  <c r="G57" i="12"/>
  <c r="H57" i="12"/>
  <c r="I57" i="12"/>
  <c r="J57" i="12"/>
  <c r="K57" i="12"/>
  <c r="L57" i="12"/>
  <c r="M57" i="12"/>
  <c r="I78" i="12"/>
  <c r="J78" i="12"/>
  <c r="K78" i="12"/>
  <c r="L78" i="12"/>
  <c r="M78" i="12"/>
  <c r="N78" i="12"/>
  <c r="O78" i="12"/>
  <c r="P78" i="12"/>
  <c r="Q78" i="12"/>
  <c r="I80" i="12"/>
  <c r="J80" i="12"/>
  <c r="K80" i="12"/>
  <c r="L80" i="12"/>
  <c r="M80" i="12"/>
  <c r="N80" i="12"/>
  <c r="O80" i="12"/>
  <c r="P80" i="12"/>
  <c r="Q80" i="12"/>
  <c r="G92" i="12"/>
  <c r="H92" i="12"/>
  <c r="I92" i="12"/>
  <c r="J92" i="12"/>
  <c r="K92" i="12"/>
  <c r="L92" i="12"/>
  <c r="M92" i="12"/>
  <c r="N92" i="12"/>
  <c r="O92" i="12"/>
  <c r="P92" i="12"/>
  <c r="Q92" i="12"/>
  <c r="G93" i="12"/>
  <c r="H93" i="12"/>
  <c r="I93" i="12"/>
  <c r="J93" i="12"/>
  <c r="K93" i="12"/>
  <c r="L93" i="12"/>
  <c r="M93" i="12"/>
  <c r="N93" i="12"/>
  <c r="O93" i="12"/>
  <c r="P93" i="12"/>
  <c r="Q93" i="12"/>
  <c r="G94" i="12"/>
  <c r="H94" i="12"/>
  <c r="I94" i="12"/>
  <c r="J94" i="12"/>
  <c r="K94" i="12"/>
  <c r="L94" i="12"/>
  <c r="M94" i="12"/>
  <c r="N94" i="12"/>
  <c r="O94" i="12"/>
  <c r="P94" i="12"/>
  <c r="Q94" i="12"/>
  <c r="G95" i="12"/>
  <c r="H95" i="12"/>
  <c r="I95" i="12"/>
  <c r="J95" i="12"/>
  <c r="K95" i="12"/>
  <c r="L95" i="12"/>
  <c r="M95" i="12"/>
  <c r="N95" i="12"/>
  <c r="O95" i="12"/>
  <c r="P95" i="12"/>
  <c r="Q95" i="12"/>
  <c r="G96" i="12"/>
  <c r="H96" i="12"/>
  <c r="I96" i="12"/>
  <c r="J96" i="12"/>
  <c r="K96" i="12"/>
  <c r="L96" i="12"/>
  <c r="M96" i="12"/>
  <c r="N96" i="12"/>
  <c r="O96" i="12"/>
  <c r="P96" i="12"/>
  <c r="Q96" i="12"/>
  <c r="G97" i="12"/>
  <c r="H97" i="12"/>
  <c r="I97" i="12"/>
  <c r="J97" i="12"/>
  <c r="K97" i="12"/>
  <c r="L97" i="12"/>
  <c r="M97" i="12"/>
  <c r="N97" i="12"/>
  <c r="O97" i="12"/>
  <c r="P97" i="12"/>
  <c r="Q97" i="12"/>
  <c r="G99" i="12"/>
  <c r="H99" i="12"/>
  <c r="I99" i="12"/>
  <c r="J99" i="12"/>
  <c r="K99" i="12"/>
  <c r="L99" i="12"/>
  <c r="M99" i="12"/>
  <c r="N99" i="12"/>
  <c r="O99" i="12"/>
  <c r="P99" i="12"/>
  <c r="Q99" i="12"/>
  <c r="G100" i="12"/>
  <c r="H100" i="12"/>
  <c r="I100" i="12"/>
  <c r="J100" i="12"/>
  <c r="K100" i="12"/>
  <c r="L100" i="12"/>
  <c r="M100" i="12"/>
  <c r="N100" i="12"/>
  <c r="O100" i="12"/>
  <c r="P100" i="12"/>
  <c r="Q100" i="12"/>
  <c r="G104" i="12"/>
  <c r="H104" i="12"/>
  <c r="I104" i="12"/>
  <c r="J104" i="12"/>
  <c r="K104" i="12"/>
  <c r="L104" i="12"/>
  <c r="M104" i="12"/>
  <c r="N104" i="12"/>
  <c r="O104" i="12"/>
  <c r="P104" i="12"/>
  <c r="Q104" i="12"/>
  <c r="G105" i="12"/>
  <c r="H105" i="12"/>
  <c r="I105" i="12"/>
  <c r="J105" i="12"/>
  <c r="K105" i="12"/>
  <c r="L105" i="12"/>
  <c r="M105" i="12"/>
  <c r="N105" i="12"/>
  <c r="O105" i="12"/>
  <c r="P105" i="12"/>
  <c r="Q105" i="12"/>
  <c r="G106" i="12"/>
  <c r="H106" i="12"/>
  <c r="I106" i="12"/>
  <c r="J106" i="12"/>
  <c r="K106" i="12"/>
  <c r="L106" i="12"/>
  <c r="M106" i="12"/>
  <c r="N106" i="12"/>
  <c r="O106" i="12"/>
  <c r="P106" i="12"/>
  <c r="Q106" i="12"/>
  <c r="G107" i="12"/>
  <c r="H107" i="12"/>
  <c r="I107" i="12"/>
  <c r="J107" i="12"/>
  <c r="K107" i="12"/>
  <c r="L107" i="12"/>
  <c r="M107" i="12"/>
  <c r="N107" i="12"/>
  <c r="O107" i="12"/>
  <c r="P107" i="12"/>
  <c r="Q107" i="12"/>
  <c r="G108" i="12"/>
  <c r="H108" i="12"/>
  <c r="I108" i="12"/>
  <c r="J108" i="12"/>
  <c r="K108" i="12"/>
  <c r="L108" i="12"/>
  <c r="M108" i="12"/>
  <c r="N108" i="12"/>
  <c r="O108" i="12"/>
  <c r="P108" i="12"/>
  <c r="Q108" i="12"/>
  <c r="G109" i="12"/>
  <c r="H109" i="12"/>
  <c r="I109" i="12"/>
  <c r="J109" i="12"/>
  <c r="K109" i="12"/>
  <c r="L109" i="12"/>
  <c r="M109" i="12"/>
  <c r="N109" i="12"/>
  <c r="O109" i="12"/>
  <c r="P109" i="12"/>
  <c r="Q109" i="12"/>
  <c r="G111" i="12"/>
  <c r="H111" i="12"/>
  <c r="I111" i="12"/>
  <c r="J111" i="12"/>
  <c r="K111" i="12"/>
  <c r="L111" i="12"/>
  <c r="M111" i="12"/>
  <c r="N111" i="12"/>
  <c r="O111" i="12"/>
  <c r="P111" i="12"/>
  <c r="Q111" i="12"/>
  <c r="G112" i="12"/>
  <c r="H112" i="12"/>
  <c r="I112" i="12"/>
  <c r="J112" i="12"/>
  <c r="K112" i="12"/>
  <c r="L112" i="12"/>
  <c r="M112" i="12"/>
  <c r="N112" i="12"/>
  <c r="O112" i="12"/>
  <c r="P112" i="12"/>
  <c r="Q112" i="12"/>
  <c r="G118" i="12"/>
  <c r="H118" i="12"/>
  <c r="I118" i="12"/>
  <c r="J118" i="12"/>
  <c r="K118" i="12"/>
  <c r="L118" i="12"/>
  <c r="M118" i="12"/>
  <c r="N118" i="12"/>
  <c r="O118" i="12"/>
  <c r="P118" i="12"/>
  <c r="Q118" i="12"/>
  <c r="R118" i="12"/>
  <c r="G119" i="12"/>
  <c r="H119" i="12"/>
  <c r="I119" i="12"/>
  <c r="J119" i="12"/>
  <c r="K119" i="12"/>
  <c r="L119" i="12"/>
  <c r="M119" i="12"/>
  <c r="N119" i="12"/>
  <c r="O119" i="12"/>
  <c r="P119" i="12"/>
  <c r="Q119" i="12"/>
  <c r="R119" i="12"/>
  <c r="G120" i="12"/>
  <c r="H120" i="12"/>
  <c r="I120" i="12"/>
  <c r="J120" i="12"/>
  <c r="K120" i="12"/>
  <c r="L120" i="12"/>
  <c r="M120" i="12"/>
  <c r="N120" i="12"/>
  <c r="O120" i="12"/>
  <c r="P120" i="12"/>
  <c r="Q120" i="12"/>
  <c r="R120" i="12"/>
  <c r="K129" i="12"/>
  <c r="L129" i="12"/>
  <c r="M129" i="12"/>
  <c r="N129" i="12"/>
  <c r="O129" i="12"/>
  <c r="P129" i="12"/>
  <c r="Q129" i="12"/>
  <c r="K130" i="12"/>
  <c r="L130" i="12"/>
  <c r="M130" i="12"/>
  <c r="N130" i="12"/>
  <c r="O130" i="12"/>
  <c r="P130" i="12"/>
  <c r="Q130" i="12"/>
  <c r="K131" i="12"/>
  <c r="L131" i="12"/>
  <c r="M131" i="12"/>
  <c r="N131" i="12"/>
  <c r="O131" i="12"/>
  <c r="P131" i="12"/>
  <c r="Q131" i="12"/>
  <c r="K132" i="12"/>
  <c r="L132" i="12"/>
  <c r="M132" i="12"/>
  <c r="N132" i="12"/>
  <c r="O132" i="12"/>
  <c r="P132" i="12"/>
  <c r="Q132" i="12"/>
  <c r="K134" i="12"/>
  <c r="L134" i="12"/>
  <c r="M134" i="12"/>
  <c r="N134" i="12"/>
  <c r="O134" i="12"/>
  <c r="P134" i="12"/>
  <c r="Q134" i="12"/>
  <c r="K135" i="12"/>
  <c r="L135" i="12"/>
  <c r="M135" i="12"/>
  <c r="N135" i="12"/>
  <c r="O135" i="12"/>
  <c r="P135" i="12"/>
  <c r="Q135" i="12"/>
  <c r="I140" i="12"/>
  <c r="J140" i="12"/>
  <c r="K140" i="12"/>
  <c r="L140" i="12"/>
  <c r="M140" i="12"/>
  <c r="N140" i="12"/>
  <c r="O140" i="12"/>
  <c r="P140" i="12"/>
  <c r="Q140" i="12"/>
  <c r="G143" i="12"/>
  <c r="H143" i="12"/>
  <c r="I143" i="12"/>
  <c r="J143" i="12"/>
  <c r="K143" i="12"/>
  <c r="L143" i="12"/>
  <c r="M143" i="12"/>
  <c r="N143" i="12"/>
  <c r="O143" i="12"/>
  <c r="P143" i="12"/>
  <c r="Q143" i="12"/>
  <c r="G144" i="12"/>
  <c r="H144" i="12"/>
  <c r="I144" i="12"/>
  <c r="J144" i="12"/>
  <c r="K144" i="12"/>
  <c r="L144" i="12"/>
  <c r="G145" i="12"/>
  <c r="H145" i="12"/>
  <c r="I145" i="12"/>
  <c r="J145" i="12"/>
  <c r="K145" i="12"/>
  <c r="L145" i="12"/>
  <c r="M145" i="12"/>
  <c r="N145" i="12"/>
  <c r="O145" i="12"/>
  <c r="P145" i="12"/>
  <c r="Q145" i="12"/>
  <c r="G147" i="12"/>
  <c r="H147" i="12"/>
  <c r="I147" i="12"/>
  <c r="J147" i="12"/>
  <c r="K147" i="12"/>
  <c r="L147" i="12"/>
  <c r="G150" i="12"/>
  <c r="H150" i="12"/>
  <c r="I150" i="12"/>
  <c r="J150" i="12"/>
  <c r="K150" i="12"/>
  <c r="L150" i="12"/>
  <c r="M150" i="12"/>
  <c r="N150" i="12"/>
  <c r="O150" i="12"/>
  <c r="P150" i="12"/>
  <c r="Q150" i="12"/>
  <c r="I151" i="12"/>
  <c r="J151" i="12"/>
  <c r="K151" i="12"/>
  <c r="L151" i="12"/>
  <c r="M151" i="12"/>
  <c r="N151" i="12"/>
  <c r="O151" i="12"/>
  <c r="P151" i="12"/>
  <c r="Q151" i="12"/>
  <c r="G154" i="12"/>
  <c r="H154" i="12"/>
  <c r="I154" i="12"/>
  <c r="J154" i="12"/>
  <c r="K154" i="12"/>
  <c r="L154" i="12"/>
  <c r="M154" i="12"/>
  <c r="N154" i="12"/>
  <c r="O154" i="12"/>
  <c r="P154" i="12"/>
  <c r="Q154" i="12"/>
  <c r="G155" i="12"/>
  <c r="H155" i="12"/>
  <c r="I155" i="12"/>
  <c r="J155" i="12"/>
  <c r="K155" i="12"/>
  <c r="L155" i="12"/>
  <c r="G156" i="12"/>
  <c r="H156" i="12"/>
  <c r="I156" i="12"/>
  <c r="J156" i="12"/>
  <c r="K156" i="12"/>
  <c r="L156" i="12"/>
  <c r="M156" i="12"/>
  <c r="N156" i="12"/>
  <c r="O156" i="12"/>
  <c r="P156" i="12"/>
  <c r="Q156" i="12"/>
  <c r="G158" i="12"/>
  <c r="H158" i="12"/>
  <c r="I158" i="12"/>
  <c r="J158" i="12"/>
  <c r="K158" i="12"/>
  <c r="L158" i="12"/>
  <c r="M158" i="12"/>
  <c r="N158" i="12"/>
  <c r="O158" i="12"/>
  <c r="P158" i="12"/>
  <c r="Q158" i="12"/>
  <c r="F551" i="12"/>
  <c r="G551" i="12"/>
  <c r="H551" i="12"/>
  <c r="F552" i="12"/>
  <c r="G552" i="12"/>
  <c r="F554" i="12"/>
  <c r="G554" i="12"/>
  <c r="H554" i="12"/>
  <c r="F555" i="12"/>
  <c r="G555" i="12"/>
  <c r="F557" i="12"/>
  <c r="G557" i="12"/>
  <c r="H557" i="12"/>
  <c r="F558" i="12"/>
  <c r="G558" i="12"/>
  <c r="F576" i="12"/>
  <c r="F577" i="12"/>
  <c r="F580" i="12"/>
  <c r="C595" i="12"/>
  <c r="C596" i="12"/>
  <c r="C600" i="12"/>
  <c r="C602" i="12"/>
  <c r="C603" i="12"/>
  <c r="C605" i="12"/>
  <c r="C606" i="12"/>
  <c r="C607" i="12"/>
  <c r="C608" i="12"/>
  <c r="C610" i="12"/>
  <c r="B734" i="12"/>
  <c r="C734" i="12"/>
  <c r="D734" i="12"/>
  <c r="B738" i="12"/>
  <c r="C738" i="12"/>
  <c r="D738" i="12"/>
  <c r="F759" i="12"/>
  <c r="G759" i="12"/>
  <c r="F760" i="12"/>
  <c r="G760" i="12"/>
  <c r="F761" i="12"/>
  <c r="F763" i="12"/>
  <c r="G763" i="12"/>
  <c r="F767" i="12"/>
  <c r="G767" i="12"/>
  <c r="F768" i="12"/>
  <c r="G768" i="12"/>
  <c r="F770" i="12"/>
  <c r="G770" i="12"/>
  <c r="F774" i="12"/>
  <c r="G774" i="12"/>
  <c r="F775" i="12"/>
  <c r="G775" i="12"/>
  <c r="F776" i="12"/>
  <c r="F780" i="12"/>
  <c r="G780" i="12"/>
  <c r="F781" i="12"/>
  <c r="G781" i="12"/>
  <c r="F782" i="12"/>
  <c r="F786" i="12"/>
  <c r="G786" i="12"/>
  <c r="F787" i="12"/>
  <c r="G787" i="12"/>
  <c r="F788" i="12"/>
  <c r="F792" i="12"/>
  <c r="G792" i="12"/>
  <c r="F793" i="12"/>
  <c r="G793" i="12"/>
  <c r="F794" i="12"/>
  <c r="F796" i="12"/>
  <c r="G796" i="12"/>
  <c r="F800" i="12"/>
  <c r="G800" i="12"/>
  <c r="F801" i="12"/>
  <c r="G801" i="12"/>
  <c r="F803" i="12"/>
  <c r="G803" i="12"/>
  <c r="F807" i="12"/>
  <c r="G807" i="12"/>
  <c r="F808" i="12"/>
  <c r="G808" i="12"/>
  <c r="F809" i="12"/>
  <c r="F811" i="12"/>
  <c r="G811" i="12"/>
  <c r="F815" i="12"/>
  <c r="G815" i="12"/>
  <c r="F816" i="12"/>
  <c r="G816" i="12"/>
  <c r="F818" i="12"/>
  <c r="G818" i="12"/>
  <c r="B841" i="12"/>
  <c r="C841" i="12"/>
  <c r="D841" i="12"/>
  <c r="E841" i="12"/>
  <c r="F841" i="12"/>
  <c r="H18" i="4"/>
  <c r="P18" i="4"/>
  <c r="Q18" i="4"/>
  <c r="R18" i="4"/>
  <c r="S18" i="4"/>
  <c r="T18" i="4"/>
  <c r="U18" i="4"/>
  <c r="V18" i="4"/>
  <c r="H24" i="4"/>
  <c r="P24" i="4"/>
  <c r="Q24" i="4"/>
  <c r="R24" i="4"/>
  <c r="S24" i="4"/>
  <c r="T24" i="4"/>
  <c r="U24" i="4"/>
  <c r="V24" i="4"/>
  <c r="H27" i="4"/>
  <c r="P27" i="4"/>
  <c r="Q27" i="4"/>
  <c r="R27" i="4"/>
  <c r="S27" i="4"/>
  <c r="T27" i="4"/>
  <c r="U27" i="4"/>
  <c r="V27" i="4"/>
  <c r="H28" i="4"/>
  <c r="P28" i="4"/>
  <c r="Q28" i="4"/>
  <c r="H30" i="4"/>
  <c r="P30" i="4"/>
  <c r="Q30" i="4"/>
  <c r="R30" i="4"/>
  <c r="S30" i="4"/>
  <c r="T30" i="4"/>
  <c r="U30" i="4"/>
  <c r="V30" i="4"/>
  <c r="H32" i="4"/>
  <c r="P32" i="4"/>
  <c r="Q32" i="4"/>
  <c r="R32" i="4"/>
  <c r="S32" i="4"/>
  <c r="T32" i="4"/>
  <c r="U32" i="4"/>
  <c r="V32" i="4"/>
  <c r="H33" i="4"/>
  <c r="P33" i="4"/>
  <c r="Q33" i="4"/>
  <c r="R33" i="4"/>
  <c r="S33" i="4"/>
  <c r="T33" i="4"/>
  <c r="U33" i="4"/>
  <c r="V33" i="4"/>
  <c r="H35" i="4"/>
  <c r="P35" i="4"/>
  <c r="Q35" i="4"/>
  <c r="R35" i="4"/>
  <c r="S35" i="4"/>
  <c r="T35" i="4"/>
  <c r="U35" i="4"/>
  <c r="V35" i="4"/>
  <c r="P156" i="4"/>
  <c r="Q156" i="4"/>
  <c r="R156" i="4"/>
  <c r="S156" i="4"/>
  <c r="T156" i="4"/>
  <c r="U156" i="4"/>
  <c r="V156" i="4"/>
  <c r="P160" i="4"/>
  <c r="Q160" i="4"/>
  <c r="R160" i="4"/>
  <c r="S160" i="4"/>
  <c r="T160" i="4"/>
  <c r="U160" i="4"/>
  <c r="V160" i="4"/>
  <c r="G166" i="4"/>
  <c r="P166" i="4"/>
  <c r="Q166" i="4"/>
  <c r="R166" i="4"/>
  <c r="S166" i="4"/>
  <c r="T166" i="4"/>
  <c r="U166" i="4"/>
  <c r="V166" i="4"/>
  <c r="G168" i="4"/>
  <c r="P168" i="4"/>
  <c r="Q168" i="4"/>
  <c r="R168" i="4"/>
  <c r="S168" i="4"/>
  <c r="T168" i="4"/>
  <c r="U168" i="4"/>
  <c r="V168" i="4"/>
  <c r="P179" i="4"/>
  <c r="Q179" i="4"/>
  <c r="R179" i="4"/>
  <c r="S179" i="4"/>
  <c r="T179" i="4"/>
  <c r="U179" i="4"/>
  <c r="V179" i="4"/>
  <c r="P180" i="4"/>
  <c r="Q180" i="4"/>
  <c r="R180" i="4"/>
  <c r="S180" i="4"/>
  <c r="T180" i="4"/>
  <c r="U180" i="4"/>
  <c r="V180" i="4"/>
  <c r="P182" i="4"/>
  <c r="Q182" i="4"/>
  <c r="R182" i="4"/>
  <c r="S182" i="4"/>
  <c r="T182" i="4"/>
  <c r="U182" i="4"/>
  <c r="V182" i="4"/>
  <c r="P183" i="4"/>
  <c r="Q183" i="4"/>
  <c r="R183" i="4"/>
  <c r="S183" i="4"/>
  <c r="T183" i="4"/>
  <c r="U183" i="4"/>
  <c r="V183" i="4"/>
  <c r="G185" i="4"/>
  <c r="H185" i="4"/>
  <c r="P185" i="4"/>
  <c r="Q185" i="4"/>
  <c r="R185" i="4"/>
  <c r="S185" i="4"/>
  <c r="T185" i="4"/>
  <c r="U185" i="4"/>
  <c r="V185" i="4"/>
  <c r="G186" i="4"/>
  <c r="H186" i="4"/>
  <c r="I186" i="4"/>
  <c r="P186" i="4"/>
  <c r="Q186" i="4"/>
  <c r="R186" i="4"/>
  <c r="S186" i="4"/>
  <c r="T186" i="4"/>
  <c r="U186" i="4"/>
  <c r="V186" i="4"/>
  <c r="P198" i="4"/>
  <c r="Q198" i="4"/>
  <c r="R198" i="4"/>
  <c r="S198" i="4"/>
  <c r="T198" i="4"/>
  <c r="U198" i="4"/>
  <c r="V198" i="4"/>
  <c r="P201" i="4"/>
  <c r="Q201" i="4"/>
  <c r="R201" i="4"/>
  <c r="S201" i="4"/>
  <c r="T201" i="4"/>
  <c r="U201" i="4"/>
  <c r="V201" i="4"/>
  <c r="P211" i="4"/>
  <c r="Q211" i="4"/>
  <c r="R211" i="4"/>
  <c r="S211" i="4"/>
  <c r="T211" i="4"/>
  <c r="U211" i="4"/>
  <c r="V211" i="4"/>
  <c r="P212" i="4"/>
  <c r="Q212" i="4"/>
  <c r="R212" i="4"/>
  <c r="S212" i="4"/>
  <c r="T212" i="4"/>
  <c r="U212" i="4"/>
  <c r="V212" i="4"/>
  <c r="P217" i="4"/>
  <c r="Q217" i="4"/>
  <c r="R217" i="4"/>
  <c r="S217" i="4"/>
  <c r="T217" i="4"/>
  <c r="U217" i="4"/>
  <c r="V217" i="4"/>
  <c r="I219" i="4"/>
  <c r="Q219" i="4"/>
  <c r="R219" i="4"/>
  <c r="S219" i="4"/>
  <c r="T219" i="4"/>
  <c r="U219" i="4"/>
  <c r="V219" i="4"/>
  <c r="P220" i="4"/>
  <c r="Q220" i="4"/>
  <c r="R220" i="4"/>
  <c r="S220" i="4"/>
  <c r="T220" i="4"/>
  <c r="U220" i="4"/>
  <c r="V220" i="4"/>
  <c r="H221" i="4"/>
  <c r="P221" i="4"/>
  <c r="Q221" i="4"/>
  <c r="R221" i="4"/>
  <c r="S221" i="4"/>
  <c r="T221" i="4"/>
  <c r="U221" i="4"/>
  <c r="V221" i="4"/>
  <c r="H222" i="4"/>
  <c r="P222" i="4"/>
  <c r="Q222" i="4"/>
  <c r="R222" i="4"/>
  <c r="S222" i="4"/>
  <c r="T222" i="4"/>
  <c r="U222" i="4"/>
  <c r="V222" i="4"/>
  <c r="G225" i="4"/>
  <c r="H225" i="4"/>
  <c r="P225" i="4"/>
  <c r="Q225" i="4"/>
  <c r="R225" i="4"/>
  <c r="S225" i="4"/>
  <c r="T225" i="4"/>
  <c r="U225" i="4"/>
  <c r="V225" i="4"/>
  <c r="G226" i="4"/>
  <c r="H226" i="4"/>
  <c r="G239" i="4"/>
  <c r="H239" i="4"/>
  <c r="P239" i="4"/>
  <c r="Q239" i="4"/>
  <c r="R239" i="4"/>
  <c r="S239" i="4"/>
  <c r="T239" i="4"/>
  <c r="U239" i="4"/>
  <c r="V239" i="4"/>
  <c r="G240" i="4"/>
  <c r="P240" i="4"/>
  <c r="Q240" i="4"/>
  <c r="R240" i="4"/>
  <c r="S240" i="4"/>
  <c r="T240" i="4"/>
  <c r="U240" i="4"/>
  <c r="V240" i="4"/>
  <c r="G241" i="4"/>
  <c r="H241" i="4"/>
  <c r="I241" i="4"/>
  <c r="P241" i="4"/>
  <c r="Q241" i="4"/>
  <c r="R241" i="4"/>
  <c r="S241" i="4"/>
  <c r="T241" i="4"/>
  <c r="U241" i="4"/>
  <c r="V241" i="4"/>
  <c r="G285" i="4"/>
  <c r="H285" i="4"/>
  <c r="P285" i="4"/>
  <c r="Q285" i="4"/>
  <c r="R285" i="4"/>
  <c r="S285" i="4"/>
  <c r="T285" i="4"/>
  <c r="U285" i="4"/>
  <c r="V285" i="4"/>
  <c r="G287" i="4"/>
  <c r="H287" i="4"/>
  <c r="P287" i="4"/>
  <c r="Q287" i="4"/>
  <c r="R287" i="4"/>
  <c r="S287" i="4"/>
  <c r="T287" i="4"/>
  <c r="U287" i="4"/>
  <c r="V287" i="4"/>
  <c r="G288" i="4"/>
  <c r="H288" i="4"/>
  <c r="I288" i="4"/>
  <c r="P288" i="4"/>
  <c r="Q288" i="4"/>
  <c r="R288" i="4"/>
  <c r="S288" i="4"/>
  <c r="T288" i="4"/>
  <c r="U288" i="4"/>
  <c r="V288" i="4"/>
  <c r="G290" i="4"/>
  <c r="H290" i="4"/>
  <c r="P290" i="4"/>
  <c r="Q290" i="4"/>
  <c r="R290" i="4"/>
  <c r="S290" i="4"/>
  <c r="T290" i="4"/>
  <c r="U290" i="4"/>
  <c r="V290" i="4"/>
  <c r="G300" i="4"/>
  <c r="H300" i="4"/>
  <c r="P300" i="4"/>
  <c r="Q300" i="4"/>
  <c r="R300" i="4"/>
  <c r="S300" i="4"/>
  <c r="T300" i="4"/>
  <c r="U300" i="4"/>
  <c r="V300" i="4"/>
  <c r="G301" i="4"/>
  <c r="H301" i="4"/>
  <c r="I301" i="4"/>
  <c r="P301" i="4"/>
  <c r="Q301" i="4"/>
  <c r="R301" i="4"/>
  <c r="S301" i="4"/>
  <c r="T301" i="4"/>
  <c r="U301" i="4"/>
  <c r="V301" i="4"/>
  <c r="G302" i="4"/>
  <c r="H302" i="4"/>
  <c r="P302" i="4"/>
  <c r="Q302" i="4"/>
  <c r="R302" i="4"/>
  <c r="S302" i="4"/>
  <c r="T302" i="4"/>
  <c r="U302" i="4"/>
  <c r="V302" i="4"/>
  <c r="P304" i="4"/>
  <c r="Q304" i="4"/>
  <c r="R304" i="4"/>
  <c r="S304" i="4"/>
  <c r="T304" i="4"/>
  <c r="U304" i="4"/>
  <c r="V304" i="4"/>
  <c r="P306" i="4"/>
  <c r="Q306" i="4"/>
  <c r="R306" i="4"/>
  <c r="S306" i="4"/>
  <c r="T306" i="4"/>
  <c r="U306" i="4"/>
  <c r="V306" i="4"/>
  <c r="G309" i="4"/>
  <c r="P309" i="4"/>
  <c r="Q309" i="4"/>
  <c r="R309" i="4"/>
  <c r="S309" i="4"/>
  <c r="T309" i="4"/>
  <c r="U309" i="4"/>
  <c r="V309" i="4"/>
  <c r="G310" i="4"/>
  <c r="P310" i="4"/>
  <c r="Q310" i="4"/>
  <c r="R310" i="4"/>
  <c r="S310" i="4"/>
  <c r="T310" i="4"/>
  <c r="U310" i="4"/>
  <c r="V310" i="4"/>
  <c r="G311" i="4"/>
  <c r="P311" i="4"/>
  <c r="Q311" i="4"/>
  <c r="R311" i="4"/>
  <c r="S311" i="4"/>
  <c r="T311" i="4"/>
  <c r="U311" i="4"/>
  <c r="V311" i="4"/>
  <c r="G312" i="4"/>
  <c r="P312" i="4"/>
  <c r="Q312" i="4"/>
  <c r="R312" i="4"/>
  <c r="S312" i="4"/>
  <c r="T312" i="4"/>
  <c r="U312" i="4"/>
  <c r="V312" i="4"/>
  <c r="P318" i="4"/>
  <c r="Q318" i="4"/>
  <c r="R318" i="4"/>
  <c r="S318" i="4"/>
  <c r="T318" i="4"/>
  <c r="U318" i="4"/>
  <c r="V318" i="4"/>
  <c r="G320" i="4"/>
  <c r="P320" i="4"/>
  <c r="Q320" i="4"/>
  <c r="R320" i="4"/>
  <c r="S320" i="4"/>
  <c r="T320" i="4"/>
  <c r="U320" i="4"/>
  <c r="V320" i="4"/>
  <c r="G321" i="4"/>
  <c r="P321" i="4"/>
  <c r="Q321" i="4"/>
  <c r="R321" i="4"/>
  <c r="S321" i="4"/>
  <c r="T321" i="4"/>
  <c r="U321" i="4"/>
  <c r="V321" i="4"/>
  <c r="G382" i="4"/>
  <c r="H382" i="4"/>
  <c r="P382" i="4"/>
  <c r="Q382" i="4"/>
  <c r="R382" i="4"/>
  <c r="S382" i="4"/>
  <c r="T382" i="4"/>
  <c r="U382" i="4"/>
  <c r="V382" i="4"/>
  <c r="G384" i="4"/>
  <c r="H384" i="4"/>
  <c r="P384" i="4"/>
  <c r="Q384" i="4"/>
  <c r="R384" i="4"/>
  <c r="S384" i="4"/>
  <c r="T384" i="4"/>
  <c r="U384" i="4"/>
  <c r="V384" i="4"/>
  <c r="G389" i="4"/>
  <c r="H389" i="4"/>
  <c r="P389" i="4"/>
  <c r="Q389" i="4"/>
  <c r="R389" i="4"/>
  <c r="S389" i="4"/>
  <c r="T389" i="4"/>
  <c r="U389" i="4"/>
  <c r="V389" i="4"/>
  <c r="G391" i="4"/>
  <c r="H391" i="4"/>
  <c r="P391" i="4"/>
  <c r="Q391" i="4"/>
  <c r="R391" i="4"/>
  <c r="S391" i="4"/>
  <c r="T391" i="4"/>
  <c r="U391" i="4"/>
  <c r="V391" i="4"/>
  <c r="G393" i="4"/>
  <c r="H393" i="4"/>
  <c r="P393" i="4"/>
  <c r="Q393" i="4"/>
  <c r="R393" i="4"/>
  <c r="S393" i="4"/>
  <c r="T393" i="4"/>
  <c r="U393" i="4"/>
  <c r="V393" i="4"/>
  <c r="G394" i="4"/>
  <c r="H394" i="4"/>
  <c r="P394" i="4"/>
  <c r="Q394" i="4"/>
  <c r="R394" i="4"/>
  <c r="S394" i="4"/>
  <c r="T394" i="4"/>
  <c r="U394" i="4"/>
  <c r="V394" i="4"/>
  <c r="G396" i="4"/>
  <c r="H396" i="4"/>
  <c r="P396" i="4"/>
  <c r="Q396" i="4"/>
  <c r="R396" i="4"/>
  <c r="S396" i="4"/>
  <c r="T396" i="4"/>
  <c r="U396" i="4"/>
  <c r="V396" i="4"/>
  <c r="G400" i="4"/>
  <c r="H400" i="4"/>
  <c r="P400" i="4"/>
  <c r="Q400" i="4"/>
  <c r="R400" i="4"/>
  <c r="S400" i="4"/>
  <c r="T400" i="4"/>
  <c r="U400" i="4"/>
  <c r="V400" i="4"/>
  <c r="G402" i="4"/>
  <c r="H402" i="4"/>
  <c r="P402" i="4"/>
  <c r="Q402" i="4"/>
  <c r="R402" i="4"/>
  <c r="S402" i="4"/>
  <c r="T402" i="4"/>
  <c r="U402" i="4"/>
  <c r="V402" i="4"/>
  <c r="G404" i="4"/>
  <c r="H404" i="4"/>
  <c r="P404" i="4"/>
  <c r="Q404" i="4"/>
  <c r="R404" i="4"/>
  <c r="S404" i="4"/>
  <c r="T404" i="4"/>
  <c r="U404" i="4"/>
  <c r="V404" i="4"/>
  <c r="D405" i="4"/>
  <c r="E405" i="4"/>
  <c r="F405" i="4"/>
  <c r="G405" i="4"/>
  <c r="H405" i="4"/>
  <c r="I405" i="4"/>
  <c r="J405" i="4"/>
  <c r="K405" i="4"/>
  <c r="L405" i="4"/>
  <c r="M405" i="4"/>
  <c r="N405" i="4"/>
  <c r="O405" i="4"/>
  <c r="P405" i="4"/>
  <c r="Q405" i="4"/>
  <c r="R405" i="4"/>
  <c r="S405" i="4"/>
  <c r="T405" i="4"/>
  <c r="U405" i="4"/>
  <c r="V405" i="4"/>
  <c r="G409" i="4"/>
  <c r="H409" i="4"/>
  <c r="G410" i="4"/>
  <c r="H410" i="4"/>
  <c r="H421" i="4"/>
  <c r="P421" i="4"/>
  <c r="Q421" i="4"/>
  <c r="I423" i="4"/>
  <c r="J423" i="4"/>
  <c r="H424" i="4"/>
  <c r="I424" i="4"/>
  <c r="J424" i="4"/>
  <c r="K424" i="4"/>
  <c r="L424" i="4"/>
  <c r="M424" i="4"/>
  <c r="N424" i="4"/>
  <c r="O424" i="4"/>
  <c r="P424" i="4"/>
  <c r="Q424" i="4"/>
  <c r="P429" i="4"/>
  <c r="Q429" i="4"/>
  <c r="R429" i="4"/>
  <c r="S429" i="4"/>
  <c r="T429" i="4"/>
  <c r="U429" i="4"/>
  <c r="V429" i="4"/>
  <c r="P432" i="4"/>
  <c r="Q432" i="4"/>
  <c r="R432" i="4"/>
  <c r="S432" i="4"/>
  <c r="T432" i="4"/>
  <c r="U432" i="4"/>
  <c r="V432" i="4"/>
  <c r="H433" i="4"/>
  <c r="P433" i="4"/>
  <c r="Q433" i="4"/>
  <c r="R433" i="4"/>
  <c r="S433" i="4"/>
  <c r="T433" i="4"/>
  <c r="U433" i="4"/>
  <c r="V433" i="4"/>
  <c r="G462" i="4"/>
  <c r="H462" i="4"/>
  <c r="P462" i="4"/>
  <c r="Q462" i="4"/>
  <c r="R462" i="4"/>
  <c r="S462" i="4"/>
  <c r="T462" i="4"/>
  <c r="U462" i="4"/>
  <c r="V462" i="4"/>
  <c r="G464" i="4"/>
  <c r="H464" i="4"/>
  <c r="P464" i="4"/>
  <c r="Q464" i="4"/>
  <c r="R464" i="4"/>
  <c r="S464" i="4"/>
  <c r="T464" i="4"/>
  <c r="U464" i="4"/>
  <c r="V464" i="4"/>
  <c r="H465" i="4"/>
  <c r="P465" i="4"/>
  <c r="Q465" i="4"/>
  <c r="G466" i="4"/>
  <c r="H466" i="4"/>
  <c r="P466" i="4"/>
  <c r="Q466" i="4"/>
  <c r="R466" i="4"/>
  <c r="S466" i="4"/>
  <c r="T466" i="4"/>
  <c r="U466" i="4"/>
  <c r="V466" i="4"/>
  <c r="H467" i="4"/>
  <c r="P467" i="4"/>
  <c r="Q467" i="4"/>
  <c r="R467" i="4"/>
  <c r="S467" i="4"/>
  <c r="T467" i="4"/>
  <c r="U467" i="4"/>
  <c r="V467" i="4"/>
  <c r="I468" i="4"/>
  <c r="P468" i="4"/>
  <c r="Q468" i="4"/>
  <c r="R468" i="4"/>
  <c r="S468" i="4"/>
  <c r="T468" i="4"/>
  <c r="U468" i="4"/>
  <c r="V468" i="4"/>
  <c r="H486" i="4"/>
  <c r="P486" i="4"/>
  <c r="Q486" i="4"/>
  <c r="R486" i="4"/>
  <c r="S486" i="4"/>
  <c r="T486" i="4"/>
  <c r="U486" i="4"/>
  <c r="V486" i="4"/>
  <c r="H487" i="4"/>
  <c r="P487" i="4"/>
  <c r="Q487" i="4"/>
  <c r="R487" i="4"/>
  <c r="S487" i="4"/>
  <c r="T487" i="4"/>
  <c r="U487" i="4"/>
  <c r="V487" i="4"/>
  <c r="G488" i="4"/>
  <c r="H488" i="4"/>
  <c r="P488" i="4"/>
  <c r="Q488" i="4"/>
  <c r="R488" i="4"/>
  <c r="S488" i="4"/>
  <c r="T488" i="4"/>
  <c r="U488" i="4"/>
  <c r="V488" i="4"/>
  <c r="G490" i="4"/>
  <c r="H490" i="4"/>
  <c r="P490" i="4"/>
  <c r="Q490" i="4"/>
  <c r="R490" i="4"/>
  <c r="S490" i="4"/>
  <c r="T490" i="4"/>
  <c r="U490" i="4"/>
  <c r="V490" i="4"/>
  <c r="G494" i="4"/>
  <c r="H494" i="4"/>
  <c r="P494" i="4"/>
  <c r="Q494" i="4"/>
  <c r="R494" i="4"/>
  <c r="S494" i="4"/>
  <c r="T494" i="4"/>
  <c r="U494" i="4"/>
  <c r="V494" i="4"/>
  <c r="G495" i="4"/>
  <c r="H495" i="4"/>
  <c r="P495" i="4"/>
  <c r="Q495" i="4"/>
  <c r="R495" i="4"/>
  <c r="S495" i="4"/>
  <c r="T495" i="4"/>
  <c r="U495" i="4"/>
  <c r="V495" i="4"/>
  <c r="G496" i="4"/>
  <c r="H496" i="4"/>
  <c r="I496" i="4"/>
  <c r="P496" i="4"/>
  <c r="Q496" i="4"/>
  <c r="R496" i="4"/>
  <c r="S496" i="4"/>
  <c r="T496" i="4"/>
  <c r="U496" i="4"/>
  <c r="V496" i="4"/>
  <c r="R1" i="23"/>
  <c r="H12" i="20"/>
  <c r="I12" i="20"/>
  <c r="H13" i="20"/>
  <c r="I13" i="20"/>
  <c r="H15" i="20"/>
  <c r="I15" i="20"/>
  <c r="H17" i="20"/>
  <c r="H22" i="20"/>
  <c r="I22" i="20"/>
  <c r="AZ316" i="20"/>
  <c r="AZ321" i="20"/>
  <c r="AZ323" i="20"/>
  <c r="AZ324" i="20"/>
  <c r="AZ327" i="20"/>
  <c r="AZ352" i="20"/>
  <c r="AZ355" i="20"/>
  <c r="AZ358" i="20"/>
  <c r="BG358" i="20"/>
  <c r="AZ359" i="20"/>
  <c r="AZ368" i="20"/>
  <c r="BG368" i="20"/>
  <c r="AZ371" i="20"/>
  <c r="BG371" i="20"/>
  <c r="AZ387" i="20"/>
  <c r="G4092" i="8"/>
  <c r="D4617" i="8"/>
  <c r="Q158" i="10"/>
  <c r="R158" i="10"/>
  <c r="S158" i="10"/>
  <c r="T158" i="10"/>
  <c r="U158" i="10"/>
  <c r="V158" i="10"/>
  <c r="W158" i="10"/>
  <c r="X158" i="10"/>
  <c r="Y158" i="10"/>
  <c r="Z158" i="10"/>
  <c r="Q159" i="10"/>
  <c r="R159" i="10"/>
  <c r="S159" i="10"/>
  <c r="T159" i="10"/>
  <c r="U159" i="10"/>
  <c r="V159" i="10"/>
  <c r="W159" i="10"/>
  <c r="X159" i="10"/>
  <c r="Y159" i="10"/>
  <c r="Z159" i="10"/>
  <c r="Q162" i="10"/>
  <c r="R162" i="10"/>
  <c r="S162" i="10"/>
  <c r="T162" i="10"/>
  <c r="U162" i="10"/>
  <c r="V162" i="10"/>
  <c r="W162" i="10"/>
  <c r="X162" i="10"/>
  <c r="Y162" i="10"/>
  <c r="Z162" i="10"/>
  <c r="Q169" i="10"/>
  <c r="R169" i="10"/>
  <c r="S169" i="10"/>
  <c r="T169" i="10"/>
  <c r="U169" i="10"/>
  <c r="V169" i="10"/>
  <c r="W169" i="10"/>
  <c r="X169" i="10"/>
  <c r="Y169" i="10"/>
  <c r="Z169" i="10"/>
  <c r="Q175" i="10"/>
  <c r="Q176" i="10"/>
  <c r="R176" i="10"/>
  <c r="S176" i="10"/>
  <c r="T176" i="10"/>
  <c r="U176" i="10"/>
  <c r="V176" i="10"/>
  <c r="W176" i="10"/>
  <c r="X176" i="10"/>
  <c r="Y176" i="10"/>
  <c r="Z176" i="10"/>
  <c r="S178" i="10"/>
  <c r="T178" i="10"/>
  <c r="U178" i="10"/>
  <c r="V178" i="10"/>
  <c r="W178" i="10"/>
  <c r="X178" i="10"/>
  <c r="Y178" i="10"/>
  <c r="Z178" i="10"/>
  <c r="R179" i="10"/>
  <c r="S179" i="10"/>
  <c r="T179" i="10"/>
  <c r="U179" i="10"/>
  <c r="V179" i="10"/>
  <c r="W179" i="10"/>
  <c r="X179" i="10"/>
  <c r="Y179" i="10"/>
  <c r="Z179" i="10"/>
  <c r="Q181" i="10"/>
  <c r="R181" i="10"/>
  <c r="S181" i="10"/>
  <c r="T181" i="10"/>
  <c r="U181" i="10"/>
  <c r="V181" i="10"/>
  <c r="W181" i="10"/>
  <c r="X181" i="10"/>
  <c r="Y181" i="10"/>
  <c r="Z181" i="10"/>
  <c r="R219" i="10"/>
  <c r="S219" i="10"/>
  <c r="T219" i="10"/>
  <c r="U219" i="10"/>
  <c r="V219" i="10"/>
  <c r="W219" i="10"/>
  <c r="X219" i="10"/>
  <c r="Y219" i="10"/>
  <c r="Z219" i="10"/>
  <c r="R220" i="10"/>
  <c r="S220" i="10"/>
  <c r="T220" i="10"/>
  <c r="U220" i="10"/>
  <c r="V220" i="10"/>
  <c r="W220" i="10"/>
  <c r="X220" i="10"/>
  <c r="Y220" i="10"/>
  <c r="Z220" i="10"/>
  <c r="R222" i="10"/>
  <c r="S222" i="10"/>
  <c r="T222" i="10"/>
  <c r="U222" i="10"/>
  <c r="V222" i="10"/>
  <c r="W222" i="10"/>
  <c r="X222" i="10"/>
  <c r="Y222" i="10"/>
  <c r="Z222" i="10"/>
  <c r="R223" i="10"/>
  <c r="S223" i="10"/>
  <c r="T223" i="10"/>
  <c r="U223" i="10"/>
  <c r="V223" i="10"/>
  <c r="W223" i="10"/>
  <c r="X223" i="10"/>
  <c r="Y223" i="10"/>
  <c r="Z223" i="10"/>
  <c r="R226" i="10"/>
  <c r="S226" i="10"/>
  <c r="T226" i="10"/>
  <c r="U226" i="10"/>
  <c r="V226" i="10"/>
  <c r="W226" i="10"/>
  <c r="X226" i="10"/>
  <c r="Y226" i="10"/>
  <c r="Z226" i="10"/>
  <c r="R227" i="10"/>
  <c r="S227" i="10"/>
  <c r="T227" i="10"/>
  <c r="U227" i="10"/>
  <c r="V227" i="10"/>
  <c r="W227" i="10"/>
  <c r="X227" i="10"/>
  <c r="Y227" i="10"/>
  <c r="Z227" i="10"/>
  <c r="R594" i="1"/>
  <c r="R24" i="28"/>
  <c r="G177" i="28"/>
  <c r="H177" i="28"/>
  <c r="G178" i="28"/>
  <c r="H178" i="28"/>
  <c r="G180" i="28"/>
  <c r="H180" i="28"/>
  <c r="G182" i="28"/>
  <c r="H182" i="28"/>
  <c r="H3" i="6"/>
  <c r="H4" i="6"/>
  <c r="H5" i="6"/>
  <c r="H6" i="6"/>
  <c r="H7" i="6"/>
  <c r="H8" i="6"/>
  <c r="H9" i="6"/>
  <c r="H10" i="6"/>
  <c r="E11" i="6"/>
  <c r="F11" i="6"/>
  <c r="H11" i="6"/>
  <c r="H12" i="6"/>
  <c r="H20" i="6"/>
  <c r="H21" i="6"/>
  <c r="H22" i="6"/>
  <c r="H23" i="6"/>
  <c r="G24" i="6"/>
  <c r="H24" i="6"/>
  <c r="G25" i="6"/>
  <c r="H25" i="6"/>
  <c r="G28" i="6"/>
  <c r="G30" i="6"/>
  <c r="G33" i="6"/>
  <c r="G36" i="6"/>
  <c r="G39" i="6"/>
  <c r="I51" i="6"/>
  <c r="J51" i="6"/>
  <c r="L51" i="6"/>
  <c r="H52" i="6"/>
  <c r="J52" i="6"/>
  <c r="L52" i="6"/>
  <c r="H55" i="6"/>
  <c r="I55" i="6"/>
  <c r="J55" i="6"/>
  <c r="L55" i="6"/>
  <c r="M4" i="32"/>
  <c r="N4" i="32"/>
  <c r="O4" i="32"/>
  <c r="P4" i="32"/>
  <c r="Q4" i="32"/>
  <c r="M5" i="32"/>
  <c r="N5" i="32"/>
  <c r="O5" i="32"/>
  <c r="P5" i="32"/>
  <c r="Q5" i="32"/>
  <c r="M6" i="32"/>
  <c r="N6" i="32"/>
  <c r="O6" i="32"/>
  <c r="P6" i="32"/>
  <c r="Q6" i="32"/>
  <c r="E7" i="32"/>
  <c r="F7" i="32"/>
  <c r="G7" i="32"/>
  <c r="H7" i="32"/>
  <c r="N8" i="32"/>
  <c r="O8" i="32"/>
  <c r="P8" i="32"/>
  <c r="Q8" i="32"/>
  <c r="N9" i="32"/>
  <c r="O9" i="32"/>
  <c r="P9" i="32"/>
  <c r="Q9" i="32"/>
  <c r="E10" i="32"/>
  <c r="F10" i="32"/>
  <c r="G10" i="32"/>
  <c r="H10" i="32"/>
  <c r="M10" i="32"/>
  <c r="N10" i="32"/>
  <c r="O10" i="32"/>
  <c r="P10" i="32"/>
  <c r="Q10" i="32"/>
  <c r="E15" i="32"/>
  <c r="F15" i="32"/>
  <c r="G15" i="32"/>
  <c r="H15" i="32"/>
  <c r="I15" i="32"/>
  <c r="E16" i="32"/>
  <c r="F16" i="32"/>
  <c r="G16" i="32"/>
  <c r="H16" i="32"/>
  <c r="I16" i="32"/>
  <c r="E18" i="32"/>
  <c r="F18" i="32"/>
  <c r="G18" i="32"/>
  <c r="H18" i="32"/>
  <c r="I18" i="32"/>
  <c r="E20" i="32"/>
  <c r="F20" i="32"/>
  <c r="G20" i="32"/>
  <c r="H20" i="32"/>
  <c r="I20" i="32"/>
  <c r="G21" i="32"/>
  <c r="H21" i="32"/>
  <c r="E23" i="32"/>
  <c r="F23" i="32"/>
  <c r="G23" i="32"/>
  <c r="H23" i="32"/>
  <c r="B259" i="29"/>
  <c r="B261" i="29"/>
  <c r="B262" i="29"/>
  <c r="B264" i="29"/>
  <c r="G9" i="5"/>
  <c r="H9" i="5"/>
  <c r="I9" i="5"/>
  <c r="J9" i="5"/>
  <c r="K9" i="5"/>
  <c r="G11" i="5"/>
  <c r="H11" i="5"/>
  <c r="I11" i="5"/>
  <c r="J11" i="5"/>
  <c r="K11" i="5"/>
  <c r="L11" i="5"/>
  <c r="M11" i="5"/>
  <c r="N11" i="5"/>
  <c r="O11" i="5"/>
  <c r="P11" i="5"/>
  <c r="Q11" i="5"/>
  <c r="R11" i="5"/>
  <c r="S11" i="5"/>
  <c r="T11" i="5"/>
  <c r="U11" i="5"/>
  <c r="O13" i="5"/>
  <c r="P13" i="5"/>
  <c r="Q13" i="5"/>
  <c r="R13" i="5"/>
  <c r="S13" i="5"/>
  <c r="T13" i="5"/>
  <c r="U13" i="5"/>
  <c r="G15" i="5"/>
  <c r="H15" i="5"/>
  <c r="I15" i="5"/>
  <c r="J15" i="5"/>
  <c r="K15" i="5"/>
  <c r="L15" i="5"/>
  <c r="M15" i="5"/>
  <c r="N15" i="5"/>
  <c r="O15" i="5"/>
  <c r="P15" i="5"/>
  <c r="Q15" i="5"/>
  <c r="R15" i="5"/>
  <c r="S15" i="5"/>
  <c r="T15" i="5"/>
  <c r="U15" i="5"/>
  <c r="O25" i="5"/>
  <c r="P25" i="5"/>
  <c r="Q25" i="5"/>
  <c r="R25" i="5"/>
  <c r="S25" i="5"/>
  <c r="T25" i="5"/>
  <c r="U25" i="5"/>
  <c r="O26" i="5"/>
  <c r="P26" i="5"/>
  <c r="Q26" i="5"/>
  <c r="R26" i="5"/>
  <c r="S26" i="5"/>
  <c r="T26" i="5"/>
  <c r="U26" i="5"/>
  <c r="O28" i="5"/>
  <c r="P28" i="5"/>
  <c r="Q28" i="5"/>
  <c r="R28" i="5"/>
  <c r="S28" i="5"/>
  <c r="T28" i="5"/>
  <c r="U28" i="5"/>
  <c r="O29" i="5"/>
  <c r="P29" i="5"/>
  <c r="Q29" i="5"/>
  <c r="R29" i="5"/>
  <c r="S29" i="5"/>
  <c r="T29" i="5"/>
  <c r="U29" i="5"/>
  <c r="AC29" i="5"/>
  <c r="AD29" i="5"/>
  <c r="O30" i="5"/>
  <c r="P30" i="5"/>
  <c r="Q30" i="5"/>
  <c r="R30" i="5"/>
  <c r="S30" i="5"/>
  <c r="T30" i="5"/>
  <c r="U30" i="5"/>
  <c r="AC30" i="5"/>
  <c r="AD30" i="5"/>
  <c r="O32" i="5"/>
  <c r="P32" i="5"/>
  <c r="Q32" i="5"/>
  <c r="R32" i="5"/>
  <c r="S32" i="5"/>
  <c r="T32" i="5"/>
  <c r="U32" i="5"/>
  <c r="O33" i="5"/>
  <c r="P33" i="5"/>
  <c r="Q33" i="5"/>
  <c r="R33" i="5"/>
  <c r="S33" i="5"/>
  <c r="T33" i="5"/>
  <c r="U33" i="5"/>
  <c r="O34" i="5"/>
  <c r="P34" i="5"/>
  <c r="Q34" i="5"/>
  <c r="R34" i="5"/>
  <c r="S34" i="5"/>
  <c r="T34" i="5"/>
  <c r="U34" i="5"/>
  <c r="O36" i="5"/>
  <c r="P36" i="5"/>
  <c r="Q36" i="5"/>
  <c r="R36" i="5"/>
  <c r="S36" i="5"/>
  <c r="T36" i="5"/>
  <c r="U36" i="5"/>
  <c r="O37" i="5"/>
  <c r="P37" i="5"/>
  <c r="Q37" i="5"/>
  <c r="R37" i="5"/>
  <c r="S37" i="5"/>
  <c r="T37" i="5"/>
  <c r="U37" i="5"/>
  <c r="Q38" i="5"/>
  <c r="R38" i="5"/>
  <c r="S38" i="5"/>
  <c r="T38" i="5"/>
  <c r="U38" i="5"/>
  <c r="O40" i="5"/>
  <c r="P40" i="5"/>
  <c r="Q40" i="5"/>
  <c r="R40" i="5"/>
  <c r="S40" i="5"/>
  <c r="T40" i="5"/>
  <c r="U40" i="5"/>
  <c r="N41" i="5"/>
  <c r="O41" i="5"/>
  <c r="P41" i="5"/>
  <c r="Q41" i="5"/>
  <c r="R41" i="5"/>
  <c r="S41" i="5"/>
  <c r="T41" i="5"/>
  <c r="U41" i="5"/>
  <c r="N42" i="5"/>
  <c r="O42" i="5"/>
  <c r="P42" i="5"/>
  <c r="Q42" i="5"/>
  <c r="R42" i="5"/>
  <c r="S42" i="5"/>
  <c r="T42" i="5"/>
  <c r="U42" i="5"/>
  <c r="N43" i="5"/>
  <c r="O43" i="5"/>
  <c r="P43" i="5"/>
  <c r="Q43" i="5"/>
  <c r="R43" i="5"/>
  <c r="S43" i="5"/>
  <c r="T43" i="5"/>
  <c r="U43" i="5"/>
  <c r="O45" i="5"/>
  <c r="P45" i="5"/>
  <c r="Q45" i="5"/>
  <c r="R45" i="5"/>
  <c r="S45" i="5"/>
  <c r="T45" i="5"/>
  <c r="U45" i="5"/>
  <c r="O52" i="5"/>
  <c r="P52" i="5"/>
  <c r="Q52" i="5"/>
  <c r="R52" i="5"/>
  <c r="S52" i="5"/>
  <c r="T52" i="5"/>
  <c r="U52" i="5"/>
  <c r="H55" i="5"/>
  <c r="I55" i="5"/>
  <c r="J55" i="5"/>
  <c r="K55" i="5"/>
  <c r="L55" i="5"/>
  <c r="M55" i="5"/>
  <c r="N55" i="5"/>
  <c r="O55" i="5"/>
  <c r="P55" i="5"/>
  <c r="Q55" i="5"/>
  <c r="R55" i="5"/>
  <c r="S55" i="5"/>
  <c r="T55" i="5"/>
  <c r="U55" i="5"/>
  <c r="H56" i="5"/>
  <c r="I56" i="5"/>
  <c r="J56" i="5"/>
  <c r="K56" i="5"/>
  <c r="L56" i="5"/>
  <c r="M56" i="5"/>
  <c r="N56" i="5"/>
  <c r="O56" i="5"/>
  <c r="P56" i="5"/>
  <c r="Q56" i="5"/>
  <c r="R56" i="5"/>
  <c r="S56" i="5"/>
  <c r="T56" i="5"/>
  <c r="U56" i="5"/>
  <c r="H57" i="5"/>
  <c r="I57" i="5"/>
  <c r="J57" i="5"/>
  <c r="K57" i="5"/>
  <c r="L57" i="5"/>
  <c r="M57" i="5"/>
  <c r="N57" i="5"/>
  <c r="O57" i="5"/>
  <c r="P57" i="5"/>
  <c r="Q57" i="5"/>
  <c r="R57" i="5"/>
  <c r="S57" i="5"/>
  <c r="T57" i="5"/>
  <c r="U57" i="5"/>
  <c r="H58" i="5"/>
  <c r="I58" i="5"/>
  <c r="J58" i="5"/>
  <c r="K58" i="5"/>
  <c r="L58" i="5"/>
  <c r="M58" i="5"/>
  <c r="N58" i="5"/>
  <c r="O58" i="5"/>
  <c r="P58" i="5"/>
  <c r="Q58" i="5"/>
  <c r="R58" i="5"/>
  <c r="S58" i="5"/>
  <c r="T58" i="5"/>
  <c r="U58" i="5"/>
  <c r="H59" i="5"/>
  <c r="I59" i="5"/>
  <c r="J59" i="5"/>
  <c r="K59" i="5"/>
  <c r="L59" i="5"/>
  <c r="M59" i="5"/>
  <c r="N59" i="5"/>
  <c r="O59" i="5"/>
  <c r="P59" i="5"/>
  <c r="Q59" i="5"/>
  <c r="R59" i="5"/>
  <c r="S59" i="5"/>
  <c r="T59" i="5"/>
  <c r="U59" i="5"/>
  <c r="H60" i="5"/>
  <c r="I60" i="5"/>
  <c r="J60" i="5"/>
  <c r="K60" i="5"/>
  <c r="L60" i="5"/>
  <c r="M60" i="5"/>
  <c r="N60" i="5"/>
  <c r="O60" i="5"/>
  <c r="P60" i="5"/>
  <c r="Q60" i="5"/>
  <c r="R60" i="5"/>
  <c r="S60" i="5"/>
  <c r="T60" i="5"/>
  <c r="U60" i="5"/>
  <c r="O62" i="5"/>
  <c r="P62" i="5"/>
  <c r="Q62" i="5"/>
  <c r="R62" i="5"/>
  <c r="S62" i="5"/>
  <c r="T62" i="5"/>
  <c r="U62" i="5"/>
  <c r="O63" i="5"/>
  <c r="P63" i="5"/>
  <c r="Q63" i="5"/>
  <c r="R63" i="5"/>
  <c r="S63" i="5"/>
  <c r="T63" i="5"/>
  <c r="U63" i="5"/>
  <c r="O65" i="5"/>
  <c r="P65" i="5"/>
  <c r="Q65" i="5"/>
  <c r="R65" i="5"/>
  <c r="S65" i="5"/>
  <c r="T65" i="5"/>
  <c r="U65" i="5"/>
  <c r="O68" i="5"/>
  <c r="P68" i="5"/>
  <c r="Q68" i="5"/>
  <c r="R68" i="5"/>
  <c r="S68" i="5"/>
  <c r="T68" i="5"/>
  <c r="U68" i="5"/>
  <c r="O74" i="5"/>
  <c r="P74" i="5"/>
  <c r="Q74" i="5"/>
  <c r="R74" i="5"/>
  <c r="S74" i="5"/>
  <c r="T74" i="5"/>
  <c r="U74" i="5"/>
  <c r="O75" i="5"/>
  <c r="P75" i="5"/>
  <c r="Q75" i="5"/>
  <c r="R75" i="5"/>
  <c r="S75" i="5"/>
  <c r="T75" i="5"/>
  <c r="U75" i="5"/>
  <c r="O81" i="5"/>
  <c r="P81" i="5"/>
  <c r="Q81" i="5"/>
  <c r="R81" i="5"/>
  <c r="S81" i="5"/>
  <c r="T81" i="5"/>
  <c r="U81" i="5"/>
  <c r="O82" i="5"/>
  <c r="P82" i="5"/>
  <c r="Q82" i="5"/>
  <c r="R82" i="5"/>
  <c r="S82" i="5"/>
  <c r="T82" i="5"/>
  <c r="U82" i="5"/>
  <c r="O85" i="5"/>
  <c r="P85" i="5"/>
  <c r="Q85" i="5"/>
  <c r="R85" i="5"/>
  <c r="S85" i="5"/>
  <c r="T85" i="5"/>
  <c r="U85" i="5"/>
  <c r="I90" i="5"/>
  <c r="J90" i="5"/>
  <c r="K90" i="5"/>
  <c r="L90" i="5"/>
  <c r="M90" i="5"/>
  <c r="N90" i="5"/>
  <c r="O90" i="5"/>
  <c r="P90" i="5"/>
  <c r="Q90" i="5"/>
  <c r="R90" i="5"/>
  <c r="S90" i="5"/>
  <c r="T90" i="5"/>
  <c r="U90" i="5"/>
  <c r="I91" i="5"/>
  <c r="J91" i="5"/>
  <c r="K91" i="5"/>
  <c r="L91" i="5"/>
  <c r="M91" i="5"/>
  <c r="N91" i="5"/>
  <c r="O91" i="5"/>
  <c r="P91" i="5"/>
  <c r="Q91" i="5"/>
  <c r="R91" i="5"/>
  <c r="S91" i="5"/>
  <c r="T91" i="5"/>
  <c r="U91" i="5"/>
  <c r="W91" i="5"/>
  <c r="N115" i="5"/>
  <c r="O115" i="5"/>
  <c r="P115" i="5"/>
  <c r="Q115" i="5"/>
  <c r="R115" i="5"/>
  <c r="S115" i="5"/>
  <c r="T115" i="5"/>
  <c r="U115" i="5"/>
  <c r="N117" i="5"/>
  <c r="O117" i="5"/>
  <c r="P117" i="5"/>
  <c r="Q117" i="5"/>
  <c r="R117" i="5"/>
  <c r="S117" i="5"/>
  <c r="T117" i="5"/>
  <c r="U117" i="5"/>
  <c r="N118" i="5"/>
  <c r="O118" i="5"/>
  <c r="P118" i="5"/>
  <c r="Q118" i="5"/>
  <c r="R118" i="5"/>
  <c r="S118" i="5"/>
  <c r="T118" i="5"/>
  <c r="U118" i="5"/>
  <c r="N121" i="5"/>
  <c r="O121" i="5"/>
  <c r="P121" i="5"/>
  <c r="Q121" i="5"/>
  <c r="R121" i="5"/>
  <c r="S121" i="5"/>
  <c r="T121" i="5"/>
  <c r="U121" i="5"/>
  <c r="N122" i="5"/>
  <c r="O122" i="5"/>
  <c r="P122" i="5"/>
  <c r="Q122" i="5"/>
  <c r="R122" i="5"/>
  <c r="S122" i="5"/>
  <c r="T122" i="5"/>
  <c r="U122" i="5"/>
  <c r="N125" i="5"/>
  <c r="O125" i="5"/>
  <c r="P125" i="5"/>
  <c r="Q125" i="5"/>
  <c r="R125" i="5"/>
  <c r="S125" i="5"/>
  <c r="T125" i="5"/>
  <c r="U125" i="5"/>
  <c r="N126" i="5"/>
  <c r="O126" i="5"/>
  <c r="P126" i="5"/>
  <c r="Q126" i="5"/>
  <c r="R126" i="5"/>
  <c r="S126" i="5"/>
  <c r="T126" i="5"/>
  <c r="U126" i="5"/>
  <c r="O137" i="5"/>
  <c r="P137" i="5"/>
  <c r="Q137" i="5"/>
  <c r="R137" i="5"/>
  <c r="S137" i="5"/>
  <c r="T137" i="5"/>
  <c r="U137" i="5"/>
  <c r="N138" i="5"/>
  <c r="O138" i="5"/>
  <c r="P138" i="5"/>
  <c r="Q138" i="5"/>
  <c r="R138" i="5"/>
  <c r="S138" i="5"/>
  <c r="T138" i="5"/>
  <c r="U138" i="5"/>
  <c r="N139" i="5"/>
  <c r="O139" i="5"/>
  <c r="P139" i="5"/>
  <c r="Q139" i="5"/>
  <c r="R139" i="5"/>
  <c r="S139" i="5"/>
  <c r="T139" i="5"/>
  <c r="U139" i="5"/>
  <c r="R14" i="9"/>
  <c r="S14" i="9"/>
  <c r="T14" i="9"/>
  <c r="U14" i="9"/>
  <c r="V14" i="9"/>
  <c r="W14" i="9"/>
  <c r="X14" i="9"/>
  <c r="Y14" i="9"/>
  <c r="Z14" i="9"/>
  <c r="R23" i="9"/>
  <c r="S23" i="9"/>
  <c r="T23" i="9"/>
  <c r="U23" i="9"/>
  <c r="V23" i="9"/>
  <c r="W23" i="9"/>
  <c r="X23" i="9"/>
  <c r="Y23" i="9"/>
  <c r="Z23" i="9"/>
  <c r="R24" i="9"/>
  <c r="S24" i="9"/>
  <c r="T24" i="9"/>
  <c r="U24" i="9"/>
  <c r="V24" i="9"/>
  <c r="W24" i="9"/>
  <c r="X24" i="9"/>
  <c r="Y24" i="9"/>
  <c r="Z24" i="9"/>
  <c r="R25" i="9"/>
  <c r="S25" i="9"/>
  <c r="T25" i="9"/>
  <c r="U25" i="9"/>
  <c r="V25" i="9"/>
  <c r="W25" i="9"/>
  <c r="X25" i="9"/>
  <c r="Y25" i="9"/>
  <c r="Z25" i="9"/>
  <c r="R26" i="9"/>
  <c r="S26" i="9"/>
  <c r="T26" i="9"/>
  <c r="U26" i="9"/>
  <c r="V26" i="9"/>
  <c r="W26" i="9"/>
  <c r="X26" i="9"/>
  <c r="Y26" i="9"/>
  <c r="Z26" i="9"/>
  <c r="R37" i="9"/>
  <c r="R45" i="9"/>
  <c r="S45" i="9"/>
  <c r="T45" i="9"/>
  <c r="U45" i="9"/>
  <c r="V45" i="9"/>
  <c r="W45" i="9"/>
  <c r="X45" i="9"/>
  <c r="Y45" i="9"/>
  <c r="Z45" i="9"/>
  <c r="R46" i="9"/>
  <c r="S46" i="9"/>
  <c r="T46" i="9"/>
  <c r="U46" i="9"/>
  <c r="V46" i="9"/>
  <c r="W46" i="9"/>
  <c r="X46" i="9"/>
  <c r="Y46" i="9"/>
  <c r="Z46" i="9"/>
  <c r="R49" i="9"/>
  <c r="S49" i="9"/>
  <c r="T49" i="9"/>
  <c r="U49" i="9"/>
  <c r="V49" i="9"/>
  <c r="W49" i="9"/>
  <c r="X49" i="9"/>
  <c r="Y49" i="9"/>
  <c r="Z49" i="9"/>
  <c r="T57" i="9"/>
  <c r="U57" i="9"/>
  <c r="V57" i="9"/>
  <c r="W57" i="9"/>
  <c r="X57" i="9"/>
  <c r="Y57" i="9"/>
  <c r="Z57" i="9"/>
  <c r="T58" i="9"/>
  <c r="U58" i="9"/>
  <c r="V58" i="9"/>
  <c r="W58" i="9"/>
  <c r="X58" i="9"/>
  <c r="Y58" i="9"/>
  <c r="Z58" i="9"/>
  <c r="T59" i="9"/>
  <c r="U59" i="9"/>
  <c r="V59" i="9"/>
  <c r="W59" i="9"/>
  <c r="X59" i="9"/>
  <c r="Y59" i="9"/>
  <c r="Z59" i="9"/>
  <c r="T61" i="9"/>
  <c r="U61" i="9"/>
  <c r="V61" i="9"/>
  <c r="W61" i="9"/>
  <c r="X61" i="9"/>
  <c r="Y61" i="9"/>
  <c r="Z61" i="9"/>
  <c r="T62" i="9"/>
  <c r="U62" i="9"/>
  <c r="V62" i="9"/>
  <c r="W62" i="9"/>
  <c r="X62" i="9"/>
  <c r="Y62" i="9"/>
  <c r="Z62" i="9"/>
  <c r="T63" i="9"/>
  <c r="U63" i="9"/>
  <c r="V63" i="9"/>
  <c r="W63" i="9"/>
  <c r="X63" i="9"/>
  <c r="Y63" i="9"/>
  <c r="Z63" i="9"/>
  <c r="T76" i="9"/>
  <c r="U76" i="9"/>
  <c r="V76" i="9"/>
  <c r="W76" i="9"/>
  <c r="X76" i="9"/>
  <c r="Y76" i="9"/>
  <c r="Z76" i="9"/>
  <c r="T77" i="9"/>
  <c r="U77" i="9"/>
  <c r="V77" i="9"/>
  <c r="W77" i="9"/>
  <c r="X77" i="9"/>
  <c r="Y77" i="9"/>
  <c r="Z77" i="9"/>
  <c r="T78" i="9"/>
  <c r="U78" i="9"/>
  <c r="V78" i="9"/>
  <c r="W78" i="9"/>
  <c r="X78" i="9"/>
  <c r="Y78" i="9"/>
  <c r="Z78" i="9"/>
  <c r="S81" i="9"/>
  <c r="T81" i="9"/>
  <c r="U81" i="9"/>
  <c r="V81" i="9"/>
  <c r="W81" i="9"/>
  <c r="X81" i="9"/>
  <c r="Y81" i="9"/>
  <c r="Z81" i="9"/>
  <c r="S82" i="9"/>
  <c r="T82" i="9"/>
  <c r="U82" i="9"/>
  <c r="V82" i="9"/>
  <c r="W82" i="9"/>
  <c r="X82" i="9"/>
  <c r="Y82" i="9"/>
  <c r="Z82" i="9"/>
  <c r="T83" i="9"/>
  <c r="U83" i="9"/>
  <c r="V83" i="9"/>
  <c r="W83" i="9"/>
  <c r="X83" i="9"/>
  <c r="Y83" i="9"/>
  <c r="Z83" i="9"/>
  <c r="S85" i="9"/>
  <c r="T85" i="9"/>
  <c r="U85" i="9"/>
  <c r="V85" i="9"/>
  <c r="W85" i="9"/>
  <c r="X85" i="9"/>
  <c r="Y85" i="9"/>
  <c r="Z85" i="9"/>
  <c r="S86" i="9"/>
  <c r="T86" i="9"/>
  <c r="U86" i="9"/>
  <c r="V86" i="9"/>
  <c r="W86" i="9"/>
  <c r="X86" i="9"/>
  <c r="Y86" i="9"/>
  <c r="Z86" i="9"/>
  <c r="R87" i="9"/>
  <c r="S87" i="9"/>
  <c r="T87" i="9"/>
  <c r="U87" i="9"/>
  <c r="V87" i="9"/>
  <c r="W87" i="9"/>
  <c r="X87" i="9"/>
  <c r="Y87" i="9"/>
  <c r="Z87" i="9"/>
  <c r="R88" i="9"/>
  <c r="S91" i="9"/>
  <c r="T91" i="9"/>
  <c r="U91" i="9"/>
  <c r="V91" i="9"/>
  <c r="W91" i="9"/>
  <c r="X91" i="9"/>
  <c r="Y91" i="9"/>
  <c r="Z91" i="9"/>
  <c r="S92" i="9"/>
  <c r="T92" i="9"/>
  <c r="U92" i="9"/>
  <c r="V92" i="9"/>
  <c r="W92" i="9"/>
  <c r="X92" i="9"/>
  <c r="Y92" i="9"/>
  <c r="Z92" i="9"/>
  <c r="S93" i="9"/>
  <c r="T93" i="9"/>
  <c r="U93" i="9"/>
  <c r="V93" i="9"/>
  <c r="W93" i="9"/>
  <c r="X93" i="9"/>
  <c r="Y93" i="9"/>
  <c r="Z93" i="9"/>
  <c r="S94" i="9"/>
  <c r="T94" i="9"/>
  <c r="U94" i="9"/>
  <c r="V94" i="9"/>
  <c r="W94" i="9"/>
  <c r="X94" i="9"/>
  <c r="Y94" i="9"/>
  <c r="Z94" i="9"/>
  <c r="S96" i="9"/>
  <c r="T96" i="9"/>
  <c r="U96" i="9"/>
  <c r="V96" i="9"/>
  <c r="W96" i="9"/>
  <c r="X96" i="9"/>
  <c r="Y96" i="9"/>
  <c r="Z96" i="9"/>
  <c r="S97" i="9"/>
  <c r="T97" i="9"/>
  <c r="U97" i="9"/>
  <c r="V97" i="9"/>
  <c r="W97" i="9"/>
  <c r="X97" i="9"/>
  <c r="Y97" i="9"/>
  <c r="Z97" i="9"/>
  <c r="S98" i="9"/>
  <c r="T98" i="9"/>
  <c r="U98" i="9"/>
  <c r="V98" i="9"/>
  <c r="W98" i="9"/>
  <c r="X98" i="9"/>
  <c r="Y98" i="9"/>
  <c r="Z98" i="9"/>
  <c r="S99" i="9"/>
  <c r="T99" i="9"/>
  <c r="U99" i="9"/>
  <c r="V99" i="9"/>
  <c r="W99" i="9"/>
  <c r="X99" i="9"/>
  <c r="Y99" i="9"/>
  <c r="Z99" i="9"/>
  <c r="S106" i="9"/>
  <c r="T106" i="9"/>
  <c r="U106" i="9"/>
  <c r="V106" i="9"/>
  <c r="W106" i="9"/>
  <c r="X106" i="9"/>
  <c r="Y106" i="9"/>
  <c r="Z106" i="9"/>
  <c r="S107" i="9"/>
  <c r="T107" i="9"/>
  <c r="U107" i="9"/>
  <c r="V107" i="9"/>
  <c r="W107" i="9"/>
  <c r="X107" i="9"/>
  <c r="Y107" i="9"/>
  <c r="Z107" i="9"/>
  <c r="R108" i="9"/>
  <c r="S108" i="9"/>
  <c r="T108" i="9"/>
  <c r="U108" i="9"/>
  <c r="V108" i="9"/>
  <c r="W108" i="9"/>
  <c r="X108" i="9"/>
  <c r="Y108" i="9"/>
  <c r="Z108" i="9"/>
  <c r="R109" i="9"/>
  <c r="S109" i="9"/>
  <c r="T109" i="9"/>
  <c r="U109" i="9"/>
  <c r="V109" i="9"/>
  <c r="W109" i="9"/>
  <c r="X109" i="9"/>
  <c r="Y109" i="9"/>
  <c r="Z109" i="9"/>
  <c r="T113" i="9"/>
  <c r="U113" i="9"/>
  <c r="V113" i="9"/>
  <c r="W113" i="9"/>
  <c r="X113" i="9"/>
  <c r="Y113" i="9"/>
  <c r="Z113" i="9"/>
  <c r="T114" i="9"/>
  <c r="U114" i="9"/>
  <c r="V114" i="9"/>
  <c r="W114" i="9"/>
  <c r="X114" i="9"/>
  <c r="Y114" i="9"/>
  <c r="Z114" i="9"/>
  <c r="T115" i="9"/>
  <c r="U115" i="9"/>
  <c r="V115" i="9"/>
  <c r="W115" i="9"/>
  <c r="X115" i="9"/>
  <c r="Y115" i="9"/>
  <c r="Z115" i="9"/>
  <c r="T116" i="9"/>
  <c r="U116" i="9"/>
  <c r="V116" i="9"/>
  <c r="W116" i="9"/>
  <c r="X116" i="9"/>
  <c r="Y116" i="9"/>
  <c r="Z116" i="9"/>
  <c r="T117" i="9"/>
  <c r="U117" i="9"/>
  <c r="V117" i="9"/>
  <c r="W117" i="9"/>
  <c r="X117" i="9"/>
  <c r="Y117" i="9"/>
  <c r="Z117" i="9"/>
  <c r="T118" i="9"/>
  <c r="U118" i="9"/>
  <c r="V118" i="9"/>
  <c r="W118" i="9"/>
  <c r="X118" i="9"/>
  <c r="Y118" i="9"/>
  <c r="Z118" i="9"/>
  <c r="T119" i="9"/>
  <c r="U119" i="9"/>
  <c r="V119" i="9"/>
  <c r="W119" i="9"/>
  <c r="X119" i="9"/>
  <c r="Y119" i="9"/>
  <c r="Z119" i="9"/>
  <c r="T120" i="9"/>
  <c r="U120" i="9"/>
  <c r="V120" i="9"/>
  <c r="W120" i="9"/>
  <c r="X120" i="9"/>
  <c r="Y120" i="9"/>
  <c r="Z120" i="9"/>
  <c r="T121" i="9"/>
  <c r="U121" i="9"/>
  <c r="V121" i="9"/>
  <c r="W121" i="9"/>
  <c r="X121" i="9"/>
  <c r="Y121" i="9"/>
  <c r="Z121" i="9"/>
  <c r="T122" i="9"/>
  <c r="U122" i="9"/>
  <c r="V122" i="9"/>
  <c r="W122" i="9"/>
  <c r="X122" i="9"/>
  <c r="Y122" i="9"/>
  <c r="Z122" i="9"/>
  <c r="T124" i="9"/>
  <c r="U124" i="9"/>
  <c r="V124" i="9"/>
  <c r="W124" i="9"/>
  <c r="X124" i="9"/>
  <c r="Y124" i="9"/>
  <c r="Z124" i="9"/>
  <c r="T125" i="9"/>
  <c r="U125" i="9"/>
  <c r="V125" i="9"/>
  <c r="W125" i="9"/>
  <c r="X125" i="9"/>
  <c r="Y125" i="9"/>
  <c r="Z125" i="9"/>
  <c r="T127" i="9"/>
  <c r="U127" i="9"/>
  <c r="V127" i="9"/>
  <c r="W127" i="9"/>
  <c r="X127" i="9"/>
  <c r="Y127" i="9"/>
  <c r="Z127" i="9"/>
  <c r="T128" i="9"/>
  <c r="U128" i="9"/>
  <c r="V128" i="9"/>
  <c r="W128" i="9"/>
  <c r="X128" i="9"/>
  <c r="Y128" i="9"/>
  <c r="Z128" i="9"/>
  <c r="T130" i="9"/>
  <c r="U130" i="9"/>
  <c r="V130" i="9"/>
  <c r="W130" i="9"/>
  <c r="X130" i="9"/>
  <c r="Y130" i="9"/>
  <c r="Z130" i="9"/>
  <c r="T131" i="9"/>
  <c r="U131" i="9"/>
  <c r="V131" i="9"/>
  <c r="W131" i="9"/>
  <c r="X131" i="9"/>
  <c r="Y131" i="9"/>
  <c r="Z131" i="9"/>
  <c r="T133" i="9"/>
  <c r="U133" i="9"/>
  <c r="V133" i="9"/>
  <c r="W133" i="9"/>
  <c r="X133" i="9"/>
  <c r="Y133" i="9"/>
  <c r="Z133" i="9"/>
  <c r="T134" i="9"/>
  <c r="U134" i="9"/>
  <c r="V134" i="9"/>
  <c r="W134" i="9"/>
  <c r="X134" i="9"/>
  <c r="Y134" i="9"/>
  <c r="Z134" i="9"/>
  <c r="T149" i="9"/>
  <c r="U149" i="9"/>
  <c r="V149" i="9"/>
  <c r="W149" i="9"/>
  <c r="X149" i="9"/>
  <c r="Y149" i="9"/>
  <c r="Z149" i="9"/>
  <c r="T150" i="9"/>
  <c r="U150" i="9"/>
  <c r="V150" i="9"/>
  <c r="W150" i="9"/>
  <c r="X150" i="9"/>
  <c r="Y150" i="9"/>
  <c r="Z150" i="9"/>
  <c r="T151" i="9"/>
  <c r="U151" i="9"/>
  <c r="V151" i="9"/>
  <c r="W151" i="9"/>
  <c r="X151" i="9"/>
  <c r="Y151" i="9"/>
  <c r="Z151" i="9"/>
  <c r="T152" i="9"/>
  <c r="U152" i="9"/>
  <c r="V152" i="9"/>
  <c r="W152" i="9"/>
  <c r="X152" i="9"/>
  <c r="Y152" i="9"/>
  <c r="Z152" i="9"/>
  <c r="T153" i="9"/>
  <c r="U153" i="9"/>
  <c r="V153" i="9"/>
  <c r="W153" i="9"/>
  <c r="X153" i="9"/>
  <c r="Y153" i="9"/>
  <c r="Z153" i="9"/>
  <c r="T156" i="9"/>
  <c r="U156" i="9"/>
  <c r="V156" i="9"/>
  <c r="W156" i="9"/>
  <c r="X156" i="9"/>
  <c r="Y156" i="9"/>
  <c r="Z156" i="9"/>
  <c r="U158" i="9"/>
  <c r="V158" i="9"/>
  <c r="W158" i="9"/>
  <c r="X158" i="9"/>
  <c r="Y158" i="9"/>
  <c r="Z158" i="9"/>
  <c r="U159" i="9"/>
  <c r="V159" i="9"/>
  <c r="W159" i="9"/>
  <c r="X159" i="9"/>
  <c r="Y159" i="9"/>
  <c r="Z159" i="9"/>
  <c r="T161" i="9"/>
  <c r="U161" i="9"/>
  <c r="V161" i="9"/>
  <c r="W161" i="9"/>
  <c r="X161" i="9"/>
  <c r="Y161" i="9"/>
  <c r="Z161" i="9"/>
  <c r="T162" i="9"/>
  <c r="U162" i="9"/>
  <c r="V162" i="9"/>
  <c r="W162" i="9"/>
  <c r="X162" i="9"/>
  <c r="Y162" i="9"/>
  <c r="Z162" i="9"/>
  <c r="T163" i="9"/>
  <c r="U163" i="9"/>
  <c r="V163" i="9"/>
  <c r="W163" i="9"/>
  <c r="X163" i="9"/>
  <c r="Y163" i="9"/>
  <c r="Z163" i="9"/>
  <c r="T164" i="9"/>
  <c r="U164" i="9"/>
  <c r="V164" i="9"/>
  <c r="W164" i="9"/>
  <c r="X164" i="9"/>
  <c r="Y164" i="9"/>
  <c r="Z164" i="9"/>
  <c r="T165" i="9"/>
  <c r="U165" i="9"/>
  <c r="V165" i="9"/>
  <c r="W165" i="9"/>
  <c r="X165" i="9"/>
  <c r="Y165" i="9"/>
  <c r="Z165" i="9"/>
  <c r="T173" i="9"/>
  <c r="U173" i="9"/>
  <c r="V173" i="9"/>
  <c r="W173" i="9"/>
  <c r="X173" i="9"/>
  <c r="Y173" i="9"/>
  <c r="Z173" i="9"/>
  <c r="T174" i="9"/>
  <c r="U174" i="9"/>
  <c r="V174" i="9"/>
  <c r="W174" i="9"/>
  <c r="X174" i="9"/>
  <c r="Y174" i="9"/>
  <c r="Z174" i="9"/>
  <c r="T175" i="9"/>
  <c r="U175" i="9"/>
  <c r="V175" i="9"/>
  <c r="W175" i="9"/>
  <c r="X175" i="9"/>
  <c r="Y175" i="9"/>
  <c r="Z175" i="9"/>
  <c r="U177" i="9"/>
  <c r="V177" i="9"/>
  <c r="W177" i="9"/>
  <c r="X177" i="9"/>
  <c r="Y177" i="9"/>
  <c r="Z177" i="9"/>
  <c r="T182" i="9"/>
  <c r="U182" i="9"/>
  <c r="V182" i="9"/>
  <c r="W182" i="9"/>
  <c r="X182" i="9"/>
  <c r="Y182" i="9"/>
  <c r="Z182" i="9"/>
  <c r="U184" i="9"/>
  <c r="V184" i="9"/>
  <c r="W184" i="9"/>
  <c r="X184" i="9"/>
  <c r="Y184" i="9"/>
  <c r="Z184" i="9"/>
  <c r="T185" i="9"/>
  <c r="U185" i="9"/>
  <c r="V185" i="9"/>
  <c r="W185" i="9"/>
  <c r="X185" i="9"/>
  <c r="Y185" i="9"/>
  <c r="Z185" i="9"/>
  <c r="T193" i="9"/>
  <c r="U193" i="9"/>
  <c r="V193" i="9"/>
  <c r="W193" i="9"/>
  <c r="X193" i="9"/>
  <c r="Y193" i="9"/>
  <c r="Z193" i="9"/>
  <c r="U195" i="9"/>
  <c r="V195" i="9"/>
  <c r="W195" i="9"/>
  <c r="X195" i="9"/>
  <c r="Y195" i="9"/>
  <c r="Z195" i="9"/>
  <c r="U197" i="9"/>
  <c r="V197" i="9"/>
  <c r="W197" i="9"/>
  <c r="X197" i="9"/>
  <c r="Y197" i="9"/>
  <c r="Z197" i="9"/>
  <c r="T198" i="9"/>
  <c r="U198" i="9"/>
  <c r="V198" i="9"/>
  <c r="W198" i="9"/>
  <c r="X198" i="9"/>
  <c r="Y198" i="9"/>
  <c r="Z198" i="9"/>
  <c r="T199" i="9"/>
  <c r="U199" i="9"/>
  <c r="V199" i="9"/>
  <c r="W199" i="9"/>
  <c r="X199" i="9"/>
  <c r="Y199" i="9"/>
  <c r="Z199" i="9"/>
  <c r="T202" i="9"/>
  <c r="U202" i="9"/>
  <c r="V202" i="9"/>
  <c r="W202" i="9"/>
  <c r="X202" i="9"/>
  <c r="Y202" i="9"/>
  <c r="Z202" i="9"/>
  <c r="T204" i="9"/>
  <c r="U204" i="9"/>
  <c r="V204" i="9"/>
  <c r="W204" i="9"/>
  <c r="X204" i="9"/>
  <c r="Y204" i="9"/>
  <c r="Z204" i="9"/>
  <c r="T205" i="9"/>
  <c r="U205" i="9"/>
  <c r="V205" i="9"/>
  <c r="W205" i="9"/>
  <c r="X205" i="9"/>
  <c r="Y205" i="9"/>
  <c r="Z205" i="9"/>
  <c r="U210" i="9"/>
  <c r="V210" i="9"/>
  <c r="W210" i="9"/>
  <c r="X210" i="9"/>
  <c r="Y210" i="9"/>
  <c r="Z210" i="9"/>
  <c r="U211" i="9"/>
  <c r="V211" i="9"/>
  <c r="W211" i="9"/>
  <c r="X211" i="9"/>
  <c r="Y211" i="9"/>
  <c r="Z211" i="9"/>
  <c r="U212" i="9"/>
  <c r="V212" i="9"/>
  <c r="W212" i="9"/>
  <c r="X212" i="9"/>
  <c r="Y212" i="9"/>
  <c r="Z212" i="9"/>
  <c r="P213" i="9"/>
  <c r="T227" i="9"/>
  <c r="U227" i="9"/>
  <c r="V227" i="9"/>
  <c r="W227" i="9"/>
  <c r="X227" i="9"/>
  <c r="Y227" i="9"/>
  <c r="Z227" i="9"/>
  <c r="T228" i="9"/>
  <c r="U228" i="9"/>
  <c r="V228" i="9"/>
  <c r="W228" i="9"/>
  <c r="X228" i="9"/>
  <c r="Y228" i="9"/>
  <c r="Z228" i="9"/>
  <c r="T230" i="9"/>
  <c r="U230" i="9"/>
  <c r="V230" i="9"/>
  <c r="W230" i="9"/>
  <c r="X230" i="9"/>
  <c r="Y230" i="9"/>
  <c r="Z230" i="9"/>
  <c r="T231" i="9"/>
  <c r="U231" i="9"/>
  <c r="V231" i="9"/>
  <c r="W231" i="9"/>
  <c r="X231" i="9"/>
  <c r="Y231" i="9"/>
  <c r="Z231" i="9"/>
  <c r="T234" i="9"/>
  <c r="U234" i="9"/>
  <c r="V234" i="9"/>
  <c r="W234" i="9"/>
  <c r="X234" i="9"/>
  <c r="Y234" i="9"/>
  <c r="Z234" i="9"/>
  <c r="T235" i="9"/>
  <c r="U235" i="9"/>
  <c r="V235" i="9"/>
  <c r="W235" i="9"/>
  <c r="X235" i="9"/>
  <c r="Y235" i="9"/>
  <c r="Z23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C9" authorId="0" shapeId="0" xr:uid="{E4A86F80-7321-4A05-83A6-CBCB57111881}">
      <text>
        <r>
          <rPr>
            <b/>
            <sz val="9"/>
            <color indexed="81"/>
            <rFont val="Tahoma"/>
            <family val="2"/>
          </rPr>
          <t>Soomit Datta:</t>
        </r>
        <r>
          <rPr>
            <sz val="9"/>
            <color indexed="81"/>
            <rFont val="Tahoma"/>
            <family val="2"/>
          </rPr>
          <t xml:space="preserve">
87.5% stake in UTS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O32" authorId="0" shapeId="0" xr:uid="{2E60B868-38B5-43AE-A712-7372407B3998}">
      <text>
        <r>
          <rPr>
            <b/>
            <sz val="9"/>
            <color indexed="81"/>
            <rFont val="Tahoma"/>
            <family val="2"/>
          </rPr>
          <t>Soomit Datta:</t>
        </r>
        <r>
          <rPr>
            <sz val="9"/>
            <color indexed="81"/>
            <rFont val="Tahoma"/>
            <family val="2"/>
          </rPr>
          <t xml:space="preserve">
after vendor financing repaid ($55m) and tax on sale of towers ($45m)</t>
        </r>
      </text>
    </comment>
    <comment ref="K56" authorId="0" shapeId="0" xr:uid="{9EA4D0DC-3614-4920-8537-CC89B5F5684B}">
      <text>
        <r>
          <rPr>
            <b/>
            <sz val="9"/>
            <color indexed="81"/>
            <rFont val="Tahoma"/>
            <family val="2"/>
          </rPr>
          <t>Soomit Datta:</t>
        </r>
        <r>
          <rPr>
            <sz val="9"/>
            <color indexed="81"/>
            <rFont val="Tahoma"/>
            <family val="2"/>
          </rPr>
          <t xml:space="preserve">
pf for hald year of AT&amp;T</t>
        </r>
      </text>
    </comment>
    <comment ref="I70" authorId="0" shapeId="0" xr:uid="{D3E56214-AF29-4109-82F1-F93A934F8B94}">
      <text>
        <r>
          <rPr>
            <b/>
            <sz val="9"/>
            <color indexed="81"/>
            <rFont val="Tahoma"/>
            <family val="2"/>
          </rPr>
          <t>Soomit Datta:</t>
        </r>
        <r>
          <rPr>
            <sz val="9"/>
            <color indexed="81"/>
            <rFont val="Tahoma"/>
            <family val="2"/>
          </rPr>
          <t xml:space="preserve">
inc derivative contract</t>
        </r>
      </text>
    </comment>
    <comment ref="I79" authorId="0" shapeId="0" xr:uid="{23DA2F46-4FC5-49FD-B356-6035B29680A8}">
      <text>
        <r>
          <rPr>
            <b/>
            <sz val="9"/>
            <color indexed="81"/>
            <rFont val="Tahoma"/>
            <family val="2"/>
          </rPr>
          <t>Soomit Datta:</t>
        </r>
        <r>
          <rPr>
            <sz val="9"/>
            <color indexed="81"/>
            <rFont val="Tahoma"/>
            <family val="2"/>
          </rPr>
          <t xml:space="preserve">
$3.5bn in the press release. Assume $100m difference</t>
        </r>
      </text>
    </comment>
    <comment ref="J79" authorId="0" shapeId="0" xr:uid="{00067C0D-FB99-41D1-BC75-2F1C67CB3517}">
      <text>
        <r>
          <rPr>
            <b/>
            <sz val="9"/>
            <color indexed="81"/>
            <rFont val="Tahoma"/>
            <family val="2"/>
          </rPr>
          <t>Soomit Datta:</t>
        </r>
        <r>
          <rPr>
            <sz val="9"/>
            <color indexed="81"/>
            <rFont val="Tahoma"/>
            <family val="2"/>
          </rPr>
          <t xml:space="preserve">
Cons and prop debt = $3.7bn according to Fy19 press release</t>
        </r>
      </text>
    </comment>
    <comment ref="K84" authorId="0" shapeId="0" xr:uid="{B6FFBB80-0177-4281-A8E2-BF839C33FE78}">
      <text>
        <r>
          <rPr>
            <b/>
            <sz val="9"/>
            <color indexed="81"/>
            <rFont val="Tahoma"/>
            <family val="2"/>
          </rPr>
          <t>Soomit Datta:</t>
        </r>
        <r>
          <rPr>
            <sz val="9"/>
            <color indexed="81"/>
            <rFont val="Tahoma"/>
            <family val="2"/>
          </rPr>
          <t xml:space="preserve">
Adjusted for mid-year consol</t>
        </r>
      </text>
    </comment>
    <comment ref="L84" authorId="0" shapeId="0" xr:uid="{B8B1F6D4-6478-4893-9FC9-8837116F6EE5}">
      <text>
        <r>
          <rPr>
            <b/>
            <sz val="9"/>
            <color indexed="81"/>
            <rFont val="Tahoma"/>
            <family val="2"/>
          </rPr>
          <t>Soomit Datta:</t>
        </r>
        <r>
          <rPr>
            <sz val="9"/>
            <color indexed="81"/>
            <rFont val="Tahoma"/>
            <family val="2"/>
          </rPr>
          <t xml:space="preserve">
For Costa Rica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I209" authorId="0" shapeId="0" xr:uid="{52B131E2-B573-4B81-8F2A-1337B79AF327}">
      <text>
        <r>
          <rPr>
            <b/>
            <sz val="9"/>
            <color indexed="81"/>
            <rFont val="Tahoma"/>
            <family val="2"/>
          </rPr>
          <t>Soomit Datta:</t>
        </r>
        <r>
          <rPr>
            <sz val="9"/>
            <color indexed="81"/>
            <rFont val="Tahoma"/>
            <family val="2"/>
          </rPr>
          <t xml:space="preserve">
restatement</t>
        </r>
      </text>
    </comment>
    <comment ref="F219" authorId="0" shapeId="0" xr:uid="{07C70D93-C96D-4DF4-8718-AE286FBBAE50}">
      <text>
        <r>
          <rPr>
            <b/>
            <sz val="9"/>
            <color indexed="81"/>
            <rFont val="Tahoma"/>
            <family val="2"/>
          </rPr>
          <t>Soomit Datta:</t>
        </r>
        <r>
          <rPr>
            <sz val="9"/>
            <color indexed="81"/>
            <rFont val="Tahoma"/>
            <family val="2"/>
          </rPr>
          <t xml:space="preserve">
UTS included, plus loss of Seychelles</t>
        </r>
      </text>
    </comment>
    <comment ref="G219" authorId="0" shapeId="0" xr:uid="{D29AEAA6-85B4-4EAA-B0BE-A9884B24B235}">
      <text>
        <r>
          <rPr>
            <b/>
            <sz val="9"/>
            <color indexed="81"/>
            <rFont val="Tahoma"/>
            <family val="2"/>
          </rPr>
          <t>Soomit Datta:</t>
        </r>
        <r>
          <rPr>
            <sz val="9"/>
            <color indexed="81"/>
            <rFont val="Tahoma"/>
            <family val="2"/>
          </rPr>
          <t xml:space="preserve">
Sale of Seychelles</t>
        </r>
      </text>
    </comment>
    <comment ref="F239" authorId="0" shapeId="0" xr:uid="{4088948D-B5E8-4FDA-8089-D3C837502AC9}">
      <text>
        <r>
          <rPr>
            <b/>
            <sz val="9"/>
            <color indexed="81"/>
            <rFont val="Tahoma"/>
            <family val="2"/>
          </rPr>
          <t>Soomit Datta:</t>
        </r>
        <r>
          <rPr>
            <sz val="9"/>
            <color indexed="81"/>
            <rFont val="Tahoma"/>
            <family val="2"/>
          </rPr>
          <t xml:space="preserve">
Includes UTS (mainly Curacao mobile)</t>
        </r>
      </text>
    </comment>
    <comment ref="E252" authorId="0" shapeId="0" xr:uid="{7716B845-B49E-4B97-901D-F5C41CB2050A}">
      <text>
        <r>
          <rPr>
            <b/>
            <sz val="9"/>
            <color indexed="81"/>
            <rFont val="Tahoma"/>
            <family val="2"/>
          </rPr>
          <t>Soomit Datta:</t>
        </r>
        <r>
          <rPr>
            <sz val="9"/>
            <color indexed="81"/>
            <rFont val="Tahoma"/>
            <family val="2"/>
          </rPr>
          <t xml:space="preserve">
Stripping out insurance payments of $13m (booked in Q4)</t>
        </r>
      </text>
    </comment>
    <comment ref="F252" authorId="0" shapeId="0" xr:uid="{883F55E1-7500-41B6-BD89-39B69D64FCA4}">
      <text>
        <r>
          <rPr>
            <b/>
            <sz val="9"/>
            <color indexed="81"/>
            <rFont val="Tahoma"/>
            <family val="2"/>
          </rPr>
          <t>Soomit Datta:</t>
        </r>
        <r>
          <rPr>
            <sz val="9"/>
            <color indexed="81"/>
            <rFont val="Tahoma"/>
            <family val="2"/>
          </rPr>
          <t xml:space="preserve">
Q4 19 one-offs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K55" authorId="0" shapeId="0" xr:uid="{95A6E617-6833-4D2D-9D98-BA21D311878C}">
      <text>
        <r>
          <rPr>
            <b/>
            <sz val="9"/>
            <color indexed="81"/>
            <rFont val="Tahoma"/>
            <family val="2"/>
          </rPr>
          <t>Soomit Datta:</t>
        </r>
        <r>
          <rPr>
            <sz val="9"/>
            <color indexed="81"/>
            <rFont val="Tahoma"/>
            <family val="2"/>
          </rPr>
          <t xml:space="preserve">
3 months of UTS stripped out. Adding back for Seychelles sale</t>
        </r>
      </text>
    </comment>
    <comment ref="L55" authorId="0" shapeId="0" xr:uid="{D4A9359C-96E2-4B47-8848-C1D18924D872}">
      <text>
        <r>
          <rPr>
            <b/>
            <sz val="9"/>
            <color indexed="81"/>
            <rFont val="Tahoma"/>
            <family val="2"/>
          </rPr>
          <t>Soomit Datta:</t>
        </r>
        <r>
          <rPr>
            <sz val="9"/>
            <color indexed="81"/>
            <rFont val="Tahoma"/>
            <family val="2"/>
          </rPr>
          <t xml:space="preserve">
1 month of UTS stripped out. Adj for half year of AT&amp;T PR. Adding back for Seychelles sale</t>
        </r>
      </text>
    </comment>
    <comment ref="M56" authorId="0" shapeId="0" xr:uid="{CCDFC8CD-985C-4B6F-BAD1-4D540B235A66}">
      <text>
        <r>
          <rPr>
            <b/>
            <sz val="9"/>
            <color indexed="81"/>
            <rFont val="Tahoma"/>
            <family val="2"/>
          </rPr>
          <t>Soomit Datta:</t>
        </r>
        <r>
          <rPr>
            <sz val="9"/>
            <color indexed="81"/>
            <rFont val="Tahoma"/>
            <family val="2"/>
          </rPr>
          <t xml:space="preserve">
Adj for half year of AT&amp;T</t>
        </r>
      </text>
    </comment>
    <comment ref="L81" authorId="0" shapeId="0" xr:uid="{571F7D17-85CC-4112-B0CD-8CB29AACAEAD}">
      <text>
        <r>
          <rPr>
            <b/>
            <sz val="9"/>
            <color indexed="81"/>
            <rFont val="Tahoma"/>
            <family val="2"/>
          </rPr>
          <t>Soomit Datta:</t>
        </r>
        <r>
          <rPr>
            <sz val="9"/>
            <color indexed="81"/>
            <rFont val="Tahoma"/>
            <family val="2"/>
          </rPr>
          <t xml:space="preserve">
Strip out $30m for Curacao (1 March 2019) and add back for 10 months of Seychelles (sold 5 Nov 2019)</t>
        </r>
      </text>
    </comment>
    <comment ref="J247" authorId="0" shapeId="0" xr:uid="{D7324ADA-92F1-4AC5-8E64-49EF1B1DB228}">
      <text>
        <r>
          <rPr>
            <b/>
            <sz val="9"/>
            <color indexed="81"/>
            <rFont val="Tahoma"/>
            <family val="2"/>
          </rPr>
          <t>Soomit Datta:</t>
        </r>
        <r>
          <rPr>
            <sz val="9"/>
            <color indexed="81"/>
            <rFont val="Tahoma"/>
            <family val="2"/>
          </rPr>
          <t xml:space="preserve">
Panama write down</t>
        </r>
      </text>
    </comment>
    <comment ref="J318" authorId="0" shapeId="0" xr:uid="{F6D5F7A1-F7EB-446A-828B-902E177EEA1C}">
      <text>
        <r>
          <rPr>
            <b/>
            <sz val="9"/>
            <color indexed="81"/>
            <rFont val="Tahoma"/>
            <family val="2"/>
          </rPr>
          <t>Soomit Datta:</t>
        </r>
        <r>
          <rPr>
            <sz val="9"/>
            <color indexed="81"/>
            <rFont val="Tahoma"/>
            <family val="2"/>
          </rPr>
          <t xml:space="preserve">
Offset by derivative value</t>
        </r>
      </text>
    </comment>
    <comment ref="M318" authorId="0" shapeId="0" xr:uid="{DA80E212-5456-4CFE-8F80-2ED8C099344B}">
      <text>
        <r>
          <rPr>
            <b/>
            <sz val="9"/>
            <color indexed="81"/>
            <rFont val="Tahoma"/>
            <family val="2"/>
          </rPr>
          <t>Soomit Datta:</t>
        </r>
        <r>
          <rPr>
            <sz val="9"/>
            <color indexed="81"/>
            <rFont val="Tahoma"/>
            <family val="2"/>
          </rPr>
          <t xml:space="preserve">
Derivs etc to match definition</t>
        </r>
      </text>
    </comment>
    <comment ref="F361" authorId="0" shapeId="0" xr:uid="{00000000-0006-0000-0000-000003000000}">
      <text>
        <r>
          <rPr>
            <b/>
            <sz val="9"/>
            <color indexed="81"/>
            <rFont val="Tahoma"/>
            <family val="2"/>
          </rPr>
          <t>Soomit Datta:</t>
        </r>
        <r>
          <rPr>
            <sz val="9"/>
            <color indexed="81"/>
            <rFont val="Tahoma"/>
            <family val="2"/>
          </rPr>
          <t xml:space="preserve">
Adj for Fin liabilities at fair value</t>
        </r>
      </text>
    </comment>
    <comment ref="P361" authorId="0" shapeId="0" xr:uid="{2965E5E9-1AE5-4396-88D0-B88F0F5660EF}">
      <text>
        <r>
          <rPr>
            <b/>
            <sz val="9"/>
            <color indexed="81"/>
            <rFont val="Tahoma"/>
            <family val="2"/>
          </rPr>
          <t>Soomit Datta:</t>
        </r>
        <r>
          <rPr>
            <sz val="9"/>
            <color indexed="81"/>
            <rFont val="Tahoma"/>
            <family val="2"/>
          </rPr>
          <t xml:space="preserve">
Vendor financing repaid</t>
        </r>
      </text>
    </comment>
    <comment ref="B366" authorId="0" shapeId="0" xr:uid="{00000000-0006-0000-0000-000004000000}">
      <text>
        <r>
          <rPr>
            <b/>
            <sz val="9"/>
            <color indexed="81"/>
            <rFont val="Tahoma"/>
            <family val="2"/>
          </rPr>
          <t>Soomit Datta:</t>
        </r>
        <r>
          <rPr>
            <sz val="9"/>
            <color indexed="81"/>
            <rFont val="Tahoma"/>
            <family val="2"/>
          </rPr>
          <t xml:space="preserve">
ongoing payments to pre-retired</t>
        </r>
      </text>
    </comment>
    <comment ref="F383" authorId="0" shapeId="0" xr:uid="{00000000-0006-0000-0000-000005000000}">
      <text>
        <r>
          <rPr>
            <b/>
            <sz val="9"/>
            <color indexed="81"/>
            <rFont val="Tahoma"/>
            <family val="2"/>
          </rPr>
          <t>Soomit Datta:</t>
        </r>
        <r>
          <rPr>
            <sz val="9"/>
            <color indexed="81"/>
            <rFont val="Tahoma"/>
            <family val="2"/>
          </rPr>
          <t xml:space="preserve">
tax on exceptional items</t>
        </r>
      </text>
    </comment>
    <comment ref="M409" authorId="0" shapeId="0" xr:uid="{CB835355-50AD-4245-81D6-94850914F755}">
      <text>
        <r>
          <rPr>
            <b/>
            <sz val="9"/>
            <color indexed="81"/>
            <rFont val="Tahoma"/>
            <family val="2"/>
          </rPr>
          <t>Soomit Datta:</t>
        </r>
        <r>
          <rPr>
            <sz val="9"/>
            <color indexed="81"/>
            <rFont val="Tahoma"/>
            <family val="2"/>
          </rPr>
          <t xml:space="preserve">
IR, March 2021: "low hundreds"</t>
        </r>
      </text>
    </comment>
    <comment ref="F452" authorId="0" shapeId="0" xr:uid="{00000000-0006-0000-0000-000006000000}">
      <text>
        <r>
          <rPr>
            <b/>
            <sz val="9"/>
            <color indexed="81"/>
            <rFont val="Tahoma"/>
            <family val="2"/>
          </rPr>
          <t>Soomit Datta:</t>
        </r>
        <r>
          <rPr>
            <sz val="9"/>
            <color indexed="81"/>
            <rFont val="Tahoma"/>
            <family val="2"/>
          </rPr>
          <t xml:space="preserve">
EV less share issuance, for Colombus</t>
        </r>
      </text>
    </comment>
    <comment ref="G452" authorId="0" shapeId="0" xr:uid="{00000000-0006-0000-0000-000007000000}">
      <text>
        <r>
          <rPr>
            <b/>
            <sz val="9"/>
            <color indexed="81"/>
            <rFont val="Tahoma"/>
            <family val="2"/>
          </rPr>
          <t>Soomit Datta:</t>
        </r>
        <r>
          <rPr>
            <sz val="9"/>
            <color indexed="81"/>
            <rFont val="Tahoma"/>
            <family val="2"/>
          </rPr>
          <t xml:space="preserve">
Debt at LiLAC</t>
        </r>
      </text>
    </comment>
    <comment ref="I452" authorId="0" shapeId="0" xr:uid="{00000000-0006-0000-0000-000008000000}">
      <text>
        <r>
          <rPr>
            <b/>
            <sz val="9"/>
            <color indexed="81"/>
            <rFont val="Tahoma"/>
            <family val="2"/>
          </rPr>
          <t>Soomit Datta:</t>
        </r>
        <r>
          <rPr>
            <sz val="9"/>
            <color indexed="81"/>
            <rFont val="Tahoma"/>
            <family val="2"/>
          </rPr>
          <t xml:space="preserve">
19% Barbados minority</t>
        </r>
      </text>
    </comment>
    <comment ref="J452" authorId="0" shapeId="0" xr:uid="{00000000-0006-0000-0000-000009000000}">
      <text>
        <r>
          <rPr>
            <b/>
            <sz val="9"/>
            <color indexed="81"/>
            <rFont val="Tahoma"/>
            <family val="2"/>
          </rPr>
          <t>Soomit Datta:</t>
        </r>
        <r>
          <rPr>
            <sz val="9"/>
            <color indexed="81"/>
            <rFont val="Tahoma"/>
            <family val="2"/>
          </rPr>
          <t xml:space="preserve">
Costa Rica</t>
        </r>
      </text>
    </comment>
    <comment ref="K452" authorId="0" shapeId="0" xr:uid="{A408B8DF-8B93-4506-9B0B-8C0B51196079}">
      <text>
        <r>
          <rPr>
            <b/>
            <sz val="9"/>
            <color indexed="81"/>
            <rFont val="Tahoma"/>
            <family val="2"/>
          </rPr>
          <t>Soomit Datta:</t>
        </r>
        <r>
          <rPr>
            <sz val="9"/>
            <color indexed="81"/>
            <rFont val="Tahoma"/>
            <family val="2"/>
          </rPr>
          <t xml:space="preserve">
UTS</t>
        </r>
      </text>
    </comment>
    <comment ref="L452" authorId="0" shapeId="0" xr:uid="{87B9CD6C-F0D7-4260-9AC2-56974965319C}">
      <text>
        <r>
          <rPr>
            <b/>
            <sz val="9"/>
            <color indexed="81"/>
            <rFont val="Tahoma"/>
            <family val="2"/>
          </rPr>
          <t>Soomit Datta:</t>
        </r>
        <r>
          <rPr>
            <sz val="9"/>
            <color indexed="81"/>
            <rFont val="Tahoma"/>
            <family val="2"/>
          </rPr>
          <t xml:space="preserve">
AT&amp;T</t>
        </r>
      </text>
    </comment>
    <comment ref="M452" authorId="0" shapeId="0" xr:uid="{F7459925-4CF5-47DD-8856-4BED1A483408}">
      <text>
        <r>
          <rPr>
            <b/>
            <sz val="9"/>
            <color indexed="81"/>
            <rFont val="Tahoma"/>
            <family val="2"/>
          </rPr>
          <t>Soomit Datta:</t>
        </r>
        <r>
          <rPr>
            <sz val="9"/>
            <color indexed="81"/>
            <rFont val="Tahoma"/>
            <family val="2"/>
          </rPr>
          <t xml:space="preserve">
TEF Costa Rica</t>
        </r>
      </text>
    </comment>
    <comment ref="N452" authorId="0" shapeId="0" xr:uid="{EA0BA3CF-772C-476F-8973-CD586AF3DF89}">
      <text>
        <r>
          <rPr>
            <b/>
            <sz val="9"/>
            <color indexed="81"/>
            <rFont val="Tahoma"/>
            <family val="2"/>
          </rPr>
          <t>Soomit Datta:</t>
        </r>
        <r>
          <rPr>
            <sz val="9"/>
            <color indexed="81"/>
            <rFont val="Tahoma"/>
            <family val="2"/>
          </rPr>
          <t xml:space="preserve">
Claro Panama</t>
        </r>
      </text>
    </comment>
    <comment ref="H454" authorId="0" shapeId="0" xr:uid="{00000000-0006-0000-0000-00000A000000}">
      <text>
        <r>
          <rPr>
            <b/>
            <sz val="9"/>
            <color indexed="81"/>
            <rFont val="Tahoma"/>
            <family val="2"/>
          </rPr>
          <t>Soomit Datta:</t>
        </r>
        <r>
          <rPr>
            <sz val="9"/>
            <color indexed="81"/>
            <rFont val="Tahoma"/>
            <family val="2"/>
          </rPr>
          <t xml:space="preserve">
fees and finance fees related to CWC deal</t>
        </r>
      </text>
    </comment>
    <comment ref="K454" authorId="0" shapeId="0" xr:uid="{D9B63866-F85F-48F5-829A-312D046C3B0D}">
      <text>
        <r>
          <rPr>
            <b/>
            <sz val="9"/>
            <color indexed="81"/>
            <rFont val="Tahoma"/>
            <family val="2"/>
          </rPr>
          <t>Soomit Datta:</t>
        </r>
        <r>
          <rPr>
            <sz val="9"/>
            <color indexed="81"/>
            <rFont val="Tahoma"/>
            <family val="2"/>
          </rPr>
          <t xml:space="preserve">
Seychelles</t>
        </r>
      </text>
    </comment>
    <comment ref="P523" authorId="0" shapeId="0" xr:uid="{887FB602-542B-4B50-8607-075A88AB6647}">
      <text>
        <r>
          <rPr>
            <b/>
            <sz val="9"/>
            <color indexed="81"/>
            <rFont val="Tahoma"/>
            <family val="2"/>
          </rPr>
          <t>Soomit Datta:</t>
        </r>
        <r>
          <rPr>
            <sz val="9"/>
            <color indexed="81"/>
            <rFont val="Tahoma"/>
            <family val="2"/>
          </rPr>
          <t xml:space="preserve">
Assumes mid-year 24</t>
        </r>
      </text>
    </comment>
    <comment ref="Q524" authorId="0" shapeId="0" xr:uid="{F507A8DC-7BAF-4EC9-B08D-3DA231794458}">
      <text>
        <r>
          <rPr>
            <b/>
            <sz val="9"/>
            <color indexed="81"/>
            <rFont val="Tahoma"/>
            <family val="2"/>
          </rPr>
          <t>Soomit Datta:</t>
        </r>
        <r>
          <rPr>
            <sz val="9"/>
            <color indexed="81"/>
            <rFont val="Tahoma"/>
            <family val="2"/>
          </rPr>
          <t xml:space="preserve">
assume Jan 1 25</t>
        </r>
      </text>
    </comment>
    <comment ref="Q525" authorId="0" shapeId="0" xr:uid="{B4E774B5-6CC6-49D0-A529-ED3DF5DDD3AD}">
      <text>
        <r>
          <rPr>
            <b/>
            <sz val="9"/>
            <color indexed="81"/>
            <rFont val="Tahoma"/>
            <family val="2"/>
          </rPr>
          <t>Soomit Datta:</t>
        </r>
        <r>
          <rPr>
            <sz val="9"/>
            <color indexed="81"/>
            <rFont val="Tahoma"/>
            <family val="2"/>
          </rPr>
          <t xml:space="preserve">
assumes mid-year 25</t>
        </r>
      </text>
    </comment>
    <comment ref="I527" authorId="0" shapeId="0" xr:uid="{00000000-0006-0000-0000-00000B000000}">
      <text>
        <r>
          <rPr>
            <b/>
            <sz val="9"/>
            <color indexed="81"/>
            <rFont val="Tahoma"/>
            <family val="2"/>
          </rPr>
          <t>Soomit Datta:</t>
        </r>
        <r>
          <rPr>
            <sz val="9"/>
            <color indexed="81"/>
            <rFont val="Tahoma"/>
            <family val="2"/>
          </rPr>
          <t xml:space="preserve">
Add in derivative value</t>
        </r>
      </text>
    </comment>
    <comment ref="J527" authorId="0" shapeId="0" xr:uid="{6903C263-EC18-46BB-9F24-886360AD8C53}">
      <text>
        <r>
          <rPr>
            <b/>
            <sz val="9"/>
            <color indexed="81"/>
            <rFont val="Tahoma"/>
            <family val="2"/>
          </rPr>
          <t>Soomit Datta:</t>
        </r>
        <r>
          <rPr>
            <sz val="9"/>
            <color indexed="81"/>
            <rFont val="Tahoma"/>
            <family val="2"/>
          </rPr>
          <t xml:space="preserve">
Add in derivative value</t>
        </r>
      </text>
    </comment>
    <comment ref="K600" authorId="0" shapeId="0" xr:uid="{B14560B1-8350-4ADC-B8D5-B553D423EE76}">
      <text>
        <r>
          <rPr>
            <b/>
            <sz val="9"/>
            <color indexed="81"/>
            <rFont val="Tahoma"/>
            <family val="2"/>
          </rPr>
          <t>Soomit Datta:</t>
        </r>
        <r>
          <rPr>
            <sz val="9"/>
            <color indexed="81"/>
            <rFont val="Tahoma"/>
            <family val="2"/>
          </rPr>
          <t xml:space="preserve">
Plug to get to interest expense
</t>
        </r>
      </text>
    </comment>
    <comment ref="G601" authorId="0" shapeId="0" xr:uid="{00000000-0006-0000-0000-00000C000000}">
      <text>
        <r>
          <rPr>
            <b/>
            <sz val="9"/>
            <color indexed="81"/>
            <rFont val="Tahoma"/>
            <family val="2"/>
          </rPr>
          <t>Soomit Datta:</t>
        </r>
        <r>
          <rPr>
            <sz val="9"/>
            <color indexed="81"/>
            <rFont val="Tahoma"/>
            <family val="2"/>
          </rPr>
          <t xml:space="preserve">
Aug 3, 2015</t>
        </r>
      </text>
    </comment>
    <comment ref="G602" authorId="0" shapeId="0" xr:uid="{00000000-0006-0000-0000-00000D000000}">
      <text>
        <r>
          <rPr>
            <b/>
            <sz val="9"/>
            <color indexed="81"/>
            <rFont val="Tahoma"/>
            <family val="2"/>
          </rPr>
          <t>Soomit Datta:</t>
        </r>
        <r>
          <rPr>
            <sz val="9"/>
            <color indexed="81"/>
            <rFont val="Tahoma"/>
            <family val="2"/>
          </rPr>
          <t xml:space="preserve">
Aug 3, 2015</t>
        </r>
      </text>
    </comment>
    <comment ref="G603" authorId="0" shapeId="0" xr:uid="{914C163A-3464-48B4-A4F7-EC156391EBF1}">
      <text>
        <r>
          <rPr>
            <b/>
            <sz val="9"/>
            <color indexed="81"/>
            <rFont val="Tahoma"/>
            <family val="2"/>
          </rPr>
          <t>Soomit Datta:</t>
        </r>
        <r>
          <rPr>
            <sz val="9"/>
            <color indexed="81"/>
            <rFont val="Tahoma"/>
            <family val="2"/>
          </rPr>
          <t xml:space="preserve">
Aug 3, 2015</t>
        </r>
      </text>
    </comment>
    <comment ref="G604" authorId="0" shapeId="0" xr:uid="{3256D4D0-AF4B-494A-BFE8-6275D208638F}">
      <text>
        <r>
          <rPr>
            <b/>
            <sz val="9"/>
            <color indexed="81"/>
            <rFont val="Tahoma"/>
            <family val="2"/>
          </rPr>
          <t>Soomit Datta:</t>
        </r>
        <r>
          <rPr>
            <sz val="9"/>
            <color indexed="81"/>
            <rFont val="Tahoma"/>
            <family val="2"/>
          </rPr>
          <t xml:space="preserve">
Aug 3, 2015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AA7" authorId="0" shapeId="0" xr:uid="{8A3295C5-6DDD-44C7-B163-81E51C338C3E}">
      <text>
        <r>
          <rPr>
            <b/>
            <sz val="9"/>
            <color indexed="81"/>
            <rFont val="Tahoma"/>
            <family val="2"/>
          </rPr>
          <t>Soomit Datta:</t>
        </r>
        <r>
          <rPr>
            <sz val="9"/>
            <color indexed="81"/>
            <rFont val="Tahoma"/>
            <family val="2"/>
          </rPr>
          <t xml:space="preserve">
Sold 5 Nov</t>
        </r>
      </text>
    </comment>
    <comment ref="P8" authorId="0" shapeId="0" xr:uid="{00000000-0006-0000-0500-000001000000}">
      <text>
        <r>
          <rPr>
            <b/>
            <sz val="9"/>
            <color indexed="81"/>
            <rFont val="Tahoma"/>
            <family val="2"/>
          </rPr>
          <t>Soomit Datta:</t>
        </r>
        <r>
          <rPr>
            <sz val="9"/>
            <color indexed="81"/>
            <rFont val="Tahoma"/>
            <family val="2"/>
          </rPr>
          <t xml:space="preserve">
Client in B2B. Rev would be recognised only when cash in</t>
        </r>
      </text>
    </comment>
    <comment ref="Y11" authorId="0" shapeId="0" xr:uid="{28723F99-703E-44A9-8040-C0E3B549B476}">
      <text>
        <r>
          <rPr>
            <b/>
            <sz val="9"/>
            <color indexed="81"/>
            <rFont val="Tahoma"/>
            <family val="2"/>
          </rPr>
          <t>Soomit Datta:</t>
        </r>
        <r>
          <rPr>
            <sz val="9"/>
            <color indexed="81"/>
            <rFont val="Tahoma"/>
            <family val="2"/>
          </rPr>
          <t xml:space="preserve">
UTS included from Mar 31st…$33m</t>
        </r>
      </text>
    </comment>
    <comment ref="S14" authorId="0" shapeId="0" xr:uid="{00000000-0006-0000-0500-000002000000}">
      <text>
        <r>
          <rPr>
            <b/>
            <sz val="9"/>
            <color indexed="81"/>
            <rFont val="Tahoma"/>
            <family val="2"/>
          </rPr>
          <t>Soomit Datta:</t>
        </r>
        <r>
          <rPr>
            <sz val="9"/>
            <color indexed="81"/>
            <rFont val="Tahoma"/>
            <family val="2"/>
          </rPr>
          <t xml:space="preserve">
$5-10m of revs and EBITDA in Q1</t>
        </r>
      </text>
    </comment>
    <comment ref="P17" authorId="0" shapeId="0" xr:uid="{65A10982-6369-4C50-A7E6-5821D4C08CE8}">
      <text>
        <r>
          <rPr>
            <b/>
            <sz val="9"/>
            <color indexed="81"/>
            <rFont val="Tahoma"/>
            <family val="2"/>
          </rPr>
          <t>Soomit Datta:</t>
        </r>
        <r>
          <rPr>
            <sz val="9"/>
            <color indexed="81"/>
            <rFont val="Tahoma"/>
            <family val="2"/>
          </rPr>
          <t xml:space="preserve">
Client in B2B. Rev would be recognised only when cash in</t>
        </r>
      </text>
    </comment>
    <comment ref="B72" authorId="0" shapeId="0" xr:uid="{00000000-0006-0000-0500-000003000000}">
      <text>
        <r>
          <rPr>
            <b/>
            <sz val="9"/>
            <color indexed="81"/>
            <rFont val="Tahoma"/>
            <family val="2"/>
          </rPr>
          <t>Soomit Datta:</t>
        </r>
        <r>
          <rPr>
            <sz val="9"/>
            <color indexed="81"/>
            <rFont val="Tahoma"/>
            <family val="2"/>
          </rPr>
          <t xml:space="preserve">
includes LatAm (non Caribbean, non Panama) B2B/managed services: c.$30m/Q</t>
        </r>
      </text>
    </comment>
    <comment ref="V205" authorId="0" shapeId="0" xr:uid="{1D7E2138-54FF-42FE-989C-DD9EDAB961CC}">
      <text>
        <r>
          <rPr>
            <b/>
            <sz val="9"/>
            <color indexed="81"/>
            <rFont val="Tahoma"/>
            <family val="2"/>
          </rPr>
          <t>Soomit Datta:</t>
        </r>
        <r>
          <rPr>
            <sz val="9"/>
            <color indexed="81"/>
            <rFont val="Tahoma"/>
            <family val="2"/>
          </rPr>
          <t xml:space="preserve">
Re-based less Cabletica</t>
        </r>
      </text>
    </comment>
    <comment ref="AJ233" authorId="0" shapeId="0" xr:uid="{5C2492CB-8FDF-4C12-AE2F-62AA2D42819D}">
      <text>
        <r>
          <rPr>
            <b/>
            <sz val="9"/>
            <color indexed="81"/>
            <rFont val="Tahoma"/>
            <family val="2"/>
          </rPr>
          <t>Soomit Datta:</t>
        </r>
        <r>
          <rPr>
            <sz val="9"/>
            <color indexed="81"/>
            <rFont val="Tahoma"/>
            <family val="2"/>
          </rPr>
          <t xml:space="preserve">
Aug 9th</t>
        </r>
      </text>
    </comment>
    <comment ref="AY311" authorId="0" shapeId="0" xr:uid="{D8D86BD7-A0CC-4167-9CC5-0A7AFF347B61}">
      <text>
        <r>
          <rPr>
            <b/>
            <sz val="9"/>
            <color indexed="81"/>
            <rFont val="Tahoma"/>
            <family val="2"/>
          </rPr>
          <t>Soomit Datta:</t>
        </r>
        <r>
          <rPr>
            <sz val="9"/>
            <color indexed="81"/>
            <rFont val="Tahoma"/>
            <family val="2"/>
          </rPr>
          <t xml:space="preserve">
$501.1m is PR</t>
        </r>
      </text>
    </comment>
    <comment ref="U313" authorId="0" shapeId="0" xr:uid="{35D942FA-8F49-46CC-A0BD-7CCE48B2E2D5}">
      <text>
        <r>
          <rPr>
            <b/>
            <sz val="9"/>
            <color indexed="81"/>
            <rFont val="Tahoma"/>
            <family val="2"/>
          </rPr>
          <t>Soomit Datta:</t>
        </r>
        <r>
          <rPr>
            <sz val="9"/>
            <color indexed="81"/>
            <rFont val="Tahoma"/>
            <family val="2"/>
          </rPr>
          <t xml:space="preserve">
removing the EBITDA one offs (line 161)</t>
        </r>
      </text>
    </comment>
    <comment ref="V313" authorId="0" shapeId="0" xr:uid="{0C362E99-83EA-4D14-93B7-88644B7F2377}">
      <text>
        <r>
          <rPr>
            <b/>
            <sz val="9"/>
            <color indexed="81"/>
            <rFont val="Tahoma"/>
            <family val="2"/>
          </rPr>
          <t>Soomit Datta:</t>
        </r>
        <r>
          <rPr>
            <sz val="9"/>
            <color indexed="81"/>
            <rFont val="Tahoma"/>
            <family val="2"/>
          </rPr>
          <t xml:space="preserve">
removing the EBITDA one offs (line 161)</t>
        </r>
      </text>
    </comment>
    <comment ref="Q357" authorId="0" shapeId="0" xr:uid="{00000000-0006-0000-0500-000004000000}">
      <text>
        <r>
          <rPr>
            <b/>
            <sz val="9"/>
            <color indexed="81"/>
            <rFont val="Tahoma"/>
            <family val="2"/>
          </rPr>
          <t>Soomit Datta:</t>
        </r>
        <r>
          <rPr>
            <sz val="9"/>
            <color indexed="81"/>
            <rFont val="Tahoma"/>
            <family val="2"/>
          </rPr>
          <t xml:space="preserve">
Includes pension costs of $130m</t>
        </r>
      </text>
    </comment>
    <comment ref="S357" authorId="0" shapeId="0" xr:uid="{00000000-0006-0000-0500-000005000000}">
      <text>
        <r>
          <rPr>
            <b/>
            <sz val="9"/>
            <color indexed="81"/>
            <rFont val="Tahoma"/>
            <family val="2"/>
          </rPr>
          <t>Soomit Datta:</t>
        </r>
        <r>
          <rPr>
            <sz val="9"/>
            <color indexed="81"/>
            <rFont val="Tahoma"/>
            <family val="2"/>
          </rPr>
          <t xml:space="preserve">
First $30m insurance payment</t>
        </r>
      </text>
    </comment>
    <comment ref="T357" authorId="0" shapeId="0" xr:uid="{219ADEA6-BE35-4893-96AB-50B37940236F}">
      <text>
        <r>
          <rPr>
            <b/>
            <sz val="9"/>
            <color indexed="81"/>
            <rFont val="Tahoma"/>
            <family val="2"/>
          </rPr>
          <t>Soomit Datta:</t>
        </r>
        <r>
          <rPr>
            <sz val="9"/>
            <color indexed="81"/>
            <rFont val="Tahoma"/>
            <family val="2"/>
          </rPr>
          <t xml:space="preserve">
No insurance booked in Q2</t>
        </r>
      </text>
    </comment>
    <comment ref="U357" authorId="0" shapeId="0" xr:uid="{6B0C0E9D-4718-4591-94AC-84E22278A9CC}">
      <text>
        <r>
          <rPr>
            <b/>
            <sz val="9"/>
            <color indexed="81"/>
            <rFont val="Tahoma"/>
            <family val="2"/>
          </rPr>
          <t>Soomit Datta:</t>
        </r>
        <r>
          <rPr>
            <sz val="9"/>
            <color indexed="81"/>
            <rFont val="Tahoma"/>
            <family val="2"/>
          </rPr>
          <t xml:space="preserve">
includes $20m insurance + $11m FCC</t>
        </r>
      </text>
    </comment>
    <comment ref="X357" authorId="0" shapeId="0" xr:uid="{F251B8CB-CBAD-457B-B080-B9A22A21E31D}">
      <text>
        <r>
          <rPr>
            <b/>
            <sz val="9"/>
            <color indexed="81"/>
            <rFont val="Tahoma"/>
            <family val="2"/>
          </rPr>
          <t>Soomit Datta:</t>
        </r>
        <r>
          <rPr>
            <sz val="9"/>
            <color indexed="81"/>
            <rFont val="Tahoma"/>
            <family val="2"/>
          </rPr>
          <t xml:space="preserve">
Includes $33m insurance receipt</t>
        </r>
      </text>
    </comment>
    <comment ref="Q386" authorId="0" shapeId="0" xr:uid="{00000000-0006-0000-0500-000007000000}">
      <text>
        <r>
          <rPr>
            <b/>
            <sz val="9"/>
            <color indexed="81"/>
            <rFont val="Tahoma"/>
            <family val="2"/>
          </rPr>
          <t>Soomit Datta:</t>
        </r>
        <r>
          <rPr>
            <sz val="9"/>
            <color indexed="81"/>
            <rFont val="Tahoma"/>
            <family val="2"/>
          </rPr>
          <t xml:space="preserve">
Barbados minorities</t>
        </r>
      </text>
    </comment>
    <comment ref="V396" authorId="0" shapeId="0" xr:uid="{89E7FCF5-937D-4638-B57A-C16713D8D8E9}">
      <text>
        <r>
          <rPr>
            <b/>
            <sz val="9"/>
            <color indexed="81"/>
            <rFont val="Tahoma"/>
            <family val="2"/>
          </rPr>
          <t>Soomit Datta:</t>
        </r>
        <r>
          <rPr>
            <sz val="9"/>
            <color indexed="81"/>
            <rFont val="Tahoma"/>
            <family val="2"/>
          </rPr>
          <t xml:space="preserve">
Shift to L2QA</t>
        </r>
      </text>
    </comment>
    <comment ref="AC396" authorId="0" shapeId="0" xr:uid="{5BE99BFD-EE22-420F-9368-4415025D8C13}">
      <text>
        <r>
          <rPr>
            <b/>
            <sz val="9"/>
            <color indexed="81"/>
            <rFont val="Tahoma"/>
            <family val="2"/>
          </rPr>
          <t>Soomit Datta:</t>
        </r>
        <r>
          <rPr>
            <sz val="9"/>
            <color indexed="81"/>
            <rFont val="Tahoma"/>
            <family val="2"/>
          </rPr>
          <t xml:space="preserve">
3.8x in press release</t>
        </r>
      </text>
    </comment>
    <comment ref="AD396" authorId="0" shapeId="0" xr:uid="{5AA03DC2-3377-4E5A-BD3B-888CCAD8FDF4}">
      <text>
        <r>
          <rPr>
            <b/>
            <sz val="9"/>
            <color indexed="81"/>
            <rFont val="Tahoma"/>
            <family val="2"/>
          </rPr>
          <t>Soomit Datta:</t>
        </r>
        <r>
          <rPr>
            <sz val="9"/>
            <color indexed="81"/>
            <rFont val="Tahoma"/>
            <family val="2"/>
          </rPr>
          <t xml:space="preserve">
4.2x in press release</t>
        </r>
      </text>
    </comment>
    <comment ref="AE396" authorId="0" shapeId="0" xr:uid="{3BD21BEB-14E0-4AD3-BE5E-E6875C3262A4}">
      <text>
        <r>
          <rPr>
            <b/>
            <sz val="9"/>
            <color indexed="81"/>
            <rFont val="Tahoma"/>
            <family val="2"/>
          </rPr>
          <t>Soomit Datta:</t>
        </r>
        <r>
          <rPr>
            <sz val="9"/>
            <color indexed="81"/>
            <rFont val="Tahoma"/>
            <family val="2"/>
          </rPr>
          <t xml:space="preserve">
4.1x in press release</t>
        </r>
      </text>
    </comment>
    <comment ref="AF396" authorId="0" shapeId="0" xr:uid="{0B08161E-04A3-4A38-895F-E466A760AF60}">
      <text>
        <r>
          <rPr>
            <b/>
            <sz val="9"/>
            <color indexed="81"/>
            <rFont val="Tahoma"/>
            <family val="2"/>
          </rPr>
          <t>Soomit Datta:</t>
        </r>
        <r>
          <rPr>
            <sz val="9"/>
            <color indexed="81"/>
            <rFont val="Tahoma"/>
            <family val="2"/>
          </rPr>
          <t xml:space="preserve">
4.1x in press release</t>
        </r>
      </text>
    </comment>
    <comment ref="C430" authorId="0" shapeId="0" xr:uid="{00000000-0006-0000-0500-000008000000}">
      <text>
        <r>
          <rPr>
            <b/>
            <sz val="9"/>
            <color indexed="81"/>
            <rFont val="Tahoma"/>
            <family val="2"/>
          </rPr>
          <t>Soomit Datta:</t>
        </r>
        <r>
          <rPr>
            <sz val="9"/>
            <color indexed="81"/>
            <rFont val="Tahoma"/>
            <family val="2"/>
          </rPr>
          <t xml:space="preserve">
estimate</t>
        </r>
      </text>
    </comment>
    <comment ref="H1034" authorId="0" shapeId="0" xr:uid="{26AFF990-A6C1-4A06-A407-8C8F6AB86A6B}">
      <text>
        <r>
          <rPr>
            <b/>
            <sz val="9"/>
            <color indexed="81"/>
            <rFont val="Tahoma"/>
            <family val="2"/>
          </rPr>
          <t>Soomit Datta:</t>
        </r>
        <r>
          <rPr>
            <sz val="9"/>
            <color indexed="81"/>
            <rFont val="Tahoma"/>
            <family val="2"/>
          </rPr>
          <t xml:space="preserve">
estimate. Millicom said "negative"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F1290" authorId="0" shapeId="0" xr:uid="{00000000-0006-0000-0100-000001000000}">
      <text>
        <r>
          <rPr>
            <b/>
            <sz val="9"/>
            <color indexed="81"/>
            <rFont val="Tahoma"/>
            <family val="2"/>
          </rPr>
          <t>Soomit Datta:</t>
        </r>
        <r>
          <rPr>
            <sz val="9"/>
            <color indexed="81"/>
            <rFont val="Tahoma"/>
            <family val="2"/>
          </rPr>
          <t xml:space="preserve">
Page 47 of Q2 financial statements, available for drawdown without convenant issues.  Total facility is $741.5, less $50m drawdown for pension top up (3 July)</t>
        </r>
      </text>
    </comment>
    <comment ref="F1303" authorId="0" shapeId="0" xr:uid="{00000000-0006-0000-0100-000002000000}">
      <text>
        <r>
          <rPr>
            <b/>
            <sz val="9"/>
            <color indexed="81"/>
            <rFont val="Tahoma"/>
            <family val="2"/>
          </rPr>
          <t>Soomit Datta:</t>
        </r>
        <r>
          <rPr>
            <sz val="9"/>
            <color indexed="81"/>
            <rFont val="Tahoma"/>
            <family val="2"/>
          </rPr>
          <t xml:space="preserve">
page 13 of VTR financial statements</t>
        </r>
      </text>
    </comment>
    <comment ref="F1304" authorId="0" shapeId="0" xr:uid="{00000000-0006-0000-0100-000003000000}">
      <text>
        <r>
          <rPr>
            <b/>
            <sz val="9"/>
            <color indexed="81"/>
            <rFont val="Tahoma"/>
            <family val="2"/>
          </rPr>
          <t>Soomit Datta:</t>
        </r>
        <r>
          <rPr>
            <sz val="9"/>
            <color indexed="81"/>
            <rFont val="Tahoma"/>
            <family val="2"/>
          </rPr>
          <t xml:space="preserve">
page 13 of VTR financial statements</t>
        </r>
      </text>
    </comment>
    <comment ref="H1425" authorId="0" shapeId="0" xr:uid="{A6A9C99A-DDCE-4438-BC17-316817ED1E4F}">
      <text>
        <r>
          <rPr>
            <b/>
            <sz val="9"/>
            <color indexed="81"/>
            <rFont val="Tahoma"/>
            <family val="2"/>
          </rPr>
          <t>Soomit Datta:</t>
        </r>
        <r>
          <rPr>
            <sz val="9"/>
            <color indexed="81"/>
            <rFont val="Tahoma"/>
            <family val="2"/>
          </rPr>
          <t xml:space="preserve">
23,000 written down, underlying adds</t>
        </r>
      </text>
    </comment>
    <comment ref="C1744" authorId="0" shapeId="0" xr:uid="{D1207D79-7009-40DD-A9F0-2A48A37C0838}">
      <text>
        <r>
          <rPr>
            <b/>
            <sz val="9"/>
            <color indexed="81"/>
            <rFont val="Tahoma"/>
            <family val="2"/>
          </rPr>
          <t>Soomit Datta:</t>
        </r>
        <r>
          <rPr>
            <sz val="9"/>
            <color indexed="81"/>
            <rFont val="Tahoma"/>
            <family val="2"/>
          </rPr>
          <t xml:space="preserve">
From Q1 19 press release</t>
        </r>
      </text>
    </comment>
    <comment ref="E1995" authorId="0" shapeId="0" xr:uid="{686BA1ED-093E-4799-A5CB-500BE26EB074}">
      <text>
        <r>
          <rPr>
            <b/>
            <sz val="9"/>
            <color indexed="81"/>
            <rFont val="Tahoma"/>
            <family val="2"/>
          </rPr>
          <t>Soomit Datta:</t>
        </r>
        <r>
          <rPr>
            <sz val="9"/>
            <color indexed="81"/>
            <rFont val="Tahoma"/>
            <family val="2"/>
          </rPr>
          <t xml:space="preserve">
Q2 19 results release</t>
        </r>
      </text>
    </comment>
    <comment ref="E2025" authorId="0" shapeId="0" xr:uid="{821449B6-A060-47B6-9F25-5C14BE31B399}">
      <text>
        <r>
          <rPr>
            <b/>
            <sz val="9"/>
            <color indexed="81"/>
            <rFont val="Tahoma"/>
            <family val="2"/>
          </rPr>
          <t>Soomit Datta:</t>
        </r>
        <r>
          <rPr>
            <sz val="9"/>
            <color indexed="81"/>
            <rFont val="Tahoma"/>
            <family val="2"/>
          </rPr>
          <t xml:space="preserve">
Q2 19 results release</t>
        </r>
      </text>
    </comment>
    <comment ref="E2210" authorId="0" shapeId="0" xr:uid="{0941AC0A-C6DA-47B9-80C1-DADA3D13B588}">
      <text>
        <r>
          <rPr>
            <b/>
            <sz val="9"/>
            <color indexed="81"/>
            <rFont val="Tahoma"/>
            <family val="2"/>
          </rPr>
          <t>Soomit Datta:</t>
        </r>
        <r>
          <rPr>
            <sz val="9"/>
            <color indexed="81"/>
            <rFont val="Tahoma"/>
            <family val="2"/>
          </rPr>
          <t xml:space="preserve">
Half of a year</t>
        </r>
      </text>
    </comment>
    <comment ref="D2962" authorId="0" shapeId="0" xr:uid="{31A458D6-ADEA-4330-9047-C24EA1ABC5D0}">
      <text>
        <r>
          <rPr>
            <b/>
            <sz val="9"/>
            <color indexed="81"/>
            <rFont val="Tahoma"/>
            <family val="2"/>
          </rPr>
          <t>Soomit Datta:</t>
        </r>
        <r>
          <rPr>
            <sz val="9"/>
            <color indexed="81"/>
            <rFont val="Tahoma"/>
            <family val="2"/>
          </rPr>
          <t xml:space="preserve">
On website at $124.99 - looks wrong</t>
        </r>
      </text>
    </comment>
    <comment ref="H3314" authorId="0" shapeId="0" xr:uid="{E238664C-BAA6-4E0C-8EFA-53016B8385A7}">
      <text>
        <r>
          <rPr>
            <b/>
            <sz val="9"/>
            <color indexed="81"/>
            <rFont val="Tahoma"/>
            <family val="2"/>
          </rPr>
          <t>Soomit Datta:</t>
        </r>
        <r>
          <rPr>
            <sz val="9"/>
            <color indexed="81"/>
            <rFont val="Tahoma"/>
            <family val="2"/>
          </rPr>
          <t xml:space="preserve">
adding digicel subs from early Q1 24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G369" authorId="0" shapeId="0" xr:uid="{00000000-0006-0000-0B00-000001000000}">
      <text>
        <r>
          <rPr>
            <b/>
            <sz val="9"/>
            <color indexed="81"/>
            <rFont val="Tahoma"/>
            <family val="2"/>
          </rPr>
          <t>Soomit Datta:</t>
        </r>
        <r>
          <rPr>
            <sz val="9"/>
            <color indexed="81"/>
            <rFont val="Tahoma"/>
            <family val="2"/>
          </rPr>
          <t xml:space="preserve">
14.2 in design phase</t>
        </r>
      </text>
    </comment>
    <comment ref="E499" authorId="0" shapeId="0" xr:uid="{00000000-0006-0000-0B00-000002000000}">
      <text>
        <r>
          <rPr>
            <b/>
            <sz val="9"/>
            <color indexed="81"/>
            <rFont val="Tahoma"/>
            <family val="2"/>
          </rPr>
          <t>Soomit Datta:</t>
        </r>
        <r>
          <rPr>
            <sz val="9"/>
            <color indexed="81"/>
            <rFont val="Tahoma"/>
            <family val="2"/>
          </rPr>
          <t xml:space="preserve">
21-23% from VTR Q4 report</t>
        </r>
      </text>
    </comment>
    <comment ref="E518" authorId="0" shapeId="0" xr:uid="{00000000-0006-0000-0B00-000003000000}">
      <text>
        <r>
          <rPr>
            <b/>
            <sz val="9"/>
            <color indexed="81"/>
            <rFont val="Tahoma"/>
            <family val="2"/>
          </rPr>
          <t>Soomit Datta:</t>
        </r>
        <r>
          <rPr>
            <sz val="9"/>
            <color indexed="81"/>
            <rFont val="Tahoma"/>
            <family val="2"/>
          </rPr>
          <t xml:space="preserve">
LiLAC Group: 21-23% capex/sales on PPE basis from Q4 15 press release (page 10)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F39" authorId="0" shapeId="0" xr:uid="{7556BEA8-B3F0-423B-86C6-115DFCD2F947}">
      <text>
        <r>
          <rPr>
            <b/>
            <sz val="9"/>
            <color indexed="81"/>
            <rFont val="Tahoma"/>
            <family val="2"/>
          </rPr>
          <t>David:</t>
        </r>
        <r>
          <rPr>
            <sz val="9"/>
            <color indexed="81"/>
            <rFont val="Tahoma"/>
            <family val="2"/>
          </rPr>
          <t xml:space="preserve">
630m under C&amp;W RCF and 89m under C&amp;W Regional Facilites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B20" authorId="0" shapeId="0" xr:uid="{D5485CBF-E879-4A09-A2A2-F64AE1D092F8}">
      <text>
        <r>
          <rPr>
            <b/>
            <sz val="9"/>
            <color indexed="81"/>
            <rFont val="Tahoma"/>
            <family val="2"/>
          </rPr>
          <t>Soomit Datta:</t>
        </r>
        <r>
          <rPr>
            <sz val="9"/>
            <color indexed="81"/>
            <rFont val="Tahoma"/>
            <family val="2"/>
          </rPr>
          <t xml:space="preserve">
during the hurricane, there was discconnect between reported and "connected" RGUs</t>
        </r>
      </text>
    </comment>
    <comment ref="F49" authorId="0" shapeId="0" xr:uid="{956920FF-C4B8-4278-AACC-B66FDAB820AB}">
      <text>
        <r>
          <rPr>
            <b/>
            <sz val="9"/>
            <color indexed="81"/>
            <rFont val="Tahoma"/>
            <family val="2"/>
          </rPr>
          <t>Soomit Datta:</t>
        </r>
        <r>
          <rPr>
            <sz val="9"/>
            <color indexed="81"/>
            <rFont val="Tahoma"/>
            <family val="2"/>
          </rPr>
          <t xml:space="preserve">
stripping out insurance payment</t>
        </r>
      </text>
    </comment>
    <comment ref="I84" authorId="0" shapeId="0" xr:uid="{DB947EE7-E757-446B-8813-03FB9F22DD7B}">
      <text>
        <r>
          <rPr>
            <b/>
            <sz val="9"/>
            <color indexed="81"/>
            <rFont val="Tahoma"/>
            <family val="2"/>
          </rPr>
          <t>Soomit Datta:</t>
        </r>
        <r>
          <rPr>
            <sz val="9"/>
            <color indexed="81"/>
            <rFont val="Tahoma"/>
            <family val="2"/>
          </rPr>
          <t xml:space="preserve">
Includes $35-40m of restructuring costs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I359" authorId="0" shapeId="0" xr:uid="{DD1935E4-F9A5-4D0A-A3B6-B9DC6205FEEC}">
      <text>
        <r>
          <rPr>
            <b/>
            <sz val="9"/>
            <color indexed="81"/>
            <rFont val="Tahoma"/>
            <family val="2"/>
          </rPr>
          <t>David:</t>
        </r>
        <r>
          <rPr>
            <sz val="9"/>
            <color indexed="81"/>
            <rFont val="Tahoma"/>
            <family val="2"/>
          </rPr>
          <t xml:space="preserve">
https://www.globenewswire.com/news-release/2024/08/01/2922803/0/en/LIBERTY-LATIN-AMERICA-AND-MILLICOM-AGREE-TO-COMBINE-OPERATIONS-IN-COSTA-RICA.html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I18" authorId="0" shapeId="0" xr:uid="{00000000-0006-0000-0900-000001000000}">
      <text>
        <r>
          <rPr>
            <b/>
            <sz val="9"/>
            <color indexed="81"/>
            <rFont val="Tahoma"/>
            <family val="2"/>
          </rPr>
          <t>Soomit Datta:</t>
        </r>
        <r>
          <rPr>
            <sz val="9"/>
            <color indexed="81"/>
            <rFont val="Tahoma"/>
            <family val="2"/>
          </rPr>
          <t xml:space="preserve">
Sonitel acquisition from Sept 14 ($44m)</t>
        </r>
      </text>
    </comment>
    <comment ref="J183" authorId="0" shapeId="0" xr:uid="{00000000-0006-0000-0900-000002000000}">
      <text>
        <r>
          <rPr>
            <b/>
            <sz val="9"/>
            <color indexed="81"/>
            <rFont val="Tahoma"/>
            <family val="2"/>
          </rPr>
          <t>Soomit Datta:</t>
        </r>
        <r>
          <rPr>
            <sz val="9"/>
            <color indexed="81"/>
            <rFont val="Tahoma"/>
            <family val="2"/>
          </rPr>
          <t xml:space="preserve">
FLOW consolidated</t>
        </r>
      </text>
    </comment>
    <comment ref="J231" authorId="0" shapeId="0" xr:uid="{00000000-0006-0000-0900-000003000000}">
      <text>
        <r>
          <rPr>
            <b/>
            <sz val="9"/>
            <color indexed="81"/>
            <rFont val="Tahoma"/>
            <family val="2"/>
          </rPr>
          <t>Soomit Datta:</t>
        </r>
        <r>
          <rPr>
            <sz val="9"/>
            <color indexed="81"/>
            <rFont val="Tahoma"/>
            <family val="2"/>
          </rPr>
          <t xml:space="preserve">
includes US carve out entities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F92" authorId="0" shapeId="0" xr:uid="{2717075F-233C-4BC1-9752-0F338CD218A4}">
      <text>
        <r>
          <rPr>
            <b/>
            <sz val="9"/>
            <color indexed="81"/>
            <rFont val="Tahoma"/>
            <family val="2"/>
          </rPr>
          <t>Soomit Datta:</t>
        </r>
        <r>
          <rPr>
            <sz val="9"/>
            <color indexed="81"/>
            <rFont val="Tahoma"/>
            <family val="2"/>
          </rPr>
          <t xml:space="preserve">
Includes a very small amount for Cabletica </t>
        </r>
      </text>
    </comment>
    <comment ref="J182" authorId="1" shapeId="0" xr:uid="{5E0E0871-D26C-4E8F-94AA-C751903B6FB0}">
      <text>
        <r>
          <rPr>
            <b/>
            <sz val="9"/>
            <color indexed="81"/>
            <rFont val="Tahoma"/>
            <family val="2"/>
          </rPr>
          <t>David:</t>
        </r>
        <r>
          <rPr>
            <sz val="9"/>
            <color indexed="81"/>
            <rFont val="Tahoma"/>
            <family val="2"/>
          </rPr>
          <t xml:space="preserve">
45m VTR RCF A, 169.7m VTR RCF B</t>
        </r>
      </text>
    </comment>
    <comment ref="C225" authorId="0" shapeId="0" xr:uid="{19803460-89B4-4B34-9F6E-06F21D105D71}">
      <text>
        <r>
          <rPr>
            <b/>
            <sz val="9"/>
            <color indexed="81"/>
            <rFont val="Tahoma"/>
            <family val="2"/>
          </rPr>
          <t>Soomit Datta:</t>
        </r>
        <r>
          <rPr>
            <sz val="9"/>
            <color indexed="81"/>
            <rFont val="Tahoma"/>
            <family val="2"/>
          </rPr>
          <t xml:space="preserve">
From Entel sale in 2020</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AE80" authorId="0" shapeId="0" xr:uid="{00000000-0006-0000-0700-000001000000}">
      <text>
        <r>
          <rPr>
            <b/>
            <sz val="9"/>
            <color indexed="81"/>
            <rFont val="Tahoma"/>
            <family val="2"/>
          </rPr>
          <t>Soomit Datta:</t>
        </r>
        <r>
          <rPr>
            <sz val="9"/>
            <color indexed="81"/>
            <rFont val="Tahoma"/>
            <family val="2"/>
          </rPr>
          <t xml:space="preserve">
including US carve out</t>
        </r>
      </text>
    </comment>
    <comment ref="K175" authorId="0" shapeId="0" xr:uid="{00000000-0006-0000-0700-000002000000}">
      <text>
        <r>
          <rPr>
            <b/>
            <sz val="9"/>
            <color indexed="81"/>
            <rFont val="Tahoma"/>
            <family val="2"/>
          </rPr>
          <t>Soomit Datta:</t>
        </r>
        <r>
          <rPr>
            <sz val="9"/>
            <color indexed="81"/>
            <rFont val="Tahoma"/>
            <family val="2"/>
          </rPr>
          <t xml:space="preserve">
Monaco, Macau and the Islands</t>
        </r>
      </text>
    </comment>
    <comment ref="V175" authorId="0" shapeId="0" xr:uid="{00000000-0006-0000-0700-000003000000}">
      <text>
        <r>
          <rPr>
            <b/>
            <sz val="9"/>
            <color indexed="81"/>
            <rFont val="Tahoma"/>
            <family val="2"/>
          </rPr>
          <t>Soomit Datta:</t>
        </r>
        <r>
          <rPr>
            <sz val="9"/>
            <color indexed="81"/>
            <rFont val="Tahoma"/>
            <family val="2"/>
          </rPr>
          <t xml:space="preserve">
Monaco until 20 May 14</t>
        </r>
      </text>
    </comment>
    <comment ref="V403" authorId="0" shapeId="0" xr:uid="{00000000-0006-0000-0700-000004000000}">
      <text>
        <r>
          <rPr>
            <b/>
            <sz val="9"/>
            <color indexed="81"/>
            <rFont val="Tahoma"/>
            <family val="2"/>
          </rPr>
          <t>Soomit Datta:</t>
        </r>
        <r>
          <rPr>
            <sz val="9"/>
            <color indexed="81"/>
            <rFont val="Tahoma"/>
            <family val="2"/>
          </rPr>
          <t xml:space="preserve">
from Q1 trading statement</t>
        </r>
      </text>
    </comment>
    <comment ref="H407" authorId="0" shapeId="0" xr:uid="{00000000-0006-0000-0700-000005000000}">
      <text>
        <r>
          <rPr>
            <b/>
            <sz val="9"/>
            <color indexed="81"/>
            <rFont val="Tahoma"/>
            <family val="2"/>
          </rPr>
          <t xml:space="preserve">Soomit Datta:
</t>
        </r>
        <r>
          <rPr>
            <sz val="9"/>
            <color indexed="81"/>
            <rFont val="Tahoma"/>
            <family val="2"/>
          </rPr>
          <t xml:space="preserve">Number from IR at Q2 15 results for comparison to pro forma restatement </t>
        </r>
      </text>
    </comment>
    <comment ref="H423" authorId="0" shapeId="0" xr:uid="{00000000-0006-0000-0700-000006000000}">
      <text>
        <r>
          <rPr>
            <b/>
            <sz val="9"/>
            <color indexed="81"/>
            <rFont val="Tahoma"/>
            <family val="2"/>
          </rPr>
          <t>Soomit Datta:</t>
        </r>
        <r>
          <rPr>
            <sz val="9"/>
            <color indexed="81"/>
            <rFont val="Tahoma"/>
            <family val="2"/>
          </rPr>
          <t xml:space="preserve">
estimate</t>
        </r>
      </text>
    </comment>
    <comment ref="H424" authorId="0" shapeId="0" xr:uid="{00000000-0006-0000-0700-000007000000}">
      <text>
        <r>
          <rPr>
            <b/>
            <sz val="9"/>
            <color indexed="81"/>
            <rFont val="Tahoma"/>
            <family val="2"/>
          </rPr>
          <t>Soomit Datta:</t>
        </r>
        <r>
          <rPr>
            <sz val="9"/>
            <color indexed="81"/>
            <rFont val="Tahoma"/>
            <family val="2"/>
          </rPr>
          <t xml:space="preserve">
estimate</t>
        </r>
      </text>
    </comment>
    <comment ref="H425" authorId="0" shapeId="0" xr:uid="{00000000-0006-0000-0700-000008000000}">
      <text>
        <r>
          <rPr>
            <b/>
            <sz val="9"/>
            <color indexed="81"/>
            <rFont val="Tahoma"/>
            <family val="2"/>
          </rPr>
          <t>Soomit Datta:</t>
        </r>
        <r>
          <rPr>
            <sz val="9"/>
            <color indexed="81"/>
            <rFont val="Tahoma"/>
            <family val="2"/>
          </rPr>
          <t xml:space="preserve">
estimate</t>
        </r>
      </text>
    </comment>
    <comment ref="H427" authorId="0" shapeId="0" xr:uid="{00000000-0006-0000-0700-000009000000}">
      <text>
        <r>
          <rPr>
            <b/>
            <sz val="9"/>
            <color indexed="81"/>
            <rFont val="Tahoma"/>
            <family val="2"/>
          </rPr>
          <t>Soomit Datta:</t>
        </r>
        <r>
          <rPr>
            <sz val="9"/>
            <color indexed="81"/>
            <rFont val="Tahoma"/>
            <family val="2"/>
          </rPr>
          <t xml:space="preserve">
estimate</t>
        </r>
      </text>
    </comment>
    <comment ref="H430" authorId="0" shapeId="0" xr:uid="{00000000-0006-0000-0700-00000A000000}">
      <text>
        <r>
          <rPr>
            <b/>
            <sz val="9"/>
            <color indexed="81"/>
            <rFont val="Tahoma"/>
            <family val="2"/>
          </rPr>
          <t>Soomit Datta:</t>
        </r>
        <r>
          <rPr>
            <sz val="9"/>
            <color indexed="81"/>
            <rFont val="Tahoma"/>
            <family val="2"/>
          </rPr>
          <t xml:space="preserve">
estimate</t>
        </r>
      </text>
    </comment>
    <comment ref="C613" authorId="0" shapeId="0" xr:uid="{00000000-0006-0000-0700-00000B000000}">
      <text>
        <r>
          <rPr>
            <b/>
            <sz val="9"/>
            <color indexed="81"/>
            <rFont val="Tahoma"/>
            <family val="2"/>
          </rPr>
          <t>Soomit Datta:</t>
        </r>
        <r>
          <rPr>
            <sz val="9"/>
            <color indexed="81"/>
            <rFont val="Tahoma"/>
            <family val="2"/>
          </rPr>
          <t xml:space="preserve">
estimate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David-Mickael Lopes</author>
    <author>Soomit Datta</author>
  </authors>
  <commentList>
    <comment ref="G40" authorId="0" shapeId="0" xr:uid="{00000000-0006-0000-0600-000001000000}">
      <text>
        <r>
          <rPr>
            <b/>
            <sz val="9"/>
            <color indexed="81"/>
            <rFont val="Tahoma"/>
            <family val="2"/>
          </rPr>
          <t>David-Mickael Lopes:</t>
        </r>
        <r>
          <rPr>
            <sz val="9"/>
            <color indexed="81"/>
            <rFont val="Tahoma"/>
            <family val="2"/>
          </rPr>
          <t xml:space="preserve">
Chilean Tax Law Changes
On September 26, 2014, the Chilean President signed an extensive tax reform bill, including changes to the corporate tax rate, changes to the thin capitalization rules, taxation of certain Chilean investments abroad and changes to the stamp tax rate, among other relevant changes. The bill became law upon its publication in the Official Gazette (Diario Oficial) on September 29, 2014. The impacts of the tax law changes that are currently in effect are reflected in the attributed financial information. 
According to this new law, the current corporate tax rate of 20% will be increased progressively as follows: 2014 (21%), 2015 (22.5%) and 2016 (24%). Beginning in 2017, there will be two optional income tax regimes: the “attributed system” and the “partially integrated system.” Under the “attributed system,” the corporate tax rate will be 25% and the 35% withholding tax will be paid on an accrual basis by the corporation on behalf of the shareholder, with the corporate tax fully creditable against the withholding tax. Under the “partially integrated system,” the corporate tax rate will be 25.5% in 2017 and 27% in 2018 and future years, and the 35% withholding tax will be paid only upon actual distributions to shareholders. However, under this partially integrated system, only 65% of the corporate tax paid by a Chilean company can be used as a credit against the withholding tax imposed on non-Chilean resident shareholders, which implies a final tax burden of 44.45%. In the case of shareholders resident in countries that have tax treaties in force with Chile, there will be a full credit for the corporate tax paid, which implies a final tax burden of 35% for such shareholders. Corporations must elect the relevant tax regime before December 31, 2016. This election, once made, is irrevocable for a period of five years. Until we formally elect the relevant tax regime, we are calculating our deferred tax position using the partially integrated system.</t>
        </r>
      </text>
    </comment>
    <comment ref="J169" authorId="1" shapeId="0" xr:uid="{00000000-0006-0000-0600-000002000000}">
      <text>
        <r>
          <rPr>
            <b/>
            <sz val="9"/>
            <color indexed="81"/>
            <rFont val="Tahoma"/>
            <family val="2"/>
          </rPr>
          <t>Soomit Datta:</t>
        </r>
        <r>
          <rPr>
            <sz val="9"/>
            <color indexed="81"/>
            <rFont val="Tahoma"/>
            <family val="2"/>
          </rPr>
          <t xml:space="preserve">
Reversal of charge</t>
        </r>
      </text>
    </comment>
    <comment ref="K213" authorId="1" shapeId="0" xr:uid="{00000000-0006-0000-0600-000003000000}">
      <text>
        <r>
          <rPr>
            <b/>
            <sz val="9"/>
            <color indexed="81"/>
            <rFont val="Tahoma"/>
            <family val="2"/>
          </rPr>
          <t>Soomit Datta:</t>
        </r>
        <r>
          <rPr>
            <sz val="9"/>
            <color indexed="81"/>
            <rFont val="Tahoma"/>
            <family val="2"/>
          </rPr>
          <t xml:space="preserve">
Adj for Choice</t>
        </r>
      </text>
    </comment>
    <comment ref="L213" authorId="1" shapeId="0" xr:uid="{00000000-0006-0000-0600-000004000000}">
      <text>
        <r>
          <rPr>
            <b/>
            <sz val="9"/>
            <color indexed="81"/>
            <rFont val="Tahoma"/>
            <family val="2"/>
          </rPr>
          <t>Soomit Datta:</t>
        </r>
        <r>
          <rPr>
            <sz val="9"/>
            <color indexed="81"/>
            <rFont val="Tahoma"/>
            <family val="2"/>
          </rPr>
          <t xml:space="preserve">
Adj for Choice</t>
        </r>
      </text>
    </comment>
    <comment ref="M213" authorId="1" shapeId="0" xr:uid="{00000000-0006-0000-0600-000005000000}">
      <text>
        <r>
          <rPr>
            <b/>
            <sz val="9"/>
            <color indexed="81"/>
            <rFont val="Tahoma"/>
            <family val="2"/>
          </rPr>
          <t>Soomit Datta:</t>
        </r>
        <r>
          <rPr>
            <sz val="9"/>
            <color indexed="81"/>
            <rFont val="Tahoma"/>
            <family val="2"/>
          </rPr>
          <t xml:space="preserve">
Adj for Choice</t>
        </r>
      </text>
    </comment>
    <comment ref="N213" authorId="1" shapeId="0" xr:uid="{00000000-0006-0000-0600-000006000000}">
      <text>
        <r>
          <rPr>
            <b/>
            <sz val="9"/>
            <color indexed="81"/>
            <rFont val="Tahoma"/>
            <family val="2"/>
          </rPr>
          <t>Soomit Datta:</t>
        </r>
        <r>
          <rPr>
            <sz val="9"/>
            <color indexed="81"/>
            <rFont val="Tahoma"/>
            <family val="2"/>
          </rPr>
          <t xml:space="preserve">
Adj for Choice</t>
        </r>
      </text>
    </comment>
    <comment ref="O213" authorId="1" shapeId="0" xr:uid="{00000000-0006-0000-0600-000007000000}">
      <text>
        <r>
          <rPr>
            <b/>
            <sz val="9"/>
            <color indexed="81"/>
            <rFont val="Tahoma"/>
            <family val="2"/>
          </rPr>
          <t>Soomit Datta:</t>
        </r>
        <r>
          <rPr>
            <sz val="9"/>
            <color indexed="81"/>
            <rFont val="Tahoma"/>
            <family val="2"/>
          </rPr>
          <t xml:space="preserve">
Adj for Choice</t>
        </r>
      </text>
    </comment>
    <comment ref="M217" authorId="1" shapeId="0" xr:uid="{00000000-0006-0000-0600-000008000000}">
      <text>
        <r>
          <rPr>
            <b/>
            <sz val="9"/>
            <color indexed="81"/>
            <rFont val="Tahoma"/>
            <family val="2"/>
          </rPr>
          <t>Soomit Datta:</t>
        </r>
        <r>
          <rPr>
            <sz val="9"/>
            <color indexed="81"/>
            <rFont val="Tahoma"/>
            <family val="2"/>
          </rPr>
          <t xml:space="preserve">
estimate</t>
        </r>
      </text>
    </comment>
    <comment ref="N217" authorId="1" shapeId="0" xr:uid="{00000000-0006-0000-0600-000009000000}">
      <text>
        <r>
          <rPr>
            <b/>
            <sz val="9"/>
            <color indexed="81"/>
            <rFont val="Tahoma"/>
            <family val="2"/>
          </rPr>
          <t>Soomit Datta:</t>
        </r>
        <r>
          <rPr>
            <sz val="9"/>
            <color indexed="81"/>
            <rFont val="Tahoma"/>
            <family val="2"/>
          </rPr>
          <t xml:space="preserve">
estimate</t>
        </r>
      </text>
    </comment>
    <comment ref="O217" authorId="1" shapeId="0" xr:uid="{00000000-0006-0000-0600-00000A000000}">
      <text>
        <r>
          <rPr>
            <b/>
            <sz val="9"/>
            <color indexed="81"/>
            <rFont val="Tahoma"/>
            <family val="2"/>
          </rPr>
          <t>Soomit Datta:</t>
        </r>
        <r>
          <rPr>
            <sz val="9"/>
            <color indexed="81"/>
            <rFont val="Tahoma"/>
            <family val="2"/>
          </rPr>
          <t xml:space="preserve">
estimate</t>
        </r>
      </text>
    </comment>
    <comment ref="M218" authorId="1" shapeId="0" xr:uid="{00000000-0006-0000-0600-00000B000000}">
      <text>
        <r>
          <rPr>
            <b/>
            <sz val="9"/>
            <color indexed="81"/>
            <rFont val="Tahoma"/>
            <family val="2"/>
          </rPr>
          <t>Soomit Datta:</t>
        </r>
        <r>
          <rPr>
            <sz val="9"/>
            <color indexed="81"/>
            <rFont val="Tahoma"/>
            <family val="2"/>
          </rPr>
          <t xml:space="preserve">
estimate</t>
        </r>
      </text>
    </comment>
    <comment ref="N218" authorId="1" shapeId="0" xr:uid="{00000000-0006-0000-0600-00000C000000}">
      <text>
        <r>
          <rPr>
            <b/>
            <sz val="9"/>
            <color indexed="81"/>
            <rFont val="Tahoma"/>
            <family val="2"/>
          </rPr>
          <t>Soomit Datta:</t>
        </r>
        <r>
          <rPr>
            <sz val="9"/>
            <color indexed="81"/>
            <rFont val="Tahoma"/>
            <family val="2"/>
          </rPr>
          <t xml:space="preserve">
estimate</t>
        </r>
      </text>
    </comment>
    <comment ref="O218" authorId="1" shapeId="0" xr:uid="{00000000-0006-0000-0600-00000D000000}">
      <text>
        <r>
          <rPr>
            <b/>
            <sz val="9"/>
            <color indexed="81"/>
            <rFont val="Tahoma"/>
            <family val="2"/>
          </rPr>
          <t>Soomit Datta:</t>
        </r>
        <r>
          <rPr>
            <sz val="9"/>
            <color indexed="81"/>
            <rFont val="Tahoma"/>
            <family val="2"/>
          </rPr>
          <t xml:space="preserve">
estimate</t>
        </r>
      </text>
    </comment>
    <comment ref="L301" authorId="1" shapeId="0" xr:uid="{00000000-0006-0000-0600-00000E000000}">
      <text>
        <r>
          <rPr>
            <b/>
            <sz val="9"/>
            <color indexed="81"/>
            <rFont val="Tahoma"/>
            <family val="2"/>
          </rPr>
          <t>Soomit Datta:</t>
        </r>
        <r>
          <rPr>
            <sz val="9"/>
            <color indexed="81"/>
            <rFont val="Tahoma"/>
            <family val="2"/>
          </rPr>
          <t xml:space="preserve">
Page 130 of the 10Q</t>
        </r>
      </text>
    </comment>
    <comment ref="M301" authorId="1" shapeId="0" xr:uid="{00000000-0006-0000-0600-00000F000000}">
      <text>
        <r>
          <rPr>
            <b/>
            <sz val="9"/>
            <color indexed="81"/>
            <rFont val="Tahoma"/>
            <family val="2"/>
          </rPr>
          <t>Soomit Datta:</t>
        </r>
        <r>
          <rPr>
            <sz val="9"/>
            <color indexed="81"/>
            <rFont val="Tahoma"/>
            <family val="2"/>
          </rPr>
          <t xml:space="preserve">
Page 130 of the 10Q</t>
        </r>
      </text>
    </comment>
    <comment ref="N301" authorId="1" shapeId="0" xr:uid="{00000000-0006-0000-0600-000010000000}">
      <text>
        <r>
          <rPr>
            <b/>
            <sz val="9"/>
            <color indexed="81"/>
            <rFont val="Tahoma"/>
            <family val="2"/>
          </rPr>
          <t>Soomit Datta:</t>
        </r>
        <r>
          <rPr>
            <sz val="9"/>
            <color indexed="81"/>
            <rFont val="Tahoma"/>
            <family val="2"/>
          </rPr>
          <t xml:space="preserve">
Page 97 of the 10Q</t>
        </r>
      </text>
    </comment>
    <comment ref="O301" authorId="1" shapeId="0" xr:uid="{00000000-0006-0000-0600-000011000000}">
      <text>
        <r>
          <rPr>
            <b/>
            <sz val="9"/>
            <color indexed="81"/>
            <rFont val="Tahoma"/>
            <family val="2"/>
          </rPr>
          <t>Soomit Datta:</t>
        </r>
        <r>
          <rPr>
            <sz val="9"/>
            <color indexed="81"/>
            <rFont val="Tahoma"/>
            <family val="2"/>
          </rPr>
          <t xml:space="preserve">
page 120 of the 10Q</t>
        </r>
      </text>
    </comment>
    <comment ref="X351" authorId="1" shapeId="0" xr:uid="{B8D16389-6AA3-4996-A6F7-DC1E4270CB2F}">
      <text>
        <r>
          <rPr>
            <b/>
            <sz val="9"/>
            <color indexed="81"/>
            <rFont val="Tahoma"/>
            <family val="2"/>
          </rPr>
          <t>Soomit Datta:</t>
        </r>
        <r>
          <rPr>
            <sz val="9"/>
            <color indexed="81"/>
            <rFont val="Tahoma"/>
            <family val="2"/>
          </rPr>
          <t xml:space="preserve">
stripping out FCC contribution</t>
        </r>
      </text>
    </comment>
    <comment ref="BU351" authorId="1" shapeId="0" xr:uid="{00000000-0006-0000-0600-000012000000}">
      <text>
        <r>
          <rPr>
            <b/>
            <sz val="9"/>
            <color indexed="81"/>
            <rFont val="Tahoma"/>
            <family val="2"/>
          </rPr>
          <t>Soomit Datta:</t>
        </r>
        <r>
          <rPr>
            <sz val="9"/>
            <color indexed="81"/>
            <rFont val="Tahoma"/>
            <family val="2"/>
          </rPr>
          <t xml:space="preserve">
Choice adjustment</t>
        </r>
      </text>
    </comment>
    <comment ref="BV351" authorId="1" shapeId="0" xr:uid="{00000000-0006-0000-0600-000013000000}">
      <text>
        <r>
          <rPr>
            <b/>
            <sz val="9"/>
            <color indexed="81"/>
            <rFont val="Tahoma"/>
            <family val="2"/>
          </rPr>
          <t>Soomit Datta:</t>
        </r>
        <r>
          <rPr>
            <sz val="9"/>
            <color indexed="81"/>
            <rFont val="Tahoma"/>
            <family val="2"/>
          </rPr>
          <t xml:space="preserve">
Choice adjustment</t>
        </r>
      </text>
    </comment>
    <comment ref="BW351" authorId="1" shapeId="0" xr:uid="{00000000-0006-0000-0600-000014000000}">
      <text>
        <r>
          <rPr>
            <b/>
            <sz val="9"/>
            <color indexed="81"/>
            <rFont val="Tahoma"/>
            <family val="2"/>
          </rPr>
          <t>Soomit Datta:</t>
        </r>
        <r>
          <rPr>
            <sz val="9"/>
            <color indexed="81"/>
            <rFont val="Tahoma"/>
            <family val="2"/>
          </rPr>
          <t xml:space="preserve">
Choice adjustment</t>
        </r>
      </text>
    </comment>
    <comment ref="BX351" authorId="1" shapeId="0" xr:uid="{00000000-0006-0000-0600-000015000000}">
      <text>
        <r>
          <rPr>
            <b/>
            <sz val="9"/>
            <color indexed="81"/>
            <rFont val="Tahoma"/>
            <family val="2"/>
          </rPr>
          <t>Soomit Datta:</t>
        </r>
        <r>
          <rPr>
            <sz val="9"/>
            <color indexed="81"/>
            <rFont val="Tahoma"/>
            <family val="2"/>
          </rPr>
          <t xml:space="preserve">
Choice adjustment</t>
        </r>
      </text>
    </comment>
    <comment ref="BY351" authorId="1" shapeId="0" xr:uid="{00000000-0006-0000-0600-000016000000}">
      <text>
        <r>
          <rPr>
            <b/>
            <sz val="9"/>
            <color indexed="81"/>
            <rFont val="Tahoma"/>
            <family val="2"/>
          </rPr>
          <t>Soomit Datta:</t>
        </r>
        <r>
          <rPr>
            <sz val="9"/>
            <color indexed="81"/>
            <rFont val="Tahoma"/>
            <family val="2"/>
          </rPr>
          <t xml:space="preserve">
Choice adjustment</t>
        </r>
      </text>
    </comment>
    <comment ref="Y361" authorId="1" shapeId="0" xr:uid="{BEF85223-2EB0-48E4-9CD2-4ED484450AD9}">
      <text>
        <r>
          <rPr>
            <b/>
            <sz val="9"/>
            <color indexed="81"/>
            <rFont val="Tahoma"/>
            <family val="2"/>
          </rPr>
          <t>Soomit Datta:</t>
        </r>
        <r>
          <rPr>
            <sz val="9"/>
            <color indexed="81"/>
            <rFont val="Tahoma"/>
            <family val="2"/>
          </rPr>
          <t xml:space="preserve">
estimate</t>
        </r>
      </text>
    </comment>
    <comment ref="Z361" authorId="1" shapeId="0" xr:uid="{1C0ADFD0-0AED-4618-86D9-B87A635A6C04}">
      <text>
        <r>
          <rPr>
            <b/>
            <sz val="9"/>
            <color indexed="81"/>
            <rFont val="Tahoma"/>
            <family val="2"/>
          </rPr>
          <t>Soomit Datta:</t>
        </r>
        <r>
          <rPr>
            <sz val="9"/>
            <color indexed="81"/>
            <rFont val="Tahoma"/>
            <family val="2"/>
          </rPr>
          <t xml:space="preserve">
estimate</t>
        </r>
      </text>
    </comment>
    <comment ref="K382" authorId="1" shapeId="0" xr:uid="{00000000-0006-0000-0600-000017000000}">
      <text>
        <r>
          <rPr>
            <b/>
            <sz val="9"/>
            <color indexed="81"/>
            <rFont val="Tahoma"/>
            <family val="2"/>
          </rPr>
          <t>Soomit Datta:</t>
        </r>
        <r>
          <rPr>
            <sz val="9"/>
            <color indexed="81"/>
            <rFont val="Tahoma"/>
            <family val="2"/>
          </rPr>
          <t xml:space="preserve">
Includes (7.4-3.4-1.1) for the Choice acquisition for June </t>
        </r>
      </text>
    </comment>
    <comment ref="U400" authorId="1" shapeId="0" xr:uid="{00000000-0006-0000-0600-000018000000}">
      <text>
        <r>
          <rPr>
            <b/>
            <sz val="9"/>
            <color indexed="81"/>
            <rFont val="Tahoma"/>
            <family val="2"/>
          </rPr>
          <t>Soomit Datta:</t>
        </r>
        <r>
          <rPr>
            <sz val="9"/>
            <color indexed="81"/>
            <rFont val="Tahoma"/>
            <family val="2"/>
          </rPr>
          <t xml:space="preserve">
From PR FY release</t>
        </r>
      </text>
    </comment>
    <comment ref="V400" authorId="1" shapeId="0" xr:uid="{00000000-0006-0000-0600-000019000000}">
      <text>
        <r>
          <rPr>
            <b/>
            <sz val="9"/>
            <color indexed="81"/>
            <rFont val="Tahoma"/>
            <family val="2"/>
          </rPr>
          <t>Soomit Datta:</t>
        </r>
        <r>
          <rPr>
            <sz val="9"/>
            <color indexed="81"/>
            <rFont val="Tahoma"/>
            <family val="2"/>
          </rPr>
          <t xml:space="preserve">
From page 11 of the LLA press release. Most of the Q1 18 vs Q1 17 increase (68.3-14.6) is from restoration. PPE number.</t>
        </r>
      </text>
    </comment>
    <comment ref="W400" authorId="1" shapeId="0" xr:uid="{7D777127-9129-4996-A2C4-EFD06684E289}">
      <text>
        <r>
          <rPr>
            <b/>
            <sz val="9"/>
            <color indexed="81"/>
            <rFont val="Tahoma"/>
            <family val="2"/>
          </rPr>
          <t>Soomit Datta:</t>
        </r>
        <r>
          <rPr>
            <sz val="9"/>
            <color indexed="81"/>
            <rFont val="Tahoma"/>
            <family val="2"/>
          </rPr>
          <t xml:space="preserve">
from 10Q - $142m in rebuild costs so far</t>
        </r>
      </text>
    </comment>
    <comment ref="X400" authorId="1" shapeId="0" xr:uid="{30EB53BA-430C-4A9F-A54B-4779DB76AA9A}">
      <text>
        <r>
          <rPr>
            <b/>
            <sz val="9"/>
            <color indexed="81"/>
            <rFont val="Tahoma"/>
            <family val="2"/>
          </rPr>
          <t>Soomit Datta:</t>
        </r>
        <r>
          <rPr>
            <sz val="9"/>
            <color indexed="81"/>
            <rFont val="Tahoma"/>
            <family val="2"/>
          </rPr>
          <t xml:space="preserve">
from 10Q - rebuild now done, $142m in total</t>
        </r>
      </text>
    </comment>
    <comment ref="K407" authorId="1" shapeId="0" xr:uid="{00000000-0006-0000-0600-00001A000000}">
      <text>
        <r>
          <rPr>
            <b/>
            <sz val="9"/>
            <color indexed="81"/>
            <rFont val="Tahoma"/>
            <family val="2"/>
          </rPr>
          <t>Soomit Datta:</t>
        </r>
        <r>
          <rPr>
            <sz val="9"/>
            <color indexed="81"/>
            <rFont val="Tahoma"/>
            <family val="2"/>
          </rPr>
          <t xml:space="preserve">
Bank facility increased to fund Choice acquistion. Small shareholder loan to parent</t>
        </r>
      </text>
    </comment>
    <comment ref="U408" authorId="1" shapeId="0" xr:uid="{00000000-0006-0000-0600-00001B000000}">
      <text>
        <r>
          <rPr>
            <b/>
            <sz val="9"/>
            <color indexed="81"/>
            <rFont val="Tahoma"/>
            <family val="2"/>
          </rPr>
          <t>Soomit Datta:</t>
        </r>
        <r>
          <rPr>
            <sz val="9"/>
            <color indexed="81"/>
            <rFont val="Tahoma"/>
            <family val="2"/>
          </rPr>
          <t xml:space="preserve">
existing facility in place</t>
        </r>
      </text>
    </comment>
    <comment ref="U409" authorId="1" shapeId="0" xr:uid="{00000000-0006-0000-0600-00001C000000}">
      <text>
        <r>
          <rPr>
            <b/>
            <sz val="9"/>
            <color indexed="81"/>
            <rFont val="Tahoma"/>
            <family val="2"/>
          </rPr>
          <t>Soomit Datta:</t>
        </r>
        <r>
          <rPr>
            <sz val="9"/>
            <color indexed="81"/>
            <rFont val="Tahoma"/>
            <family val="2"/>
          </rPr>
          <t xml:space="preserve">
Capital lease of $25m which is a related party loan </t>
        </r>
      </text>
    </comment>
    <comment ref="U423" authorId="1" shapeId="0" xr:uid="{00000000-0006-0000-0600-00001D000000}">
      <text>
        <r>
          <rPr>
            <b/>
            <sz val="9"/>
            <color indexed="81"/>
            <rFont val="Tahoma"/>
            <family val="2"/>
          </rPr>
          <t>Soomit Datta:</t>
        </r>
        <r>
          <rPr>
            <sz val="9"/>
            <color indexed="81"/>
            <rFont val="Tahoma"/>
            <family val="2"/>
          </rPr>
          <t xml:space="preserve">
Is this included as a related party loan</t>
        </r>
      </text>
    </comment>
    <comment ref="V424" authorId="1" shapeId="0" xr:uid="{00000000-0006-0000-0600-00001E000000}">
      <text>
        <r>
          <rPr>
            <b/>
            <sz val="9"/>
            <color indexed="81"/>
            <rFont val="Tahoma"/>
            <family val="2"/>
          </rPr>
          <t>Soomit Datta:</t>
        </r>
        <r>
          <rPr>
            <sz val="9"/>
            <color indexed="81"/>
            <rFont val="Tahoma"/>
            <family val="2"/>
          </rPr>
          <t xml:space="preserve">
 equity commitment through December 31, 2018 of up to $60.0 million from Liberty Latin America and Searchlight (collectively, the Equity Commitment Guarantors) to fund any potential liquidity shortfalls. Subsequent to December 31, 2017, we received $25.0 million of the $60.0 million equity commitment from the Equity Commitment Guarantors in the form of a subordinated related-party loan from Leo Cable LP (Leo Cable), the parent company of Cayman Holding.
</t>
        </r>
      </text>
    </comment>
    <comment ref="W424" authorId="1" shapeId="0" xr:uid="{4A59B092-738F-4F27-9838-00A4563CBC93}">
      <text>
        <r>
          <rPr>
            <b/>
            <sz val="9"/>
            <color indexed="81"/>
            <rFont val="Tahoma"/>
            <family val="2"/>
          </rPr>
          <t>Soomit Datta:</t>
        </r>
        <r>
          <rPr>
            <sz val="9"/>
            <color indexed="81"/>
            <rFont val="Tahoma"/>
            <family val="2"/>
          </rPr>
          <t xml:space="preserve">
from 10Q for 6m 2018</t>
        </r>
      </text>
    </comment>
    <comment ref="S432" authorId="1" shapeId="0" xr:uid="{00000000-0006-0000-0600-00001F000000}">
      <text>
        <r>
          <rPr>
            <b/>
            <sz val="9"/>
            <color indexed="81"/>
            <rFont val="Tahoma"/>
            <family val="2"/>
          </rPr>
          <t>Soomit Datta:</t>
        </r>
        <r>
          <rPr>
            <sz val="9"/>
            <color indexed="81"/>
            <rFont val="Tahoma"/>
            <family val="2"/>
          </rPr>
          <t xml:space="preserve">
Q2 fixed income filings</t>
        </r>
      </text>
    </comment>
    <comment ref="D1009" authorId="1" shapeId="0" xr:uid="{00000000-0006-0000-0600-000020000000}">
      <text>
        <r>
          <rPr>
            <b/>
            <sz val="9"/>
            <color indexed="81"/>
            <rFont val="Tahoma"/>
            <family val="2"/>
          </rPr>
          <t>Soomit Datta:</t>
        </r>
        <r>
          <rPr>
            <sz val="9"/>
            <color indexed="81"/>
            <rFont val="Tahoma"/>
            <family val="2"/>
          </rPr>
          <t xml:space="preserve">
25 Oct 2017, sold down 90k shares; 25 Sept -90k,</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H156" authorId="0" shapeId="0" xr:uid="{00000000-0006-0000-0A00-000001000000}">
      <text>
        <r>
          <rPr>
            <b/>
            <sz val="9"/>
            <color indexed="81"/>
            <rFont val="Tahoma"/>
            <family val="2"/>
          </rPr>
          <t>Soomit Datta:</t>
        </r>
        <r>
          <rPr>
            <sz val="9"/>
            <color indexed="81"/>
            <rFont val="Tahoma"/>
            <family val="2"/>
          </rPr>
          <t xml:space="preserve">
estimate</t>
        </r>
      </text>
    </comment>
    <comment ref="C230" authorId="0" shapeId="0" xr:uid="{00000000-0006-0000-0A00-000002000000}">
      <text>
        <r>
          <rPr>
            <b/>
            <sz val="9"/>
            <color indexed="81"/>
            <rFont val="Tahoma"/>
            <family val="2"/>
          </rPr>
          <t>Soomit Datta:</t>
        </r>
        <r>
          <rPr>
            <sz val="9"/>
            <color indexed="81"/>
            <rFont val="Tahoma"/>
            <family val="2"/>
          </rPr>
          <t xml:space="preserve">
http://inversionesbahia.com/en/inversiones/medios-y-tecnologia/</t>
        </r>
      </text>
    </comment>
    <comment ref="C237" authorId="0" shapeId="0" xr:uid="{00000000-0006-0000-0A00-000003000000}">
      <text>
        <r>
          <rPr>
            <b/>
            <sz val="9"/>
            <color indexed="81"/>
            <rFont val="Tahoma"/>
            <family val="2"/>
          </rPr>
          <t>Soomit Datta:</t>
        </r>
        <r>
          <rPr>
            <sz val="9"/>
            <color indexed="81"/>
            <rFont val="Tahoma"/>
            <family val="2"/>
          </rPr>
          <t xml:space="preserve">
http://inversionesbahia.com/en/inversiones/medios-y-tecnologia/</t>
        </r>
      </text>
    </comment>
    <comment ref="C243" authorId="0" shapeId="0" xr:uid="{00000000-0006-0000-0A00-000004000000}">
      <text>
        <r>
          <rPr>
            <b/>
            <sz val="9"/>
            <color indexed="81"/>
            <rFont val="Tahoma"/>
            <family val="2"/>
          </rPr>
          <t>Soomit Datta:</t>
        </r>
        <r>
          <rPr>
            <sz val="9"/>
            <color indexed="81"/>
            <rFont val="Tahoma"/>
            <family val="2"/>
          </rPr>
          <t xml:space="preserve">
http://inversionesbahia.com/en/inversiones/medios-y-tecnologia/</t>
        </r>
      </text>
    </comment>
    <comment ref="D296" authorId="0" shapeId="0" xr:uid="{00000000-0006-0000-0A00-000005000000}">
      <text>
        <r>
          <rPr>
            <b/>
            <sz val="9"/>
            <color indexed="81"/>
            <rFont val="Tahoma"/>
            <family val="2"/>
          </rPr>
          <t>Soomit Datta:</t>
        </r>
        <r>
          <rPr>
            <sz val="9"/>
            <color indexed="81"/>
            <rFont val="Tahoma"/>
            <family val="2"/>
          </rPr>
          <t xml:space="preserve">
limited geography wireless providers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David-Mickael Lopes</author>
    <author>Soomit Datta</author>
    <author>Frank Knowles</author>
  </authors>
  <commentList>
    <comment ref="L56" authorId="0" shapeId="0" xr:uid="{00000000-0006-0000-0F00-000001000000}">
      <text>
        <r>
          <rPr>
            <b/>
            <sz val="9"/>
            <color indexed="81"/>
            <rFont val="Tahoma"/>
            <family val="2"/>
          </rPr>
          <t>David-Mickael Lopes:</t>
        </r>
        <r>
          <rPr>
            <sz val="9"/>
            <color indexed="81"/>
            <rFont val="Tahoma"/>
            <family val="2"/>
          </rPr>
          <t xml:space="preserve">
VTR inc. mobile -&gt;</t>
        </r>
      </text>
    </comment>
    <comment ref="A115" authorId="1" shapeId="0" xr:uid="{00000000-0006-0000-0F00-000002000000}">
      <text>
        <r>
          <rPr>
            <b/>
            <sz val="9"/>
            <color indexed="81"/>
            <rFont val="Tahoma"/>
            <family val="2"/>
          </rPr>
          <t>Soomit Datta:</t>
        </r>
        <r>
          <rPr>
            <sz val="9"/>
            <color indexed="81"/>
            <rFont val="Tahoma"/>
            <family val="2"/>
          </rPr>
          <t xml:space="preserve">
Includes programming costs, and includes share based compensation</t>
        </r>
      </text>
    </comment>
    <comment ref="P181" authorId="0" shapeId="0" xr:uid="{00000000-0006-0000-0F00-000003000000}">
      <text>
        <r>
          <rPr>
            <b/>
            <sz val="9"/>
            <color indexed="81"/>
            <rFont val="Tahoma"/>
            <family val="2"/>
          </rPr>
          <t>David-Mickael Lopes:</t>
        </r>
        <r>
          <rPr>
            <sz val="9"/>
            <color indexed="81"/>
            <rFont val="Tahoma"/>
            <family val="2"/>
          </rPr>
          <t xml:space="preserve">
$100mn cash contribution from LBTY
$11mn cash payment to LBTY Europe (related party fees)</t>
        </r>
      </text>
    </comment>
    <comment ref="P197" authorId="2" shapeId="0" xr:uid="{00000000-0006-0000-0F00-000004000000}">
      <text>
        <r>
          <rPr>
            <b/>
            <sz val="9"/>
            <color indexed="81"/>
            <rFont val="Tahoma"/>
            <family val="2"/>
          </rPr>
          <t>Frank Knowles:</t>
        </r>
        <r>
          <rPr>
            <sz val="9"/>
            <color indexed="81"/>
            <rFont val="Tahoma"/>
            <family val="2"/>
          </rPr>
          <t xml:space="preserve">
IR guidance</t>
        </r>
      </text>
    </comment>
    <comment ref="P220" authorId="1" shapeId="0" xr:uid="{00000000-0006-0000-0F00-000005000000}">
      <text>
        <r>
          <rPr>
            <b/>
            <sz val="9"/>
            <color indexed="81"/>
            <rFont val="Tahoma"/>
            <family val="2"/>
          </rPr>
          <t>Soomit Datta:</t>
        </r>
        <r>
          <rPr>
            <sz val="9"/>
            <color indexed="81"/>
            <rFont val="Tahoma"/>
            <family val="2"/>
          </rPr>
          <t xml:space="preserve">
less derivative asset, $57.4m according to page 150 (II-83) of the 10K, but adjusted to match implied debt from 3.9x YE average</t>
        </r>
      </text>
    </comment>
    <comment ref="M267" authorId="0" shapeId="0" xr:uid="{00000000-0006-0000-0F00-000006000000}">
      <text>
        <r>
          <rPr>
            <b/>
            <sz val="9"/>
            <color indexed="81"/>
            <rFont val="Tahoma"/>
            <family val="2"/>
          </rPr>
          <t>David-Mickael Lopes:</t>
        </r>
        <r>
          <rPr>
            <sz val="9"/>
            <color indexed="81"/>
            <rFont val="Tahoma"/>
            <family val="2"/>
          </rPr>
          <t xml:space="preserve">
IR call: swapped to 11% . From Q3 15 derivatives re-struck to imply a 7% rate. on the $1.4bn this should be c.$100m of interest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David-Mickael Lopes</author>
    <author>Soomit Datta</author>
  </authors>
  <commentList>
    <comment ref="P174" authorId="0" shapeId="0" xr:uid="{00000000-0006-0000-1000-000001000000}">
      <text>
        <r>
          <rPr>
            <b/>
            <sz val="9"/>
            <color indexed="81"/>
            <rFont val="Tahoma"/>
            <family val="2"/>
          </rPr>
          <t>David-Mickael Lopes:</t>
        </r>
        <r>
          <rPr>
            <sz val="9"/>
            <color indexed="81"/>
            <rFont val="Tahoma"/>
            <family val="2"/>
          </rPr>
          <t xml:space="preserve">
Contibution from LBTY ($10.2mn) and Searchlight ($6.8mn)</t>
        </r>
      </text>
    </comment>
    <comment ref="Q175" authorId="1" shapeId="0" xr:uid="{00000000-0006-0000-1000-000002000000}">
      <text>
        <r>
          <rPr>
            <b/>
            <sz val="9"/>
            <color indexed="81"/>
            <rFont val="Tahoma"/>
            <family val="2"/>
          </rPr>
          <t>Soomit Datta:</t>
        </r>
        <r>
          <rPr>
            <sz val="9"/>
            <color indexed="81"/>
            <rFont val="Tahoma"/>
            <family val="2"/>
          </rPr>
          <t xml:space="preserve">
minority dividends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<sst xmlns="http://schemas.openxmlformats.org/spreadsheetml/2006/main" count="15550" uniqueCount="7927">
  <si>
    <t>Panama</t>
  </si>
  <si>
    <t>LIME</t>
  </si>
  <si>
    <t>BTC</t>
  </si>
  <si>
    <t>Seychelles</t>
  </si>
  <si>
    <t>Other</t>
  </si>
  <si>
    <t>Mobile</t>
  </si>
  <si>
    <t>BB and TV</t>
  </si>
  <si>
    <t>Fixed voice</t>
  </si>
  <si>
    <t>EBITDA</t>
  </si>
  <si>
    <t>H2</t>
  </si>
  <si>
    <t>H1</t>
  </si>
  <si>
    <t xml:space="preserve"> Mar 2015</t>
  </si>
  <si>
    <t xml:space="preserve"> Mar 2014</t>
  </si>
  <si>
    <t xml:space="preserve"> Mar 2013</t>
  </si>
  <si>
    <t xml:space="preserve"> Mar 2012</t>
  </si>
  <si>
    <t>Revenue</t>
  </si>
  <si>
    <t>Total</t>
  </si>
  <si>
    <t>Total revenue</t>
  </si>
  <si>
    <t>EBITDA margin</t>
  </si>
  <si>
    <t>Capex</t>
  </si>
  <si>
    <t>Capex/sales</t>
  </si>
  <si>
    <t>BTC (Bahamas incumbent, 49%)</t>
  </si>
  <si>
    <t>Panama, $ economy</t>
  </si>
  <si>
    <t>LIME, constant FX</t>
  </si>
  <si>
    <t>Seychelles, constant FX</t>
  </si>
  <si>
    <t>Total, constant FX</t>
  </si>
  <si>
    <t xml:space="preserve">LIME (Caribbean ex Bahamas), 25% Jamaica, 20% Barbados, </t>
  </si>
  <si>
    <t>OpFCF</t>
  </si>
  <si>
    <t>as %</t>
  </si>
  <si>
    <t>CWC</t>
  </si>
  <si>
    <t>Colombus</t>
  </si>
  <si>
    <t>Bahamas</t>
  </si>
  <si>
    <t>Jamaica</t>
  </si>
  <si>
    <t>Barbados</t>
  </si>
  <si>
    <t>Grenada</t>
  </si>
  <si>
    <t>Minority</t>
  </si>
  <si>
    <t>BVI</t>
  </si>
  <si>
    <t>Curacao</t>
  </si>
  <si>
    <t>Antigua</t>
  </si>
  <si>
    <t>Anguilla</t>
  </si>
  <si>
    <t>Dominica</t>
  </si>
  <si>
    <t>Montserrat</t>
  </si>
  <si>
    <t>Cayman</t>
  </si>
  <si>
    <t>St Lucia</t>
  </si>
  <si>
    <t>$m</t>
  </si>
  <si>
    <t>H1 14</t>
  </si>
  <si>
    <t>H2 13</t>
  </si>
  <si>
    <t>H1 13</t>
  </si>
  <si>
    <t>H1 12</t>
  </si>
  <si>
    <t>H2 12</t>
  </si>
  <si>
    <t xml:space="preserve"> of which</t>
  </si>
  <si>
    <t>Flow</t>
  </si>
  <si>
    <t>Networks</t>
  </si>
  <si>
    <t>KPIs</t>
  </si>
  <si>
    <t>RGUs</t>
  </si>
  <si>
    <t>P&amp;L</t>
  </si>
  <si>
    <t>D&amp;A</t>
  </si>
  <si>
    <t>Other operating expenses</t>
  </si>
  <si>
    <t>Associates</t>
  </si>
  <si>
    <t>Operating profit</t>
  </si>
  <si>
    <t>Exceptionals</t>
  </si>
  <si>
    <t>Operating profit after ex</t>
  </si>
  <si>
    <t>Finance income</t>
  </si>
  <si>
    <t>Finance expense</t>
  </si>
  <si>
    <t>Exc finance exp</t>
  </si>
  <si>
    <t>Other income</t>
  </si>
  <si>
    <t>PBT</t>
  </si>
  <si>
    <t>Tax</t>
  </si>
  <si>
    <t>Clean net income</t>
  </si>
  <si>
    <t>Net income</t>
  </si>
  <si>
    <t>Questions</t>
  </si>
  <si>
    <t>What will the new disclosure look like? CWC and Colombus separately?</t>
  </si>
  <si>
    <t xml:space="preserve"> </t>
  </si>
  <si>
    <t>still happy with synergies guidance of $85m per annum</t>
  </si>
  <si>
    <t>14% of sales by Mar 18 looks low (given cable incorporation)</t>
  </si>
  <si>
    <t>Panama outlook</t>
  </si>
  <si>
    <t>P&amp;L, R$</t>
  </si>
  <si>
    <t>Reported revenues</t>
  </si>
  <si>
    <t>% change</t>
  </si>
  <si>
    <t>Clean EBITDA</t>
  </si>
  <si>
    <t>Reported EBITDA</t>
  </si>
  <si>
    <t>Depreciation</t>
  </si>
  <si>
    <t>Amortisation</t>
  </si>
  <si>
    <t>EBIT</t>
  </si>
  <si>
    <t>Financial income and expense</t>
  </si>
  <si>
    <t>Minority interest</t>
  </si>
  <si>
    <t>Reported EPS</t>
  </si>
  <si>
    <t>Clean EPS</t>
  </si>
  <si>
    <t>DPS</t>
  </si>
  <si>
    <t>EFCF/ share</t>
  </si>
  <si>
    <t>Group</t>
  </si>
  <si>
    <t>as % sales</t>
  </si>
  <si>
    <t>Balance sheet</t>
  </si>
  <si>
    <t>Cash/ marketable securities</t>
  </si>
  <si>
    <t>Inventory</t>
  </si>
  <si>
    <t>Receivables</t>
  </si>
  <si>
    <t>Prepayments</t>
  </si>
  <si>
    <t>Current assets</t>
  </si>
  <si>
    <t>Net PP&amp;E</t>
  </si>
  <si>
    <t>Net intangible assets</t>
  </si>
  <si>
    <t>Goodwill</t>
  </si>
  <si>
    <t>Financial investments</t>
  </si>
  <si>
    <t>Non-current other assets</t>
  </si>
  <si>
    <t>Total assets</t>
  </si>
  <si>
    <t>Other current liabilities</t>
  </si>
  <si>
    <t>Accounts payable</t>
  </si>
  <si>
    <t>ST interest-bearing debt</t>
  </si>
  <si>
    <t>Current liabilites</t>
  </si>
  <si>
    <t>LT interest-bearing debt</t>
  </si>
  <si>
    <t>Unfunded pension</t>
  </si>
  <si>
    <t>Other long-term liabilities</t>
  </si>
  <si>
    <t>Minority interests</t>
  </si>
  <si>
    <t>Book equity</t>
  </si>
  <si>
    <t>Total liabilities and book equity</t>
  </si>
  <si>
    <t>Check</t>
  </si>
  <si>
    <t>Net debt</t>
  </si>
  <si>
    <t>Change in net debt</t>
  </si>
  <si>
    <t>Cash flow statement</t>
  </si>
  <si>
    <t>Less: Interest payments</t>
  </si>
  <si>
    <t>Less: Tax</t>
  </si>
  <si>
    <t>Less: Working capital movements</t>
  </si>
  <si>
    <t>Less: Restructuring payments</t>
  </si>
  <si>
    <t>Less: Dividends paid</t>
  </si>
  <si>
    <t>Less: Share buyback/ special dividend</t>
  </si>
  <si>
    <t>Less: licence payments</t>
  </si>
  <si>
    <t>Less: acquisitions</t>
  </si>
  <si>
    <t>Plus: equity issuance</t>
  </si>
  <si>
    <t>Plus: dividends received</t>
  </si>
  <si>
    <t>Plus: disposals/other</t>
  </si>
  <si>
    <t>Difference</t>
  </si>
  <si>
    <t>as % of Net PP&amp;E</t>
  </si>
  <si>
    <t>Less: extraordinary depreciation</t>
  </si>
  <si>
    <t>Clean depreciation</t>
  </si>
  <si>
    <t>Av. asset life</t>
  </si>
  <si>
    <t>Gross PP&amp;E</t>
  </si>
  <si>
    <t>Acc. Depreciation</t>
  </si>
  <si>
    <t>Capex/ depreciation</t>
  </si>
  <si>
    <t>Less: extraordinary amortisation</t>
  </si>
  <si>
    <t>Clean amortisation</t>
  </si>
  <si>
    <t>as % of net intangibles</t>
  </si>
  <si>
    <t>Gross intangible assets</t>
  </si>
  <si>
    <t>Accumulated amortisation</t>
  </si>
  <si>
    <t>Acquisition of intangibles</t>
  </si>
  <si>
    <t>Gross goodwill</t>
  </si>
  <si>
    <t>Accumulated goodwill amort</t>
  </si>
  <si>
    <t>Net goodwill</t>
  </si>
  <si>
    <t>Acquisition of goodwill</t>
  </si>
  <si>
    <t>Write-down of goodwill</t>
  </si>
  <si>
    <t>Asset breakdown</t>
  </si>
  <si>
    <t>NFA</t>
  </si>
  <si>
    <t>Intangible assets</t>
  </si>
  <si>
    <t>Interest/ debt</t>
  </si>
  <si>
    <t>Interest payments</t>
  </si>
  <si>
    <t>Exceptional interest charges</t>
  </si>
  <si>
    <t>Clean interest payments</t>
  </si>
  <si>
    <t>Interest income</t>
  </si>
  <si>
    <t>Other financial income</t>
  </si>
  <si>
    <t>Average interest rate on cash</t>
  </si>
  <si>
    <t>Change</t>
  </si>
  <si>
    <t>Interest expense</t>
  </si>
  <si>
    <t>Other financial expenses</t>
  </si>
  <si>
    <t>Average interest rate on debt</t>
  </si>
  <si>
    <t>Average interest rate</t>
  </si>
  <si>
    <t>Average debt</t>
  </si>
  <si>
    <t>Gross debt</t>
  </si>
  <si>
    <t xml:space="preserve">Net cash </t>
  </si>
  <si>
    <t>Cash as % of sales</t>
  </si>
  <si>
    <t xml:space="preserve"> - of which short-term debt</t>
  </si>
  <si>
    <t xml:space="preserve"> - of which long-term debt</t>
  </si>
  <si>
    <t xml:space="preserve"> - of which interest bearing long-term</t>
  </si>
  <si>
    <t>Net cash</t>
  </si>
  <si>
    <t>Non-current financial assets</t>
  </si>
  <si>
    <t>Deferred tax assets</t>
  </si>
  <si>
    <t>Working capital analysis</t>
  </si>
  <si>
    <t>% of sales</t>
  </si>
  <si>
    <t>Change in inventory</t>
  </si>
  <si>
    <t>Change in receivables</t>
  </si>
  <si>
    <t>Other current assets</t>
  </si>
  <si>
    <t>Change in other assets</t>
  </si>
  <si>
    <t>Change in payables</t>
  </si>
  <si>
    <t>Change in other liabilities</t>
  </si>
  <si>
    <t>Change in working capital</t>
  </si>
  <si>
    <t>Pension provisions</t>
  </si>
  <si>
    <t>Release</t>
  </si>
  <si>
    <t>Pension and post-employment benefits</t>
  </si>
  <si>
    <t>Cash outflow</t>
  </si>
  <si>
    <t>Provisions</t>
  </si>
  <si>
    <t>Restructuring release</t>
  </si>
  <si>
    <t>Exceptional items</t>
  </si>
  <si>
    <t>Clean tax</t>
  </si>
  <si>
    <t>Less: clean depreciation</t>
  </si>
  <si>
    <t>Less: amortisation</t>
  </si>
  <si>
    <t>Less: interest</t>
  </si>
  <si>
    <t>Adjustments</t>
  </si>
  <si>
    <t>Clean PBT</t>
  </si>
  <si>
    <t>Corporate tax rate</t>
  </si>
  <si>
    <t>Effective tax rate</t>
  </si>
  <si>
    <t>Group PBT</t>
  </si>
  <si>
    <t xml:space="preserve">Tax loss carryforwards </t>
  </si>
  <si>
    <t>Amount used in year</t>
  </si>
  <si>
    <t>Taxable PBT</t>
  </si>
  <si>
    <t>Cash tax paid</t>
  </si>
  <si>
    <t>Tax credit remaining</t>
  </si>
  <si>
    <t>Difference with normalised tax</t>
  </si>
  <si>
    <t>NPV</t>
  </si>
  <si>
    <t>Cash tax</t>
  </si>
  <si>
    <t xml:space="preserve">Cash tax </t>
  </si>
  <si>
    <t>Total cash tax</t>
  </si>
  <si>
    <t>Income from affiliates</t>
  </si>
  <si>
    <t>Clean income from affiliates</t>
  </si>
  <si>
    <t>Dividends from associates</t>
  </si>
  <si>
    <t>Clean minority interests</t>
  </si>
  <si>
    <t xml:space="preserve">Balance sheet </t>
  </si>
  <si>
    <t>Dividends</t>
  </si>
  <si>
    <t>Share buyback</t>
  </si>
  <si>
    <t>Exceptional cash-flow items</t>
  </si>
  <si>
    <t>Licences</t>
  </si>
  <si>
    <t>Special dividend</t>
  </si>
  <si>
    <t>Pension top-up</t>
  </si>
  <si>
    <t>Acquisitions</t>
  </si>
  <si>
    <t>Disposals/acquisitions</t>
  </si>
  <si>
    <t>Exceptional cash flow items</t>
  </si>
  <si>
    <t>Per share analysis</t>
  </si>
  <si>
    <t>Less: depreciation</t>
  </si>
  <si>
    <t>Less: clean interest</t>
  </si>
  <si>
    <t>Plus: associates</t>
  </si>
  <si>
    <t>Less: clean tax</t>
  </si>
  <si>
    <t>Less: minority interests</t>
  </si>
  <si>
    <t>Clean earnings</t>
  </si>
  <si>
    <t>Average shares in issue</t>
  </si>
  <si>
    <t>Common treasury shares</t>
  </si>
  <si>
    <t>shares in treasury</t>
  </si>
  <si>
    <t>Common shares outstanding</t>
  </si>
  <si>
    <t>Change in shares in issue</t>
  </si>
  <si>
    <t>Dividend payments</t>
  </si>
  <si>
    <t>as % of clean EPS</t>
  </si>
  <si>
    <t>as % of reported EPS</t>
  </si>
  <si>
    <t>as % of EFCF</t>
  </si>
  <si>
    <t>Add: depreciation</t>
  </si>
  <si>
    <t>Add: amortisation</t>
  </si>
  <si>
    <t>Less: capex</t>
  </si>
  <si>
    <t>Clean EFCF</t>
  </si>
  <si>
    <t>Clean EFCF/ share</t>
  </si>
  <si>
    <t xml:space="preserve">Debt </t>
  </si>
  <si>
    <t>Repayments</t>
  </si>
  <si>
    <t>Liquidity schedule</t>
  </si>
  <si>
    <t>Interest rates</t>
  </si>
  <si>
    <t>KEY RATES</t>
  </si>
  <si>
    <t>Charges</t>
  </si>
  <si>
    <t>EFCF</t>
  </si>
  <si>
    <t>Panama, USD</t>
  </si>
  <si>
    <t>% margin</t>
  </si>
  <si>
    <t>LIME, USD</t>
  </si>
  <si>
    <t>BTC, USD</t>
  </si>
  <si>
    <t>Seychelles, USD</t>
  </si>
  <si>
    <t>EBITDA margin in H2 15 very high?</t>
  </si>
  <si>
    <t>Other, USD</t>
  </si>
  <si>
    <t>Colombus Int, USD</t>
  </si>
  <si>
    <t>OpEx</t>
  </si>
  <si>
    <t>EBITDA (pre-exceptionals)</t>
  </si>
  <si>
    <t>change</t>
  </si>
  <si>
    <t xml:space="preserve"> Sept 2011</t>
  </si>
  <si>
    <t xml:space="preserve"> Sept 2012</t>
  </si>
  <si>
    <t xml:space="preserve"> Sept 2013</t>
  </si>
  <si>
    <t xml:space="preserve"> Sept 2014</t>
  </si>
  <si>
    <t>Discontinued operations</t>
  </si>
  <si>
    <t>Monaco, Macau and the Islands as discontinued businesses</t>
  </si>
  <si>
    <t>Discontinued operations (gain/loss, profit)</t>
  </si>
  <si>
    <t>Less: minority dividends</t>
  </si>
  <si>
    <t>Fully diluted shares</t>
  </si>
  <si>
    <t>Dividend policy</t>
  </si>
  <si>
    <t>Equity issuance (cash raise)</t>
  </si>
  <si>
    <t>Equity issuance (issued)</t>
  </si>
  <si>
    <t>Net debt/EBITDA</t>
  </si>
  <si>
    <t>Sterling secured, 2019</t>
  </si>
  <si>
    <t>US$1.25bn unsecured, 2021 (Colombus)</t>
  </si>
  <si>
    <t>Less: Pension payments</t>
  </si>
  <si>
    <t>$250m inv plan</t>
  </si>
  <si>
    <t>announced may 2014</t>
  </si>
  <si>
    <t>$1.05bn 3 years (mar 15, 16, 17)</t>
  </si>
  <si>
    <t>So capex plans for this year. Both inc. and ex Colombus</t>
  </si>
  <si>
    <t>Average SHOUT</t>
  </si>
  <si>
    <t>Proportionate EBITDA</t>
  </si>
  <si>
    <t>Market Cap (fully diluted)</t>
  </si>
  <si>
    <t>Less: associates/tax shield</t>
  </si>
  <si>
    <t>Plus: NPV of future licence costs</t>
  </si>
  <si>
    <t>Plus: Value of minorities</t>
  </si>
  <si>
    <t>Plus: Other liabilities</t>
  </si>
  <si>
    <t xml:space="preserve">Plus: Net debt </t>
  </si>
  <si>
    <t>Less: Accumulated dividend</t>
  </si>
  <si>
    <t>Enterprise value</t>
  </si>
  <si>
    <t>Adjusted EBITDA</t>
  </si>
  <si>
    <t>Market Cap</t>
  </si>
  <si>
    <t>Less: Value of associates</t>
  </si>
  <si>
    <t>Plus liabilities</t>
  </si>
  <si>
    <t>Adjusted Market Cap</t>
  </si>
  <si>
    <t>Adjusted EPS</t>
  </si>
  <si>
    <t>EV/Revenues</t>
  </si>
  <si>
    <t>EV/EBITDA</t>
  </si>
  <si>
    <t>EV/OpFCF</t>
  </si>
  <si>
    <t>EV/FCF</t>
  </si>
  <si>
    <t>P/EFCF</t>
  </si>
  <si>
    <t>Equity FCF yield</t>
  </si>
  <si>
    <t>Dividend yield</t>
  </si>
  <si>
    <t>P/E adj</t>
  </si>
  <si>
    <t>Debt/EBITDA</t>
  </si>
  <si>
    <t>SHOUT</t>
  </si>
  <si>
    <t>Can we talk through pension assets/liabilities. Cash payment of $50m in 2015</t>
  </si>
  <si>
    <t>What are all the P&amp;L exceptional items? ($232m in H2 2015). How should we think about this on an ongoing basis?</t>
  </si>
  <si>
    <t>And the cash implications as well. $52m in 2015</t>
  </si>
  <si>
    <t>Pension assets/liabilities?</t>
  </si>
  <si>
    <t>Tax assets?</t>
  </si>
  <si>
    <t>What happened to NOLS and capital allowances after the de-merger</t>
  </si>
  <si>
    <t>Project Marlin - discuss in more detail</t>
  </si>
  <si>
    <t>What happened in H2 15 other revenue ($72m)? Sustainable</t>
  </si>
  <si>
    <t>Panama I think 50%</t>
  </si>
  <si>
    <t>50% share under pressure must be going down over time</t>
  </si>
  <si>
    <t>AMX in the market aggressive?</t>
  </si>
  <si>
    <t>Why doesn’t high market share correspond to high margins</t>
  </si>
  <si>
    <t>"The advent of mobile competition". Currently a monopoly? What's happening here?</t>
  </si>
  <si>
    <t>Full run through of any guidance. CWC, Colombus or both</t>
  </si>
  <si>
    <t>What are "the Islands"</t>
  </si>
  <si>
    <t>Effective tax rate?</t>
  </si>
  <si>
    <t>Guidance on tax</t>
  </si>
  <si>
    <t>Is there one? Why paying a dividend when borrowing to pay it</t>
  </si>
  <si>
    <t>US$m</t>
  </si>
  <si>
    <t>Ownership %</t>
  </si>
  <si>
    <t>100% equity</t>
  </si>
  <si>
    <t>% of EV</t>
  </si>
  <si>
    <t>Methodology</t>
  </si>
  <si>
    <t>DCF</t>
  </si>
  <si>
    <t>EV</t>
  </si>
  <si>
    <t>Equity</t>
  </si>
  <si>
    <t>Less minorities</t>
  </si>
  <si>
    <t>Total value</t>
  </si>
  <si>
    <t>Number of shares</t>
  </si>
  <si>
    <t>Current price</t>
  </si>
  <si>
    <t>Upside</t>
  </si>
  <si>
    <t>More questions</t>
  </si>
  <si>
    <t>Debt at BTC?</t>
  </si>
  <si>
    <t>Does Colombus own 100% of its assets?</t>
  </si>
  <si>
    <t>Where are the networks in these markets?</t>
  </si>
  <si>
    <t>BB/TV</t>
  </si>
  <si>
    <t>as % total</t>
  </si>
  <si>
    <t>Run through of different asset mix</t>
  </si>
  <si>
    <t>more mobile than BB/TV - why?</t>
  </si>
  <si>
    <t>copper or HFC</t>
  </si>
  <si>
    <t xml:space="preserve">LIME </t>
  </si>
  <si>
    <t>greater BB/TV</t>
  </si>
  <si>
    <t>legacy incumbent/copper?</t>
  </si>
  <si>
    <t>2G, 3G, 4G</t>
  </si>
  <si>
    <t>Spectrum issuance</t>
  </si>
  <si>
    <t>Who's the minority at BTC?</t>
  </si>
  <si>
    <t>M&amp;A strategy - expansionary outlook?</t>
  </si>
  <si>
    <t>What is "Other" revenue - handset/equipment?</t>
  </si>
  <si>
    <t>Does this mean "mobile" is mobile service revenue?</t>
  </si>
  <si>
    <t>Do you have a split of voice vs data?</t>
  </si>
  <si>
    <t>Are the mobile markets mainly pre paid. Split by region here?</t>
  </si>
  <si>
    <t>FX exposure</t>
  </si>
  <si>
    <t>30% constant fx, 19% in $</t>
  </si>
  <si>
    <t>Mobile subs</t>
  </si>
  <si>
    <t>BB subs</t>
  </si>
  <si>
    <t>TV subs</t>
  </si>
  <si>
    <t>Net adds</t>
  </si>
  <si>
    <t>Mobile ARPU</t>
  </si>
  <si>
    <t>BB ARPU</t>
  </si>
  <si>
    <t>TV ARPU</t>
  </si>
  <si>
    <t>Fixed ARPU</t>
  </si>
  <si>
    <t>BB service</t>
  </si>
  <si>
    <t>TV service</t>
  </si>
  <si>
    <t>Mobile calc</t>
  </si>
  <si>
    <t>No TV of any note, and small BB subs</t>
  </si>
  <si>
    <t>Why fixed ARPU up in 2015</t>
  </si>
  <si>
    <t>Why BB ARPU down so much?</t>
  </si>
  <si>
    <t>Traditional copper?</t>
  </si>
  <si>
    <t>How much of mobile comes from roaming in the Caribbean/Panama?</t>
  </si>
  <si>
    <t>Market shares, and penetration by major country?</t>
  </si>
  <si>
    <t>FCF</t>
  </si>
  <si>
    <t>WACC</t>
  </si>
  <si>
    <t>Rf</t>
  </si>
  <si>
    <t>Spread</t>
  </si>
  <si>
    <t>Cd</t>
  </si>
  <si>
    <t>Post-tax Cd</t>
  </si>
  <si>
    <t>ERP</t>
  </si>
  <si>
    <t>Beta</t>
  </si>
  <si>
    <t>CoE</t>
  </si>
  <si>
    <t>D/E</t>
  </si>
  <si>
    <t>PV FCF</t>
  </si>
  <si>
    <t>g</t>
  </si>
  <si>
    <t>TV</t>
  </si>
  <si>
    <t>PV TV</t>
  </si>
  <si>
    <t>Colombus International</t>
  </si>
  <si>
    <t>Tax rate</t>
  </si>
  <si>
    <t>Tax by region/blended for LIME</t>
  </si>
  <si>
    <t>Equity value, US$m</t>
  </si>
  <si>
    <t>Value per share, $</t>
  </si>
  <si>
    <t>why launching a DTH offer?</t>
  </si>
  <si>
    <t>How much was Sonitel in numbers? - $44m from Sept 14 (6 months?)</t>
  </si>
  <si>
    <t>82% of subs take &gt;1 product</t>
  </si>
  <si>
    <t>Synergies</t>
  </si>
  <si>
    <t>Revenue, $m</t>
  </si>
  <si>
    <t>EV calculation, $</t>
  </si>
  <si>
    <t xml:space="preserve"> Sept 2015</t>
  </si>
  <si>
    <t>Network</t>
  </si>
  <si>
    <t xml:space="preserve">Bahamas </t>
  </si>
  <si>
    <t>new op early next year</t>
  </si>
  <si>
    <t>OTT cannibalising voice</t>
  </si>
  <si>
    <t>Col peso takes growth off networks</t>
  </si>
  <si>
    <t>H1 results call (Nov 5)</t>
  </si>
  <si>
    <t>$92m of $110 charges now expensed</t>
  </si>
  <si>
    <t>Colombus put options…led to non cash interest charge</t>
  </si>
  <si>
    <t>0-£30m per annum thereafter</t>
  </si>
  <si>
    <t>£31m defined benefit payment made in H1. £31m in H2</t>
  </si>
  <si>
    <t>WC outflows will be reversed</t>
  </si>
  <si>
    <t>Guidance</t>
  </si>
  <si>
    <t>Trading in-line</t>
  </si>
  <si>
    <t>3 year guidance to be met</t>
  </si>
  <si>
    <t>Upgrade to synergy targets</t>
  </si>
  <si>
    <t>Includes material revenue synergies</t>
  </si>
  <si>
    <t>$125m per annum, despite same cost to achieve, 47% increase</t>
  </si>
  <si>
    <t>$85m of run rate cost synergies by 17/18 fiscal year</t>
  </si>
  <si>
    <t>$40m further</t>
  </si>
  <si>
    <t>$125m</t>
  </si>
  <si>
    <t>$45m</t>
  </si>
  <si>
    <t>headcount, back office, sales, marketing</t>
  </si>
  <si>
    <t>$29m</t>
  </si>
  <si>
    <t>network streamlining</t>
  </si>
  <si>
    <t>details in presentation</t>
  </si>
  <si>
    <t>Q&amp;A</t>
  </si>
  <si>
    <t>Deal with Man United in the Caribbean</t>
  </si>
  <si>
    <t>Question on video disconnects</t>
  </si>
  <si>
    <t>Strong nos from Comcast, showing how weathered the storm</t>
  </si>
  <si>
    <t>H2 15 EBITDA growth implied at 15% y/y, vs 5% in H1, needed to hit 10% growth</t>
  </si>
  <si>
    <t>opex improvements are expected, comfortable with the guidance</t>
  </si>
  <si>
    <t>early calendar 2016 will push BB</t>
  </si>
  <si>
    <t>huge footprint, limited competition here</t>
  </si>
  <si>
    <t>Strong results, that's why</t>
  </si>
  <si>
    <t>Teething problems</t>
  </si>
  <si>
    <t>LTIP payments</t>
  </si>
  <si>
    <t>Colombian peso</t>
  </si>
  <si>
    <t xml:space="preserve">B2B </t>
  </si>
  <si>
    <t>a conscious investment decision</t>
  </si>
  <si>
    <t>non pay disconnects</t>
  </si>
  <si>
    <t>$5m in H1</t>
  </si>
  <si>
    <t>Through the issues now</t>
  </si>
  <si>
    <t>Ektel regulation</t>
  </si>
  <si>
    <t>rate increases</t>
  </si>
  <si>
    <t>holding up the process?</t>
  </si>
  <si>
    <t>commitment to offer low entry BB service, tied to household income</t>
  </si>
  <si>
    <t>more attention that it deserves</t>
  </si>
  <si>
    <t>St Vin</t>
  </si>
  <si>
    <t>5 markets</t>
  </si>
  <si>
    <t>haven't put 12MB price up for 7 years</t>
  </si>
  <si>
    <t>test is fitness test (to be a telco), not an economic one</t>
  </si>
  <si>
    <t>$20m carved out of US assets</t>
  </si>
  <si>
    <t>Change of control issues relating to Liberty take over?</t>
  </si>
  <si>
    <t>MPS over the last six months</t>
  </si>
  <si>
    <t>Pushing prices up</t>
  </si>
  <si>
    <t>mobile consolidation discussion?</t>
  </si>
  <si>
    <t>no, planning some meetings later this month</t>
  </si>
  <si>
    <t>with other players as well</t>
  </si>
  <si>
    <t>H2 growth should accelerate, and needs to in order to hit guidance</t>
  </si>
  <si>
    <t>LTE</t>
  </si>
  <si>
    <t>won't put in all the countries. In many markets though</t>
  </si>
  <si>
    <t>now naturally seeing a slowdown in spend, therefore, ahead of the next</t>
  </si>
  <si>
    <t>Country</t>
  </si>
  <si>
    <t>Assets</t>
  </si>
  <si>
    <t>LiLAC</t>
  </si>
  <si>
    <t>Chile</t>
  </si>
  <si>
    <t>Puerto Rico</t>
  </si>
  <si>
    <t>F-M, mobile no 2.</t>
  </si>
  <si>
    <t>Mobile no.1</t>
  </si>
  <si>
    <t>FTTH, no.2</t>
  </si>
  <si>
    <t>HFC, no.1</t>
  </si>
  <si>
    <t>HFC, no.2</t>
  </si>
  <si>
    <t>Columbus 3-play</t>
  </si>
  <si>
    <t>Columbus networks</t>
  </si>
  <si>
    <t>Revs split</t>
  </si>
  <si>
    <t>CWC mobile</t>
  </si>
  <si>
    <t>CWC 3-play</t>
  </si>
  <si>
    <t>CWC other</t>
  </si>
  <si>
    <t>LiLAC HFC 3-play</t>
  </si>
  <si>
    <t>Revs</t>
  </si>
  <si>
    <t>split</t>
  </si>
  <si>
    <t>Other markets make up</t>
  </si>
  <si>
    <t xml:space="preserve">remaining 19% of </t>
  </si>
  <si>
    <t>revenue</t>
  </si>
  <si>
    <t xml:space="preserve">Colombus Networks </t>
  </si>
  <si>
    <t>F/M, mobile &gt;50%</t>
  </si>
  <si>
    <t>St Kitts &amp; Nevis</t>
  </si>
  <si>
    <t>Turks &amp; Caicos</t>
  </si>
  <si>
    <t>Proportionate revenue</t>
  </si>
  <si>
    <t>Chile (VTR)</t>
  </si>
  <si>
    <t>2016E</t>
  </si>
  <si>
    <t>2017E</t>
  </si>
  <si>
    <t>2018E</t>
  </si>
  <si>
    <t>2019E</t>
  </si>
  <si>
    <t>2020E</t>
  </si>
  <si>
    <t>2021E</t>
  </si>
  <si>
    <t>2022E</t>
  </si>
  <si>
    <t>2023E</t>
  </si>
  <si>
    <t>2024E</t>
  </si>
  <si>
    <t>2025E</t>
  </si>
  <si>
    <t>Q4 01</t>
  </si>
  <si>
    <t>Q1 02</t>
  </si>
  <si>
    <t>Q2 02</t>
  </si>
  <si>
    <t>Q3 02</t>
  </si>
  <si>
    <t>Q4 02</t>
  </si>
  <si>
    <t>Q1 03</t>
  </si>
  <si>
    <t>Q2 03</t>
  </si>
  <si>
    <t>Q3 03</t>
  </si>
  <si>
    <t>Q4 03</t>
  </si>
  <si>
    <t>1Q04</t>
  </si>
  <si>
    <t>Q2 04</t>
  </si>
  <si>
    <t>Q3 04</t>
  </si>
  <si>
    <t>Q4 04</t>
  </si>
  <si>
    <t>Q1 05</t>
  </si>
  <si>
    <t>Q2 05</t>
  </si>
  <si>
    <t>Q3 05</t>
  </si>
  <si>
    <t>Q4 05</t>
  </si>
  <si>
    <t>Q1 06</t>
  </si>
  <si>
    <t>Q2 06</t>
  </si>
  <si>
    <t>Q3 06</t>
  </si>
  <si>
    <t>Q4 06</t>
  </si>
  <si>
    <t>Q1 07</t>
  </si>
  <si>
    <t>Q2 07</t>
  </si>
  <si>
    <t>Q3 07</t>
  </si>
  <si>
    <t>Q4 07</t>
  </si>
  <si>
    <t>Q1 08</t>
  </si>
  <si>
    <t>Q2 08</t>
  </si>
  <si>
    <t>Q3 08</t>
  </si>
  <si>
    <t>Q4 08</t>
  </si>
  <si>
    <t>Q1 09</t>
  </si>
  <si>
    <t>Q2 09</t>
  </si>
  <si>
    <t>Q3 09</t>
  </si>
  <si>
    <t>Q4 09</t>
  </si>
  <si>
    <t>Q1 10</t>
  </si>
  <si>
    <t>Q2 10</t>
  </si>
  <si>
    <t>Q3 10</t>
  </si>
  <si>
    <t>Q4 10</t>
  </si>
  <si>
    <t>Q1 11</t>
  </si>
  <si>
    <t>Q2 11</t>
  </si>
  <si>
    <t>Q3 11</t>
  </si>
  <si>
    <t>Q4 11</t>
  </si>
  <si>
    <t>Q1 12</t>
  </si>
  <si>
    <t>Q2 12</t>
  </si>
  <si>
    <t>Q3 12</t>
  </si>
  <si>
    <t>Q4 12</t>
  </si>
  <si>
    <t>Q1 13</t>
  </si>
  <si>
    <t>Q2 13</t>
  </si>
  <si>
    <t>Q3 13</t>
  </si>
  <si>
    <t>Q4 13</t>
  </si>
  <si>
    <t>Q1 14</t>
  </si>
  <si>
    <t>Q2 14</t>
  </si>
  <si>
    <t>Q3 14</t>
  </si>
  <si>
    <t>Q4 14</t>
  </si>
  <si>
    <t>Q1 15</t>
  </si>
  <si>
    <t>Homes passed</t>
  </si>
  <si>
    <t>Homes upgraded</t>
  </si>
  <si>
    <t>Customers</t>
  </si>
  <si>
    <t>Basic video</t>
  </si>
  <si>
    <t>Enhanced video</t>
  </si>
  <si>
    <t>DTH/MMDS</t>
  </si>
  <si>
    <t>Total video</t>
  </si>
  <si>
    <t>Broadband</t>
  </si>
  <si>
    <t>Telephony</t>
  </si>
  <si>
    <t>Postpaid</t>
  </si>
  <si>
    <t>Prepaid</t>
  </si>
  <si>
    <t>1P</t>
  </si>
  <si>
    <t>2P</t>
  </si>
  <si>
    <t>3P</t>
  </si>
  <si>
    <t>Fixed RGUs</t>
  </si>
  <si>
    <t>Fixed RGUs per customer</t>
  </si>
  <si>
    <t>Total RGUs</t>
  </si>
  <si>
    <t>Total RGUs per customer</t>
  </si>
  <si>
    <t>HP added</t>
  </si>
  <si>
    <t>Customer adds</t>
  </si>
  <si>
    <t>Basic video adds</t>
  </si>
  <si>
    <t>Enhanced video adds</t>
  </si>
  <si>
    <t>DTH/MMDS adds</t>
  </si>
  <si>
    <t>Video adds</t>
  </si>
  <si>
    <t>Broadband adds</t>
  </si>
  <si>
    <t>Telephony adds</t>
  </si>
  <si>
    <t>Mobile adds</t>
  </si>
  <si>
    <t>HU % HP</t>
  </si>
  <si>
    <t>Digital % video</t>
  </si>
  <si>
    <t>Broadband % HU</t>
  </si>
  <si>
    <t>Broadband % customers</t>
  </si>
  <si>
    <t>Telephony % HU</t>
  </si>
  <si>
    <t>Telephony % customers</t>
  </si>
  <si>
    <t>Video RGU growth</t>
  </si>
  <si>
    <t>BB RGU growth</t>
  </si>
  <si>
    <t>Tel RGU growth</t>
  </si>
  <si>
    <t>Customer growth</t>
  </si>
  <si>
    <t>Mobile SIM % customers</t>
  </si>
  <si>
    <t>Mobile SIM % broadband</t>
  </si>
  <si>
    <t>Revenues local (CLPmn)</t>
  </si>
  <si>
    <t>Revenues $Usmn</t>
  </si>
  <si>
    <t>Revenues €mn</t>
  </si>
  <si>
    <t>Local revenue growth YoY</t>
  </si>
  <si>
    <t>USD revenue growth YoY</t>
  </si>
  <si>
    <t>Euro revenue growth YoY</t>
  </si>
  <si>
    <t>Mobile SIM average</t>
  </si>
  <si>
    <t>Mobile ARPU (NSR(E))</t>
  </si>
  <si>
    <t>Mobile revenues local</t>
  </si>
  <si>
    <t>B2B revenues (NSR(E))</t>
  </si>
  <si>
    <t>Other revenues (NSR(E))</t>
  </si>
  <si>
    <t>Mobile revenues (NSR(E)) YoY</t>
  </si>
  <si>
    <t>B2B revenues (NSR(E)) YoY</t>
  </si>
  <si>
    <t>Other revenues (NSR(E)) YoY</t>
  </si>
  <si>
    <t>Mobile revenues (NSR(E)) % total</t>
  </si>
  <si>
    <t>B2B revenues (NSR(E)) % total</t>
  </si>
  <si>
    <t>Other revenues (NSR(E)) % total</t>
  </si>
  <si>
    <t>Fixed cable revenues local</t>
  </si>
  <si>
    <t>Fixed cable revenues growth YoY</t>
  </si>
  <si>
    <t>Fixed cable revenues % total</t>
  </si>
  <si>
    <t>Fixed cable revenue / customer</t>
  </si>
  <si>
    <t>Local revenue / customer</t>
  </si>
  <si>
    <t>Fixed cable revenue / customer YoY</t>
  </si>
  <si>
    <t>Local revenue / customer YoY</t>
  </si>
  <si>
    <t>Fixed cable revenue / RGU</t>
  </si>
  <si>
    <t>Local revenue / RGU</t>
  </si>
  <si>
    <t>Fixed cable revenue / RGU YoY</t>
  </si>
  <si>
    <t>Local revenue / RGU YoY</t>
  </si>
  <si>
    <t>Fixed cable revenue split:</t>
  </si>
  <si>
    <t>Fixed cable reveue split:</t>
  </si>
  <si>
    <t>Video revenues local</t>
  </si>
  <si>
    <t>BB revenues local</t>
  </si>
  <si>
    <t>Telephony revenues local</t>
  </si>
  <si>
    <t>Fixed cable reveues</t>
  </si>
  <si>
    <t>Video revenues local growth YoY</t>
  </si>
  <si>
    <t>BB revenues local growth YoY</t>
  </si>
  <si>
    <t>Telephony revenues local growth YoY</t>
  </si>
  <si>
    <t>Fixed cable reveues growth YoY</t>
  </si>
  <si>
    <t>Video revenues local % Total revenues</t>
  </si>
  <si>
    <t>BB revenues local % Total revenues</t>
  </si>
  <si>
    <t>Telephony revenues local % Total revenues</t>
  </si>
  <si>
    <t>Fixed cable reveues % Total revenues</t>
  </si>
  <si>
    <t>Video revenues local /Video subs / month</t>
  </si>
  <si>
    <t>Video revenues local /Video subs</t>
  </si>
  <si>
    <t>BB revenues local / BB subs / month</t>
  </si>
  <si>
    <t>BB revenues local / BB subs</t>
  </si>
  <si>
    <t>Telephony revenues local / Tel subs / month</t>
  </si>
  <si>
    <t>Telephony revenues local / Tel subs</t>
  </si>
  <si>
    <t>Fixed cable revenues / Fixed RGUs / month</t>
  </si>
  <si>
    <t>CLP bn</t>
  </si>
  <si>
    <t>CLPbn</t>
  </si>
  <si>
    <t>Revenues</t>
  </si>
  <si>
    <t>YoY</t>
  </si>
  <si>
    <t>Opex</t>
  </si>
  <si>
    <t>Gross profit</t>
  </si>
  <si>
    <t>Margin</t>
  </si>
  <si>
    <t>SG&amp;A</t>
  </si>
  <si>
    <t>OCF</t>
  </si>
  <si>
    <t>% revenues</t>
  </si>
  <si>
    <t>Revenues ex-mobile</t>
  </si>
  <si>
    <t>GP ex-mobile</t>
  </si>
  <si>
    <t>Opex ex-mobile</t>
  </si>
  <si>
    <t>SG&amp;A ex-mobile</t>
  </si>
  <si>
    <t>OCF ex-mobile</t>
  </si>
  <si>
    <t>Mobile revenues</t>
  </si>
  <si>
    <t>Mobile GP</t>
  </si>
  <si>
    <t>Mobile GM</t>
  </si>
  <si>
    <t>Mobile opex</t>
  </si>
  <si>
    <t>Mobile SG&amp;A</t>
  </si>
  <si>
    <t>Mobile SAC</t>
  </si>
  <si>
    <t>Mobile OCF</t>
  </si>
  <si>
    <t>At end 2013 all costs for old MNO strategy were provisioned and written off; new MVNO model starts 2014.</t>
  </si>
  <si>
    <t>Operating income</t>
  </si>
  <si>
    <t xml:space="preserve">Interest expense </t>
  </si>
  <si>
    <t xml:space="preserve">Interest income </t>
  </si>
  <si>
    <t>Interest net</t>
  </si>
  <si>
    <t>EBT</t>
  </si>
  <si>
    <t>NI</t>
  </si>
  <si>
    <t>Minorities</t>
  </si>
  <si>
    <t>NI to parent</t>
  </si>
  <si>
    <t>Interest income % cash</t>
  </si>
  <si>
    <t>Minorities % NI</t>
  </si>
  <si>
    <t>Working capital changes</t>
  </si>
  <si>
    <t>Cash interest</t>
  </si>
  <si>
    <t>Debt repayments</t>
  </si>
  <si>
    <t>Debt issuance</t>
  </si>
  <si>
    <t>Shareholder payments</t>
  </si>
  <si>
    <t>Other CF</t>
  </si>
  <si>
    <t xml:space="preserve">Change in cash </t>
  </si>
  <si>
    <t>Cash BOY</t>
  </si>
  <si>
    <t>Cash EOY</t>
  </si>
  <si>
    <t>Working capital % revenues</t>
  </si>
  <si>
    <t>Cash tax % taxable income</t>
  </si>
  <si>
    <t>Less: Depreciation</t>
  </si>
  <si>
    <t>Less: Interest</t>
  </si>
  <si>
    <t>Less: Associates</t>
  </si>
  <si>
    <t>Less: Clean tax</t>
  </si>
  <si>
    <t>Less: Minority interests</t>
  </si>
  <si>
    <t>Cleap eps</t>
  </si>
  <si>
    <t>Add: Depreciation</t>
  </si>
  <si>
    <t>Less: Capex</t>
  </si>
  <si>
    <t>Forecast cash tax</t>
  </si>
  <si>
    <t>Savings from shelters</t>
  </si>
  <si>
    <t>VTR Wireless Bank facilities</t>
  </si>
  <si>
    <t>VTR Senior Credit facilities</t>
  </si>
  <si>
    <t>VTR Finance 6.875% SSN 2024</t>
  </si>
  <si>
    <t>New SSN debt</t>
  </si>
  <si>
    <t>Capital leases</t>
  </si>
  <si>
    <t>Total senior secured debt</t>
  </si>
  <si>
    <t>HY debt</t>
  </si>
  <si>
    <t>Total third pary debt</t>
  </si>
  <si>
    <t>Cash</t>
  </si>
  <si>
    <t>Total third party net debt</t>
  </si>
  <si>
    <t>Related party debt</t>
  </si>
  <si>
    <t>Total net debt</t>
  </si>
  <si>
    <t>Total gross debt</t>
  </si>
  <si>
    <t>Net leverage</t>
  </si>
  <si>
    <t>Gross leverage</t>
  </si>
  <si>
    <t>LTM EBITDA</t>
  </si>
  <si>
    <t>Bank gross leverage</t>
  </si>
  <si>
    <t>Senior secured debt gross leverage</t>
  </si>
  <si>
    <t>Total gross leverage - 3rd party</t>
  </si>
  <si>
    <t>Total gross leverage</t>
  </si>
  <si>
    <t>Bank net leverage</t>
  </si>
  <si>
    <t>Senior secured debt net leverage</t>
  </si>
  <si>
    <t>Total senior secured debt repayments</t>
  </si>
  <si>
    <t>Total net leverage - 3rd party</t>
  </si>
  <si>
    <t>Total net leverage</t>
  </si>
  <si>
    <t>Total repayments</t>
  </si>
  <si>
    <t>Maturity profile</t>
  </si>
  <si>
    <t>3rd party debt</t>
  </si>
  <si>
    <t>New borrowings</t>
  </si>
  <si>
    <t>/LTM EBITDA</t>
  </si>
  <si>
    <t xml:space="preserve">Total senior secured new debt </t>
  </si>
  <si>
    <t>Total new borrowings</t>
  </si>
  <si>
    <t>Interests</t>
  </si>
  <si>
    <t>£BOR</t>
  </si>
  <si>
    <t>Fixed</t>
  </si>
  <si>
    <t>Int. rate</t>
  </si>
  <si>
    <t>Chile (VTR) (CLPbn)</t>
  </si>
  <si>
    <t>Credit stats</t>
  </si>
  <si>
    <t>Senior secured debt</t>
  </si>
  <si>
    <t>Senior unsecured debt</t>
  </si>
  <si>
    <t>Other debt</t>
  </si>
  <si>
    <t>PIK debt</t>
  </si>
  <si>
    <t>Total debt</t>
  </si>
  <si>
    <t>PIK interest</t>
  </si>
  <si>
    <t>W capital change</t>
  </si>
  <si>
    <t>Cash taxes</t>
  </si>
  <si>
    <t>Other cash flow</t>
  </si>
  <si>
    <t>LTM FCF</t>
  </si>
  <si>
    <t>Summary cash flow (CLPbn)</t>
  </si>
  <si>
    <t>Summary leverage</t>
  </si>
  <si>
    <t>Senior debt</t>
  </si>
  <si>
    <t>Net senior debt / LTM EBITDA</t>
  </si>
  <si>
    <t>Net total external debt / LTM EBITDA</t>
  </si>
  <si>
    <t>Liberty Puerto Rico</t>
  </si>
  <si>
    <t>Basic adds</t>
  </si>
  <si>
    <t>Enhanced adds</t>
  </si>
  <si>
    <t>Enhanced % video</t>
  </si>
  <si>
    <t>Revenues local ($USmn)</t>
  </si>
  <si>
    <t>Revenues $USmn</t>
  </si>
  <si>
    <t>US $ mn</t>
  </si>
  <si>
    <t>OCf ex-mobile</t>
  </si>
  <si>
    <t>Liberty Puerto Rico Bank facilities</t>
  </si>
  <si>
    <t>Senior secured notes</t>
  </si>
  <si>
    <t>SSN</t>
  </si>
  <si>
    <t>Total third-party gross leverage</t>
  </si>
  <si>
    <t>Total third-party net leverage</t>
  </si>
  <si>
    <t>&gt;2020</t>
  </si>
  <si>
    <t>VTR (CLPbn)</t>
  </si>
  <si>
    <t>LatAm (VTR / Puerto Rico)</t>
  </si>
  <si>
    <t>Revenues local</t>
  </si>
  <si>
    <t xml:space="preserve">Revenues local </t>
  </si>
  <si>
    <t>Revenues $US</t>
  </si>
  <si>
    <t>Mobile revenues $</t>
  </si>
  <si>
    <t>B2B revenues (NSR(E)) $</t>
  </si>
  <si>
    <t>B2B revenues $ (NSR(E))</t>
  </si>
  <si>
    <t>Other revenues (NSR(E)) $</t>
  </si>
  <si>
    <t>Other revenues $ (NSR(E))</t>
  </si>
  <si>
    <t>Fixed cable revenues $</t>
  </si>
  <si>
    <t>Revenue $ / customer</t>
  </si>
  <si>
    <t>Revenue / customer YoY</t>
  </si>
  <si>
    <t>Revenue $ / RGU</t>
  </si>
  <si>
    <t>Revenue / RGU YoY</t>
  </si>
  <si>
    <t>$mn</t>
  </si>
  <si>
    <t>Management fee</t>
  </si>
  <si>
    <t>NPV Mgmt fee for DCF</t>
  </si>
  <si>
    <t>Cash flow</t>
  </si>
  <si>
    <t>EFCF and Clean net income</t>
  </si>
  <si>
    <t>Tax shelters</t>
  </si>
  <si>
    <t>Debt structure ($mn)</t>
  </si>
  <si>
    <t>Bank debt</t>
  </si>
  <si>
    <t>VTR Bank debt</t>
  </si>
  <si>
    <t>Liberty Puerto Rico Bank debt</t>
  </si>
  <si>
    <t>VTR SSN</t>
  </si>
  <si>
    <t>Liberty Puerto Rico SSN</t>
  </si>
  <si>
    <t>HY</t>
  </si>
  <si>
    <t>VTR Capital leases</t>
  </si>
  <si>
    <t xml:space="preserve">Other </t>
  </si>
  <si>
    <t>Liberty Puerto Rico Capital leases</t>
  </si>
  <si>
    <t>VTR HY debt</t>
  </si>
  <si>
    <t>Liberty Puerto Rico HY debt</t>
  </si>
  <si>
    <t>Total HY debt</t>
  </si>
  <si>
    <t>VTR Other</t>
  </si>
  <si>
    <t>Liberty Puerto Rico Other</t>
  </si>
  <si>
    <t>VTR Cash</t>
  </si>
  <si>
    <t>Liberty Puerto Rico Cash</t>
  </si>
  <si>
    <t>Total interests</t>
  </si>
  <si>
    <t>VTR Related party debt</t>
  </si>
  <si>
    <t>Liberty Puerto Rico Related party debt</t>
  </si>
  <si>
    <t>VTR 3rd party debt</t>
  </si>
  <si>
    <t>Liberty Puerto Rico 3rd party debt</t>
  </si>
  <si>
    <t>Total third party debt</t>
  </si>
  <si>
    <t>LatAm ($mn)</t>
  </si>
  <si>
    <t>FCF ($mn)</t>
  </si>
  <si>
    <t>Summary cash flow ($mn)</t>
  </si>
  <si>
    <t>LiLAC valuation</t>
  </si>
  <si>
    <t>SOP &amp; equity value</t>
  </si>
  <si>
    <t>LatAm ($ mn)</t>
  </si>
  <si>
    <t>Method</t>
  </si>
  <si>
    <t>Multiple</t>
  </si>
  <si>
    <t>ND</t>
  </si>
  <si>
    <t>100% Equity</t>
  </si>
  <si>
    <t>Stake</t>
  </si>
  <si>
    <t>LBTY equity</t>
  </si>
  <si>
    <t>Management fee NPV</t>
  </si>
  <si>
    <t>Total EV</t>
  </si>
  <si>
    <t>2016 net debt</t>
  </si>
  <si>
    <t>NPV tax shelters</t>
  </si>
  <si>
    <t>Equity value</t>
  </si>
  <si>
    <t>LiLAC shares</t>
  </si>
  <si>
    <t>Number</t>
  </si>
  <si>
    <t>Target</t>
  </si>
  <si>
    <t>Market</t>
  </si>
  <si>
    <t>Target Value</t>
  </si>
  <si>
    <t>Market value</t>
  </si>
  <si>
    <t>$ mn</t>
  </si>
  <si>
    <t>15 EBITDA</t>
  </si>
  <si>
    <t>15 OpFCF</t>
  </si>
  <si>
    <t>15 FCF</t>
  </si>
  <si>
    <t>LiLAC A shares (LILA)</t>
  </si>
  <si>
    <t>LiLAC B shares (LILAB)</t>
  </si>
  <si>
    <t>LiLAC C shares (LILAK)</t>
  </si>
  <si>
    <t>DCFs</t>
  </si>
  <si>
    <t>VTR Chile (CHP mn)</t>
  </si>
  <si>
    <t>Terminal FCF growth</t>
  </si>
  <si>
    <t>Terminal FCF multiple</t>
  </si>
  <si>
    <t>NPV FCF</t>
  </si>
  <si>
    <t>NPV TV</t>
  </si>
  <si>
    <t>Cumulative cash returns</t>
  </si>
  <si>
    <t>EBITDA multiple</t>
  </si>
  <si>
    <t>OpFCF multiple</t>
  </si>
  <si>
    <t>FCF multiple</t>
  </si>
  <si>
    <t>Liberty Puerto Rico ($ mn)</t>
  </si>
  <si>
    <t>LiLAC mutliples</t>
  </si>
  <si>
    <t>LiLAC multiples at market</t>
  </si>
  <si>
    <t>EV/Revenue</t>
  </si>
  <si>
    <t>Adjusted P/E</t>
  </si>
  <si>
    <t>EFCF yield</t>
  </si>
  <si>
    <t>Reported P/E</t>
  </si>
  <si>
    <t>LiLAC multiples at target</t>
  </si>
  <si>
    <t>Drivers</t>
  </si>
  <si>
    <t>Target LiLAC A</t>
  </si>
  <si>
    <t>Target LiLAC B</t>
  </si>
  <si>
    <t>Target LiLAC C</t>
  </si>
  <si>
    <t>Market LiLAC A</t>
  </si>
  <si>
    <t xml:space="preserve">Market LiLAC B </t>
  </si>
  <si>
    <t>Market LiLAC C</t>
  </si>
  <si>
    <t>Outst LiLAC A</t>
  </si>
  <si>
    <t>Outst LiLAC B</t>
  </si>
  <si>
    <t>Outst LiLAC C</t>
  </si>
  <si>
    <t>FCF with normalised tax</t>
  </si>
  <si>
    <t>EFCF normalised</t>
  </si>
  <si>
    <t>EV calculation @ market:</t>
  </si>
  <si>
    <t>Shares * price</t>
  </si>
  <si>
    <t>Other liabilities</t>
  </si>
  <si>
    <t>Less: associates</t>
  </si>
  <si>
    <t>Plus: minorities</t>
  </si>
  <si>
    <t>Less: tax credit</t>
  </si>
  <si>
    <t>EV @ market</t>
  </si>
  <si>
    <t>Adj market cap</t>
  </si>
  <si>
    <t>EV calculation @ target:</t>
  </si>
  <si>
    <t>Quarterlies</t>
  </si>
  <si>
    <t>LILAC Group</t>
  </si>
  <si>
    <t>US$</t>
  </si>
  <si>
    <t>Q2 15</t>
  </si>
  <si>
    <t>Q3 15</t>
  </si>
  <si>
    <t xml:space="preserve">Share based comp </t>
  </si>
  <si>
    <t>Inter-group fees</t>
  </si>
  <si>
    <t>FX charges</t>
  </si>
  <si>
    <t>Income tax</t>
  </si>
  <si>
    <t>Reported net income</t>
  </si>
  <si>
    <t>VTR + LCPR</t>
  </si>
  <si>
    <t>Acquisitions/other</t>
  </si>
  <si>
    <t>Calculated change in net debt</t>
  </si>
  <si>
    <t>Derivative contracts</t>
  </si>
  <si>
    <t>Implied net debt</t>
  </si>
  <si>
    <t xml:space="preserve">Liberty annualised Q EBITDA </t>
  </si>
  <si>
    <t>Net debt to EBITDA</t>
  </si>
  <si>
    <t>Revenue, constant FX</t>
  </si>
  <si>
    <t>EBITDA, constant FX</t>
  </si>
  <si>
    <t>Choice</t>
  </si>
  <si>
    <t>VTR</t>
  </si>
  <si>
    <t>000's</t>
  </si>
  <si>
    <t>RGU's per sub</t>
  </si>
  <si>
    <t>Net adds, 000s</t>
  </si>
  <si>
    <t>Financials, CLP bn</t>
  </si>
  <si>
    <t>ARPU</t>
  </si>
  <si>
    <t>ARPU, $</t>
  </si>
  <si>
    <t>Related party fees</t>
  </si>
  <si>
    <t>Net interest</t>
  </si>
  <si>
    <t>FX translation</t>
  </si>
  <si>
    <t>page 11 of vtr financials</t>
  </si>
  <si>
    <t>Gains on derivatives</t>
  </si>
  <si>
    <t>cash paid related to derivatives</t>
  </si>
  <si>
    <t>Net earnings</t>
  </si>
  <si>
    <t>Clean net earnings</t>
  </si>
  <si>
    <t>Implied rate (6.875%)</t>
  </si>
  <si>
    <t>Derivative contract</t>
  </si>
  <si>
    <t xml:space="preserve">Cash </t>
  </si>
  <si>
    <t>Net debt, CLP bn</t>
  </si>
  <si>
    <t>Net debt, US$m</t>
  </si>
  <si>
    <t>Effective rate, post swap</t>
  </si>
  <si>
    <t>Period end CLP/US$</t>
  </si>
  <si>
    <t>Average CLP/US$m</t>
  </si>
  <si>
    <t>VTR revenue, US$m</t>
  </si>
  <si>
    <t>VTR OCF, US$m</t>
  </si>
  <si>
    <t>VTR capex, US$m</t>
  </si>
  <si>
    <t>LCPR</t>
  </si>
  <si>
    <t>KPIs, 000s</t>
  </si>
  <si>
    <t>RGUs per customer</t>
  </si>
  <si>
    <t>Financials, US$m</t>
  </si>
  <si>
    <t>Interest</t>
  </si>
  <si>
    <t>as % net debt</t>
  </si>
  <si>
    <t>Average debt for the Q</t>
  </si>
  <si>
    <t>Pro-forma net debt to EBITDA</t>
  </si>
  <si>
    <t>Front page snap</t>
  </si>
  <si>
    <t>% diff</t>
  </si>
  <si>
    <t>y/y</t>
  </si>
  <si>
    <t>Revenue (US$m)</t>
  </si>
  <si>
    <t>y/y trends</t>
  </si>
  <si>
    <t>Chile, CLP</t>
  </si>
  <si>
    <t>Puerto Rico, US$</t>
  </si>
  <si>
    <t>LiLAC (constant FX)</t>
  </si>
  <si>
    <t>OCF, y/y</t>
  </si>
  <si>
    <t>VTR, net adds</t>
  </si>
  <si>
    <t>RGUs per unique sub, x</t>
  </si>
  <si>
    <t>ARPU, y/y</t>
  </si>
  <si>
    <t>Puerto Rico, net adds</t>
  </si>
  <si>
    <t>Market comps</t>
  </si>
  <si>
    <t>x3 revenue, y/y growth</t>
  </si>
  <si>
    <t xml:space="preserve"> - VTR</t>
  </si>
  <si>
    <t xml:space="preserve"> - TEF</t>
  </si>
  <si>
    <t xml:space="preserve">   - of which FBB, TV, other</t>
  </si>
  <si>
    <t xml:space="preserve">   - of which voice</t>
  </si>
  <si>
    <t xml:space="preserve"> - Claro</t>
  </si>
  <si>
    <t>TEF reported reg. impact on growth</t>
  </si>
  <si>
    <t>Underlying TEF, y/y</t>
  </si>
  <si>
    <t>Underlying VTR, y/y</t>
  </si>
  <si>
    <t>EBITDA, y/y growth</t>
  </si>
  <si>
    <t xml:space="preserve"> - TEF (fixed and mobile)</t>
  </si>
  <si>
    <t xml:space="preserve"> - Claro (fixed and mobile)</t>
  </si>
  <si>
    <t>Base case, US$m</t>
  </si>
  <si>
    <t>CLP/$</t>
  </si>
  <si>
    <t xml:space="preserve"> - of which Chile</t>
  </si>
  <si>
    <t xml:space="preserve"> - of which PR</t>
  </si>
  <si>
    <t>Latest FX</t>
  </si>
  <si>
    <t>EV base case</t>
  </si>
  <si>
    <t>EV new FX</t>
  </si>
  <si>
    <t>VTR debt base case</t>
  </si>
  <si>
    <t>VTR debt in $</t>
  </si>
  <si>
    <t>PR debt</t>
  </si>
  <si>
    <t>Net debt base case</t>
  </si>
  <si>
    <t>Net debt net FX</t>
  </si>
  <si>
    <t>Other liabilities/mins etc</t>
  </si>
  <si>
    <t>Equity base case</t>
  </si>
  <si>
    <t>Equity new FX</t>
  </si>
  <si>
    <t>New TP</t>
  </si>
  <si>
    <t>Consolidated P&amp;L, BS, cash flow?</t>
  </si>
  <si>
    <t>appendix f</t>
  </si>
  <si>
    <t>10q</t>
  </si>
  <si>
    <t>118 of liberty global hq</t>
  </si>
  <si>
    <t>895 less 210</t>
  </si>
  <si>
    <t>120 takes into account time value of money</t>
  </si>
  <si>
    <t>swap</t>
  </si>
  <si>
    <t>Net debt confirmed for Q2?</t>
  </si>
  <si>
    <t>3.5x pro forma</t>
  </si>
  <si>
    <t>PR</t>
  </si>
  <si>
    <t>net debt is x4 the ocf for the q</t>
  </si>
  <si>
    <t>Working capital</t>
  </si>
  <si>
    <t>positive moves in H1</t>
  </si>
  <si>
    <t>broadly should was out</t>
  </si>
  <si>
    <t>400bp of swap cost</t>
  </si>
  <si>
    <t>Cash generation in 2015?</t>
  </si>
  <si>
    <t>somewhat limited in 2015</t>
  </si>
  <si>
    <t>higher in 2014 but that was due to only one bond payment</t>
  </si>
  <si>
    <t xml:space="preserve">Liberty not a tax paying entity…? </t>
  </si>
  <si>
    <t>Like Verizon wireless in the US?</t>
  </si>
  <si>
    <t>Does it make a tax distribution/dividend to parents?</t>
  </si>
  <si>
    <t>Is this in the LiLAC cash flow?</t>
  </si>
  <si>
    <t>pass through entity. Paid out of cayman islands</t>
  </si>
  <si>
    <t>no cash taxes</t>
  </si>
  <si>
    <t>mid 30's</t>
  </si>
  <si>
    <t>$10m NOLS</t>
  </si>
  <si>
    <t xml:space="preserve">VTR </t>
  </si>
  <si>
    <t>How does the swap work from a P&amp;L perspective</t>
  </si>
  <si>
    <t>(struggling to find the implied 11% rate)</t>
  </si>
  <si>
    <t>tax leakage</t>
  </si>
  <si>
    <t>$40m of taxes</t>
  </si>
  <si>
    <t>$100m across the whole group</t>
  </si>
  <si>
    <t>$28m cash generation in H1</t>
  </si>
  <si>
    <t>tax rates increasing in chile over time</t>
  </si>
  <si>
    <t>share price?</t>
  </si>
  <si>
    <t>bank debt , private loans</t>
  </si>
  <si>
    <t>Target change</t>
  </si>
  <si>
    <t>Old</t>
  </si>
  <si>
    <t>Unde</t>
  </si>
  <si>
    <t>Liberty Global plc</t>
  </si>
  <si>
    <t>Liberty Global Gp</t>
  </si>
  <si>
    <t>LilAC Gp</t>
  </si>
  <si>
    <t>(Europe)</t>
  </si>
  <si>
    <t>(LatAm)</t>
  </si>
  <si>
    <t>LiLAC to Lib Gp</t>
  </si>
  <si>
    <t>through some sort of loan</t>
  </si>
  <si>
    <t>loan operations</t>
  </si>
  <si>
    <t>LiLAC could pay a dividend</t>
  </si>
  <si>
    <t>Would go to the LiLAC shareholders</t>
  </si>
  <si>
    <t>LiLAC can do a buy back</t>
  </si>
  <si>
    <t>$4bn buy back at pls</t>
  </si>
  <si>
    <t>All likely to happen at Europe</t>
  </si>
  <si>
    <t>2015/16</t>
  </si>
  <si>
    <t>Not specifically said no buy backs</t>
  </si>
  <si>
    <t>$1bn at June 30</t>
  </si>
  <si>
    <t>Mkt assumes $2bn, $2bn</t>
  </si>
  <si>
    <t>CWC bid</t>
  </si>
  <si>
    <t>Rec offer</t>
  </si>
  <si>
    <t>Blended</t>
  </si>
  <si>
    <t>Undisturbed</t>
  </si>
  <si>
    <t>Stock offer, £</t>
  </si>
  <si>
    <t>Divi, £</t>
  </si>
  <si>
    <t>Stock and divi, £</t>
  </si>
  <si>
    <t>CWC SHOUT</t>
  </si>
  <si>
    <t>Equity value, £</t>
  </si>
  <si>
    <t>£/$</t>
  </si>
  <si>
    <t>Equity value, $</t>
  </si>
  <si>
    <t>Net debt, $ (Mar-16)</t>
  </si>
  <si>
    <t>Pension, other</t>
  </si>
  <si>
    <t>Mins</t>
  </si>
  <si>
    <t>Implied EV/EBITDA Mar-16</t>
  </si>
  <si>
    <t>Implied EV/EBITDA Mar-17</t>
  </si>
  <si>
    <t>CWC/Colombus synergies</t>
  </si>
  <si>
    <t>Annual opex, $</t>
  </si>
  <si>
    <t>By March 2018</t>
  </si>
  <si>
    <t>after-tax</t>
  </si>
  <si>
    <t>One time capex, after-tax</t>
  </si>
  <si>
    <t>Blended offer</t>
  </si>
  <si>
    <t>Deal EV</t>
  </si>
  <si>
    <t>One-time capex saving</t>
  </si>
  <si>
    <t>EV after Colombus capex synergies</t>
  </si>
  <si>
    <t xml:space="preserve"> Mar-16</t>
  </si>
  <si>
    <t xml:space="preserve"> Mar-17</t>
  </si>
  <si>
    <t>After LiLAC synergies</t>
  </si>
  <si>
    <t>LiLAC shares issued</t>
  </si>
  <si>
    <t>% CWC bid issued in LiLAC shares</t>
  </si>
  <si>
    <t>Equity issued, in US$</t>
  </si>
  <si>
    <t>LiLAC issue price</t>
  </si>
  <si>
    <t>No of LiLAC shares to issue</t>
  </si>
  <si>
    <t>LiLAC SHOUT</t>
  </si>
  <si>
    <t>as % share count</t>
  </si>
  <si>
    <t>New LiLAC equity</t>
  </si>
  <si>
    <t>Existing debt</t>
  </si>
  <si>
    <t>Other fins</t>
  </si>
  <si>
    <t>New debt</t>
  </si>
  <si>
    <t>CWC debt</t>
  </si>
  <si>
    <t>Consol</t>
  </si>
  <si>
    <t>Prop</t>
  </si>
  <si>
    <t>CWC debt, Oct-15</t>
  </si>
  <si>
    <t>Special dividend (3p/CWC share)</t>
  </si>
  <si>
    <t>LiLAC net debt, Oct-15 *</t>
  </si>
  <si>
    <t>New net debt</t>
  </si>
  <si>
    <t xml:space="preserve"> Mar 16</t>
  </si>
  <si>
    <t xml:space="preserve"> Mar 17</t>
  </si>
  <si>
    <t xml:space="preserve"> Mar 18</t>
  </si>
  <si>
    <t xml:space="preserve"> Mar 19</t>
  </si>
  <si>
    <t xml:space="preserve"> Mar 20</t>
  </si>
  <si>
    <t>16-20e CAGR</t>
  </si>
  <si>
    <t>CWC capex</t>
  </si>
  <si>
    <t>Net debt/EBITDA (prop), YE 15</t>
  </si>
  <si>
    <t>PRO-FORMA NUMBERS</t>
  </si>
  <si>
    <t>Mar 16 for CWC corresponds to Dec 15 for LiLAC, etc etc</t>
  </si>
  <si>
    <t>Consolidated EBITDA, $m</t>
  </si>
  <si>
    <t xml:space="preserve"> Mar 16*</t>
  </si>
  <si>
    <t>CWC EBITDA</t>
  </si>
  <si>
    <t>LiLAC EBITDA</t>
  </si>
  <si>
    <t>Total EBITDA</t>
  </si>
  <si>
    <t>% growth</t>
  </si>
  <si>
    <t>New LiLAC/CWC EBITDA</t>
  </si>
  <si>
    <t>Proportionate EBITDA, $m</t>
  </si>
  <si>
    <t>Consolidated revs</t>
  </si>
  <si>
    <t>CWC revenue, $</t>
  </si>
  <si>
    <t>LiLAC revenue</t>
  </si>
  <si>
    <t>Proportionate revs</t>
  </si>
  <si>
    <t>Proportionate opex, $</t>
  </si>
  <si>
    <t>CWC opex (inc Colombus synergies)</t>
  </si>
  <si>
    <t>LiLAC opex</t>
  </si>
  <si>
    <t>Total opex</t>
  </si>
  <si>
    <t>Consolidated capex, $m</t>
  </si>
  <si>
    <t>LiLAC capex</t>
  </si>
  <si>
    <t>Total capex</t>
  </si>
  <si>
    <t>New LiLAC/CWC capex</t>
  </si>
  <si>
    <t>Proportionate capex, $m</t>
  </si>
  <si>
    <t>Consolidated OpFCF, $m</t>
  </si>
  <si>
    <t>CWC OpFCF</t>
  </si>
  <si>
    <t>LiLAC OpFCF</t>
  </si>
  <si>
    <t>Total OpFCF</t>
  </si>
  <si>
    <t>New LiLAC/CWC OpFCF</t>
  </si>
  <si>
    <t>Proportionate OpFCF, $m</t>
  </si>
  <si>
    <t>Assumed saving of CWC opex/capex</t>
  </si>
  <si>
    <t>OpeX saving</t>
  </si>
  <si>
    <t>After tax OpeX saving</t>
  </si>
  <si>
    <t>NPV cash flows</t>
  </si>
  <si>
    <t>Terminal value</t>
  </si>
  <si>
    <t>PV of terminal value</t>
  </si>
  <si>
    <t>Bid for CWC</t>
  </si>
  <si>
    <t>SHARE</t>
  </si>
  <si>
    <t>Price</t>
  </si>
  <si>
    <t>LIBA</t>
  </si>
  <si>
    <t>LIBC</t>
  </si>
  <si>
    <t>LILAC A</t>
  </si>
  <si>
    <t>LILAC C</t>
  </si>
  <si>
    <t>Low</t>
  </si>
  <si>
    <t>High</t>
  </si>
  <si>
    <t>Mid-point</t>
  </si>
  <si>
    <t>LIB shares</t>
  </si>
  <si>
    <t>Price, 10 day</t>
  </si>
  <si>
    <t>Equity, $</t>
  </si>
  <si>
    <t>FX</t>
  </si>
  <si>
    <t>Equity, £</t>
  </si>
  <si>
    <t>Per CWC share</t>
  </si>
  <si>
    <t>Recommended offer</t>
  </si>
  <si>
    <t>LBTYA</t>
  </si>
  <si>
    <t>LIBTYK</t>
  </si>
  <si>
    <t>Total shares</t>
  </si>
  <si>
    <t>plus divi</t>
  </si>
  <si>
    <t>Total offer</t>
  </si>
  <si>
    <t>Capped at</t>
  </si>
  <si>
    <t>LiLAC alternative</t>
  </si>
  <si>
    <t>LilAC shares</t>
  </si>
  <si>
    <t>can also receive new LiLAC</t>
  </si>
  <si>
    <t>LILA</t>
  </si>
  <si>
    <t>LILAK</t>
  </si>
  <si>
    <t>First dual alternative</t>
  </si>
  <si>
    <t>CHLLC (13% stake in CWC)</t>
  </si>
  <si>
    <t>Minimum</t>
  </si>
  <si>
    <t>Second dual alternative</t>
  </si>
  <si>
    <t>Clearwater, Brendan Paddick (22%) will take</t>
  </si>
  <si>
    <t>reported</t>
  </si>
  <si>
    <t>Malone</t>
  </si>
  <si>
    <t>Total shares issued</t>
  </si>
  <si>
    <t>Shares</t>
  </si>
  <si>
    <t>Price*</t>
  </si>
  <si>
    <t>% of CWC</t>
  </si>
  <si>
    <t>as % Issuing entity</t>
  </si>
  <si>
    <t>a</t>
  </si>
  <si>
    <t>b</t>
  </si>
  <si>
    <t>c</t>
  </si>
  <si>
    <t>* 10 day VWAP</t>
  </si>
  <si>
    <t>Merged</t>
  </si>
  <si>
    <t>New issued</t>
  </si>
  <si>
    <t>New SHOUT</t>
  </si>
  <si>
    <t>LILAB</t>
  </si>
  <si>
    <t xml:space="preserve">CWC/LiLAC </t>
  </si>
  <si>
    <t>Price, $</t>
  </si>
  <si>
    <t>Equity, $m</t>
  </si>
  <si>
    <t xml:space="preserve">Existing LiLAC </t>
  </si>
  <si>
    <t>Liberty shareholders</t>
  </si>
  <si>
    <t>Malone holding</t>
  </si>
  <si>
    <t>from first dual alternative</t>
  </si>
  <si>
    <t xml:space="preserve">existing holding in LiLAC (assume 84% of Bs, 2% of Cs) </t>
  </si>
  <si>
    <t>plus 67% of Malone' stake in Liberty Global B's and C's</t>
  </si>
  <si>
    <t>Clearwater/Paddick</t>
  </si>
  <si>
    <t>from second dual alternative</t>
  </si>
  <si>
    <t>CWC hold 11% stake in Liberty (page 16)?</t>
  </si>
  <si>
    <t>13% on my numbers</t>
  </si>
  <si>
    <t>"Foreign currency exchange rates"</t>
  </si>
  <si>
    <t>Average exchange rates to USD</t>
  </si>
  <si>
    <t>Q410</t>
  </si>
  <si>
    <t>Q111</t>
  </si>
  <si>
    <t>Q211</t>
  </si>
  <si>
    <t>Q311</t>
  </si>
  <si>
    <t>Q411</t>
  </si>
  <si>
    <t>Q112</t>
  </si>
  <si>
    <t>Q212</t>
  </si>
  <si>
    <t>Q312</t>
  </si>
  <si>
    <t>Q412</t>
  </si>
  <si>
    <t>Q113</t>
  </si>
  <si>
    <t>Q213</t>
  </si>
  <si>
    <t>Q313</t>
  </si>
  <si>
    <t>Q413</t>
  </si>
  <si>
    <t>Q114</t>
  </si>
  <si>
    <t>Q214</t>
  </si>
  <si>
    <t>Q314</t>
  </si>
  <si>
    <t>Q414</t>
  </si>
  <si>
    <t>Q115</t>
  </si>
  <si>
    <t>Q215</t>
  </si>
  <si>
    <t>Q315</t>
  </si>
  <si>
    <t>Q415</t>
  </si>
  <si>
    <t>Q116</t>
  </si>
  <si>
    <t>Q216</t>
  </si>
  <si>
    <t>Q316</t>
  </si>
  <si>
    <t>GBP Curncy</t>
  </si>
  <si>
    <t>EUR Curncy</t>
  </si>
  <si>
    <t>CHF Curncy</t>
  </si>
  <si>
    <t>HUF Curncy</t>
  </si>
  <si>
    <t>PLZ Curncy</t>
  </si>
  <si>
    <t>CZK Curncy</t>
  </si>
  <si>
    <t>ROL Curncy</t>
  </si>
  <si>
    <t>SKK Curncy</t>
  </si>
  <si>
    <t>CLP Curncy</t>
  </si>
  <si>
    <t>Average exchange rates to Euro</t>
  </si>
  <si>
    <t>FOREX / USD</t>
  </si>
  <si>
    <t>Average</t>
  </si>
  <si>
    <t>GBP</t>
  </si>
  <si>
    <t>Euro</t>
  </si>
  <si>
    <t>CHF</t>
  </si>
  <si>
    <t>HUF</t>
  </si>
  <si>
    <t>PLN</t>
  </si>
  <si>
    <t>CZK</t>
  </si>
  <si>
    <t>ROL</t>
  </si>
  <si>
    <t>CHP</t>
  </si>
  <si>
    <t>Spot</t>
  </si>
  <si>
    <t>FOREX / €</t>
  </si>
  <si>
    <t>Valuation</t>
  </si>
  <si>
    <t>Number of shares, A</t>
  </si>
  <si>
    <t>Average number of shares, A</t>
  </si>
  <si>
    <t>Number of shares, B</t>
  </si>
  <si>
    <t>Average number of shares, B</t>
  </si>
  <si>
    <t>Other financial liabilities</t>
  </si>
  <si>
    <t>Tax credit</t>
  </si>
  <si>
    <t>Number of shares, C</t>
  </si>
  <si>
    <t>Group forecasts</t>
  </si>
  <si>
    <t>Reported earnings</t>
  </si>
  <si>
    <t>Equity free cash flow</t>
  </si>
  <si>
    <t>Employees</t>
  </si>
  <si>
    <t>Net fixed assets</t>
  </si>
  <si>
    <t>Revenue breakdown</t>
  </si>
  <si>
    <t>Elims.</t>
  </si>
  <si>
    <t xml:space="preserve">Fixed cable revenues </t>
  </si>
  <si>
    <t xml:space="preserve">Mobile revenues </t>
  </si>
  <si>
    <t xml:space="preserve">B2B revenues </t>
  </si>
  <si>
    <t xml:space="preserve">Other revenues </t>
  </si>
  <si>
    <t>Operational data</t>
  </si>
  <si>
    <t>TV subscribers</t>
  </si>
  <si>
    <t xml:space="preserve">Telephony subscribers </t>
  </si>
  <si>
    <t>Broadband subscribers</t>
  </si>
  <si>
    <t>Basic video subscribers</t>
  </si>
  <si>
    <t>Enhanced video subscribers</t>
  </si>
  <si>
    <t>Mobile subscribers</t>
  </si>
  <si>
    <t>Debt analysis</t>
  </si>
  <si>
    <t>Bonds</t>
  </si>
  <si>
    <t>Cash &amp; equivalents</t>
  </si>
  <si>
    <t>Net interest expense</t>
  </si>
  <si>
    <t>Principal repayments</t>
  </si>
  <si>
    <t>Bank debt / EBITDA</t>
  </si>
  <si>
    <t>Gross debt / EBITDA</t>
  </si>
  <si>
    <t>Net debt / EBITDA</t>
  </si>
  <si>
    <t>EBITDA / interest</t>
  </si>
  <si>
    <t>EBITDA - Capex / interest</t>
  </si>
  <si>
    <t>EBITDA - Capex / interest + principal</t>
  </si>
  <si>
    <t>Bank debt paydown</t>
  </si>
  <si>
    <t>Total debt paydown</t>
  </si>
  <si>
    <t>Net debt reduction</t>
  </si>
  <si>
    <t>Less: Tax paid</t>
  </si>
  <si>
    <t>Less: Change in WC</t>
  </si>
  <si>
    <t>Less: Provision utilisation</t>
  </si>
  <si>
    <t>Less: Other</t>
  </si>
  <si>
    <t>Less: Dividends paid / buybacks</t>
  </si>
  <si>
    <t>Less: Acquisitions/Disposals</t>
  </si>
  <si>
    <t>Plus: Gain of early extinguishment of debt</t>
  </si>
  <si>
    <t>EFCF adjustments</t>
  </si>
  <si>
    <t>Less: NPV Tax credit</t>
  </si>
  <si>
    <t>Add: Collar adjustment</t>
  </si>
  <si>
    <t>Sum of the parts</t>
  </si>
  <si>
    <t>Multiples</t>
  </si>
  <si>
    <t>fx rate</t>
  </si>
  <si>
    <t>WACC Calculation</t>
  </si>
  <si>
    <t>Risk free rate</t>
  </si>
  <si>
    <t>Equity risk premium</t>
  </si>
  <si>
    <t>BETA</t>
  </si>
  <si>
    <t>Cost of equity (post tax)</t>
  </si>
  <si>
    <t>Debt premium</t>
  </si>
  <si>
    <t>Cost of debt (post tax)</t>
  </si>
  <si>
    <t>Debt/Equity</t>
  </si>
  <si>
    <t>WACC (post tax)</t>
  </si>
  <si>
    <t>Terminal growth rate</t>
  </si>
  <si>
    <t>Terminal exit multiple</t>
  </si>
  <si>
    <t>Cable Stats - LiLAC ($mn)</t>
  </si>
  <si>
    <t>Video subs</t>
  </si>
  <si>
    <t>Basic video subs</t>
  </si>
  <si>
    <t>Enhanced video subs</t>
  </si>
  <si>
    <t>Telephony subs</t>
  </si>
  <si>
    <t>Internet subs</t>
  </si>
  <si>
    <t xml:space="preserve">RGUs </t>
  </si>
  <si>
    <t>Residential cable revenues</t>
  </si>
  <si>
    <t>Business cable revenues</t>
  </si>
  <si>
    <t>Non-cable revenues</t>
  </si>
  <si>
    <t>Cable EBITDA</t>
  </si>
  <si>
    <t>Non-cable  EBITDA</t>
  </si>
  <si>
    <t>Cable capex</t>
  </si>
  <si>
    <t>Non-cable capex</t>
  </si>
  <si>
    <t>Cable Stats - Chile (VTR) (CHPmn)</t>
  </si>
  <si>
    <t>EBITDA, US$</t>
  </si>
  <si>
    <t>Capex, US$</t>
  </si>
  <si>
    <t>Cable Stats - Puerto Rico ($mn)</t>
  </si>
  <si>
    <t>VTR US$1.4bn</t>
  </si>
  <si>
    <t>17-20e CAGR</t>
  </si>
  <si>
    <t>EV @ target</t>
  </si>
  <si>
    <t>Votes per share</t>
  </si>
  <si>
    <t>Sole</t>
  </si>
  <si>
    <t>Beneficial joint</t>
  </si>
  <si>
    <t>Outstanding</t>
  </si>
  <si>
    <t>Malone %</t>
  </si>
  <si>
    <t>LBTYB</t>
  </si>
  <si>
    <t>LBTYK</t>
  </si>
  <si>
    <t>Votes LBTY</t>
  </si>
  <si>
    <t>LiLACA</t>
  </si>
  <si>
    <t>LiLACB</t>
  </si>
  <si>
    <t>Vote LiLAC</t>
  </si>
  <si>
    <t>CWC deal</t>
  </si>
  <si>
    <t>Total issued</t>
  </si>
  <si>
    <t>Malone gets</t>
  </si>
  <si>
    <t>PF Malone</t>
  </si>
  <si>
    <t xml:space="preserve">PF total </t>
  </si>
  <si>
    <t xml:space="preserve">Super charge LiLAC platform, game changing </t>
  </si>
  <si>
    <t>Access to submarine CWC monopoly</t>
  </si>
  <si>
    <t>Why Liberty Group involved?</t>
  </si>
  <si>
    <t>given the size of transaction..</t>
  </si>
  <si>
    <t>the solution the boards could agree on</t>
  </si>
  <si>
    <t>A spin over time, more likely than before</t>
  </si>
  <si>
    <t>Tracker?</t>
  </si>
  <si>
    <t>thought lilac is subscale, $500m OCF, bigger now</t>
  </si>
  <si>
    <t>Spin would then be board decision</t>
  </si>
  <si>
    <t>no restrictions</t>
  </si>
  <si>
    <t>Goal is still to separate Europe from region</t>
  </si>
  <si>
    <t>Proxy filed during Q1</t>
  </si>
  <si>
    <t>Synergy timing? Latest, update when deal closes. Could be earlier</t>
  </si>
  <si>
    <t>a lot of work, comes at a cost</t>
  </si>
  <si>
    <t>revenue synergies is prohibitive from the proxy filing</t>
  </si>
  <si>
    <t>Low double digit, includes synergies</t>
  </si>
  <si>
    <t>Higher synergies…at CWC/Colombus</t>
  </si>
  <si>
    <t>One big single number for synergies…</t>
  </si>
  <si>
    <t>Timings</t>
  </si>
  <si>
    <t>Proxy filings in Q1</t>
  </si>
  <si>
    <t xml:space="preserve">No overlapping </t>
  </si>
  <si>
    <t>Reg approvals, Q1/Q2</t>
  </si>
  <si>
    <t>Close the deal in Q2</t>
  </si>
  <si>
    <t xml:space="preserve"> Mar 2016</t>
  </si>
  <si>
    <t>Total consolidated</t>
  </si>
  <si>
    <t>Total proportionate</t>
  </si>
  <si>
    <t>16-21e CAGR</t>
  </si>
  <si>
    <t>EBITDA, US$m</t>
  </si>
  <si>
    <t>US carve out entities</t>
  </si>
  <si>
    <t>Synergies est</t>
  </si>
  <si>
    <t>Revenue, consol</t>
  </si>
  <si>
    <t>Revenue, prop</t>
  </si>
  <si>
    <t>EBITDA, consol</t>
  </si>
  <si>
    <t>EBITDA, prop</t>
  </si>
  <si>
    <t>Claro</t>
  </si>
  <si>
    <t>Digicel</t>
  </si>
  <si>
    <t>Movistar</t>
  </si>
  <si>
    <t>Spectrum split</t>
  </si>
  <si>
    <t>+ Movil (C&amp;W)</t>
  </si>
  <si>
    <t>PCS</t>
  </si>
  <si>
    <t>AWS</t>
  </si>
  <si>
    <t>Held by DHCAL. dispute with minority shareholder over capital call. Funded through shareholder loan</t>
  </si>
  <si>
    <t>POPs, m</t>
  </si>
  <si>
    <t>GDP/capita, $</t>
  </si>
  <si>
    <t>Pen</t>
  </si>
  <si>
    <t>Launched Dec 2008, around the same time as Claro</t>
  </si>
  <si>
    <t>DHCAL</t>
  </si>
  <si>
    <t>DHPL</t>
  </si>
  <si>
    <t>TTF Panama</t>
  </si>
  <si>
    <t>TEF</t>
  </si>
  <si>
    <t>Sold 40% of its interest through Central America (Nicaragua, Guatemala, El Sal, Panama) in 2013</t>
  </si>
  <si>
    <t>(submarine cable, Colombia)</t>
  </si>
  <si>
    <t>Trinidad &amp; Tobago</t>
  </si>
  <si>
    <t>St Vincent &amp; Gren</t>
  </si>
  <si>
    <t>No.1 cable, MVNO</t>
  </si>
  <si>
    <t>No.1 cable</t>
  </si>
  <si>
    <t>F-M, mobile 100%</t>
  </si>
  <si>
    <t>GDP, $</t>
  </si>
  <si>
    <t>Antigua*</t>
  </si>
  <si>
    <t>St Lucia*</t>
  </si>
  <si>
    <t>St Vincent &amp; Gren*</t>
  </si>
  <si>
    <t>makes up most of</t>
  </si>
  <si>
    <t>the other revenue</t>
  </si>
  <si>
    <t>T&amp;T**</t>
  </si>
  <si>
    <t>Columbus</t>
  </si>
  <si>
    <t>* recently launched markets for Columbus</t>
  </si>
  <si>
    <t xml:space="preserve">** C&amp;W forced to divest its 49% stake in T&amp;T following acquisition of Columbus. Govt owns the other 51% </t>
  </si>
  <si>
    <t xml:space="preserve">Average </t>
  </si>
  <si>
    <t>POPs, 000s</t>
  </si>
  <si>
    <t xml:space="preserve">Total </t>
  </si>
  <si>
    <t>Group, US$m</t>
  </si>
  <si>
    <t>Panama, US$m</t>
  </si>
  <si>
    <t>Mar-15</t>
  </si>
  <si>
    <t>Bahamas, US$m</t>
  </si>
  <si>
    <t>Market share</t>
  </si>
  <si>
    <t>Implied market</t>
  </si>
  <si>
    <t>growth</t>
  </si>
  <si>
    <t>US carve out</t>
  </si>
  <si>
    <t>Prop EBITDA</t>
  </si>
  <si>
    <t>Colombus + syn</t>
  </si>
  <si>
    <t>Prop revs</t>
  </si>
  <si>
    <t>Colombus networks</t>
  </si>
  <si>
    <t>FLOW</t>
  </si>
  <si>
    <t>Other CWC</t>
  </si>
  <si>
    <t>New EBITDA</t>
  </si>
  <si>
    <t>Caribbean</t>
  </si>
  <si>
    <t>Networks/LatAm</t>
  </si>
  <si>
    <t>Elims</t>
  </si>
  <si>
    <t>CWC standalone</t>
  </si>
  <si>
    <t>CWC-LiLAC</t>
  </si>
  <si>
    <t>indicates overlapping retail market</t>
  </si>
  <si>
    <t>New versus old</t>
  </si>
  <si>
    <t>NEW</t>
  </si>
  <si>
    <t>OLD</t>
  </si>
  <si>
    <t>%</t>
  </si>
  <si>
    <t>Estimates</t>
  </si>
  <si>
    <t>CAGR 16-20e</t>
  </si>
  <si>
    <t>CWC target capex</t>
  </si>
  <si>
    <t>NPV of synergies, 100%</t>
  </si>
  <si>
    <t>Proportionate NPV</t>
  </si>
  <si>
    <t>Headcount reductions</t>
  </si>
  <si>
    <t>Network, systems consolidation</t>
  </si>
  <si>
    <t>Centralising core back office, Panama/Bahamas</t>
  </si>
  <si>
    <t>Insourcing of field ops, customer service</t>
  </si>
  <si>
    <t>Property, procurement,</t>
  </si>
  <si>
    <t>Mobile pricing</t>
  </si>
  <si>
    <t>Ambition to increase pricing</t>
  </si>
  <si>
    <t>Panama, harder</t>
  </si>
  <si>
    <t>looking at the data side…mainly pre-paid</t>
  </si>
  <si>
    <t>reduce length of days for data usage</t>
  </si>
  <si>
    <t>Not much done in H1</t>
  </si>
  <si>
    <t>Jan 2014, Miami office, team looking at prices centrally</t>
  </si>
  <si>
    <t>Columbus - cable prices going up</t>
  </si>
  <si>
    <t>31st March 2015 deal close</t>
  </si>
  <si>
    <t>In duopolies, possible</t>
  </si>
  <si>
    <t>EBITDA guidance for Mar-16e</t>
  </si>
  <si>
    <t>Year 1</t>
  </si>
  <si>
    <t>3 year</t>
  </si>
  <si>
    <t>mid to high single digit revs</t>
  </si>
  <si>
    <t>significant growth at EBITDA (double digit)</t>
  </si>
  <si>
    <t>Consensus</t>
  </si>
  <si>
    <t>Largest Caribbean mobile market</t>
  </si>
  <si>
    <t>AMX entered the market, became 3 player</t>
  </si>
  <si>
    <t>AMX</t>
  </si>
  <si>
    <t>High MTRs in the market, MTRs didn't change</t>
  </si>
  <si>
    <t>AMX left</t>
  </si>
  <si>
    <t>MTRs from 9/10 to 1 US cent</t>
  </si>
  <si>
    <t>Summer of 2013, when this began. 300/350k subs, or 11%</t>
  </si>
  <si>
    <t>H1 - had 900k subs, 31% share</t>
  </si>
  <si>
    <t>EBITDA margins were c.10%</t>
  </si>
  <si>
    <t>FF: 18% in Jamaica</t>
  </si>
  <si>
    <t>Barbados, 19% minority</t>
  </si>
  <si>
    <t>Dominica, 20% mins</t>
  </si>
  <si>
    <t>Grenada, 30% mins</t>
  </si>
  <si>
    <t>St Kitts, 23%</t>
  </si>
  <si>
    <t>Today, has got to mid-20%s</t>
  </si>
  <si>
    <t>ECTEL - regulator/collective organisation covering a number of markets</t>
  </si>
  <si>
    <t>&gt;50%</t>
  </si>
  <si>
    <t>15-20%</t>
  </si>
  <si>
    <t>one of the licences, network + operational</t>
  </si>
  <si>
    <t>60% share here</t>
  </si>
  <si>
    <t>mainly DSL</t>
  </si>
  <si>
    <t>Barbados, Cayman</t>
  </si>
  <si>
    <t>100k homes passed</t>
  </si>
  <si>
    <t xml:space="preserve">  </t>
  </si>
  <si>
    <t>High-speed</t>
  </si>
  <si>
    <t>1m</t>
  </si>
  <si>
    <t>600k</t>
  </si>
  <si>
    <t>Columbus guys set up Cable Bahamas</t>
  </si>
  <si>
    <t>T&amp;T</t>
  </si>
  <si>
    <t>US carve out…revs are ex-US carve out</t>
  </si>
  <si>
    <t>Landing stations…in Florida</t>
  </si>
  <si>
    <t>Sub-sea, x3 stations</t>
  </si>
  <si>
    <t>FCC jurisdiction..takes longer</t>
  </si>
  <si>
    <t>cheap set top box, $80-90</t>
  </si>
  <si>
    <t>pops density</t>
  </si>
  <si>
    <t>ebitda</t>
  </si>
  <si>
    <t>capex</t>
  </si>
  <si>
    <t>project marlin finishing</t>
  </si>
  <si>
    <t>LTIP</t>
  </si>
  <si>
    <t>$47m, paid out to Colombus management</t>
  </si>
  <si>
    <t>Jamaica, JMD</t>
  </si>
  <si>
    <t>JMD/USD</t>
  </si>
  <si>
    <t>Note: Digicel margins</t>
  </si>
  <si>
    <t>as % LIME</t>
  </si>
  <si>
    <t>Liberty markets</t>
  </si>
  <si>
    <t>CWC-Columbus consensus</t>
  </si>
  <si>
    <t>CWC-Columbus (NSR)</t>
  </si>
  <si>
    <t>UK</t>
  </si>
  <si>
    <t>Germany</t>
  </si>
  <si>
    <t>Belgium</t>
  </si>
  <si>
    <t>Switzerland</t>
  </si>
  <si>
    <t>CWC-Columbus guidance</t>
  </si>
  <si>
    <t>LiLAC (Chile/PR)</t>
  </si>
  <si>
    <t>Digicel revenue</t>
  </si>
  <si>
    <t>Total market</t>
  </si>
  <si>
    <t xml:space="preserve"> of which mobile</t>
  </si>
  <si>
    <t xml:space="preserve"> of which BB/TV</t>
  </si>
  <si>
    <t xml:space="preserve"> of which fixed voice</t>
  </si>
  <si>
    <t xml:space="preserve"> of which managed services</t>
  </si>
  <si>
    <t xml:space="preserve">Mobile market revs </t>
  </si>
  <si>
    <t>Mobile market</t>
  </si>
  <si>
    <t>Mobile revenue</t>
  </si>
  <si>
    <t>CWC mobile revenue</t>
  </si>
  <si>
    <t>Revenue share</t>
  </si>
  <si>
    <t>CWC BB/TV</t>
  </si>
  <si>
    <t>CWC fixed voice</t>
  </si>
  <si>
    <t>CWC managed services</t>
  </si>
  <si>
    <t>Jamaica market mobile revs</t>
  </si>
  <si>
    <t>as % CWC</t>
  </si>
  <si>
    <t>Survey 2005</t>
  </si>
  <si>
    <t>Survey 2007</t>
  </si>
  <si>
    <t>Survey 2009</t>
  </si>
  <si>
    <t>Survey 2011/12</t>
  </si>
  <si>
    <t>Survey 2014</t>
  </si>
  <si>
    <t>125k</t>
  </si>
  <si>
    <t xml:space="preserve">FTTH </t>
  </si>
  <si>
    <t xml:space="preserve">HFC </t>
  </si>
  <si>
    <t>750k</t>
  </si>
  <si>
    <t>FTTC</t>
  </si>
  <si>
    <t>75k</t>
  </si>
  <si>
    <t>50k</t>
  </si>
  <si>
    <t>150k</t>
  </si>
  <si>
    <t>37k</t>
  </si>
  <si>
    <t>"close to 1m"</t>
  </si>
  <si>
    <t>LiLAC target</t>
  </si>
  <si>
    <t>`</t>
  </si>
  <si>
    <t>NPV, $m</t>
  </si>
  <si>
    <t>US$m/annum opex/capex (100%)</t>
  </si>
  <si>
    <t>Prop NPV, $m</t>
  </si>
  <si>
    <t>% combined opex/capex</t>
  </si>
  <si>
    <t>Combined synergy assumption</t>
  </si>
  <si>
    <t>Implied offer price for CWC</t>
  </si>
  <si>
    <t>deal announced</t>
  </si>
  <si>
    <t>today</t>
  </si>
  <si>
    <t>blended cwc at offer</t>
  </si>
  <si>
    <t>Total prop synergies</t>
  </si>
  <si>
    <t>CWC target opex (ex all synergies)</t>
  </si>
  <si>
    <t>Price at time</t>
  </si>
  <si>
    <t>Today</t>
  </si>
  <si>
    <t>Stake in CWC</t>
  </si>
  <si>
    <t>undisturbed, p</t>
  </si>
  <si>
    <t>accepted</t>
  </si>
  <si>
    <t>CHLLC</t>
  </si>
  <si>
    <t>shares</t>
  </si>
  <si>
    <t>price adj</t>
  </si>
  <si>
    <t>diff, p</t>
  </si>
  <si>
    <t>diff, $</t>
  </si>
  <si>
    <t>BASE CASE</t>
  </si>
  <si>
    <t>Q3 16</t>
  </si>
  <si>
    <t>Q4 16</t>
  </si>
  <si>
    <t>Constant FX growth</t>
  </si>
  <si>
    <t>Half</t>
  </si>
  <si>
    <t>Quarter</t>
  </si>
  <si>
    <t xml:space="preserve">Q3 </t>
  </si>
  <si>
    <t>ex carve out</t>
  </si>
  <si>
    <t>Interims</t>
  </si>
  <si>
    <t>BB</t>
  </si>
  <si>
    <t>Video</t>
  </si>
  <si>
    <t>Subs</t>
  </si>
  <si>
    <t>Service revs</t>
  </si>
  <si>
    <t>Jamaica the standout</t>
  </si>
  <si>
    <t>950k subs</t>
  </si>
  <si>
    <t>Panama post-paid are x4 ARPU of pre-pay</t>
  </si>
  <si>
    <t>Caribbean TV not doing as well</t>
  </si>
  <si>
    <t>illegals streaming</t>
  </si>
  <si>
    <t>delay to cloud offers</t>
  </si>
  <si>
    <t xml:space="preserve">Flow IPTV </t>
  </si>
  <si>
    <t>in Trin, Barb, Jamaica</t>
  </si>
  <si>
    <t>fixed voice underperformed</t>
  </si>
  <si>
    <t>Panama one-off revs continue to be volatile. Not chasing these deals</t>
  </si>
  <si>
    <t>55% of total managed services</t>
  </si>
  <si>
    <t>In Car</t>
  </si>
  <si>
    <t>25% of managed services is one-off</t>
  </si>
  <si>
    <t>price pressure continues</t>
  </si>
  <si>
    <t>1% growth</t>
  </si>
  <si>
    <t>Marlin</t>
  </si>
  <si>
    <t>end 2nd year approaches</t>
  </si>
  <si>
    <t>capex was 24% lower than Q2 last year</t>
  </si>
  <si>
    <t>23% of revs, down 7pp from one year ago</t>
  </si>
  <si>
    <t>panama lte</t>
  </si>
  <si>
    <t>hfc network</t>
  </si>
  <si>
    <t>ftth in bahamas, jamaica</t>
  </si>
  <si>
    <t>$135m of capex</t>
  </si>
  <si>
    <t>Costs in -line with H1</t>
  </si>
  <si>
    <t>$62m of synergies achieved on run-rate, vs $70m end-march</t>
  </si>
  <si>
    <t>best Q of EBITDA so far</t>
  </si>
  <si>
    <t>16% growth, vs 9% in Q2</t>
  </si>
  <si>
    <t>Revs softer than origina plan</t>
  </si>
  <si>
    <t>IPTV</t>
  </si>
  <si>
    <t>fixed voice weaker</t>
  </si>
  <si>
    <t>Mobile liberalisation in Bahamas</t>
  </si>
  <si>
    <t>$60m licence fee to cable bahamas</t>
  </si>
  <si>
    <t>needs to be paid, and then build a network</t>
  </si>
  <si>
    <t>building a new co, not clear it's been set up yet</t>
  </si>
  <si>
    <t>Conf call</t>
  </si>
  <si>
    <t>launched IPTV</t>
  </si>
  <si>
    <t>%85 is US$</t>
  </si>
  <si>
    <t>10% is Jamaican dollar</t>
  </si>
  <si>
    <t>rest is peso, other</t>
  </si>
  <si>
    <t>14% consequential revs growth to hit consensus</t>
  </si>
  <si>
    <t>EBITDA, 9% sequential</t>
  </si>
  <si>
    <t>Legacy CWC</t>
  </si>
  <si>
    <t>Legacy Colombus</t>
  </si>
  <si>
    <t>Reported revenue</t>
  </si>
  <si>
    <t>Reported revs</t>
  </si>
  <si>
    <t>Discussion with IR</t>
  </si>
  <si>
    <t>Equipment/other</t>
  </si>
  <si>
    <t>y/y service revs</t>
  </si>
  <si>
    <t>Q4 15</t>
  </si>
  <si>
    <t>Total RGUs (ex mobile)</t>
  </si>
  <si>
    <t>Total RGUs (inc mobile)</t>
  </si>
  <si>
    <t>B2B/other revenues (NSR(E))</t>
  </si>
  <si>
    <t>B2B/other revenues (NSR(E)) YoY</t>
  </si>
  <si>
    <t>B2B/other revenues (NSR(E)) % total</t>
  </si>
  <si>
    <t>Deal close Monday 16th</t>
  </si>
  <si>
    <t>Management announcements?</t>
  </si>
  <si>
    <t>nothing yet</t>
  </si>
  <si>
    <t>shares trade shortly thereafter</t>
  </si>
  <si>
    <t>don't expect anything</t>
  </si>
  <si>
    <t>Reporting?</t>
  </si>
  <si>
    <t>Q2 will include a month and a half of CWC</t>
  </si>
  <si>
    <t>will need to migrate IFRS to US GAAP</t>
  </si>
  <si>
    <t>LiLAC will represent 100% of LiLAC/CWC</t>
  </si>
  <si>
    <t>not clear what the plan is for communication</t>
  </si>
  <si>
    <t>free in theory from May 16th</t>
  </si>
  <si>
    <t>Q1 16</t>
  </si>
  <si>
    <t>when spun off, mid to high single digit</t>
  </si>
  <si>
    <t>OCF growth of 5-7% for 2016 reaffirmed. From FY results</t>
  </si>
  <si>
    <t>Pre Q1 16 chat</t>
  </si>
  <si>
    <t xml:space="preserve">LiLAC </t>
  </si>
  <si>
    <t>200k new build</t>
  </si>
  <si>
    <t>Spin</t>
  </si>
  <si>
    <t>1/ fully distributed and traded public vehicle</t>
  </si>
  <si>
    <t>2/ own identity</t>
  </si>
  <si>
    <t>tracker accomplishes half of this</t>
  </si>
  <si>
    <t>liquidity, free float</t>
  </si>
  <si>
    <t>a lot to add once control of the business</t>
  </si>
  <si>
    <t>unable to do much</t>
  </si>
  <si>
    <t>early to set the ship sailing soon</t>
  </si>
  <si>
    <t xml:space="preserve">distributing tracker shares is the easier thing to do. </t>
  </si>
  <si>
    <t>Good interim step</t>
  </si>
  <si>
    <t>like the idea of a clean one step transaction, although possible to do in a staggered amount</t>
  </si>
  <si>
    <t>synergies to be comfortably above $125m per annum</t>
  </si>
  <si>
    <t>mirror lib global shares for distribution</t>
  </si>
  <si>
    <t>seeing people leaving the island</t>
  </si>
  <si>
    <t>operationally, churn under control</t>
  </si>
  <si>
    <t>price increases applied last month</t>
  </si>
  <si>
    <t>Choice acquisition going well</t>
  </si>
  <si>
    <t>rebranding to liberty global across the island</t>
  </si>
  <si>
    <t>SEK/$</t>
  </si>
  <si>
    <t>Prop debt</t>
  </si>
  <si>
    <t>less associates</t>
  </si>
  <si>
    <t>other liabilities</t>
  </si>
  <si>
    <t>Cumulative interest</t>
  </si>
  <si>
    <t>Cash component</t>
  </si>
  <si>
    <t>Stock</t>
  </si>
  <si>
    <t>Take-out multiple</t>
  </si>
  <si>
    <t>Premium</t>
  </si>
  <si>
    <t>Millicom prop debt</t>
  </si>
  <si>
    <t>New prop net debt</t>
  </si>
  <si>
    <t>LiLAC prop EBITDA</t>
  </si>
  <si>
    <t>Millicom prop EBITDA</t>
  </si>
  <si>
    <t>New prop EBITDA</t>
  </si>
  <si>
    <t>LiLAC current prop net debt</t>
  </si>
  <si>
    <t>Cash for equity</t>
  </si>
  <si>
    <t>Equity issuance</t>
  </si>
  <si>
    <t>Take-out price, SEK</t>
  </si>
  <si>
    <t>Equity, SEKm</t>
  </si>
  <si>
    <t>Current price, SEK</t>
  </si>
  <si>
    <t>Stock issuance as % LiLAC equity</t>
  </si>
  <si>
    <t>16-19e</t>
  </si>
  <si>
    <t>Post Q1 16 CWC chat</t>
  </si>
  <si>
    <t>C&amp;W selling 49% in T&amp;T. How is this going?</t>
  </si>
  <si>
    <t>Is CWC the incument DSL provider in all these markets?</t>
  </si>
  <si>
    <t>Is there competing infrastructure to Networks?</t>
  </si>
  <si>
    <t>Trinidad</t>
  </si>
  <si>
    <t>Plant design</t>
  </si>
  <si>
    <t>HFC</t>
  </si>
  <si>
    <t>FTTH</t>
  </si>
  <si>
    <t>Market positioning</t>
  </si>
  <si>
    <t>Video penetration</t>
  </si>
  <si>
    <t>Total homes</t>
  </si>
  <si>
    <t>Passed as % total</t>
  </si>
  <si>
    <t>FTTH households</t>
  </si>
  <si>
    <t>Logic One (Jamaica no 3)</t>
  </si>
  <si>
    <t>Launched end March 2016</t>
  </si>
  <si>
    <t>Digicel bought Telstar in 2014 in Jamaica</t>
  </si>
  <si>
    <t>UTS is the govt fixed/mobile incumbent</t>
  </si>
  <si>
    <t>Digicel has no/v limited fixed</t>
  </si>
  <si>
    <t>C&amp;W needs to sell its 49% stake in incumbent TSTT</t>
  </si>
  <si>
    <t>T&amp;T*</t>
  </si>
  <si>
    <t>Turks/Caicos</t>
  </si>
  <si>
    <t>St Vin/Gren</t>
  </si>
  <si>
    <t>Caymans</t>
  </si>
  <si>
    <t>St Kitts</t>
  </si>
  <si>
    <t>FTTH/VDSL</t>
  </si>
  <si>
    <t>12/8</t>
  </si>
  <si>
    <t>Incumbent CWC?</t>
  </si>
  <si>
    <t>Y*</t>
  </si>
  <si>
    <t>Y</t>
  </si>
  <si>
    <t>Homes passed HFC/FTTH/FTC</t>
  </si>
  <si>
    <t>Digicel rolling out in Jamaica?</t>
  </si>
  <si>
    <t>BB and TV penetration?</t>
  </si>
  <si>
    <t>Homes passed outside (and pen of HH) of Colombus for FTTH/FTC/HFC</t>
  </si>
  <si>
    <t>Recent results</t>
  </si>
  <si>
    <t>Service revs growth of 1% reported, 3% underlying. Why not better?</t>
  </si>
  <si>
    <t>Has LIME been rebranded FLOW in all countries?</t>
  </si>
  <si>
    <t>So to be clear fixed voice/DSL now branded FLOW?</t>
  </si>
  <si>
    <t>Longer-term guidance still mid to high single digit?</t>
  </si>
  <si>
    <t>to check, is slide 13 in nov 14 pressie just Colombus homes passed?</t>
  </si>
  <si>
    <t>where, if anywhere, is CWC's existing fiber (FTTH) footprint?</t>
  </si>
  <si>
    <t>What are we seeing from Digicel elsewhere?</t>
  </si>
  <si>
    <t>What was ECTEL/other regulatory body's view of deal?</t>
  </si>
  <si>
    <t>Why no issues in Jamaica, other Columbus markets</t>
  </si>
  <si>
    <t>revs</t>
  </si>
  <si>
    <t>12-13%</t>
  </si>
  <si>
    <t>&lt;10%</t>
  </si>
  <si>
    <t>$700</t>
  </si>
  <si>
    <t>$200</t>
  </si>
  <si>
    <t>wholesale</t>
  </si>
  <si>
    <t>other islands</t>
  </si>
  <si>
    <t>seychelles</t>
  </si>
  <si>
    <t>$50</t>
  </si>
  <si>
    <t>$450</t>
  </si>
  <si>
    <t>50% across group</t>
  </si>
  <si>
    <t>50-60%</t>
  </si>
  <si>
    <t>the majority of FTTH, income levels</t>
  </si>
  <si>
    <t>CWC is the no 1</t>
  </si>
  <si>
    <t>Digicel is rolling out. Passed 90k homes</t>
  </si>
  <si>
    <t>33k across jamaica, barbados, trinidad</t>
  </si>
  <si>
    <t>This is where the HFC comes from at CWC</t>
  </si>
  <si>
    <t>110k of 265k are now 2-way</t>
  </si>
  <si>
    <t>rest to be upgraded</t>
  </si>
  <si>
    <t>Cable Onda the main competitor</t>
  </si>
  <si>
    <t>Acquisition would be challenging</t>
  </si>
  <si>
    <t>265k homes passed with HFC start of year, one-way (TV only)</t>
  </si>
  <si>
    <t>Mainly Columbus</t>
  </si>
  <si>
    <t>280k HFC , 10k are one-way</t>
  </si>
  <si>
    <t>310k 2-way</t>
  </si>
  <si>
    <t>not Trinidad, not Curacao, not Antigua</t>
  </si>
  <si>
    <t>900k total homes in the country, 700k are addressable</t>
  </si>
  <si>
    <t>Digicel only competitor</t>
  </si>
  <si>
    <t>136k homes</t>
  </si>
  <si>
    <t>total homes of 340k</t>
  </si>
  <si>
    <t>Digicel also..</t>
  </si>
  <si>
    <t>10k FTTH</t>
  </si>
  <si>
    <t>160-170k are one-way</t>
  </si>
  <si>
    <t>was meant to be done by 2016</t>
  </si>
  <si>
    <t>need to sell some assets in Barbados</t>
  </si>
  <si>
    <t>approvals needed in some markets</t>
  </si>
  <si>
    <t>some network issues in Trinidad</t>
  </si>
  <si>
    <t>good box, good experience</t>
  </si>
  <si>
    <t>different business to selling mobile homes</t>
  </si>
  <si>
    <t>CWC has Prem League, NFL…they have NBA</t>
  </si>
  <si>
    <t>Digicel customers can get the package..</t>
  </si>
  <si>
    <t>FLOW across the island, except Panama and Bahamas</t>
  </si>
  <si>
    <t>Wireless, wireline, on the consumer side</t>
  </si>
  <si>
    <t>Nobody has the connectivity. US to Colombia - number of options</t>
  </si>
  <si>
    <t>B2B - onnet vs offnet, 95% is on our network</t>
  </si>
  <si>
    <t>Jamaica, Haiti + others</t>
  </si>
  <si>
    <t>Digicel…a key customer, but not the largest</t>
  </si>
  <si>
    <t>most of the revs is submarine</t>
  </si>
  <si>
    <t>CWC guidance, yes</t>
  </si>
  <si>
    <t>8 months into a massive deal</t>
  </si>
  <si>
    <t>Management</t>
  </si>
  <si>
    <t>CFO - Chris Noyes</t>
  </si>
  <si>
    <t>Numbers</t>
  </si>
  <si>
    <t>Liberty Q2 - 6 weeks of CWC-LiLAC</t>
  </si>
  <si>
    <t>Q2 16e</t>
  </si>
  <si>
    <t>Q4 16e</t>
  </si>
  <si>
    <t>New Caribbean</t>
  </si>
  <si>
    <t>New vs old numbers</t>
  </si>
  <si>
    <t>Pro-forma quarts (consolidated basis)</t>
  </si>
  <si>
    <t>HP</t>
  </si>
  <si>
    <t>% passed</t>
  </si>
  <si>
    <t>Barbados*</t>
  </si>
  <si>
    <t>* Passed homes in planning</t>
  </si>
  <si>
    <t>BB pen</t>
  </si>
  <si>
    <t>TV pen</t>
  </si>
  <si>
    <t>HH</t>
  </si>
  <si>
    <t>Total homes passed (Dec-15, group)</t>
  </si>
  <si>
    <t>Added in H1</t>
  </si>
  <si>
    <t xml:space="preserve">Added in Q3 </t>
  </si>
  <si>
    <t>FLOW IPTV</t>
  </si>
  <si>
    <t>Summaries</t>
  </si>
  <si>
    <t>Yes</t>
  </si>
  <si>
    <t>Not as of Nov 15</t>
  </si>
  <si>
    <t>Turks and Caicos</t>
  </si>
  <si>
    <t>Target multiple</t>
  </si>
  <si>
    <t>Other revs</t>
  </si>
  <si>
    <t>Target EV</t>
  </si>
  <si>
    <t>Old LiLAC</t>
  </si>
  <si>
    <t>Total Old CWC</t>
  </si>
  <si>
    <t>Total old LiLAC</t>
  </si>
  <si>
    <t>Q4 (Dec 15)</t>
  </si>
  <si>
    <t>Total pre-synergies</t>
  </si>
  <si>
    <t>Annualised</t>
  </si>
  <si>
    <t>plus synergies</t>
  </si>
  <si>
    <t>Cash flow deferred tax adj</t>
  </si>
  <si>
    <t>Cash tax (negative is gain)</t>
  </si>
  <si>
    <t>"Net cash paid for taxes"</t>
  </si>
  <si>
    <t>Depr, impairment</t>
  </si>
  <si>
    <t>as % PBT</t>
  </si>
  <si>
    <t>check</t>
  </si>
  <si>
    <t>Average cost of debt</t>
  </si>
  <si>
    <t>What's Digicel doing?</t>
  </si>
  <si>
    <t>Launched LTE in Jamaica early June. $50m spend on the network upgrade</t>
  </si>
  <si>
    <t>1.3m of 2.0m customers have smartphone</t>
  </si>
  <si>
    <t>Caricel new in the market</t>
  </si>
  <si>
    <t>Using 700 MHz spectrum acquired in 2014</t>
  </si>
  <si>
    <t>Owned by Symbiote Investments Limited</t>
  </si>
  <si>
    <t>Invested $1bn in Jamaica since 2001</t>
  </si>
  <si>
    <t>Texts</t>
  </si>
  <si>
    <t>GB</t>
  </si>
  <si>
    <t>JMD</t>
  </si>
  <si>
    <t>$</t>
  </si>
  <si>
    <t>Post-paid</t>
  </si>
  <si>
    <t>Pre-pay</t>
  </si>
  <si>
    <t>MB</t>
  </si>
  <si>
    <t>Days</t>
  </si>
  <si>
    <t>local</t>
  </si>
  <si>
    <t>anywhere</t>
  </si>
  <si>
    <t>total</t>
  </si>
  <si>
    <t>Base</t>
  </si>
  <si>
    <t>cost</t>
  </si>
  <si>
    <t>Homes</t>
  </si>
  <si>
    <t>Caribbean (new)</t>
  </si>
  <si>
    <t>Total adds</t>
  </si>
  <si>
    <t>Broadband subs</t>
  </si>
  <si>
    <t>Total service revs</t>
  </si>
  <si>
    <t>Total BB service revs</t>
  </si>
  <si>
    <t>Total TV service revs</t>
  </si>
  <si>
    <t>Cal Q4 15</t>
  </si>
  <si>
    <t>16-20e</t>
  </si>
  <si>
    <t>Caribbean ex-Jamaica</t>
  </si>
  <si>
    <t>Fixed voice subs</t>
  </si>
  <si>
    <t xml:space="preserve"> - of which legacy Columbus</t>
  </si>
  <si>
    <t xml:space="preserve"> - of which legacy CWC</t>
  </si>
  <si>
    <t>Fixed voice service revs</t>
  </si>
  <si>
    <t>Total Caribbean</t>
  </si>
  <si>
    <t>HP (FTTH)</t>
  </si>
  <si>
    <t>"Play" launch</t>
  </si>
  <si>
    <t>RGU/sub</t>
  </si>
  <si>
    <t>Digicel Play</t>
  </si>
  <si>
    <t>Loud</t>
  </si>
  <si>
    <t>Bold</t>
  </si>
  <si>
    <t>Strong</t>
  </si>
  <si>
    <t>Big</t>
  </si>
  <si>
    <t>Data speed</t>
  </si>
  <si>
    <t>Fast</t>
  </si>
  <si>
    <t>TV channels</t>
  </si>
  <si>
    <t>Phone</t>
  </si>
  <si>
    <t>Essential</t>
  </si>
  <si>
    <t>Plus</t>
  </si>
  <si>
    <t>Max</t>
  </si>
  <si>
    <t>Watch All</t>
  </si>
  <si>
    <t>&lt;20</t>
  </si>
  <si>
    <t>FLOW bundles</t>
  </si>
  <si>
    <t>100 mins</t>
  </si>
  <si>
    <t>Voice</t>
  </si>
  <si>
    <t>Price, JMD</t>
  </si>
  <si>
    <t>Price, US$</t>
  </si>
  <si>
    <t>to any landline</t>
  </si>
  <si>
    <t>unlimited calls</t>
  </si>
  <si>
    <t xml:space="preserve">to Digicel, </t>
  </si>
  <si>
    <t>200 mins off-net</t>
  </si>
  <si>
    <t>Mark - head of IR</t>
  </si>
  <si>
    <t>Sept 15 start</t>
  </si>
  <si>
    <t>Denis said - FTTH (CLAC strategy)</t>
  </si>
  <si>
    <t>efficient, fast roll-out</t>
  </si>
  <si>
    <t>Last nine months - capex acceleration, liberty focusing on integration</t>
  </si>
  <si>
    <t>FTTH, across the electricity poles</t>
  </si>
  <si>
    <t>affluent suburbs, Kingston and</t>
  </si>
  <si>
    <t>MDUs are 15% of the opportunity</t>
  </si>
  <si>
    <t>Incumbent network poor in 3 main islands</t>
  </si>
  <si>
    <t>Launch slightly later</t>
  </si>
  <si>
    <t>400k homes by YE</t>
  </si>
  <si>
    <t>500k by Mar next year</t>
  </si>
  <si>
    <t>only 3 islands planning on rolling out to</t>
  </si>
  <si>
    <t>competing on quality…should be better than HFC</t>
  </si>
  <si>
    <t>FLOW up to 20 Mbps for customers, off-peak times</t>
  </si>
  <si>
    <t xml:space="preserve">increased prices recently </t>
  </si>
  <si>
    <t>some rights issues</t>
  </si>
  <si>
    <t>good, sometimes better content</t>
  </si>
  <si>
    <t>ARPU will ramp up</t>
  </si>
  <si>
    <t>$60-70 - close to FLOW offerings</t>
  </si>
  <si>
    <t>450-500 unique users for CWC</t>
  </si>
  <si>
    <t>Digicel looking for 40% penetration</t>
  </si>
  <si>
    <t>70% from FLOW, balance is new to cable</t>
  </si>
  <si>
    <t>Liberty</t>
  </si>
  <si>
    <t>rolling out Horizon box across the region</t>
  </si>
  <si>
    <t>Digicel have wrapped up most of the Content for 3-4 years</t>
  </si>
  <si>
    <t>FLOW have Barclays Prem - but Digicel get several top games per week</t>
  </si>
  <si>
    <t>basketball, baseball, NFL, cricket</t>
  </si>
  <si>
    <t>don't expect aggressive price cuts</t>
  </si>
  <si>
    <t xml:space="preserve">Project Marlin </t>
  </si>
  <si>
    <t>Digicel margins close to 42/43%.</t>
  </si>
  <si>
    <t>Play</t>
  </si>
  <si>
    <t>Some teething problems</t>
  </si>
  <si>
    <t>Postal code issues, for instance</t>
  </si>
  <si>
    <t>door to door selling</t>
  </si>
  <si>
    <t>25/50 Mbps guaranteed</t>
  </si>
  <si>
    <t>$500 to pass a homes</t>
  </si>
  <si>
    <t>$450 to connect</t>
  </si>
  <si>
    <t>50% is the kit, 50% otherwise</t>
  </si>
  <si>
    <t>Digicel box</t>
  </si>
  <si>
    <t>Hired a guy from SKY to design interface</t>
  </si>
  <si>
    <t>User interface very good</t>
  </si>
  <si>
    <t>Wireless</t>
  </si>
  <si>
    <t>96% pre-paid</t>
  </si>
  <si>
    <t>IPO - nothing on the cards</t>
  </si>
  <si>
    <t>markets terrible</t>
  </si>
  <si>
    <t>Digicel (June 27 chat)</t>
  </si>
  <si>
    <t>CHANGE</t>
  </si>
  <si>
    <t>Split of revs</t>
  </si>
  <si>
    <t>Proportionate</t>
  </si>
  <si>
    <t>Mobile, USD m</t>
  </si>
  <si>
    <t>Equipment revs</t>
  </si>
  <si>
    <t>By country</t>
  </si>
  <si>
    <t>Other Caribbean</t>
  </si>
  <si>
    <t>Millicom</t>
  </si>
  <si>
    <t>Fair value EV, $</t>
  </si>
  <si>
    <t>Notes</t>
  </si>
  <si>
    <t>Most likely target. Fair value is ex-minorities</t>
  </si>
  <si>
    <t>Megacable</t>
  </si>
  <si>
    <t>Bid would likely flush out Televisa</t>
  </si>
  <si>
    <t>Televisa cable</t>
  </si>
  <si>
    <t>Won't sell at current stage in capex cycle</t>
  </si>
  <si>
    <t>Cablevision</t>
  </si>
  <si>
    <t>Country/region</t>
  </si>
  <si>
    <t>LatAm, Africa</t>
  </si>
  <si>
    <t>Mexico</t>
  </si>
  <si>
    <t>Argentina</t>
  </si>
  <si>
    <t>Owned by PE. Unlikely to sell now, TEO merger poss</t>
  </si>
  <si>
    <t>Value includes Clarin's Ad business/other</t>
  </si>
  <si>
    <t>Millicom EFCF</t>
  </si>
  <si>
    <t>LiLAC EFCF</t>
  </si>
  <si>
    <t>EFCF/share</t>
  </si>
  <si>
    <t>Assumed issuance price</t>
  </si>
  <si>
    <t>No of shares issued</t>
  </si>
  <si>
    <t>LiLAC-Millicom EFCF</t>
  </si>
  <si>
    <t>Taxed interest</t>
  </si>
  <si>
    <t>EFCF per share</t>
  </si>
  <si>
    <t>Post-tax interest</t>
  </si>
  <si>
    <t>Rate of interest</t>
  </si>
  <si>
    <t>LILAC share count</t>
  </si>
  <si>
    <t>New EFCF per share</t>
  </si>
  <si>
    <t>accretion (+ve)/dilution (-ve)</t>
  </si>
  <si>
    <t>Current LiLAC EFCF</t>
  </si>
  <si>
    <t>Top 5 markets</t>
  </si>
  <si>
    <t>Total CWC</t>
  </si>
  <si>
    <t>Total Group</t>
  </si>
  <si>
    <t>HFC/FTTH</t>
  </si>
  <si>
    <t>ADSL</t>
  </si>
  <si>
    <t>VDSL</t>
  </si>
  <si>
    <t>Total BB</t>
  </si>
  <si>
    <t>passed</t>
  </si>
  <si>
    <t>(consol)</t>
  </si>
  <si>
    <t xml:space="preserve">% CWC revs </t>
  </si>
  <si>
    <t>one directional</t>
  </si>
  <si>
    <t>Synergies (prop)</t>
  </si>
  <si>
    <t>Prop opex</t>
  </si>
  <si>
    <t>Prop capex</t>
  </si>
  <si>
    <t>Combined opex/capex</t>
  </si>
  <si>
    <t>Savings as %</t>
  </si>
  <si>
    <t>Savings</t>
  </si>
  <si>
    <t>NPV of CFs</t>
  </si>
  <si>
    <t>PV of TV</t>
  </si>
  <si>
    <t>Post-tax</t>
  </si>
  <si>
    <t>Synergies NPV</t>
  </si>
  <si>
    <t>Adjusted EV/EBITDA take-out multiple</t>
  </si>
  <si>
    <t xml:space="preserve">16-20e </t>
  </si>
  <si>
    <t>Liberty Global</t>
  </si>
  <si>
    <t>PROPORTIONATE REVENUE BY PRODUCT TYPE (MAR-16E)</t>
  </si>
  <si>
    <t>PROPORTIONATE REVENUE BY GEOGRAPHY (MAR-16E)</t>
  </si>
  <si>
    <t>Capex for LiLAC</t>
  </si>
  <si>
    <t>Property &amp; equipment additions</t>
  </si>
  <si>
    <t>Adjs</t>
  </si>
  <si>
    <t xml:space="preserve">Capex </t>
  </si>
  <si>
    <t>PR, US$m</t>
  </si>
  <si>
    <t>VTR, US$m</t>
  </si>
  <si>
    <t>VTR, CLPm</t>
  </si>
  <si>
    <t>Total LiLAC</t>
  </si>
  <si>
    <t>as % revs</t>
  </si>
  <si>
    <t>cash basis</t>
  </si>
  <si>
    <t>accrued</t>
  </si>
  <si>
    <t>guidance on a cash basis</t>
  </si>
  <si>
    <t>financed under capital leases, added to PPE when underlying assets delivered</t>
  </si>
  <si>
    <t>LiLAC disclosed (press release)</t>
  </si>
  <si>
    <t>Revenue, US$m</t>
  </si>
  <si>
    <t>Res</t>
  </si>
  <si>
    <t>Comm</t>
  </si>
  <si>
    <t>Residential</t>
  </si>
  <si>
    <t>Commercial</t>
  </si>
  <si>
    <t>ASEP (Panama)</t>
  </si>
  <si>
    <t>Cable</t>
  </si>
  <si>
    <t>Focused on TV</t>
  </si>
  <si>
    <t>Copper/ADSL business, with organic HFC deployment which started in late 2009</t>
  </si>
  <si>
    <t>Converting lines to bi-directional</t>
  </si>
  <si>
    <t>Has 30k DTH subs also</t>
  </si>
  <si>
    <t xml:space="preserve"> - of which ADSL</t>
  </si>
  <si>
    <t xml:space="preserve"> - of which HFC</t>
  </si>
  <si>
    <t>Appears to have very limited HFC BB subs</t>
  </si>
  <si>
    <t>URCA (Bahamas)</t>
  </si>
  <si>
    <t>Fixed BB subs</t>
  </si>
  <si>
    <t>penetration of POPs</t>
  </si>
  <si>
    <t>Implied POPs</t>
  </si>
  <si>
    <t>Total pay TV</t>
  </si>
  <si>
    <t>Fixed line voice subs</t>
  </si>
  <si>
    <t>CWC as % total</t>
  </si>
  <si>
    <t>CWC BB</t>
  </si>
  <si>
    <t>market share as %</t>
  </si>
  <si>
    <t xml:space="preserve">as % </t>
  </si>
  <si>
    <t>Corporate</t>
  </si>
  <si>
    <t>post-paid</t>
  </si>
  <si>
    <t>pre</t>
  </si>
  <si>
    <t>BB subs (&gt;256 kbs)</t>
  </si>
  <si>
    <t>as % BB market</t>
  </si>
  <si>
    <t>Initial</t>
  </si>
  <si>
    <t>Issued for CWC</t>
  </si>
  <si>
    <t>Current</t>
  </si>
  <si>
    <t>Malone stake</t>
  </si>
  <si>
    <t>Vote</t>
  </si>
  <si>
    <t>-</t>
  </si>
  <si>
    <t>Total vote</t>
  </si>
  <si>
    <t>LiLACC</t>
  </si>
  <si>
    <t>Economic</t>
  </si>
  <si>
    <t>Malone +</t>
  </si>
  <si>
    <t>Pre-distr.</t>
  </si>
  <si>
    <t>LiLAC distr.</t>
  </si>
  <si>
    <t>Cable Bahamas</t>
  </si>
  <si>
    <t>ST debt</t>
  </si>
  <si>
    <t>LT debt</t>
  </si>
  <si>
    <t>B$/USD</t>
  </si>
  <si>
    <t>NewCo must cover 99 per cent of New Providence’s population, and 80 per cent of Grand Bahama’s, within three months of its launch, and reach 75 per cent of Abaco, Exuma, Eleuthera, Bimini and Andros in six months.</t>
  </si>
  <si>
    <t>Debt</t>
  </si>
  <si>
    <t>Table for results</t>
  </si>
  <si>
    <t>margin</t>
  </si>
  <si>
    <t>FX/acq adjusted revenue</t>
  </si>
  <si>
    <t>Annual run rate</t>
  </si>
  <si>
    <t>6m to Sept-15</t>
  </si>
  <si>
    <t>Quarterly contribution</t>
  </si>
  <si>
    <t xml:space="preserve">US$m </t>
  </si>
  <si>
    <t>Networks/Latam</t>
  </si>
  <si>
    <t>H1 16</t>
  </si>
  <si>
    <t>H2 16</t>
  </si>
  <si>
    <t>y/y, reported</t>
  </si>
  <si>
    <t>lower growth</t>
  </si>
  <si>
    <t>Full year disclosure</t>
  </si>
  <si>
    <t>Trinidad and Tobago</t>
  </si>
  <si>
    <t>Other/elims</t>
  </si>
  <si>
    <t>Market voice lines</t>
  </si>
  <si>
    <t>Voice lines</t>
  </si>
  <si>
    <t>Internet</t>
  </si>
  <si>
    <t>Implied residential</t>
  </si>
  <si>
    <t>Implied corporate</t>
  </si>
  <si>
    <t>Colombus Networks</t>
  </si>
  <si>
    <t>Total ex-carve out</t>
  </si>
  <si>
    <t>Corporate EBITDA</t>
  </si>
  <si>
    <t xml:space="preserve"> of which equipment</t>
  </si>
  <si>
    <t>Summary quarts</t>
  </si>
  <si>
    <t>EBITDA ex-synergies</t>
  </si>
  <si>
    <t>Group CWC EBITDA</t>
  </si>
  <si>
    <t>Group CWC revenue</t>
  </si>
  <si>
    <t>EBITDA ex-synergy</t>
  </si>
  <si>
    <t>% marginn</t>
  </si>
  <si>
    <t>Other capex</t>
  </si>
  <si>
    <t>Annualised synergies</t>
  </si>
  <si>
    <t>per Q</t>
  </si>
  <si>
    <t>margin ex-synergies</t>
  </si>
  <si>
    <t>y/y margin step up</t>
  </si>
  <si>
    <t>LiLA US</t>
  </si>
  <si>
    <t xml:space="preserve">Old </t>
  </si>
  <si>
    <t>New numbers (post CWC fiscal 2016, pre LiLAC Q2)</t>
  </si>
  <si>
    <t>Proportionate EV</t>
  </si>
  <si>
    <t>Proportionate EV/EBITDA</t>
  </si>
  <si>
    <t>CWC (IFRS)</t>
  </si>
  <si>
    <t>Jamaica/implied Caribbean, USD</t>
  </si>
  <si>
    <t>Implied Caribbean</t>
  </si>
  <si>
    <t>Total Jamaica revenue, $</t>
  </si>
  <si>
    <t>LiLAC (US GAAP)</t>
  </si>
  <si>
    <t>Q2 16</t>
  </si>
  <si>
    <t>Total homes passed</t>
  </si>
  <si>
    <t>2-way</t>
  </si>
  <si>
    <t>Implied ADSL</t>
  </si>
  <si>
    <t>rep</t>
  </si>
  <si>
    <t>Jun-16 act</t>
  </si>
  <si>
    <t>Implied CWC</t>
  </si>
  <si>
    <t>Implied change</t>
  </si>
  <si>
    <t>Q2 2016</t>
  </si>
  <si>
    <t>Revenue (rep)</t>
  </si>
  <si>
    <t>Revenue pro-forma</t>
  </si>
  <si>
    <t>EBITDA (rep)</t>
  </si>
  <si>
    <t>Capex (rep)</t>
  </si>
  <si>
    <t xml:space="preserve"> of which </t>
  </si>
  <si>
    <t>Chile/PR</t>
  </si>
  <si>
    <t>CWC (rep)</t>
  </si>
  <si>
    <t>Service revenue</t>
  </si>
  <si>
    <t>CWC (adj, FX)</t>
  </si>
  <si>
    <t>LiLAC (adj, FX)</t>
  </si>
  <si>
    <t>EBITDA margins</t>
  </si>
  <si>
    <t>EBITDA pro-forma</t>
  </si>
  <si>
    <t>Post Q2 16</t>
  </si>
  <si>
    <t>200m</t>
  </si>
  <si>
    <t>proforma</t>
  </si>
  <si>
    <t>former q2 15</t>
  </si>
  <si>
    <t>could be more of a difference in other quarters</t>
  </si>
  <si>
    <t>$460-480m in H2</t>
  </si>
  <si>
    <t>top line and costs</t>
  </si>
  <si>
    <t>march of $87m, didn't see full impact in q2</t>
  </si>
  <si>
    <t>video in bahamas</t>
  </si>
  <si>
    <t>panama</t>
  </si>
  <si>
    <t>dth is the bit that has been growing</t>
  </si>
  <si>
    <t>39k in total</t>
  </si>
  <si>
    <t>2.5% chage therefore, 10 different things</t>
  </si>
  <si>
    <t>premier league</t>
  </si>
  <si>
    <t>epl costs, the difference between what was expected and what will be delivered. There will still be growth</t>
  </si>
  <si>
    <r>
      <t>n</t>
    </r>
    <r>
      <rPr>
        <sz val="11"/>
        <color theme="1"/>
        <rFont val="Calibri"/>
        <family val="2"/>
        <scheme val="minor"/>
      </rPr>
      <t>ot yet getting a q1 pro forma ebitda, still working on it</t>
    </r>
  </si>
  <si>
    <t>aggressive end of conservatism…</t>
  </si>
  <si>
    <t>net debt…only $7m difference</t>
  </si>
  <si>
    <t xml:space="preserve">CWC is a LTM, ex $570m </t>
  </si>
  <si>
    <t>2.9x disclosed</t>
  </si>
  <si>
    <t>page 23 of the liberty release</t>
  </si>
  <si>
    <t>ocf of lilac</t>
  </si>
  <si>
    <t>H2 OCF in 8K was a response</t>
  </si>
  <si>
    <t>synergies</t>
  </si>
  <si>
    <t>29.30 share price</t>
  </si>
  <si>
    <t>incumbent has had it all its way</t>
  </si>
  <si>
    <t>positive feedback on olympics</t>
  </si>
  <si>
    <t>not necessarily back to 7%</t>
  </si>
  <si>
    <t>should hear something in H2</t>
  </si>
  <si>
    <t>19-21% of sales on page 113 of the 10Q</t>
  </si>
  <si>
    <t>nothing yet for 2017/18</t>
  </si>
  <si>
    <t>Breakdown</t>
  </si>
  <si>
    <t>difference</t>
  </si>
  <si>
    <t>EBITDA % margin (pro-forma)</t>
  </si>
  <si>
    <t>Pro-forma EBITDA CWC</t>
  </si>
  <si>
    <t>Group (old)</t>
  </si>
  <si>
    <t>New pro-forma EBITDA</t>
  </si>
  <si>
    <t xml:space="preserve">New Pro-forma revenue </t>
  </si>
  <si>
    <t>2016 EBITDA</t>
  </si>
  <si>
    <t>re-based 2015</t>
  </si>
  <si>
    <t>y/y growth</t>
  </si>
  <si>
    <t>ex synergies</t>
  </si>
  <si>
    <t>Q2 16 analysis</t>
  </si>
  <si>
    <t>underlying 2016 EBITDA change</t>
  </si>
  <si>
    <t>Columbus synergies realised in 2016</t>
  </si>
  <si>
    <t>ST debt and capital lease</t>
  </si>
  <si>
    <t>LT debt and capital lease</t>
  </si>
  <si>
    <t>Net debt from BS</t>
  </si>
  <si>
    <t>Derivative assets</t>
  </si>
  <si>
    <t>Dividend</t>
  </si>
  <si>
    <t>CWC net debt</t>
  </si>
  <si>
    <t>$400m increase at CWC</t>
  </si>
  <si>
    <t>page 200/201 scheme doc.</t>
  </si>
  <si>
    <t>estimate - liberty fee, cwc fee</t>
  </si>
  <si>
    <t>cwc</t>
  </si>
  <si>
    <t>$75m</t>
  </si>
  <si>
    <t>lbty</t>
  </si>
  <si>
    <t>don't include financing fees (new term loans, call premium on $400m bond ($18m), consent fees on existing bonds for minor changes, bonuses to management, taxes on acquisitions in certain countries</t>
  </si>
  <si>
    <t>divi is $194m</t>
  </si>
  <si>
    <t>totals c.$400m</t>
  </si>
  <si>
    <t>fees</t>
  </si>
  <si>
    <t xml:space="preserve">$80m </t>
  </si>
  <si>
    <t>cwc revenue growth - yes in H2, it's implicit in a way</t>
  </si>
  <si>
    <t>Change versus old</t>
  </si>
  <si>
    <t>CWC dividend</t>
  </si>
  <si>
    <t>CWC deal fees</t>
  </si>
  <si>
    <t>CWC finance and other fees</t>
  </si>
  <si>
    <t>Underlying FCF</t>
  </si>
  <si>
    <t>Starting net debt</t>
  </si>
  <si>
    <t>Other (inc LiLAC fees)</t>
  </si>
  <si>
    <t>Closing net debt</t>
  </si>
  <si>
    <t>Managed services</t>
  </si>
  <si>
    <t>Wholesale</t>
  </si>
  <si>
    <t>Voice penetration</t>
  </si>
  <si>
    <t>HH broadband penetration</t>
  </si>
  <si>
    <t>Total fixed broadband</t>
  </si>
  <si>
    <t>market share %</t>
  </si>
  <si>
    <t>Pay TV penetration</t>
  </si>
  <si>
    <t>BB penetration (fixed/res combined)</t>
  </si>
  <si>
    <t>TV penetration</t>
  </si>
  <si>
    <t>penetration</t>
  </si>
  <si>
    <t>BB share</t>
  </si>
  <si>
    <t>TV share</t>
  </si>
  <si>
    <t>(OUR, Office of Utilities Regulation)</t>
  </si>
  <si>
    <t>CWC subs</t>
  </si>
  <si>
    <t xml:space="preserve"> of which DTH</t>
  </si>
  <si>
    <t xml:space="preserve"> of which HFC</t>
  </si>
  <si>
    <t>CWC BB subs</t>
  </si>
  <si>
    <t>CWC voice subs (ex TSTT)</t>
  </si>
  <si>
    <t>% share</t>
  </si>
  <si>
    <t>CWC TV subs</t>
  </si>
  <si>
    <t>Digicel (August 31 chat)</t>
  </si>
  <si>
    <t>Q1 16 stats for Digicel</t>
  </si>
  <si>
    <t>Q2 16 stats for Digicel</t>
  </si>
  <si>
    <t>Grinding along, FX is tricky</t>
  </si>
  <si>
    <t>2% growth constant fx, ebitda flat constant fx (down 14% reported)</t>
  </si>
  <si>
    <t>capex down 50% y/y</t>
  </si>
  <si>
    <t>down 25%, from $600m to $450m, high teens</t>
  </si>
  <si>
    <t>saving is coming off network expansion</t>
  </si>
  <si>
    <t>FTTH network is almost completed</t>
  </si>
  <si>
    <t>Myanmar tower company, $90m</t>
  </si>
  <si>
    <t>Equipment is capitalised</t>
  </si>
  <si>
    <t>x2 the number of subs, 67k</t>
  </si>
  <si>
    <t>180,000 RGUs</t>
  </si>
  <si>
    <t>450k homes passed</t>
  </si>
  <si>
    <t>Jamaica the majority, T&amp;T</t>
  </si>
  <si>
    <t>Trinidad on the TV side</t>
  </si>
  <si>
    <t>Macro side</t>
  </si>
  <si>
    <t>Trinidad, economy in recession. Down 2.5% this year</t>
  </si>
  <si>
    <t xml:space="preserve">FLOW put some prices up last month, 5-7% </t>
  </si>
  <si>
    <t>Indicative of LBTY generating value in the business</t>
  </si>
  <si>
    <t>Digicel not competing on price</t>
  </si>
  <si>
    <t>70% are coming from FLOW</t>
  </si>
  <si>
    <t>35-40% penetration of homes passed</t>
  </si>
  <si>
    <t>Price increases in T&amp;T</t>
  </si>
  <si>
    <t>FX devaluation might be a driver</t>
  </si>
  <si>
    <t>HH TV penetration</t>
  </si>
  <si>
    <t>Market TV subs</t>
  </si>
  <si>
    <t>Implied HH</t>
  </si>
  <si>
    <t>as % share</t>
  </si>
  <si>
    <t>% TV penetration</t>
  </si>
  <si>
    <t>Broadband internet</t>
  </si>
  <si>
    <t>% penetration</t>
  </si>
  <si>
    <t>Weighted average</t>
  </si>
  <si>
    <t>CWC TV</t>
  </si>
  <si>
    <t>Digicel Jamaica</t>
  </si>
  <si>
    <t>Digicel T&amp;T/Barbados</t>
  </si>
  <si>
    <t>pen of homes</t>
  </si>
  <si>
    <t>Digicel markets</t>
  </si>
  <si>
    <t>RGUs/sub</t>
  </si>
  <si>
    <t>Q2 revs split</t>
  </si>
  <si>
    <t>LBTY at Communicopia</t>
  </si>
  <si>
    <t>Q4 in particular will come through</t>
  </si>
  <si>
    <t>500k of 4m this year in Lightning in the UK. 2017 will be 1m. Right on track</t>
  </si>
  <si>
    <t>40% of pen in 3 years. £47-48 ARPU. £600/home. £1bn of revs and 50% drop to OCF</t>
  </si>
  <si>
    <t>very difficult for BT to respond to LBTY, don't know where they're coming</t>
  </si>
  <si>
    <t>Fibre is just 38 MB in the UK. It's not like the US</t>
  </si>
  <si>
    <t>7-9% OCF target for 2016 - taking a little effort</t>
  </si>
  <si>
    <t>Group target</t>
  </si>
  <si>
    <t>Vodafone</t>
  </si>
  <si>
    <t>A cheap and cheerful market. LBTY not interested. Not much margin based on what they pay BT for wholesale</t>
  </si>
  <si>
    <t>Half of LBTY adds are &gt;100 MB</t>
  </si>
  <si>
    <t>Convergence in the UK</t>
  </si>
  <si>
    <t>Mobile strategy in the UK? Have 3m subs, were the first to have 4-play in the UK</t>
  </si>
  <si>
    <t>mobile transformation project. Getting customers fit for lifting off the current platform</t>
  </si>
  <si>
    <t>ready for this shortly</t>
  </si>
  <si>
    <t>currently on EE. Mar-18. looking at right way to evolve. Not really looking at acquisition</t>
  </si>
  <si>
    <t>looking for strategic</t>
  </si>
  <si>
    <t>Regs in the UK?</t>
  </si>
  <si>
    <t>Don’t think structural sep makes sense. Market working just fine.</t>
  </si>
  <si>
    <t>support BT</t>
  </si>
  <si>
    <t>Regs in Europe</t>
  </si>
  <si>
    <t>EU is a very balanced, mindful and thoughtful body</t>
  </si>
  <si>
    <t>So far so good</t>
  </si>
  <si>
    <t>created some scale. A good first step</t>
  </si>
  <si>
    <t>tracker - opportunity to build a business around the latam assets. Isolate value, give management opp to grow</t>
  </si>
  <si>
    <t>C&amp;W - not great timing. Wouldn’t do the structure again</t>
  </si>
  <si>
    <t xml:space="preserve">integrating aggressively. Aligning key strategic management areas. </t>
  </si>
  <si>
    <t>Own long range plan, which didn't exist</t>
  </si>
  <si>
    <t>$460-480m back to normalised levels. Apologies for the "moment" in Q2</t>
  </si>
  <si>
    <t>"Hello Mauricio"!!</t>
  </si>
  <si>
    <t>not many competitors</t>
  </si>
  <si>
    <t>"30% of revs is subsea cable" - is this true…?</t>
  </si>
  <si>
    <t>$10-11bn EV, turn it into a $50bn EV business</t>
  </si>
  <si>
    <t>ultimately we'll spin it</t>
  </si>
  <si>
    <t>need to continue to scale up</t>
  </si>
  <si>
    <t>800k subs have Netflix built into the box. Churn less</t>
  </si>
  <si>
    <t>OTT</t>
  </si>
  <si>
    <t>5G</t>
  </si>
  <si>
    <t>Vendors more excited and nearer term!</t>
  </si>
  <si>
    <t>Euros on a slower path than VZ in the US</t>
  </si>
  <si>
    <t>Don't think it's a replacement for fixed</t>
  </si>
  <si>
    <t>Euro operators: looks expensive. Fixed wireless access looks confusing etc etc</t>
  </si>
  <si>
    <t>Surprises at CWC</t>
  </si>
  <si>
    <t>GAAP adjs, rev recognition issues, accrual releases in calendar Q1, a little underperformance</t>
  </si>
  <si>
    <t>Hence the Q2 was shocking</t>
  </si>
  <si>
    <t>Now there in terms of alignment on accounting</t>
  </si>
  <si>
    <t>Relationship with regulators will be some work. Small island, big PM. Thoughtful how relationships develop</t>
  </si>
  <si>
    <t>Some good relationships at CWC, some bad. Work to do here</t>
  </si>
  <si>
    <t>Bahamas - want to rethink the model</t>
  </si>
  <si>
    <t>Management team is good, good TV product, EPL is good</t>
  </si>
  <si>
    <t>Mobile is good, switching to pre-paid to post-paid</t>
  </si>
  <si>
    <t>Mostly positive.</t>
  </si>
  <si>
    <t>A little bit of work to do to fully integrate</t>
  </si>
  <si>
    <t>Netflix deal is global, can be used in LatAm and Caribbean in theory</t>
  </si>
  <si>
    <t>New programming deal now in Miami. Expect new discussions</t>
  </si>
  <si>
    <t>Opportunistic on individual content deals</t>
  </si>
  <si>
    <t>Issue is OTT providers don't have rights. Clarity on rights is an issue</t>
  </si>
  <si>
    <t>top line growth is coming through</t>
  </si>
  <si>
    <t>2-way homes passed</t>
  </si>
  <si>
    <t>Customer relationships</t>
  </si>
  <si>
    <t>Total subs</t>
  </si>
  <si>
    <t>Customer</t>
  </si>
  <si>
    <t>relationships</t>
  </si>
  <si>
    <t>Call with Kunal (10 October)</t>
  </si>
  <si>
    <t>Q3 synergy?</t>
  </si>
  <si>
    <t>ideally at q3</t>
  </si>
  <si>
    <t>mike pushing for this</t>
  </si>
  <si>
    <t>&gt;50/50</t>
  </si>
  <si>
    <t>Fries, sort of said this</t>
  </si>
  <si>
    <t>Paddock perhaps</t>
  </si>
  <si>
    <t>H2 seasonality</t>
  </si>
  <si>
    <t>Q1 and Q4 are seasonally better</t>
  </si>
  <si>
    <t>Higher economic activity..secondary affect</t>
  </si>
  <si>
    <t>Some roaming impact</t>
  </si>
  <si>
    <t>Digicel tied up a lot of international roaming</t>
  </si>
  <si>
    <t>5% of wireless revs, could be x2 at digicel</t>
  </si>
  <si>
    <t>mainly revenue driven</t>
  </si>
  <si>
    <t>Q1 calendar…some holiday revs, govt revs can also come through</t>
  </si>
  <si>
    <t>pushing TV</t>
  </si>
  <si>
    <t>2016 specifically</t>
  </si>
  <si>
    <t>cost also</t>
  </si>
  <si>
    <t>revs performance should contribute</t>
  </si>
  <si>
    <t>Dis-synergies</t>
  </si>
  <si>
    <t>87m in q1 (calendar)</t>
  </si>
  <si>
    <t>higher in June</t>
  </si>
  <si>
    <t>97m by YE</t>
  </si>
  <si>
    <t>disynergies</t>
  </si>
  <si>
    <t>Q1 15 might be hard</t>
  </si>
  <si>
    <t>Est for high</t>
  </si>
  <si>
    <t>speed homes</t>
  </si>
  <si>
    <t>000s</t>
  </si>
  <si>
    <t>Total HH</t>
  </si>
  <si>
    <t>Pen of</t>
  </si>
  <si>
    <t>High speed</t>
  </si>
  <si>
    <t>Pen  HH</t>
  </si>
  <si>
    <t>Summary of markets</t>
  </si>
  <si>
    <t xml:space="preserve">Homes </t>
  </si>
  <si>
    <t>Implied</t>
  </si>
  <si>
    <t>copper</t>
  </si>
  <si>
    <t>Shares bought back</t>
  </si>
  <si>
    <t>as % previous SHOY</t>
  </si>
  <si>
    <t>Q4e</t>
  </si>
  <si>
    <t>EBITDA, $m</t>
  </si>
  <si>
    <t>CWC pre-integration costs</t>
  </si>
  <si>
    <t>CWC/Columbus integration costs</t>
  </si>
  <si>
    <t>clean CWC</t>
  </si>
  <si>
    <t>Leverage (net debt/annualised Q EBITDA)</t>
  </si>
  <si>
    <t>FY 2016</t>
  </si>
  <si>
    <t>"Normalised 2016"</t>
  </si>
  <si>
    <t>US$ m</t>
  </si>
  <si>
    <t>"Normalised" opex</t>
  </si>
  <si>
    <t>Opex + capex</t>
  </si>
  <si>
    <t>NSRe synergy</t>
  </si>
  <si>
    <t>as % total opex/capex</t>
  </si>
  <si>
    <t>2016e capex</t>
  </si>
  <si>
    <t>Synergy guidance (annual opex/capex)</t>
  </si>
  <si>
    <t>Post Q3</t>
  </si>
  <si>
    <t>Voice is up and internet down (fixed VoIP)</t>
  </si>
  <si>
    <t>across the piece internet is down, except T&amp;T</t>
  </si>
  <si>
    <t>mobile not as bad, subs adjustment</t>
  </si>
  <si>
    <t>managed services down $8m</t>
  </si>
  <si>
    <t>fixed voice is down $3m</t>
  </si>
  <si>
    <t>DTH is not strategically something to chase</t>
  </si>
  <si>
    <t>135k lines where can now get high speeds, 45% of homes passed</t>
  </si>
  <si>
    <t>most of the internet subs in Panama are copper</t>
  </si>
  <si>
    <t>Managed services did well</t>
  </si>
  <si>
    <t>B2B is incumbent</t>
  </si>
  <si>
    <t>Digicel impact</t>
  </si>
  <si>
    <t>Mobile is 30% of the market, gains are more limited</t>
  </si>
  <si>
    <t xml:space="preserve">Some network revenue recognised </t>
  </si>
  <si>
    <t>Sequential trends are better</t>
  </si>
  <si>
    <t>closer to 5% declines on a clean basis</t>
  </si>
  <si>
    <t>Still a tough market</t>
  </si>
  <si>
    <t>Growth turnaround</t>
  </si>
  <si>
    <t>Panama and Jamaica need to do better</t>
  </si>
  <si>
    <t>Macro, competition and no mobile here. Fewer levers to pull to combat Digicel</t>
  </si>
  <si>
    <t>Could have been  worse</t>
  </si>
  <si>
    <t>$10m of opex in Q4</t>
  </si>
  <si>
    <t>1st October launch, one plan for $500</t>
  </si>
  <si>
    <t>fuller launch this month</t>
  </si>
  <si>
    <t>retail efforts pushed back by Caribbean</t>
  </si>
  <si>
    <t>Headwinds of Bahamas</t>
  </si>
  <si>
    <t>Jamaica the highlight</t>
  </si>
  <si>
    <t>Decent on an underlying basis</t>
  </si>
  <si>
    <t>competition</t>
  </si>
  <si>
    <t>as good as Digicel…CWC claim</t>
  </si>
  <si>
    <t>Other one-off activity</t>
  </si>
  <si>
    <t>wholesale also shows</t>
  </si>
  <si>
    <t>no change to 19-21% for 2016</t>
  </si>
  <si>
    <t>nothing beyond this</t>
  </si>
  <si>
    <t>don't expect to suddenly drop..Chile and PR is higher</t>
  </si>
  <si>
    <t>some investment opportunities</t>
  </si>
  <si>
    <t>margins really strong</t>
  </si>
  <si>
    <t>introduced a Spanish tier??</t>
  </si>
  <si>
    <t>Big contracts in Panama…$10m</t>
  </si>
  <si>
    <t>Delays</t>
  </si>
  <si>
    <t>MASTER Product in Colombia</t>
  </si>
  <si>
    <t>Bahamas TV</t>
  </si>
  <si>
    <t>Changes to estimates - Nov 16</t>
  </si>
  <si>
    <t>H2 15</t>
  </si>
  <si>
    <t>prior</t>
  </si>
  <si>
    <t>restated</t>
  </si>
  <si>
    <t>constant FX</t>
  </si>
  <si>
    <t>NOPLAT</t>
  </si>
  <si>
    <t>EV/EBIT</t>
  </si>
  <si>
    <t>EV/NOPLAT</t>
  </si>
  <si>
    <t>New quarts</t>
  </si>
  <si>
    <t>Summary of results</t>
  </si>
  <si>
    <t>B2B</t>
  </si>
  <si>
    <t>VTR, CHP bn</t>
  </si>
  <si>
    <t>Puerto Rico, $m</t>
  </si>
  <si>
    <t>$/CHP</t>
  </si>
  <si>
    <t>Total product split for LiLAC</t>
  </si>
  <si>
    <t>Digicel Q3/Jan 17 chat</t>
  </si>
  <si>
    <t>launched later</t>
  </si>
  <si>
    <t>would be the biggest market</t>
  </si>
  <si>
    <t>Jamaica, 60k customers</t>
  </si>
  <si>
    <t>34% penetration</t>
  </si>
  <si>
    <t xml:space="preserve">T&amp;T was 15% </t>
  </si>
  <si>
    <t>50,000 FTTH in Trinidad as of Jan 17</t>
  </si>
  <si>
    <t>Price increases</t>
  </si>
  <si>
    <t>VAT increases from Jan last year, didn't pass through. VAT was 5%, price increases were 8%</t>
  </si>
  <si>
    <t>Digi</t>
  </si>
  <si>
    <t>Price increases at FLOW</t>
  </si>
  <si>
    <t>not offering more for more</t>
  </si>
  <si>
    <t>FX driven</t>
  </si>
  <si>
    <t>EPL</t>
  </si>
  <si>
    <t>Digicel bid also</t>
  </si>
  <si>
    <t>FLOW paid a high price, don't know exactly</t>
  </si>
  <si>
    <t>FTTH - not having exclusive rights is not a big deal</t>
  </si>
  <si>
    <t>Rights across the Caribbean to FLOW</t>
  </si>
  <si>
    <t>Digicel carry top 4 footy games on FLOW basic</t>
  </si>
  <si>
    <t>Where are the new FTTH coming from?</t>
  </si>
  <si>
    <t>A lag effect at FLOW</t>
  </si>
  <si>
    <t>FLOW have 3x the coverage in Jamaica</t>
  </si>
  <si>
    <t>Digicel in Kingston</t>
  </si>
  <si>
    <t>Target still 500k, 470k is where Digicel is today</t>
  </si>
  <si>
    <t>Subs at end Sept</t>
  </si>
  <si>
    <t>subs</t>
  </si>
  <si>
    <t>rgus</t>
  </si>
  <si>
    <t>Capex is largely done</t>
  </si>
  <si>
    <t>FY 18 vs FY 17 - a 10% cut on capex</t>
  </si>
  <si>
    <t>Just before Christmas</t>
  </si>
  <si>
    <t>A Digicel initiative</t>
  </si>
  <si>
    <t>Not sure if CWC have followed</t>
  </si>
  <si>
    <t>2 months ago, FLOW increased prices</t>
  </si>
  <si>
    <t>more rational now</t>
  </si>
  <si>
    <t>still think have 80% share of wallet.</t>
  </si>
  <si>
    <t>5.96x</t>
  </si>
  <si>
    <t>Sept</t>
  </si>
  <si>
    <t>5.69x</t>
  </si>
  <si>
    <t>June</t>
  </si>
  <si>
    <t>IPO thoughts?</t>
  </si>
  <si>
    <t>$1.7bn upgrading networks</t>
  </si>
  <si>
    <t xml:space="preserve">2017 will be about delivery </t>
  </si>
  <si>
    <t>Bonds have improved after roadshow. Still yielding 10-12%</t>
  </si>
  <si>
    <t>Market conditions would have to be better</t>
  </si>
  <si>
    <t>Channels</t>
  </si>
  <si>
    <t>Off-net mins</t>
  </si>
  <si>
    <t>unlimited</t>
  </si>
  <si>
    <t>PLAY</t>
  </si>
  <si>
    <t>Turbo</t>
  </si>
  <si>
    <t>&gt;50</t>
  </si>
  <si>
    <t>&gt;100</t>
  </si>
  <si>
    <t>&gt;140</t>
  </si>
  <si>
    <t>&gt;170</t>
  </si>
  <si>
    <t>FLOW 3-play</t>
  </si>
  <si>
    <t>FLOW BB only</t>
  </si>
  <si>
    <t>PLAY BB only</t>
  </si>
  <si>
    <t>Play 25</t>
  </si>
  <si>
    <t>Play 50</t>
  </si>
  <si>
    <t>Play 100</t>
  </si>
  <si>
    <t>Play 200</t>
  </si>
  <si>
    <t>JAM $</t>
  </si>
  <si>
    <t>Penetration</t>
  </si>
  <si>
    <t>2 way HFC</t>
  </si>
  <si>
    <t>1 way HFC</t>
  </si>
  <si>
    <t>FTTH/dp</t>
  </si>
  <si>
    <t>HH (est)</t>
  </si>
  <si>
    <t>POP cov</t>
  </si>
  <si>
    <t>POP cov (HSB)</t>
  </si>
  <si>
    <t>ADSL/VDSL only*</t>
  </si>
  <si>
    <t>* copper able to offer at least a "basic service", other copper homes exist</t>
  </si>
  <si>
    <t>Homes passed summary</t>
  </si>
  <si>
    <t>jam</t>
  </si>
  <si>
    <t>t&amp;t</t>
  </si>
  <si>
    <t>barbados</t>
  </si>
  <si>
    <t>HSB homes**</t>
  </si>
  <si>
    <t>** FTTH/dp + 2-way HFC.</t>
  </si>
  <si>
    <t>Pricing comps - Jan 24, 2017</t>
  </si>
  <si>
    <t>T&amp;T $</t>
  </si>
  <si>
    <t>MyBundle</t>
  </si>
  <si>
    <t>MyBundle Plus</t>
  </si>
  <si>
    <t>MyBundle Max</t>
  </si>
  <si>
    <t>MyBundle Watch All</t>
  </si>
  <si>
    <t>MyBundle Premium</t>
  </si>
  <si>
    <t>&lt;30</t>
  </si>
  <si>
    <t>&lt;45</t>
  </si>
  <si>
    <t>&lt;240</t>
  </si>
  <si>
    <t>Flow to Flow</t>
  </si>
  <si>
    <t>Basic</t>
  </si>
  <si>
    <t>Ultra</t>
  </si>
  <si>
    <t>PLAY Bundles</t>
  </si>
  <si>
    <t>Play to Play</t>
  </si>
  <si>
    <t>BB $</t>
  </si>
  <si>
    <t>CWC Digicel mkts</t>
  </si>
  <si>
    <t>Rep</t>
  </si>
  <si>
    <t>Adj</t>
  </si>
  <si>
    <t>Digicel total</t>
  </si>
  <si>
    <t>CWC total</t>
  </si>
  <si>
    <t>CWC rep EBITDA</t>
  </si>
  <si>
    <t>CWC  adj EBITDA</t>
  </si>
  <si>
    <t>restr</t>
  </si>
  <si>
    <t>direct acquisition</t>
  </si>
  <si>
    <t>provision releases</t>
  </si>
  <si>
    <t>loss/gain</t>
  </si>
  <si>
    <t>JV/associates</t>
  </si>
  <si>
    <t>compensation</t>
  </si>
  <si>
    <t>total adjs</t>
  </si>
  <si>
    <t>Other definitional</t>
  </si>
  <si>
    <t>Policy and other</t>
  </si>
  <si>
    <t>Re-stated CWC (US GAAP). LBTY</t>
  </si>
  <si>
    <t>Capital lease</t>
  </si>
  <si>
    <t>Leverage CWC</t>
  </si>
  <si>
    <t>Intersegment</t>
  </si>
  <si>
    <t>Group revenue</t>
  </si>
  <si>
    <t>Rebased</t>
  </si>
  <si>
    <t>CWC, US$m (product)</t>
  </si>
  <si>
    <t>CWC, US$m (country/region)</t>
  </si>
  <si>
    <t>difference to LBTY definition</t>
  </si>
  <si>
    <t xml:space="preserve">Networks and LatAm </t>
  </si>
  <si>
    <t>VTR net debt</t>
  </si>
  <si>
    <t>PR net debt</t>
  </si>
  <si>
    <t>Group net debt</t>
  </si>
  <si>
    <t>Prop VTR debt</t>
  </si>
  <si>
    <t>Prop PR debt</t>
  </si>
  <si>
    <t>Prop CWC debt</t>
  </si>
  <si>
    <t>Prop net debt</t>
  </si>
  <si>
    <t>Group (pre integration costs), LBTY defn</t>
  </si>
  <si>
    <t>VTR, CLP bn</t>
  </si>
  <si>
    <t>LBTY PR $</t>
  </si>
  <si>
    <t>Chat with Kunal, Q4 16</t>
  </si>
  <si>
    <t>Arris boxes</t>
  </si>
  <si>
    <t>Will use LBTY in house going forward</t>
  </si>
  <si>
    <t>CFO was leaving, Andrew Berrett.</t>
  </si>
  <si>
    <t>lilac</t>
  </si>
  <si>
    <t>cfo</t>
  </si>
  <si>
    <t>chris</t>
  </si>
  <si>
    <t>ceo</t>
  </si>
  <si>
    <t>betzalel</t>
  </si>
  <si>
    <t>for personal reasons</t>
  </si>
  <si>
    <t>General counsel, CFO, chief commercial officer</t>
  </si>
  <si>
    <t>CCO</t>
  </si>
  <si>
    <t>Shuja Khan</t>
  </si>
  <si>
    <t>Reechi Kaushal</t>
  </si>
  <si>
    <t>General Counsel</t>
  </si>
  <si>
    <t>CFO</t>
  </si>
  <si>
    <t>Gregor MacNeil</t>
  </si>
  <si>
    <t>consumer MD Virgin</t>
  </si>
  <si>
    <t>CWC changes</t>
  </si>
  <si>
    <t>Hard spin</t>
  </si>
  <si>
    <t>Aiming for 2017</t>
  </si>
  <si>
    <t>Digicel chat</t>
  </si>
  <si>
    <t>homes passed</t>
  </si>
  <si>
    <t>john reid</t>
  </si>
  <si>
    <t>andrew berrett</t>
  </si>
  <si>
    <t>Q1 17</t>
  </si>
  <si>
    <t>Q3  (Dec)</t>
  </si>
  <si>
    <t>Not rebased</t>
  </si>
  <si>
    <t>Two-way homes passed</t>
  </si>
  <si>
    <t>Total fixed RGUs</t>
  </si>
  <si>
    <t>Comment</t>
  </si>
  <si>
    <t>Q1 17 results</t>
  </si>
  <si>
    <t>Bahamas - Cable Bahamas not being so aggressive?</t>
  </si>
  <si>
    <t>What are the parameters for a hard spin this year?</t>
  </si>
  <si>
    <t>EPL costs have been high, subs take up here?</t>
  </si>
  <si>
    <t>Jamaican mobile - lost subs</t>
  </si>
  <si>
    <t>Growth rates at CWC - where will the improvement come from?</t>
  </si>
  <si>
    <t>Mobile looks set to get worse</t>
  </si>
  <si>
    <t>Are price rises a part of this?</t>
  </si>
  <si>
    <t>$40m of buy back, of the $300m is done</t>
  </si>
  <si>
    <t>Fries</t>
  </si>
  <si>
    <t>Betzemel</t>
  </si>
  <si>
    <t>200k boxes in Chile</t>
  </si>
  <si>
    <t xml:space="preserve">Feb 1, prices up 3-4% </t>
  </si>
  <si>
    <t>Cost base down also</t>
  </si>
  <si>
    <t>Video - churn from maco headwinds, offset by other areas</t>
  </si>
  <si>
    <t>Connect boxes also being rolled out</t>
  </si>
  <si>
    <t>Strong double digit revs growth on B2B</t>
  </si>
  <si>
    <t>Fastest speed on island</t>
  </si>
  <si>
    <t>John Read</t>
  </si>
  <si>
    <t>Difficult Q</t>
  </si>
  <si>
    <t>Progess on fixed. Overhauling whole operating model</t>
  </si>
  <si>
    <t>leveraging Gp synergies</t>
  </si>
  <si>
    <t>Stabilise, then grow subs</t>
  </si>
  <si>
    <t>Fixed is the largest area of focus</t>
  </si>
  <si>
    <t>Price in Jamaica better</t>
  </si>
  <si>
    <t>LTE in Barbados should help</t>
  </si>
  <si>
    <t>Homes passed in "other"</t>
  </si>
  <si>
    <t>B2B and wholesale</t>
  </si>
  <si>
    <t>Hospitality target</t>
  </si>
  <si>
    <t>mobile barbados</t>
  </si>
  <si>
    <t>fixed jamaica</t>
  </si>
  <si>
    <t>Prices in Q1</t>
  </si>
  <si>
    <t>growth through driving data</t>
  </si>
  <si>
    <t>includng FLOW sports content for wireless</t>
  </si>
  <si>
    <t>Revs also impacted by Q1 16 comp</t>
  </si>
  <si>
    <t>$10m - managed services</t>
  </si>
  <si>
    <t>$5m on fixed voice</t>
  </si>
  <si>
    <t>$14m - due to roaming in Bahamas</t>
  </si>
  <si>
    <t>Higher EPL costs, started Q3 16</t>
  </si>
  <si>
    <t>$1.5bn</t>
  </si>
  <si>
    <t>Capex to ramp, 21-23%</t>
  </si>
  <si>
    <t>Guidance reaffirmed</t>
  </si>
  <si>
    <t>new build opps, LTE</t>
  </si>
  <si>
    <t>limited FCF, should mainly come through in Q4</t>
  </si>
  <si>
    <t>(wunderlicht securities)</t>
  </si>
  <si>
    <t>have avoided markets with macro/political risk</t>
  </si>
  <si>
    <t>Obrador in Mexico?</t>
  </si>
  <si>
    <t>$ markets, or hedged on the BS</t>
  </si>
  <si>
    <t>M&amp;A pipeline - will bring market discipline</t>
  </si>
  <si>
    <t>30,000 FTTH</t>
  </si>
  <si>
    <t>Manage pre-paid on wireless better in Panama</t>
  </si>
  <si>
    <t>Bahamas - not an easy situation, still holding the fort. Some ARPU impact</t>
  </si>
  <si>
    <t>struggling on maintaining growth</t>
  </si>
  <si>
    <t>roaming contracted rates, Alive getting  up to 15-20% market share, some hurricane overhang</t>
  </si>
  <si>
    <t>(evercore)</t>
  </si>
  <si>
    <t>Synergies in OCF yet?</t>
  </si>
  <si>
    <t>Mobile in Chile</t>
  </si>
  <si>
    <t>process is regular. Getting pro formas together, legal and op relationship post spin, tax, good progress on these matters</t>
  </si>
  <si>
    <t>file with SEC by december</t>
  </si>
  <si>
    <t>healthy and valuable currency for strategic expansion.</t>
  </si>
  <si>
    <t>should trade better</t>
  </si>
  <si>
    <t>important for both shareholders, to create 2 capital structures</t>
  </si>
  <si>
    <t>LBTY will retain influence and collaboration between the 2 entities..procurement benefits, etc etc</t>
  </si>
  <si>
    <t>M&amp;A</t>
  </si>
  <si>
    <t>in-market, or contiguous markets</t>
  </si>
  <si>
    <t>central or south america, bolt on</t>
  </si>
  <si>
    <t>some larger scale M&amp;A also. Reviewing on a preliminary basis</t>
  </si>
  <si>
    <t>not interested in paying a premium</t>
  </si>
  <si>
    <t>will be thoughtful or doing accretive deals</t>
  </si>
  <si>
    <t>WOM entered 1.5 years ago. Not an easy given all the operators</t>
  </si>
  <si>
    <t>The entrance impacted VTR - growth slowed to almost zero</t>
  </si>
  <si>
    <t>now back on track, post paid doing well. SIM only generally</t>
  </si>
  <si>
    <t>285k homes upgraded program. This is the priority</t>
  </si>
  <si>
    <t>some is greenfield</t>
  </si>
  <si>
    <t>Total upgrade for the region is 250k for this year (upgrade or greenfield)</t>
  </si>
  <si>
    <t>part if legacy copper to VDSL on top of other elements</t>
  </si>
  <si>
    <t>DSL to VDSL elsewhere…75k in Jamaica</t>
  </si>
  <si>
    <t>Post Q1 17</t>
  </si>
  <si>
    <t>ARPU and subs up y/y</t>
  </si>
  <si>
    <t>ARPU flattish in Q1 over Q4</t>
  </si>
  <si>
    <t>US mobile revs up sequentially</t>
  </si>
  <si>
    <t>Xmas promotions from Q4, rolling off</t>
  </si>
  <si>
    <t>Share is 30% on subs, a bit less on revenue</t>
  </si>
  <si>
    <t>roaming</t>
  </si>
  <si>
    <t>24% decline y/y</t>
  </si>
  <si>
    <t>new competitor</t>
  </si>
  <si>
    <t>sequential 2-digit decline sequentially</t>
  </si>
  <si>
    <t>mainly competition</t>
  </si>
  <si>
    <t>should now stabilise now</t>
  </si>
  <si>
    <t>2013, av Caribbean 2 cents. $20 / min</t>
  </si>
  <si>
    <t>Competition</t>
  </si>
  <si>
    <t>15-20% market share for Cable Bahamas</t>
  </si>
  <si>
    <t>sequential impact</t>
  </si>
  <si>
    <t>Calendar (not fiscal)</t>
  </si>
  <si>
    <t>Digicel KPIs</t>
  </si>
  <si>
    <t>Re-fi $850m of bank debt over next couple of years</t>
  </si>
  <si>
    <t xml:space="preserve">$250m </t>
  </si>
  <si>
    <t>3.5 runway</t>
  </si>
  <si>
    <t>bank debt market very strong</t>
  </si>
  <si>
    <t>Heavily oversubscribed…</t>
  </si>
  <si>
    <t>re-iterated target from de-leverage, implies EBITDA growth</t>
  </si>
  <si>
    <t>Transformation</t>
  </si>
  <si>
    <t>25% headcount</t>
  </si>
  <si>
    <t>hub/shared service model</t>
  </si>
  <si>
    <t>delayer management in each country</t>
  </si>
  <si>
    <t>7000 employees</t>
  </si>
  <si>
    <t>capex - multi-year framework deal with ZTE</t>
  </si>
  <si>
    <t>boxes are Huawei</t>
  </si>
  <si>
    <t>Targets</t>
  </si>
  <si>
    <t>not yet</t>
  </si>
  <si>
    <t>margin will improve 2-4% by Q4 2018</t>
  </si>
  <si>
    <t>more to go for in 2019</t>
  </si>
  <si>
    <t>personnel - F1 document.</t>
  </si>
  <si>
    <t>50% of savings from headcount</t>
  </si>
  <si>
    <t>mostly people are not too highly paid</t>
  </si>
  <si>
    <t>some newspaper coverage…politically, not too much</t>
  </si>
  <si>
    <t>not much regulation of OTT in these markets</t>
  </si>
  <si>
    <t>VoIP and messaging</t>
  </si>
  <si>
    <t>no real revenue guidance</t>
  </si>
  <si>
    <t>CWC saying Digicel as rationale competitor</t>
  </si>
  <si>
    <t>CWC - put cable prices up</t>
  </si>
  <si>
    <t xml:space="preserve">Barbados </t>
  </si>
  <si>
    <t>Mainly wireless</t>
  </si>
  <si>
    <t>wireless data, both you and CWC</t>
  </si>
  <si>
    <t>nothing really new in the market</t>
  </si>
  <si>
    <t>Christmas offers in Q4 also, would see roll off in Q1 (30 day churn)</t>
  </si>
  <si>
    <t>Lower end is dual spin</t>
  </si>
  <si>
    <t>CWC data prices up, x2 entry level</t>
  </si>
  <si>
    <t>Bought Champions League together with CWC</t>
  </si>
  <si>
    <t>Have 3/4 top games</t>
  </si>
  <si>
    <t>Barbados, footy more popular</t>
  </si>
  <si>
    <t>TV offering are generally similar</t>
  </si>
  <si>
    <t>10000 homes per node</t>
  </si>
  <si>
    <t>IPO</t>
  </si>
  <si>
    <t>Need to de-lever a little</t>
  </si>
  <si>
    <t>Needs a better growth profile</t>
  </si>
  <si>
    <t>5.25x mar 18</t>
  </si>
  <si>
    <t>4.5x mar 19</t>
  </si>
  <si>
    <t>driven by EBITDA growth</t>
  </si>
  <si>
    <t>6x gross leverage, 5.7-5.8x  on a net basis</t>
  </si>
  <si>
    <t>Digicel chat (18 May)</t>
  </si>
  <si>
    <t>Bill through Parliament to loosen competition regulation</t>
  </si>
  <si>
    <t>Unique subs</t>
  </si>
  <si>
    <t>Impairment/other</t>
  </si>
  <si>
    <t>Royalties</t>
  </si>
  <si>
    <t>Group (net PPE additions)</t>
  </si>
  <si>
    <t>Cash capex</t>
  </si>
  <si>
    <t>Derivs etc</t>
  </si>
  <si>
    <t>FX gains</t>
  </si>
  <si>
    <t>Taxes</t>
  </si>
  <si>
    <t>Kunal. June-17</t>
  </si>
  <si>
    <t>Pension at CWC</t>
  </si>
  <si>
    <t>FCF definition for LBTY</t>
  </si>
  <si>
    <t>operating cash</t>
  </si>
  <si>
    <t>plus</t>
  </si>
  <si>
    <t>expenses financed by intermediaries</t>
  </si>
  <si>
    <t>less</t>
  </si>
  <si>
    <t>capex, as per consolidated cash flow</t>
  </si>
  <si>
    <t>cash, not net ppe</t>
  </si>
  <si>
    <t>3rd party costs related to M&amp;A</t>
  </si>
  <si>
    <t>principle payments on vendors, intermediaries and capital leases</t>
  </si>
  <si>
    <t>FCF (LBTY definition)</t>
  </si>
  <si>
    <t>Other adjust (inc share based comp)</t>
  </si>
  <si>
    <t>Net to 100%</t>
  </si>
  <si>
    <t>deferred tax benefits</t>
  </si>
  <si>
    <t>change in op assets &amp; liabilities</t>
  </si>
  <si>
    <t>Cash from operating activities</t>
  </si>
  <si>
    <t>amortisation of deferred financing costs</t>
  </si>
  <si>
    <t>Cash payments for M&amp;A costs</t>
  </si>
  <si>
    <t>Expenses financed by intermediary</t>
  </si>
  <si>
    <t>Principal on amounts financed by vendors</t>
  </si>
  <si>
    <t>Principal on capital leases</t>
  </si>
  <si>
    <t>Buy back of LBTY ords?</t>
  </si>
  <si>
    <t>$18.9m</t>
  </si>
  <si>
    <t>6m</t>
  </si>
  <si>
    <t>9m</t>
  </si>
  <si>
    <t>12m</t>
  </si>
  <si>
    <t>Allocation of intergroup loss</t>
  </si>
  <si>
    <t>Losses/gain on debt modification</t>
  </si>
  <si>
    <t>Main difference between LBTY FCF and debt move</t>
  </si>
  <si>
    <t>change in net debt</t>
  </si>
  <si>
    <t>Adjusted earnings available from P&amp;L</t>
  </si>
  <si>
    <t>Share buy back</t>
  </si>
  <si>
    <t>Minority dividends?</t>
  </si>
  <si>
    <t>Capex guidance is accrued</t>
  </si>
  <si>
    <t xml:space="preserve">principle payments </t>
  </si>
  <si>
    <t xml:space="preserve">and expenses financed by an intermediary </t>
  </si>
  <si>
    <t>Vendor financing stepped up in Q1, likely to get bigger</t>
  </si>
  <si>
    <t>cwc fy release</t>
  </si>
  <si>
    <t>£20 per year agreed</t>
  </si>
  <si>
    <t>triennial valuation, by q2 17</t>
  </si>
  <si>
    <t>deficit of £66m (sept-16)</t>
  </si>
  <si>
    <t>cwc $82m Dec-16 (part II, page 67)</t>
  </si>
  <si>
    <t>not much guidance</t>
  </si>
  <si>
    <t>Minority dividends</t>
  </si>
  <si>
    <t>Less D&amp;A</t>
  </si>
  <si>
    <t>SBC % OCF</t>
  </si>
  <si>
    <t>Less share based compensation</t>
  </si>
  <si>
    <t>Net cash provided by operating activities</t>
  </si>
  <si>
    <t>Expenses financed by an intermediary</t>
  </si>
  <si>
    <t>Principal payments on vendors/ intermediaries</t>
  </si>
  <si>
    <t>Principal payments on capital leases</t>
  </si>
  <si>
    <t>Share buybacks</t>
  </si>
  <si>
    <t xml:space="preserve">Other cash tax </t>
  </si>
  <si>
    <t>Other income, net</t>
  </si>
  <si>
    <t>Vendor financing balance</t>
  </si>
  <si>
    <t>Added to capex</t>
  </si>
  <si>
    <t>Added to opex</t>
  </si>
  <si>
    <t>Repaid vendor finance</t>
  </si>
  <si>
    <t>Repaid intermediary finance</t>
  </si>
  <si>
    <t>% repaid</t>
  </si>
  <si>
    <t>Vendor financing</t>
  </si>
  <si>
    <t>Payables</t>
  </si>
  <si>
    <t>Net PPE additions</t>
  </si>
  <si>
    <t>Vendor financing / other</t>
  </si>
  <si>
    <t>Net debt start period</t>
  </si>
  <si>
    <t>Change in debt</t>
  </si>
  <si>
    <t>Net debt end period</t>
  </si>
  <si>
    <t>Pension / other</t>
  </si>
  <si>
    <t>US$750m unsecured, 2022 (Sable)</t>
  </si>
  <si>
    <t>Vendor / capital lease financing balance</t>
  </si>
  <si>
    <t>Vendor financing / cap lease</t>
  </si>
  <si>
    <t>Pension contributions</t>
  </si>
  <si>
    <t>LBTY FCF def/share</t>
  </si>
  <si>
    <t xml:space="preserve">Minority shareholder dividends </t>
  </si>
  <si>
    <t>18 EBITDA</t>
  </si>
  <si>
    <t>EFCF (NSR)</t>
  </si>
  <si>
    <t>LBTY FCF (adj for mins)</t>
  </si>
  <si>
    <t>EFCF (NSR) yield</t>
  </si>
  <si>
    <t>LBTY FCF (adj for mins) yield</t>
  </si>
  <si>
    <t>Unique subs adds</t>
  </si>
  <si>
    <t>RGU adds</t>
  </si>
  <si>
    <t>cut to 30 days, from 63 days</t>
  </si>
  <si>
    <t>added 13</t>
  </si>
  <si>
    <t>Total *</t>
  </si>
  <si>
    <t>Adds</t>
  </si>
  <si>
    <t>Apr 15th, 2017</t>
  </si>
  <si>
    <t>Apr 1st, 2017</t>
  </si>
  <si>
    <t>g Plan Name</t>
  </si>
  <si>
    <t>Old Price</t>
  </si>
  <si>
    <t>New Price</t>
  </si>
  <si>
    <t>UltraPak Basic</t>
  </si>
  <si>
    <t>UltraPak 300</t>
  </si>
  <si>
    <t>UltraPak 600</t>
  </si>
  <si>
    <t>UltraPak 1200</t>
  </si>
  <si>
    <t>2-3%</t>
  </si>
  <si>
    <t xml:space="preserve">Digicel </t>
  </si>
  <si>
    <t>Wireless post-paid</t>
  </si>
  <si>
    <t>July 1st, 2017</t>
  </si>
  <si>
    <t>Product</t>
  </si>
  <si>
    <t>Operator</t>
  </si>
  <si>
    <t>Date</t>
  </si>
  <si>
    <t>Both</t>
  </si>
  <si>
    <t>Sept 1st, 2016</t>
  </si>
  <si>
    <t>Fixed bundles</t>
  </si>
  <si>
    <t>Jun 1st, 2017</t>
  </si>
  <si>
    <t xml:space="preserve">Horizon bundles &amp; TV </t>
  </si>
  <si>
    <t>Pre paid data</t>
  </si>
  <si>
    <t>more for more</t>
  </si>
  <si>
    <t>200% over 1 year*</t>
  </si>
  <si>
    <t>* 3rd price increase in 12 months. 200% reflects total increase over this period  for 2-day package</t>
  </si>
  <si>
    <t>More data included, WhatsApp and Deezer usage included</t>
  </si>
  <si>
    <t>Apr, 2017</t>
  </si>
  <si>
    <t>Jan/Feb, 2017</t>
  </si>
  <si>
    <t>Pre-paid/post-paid</t>
  </si>
  <si>
    <t>c.5%**</t>
  </si>
  <si>
    <t>** Move from 17.5% to 22% in Jan 16 was initially absorbed by industry. However, the rates</t>
  </si>
  <si>
    <t>were subsequently passed on early 2017</t>
  </si>
  <si>
    <t>Wireless revenue</t>
  </si>
  <si>
    <t>wireless</t>
  </si>
  <si>
    <t>BB and video</t>
  </si>
  <si>
    <t>Managed services / other</t>
  </si>
  <si>
    <t>ARPU, CLP</t>
  </si>
  <si>
    <t>Residential service revenue</t>
  </si>
  <si>
    <t>Synergies (absolute, US$ mn)</t>
  </si>
  <si>
    <t>as % pre-synergy opex (LHS)</t>
  </si>
  <si>
    <t>as % pre-synergy capex (LHS)</t>
  </si>
  <si>
    <t>Proportionate net debt to EBITDA</t>
  </si>
  <si>
    <t>Stock offer</t>
  </si>
  <si>
    <t>LiLAC share price at issuance</t>
  </si>
  <si>
    <t>Current prop net debt to EBITDA</t>
  </si>
  <si>
    <t>New prop net debt to EBITDA</t>
  </si>
  <si>
    <t>Accretion</t>
  </si>
  <si>
    <t>New LiLAC share count</t>
  </si>
  <si>
    <t>New shares issued</t>
  </si>
  <si>
    <t xml:space="preserve">LiLAC prop net debt/EBITDA </t>
  </si>
  <si>
    <t>NewCo prop net debt / EBITDA</t>
  </si>
  <si>
    <t>NewCo EFCF/share</t>
  </si>
  <si>
    <t>NewCo SHOUT</t>
  </si>
  <si>
    <t>NewCo EFCF</t>
  </si>
  <si>
    <t>Q2 17</t>
  </si>
  <si>
    <t>Mobile subs (URCA)</t>
  </si>
  <si>
    <t>Implied other</t>
  </si>
  <si>
    <t>NewCo Mobile</t>
  </si>
  <si>
    <t>government</t>
  </si>
  <si>
    <t>CBL (Cable Bahamas)</t>
  </si>
  <si>
    <t>Inbound dom</t>
  </si>
  <si>
    <t>Inbound int</t>
  </si>
  <si>
    <t>SMS</t>
  </si>
  <si>
    <t>US cents/min</t>
  </si>
  <si>
    <t>25% mark up to BTC</t>
  </si>
  <si>
    <t>as % market subs</t>
  </si>
  <si>
    <t xml:space="preserve"> of which A</t>
  </si>
  <si>
    <t xml:space="preserve"> of which C</t>
  </si>
  <si>
    <t xml:space="preserve"> of which B</t>
  </si>
  <si>
    <t>Average*</t>
  </si>
  <si>
    <t>Cable Onda</t>
  </si>
  <si>
    <t>DirectTV/other</t>
  </si>
  <si>
    <t>CWC voice</t>
  </si>
  <si>
    <t>as % market</t>
  </si>
  <si>
    <t>TSTT</t>
  </si>
  <si>
    <t>Elims/synergies</t>
  </si>
  <si>
    <t>Corporate costs</t>
  </si>
  <si>
    <t>Total at LiLAC</t>
  </si>
  <si>
    <t>Pricing comps - July 2017</t>
  </si>
  <si>
    <t>Play 150*</t>
  </si>
  <si>
    <t>*Play 100 and 200 no longer offered</t>
  </si>
  <si>
    <t>Plan no longer available</t>
  </si>
  <si>
    <t>customer, rev based on cash..6m this q</t>
  </si>
  <si>
    <t>in arrears, catching up, more than 1q of revs</t>
  </si>
  <si>
    <t xml:space="preserve">1/ </t>
  </si>
  <si>
    <t>one big customer written down in q2</t>
  </si>
  <si>
    <t>accruals reassessed…</t>
  </si>
  <si>
    <t>2/</t>
  </si>
  <si>
    <t>managed services…recurring revs</t>
  </si>
  <si>
    <t>3/</t>
  </si>
  <si>
    <t>self-help, doing things better</t>
  </si>
  <si>
    <t>kpis</t>
  </si>
  <si>
    <t>panama..minimal impact on revenue</t>
  </si>
  <si>
    <t>Q2 17 results</t>
  </si>
  <si>
    <t>ocf at cwc y/y</t>
  </si>
  <si>
    <t>jamaica</t>
  </si>
  <si>
    <t>nothing really new</t>
  </si>
  <si>
    <t>Other Caribbean / elims</t>
  </si>
  <si>
    <t>Change to estimates</t>
  </si>
  <si>
    <t>Operating cash</t>
  </si>
  <si>
    <t>Adj FCF (LBTY def)</t>
  </si>
  <si>
    <t>NSR EFCF</t>
  </si>
  <si>
    <t>Total (P&amp;E additions)</t>
  </si>
  <si>
    <t>- of which CWC</t>
  </si>
  <si>
    <t xml:space="preserve">- of which Chile </t>
  </si>
  <si>
    <t xml:space="preserve">EBITDA (US$m) </t>
  </si>
  <si>
    <t>Capex (P&amp;E adds)</t>
  </si>
  <si>
    <t>Chile/Puerto Rico</t>
  </si>
  <si>
    <t>Highest margin in recent history</t>
  </si>
  <si>
    <t>Sequential expansion in Q2 17 for CWC</t>
  </si>
  <si>
    <t>(and passed difficult Q1 16 comp)</t>
  </si>
  <si>
    <t>Down 36% H1 17 on H1 16 at CWC</t>
  </si>
  <si>
    <t>Capex high given coverage expansion</t>
  </si>
  <si>
    <t>After</t>
  </si>
  <si>
    <t>21-23%</t>
  </si>
  <si>
    <t>19-21%</t>
  </si>
  <si>
    <t>18-20%</t>
  </si>
  <si>
    <t>na*</t>
  </si>
  <si>
    <t>Before Q2</t>
  </si>
  <si>
    <t>Q2 17 results call</t>
  </si>
  <si>
    <t>10 new execs from Europe added</t>
  </si>
  <si>
    <t>Buy back</t>
  </si>
  <si>
    <t>Working capital better, tax gain</t>
  </si>
  <si>
    <t xml:space="preserve">In-line with $300m 3-year plan </t>
  </si>
  <si>
    <t>Cash flow for debt paydown</t>
  </si>
  <si>
    <t>Lower cash capex ($30m), more vendor financing</t>
  </si>
  <si>
    <t>Management change in the Bahamas</t>
  </si>
  <si>
    <t>Capex…where is the cut coming from?</t>
  </si>
  <si>
    <t>efficiencies….part of the synergies of $75m</t>
  </si>
  <si>
    <t>KPIs - improvements will come</t>
  </si>
  <si>
    <t>Tax loss carry forwards</t>
  </si>
  <si>
    <t>Repatriation in Chile</t>
  </si>
  <si>
    <t>withholding taxes have changed</t>
  </si>
  <si>
    <t>June 30 - $165m of cash in Chile. Some used in July for interest up to Dutch BV</t>
  </si>
  <si>
    <t>received $27m in cash tax</t>
  </si>
  <si>
    <t>one year ago had higher cash taxes</t>
  </si>
  <si>
    <t>details all being worked out, that's why filing was confidential</t>
  </si>
  <si>
    <t>what is required by lilac in order to hit on all cylinders, and also as regards procurement</t>
  </si>
  <si>
    <t>do not want to set lilac adrift on its own</t>
  </si>
  <si>
    <t>Competition has been ramping</t>
  </si>
  <si>
    <t>October last year</t>
  </si>
  <si>
    <t>Seeing a levelling off in the Bahamas</t>
  </si>
  <si>
    <t>Pretty much on a 3 year outlook</t>
  </si>
  <si>
    <t>Will provide a headwind here</t>
  </si>
  <si>
    <t>TSTT sale going?</t>
  </si>
  <si>
    <t>Massi was bought by TSTT, changed the dynamics somewhat</t>
  </si>
  <si>
    <t>RGU growth in T&amp;T, Jamaica</t>
  </si>
  <si>
    <t>some video growth in Q2. Were on the their heels there. Some stability</t>
  </si>
  <si>
    <t>key is ongoing upgrade and expansion plan</t>
  </si>
  <si>
    <t>VDSL upgrade, outside of any competitor. This will support</t>
  </si>
  <si>
    <t>seeing this with super bundles</t>
  </si>
  <si>
    <t>250,000 homes passed</t>
  </si>
  <si>
    <t>large chunk is upgrades in jamaica and panama</t>
  </si>
  <si>
    <t>no change here</t>
  </si>
  <si>
    <t>hospitality?</t>
  </si>
  <si>
    <t>M&amp;A characteristics</t>
  </si>
  <si>
    <t>1/ trying to build regional scale. Opps or markets where can become a sizeable player</t>
  </si>
  <si>
    <t>big pipeline today…will come up with the same names am sure</t>
  </si>
  <si>
    <t>super busy looking at this</t>
  </si>
  <si>
    <t>spin off creating momentum and excitement</t>
  </si>
  <si>
    <t>2/ vertical integration</t>
  </si>
  <si>
    <t>interest in UNI (?) low. Good dialogue with Televisa</t>
  </si>
  <si>
    <t>chasing a business which is primarily US based is unlikely</t>
  </si>
  <si>
    <t>region is looking for leadership</t>
  </si>
  <si>
    <t>David Zaslav, CEO Discovery</t>
  </si>
  <si>
    <t>Mike Fries, CEO LBTY</t>
  </si>
  <si>
    <t>Jon Feltheimer, CEO Lionsgate</t>
  </si>
  <si>
    <t>Millicom offer</t>
  </si>
  <si>
    <t>Entel offer</t>
  </si>
  <si>
    <t>Take-out price, CLP</t>
  </si>
  <si>
    <t>Equity, CLP</t>
  </si>
  <si>
    <t>Current price, CLP</t>
  </si>
  <si>
    <t>Entel, $m</t>
  </si>
  <si>
    <t>Entel EBITDA</t>
  </si>
  <si>
    <t>Entel EFCF</t>
  </si>
  <si>
    <t>LiLAC-Entel EFCF</t>
  </si>
  <si>
    <t>Entel, US$m</t>
  </si>
  <si>
    <t>MEGA offer</t>
  </si>
  <si>
    <t>Take-out price, MXN</t>
  </si>
  <si>
    <t>Equity, MXN</t>
  </si>
  <si>
    <t>MXN/$</t>
  </si>
  <si>
    <t>MEGA, $m</t>
  </si>
  <si>
    <t>Entel debt</t>
  </si>
  <si>
    <t>MEGA debt</t>
  </si>
  <si>
    <t>MEGA EBITDA</t>
  </si>
  <si>
    <t>MEGA EFCF</t>
  </si>
  <si>
    <t>MEGA-Entel EFCF</t>
  </si>
  <si>
    <t>MEGA, US$m</t>
  </si>
  <si>
    <t xml:space="preserve">Synergies </t>
  </si>
  <si>
    <t>Entel</t>
  </si>
  <si>
    <t>MEGA</t>
  </si>
  <si>
    <t>2019 EFCF yield</t>
  </si>
  <si>
    <t>Telecom</t>
  </si>
  <si>
    <t>LiLAC share of equity</t>
  </si>
  <si>
    <t>LiLAC equity at issuance</t>
  </si>
  <si>
    <t>MIC equity at bid</t>
  </si>
  <si>
    <t>share of synergies</t>
  </si>
  <si>
    <t>per share value today</t>
  </si>
  <si>
    <t>Entel equity at bid</t>
  </si>
  <si>
    <t>MEGA equity at bid</t>
  </si>
  <si>
    <t>Capex, USDm</t>
  </si>
  <si>
    <t>Q4 18e</t>
  </si>
  <si>
    <t>Puerto Rico *</t>
  </si>
  <si>
    <t>* 2019 multiple</t>
  </si>
  <si>
    <t>Lost revenue / EBITDA</t>
  </si>
  <si>
    <t>Total lost revs</t>
  </si>
  <si>
    <t>New revenue</t>
  </si>
  <si>
    <t>New capex</t>
  </si>
  <si>
    <t>Extra capex</t>
  </si>
  <si>
    <t>Impact on OpFCF</t>
  </si>
  <si>
    <t>% recovery</t>
  </si>
  <si>
    <t>Kunal - Sept 17, after roadshow</t>
  </si>
  <si>
    <t>Distribution to members…?</t>
  </si>
  <si>
    <t>Covenants on the debt?</t>
  </si>
  <si>
    <t>Insurance from Matthews?</t>
  </si>
  <si>
    <t>minority dividend</t>
  </si>
  <si>
    <t>yes</t>
  </si>
  <si>
    <t>Ventures/other</t>
  </si>
  <si>
    <t>Homes rebuilt</t>
  </si>
  <si>
    <t>Cost/home passed</t>
  </si>
  <si>
    <t>Customers reconnected</t>
  </si>
  <si>
    <t>Cost/home connected</t>
  </si>
  <si>
    <t>CPE capex</t>
  </si>
  <si>
    <t>% to be re-passed</t>
  </si>
  <si>
    <t>Cost/home passed, US</t>
  </si>
  <si>
    <t>discount for wage differentials</t>
  </si>
  <si>
    <t>Capex for homes passed</t>
  </si>
  <si>
    <t>Core/other capex</t>
  </si>
  <si>
    <t>Before</t>
  </si>
  <si>
    <t>100% EV</t>
  </si>
  <si>
    <t>Prop equity</t>
  </si>
  <si>
    <t>New</t>
  </si>
  <si>
    <t>Implied multiple on 2018e</t>
  </si>
  <si>
    <t>2018e EBITDA</t>
  </si>
  <si>
    <t>Insurance (prop)</t>
  </si>
  <si>
    <t>Total prop equity</t>
  </si>
  <si>
    <t>Insurance payout</t>
  </si>
  <si>
    <t>Prop insurance</t>
  </si>
  <si>
    <t>Implied multiple on 2019e</t>
  </si>
  <si>
    <t>2019e EBITDA</t>
  </si>
  <si>
    <t>US$ mn</t>
  </si>
  <si>
    <t>Loss of equity value</t>
  </si>
  <si>
    <t>Group, USDm</t>
  </si>
  <si>
    <t>LBTY FCF</t>
  </si>
  <si>
    <t>Lost revenue as %</t>
  </si>
  <si>
    <t>Total loss of OpFCF</t>
  </si>
  <si>
    <t>Total Hurricane impact</t>
  </si>
  <si>
    <t>Puerto Rico loss</t>
  </si>
  <si>
    <t>Other loss</t>
  </si>
  <si>
    <t>per share</t>
  </si>
  <si>
    <t>OpFCF plus lost revenue</t>
  </si>
  <si>
    <t>dilution</t>
  </si>
  <si>
    <t>OpFCF (P&amp;E)</t>
  </si>
  <si>
    <t xml:space="preserve">PR </t>
  </si>
  <si>
    <t>Now</t>
  </si>
  <si>
    <t>LPR Term loan B</t>
  </si>
  <si>
    <t>LPR Term loan C</t>
  </si>
  <si>
    <t>Revolver facility</t>
  </si>
  <si>
    <t>Liquidity</t>
  </si>
  <si>
    <t>Bank facility</t>
  </si>
  <si>
    <t>Dec-16</t>
  </si>
  <si>
    <t>Carrying</t>
  </si>
  <si>
    <t>8.625% 2019</t>
  </si>
  <si>
    <t>7.375% 2021</t>
  </si>
  <si>
    <t>6.875% 2022</t>
  </si>
  <si>
    <t>Regional debt</t>
  </si>
  <si>
    <t>Finance lease</t>
  </si>
  <si>
    <t>discounts</t>
  </si>
  <si>
    <t>Term loan</t>
  </si>
  <si>
    <t>Senior credit facility</t>
  </si>
  <si>
    <t>Senior notes</t>
  </si>
  <si>
    <t>6.875% senior secured notes</t>
  </si>
  <si>
    <t>Cash and equivalents</t>
  </si>
  <si>
    <t>LiLAC liquidity</t>
  </si>
  <si>
    <t>Other liquidity</t>
  </si>
  <si>
    <t>Total liquidity</t>
  </si>
  <si>
    <t>VTR dollar facility</t>
  </si>
  <si>
    <t>VTR peso facility</t>
  </si>
  <si>
    <t>Total facilities</t>
  </si>
  <si>
    <t>Leverage</t>
  </si>
  <si>
    <t>DISH</t>
  </si>
  <si>
    <t>DISH Latino Classic</t>
  </si>
  <si>
    <t>DISH Latino Plus</t>
  </si>
  <si>
    <t>DISH Latino Two</t>
  </si>
  <si>
    <t>180+</t>
  </si>
  <si>
    <t>190+</t>
  </si>
  <si>
    <t>225+</t>
  </si>
  <si>
    <t>DISH Latino Max</t>
  </si>
  <si>
    <t>270+</t>
  </si>
  <si>
    <t>Spanish basic</t>
  </si>
  <si>
    <t>Upick HD</t>
  </si>
  <si>
    <t>Ultimate HD</t>
  </si>
  <si>
    <t>All channels, multi-room</t>
  </si>
  <si>
    <t>Promo</t>
  </si>
  <si>
    <t>Speed</t>
  </si>
  <si>
    <t>PR/US unlimited</t>
  </si>
  <si>
    <t>Signature</t>
  </si>
  <si>
    <t>Fixed voice/BB combo</t>
  </si>
  <si>
    <t>Distribution deal with Dish</t>
  </si>
  <si>
    <t>AMX (Claro)</t>
  </si>
  <si>
    <t>Wireless internet</t>
  </si>
  <si>
    <t>300MB</t>
  </si>
  <si>
    <t>$ 9.99</t>
  </si>
  <si>
    <t>1GB</t>
  </si>
  <si>
    <t>$ 14.99</t>
  </si>
  <si>
    <t>3GB</t>
  </si>
  <si>
    <t>$ 29.99</t>
  </si>
  <si>
    <t>5GB</t>
  </si>
  <si>
    <t>$ 39.99</t>
  </si>
  <si>
    <t>10GB</t>
  </si>
  <si>
    <t>$ 59.99</t>
  </si>
  <si>
    <t>15GB *</t>
  </si>
  <si>
    <t>$ 69.99</t>
  </si>
  <si>
    <t>20GB *</t>
  </si>
  <si>
    <t>$ 79.99</t>
  </si>
  <si>
    <t>30GB *</t>
  </si>
  <si>
    <t>$ 99.99</t>
  </si>
  <si>
    <t>Capacity</t>
  </si>
  <si>
    <t>DTH</t>
  </si>
  <si>
    <t>BB only</t>
  </si>
  <si>
    <t>TV only</t>
  </si>
  <si>
    <t xml:space="preserve">(No mention of available </t>
  </si>
  <si>
    <t>speeds on website)</t>
  </si>
  <si>
    <t>Old revenue (pre-hurricane)</t>
  </si>
  <si>
    <t>Old capex (pre-hurricave)</t>
  </si>
  <si>
    <t>Results summary</t>
  </si>
  <si>
    <t>LiLAC Group</t>
  </si>
  <si>
    <t>CWC (fixed income definition)</t>
  </si>
  <si>
    <t>Elims / other reconcile</t>
  </si>
  <si>
    <t>Available to draw down</t>
  </si>
  <si>
    <t>A</t>
  </si>
  <si>
    <t>B</t>
  </si>
  <si>
    <t>C</t>
  </si>
  <si>
    <t>LBTY</t>
  </si>
  <si>
    <t>Time of LiLAC issuance to LBTY</t>
  </si>
  <si>
    <t>Malone stake (July-17)</t>
  </si>
  <si>
    <t>5th</t>
  </si>
  <si>
    <t>6th</t>
  </si>
  <si>
    <t>7th</t>
  </si>
  <si>
    <t>10th</t>
  </si>
  <si>
    <t>11th</t>
  </si>
  <si>
    <t>12th</t>
  </si>
  <si>
    <t>Total open market</t>
  </si>
  <si>
    <t>Value, $</t>
  </si>
  <si>
    <t>Q3 17</t>
  </si>
  <si>
    <t>Total LiLAC (from LBTY)</t>
  </si>
  <si>
    <t>hurricane revs adjs</t>
  </si>
  <si>
    <t>hurricane EBITDA adjs</t>
  </si>
  <si>
    <t>adj</t>
  </si>
  <si>
    <t>Growth rates</t>
  </si>
  <si>
    <t xml:space="preserve">Q3 17 </t>
  </si>
  <si>
    <t>diff</t>
  </si>
  <si>
    <t>Hurricane</t>
  </si>
  <si>
    <t>Q4 17</t>
  </si>
  <si>
    <t>80-100</t>
  </si>
  <si>
    <t>60-80</t>
  </si>
  <si>
    <t>15-25</t>
  </si>
  <si>
    <t>Capex re-build</t>
  </si>
  <si>
    <t>Derivs contract</t>
  </si>
  <si>
    <t>EBITDA with impact added back</t>
  </si>
  <si>
    <t>y/y rep</t>
  </si>
  <si>
    <t>revenue with add back</t>
  </si>
  <si>
    <t>Q3 17 adj</t>
  </si>
  <si>
    <t>Q4 17 adj</t>
  </si>
  <si>
    <t>EBITDA, US$ mn</t>
  </si>
  <si>
    <t>Subs connected is stil very low</t>
  </si>
  <si>
    <t>More dense metro will be prioritised</t>
  </si>
  <si>
    <t>40% of revs from greater San Juan area</t>
  </si>
  <si>
    <t>18 wifi hotspots</t>
  </si>
  <si>
    <t>mobile wifi tour caravan</t>
  </si>
  <si>
    <t>commited for the long haul</t>
  </si>
  <si>
    <t>long road to full recovery, well into 2018 at the earliest</t>
  </si>
  <si>
    <t>copper to VDSL</t>
  </si>
  <si>
    <t>18l new adds</t>
  </si>
  <si>
    <t>bundling prem league</t>
  </si>
  <si>
    <t>mobile revs up 20%</t>
  </si>
  <si>
    <t>mobile gross margin  held steady</t>
  </si>
  <si>
    <t>Handset subsidies high</t>
  </si>
  <si>
    <t>Managed service</t>
  </si>
  <si>
    <t>20% up revs in Jamaica</t>
  </si>
  <si>
    <t>Balan Nair</t>
  </si>
  <si>
    <t>Post spin will benefit from LBTY group after the spin</t>
  </si>
  <si>
    <t>ADSL which is not overlapped being upgraded</t>
  </si>
  <si>
    <t xml:space="preserve">Back on track. Revs, OCF </t>
  </si>
  <si>
    <t>30% of B2B customers re-connected</t>
  </si>
  <si>
    <t>Transmission in center of island is the issue</t>
  </si>
  <si>
    <t>Debt covenants</t>
  </si>
  <si>
    <t>Main backbone is restored</t>
  </si>
  <si>
    <t>when have power, matter of days before power restorde. And rely on their poles</t>
  </si>
  <si>
    <t>Insurance</t>
  </si>
  <si>
    <t>policy is an integrated policy</t>
  </si>
  <si>
    <t>Can pick up multiple jurisdictions</t>
  </si>
  <si>
    <t>LBTY global is the beneficiary</t>
  </si>
  <si>
    <t>Can "cure" the covenants, max of 2 per Q</t>
  </si>
  <si>
    <t>market remains very volatile</t>
  </si>
  <si>
    <t>target is therefore on homes passed</t>
  </si>
  <si>
    <t>disappointed with the pace of FTTH sale through</t>
  </si>
  <si>
    <t>got some guys from Cable Bahamas</t>
  </si>
  <si>
    <t>June-14</t>
  </si>
  <si>
    <t>Post-Q3 2017</t>
  </si>
  <si>
    <t>LCPR covenants</t>
  </si>
  <si>
    <t>Insurance proceeds</t>
  </si>
  <si>
    <t>Hurricane impact on EBITDA</t>
  </si>
  <si>
    <t>1st lien</t>
  </si>
  <si>
    <t>First lien</t>
  </si>
  <si>
    <t>Net on first lien</t>
  </si>
  <si>
    <t>Underlying OCF</t>
  </si>
  <si>
    <t>Facility</t>
  </si>
  <si>
    <t>hurricane</t>
  </si>
  <si>
    <t>insurance</t>
  </si>
  <si>
    <t>Annualised OCF</t>
  </si>
  <si>
    <t>Net on first lien adj OCF</t>
  </si>
  <si>
    <t>add injections</t>
  </si>
  <si>
    <t>1m RGUs in new plants</t>
  </si>
  <si>
    <t>Liberty Go</t>
  </si>
  <si>
    <t>double digit growth</t>
  </si>
  <si>
    <t>12% of revs</t>
  </si>
  <si>
    <t>SOHO, SMEs up 20-30%</t>
  </si>
  <si>
    <t>B2C</t>
  </si>
  <si>
    <t>2.7m homes passed added in last 3/4 years</t>
  </si>
  <si>
    <t>programming and product invs</t>
  </si>
  <si>
    <t>Costs</t>
  </si>
  <si>
    <t>Expansion</t>
  </si>
  <si>
    <t>Already highly efficient. 50-60% system level, 47% at consol level</t>
  </si>
  <si>
    <t>tech and IT from countries to central group</t>
  </si>
  <si>
    <t>Keep flat opex when top line grows</t>
  </si>
  <si>
    <t>Q3/4</t>
  </si>
  <si>
    <t>UK the biggest opportunity</t>
  </si>
  <si>
    <t>Q4 price increase, rolling through in November</t>
  </si>
  <si>
    <t>BT had a 4% price increase, every 9 months</t>
  </si>
  <si>
    <t>Customers used to spending more for more</t>
  </si>
  <si>
    <t>V6 box, MPS up, churn down. New BB products, relaunching mobile - BT deal, fuller mobile product</t>
  </si>
  <si>
    <t>Not just pricing:</t>
  </si>
  <si>
    <t>Well ahead in Belgium of mobile/fixed convergence</t>
  </si>
  <si>
    <t>some headwinds on mobile, with some top line pressure</t>
  </si>
  <si>
    <t>A lot of incumbent noise</t>
  </si>
  <si>
    <t>Fibre scarce in Europe though. Up to 30%  in Switz, Holland</t>
  </si>
  <si>
    <t>cable 2 steps forward</t>
  </si>
  <si>
    <t>50m homes with GB ready</t>
  </si>
  <si>
    <t>75% ready with 3.1 to 1GB, and then 10 GB</t>
  </si>
  <si>
    <t>2015 capex - incremental $1.7bn over 16 + 17</t>
  </si>
  <si>
    <t>new build, capacity, products</t>
  </si>
  <si>
    <t>2-3x faster than competitors</t>
  </si>
  <si>
    <t>G.fast - will cost a lot of money and take timw</t>
  </si>
  <si>
    <t>VODs / City fibre - 1m homes over 4/5 years, not v significant</t>
  </si>
  <si>
    <t>LBTY at MS</t>
  </si>
  <si>
    <t>Usage</t>
  </si>
  <si>
    <t>120 Mbps - average delivery at LBTY</t>
  </si>
  <si>
    <t>120 GB per month of usage</t>
  </si>
  <si>
    <t>4-5x is target leverage. At higher end today</t>
  </si>
  <si>
    <t>Debt is ring fenced, no parent company, hedged in local currency, fixed, long-term</t>
  </si>
  <si>
    <t>OK if you have growing EBITDA</t>
  </si>
  <si>
    <t>New build</t>
  </si>
  <si>
    <t>tap into liquidity -$1.5bn in FCF</t>
  </si>
  <si>
    <t>private/public markets…huge gap in valuations..opps for buyers and sellers</t>
  </si>
  <si>
    <t>largely self financing</t>
  </si>
  <si>
    <t>M&amp;A pipeline</t>
  </si>
  <si>
    <t>Convergence</t>
  </si>
  <si>
    <t>US investors more cautious typically</t>
  </si>
  <si>
    <t>Market by market decision….generally a matter of time (in terms of converging)</t>
  </si>
  <si>
    <t>Learnt?</t>
  </si>
  <si>
    <t>Synergies are real. $0.5bn where done</t>
  </si>
  <si>
    <t>Makes customers happy, MPS and churn down</t>
  </si>
  <si>
    <t>Mobile is tough</t>
  </si>
  <si>
    <t>reg headwinds lapping</t>
  </si>
  <si>
    <t>too many competitors</t>
  </si>
  <si>
    <t>5G is a pipedream unless consolidation..120 ops in Europe</t>
  </si>
  <si>
    <t>handset sales mechanisms lapping</t>
  </si>
  <si>
    <t>Sell mobile to fixed, easier. Other way around, harder</t>
  </si>
  <si>
    <t>Price increase is lower, and only took 1 change. In 2016 VMED took 2 larger hikes</t>
  </si>
  <si>
    <t>Churn spiked in early 2017. think they’ve sorted out the UK</t>
  </si>
  <si>
    <t>rating increase segmented</t>
  </si>
  <si>
    <t>announcement staggered</t>
  </si>
  <si>
    <t>invested heavily in networks and improve MPS</t>
  </si>
  <si>
    <t>want to retain 70% of rate increase into NY</t>
  </si>
  <si>
    <t>BT also took another increase, so not doing it on their own</t>
  </si>
  <si>
    <t>Consumers…?</t>
  </si>
  <si>
    <t>no material moves in consumer moves</t>
  </si>
  <si>
    <t>Brexit a political drama so far</t>
  </si>
  <si>
    <t>no trickle down yet</t>
  </si>
  <si>
    <t>no activity change</t>
  </si>
  <si>
    <t>Project Lightning</t>
  </si>
  <si>
    <t>Scale is key</t>
  </si>
  <si>
    <t>national scale is key</t>
  </si>
  <si>
    <t>UK was a natural business</t>
  </si>
  <si>
    <t>A lot of homes which Telewest and NTL rolled out that nobody knew about</t>
  </si>
  <si>
    <t xml:space="preserve">147,000 build in Q3. </t>
  </si>
  <si>
    <t>30% pen after 2 years</t>
  </si>
  <si>
    <t>retrans fees</t>
  </si>
  <si>
    <t>£18m per year to ITV for rights</t>
  </si>
  <si>
    <t>High margin, low ARPU video business</t>
  </si>
  <si>
    <t xml:space="preserve">Don't pay a lot for content. </t>
  </si>
  <si>
    <t>Pay EUR8 per month, slightly more in the UK where premium content</t>
  </si>
  <si>
    <t>Much more stable</t>
  </si>
  <si>
    <t>new investment is not really into linear</t>
  </si>
  <si>
    <t>more into ott, multi-device</t>
  </si>
  <si>
    <t>Electronic Comms Code</t>
  </si>
  <si>
    <t>Hope for a program which encourages investment</t>
  </si>
  <si>
    <t>Europe needs incentives</t>
  </si>
  <si>
    <t>Commission realises need to de-regulate</t>
  </si>
  <si>
    <t>Local regs see an opportunity to rein in</t>
  </si>
  <si>
    <t>Spring, Q3/Q4 18 before anything concluded</t>
  </si>
  <si>
    <t>Cable - as dense and capable as fibre in Europe</t>
  </si>
  <si>
    <t>Entering a MVNO deal which includes 5G - not yet announced</t>
  </si>
  <si>
    <t>5G will never match fixed speeds</t>
  </si>
  <si>
    <t xml:space="preserve">5G will not replace the 80% of total bandwidth going across </t>
  </si>
  <si>
    <t>Ducts, poles - and BT wholesale price cut in Apr-18</t>
  </si>
  <si>
    <t>wholesale,  is on lower speed product, not LBTY's focus</t>
  </si>
  <si>
    <t>LBTY going after high speed</t>
  </si>
  <si>
    <t>Will be some tactical build here and there. City Fibre a good ex</t>
  </si>
  <si>
    <t>OTT impact ?</t>
  </si>
  <si>
    <t>Will be more disruptive to Content owners than distributors</t>
  </si>
  <si>
    <t>one third of revs from video</t>
  </si>
  <si>
    <t>OTT drives BB demand</t>
  </si>
  <si>
    <t>1/</t>
  </si>
  <si>
    <t>Comcast…paradox of choice. 300 OTT apps. Need a platform and device which means you don't have choose</t>
  </si>
  <si>
    <t>space in between connectivity and the show</t>
  </si>
  <si>
    <t>interface, experience, economics</t>
  </si>
  <si>
    <t>If cable operator not investing in opportunity and experience, it's an issue</t>
  </si>
  <si>
    <t>Less Capex (PE adds)</t>
  </si>
  <si>
    <t>Hard Spin</t>
  </si>
  <si>
    <t>record date</t>
  </si>
  <si>
    <t>distribution date</t>
  </si>
  <si>
    <t>shares trade</t>
  </si>
  <si>
    <t>Intercompany</t>
  </si>
  <si>
    <t>Services</t>
  </si>
  <si>
    <t>management, procurement, legal, tax</t>
  </si>
  <si>
    <t>Sublease</t>
  </si>
  <si>
    <t>15,000 sq ft in Denver</t>
  </si>
  <si>
    <t xml:space="preserve">Employees seconded </t>
  </si>
  <si>
    <t>Treasury, insurance, risk management</t>
  </si>
  <si>
    <t>Pricing comps - Nov/Dec 17</t>
  </si>
  <si>
    <t>Play 30</t>
  </si>
  <si>
    <t>Flow Ultra</t>
  </si>
  <si>
    <t>&lt;40</t>
  </si>
  <si>
    <t>&lt;60</t>
  </si>
  <si>
    <t>&lt;300</t>
  </si>
  <si>
    <t>Play 60</t>
  </si>
  <si>
    <t>Mentions price increase 1 November 2017</t>
  </si>
  <si>
    <t>on website</t>
  </si>
  <si>
    <t>Plan back!</t>
  </si>
  <si>
    <t>But, reintroduced Essential Plan back?? Just renaming?</t>
  </si>
  <si>
    <t>Nov 2017</t>
  </si>
  <si>
    <t>5-10%</t>
  </si>
  <si>
    <t>GDP momentum, y/y</t>
  </si>
  <si>
    <t>Revenue, US$ m</t>
  </si>
  <si>
    <t>LiLAC, US$m (country) - from CWC quart accounts</t>
  </si>
  <si>
    <t>Q4 17 est</t>
  </si>
  <si>
    <t>Q4 17 act</t>
  </si>
  <si>
    <t>2017 act</t>
  </si>
  <si>
    <t>- of which corporate/other</t>
  </si>
  <si>
    <t>Adj EBITDA (ex PR impact)</t>
  </si>
  <si>
    <t>Adj Revenue (ex PR impact)</t>
  </si>
  <si>
    <t>Revenue, y/y (re-based)</t>
  </si>
  <si>
    <t>benefit of $14.5m in OCF in 2017, not saying what it is in 2018</t>
  </si>
  <si>
    <t>$12m is lowering EBITDA for 2017</t>
  </si>
  <si>
    <t>equally per Q</t>
  </si>
  <si>
    <t>$1367</t>
  </si>
  <si>
    <t>after pension credit taken out</t>
  </si>
  <si>
    <t>plus some costs relating to being a public company</t>
  </si>
  <si>
    <t>pension credits</t>
  </si>
  <si>
    <t>2018 consensus</t>
  </si>
  <si>
    <t>ocf</t>
  </si>
  <si>
    <t>q4 17</t>
  </si>
  <si>
    <t xml:space="preserve">q3 </t>
  </si>
  <si>
    <t>used the august number</t>
  </si>
  <si>
    <t>q4</t>
  </si>
  <si>
    <t>net disconnects that have happened i.e. I'm leaving</t>
  </si>
  <si>
    <t>Getting credits…zero billing</t>
  </si>
  <si>
    <t>Yes, 50% of revenue back on-line</t>
  </si>
  <si>
    <t>q1 19</t>
  </si>
  <si>
    <t>covenants calculated for 1st time</t>
  </si>
  <si>
    <t>expect to be ok by then</t>
  </si>
  <si>
    <t>up to $60m if needed</t>
  </si>
  <si>
    <t>didn't pay for waiver</t>
  </si>
  <si>
    <t xml:space="preserve">rebuild costs </t>
  </si>
  <si>
    <t>watch this space</t>
  </si>
  <si>
    <t>New FCF definition</t>
  </si>
  <si>
    <t>- of which other</t>
  </si>
  <si>
    <t>AMX PR vs Dom Republic</t>
  </si>
  <si>
    <t>Q4 17 cc</t>
  </si>
  <si>
    <t>Jamaica very good, Panama a bit less so - where next?</t>
  </si>
  <si>
    <t>FCF guidance for 2018</t>
  </si>
  <si>
    <t>Pipeline is full, both large and small</t>
  </si>
  <si>
    <t>Does capex include successful insurance claims</t>
  </si>
  <si>
    <t xml:space="preserve">All links restored in Q1. </t>
  </si>
  <si>
    <t>60% of pre-hurricane RGUs</t>
  </si>
  <si>
    <t>Of the disconnected RGUs, leaving rhe country, or going to a competitor</t>
  </si>
  <si>
    <t>shares depressed, balance sheet at 5x, how consider large deals</t>
  </si>
  <si>
    <t>Other EBITDA up to $10m in Q4…one of listing costs, or sustainable</t>
  </si>
  <si>
    <t>Chile - any threats coming from Entel ftth</t>
  </si>
  <si>
    <t>3 new LTE markets in 2017</t>
  </si>
  <si>
    <t>LTE growth of subs 400000</t>
  </si>
  <si>
    <t>22% LTE pen across CWC</t>
  </si>
  <si>
    <t>Cable video 20% pen in Panama</t>
  </si>
  <si>
    <t>This week</t>
  </si>
  <si>
    <t>advance payment of $50m, $30m is net</t>
  </si>
  <si>
    <t>before Q1</t>
  </si>
  <si>
    <t>Capex includes insurance claims</t>
  </si>
  <si>
    <t>Costa Rica</t>
  </si>
  <si>
    <t>submarine cable into CR</t>
  </si>
  <si>
    <t>some scale, procurement</t>
  </si>
  <si>
    <t>supportive of legislation</t>
  </si>
  <si>
    <t>FCF, insurance a factor</t>
  </si>
  <si>
    <t>6.4bn</t>
  </si>
  <si>
    <t>400m of interest</t>
  </si>
  <si>
    <t>cash taxes</t>
  </si>
  <si>
    <t>140 ex 30m refunds</t>
  </si>
  <si>
    <t>Jamaica key growth driver for next year</t>
  </si>
  <si>
    <t>positive trends in other markets</t>
  </si>
  <si>
    <t>base factor, lower churn</t>
  </si>
  <si>
    <t>adj product offering</t>
  </si>
  <si>
    <t>new build in certain markets</t>
  </si>
  <si>
    <t>75% power restore. 100% toward end of Q2. slower than expected, heavily devastated mountain area an issue</t>
  </si>
  <si>
    <t>Corporate cost</t>
  </si>
  <si>
    <t>$10m in Q4</t>
  </si>
  <si>
    <t>add something…for staff</t>
  </si>
  <si>
    <t>So $50m for the FY?</t>
  </si>
  <si>
    <t>Bundling ratio on subs</t>
  </si>
  <si>
    <t>no particular changes</t>
  </si>
  <si>
    <t>think can grow their share of the business</t>
  </si>
  <si>
    <t>entry product now is 100 Mbps</t>
  </si>
  <si>
    <t>Cabletica</t>
  </si>
  <si>
    <t>cash from cash on hand, or vtr line or cwc line</t>
  </si>
  <si>
    <t>no significant tax leakage</t>
  </si>
  <si>
    <t>Depreciation / impairment</t>
  </si>
  <si>
    <t>Derivatives etc</t>
  </si>
  <si>
    <t>Pricing comps - Mar 1, 2018</t>
  </si>
  <si>
    <t>Homes passed, 000s</t>
  </si>
  <si>
    <t>POPs/home</t>
  </si>
  <si>
    <t>pen of base</t>
  </si>
  <si>
    <t>RGUs/subs</t>
  </si>
  <si>
    <t>CRC/$</t>
  </si>
  <si>
    <t>av revs per RGU, m</t>
  </si>
  <si>
    <t>Gain/loss on debt modification</t>
  </si>
  <si>
    <t>Working capital changes / other</t>
  </si>
  <si>
    <t>tax rate</t>
  </si>
  <si>
    <t>Costa Rica tax rate</t>
  </si>
  <si>
    <t>Follow up</t>
  </si>
  <si>
    <t>Minority payment to PR in 17</t>
  </si>
  <si>
    <t>Corp costs - $50m / annum?</t>
  </si>
  <si>
    <t>CR to close when?</t>
  </si>
  <si>
    <t>CR funding costs</t>
  </si>
  <si>
    <t>2027 senior notes</t>
  </si>
  <si>
    <t>Other facilities (revolver, regional)</t>
  </si>
  <si>
    <t>Pension payments??</t>
  </si>
  <si>
    <t>Margin progression in PR</t>
  </si>
  <si>
    <t>programming - variable</t>
  </si>
  <si>
    <t>fixed costs</t>
  </si>
  <si>
    <t>$14m /m OCF PR</t>
  </si>
  <si>
    <t>last 2 Q ocf</t>
  </si>
  <si>
    <t>6-8 months</t>
  </si>
  <si>
    <t>listing</t>
  </si>
  <si>
    <t>diseconomies splitting out</t>
  </si>
  <si>
    <t>sabaine oxley - compliance etc</t>
  </si>
  <si>
    <t>$12m royalties</t>
  </si>
  <si>
    <t>nothing flagged</t>
  </si>
  <si>
    <t>2 occurences</t>
  </si>
  <si>
    <t>$60m, $30m net</t>
  </si>
  <si>
    <t>CRC bn</t>
  </si>
  <si>
    <t>as % POPs</t>
  </si>
  <si>
    <t>Subs, 000s</t>
  </si>
  <si>
    <t>RGUs, 000s</t>
  </si>
  <si>
    <t>Liberty FCF</t>
  </si>
  <si>
    <t>CWC EV</t>
  </si>
  <si>
    <t>CWC SOP</t>
  </si>
  <si>
    <t>2017a net debt</t>
  </si>
  <si>
    <t>$/£ (time of deal)</t>
  </si>
  <si>
    <t>Per share, pence</t>
  </si>
  <si>
    <t>Old CWC SHOUT</t>
  </si>
  <si>
    <t>Q1 18</t>
  </si>
  <si>
    <t>Restructuring in Bahamas..100 people</t>
  </si>
  <si>
    <t>legisaltion through first reading</t>
  </si>
  <si>
    <t>now through second</t>
  </si>
  <si>
    <t>up to 180 days puiblic consultation</t>
  </si>
  <si>
    <t>wouldn't rule out a bid from LiLAC</t>
  </si>
  <si>
    <t>on government metrics &lt;50% share (subs stats)</t>
  </si>
  <si>
    <t>Inge started around start of Q1</t>
  </si>
  <si>
    <t>Balan's choice</t>
  </si>
  <si>
    <t>Balan's met a couple of investors</t>
  </si>
  <si>
    <t>Doing great work but still difficult</t>
  </si>
  <si>
    <t>Balan</t>
  </si>
  <si>
    <t>Very smart, IQ and EQ basis</t>
  </si>
  <si>
    <t>energetic, measured</t>
  </si>
  <si>
    <t>Team player, natural leader</t>
  </si>
  <si>
    <t>A lot of low hanging fruit</t>
  </si>
  <si>
    <t>1. right operating model</t>
  </si>
  <si>
    <t>diff responsibilities are laid out</t>
  </si>
  <si>
    <t>and supported from the top</t>
  </si>
  <si>
    <t>2. people</t>
  </si>
  <si>
    <t>right folks</t>
  </si>
  <si>
    <t>some changes at the op cos</t>
  </si>
  <si>
    <t>Kerris Cod, HR from VOD</t>
  </si>
  <si>
    <t>Ray Collins</t>
  </si>
  <si>
    <t>chief strat from VOD</t>
  </si>
  <si>
    <t>Very strong team in place</t>
  </si>
  <si>
    <t>early stages of this process</t>
  </si>
  <si>
    <t>this is the team now set</t>
  </si>
  <si>
    <t>Wants to be in the markets all the time</t>
  </si>
  <si>
    <t>Very good friend with Ramos</t>
  </si>
  <si>
    <t>neighbouring offices</t>
  </si>
  <si>
    <t>family holidays together</t>
  </si>
  <si>
    <t>"hard to screw things up from here"</t>
  </si>
  <si>
    <t>Focus</t>
  </si>
  <si>
    <t>PR back on track</t>
  </si>
  <si>
    <t>Chris Noyes very upbeat on this</t>
  </si>
  <si>
    <t>Underestimating the equity value</t>
  </si>
  <si>
    <t>Guillermo Ponse</t>
  </si>
  <si>
    <t>VTR CEO meeting</t>
  </si>
  <si>
    <t>Entel thing not happening at any significant pace</t>
  </si>
  <si>
    <t>wonder whether will ever go ahead of it</t>
  </si>
  <si>
    <t>6 years of opps, at 150,000 per year</t>
  </si>
  <si>
    <t>need the right team</t>
  </si>
  <si>
    <t>Pace pick up on build?</t>
  </si>
  <si>
    <t xml:space="preserve">CWC </t>
  </si>
  <si>
    <t>Pan, Jam, T&amp;T, Barb</t>
  </si>
  <si>
    <t>Want to repeat Jamaica experience</t>
  </si>
  <si>
    <t>VDSL upgrade, new build</t>
  </si>
  <si>
    <t>Super bullish on Inge</t>
  </si>
  <si>
    <t>12-15 months</t>
  </si>
  <si>
    <t>if they wanted, could destroy them, not going to get greedy</t>
  </si>
  <si>
    <t>lilac want to show digicel they are committed</t>
  </si>
  <si>
    <t xml:space="preserve">path to growth </t>
  </si>
  <si>
    <t>mostly stabilised</t>
  </si>
  <si>
    <t>monetise the network</t>
  </si>
  <si>
    <t>unlikely to be in focus for next 12 months</t>
  </si>
  <si>
    <t>maybe small bolt on</t>
  </si>
  <si>
    <t>sees more potential in fixing operating model</t>
  </si>
  <si>
    <t>AMX not done anything…if anything winning share from AMX</t>
  </si>
  <si>
    <t>Balan and Chris in PR every month</t>
  </si>
  <si>
    <t>not going win back all subs</t>
  </si>
  <si>
    <t>BUT could get back to where were from a revenue  perspective</t>
  </si>
  <si>
    <t>ARPU / unique sub</t>
  </si>
  <si>
    <t>Q1 18 earnings release</t>
  </si>
  <si>
    <t>Insurance?</t>
  </si>
  <si>
    <t>$30m, in other accrued and current liabilities</t>
  </si>
  <si>
    <t>Q1</t>
  </si>
  <si>
    <t>Rof 2018</t>
  </si>
  <si>
    <t>$20m for 82% to 92% of Jamaica</t>
  </si>
  <si>
    <t>$200m for 100% of equity</t>
  </si>
  <si>
    <t xml:space="preserve"> - of which Sub Sea</t>
  </si>
  <si>
    <t xml:space="preserve"> - of which Other Wholesale</t>
  </si>
  <si>
    <t>Call</t>
  </si>
  <si>
    <t>Sub Sea cable growing rapidly</t>
  </si>
  <si>
    <t>historic growth rates here?</t>
  </si>
  <si>
    <t>Revenue per RGU</t>
  </si>
  <si>
    <t>Connected RGUs</t>
  </si>
  <si>
    <t>Sales back to pre-hurricane levels?</t>
  </si>
  <si>
    <t>how lumpy is this?</t>
  </si>
  <si>
    <t>600k RGUs, vs 723k</t>
  </si>
  <si>
    <t>what is ambition here?</t>
  </si>
  <si>
    <t>what does this mean exactly?</t>
  </si>
  <si>
    <t>Timing of insurance payments</t>
  </si>
  <si>
    <t>In Chile, seeing anything from Entel FTTH</t>
  </si>
  <si>
    <t>Panama consolidation?</t>
  </si>
  <si>
    <t>Can serve around 900k of 1.1m homes</t>
  </si>
  <si>
    <t>590k billable RGUs</t>
  </si>
  <si>
    <t>How thinking about FCF for 2018</t>
  </si>
  <si>
    <t>50,000km sub sea</t>
  </si>
  <si>
    <t>Vols up one third on ring to the US</t>
  </si>
  <si>
    <t>What are you seeing from Digicel in Jamaica</t>
  </si>
  <si>
    <t>New bundles</t>
  </si>
  <si>
    <t>Jamaica, Barbados</t>
  </si>
  <si>
    <t>ARPU uplift...hope to cut churn</t>
  </si>
  <si>
    <t xml:space="preserve">Content </t>
  </si>
  <si>
    <t>Flow Sports launched in March</t>
  </si>
  <si>
    <t>20% of revenue</t>
  </si>
  <si>
    <t>LTE focus</t>
  </si>
  <si>
    <t>Looking for more predicatable revs</t>
  </si>
  <si>
    <t>Costa Rica…transaction close?</t>
  </si>
  <si>
    <t xml:space="preserve">Good Q1 result given restoration capex, net of $30m </t>
  </si>
  <si>
    <t>Received $30m advance</t>
  </si>
  <si>
    <t>One later this Summer</t>
  </si>
  <si>
    <t xml:space="preserve">Until YE at least </t>
  </si>
  <si>
    <t>30,000 homes would not get rebuilt. Still the same?</t>
  </si>
  <si>
    <t>Yes 30k</t>
  </si>
  <si>
    <t>Bill going through process</t>
  </si>
  <si>
    <t>Very supportive of this</t>
  </si>
  <si>
    <t>Top line pressure more on mobile than fixed</t>
  </si>
  <si>
    <t>if you had a choice, would go FTTH</t>
  </si>
  <si>
    <t>however, prudent with capital exp</t>
  </si>
  <si>
    <t>some areas, line extension</t>
  </si>
  <si>
    <t>VDSL in some areas</t>
  </si>
  <si>
    <t xml:space="preserve">less religious about </t>
  </si>
  <si>
    <t>$8.2m in revenue, in Q1 17</t>
  </si>
  <si>
    <t>$1m in EBITDA</t>
  </si>
  <si>
    <t>Carve-out entities?</t>
  </si>
  <si>
    <t>Later in the Summer one</t>
  </si>
  <si>
    <t>Encouraged by the numbers</t>
  </si>
  <si>
    <t>Lowest losses for a while</t>
  </si>
  <si>
    <t>Think light at the end of the tunnel</t>
  </si>
  <si>
    <t>New management</t>
  </si>
  <si>
    <t>Met the Minister, some slight process</t>
  </si>
  <si>
    <t>Deadline likely</t>
  </si>
  <si>
    <t>network back up, but customer not sent through a payment</t>
  </si>
  <si>
    <t>"Non billable"</t>
  </si>
  <si>
    <t>telling customers that they can get back on</t>
  </si>
  <si>
    <t>might be CPE issues in the home</t>
  </si>
  <si>
    <t>had previously suspended billing</t>
  </si>
  <si>
    <t>Capital allocation</t>
  </si>
  <si>
    <t>policy once generating cash</t>
  </si>
  <si>
    <t>FCF positive is the priority</t>
  </si>
  <si>
    <t>LLA levered equity model…lower-end of 4-5x range</t>
  </si>
  <si>
    <t>1/ invest in networks</t>
  </si>
  <si>
    <t>best network poss, best speeds</t>
  </si>
  <si>
    <t>2/ customer experience</t>
  </si>
  <si>
    <t>"Carve-out"</t>
  </si>
  <si>
    <t>$30m in the Q from insurance</t>
  </si>
  <si>
    <t xml:space="preserve"> from 1 April 2017. Last Q to adjust revs</t>
  </si>
  <si>
    <t>Rebuild</t>
  </si>
  <si>
    <t>Capex (cash)</t>
  </si>
  <si>
    <t>Capex (accrued)</t>
  </si>
  <si>
    <t xml:space="preserve"> of which rebuild</t>
  </si>
  <si>
    <t xml:space="preserve"> - from facility</t>
  </si>
  <si>
    <t xml:space="preserve"> - additional debt</t>
  </si>
  <si>
    <t>Billable RGUs</t>
  </si>
  <si>
    <t>Non billable</t>
  </si>
  <si>
    <t>Rev / billable RGU</t>
  </si>
  <si>
    <t xml:space="preserve"> - of which re-build</t>
  </si>
  <si>
    <t>Residential fixed</t>
  </si>
  <si>
    <t>Total subscription</t>
  </si>
  <si>
    <t>Non subs</t>
  </si>
  <si>
    <t>Total res fixed</t>
  </si>
  <si>
    <t>Subscription</t>
  </si>
  <si>
    <t>Sub-sea</t>
  </si>
  <si>
    <t>diff to LBTY</t>
  </si>
  <si>
    <t>Why CWC revs $4m ahead of LBTY</t>
  </si>
  <si>
    <t>Qs</t>
  </si>
  <si>
    <t>PR RGUs and margins…where to?</t>
  </si>
  <si>
    <t>"Subscription revs" on mobile</t>
  </si>
  <si>
    <t>Non subscription</t>
  </si>
  <si>
    <t>Total mobile</t>
  </si>
  <si>
    <t>Other B2B</t>
  </si>
  <si>
    <t>VTR, breakdown $m</t>
  </si>
  <si>
    <t>Residential subs</t>
  </si>
  <si>
    <t>Total B2B</t>
  </si>
  <si>
    <t>B2B subs</t>
  </si>
  <si>
    <t>Sub-Sea cable (CWC)</t>
  </si>
  <si>
    <t>Other wholesale (CWC)</t>
  </si>
  <si>
    <t>Huge amount of fixed voice revs in B2B</t>
  </si>
  <si>
    <t>Res Video</t>
  </si>
  <si>
    <t>Res Broadband</t>
  </si>
  <si>
    <t>Res fixed Voice</t>
  </si>
  <si>
    <t>Equipment</t>
  </si>
  <si>
    <t>Last mile</t>
  </si>
  <si>
    <t>this is still growing</t>
  </si>
  <si>
    <t>non billable</t>
  </si>
  <si>
    <t>billable</t>
  </si>
  <si>
    <t>home not there</t>
  </si>
  <si>
    <t>churned but not called</t>
  </si>
  <si>
    <t>left island</t>
  </si>
  <si>
    <t>cpe problems</t>
  </si>
  <si>
    <t>might not be a connection</t>
  </si>
  <si>
    <t>gross adds</t>
  </si>
  <si>
    <t>better than previous year</t>
  </si>
  <si>
    <t>not going to increase prices</t>
  </si>
  <si>
    <t>Q2 19e</t>
  </si>
  <si>
    <t>Q3 19e</t>
  </si>
  <si>
    <t>Q4 19e</t>
  </si>
  <si>
    <t>Q1 19e</t>
  </si>
  <si>
    <t>Distro to members</t>
  </si>
  <si>
    <t>Theoretical tax</t>
  </si>
  <si>
    <t>Multiple vs US cable</t>
  </si>
  <si>
    <t>4 May</t>
  </si>
  <si>
    <t xml:space="preserve"> 20 April</t>
  </si>
  <si>
    <t xml:space="preserve"> 6 April</t>
  </si>
  <si>
    <t xml:space="preserve"> 3 Mar</t>
  </si>
  <si>
    <t>LLA</t>
  </si>
  <si>
    <t>Altice US</t>
  </si>
  <si>
    <t>Charter</t>
  </si>
  <si>
    <t>Comcast</t>
  </si>
  <si>
    <t>nm</t>
  </si>
  <si>
    <t>Partner distro</t>
  </si>
  <si>
    <t>capital lease</t>
  </si>
  <si>
    <t>Adj OCF for covenants</t>
  </si>
  <si>
    <t>Partner equity contibution</t>
  </si>
  <si>
    <t>Net debt/OCF</t>
  </si>
  <si>
    <t>First lien net/OCF</t>
  </si>
  <si>
    <t>Cash balance</t>
  </si>
  <si>
    <t>First lien net</t>
  </si>
  <si>
    <t>Rev / RGU</t>
  </si>
  <si>
    <t>Total key markets</t>
  </si>
  <si>
    <t>% change (y/y)</t>
  </si>
  <si>
    <t>Quarterly ests for CWC</t>
  </si>
  <si>
    <t xml:space="preserve">Total CWC </t>
  </si>
  <si>
    <t>Capex (PPE)</t>
  </si>
  <si>
    <t>Cash from operating activites</t>
  </si>
  <si>
    <t>Res wireless</t>
  </si>
  <si>
    <t>Balan thoughts</t>
  </si>
  <si>
    <t>A lot changes…booted out people at CWC</t>
  </si>
  <si>
    <t>Better org structure, clear accountability</t>
  </si>
  <si>
    <t>Attach rates</t>
  </si>
  <si>
    <t>Inge, 9 years. Lack of focus on metrics….RGUs, Attach rates</t>
  </si>
  <si>
    <t>M&amp;A - more polished. Priority - operations</t>
  </si>
  <si>
    <t>FCF is the key metric</t>
  </si>
  <si>
    <t>OCF, and FCF</t>
  </si>
  <si>
    <t>Incentives</t>
  </si>
  <si>
    <t>PR, moving in the right direction</t>
  </si>
  <si>
    <t>could be a positive surprise</t>
  </si>
  <si>
    <t>rebuild, priority was be first into the home, FCF</t>
  </si>
  <si>
    <t>700 to 1.2, incomparably better to Claro</t>
  </si>
  <si>
    <t>Revenue and RGU conversion?</t>
  </si>
  <si>
    <t>mobile is the disappointment</t>
  </si>
  <si>
    <t>Commercial op on fixed better than wireless</t>
  </si>
  <si>
    <t>Panama is tough</t>
  </si>
  <si>
    <t>4/3 bill passed…2 months before being ratified</t>
  </si>
  <si>
    <t>Digicel being disruptive ahead of a sale</t>
  </si>
  <si>
    <t>Think Digicel is worthless</t>
  </si>
  <si>
    <t>spectrum goes back to the state</t>
  </si>
  <si>
    <t>why not switching pre- to post-paid on wireless</t>
  </si>
  <si>
    <t>Don't want to rely on pricing</t>
  </si>
  <si>
    <t>should be volume driven business</t>
  </si>
  <si>
    <t>Perhaps a lesson from the UK</t>
  </si>
  <si>
    <t>Digicel being rationale</t>
  </si>
  <si>
    <t>more so than ever</t>
  </si>
  <si>
    <t>Pricing comps - July 18</t>
  </si>
  <si>
    <t>Spark</t>
  </si>
  <si>
    <t>Flame</t>
  </si>
  <si>
    <t>Fire</t>
  </si>
  <si>
    <t>Blaze</t>
  </si>
  <si>
    <t>EM outflows</t>
  </si>
  <si>
    <t>Hedgies - trading around the structure</t>
  </si>
  <si>
    <t>Digicel (July-18 chat)</t>
  </si>
  <si>
    <t>1x over next year: 6.7x to 5.7x</t>
  </si>
  <si>
    <t>Yield moves</t>
  </si>
  <si>
    <t>1/ Gave over optimistic leverage</t>
  </si>
  <si>
    <t>2/ Re-finance risk</t>
  </si>
  <si>
    <t>Hurricanes - $10/15m of EBITDA, insured</t>
  </si>
  <si>
    <t>Biz solutions profit warned</t>
  </si>
  <si>
    <t>Papa NG problems</t>
  </si>
  <si>
    <t>wireless, revs up sequentially - this time last yr</t>
  </si>
  <si>
    <t>4G launch, upgrade to network</t>
  </si>
  <si>
    <t>this time last year</t>
  </si>
  <si>
    <t>consumer feedback poor</t>
  </si>
  <si>
    <t>pre paid plans, rolled onto very expensive charges</t>
  </si>
  <si>
    <t>decided to cut out of bundle rates</t>
  </si>
  <si>
    <t>self select to out of bundle rates</t>
  </si>
  <si>
    <t>but tend to roll over</t>
  </si>
  <si>
    <t>Doing well on mobile previously..</t>
  </si>
  <si>
    <t>lower pay go (out of  bundle rates) than Digicel</t>
  </si>
  <si>
    <t>$25m hit in Q4, due to Caribbean (cutting the rates)</t>
  </si>
  <si>
    <t>Picking up subs in Jamaica</t>
  </si>
  <si>
    <t>CWC doing well in low end Jamaica</t>
  </si>
  <si>
    <t>Digicel focused on high ARPU segments</t>
  </si>
  <si>
    <t>4G only model</t>
  </si>
  <si>
    <t>Acquiring a  lot of subs, very disruptive</t>
  </si>
  <si>
    <t>320, 000 subs end-March</t>
  </si>
  <si>
    <t>growing x2 at the moment</t>
  </si>
  <si>
    <t>Big debt burden</t>
  </si>
  <si>
    <t>$500m from disposals is the target</t>
  </si>
  <si>
    <t>Jamaica maybe sacrosanct</t>
  </si>
  <si>
    <t>5.75x by now.. Was previously the target</t>
  </si>
  <si>
    <t>PNG the main issue</t>
  </si>
  <si>
    <t>missed a bunch of big corporate deals</t>
  </si>
  <si>
    <t>average growth &gt;20% subs</t>
  </si>
  <si>
    <t>T&amp;T specifically very strong</t>
  </si>
  <si>
    <t>stalled a little in Jamaica at the start of 2017. some subs issues</t>
  </si>
  <si>
    <t>80,000 subs</t>
  </si>
  <si>
    <t>55,000 subs</t>
  </si>
  <si>
    <t>22,000 subs</t>
  </si>
  <si>
    <t>35% penetration</t>
  </si>
  <si>
    <t>Mobile OK but taken a massive hit here</t>
  </si>
  <si>
    <t>much more customer friendly</t>
  </si>
  <si>
    <t>$-21m</t>
  </si>
  <si>
    <t>$-6.6m</t>
  </si>
  <si>
    <t>$460m</t>
  </si>
  <si>
    <t>$58m</t>
  </si>
  <si>
    <t>Q2 18</t>
  </si>
  <si>
    <t>500 subs converted in July/day</t>
  </si>
  <si>
    <t>June - best month in last 2 years</t>
  </si>
  <si>
    <t>fastest speeds</t>
  </si>
  <si>
    <t>$11m of $50m Phase 1 funding from SEC</t>
  </si>
  <si>
    <t>$14m monthly run rate by end-18</t>
  </si>
  <si>
    <t>Res mobile - 20% of revs</t>
  </si>
  <si>
    <t>&gt;1m LTE subs</t>
  </si>
  <si>
    <t>&lt;30% of wireless subs base</t>
  </si>
  <si>
    <t>$42m rebuild in Q2</t>
  </si>
  <si>
    <t>Cabletica to close in H2 this year</t>
  </si>
  <si>
    <t>Bahamas and Panama dragging down CWC wireless 5% y/y</t>
  </si>
  <si>
    <t>Over 40k 2-way homes upgraded in Q2</t>
  </si>
  <si>
    <t>Second advance of $20m. Expect in 2 months. Mostly PR</t>
  </si>
  <si>
    <t>Larger total still expected</t>
  </si>
  <si>
    <t>Rest could take through to YE</t>
  </si>
  <si>
    <t>Q2 2018</t>
  </si>
  <si>
    <t>positive trends</t>
  </si>
  <si>
    <t>Price increases taken</t>
  </si>
  <si>
    <t>think will be very rationale</t>
  </si>
  <si>
    <t>Jamaica - CWC prices up, Digicel also</t>
  </si>
  <si>
    <t>4-5x, but closer to 4x</t>
  </si>
  <si>
    <t>OCF margin expansion v strong</t>
  </si>
  <si>
    <t>efficient market, good opex/revenue profile</t>
  </si>
  <si>
    <t>rebuild up very slightly beyond previous exps</t>
  </si>
  <si>
    <t>non rebuild capex up, but adds up pushes CPE</t>
  </si>
  <si>
    <t>normal profile will be restored</t>
  </si>
  <si>
    <t>fixed competition?</t>
  </si>
  <si>
    <t>feel very good about Chile/ will continue to be good</t>
  </si>
  <si>
    <t>already seen overbuild previously..so less concerned about FTTH guys</t>
  </si>
  <si>
    <t>remain one step ahead of FTTH guys</t>
  </si>
  <si>
    <t>also new build, where do so, win more than fair share</t>
  </si>
  <si>
    <t>runway remains very strong</t>
  </si>
  <si>
    <t>fixed - some positive signs</t>
  </si>
  <si>
    <t>wireless - low end, pre-paid wireless issues</t>
  </si>
  <si>
    <t>attach rates of mobile to fixed</t>
  </si>
  <si>
    <t>very important</t>
  </si>
  <si>
    <t>Quad play</t>
  </si>
  <si>
    <t>opportunity, versus Europe on this..</t>
  </si>
  <si>
    <t>Streaming</t>
  </si>
  <si>
    <t>tremendous opportunity</t>
  </si>
  <si>
    <t>largely pre-paid…move to post and attach to fixed</t>
  </si>
  <si>
    <t>attach rate is therefore in focus</t>
  </si>
  <si>
    <t>believe in seemless fixed / mobile data consumption</t>
  </si>
  <si>
    <t>back book vs front book</t>
  </si>
  <si>
    <t>close in 45+ days</t>
  </si>
  <si>
    <t>not significant therefore for 2018</t>
  </si>
  <si>
    <t>consolidation not done yet</t>
  </si>
  <si>
    <t>bullish on PR</t>
  </si>
  <si>
    <t>back to where was…expansion on margin beyond this unlikely</t>
  </si>
  <si>
    <t>Wireless pricing</t>
  </si>
  <si>
    <t>Big change made late 2017. new management focused on cost structure</t>
  </si>
  <si>
    <t>margins better here</t>
  </si>
  <si>
    <t>they are moving to another part</t>
  </si>
  <si>
    <t>another team focused on growth</t>
  </si>
  <si>
    <t>gary sinclair</t>
  </si>
  <si>
    <t>take over from dexter</t>
  </si>
  <si>
    <t>too early to get too excited</t>
  </si>
  <si>
    <t>check back in 2 quarters</t>
  </si>
  <si>
    <t>Bahamas, Jam, Barbados - some specific plans</t>
  </si>
  <si>
    <t>Insurance payments / Federal funds</t>
  </si>
  <si>
    <t>Changes to ests - Aug 18</t>
  </si>
  <si>
    <t xml:space="preserve">Q1 18 </t>
  </si>
  <si>
    <t xml:space="preserve"> - insurance</t>
  </si>
  <si>
    <t xml:space="preserve"> - underlying service</t>
  </si>
  <si>
    <t>AMX Caribbean revenue</t>
  </si>
  <si>
    <t>Dom Rep revenue</t>
  </si>
  <si>
    <t>Dom Rep</t>
  </si>
  <si>
    <t>Caribbean EBITDA</t>
  </si>
  <si>
    <t xml:space="preserve"> - underlying</t>
  </si>
  <si>
    <t xml:space="preserve"> - insurance/ fed subsidies</t>
  </si>
  <si>
    <t>% q/q change underlying</t>
  </si>
  <si>
    <t>Caribbean margins</t>
  </si>
  <si>
    <t>Pre-hurricane</t>
  </si>
  <si>
    <t>AMX Puerto Rico (ex insurance)</t>
  </si>
  <si>
    <t xml:space="preserve">NEW </t>
  </si>
  <si>
    <t xml:space="preserve">Change </t>
  </si>
  <si>
    <t>New vs Old - Aug 18</t>
  </si>
  <si>
    <t>Insurance / Federal support</t>
  </si>
  <si>
    <t>Federal support payments</t>
  </si>
  <si>
    <t>Q3 18</t>
  </si>
  <si>
    <t>Q4 18</t>
  </si>
  <si>
    <t>Total FCF</t>
  </si>
  <si>
    <t>LCPR buy in</t>
  </si>
  <si>
    <t>Stock issued</t>
  </si>
  <si>
    <t>Implied 100% equity</t>
  </si>
  <si>
    <t xml:space="preserve">Net debt </t>
  </si>
  <si>
    <t xml:space="preserve">EFCF </t>
  </si>
  <si>
    <t>LCPR EFCF</t>
  </si>
  <si>
    <t>40% LCPR</t>
  </si>
  <si>
    <t>New EFCF</t>
  </si>
  <si>
    <t>New EFCF/share</t>
  </si>
  <si>
    <t>USD m</t>
  </si>
  <si>
    <t>ex-insurance</t>
  </si>
  <si>
    <t xml:space="preserve">Q4 17 </t>
  </si>
  <si>
    <t>Non-billable RGUs</t>
  </si>
  <si>
    <t>Mobile service as %</t>
  </si>
  <si>
    <t>Too early for any guidance for 2019 - perhaps if only on FCF?</t>
  </si>
  <si>
    <t>JAM had a tough Q2, better Q3 - project related revs?</t>
  </si>
  <si>
    <t>Bahamas - where is market share vs competitor</t>
  </si>
  <si>
    <t>Would you expect Millicom to do anything differently?</t>
  </si>
  <si>
    <t>Of the 260,000 new/upgraded homes passed</t>
  </si>
  <si>
    <t>50% elswhere</t>
  </si>
  <si>
    <t>50% new from Chile</t>
  </si>
  <si>
    <t>What’s the run rate here?</t>
  </si>
  <si>
    <t>should be the first year of good FCF generation…anything I'm missing here?</t>
  </si>
  <si>
    <t>Panama / JAM but only JAM has materially moved to needle</t>
  </si>
  <si>
    <t>2019 CWC growth triggers</t>
  </si>
  <si>
    <t>new team looking for growth  - which areas specifically?</t>
  </si>
  <si>
    <t>Two areas to focus on for 2019?</t>
  </si>
  <si>
    <t>What are you seeing on the ground from Digicel?</t>
  </si>
  <si>
    <t>LTE subs</t>
  </si>
  <si>
    <t xml:space="preserve">one third </t>
  </si>
  <si>
    <t>Higher speeds</t>
  </si>
  <si>
    <t>To what degree willing to pay more?</t>
  </si>
  <si>
    <t>**</t>
  </si>
  <si>
    <t>Jamaica as % total</t>
  </si>
  <si>
    <t>700,000 RGUs</t>
  </si>
  <si>
    <t>Some areas not being covered…34,000 stripped out this year</t>
  </si>
  <si>
    <t xml:space="preserve">So is it sensible to think about getting back to 800,000 </t>
  </si>
  <si>
    <t>Progress</t>
  </si>
  <si>
    <t>Customer experience through digitalsiation in Chile..200,000 to new platform</t>
  </si>
  <si>
    <t>Op improvements in CWC…quicker times to install</t>
  </si>
  <si>
    <t>Centre of excellence program in JAM. Should improve churn</t>
  </si>
  <si>
    <t>Jamaica is the bulk of the adds</t>
  </si>
  <si>
    <t>Fixed KPIs in CWC slightly lighter than prior Qs (~17,000)</t>
  </si>
  <si>
    <t>*</t>
  </si>
  <si>
    <t>Insurance / FCC</t>
  </si>
  <si>
    <t>sense as to how this could trend</t>
  </si>
  <si>
    <t>Confirming $15m of monthly OCF in PR by YE</t>
  </si>
  <si>
    <t>$50m of net. Expect a larger total…ultimately expect more</t>
  </si>
  <si>
    <t>Solid balance sheet</t>
  </si>
  <si>
    <t>Cabletica new credit profile</t>
  </si>
  <si>
    <t>EFCF - cash return</t>
  </si>
  <si>
    <t>2019 - losses here on pre-paid side</t>
  </si>
  <si>
    <t>pricing…product…network</t>
  </si>
  <si>
    <t>move to LTE</t>
  </si>
  <si>
    <t>off traditional pre-paid</t>
  </si>
  <si>
    <t>pricing competitively</t>
  </si>
  <si>
    <t>hybrid</t>
  </si>
  <si>
    <t>30 day product</t>
  </si>
  <si>
    <t>if consume data, will continue to use WhatsApp</t>
  </si>
  <si>
    <t>this will still work</t>
  </si>
  <si>
    <t>FCC funding</t>
  </si>
  <si>
    <t>nothing more this year likely</t>
  </si>
  <si>
    <t>the $11m was a very positive surprise</t>
  </si>
  <si>
    <t>CMCSA - streaming only</t>
  </si>
  <si>
    <t>2 stories</t>
  </si>
  <si>
    <t>defender or attacker</t>
  </si>
  <si>
    <t>if attacker, then yes follow cmcsa model. No spin down impact</t>
  </si>
  <si>
    <t>Chile macro</t>
  </si>
  <si>
    <t>very positive</t>
  </si>
  <si>
    <t>government is business friendly</t>
  </si>
  <si>
    <t>economy is backed by economy</t>
  </si>
  <si>
    <t>growth, adjusted upward recently</t>
  </si>
  <si>
    <t>4.1x - ideal target here?</t>
  </si>
  <si>
    <t>4-5x range…closer to the 4x</t>
  </si>
  <si>
    <t>Panama consol</t>
  </si>
  <si>
    <t>Reg. working with how to interpret and implement the law</t>
  </si>
  <si>
    <t>think will bottom out in 2019</t>
  </si>
  <si>
    <t>Bahamas Q1 19 directories sales?</t>
  </si>
  <si>
    <t>Distro to shareholders</t>
  </si>
  <si>
    <t>PR - distro to shareholders or reg. tax?</t>
  </si>
  <si>
    <t>Res Wireless service</t>
  </si>
  <si>
    <t>New quarts - by country</t>
  </si>
  <si>
    <t>New quarts - by product</t>
  </si>
  <si>
    <t>Check working cap for q4</t>
  </si>
  <si>
    <t>CWC opex</t>
  </si>
  <si>
    <t>Buy back as %</t>
  </si>
  <si>
    <t>Buy back?</t>
  </si>
  <si>
    <t>Net debt and derivative value…4.1x?</t>
  </si>
  <si>
    <t>Yes q4 consol…6.3x inc synergies</t>
  </si>
  <si>
    <t>not being guided to</t>
  </si>
  <si>
    <t>no dividend</t>
  </si>
  <si>
    <t>dividend subject to covenant</t>
  </si>
  <si>
    <t>Would check</t>
  </si>
  <si>
    <t>USD price</t>
  </si>
  <si>
    <t>USD / SEK</t>
  </si>
  <si>
    <t>El Salvador</t>
  </si>
  <si>
    <t>Guatemala</t>
  </si>
  <si>
    <t>Honduras</t>
  </si>
  <si>
    <t>Costa Rica/Nicaragua</t>
  </si>
  <si>
    <t>Bolivia</t>
  </si>
  <si>
    <t>Colombia</t>
  </si>
  <si>
    <t>Paraguay</t>
  </si>
  <si>
    <t>Chad</t>
  </si>
  <si>
    <t>Tanzania</t>
  </si>
  <si>
    <t>Tigo</t>
  </si>
  <si>
    <t>Millicom financials, $m</t>
  </si>
  <si>
    <t>Shares, millions</t>
  </si>
  <si>
    <t>Current LLA prop net debt to EBITDA</t>
  </si>
  <si>
    <t>New Co prop net debt to EBITDA</t>
  </si>
  <si>
    <t xml:space="preserve">Millicom </t>
  </si>
  <si>
    <t>LLA today</t>
  </si>
  <si>
    <t xml:space="preserve">Stock issued </t>
  </si>
  <si>
    <t>as % SHOUT</t>
  </si>
  <si>
    <t>component</t>
  </si>
  <si>
    <t>of a deal</t>
  </si>
  <si>
    <t>New Co</t>
  </si>
  <si>
    <t>SHOUT, millons</t>
  </si>
  <si>
    <t>Issuance</t>
  </si>
  <si>
    <t>Voting shares</t>
  </si>
  <si>
    <t>B (10x vote)</t>
  </si>
  <si>
    <t>Fair value, per share</t>
  </si>
  <si>
    <t>Fair value, equity</t>
  </si>
  <si>
    <t>Equity, $ m</t>
  </si>
  <si>
    <t>November</t>
  </si>
  <si>
    <t>New Co EFCF</t>
  </si>
  <si>
    <t>Millicom price, SEK</t>
  </si>
  <si>
    <t>New Co leverage</t>
  </si>
  <si>
    <t>LiLA SHOUT today, m</t>
  </si>
  <si>
    <t>Issuance, m</t>
  </si>
  <si>
    <t>LILA fair value today, $</t>
  </si>
  <si>
    <t>New SHOUT, m</t>
  </si>
  <si>
    <t>LILA equity fair value, $m</t>
  </si>
  <si>
    <t>TIGO fair value, $m</t>
  </si>
  <si>
    <t>Additional debt, $m</t>
  </si>
  <si>
    <t>NewCo equity pre-syn/fair val adj, $m</t>
  </si>
  <si>
    <t>Overpayment vs TIGO fair value, $m</t>
  </si>
  <si>
    <t>Synergies, $m</t>
  </si>
  <si>
    <t>New Co equity, $m</t>
  </si>
  <si>
    <t>New TP, $</t>
  </si>
  <si>
    <t>Fair value, $</t>
  </si>
  <si>
    <t>Equity issuance price</t>
  </si>
  <si>
    <t>Cut to target</t>
  </si>
  <si>
    <t>Prop ownership</t>
  </si>
  <si>
    <t>as % total consolidated</t>
  </si>
  <si>
    <t xml:space="preserve">Target prop opex/capex </t>
  </si>
  <si>
    <t>Synergy adjusted</t>
  </si>
  <si>
    <t>EFCF post-synergies</t>
  </si>
  <si>
    <t>Prop FCF synergies (post-tax)</t>
  </si>
  <si>
    <t>Target opex/capex savings</t>
  </si>
  <si>
    <t>Normalised EFCF</t>
  </si>
  <si>
    <t>Multiple on EBITDA</t>
  </si>
  <si>
    <t>NPV of saving</t>
  </si>
  <si>
    <t xml:space="preserve">Combined OpEx saving </t>
  </si>
  <si>
    <t>Digicel Panama</t>
  </si>
  <si>
    <t xml:space="preserve">EBITDA, y/y </t>
  </si>
  <si>
    <t>For geographic segments, change in accounting for Q4?</t>
  </si>
  <si>
    <t>So, FY 18 less 9m 18 doesn't work?</t>
  </si>
  <si>
    <t>Networks / LatAm big change</t>
  </si>
  <si>
    <t>shift in elims</t>
  </si>
  <si>
    <t>Same with "by major category"</t>
  </si>
  <si>
    <t>subsea cable for ex.</t>
  </si>
  <si>
    <t>adding more TV than BB subs?</t>
  </si>
  <si>
    <t>Revenue per RGU / m</t>
  </si>
  <si>
    <t>Networks &amp; LatAm</t>
  </si>
  <si>
    <t>Ventures/Other</t>
  </si>
  <si>
    <t>Other CWC revs</t>
  </si>
  <si>
    <t>Other CWC EBITDA</t>
  </si>
  <si>
    <t>Other CWC margin</t>
  </si>
  <si>
    <t>Other CWC capex</t>
  </si>
  <si>
    <t>-  of which Subsea</t>
  </si>
  <si>
    <t>-  of which other</t>
  </si>
  <si>
    <t>margin steer on Networks/LatAm, subsea?</t>
  </si>
  <si>
    <t>Other CWC capex/sales</t>
  </si>
  <si>
    <t>Cash taxes / interest</t>
  </si>
  <si>
    <t>146 reported</t>
  </si>
  <si>
    <t>moving up from that level</t>
  </si>
  <si>
    <t>ebbs and flows</t>
  </si>
  <si>
    <t>divies</t>
  </si>
  <si>
    <t>take an average</t>
  </si>
  <si>
    <t>Revenue, CLP</t>
  </si>
  <si>
    <t>EBITDA, CLP</t>
  </si>
  <si>
    <t>Capex, CLP</t>
  </si>
  <si>
    <t>Video ARPU</t>
  </si>
  <si>
    <t>Revenue split</t>
  </si>
  <si>
    <t>Voice ARPU</t>
  </si>
  <si>
    <t>Added</t>
  </si>
  <si>
    <t>Fixed RGUs/sub</t>
  </si>
  <si>
    <t>CLP m</t>
  </si>
  <si>
    <t>Reported RGUs</t>
  </si>
  <si>
    <t>Non-connected RGUs</t>
  </si>
  <si>
    <t>Fixed RGUs (reported)</t>
  </si>
  <si>
    <t>Revenue, USD</t>
  </si>
  <si>
    <t>How much capex in Cabletica in Q4?</t>
  </si>
  <si>
    <t>Follow ups</t>
  </si>
  <si>
    <t>RGU adds and margins in PR?</t>
  </si>
  <si>
    <t>Other CWC OpFCF</t>
  </si>
  <si>
    <t>Tax rates</t>
  </si>
  <si>
    <t>Cabletica more profitable</t>
  </si>
  <si>
    <t>tax rate in Costa Rica?</t>
  </si>
  <si>
    <t>CWC revenue</t>
  </si>
  <si>
    <t>18-24e CAGR</t>
  </si>
  <si>
    <t>CWC Capex</t>
  </si>
  <si>
    <t>% sales</t>
  </si>
  <si>
    <t>Revenue, JMD</t>
  </si>
  <si>
    <t>USD/JMD</t>
  </si>
  <si>
    <t>Other CWC / elims</t>
  </si>
  <si>
    <t>Why margins so low in CR - able to get these up?</t>
  </si>
  <si>
    <t>$1.4bn debt in Chile partly paid down?</t>
  </si>
  <si>
    <t>Term loan 2026</t>
  </si>
  <si>
    <t>What is corporate capex in 2018? (16.1)</t>
  </si>
  <si>
    <t>Corporate / other</t>
  </si>
  <si>
    <t>Elims/other</t>
  </si>
  <si>
    <t>Cabletica net debt</t>
  </si>
  <si>
    <t>Prop Cabletica debt</t>
  </si>
  <si>
    <t>LLA (standalone)</t>
  </si>
  <si>
    <t>CWC margin (inc cental costs)</t>
  </si>
  <si>
    <t>Q1 19</t>
  </si>
  <si>
    <t>Increased sales and marketing, call centre costs</t>
  </si>
  <si>
    <t>Digitalisation</t>
  </si>
  <si>
    <t>Performance weighted to H2</t>
  </si>
  <si>
    <t>Last year was more in capex</t>
  </si>
  <si>
    <t>Subs trends more stable</t>
  </si>
  <si>
    <t>ARPU driven by Panama and Bahamas</t>
  </si>
  <si>
    <t>Panama launch…some price reduction</t>
  </si>
  <si>
    <t>Similar in Bahamas</t>
  </si>
  <si>
    <t>Hope for sequential stability</t>
  </si>
  <si>
    <t>Q2 was when things really took a hit</t>
  </si>
  <si>
    <t>Digicel came to market</t>
  </si>
  <si>
    <t>Also down more than 15% y/y</t>
  </si>
  <si>
    <t>Down more than 15% y/y</t>
  </si>
  <si>
    <t>Fixed momentum better</t>
  </si>
  <si>
    <t>Q4</t>
  </si>
  <si>
    <t>Cash from operations</t>
  </si>
  <si>
    <t>FCF definition</t>
  </si>
  <si>
    <t>JV with Digicel acquired rights for EPL</t>
  </si>
  <si>
    <t>Cost is shared</t>
  </si>
  <si>
    <t>Sold most of the content to other providers previously</t>
  </si>
  <si>
    <t>Will be felt from Q3</t>
  </si>
  <si>
    <t>Earnings call</t>
  </si>
  <si>
    <t>Subs momentum better…but ARPU taken a hit</t>
  </si>
  <si>
    <t>y/y growth to come through when?</t>
  </si>
  <si>
    <t>EPL rights</t>
  </si>
  <si>
    <t>JV with Digicel…pure saving? Used to sell onto 3rd parties</t>
  </si>
  <si>
    <t>Where's the pressure coming from</t>
  </si>
  <si>
    <t>2% inflation…2.5% in nominal</t>
  </si>
  <si>
    <t>Synergies..?</t>
  </si>
  <si>
    <t>wireless network?</t>
  </si>
  <si>
    <t>turnaround now</t>
  </si>
  <si>
    <t>will consolidate and be rational</t>
  </si>
  <si>
    <t>elections over the weekend</t>
  </si>
  <si>
    <t>president elect cortiso</t>
  </si>
  <si>
    <t>What gives you confidence that pricing has bottomed?</t>
  </si>
  <si>
    <t>seeing more rational behaviour from peers?</t>
  </si>
  <si>
    <t>Masmovil - Jan. moved to joint band for mobile &amp; fixed</t>
  </si>
  <si>
    <t>National champions…cable with wireless</t>
  </si>
  <si>
    <t>deleveraging its balance sheet</t>
  </si>
  <si>
    <t>UTS consolidation in Q2</t>
  </si>
  <si>
    <t>Get back to 800k RGUs</t>
  </si>
  <si>
    <t>Some increased competition from a couple of peers</t>
  </si>
  <si>
    <t>End of Q4 and January</t>
  </si>
  <si>
    <t>Pricing and network upgrades</t>
  </si>
  <si>
    <t>Since Feb, quite a bit of improvement</t>
  </si>
  <si>
    <t>Competitors taking prices back up</t>
  </si>
  <si>
    <t>Intensity of mobile</t>
  </si>
  <si>
    <t>Bottom out  with share at 35%</t>
  </si>
  <si>
    <t>UTS</t>
  </si>
  <si>
    <t>189m EV</t>
  </si>
  <si>
    <t>6x pre-synergy multiple</t>
  </si>
  <si>
    <t>Digitisation costs?</t>
  </si>
  <si>
    <t>LTE customer</t>
  </si>
  <si>
    <t>Handsets have been a barrier</t>
  </si>
  <si>
    <t xml:space="preserve">ARPU, data usage, better </t>
  </si>
  <si>
    <t>1st project done by Summer 2019</t>
  </si>
  <si>
    <t>intensity of competition not going down</t>
  </si>
  <si>
    <t>Q2 - most have gone to unlimited</t>
  </si>
  <si>
    <t>initially tried to hold the line</t>
  </si>
  <si>
    <t>realised wasn't working</t>
  </si>
  <si>
    <t>decided to accept new pricing</t>
  </si>
  <si>
    <t>ARPU levelling off</t>
  </si>
  <si>
    <t>Competitor is good</t>
  </si>
  <si>
    <t>Preserving value</t>
  </si>
  <si>
    <t>4-5pp of top line challenge…35% share today</t>
  </si>
  <si>
    <t>We have the best networks</t>
  </si>
  <si>
    <t>Chile is most competitive market</t>
  </si>
  <si>
    <t>overbuilding, all the playbooks</t>
  </si>
  <si>
    <t>FCF (old LBTY definition)</t>
  </si>
  <si>
    <t>8.5% y/y local FX growth</t>
  </si>
  <si>
    <t>declining</t>
  </si>
  <si>
    <t>Fixed and B2B</t>
  </si>
  <si>
    <t>30% share has been stagnant</t>
  </si>
  <si>
    <t>competitor has higher ARPU</t>
  </si>
  <si>
    <t>Giving unlimited voice</t>
  </si>
  <si>
    <t>Will Digicel match this?</t>
  </si>
  <si>
    <t>They did one week later</t>
  </si>
  <si>
    <t>For one month only</t>
  </si>
  <si>
    <t>Data growing rapidly</t>
  </si>
  <si>
    <t>LTE has been rolled out</t>
  </si>
  <si>
    <t>Wireless is the smaller part of the Jamaica business now</t>
  </si>
  <si>
    <t>UTS deal</t>
  </si>
  <si>
    <t xml:space="preserve">EBITDA </t>
  </si>
  <si>
    <t>Assumed margin</t>
  </si>
  <si>
    <t>Mexican cable</t>
  </si>
  <si>
    <t>Share price</t>
  </si>
  <si>
    <t>Bid price</t>
  </si>
  <si>
    <t>Equity value, MXN m</t>
  </si>
  <si>
    <t>EV, MXN m</t>
  </si>
  <si>
    <t>MXN / USD</t>
  </si>
  <si>
    <t>Cash as %</t>
  </si>
  <si>
    <t>Stock component</t>
  </si>
  <si>
    <t>Shares issued</t>
  </si>
  <si>
    <t>LLA stock price</t>
  </si>
  <si>
    <t>Implied multiple</t>
  </si>
  <si>
    <t>As % total LLA SHOUT</t>
  </si>
  <si>
    <t>Cash cost</t>
  </si>
  <si>
    <t>Interest rate</t>
  </si>
  <si>
    <t>MXN m</t>
  </si>
  <si>
    <t>LLA base case, USD m</t>
  </si>
  <si>
    <t>TV Cable</t>
  </si>
  <si>
    <t>$ m</t>
  </si>
  <si>
    <t>Less: accrued capex</t>
  </si>
  <si>
    <t>Less: working capital</t>
  </si>
  <si>
    <t>Add: associate dividends</t>
  </si>
  <si>
    <t>Add: minority dividends</t>
  </si>
  <si>
    <t>Add: loan repayments from associates</t>
  </si>
  <si>
    <t>Less: other cashflow</t>
  </si>
  <si>
    <t>Less: tax</t>
  </si>
  <si>
    <t>Less: share buyback</t>
  </si>
  <si>
    <t>Proceeds from Vod deal</t>
  </si>
  <si>
    <t>Proceeds from Sunrise deal</t>
  </si>
  <si>
    <t>Proceeds from DTH deal</t>
  </si>
  <si>
    <t>Net debt/ OCF</t>
  </si>
  <si>
    <t>Share price ($)</t>
  </si>
  <si>
    <t>Shares bought back (m)</t>
  </si>
  <si>
    <t>Shares bought back as % of total</t>
  </si>
  <si>
    <t>SHOUT (m)</t>
  </si>
  <si>
    <t>Market capitalisation ($m)</t>
  </si>
  <si>
    <t>Total return yield</t>
  </si>
  <si>
    <t>Total SHOUT</t>
  </si>
  <si>
    <t>Lever to 4x</t>
  </si>
  <si>
    <t>Debt capacity</t>
  </si>
  <si>
    <t>% cash offer</t>
  </si>
  <si>
    <t>% interest</t>
  </si>
  <si>
    <t>Interest cost after tax</t>
  </si>
  <si>
    <t>Interest after tax</t>
  </si>
  <si>
    <t>LBTY acquires LiLAC</t>
  </si>
  <si>
    <t>Price, USD</t>
  </si>
  <si>
    <t>New Co EFCF yield</t>
  </si>
  <si>
    <t>New Co SHOUT</t>
  </si>
  <si>
    <t>New Co mkt cap</t>
  </si>
  <si>
    <t>NewCo rolls up Mexican cable</t>
  </si>
  <si>
    <t>MEGA equity</t>
  </si>
  <si>
    <t>Equity, USDm</t>
  </si>
  <si>
    <t>Total bid</t>
  </si>
  <si>
    <t>Run as a single business</t>
  </si>
  <si>
    <t>Mobile still challenged…value destruction</t>
  </si>
  <si>
    <t>Management quality, TNOR and LBTY guys</t>
  </si>
  <si>
    <t>B2B…low single digit growth only</t>
  </si>
  <si>
    <t>Super bullish on fixed…incr returns &gt;30%</t>
  </si>
  <si>
    <t>Cautious on Cable Onda therefore??</t>
  </si>
  <si>
    <t>yes, some impact</t>
  </si>
  <si>
    <t>Reg side</t>
  </si>
  <si>
    <t>Minister of Comms</t>
  </si>
  <si>
    <t>Secr of Comms</t>
  </si>
  <si>
    <t>Everyone interested in buying</t>
  </si>
  <si>
    <t>AMX…perhaps preferred</t>
  </si>
  <si>
    <t>Malone stakes</t>
  </si>
  <si>
    <t>Econ stake</t>
  </si>
  <si>
    <t>Cap, $</t>
  </si>
  <si>
    <t>Econ</t>
  </si>
  <si>
    <t>Residential cable</t>
  </si>
  <si>
    <t xml:space="preserve">Fixed B2B </t>
  </si>
  <si>
    <t>Res Wireless</t>
  </si>
  <si>
    <t>CR</t>
  </si>
  <si>
    <t>Total revs</t>
  </si>
  <si>
    <t>Res cable as %</t>
  </si>
  <si>
    <t>Fixed as %</t>
  </si>
  <si>
    <t>Wireless as %</t>
  </si>
  <si>
    <t>Adj for copper</t>
  </si>
  <si>
    <t>LiLAC, Q1 19</t>
  </si>
  <si>
    <t>Res fixed</t>
  </si>
  <si>
    <t>If wireless flat</t>
  </si>
  <si>
    <t>TIGO</t>
  </si>
  <si>
    <t>3% growth run-rate</t>
  </si>
  <si>
    <t>No target</t>
  </si>
  <si>
    <t>USD ARPU</t>
  </si>
  <si>
    <t>Total CWC fixed res revenue</t>
  </si>
  <si>
    <t>cable revs, USD m</t>
  </si>
  <si>
    <t xml:space="preserve"> of which CWC</t>
  </si>
  <si>
    <t xml:space="preserve"> of which Chile</t>
  </si>
  <si>
    <t xml:space="preserve"> of which PR</t>
  </si>
  <si>
    <t>Annualised run-rate</t>
  </si>
  <si>
    <t xml:space="preserve">Televisa </t>
  </si>
  <si>
    <t>passed, m</t>
  </si>
  <si>
    <t>Growth rates/</t>
  </si>
  <si>
    <t>Target (m)</t>
  </si>
  <si>
    <t>Adding ~1m / year, or 10% y/y  underlying</t>
  </si>
  <si>
    <t xml:space="preserve"> of which CR</t>
  </si>
  <si>
    <t>15m mid-term aspiration for HPs</t>
  </si>
  <si>
    <t>Fixed B2B</t>
  </si>
  <si>
    <t>Growth</t>
  </si>
  <si>
    <t>Aggregate</t>
  </si>
  <si>
    <t>Millicom LatAm</t>
  </si>
  <si>
    <t>TOTAL</t>
  </si>
  <si>
    <t>** Televisa provides an annual update. In 2017 this was 13.8m but subsequently acquired HPs from Axtel</t>
  </si>
  <si>
    <t>* Adjusting for write-off in subs base in Q1 19</t>
  </si>
  <si>
    <t>4% y/y growth run-rate*</t>
  </si>
  <si>
    <t>very low single y/y digit growth**</t>
  </si>
  <si>
    <t>largely Jamaica</t>
  </si>
  <si>
    <t>USD/MXN</t>
  </si>
  <si>
    <t>Residential fixed revenue</t>
  </si>
  <si>
    <t>Residential wireless</t>
  </si>
  <si>
    <t>Equipment / other</t>
  </si>
  <si>
    <t>ARPU, USD</t>
  </si>
  <si>
    <t>Split by product</t>
  </si>
  <si>
    <t>Subsea cable</t>
  </si>
  <si>
    <t>For note</t>
  </si>
  <si>
    <t>LiLA - TV cable</t>
  </si>
  <si>
    <t>LiLA - MEGA + TV cable</t>
  </si>
  <si>
    <t>SHOUT, million</t>
  </si>
  <si>
    <t>Total economic</t>
  </si>
  <si>
    <t>Total voting</t>
  </si>
  <si>
    <t>Malone holdings</t>
  </si>
  <si>
    <t>LILA SHOUT, million</t>
  </si>
  <si>
    <t>Issue price for LBTY, USD</t>
  </si>
  <si>
    <t>Shares issued, million</t>
  </si>
  <si>
    <t>New SHOUT, million</t>
  </si>
  <si>
    <t>Stock, USD million</t>
  </si>
  <si>
    <t>Cash, USD million</t>
  </si>
  <si>
    <t>Value creation at LBTY</t>
  </si>
  <si>
    <t>Buy LILA at $20</t>
  </si>
  <si>
    <t>Vs fair value</t>
  </si>
  <si>
    <t>"Overpayment"</t>
  </si>
  <si>
    <t>Mexico synergies</t>
  </si>
  <si>
    <t>LBTY upside</t>
  </si>
  <si>
    <t>per share, USD</t>
  </si>
  <si>
    <t>Implied EFCF yield at bid</t>
  </si>
  <si>
    <t>Prop LLA standalone</t>
  </si>
  <si>
    <t>New Co EFCF pre-synergies</t>
  </si>
  <si>
    <t>New Co EFCF post-synergies</t>
  </si>
  <si>
    <t>Televisa model for full analysis</t>
  </si>
  <si>
    <t>Post-tax FCF, MXN m</t>
  </si>
  <si>
    <t>Post-tax FCF, USD m</t>
  </si>
  <si>
    <t>accretion (vs $13bn buy-back)</t>
  </si>
  <si>
    <t>accretion (vs no buy-back)</t>
  </si>
  <si>
    <t>With a US$13bn buy-back</t>
  </si>
  <si>
    <t>No buy-back</t>
  </si>
  <si>
    <t>LiLAC - MEGA</t>
  </si>
  <si>
    <t>LiLAC - TV Cable</t>
  </si>
  <si>
    <t>LiLAC - MEGA / TV Cable</t>
  </si>
  <si>
    <t>EFCF accretion</t>
  </si>
  <si>
    <t>EFCF / share</t>
  </si>
  <si>
    <t>LiLAC - MEGA / TV Cable post-synergies</t>
  </si>
  <si>
    <t>New Co EFCF/share</t>
  </si>
  <si>
    <t>New Co EFCF / share</t>
  </si>
  <si>
    <t>LBTY EFCF / share</t>
  </si>
  <si>
    <t>NewCo bids on Millicom</t>
  </si>
  <si>
    <t>Millicom financials</t>
  </si>
  <si>
    <t>Bid price, USD</t>
  </si>
  <si>
    <t>Milli case</t>
  </si>
  <si>
    <t>Mex cable case</t>
  </si>
  <si>
    <t>mic</t>
  </si>
  <si>
    <t>mex</t>
  </si>
  <si>
    <t>mill</t>
  </si>
  <si>
    <t>accretion (vs $12bn buy-back*)</t>
  </si>
  <si>
    <t>accretion (vs $10bn buy-back)*</t>
  </si>
  <si>
    <t>Malone today</t>
  </si>
  <si>
    <t>Overpayment</t>
  </si>
  <si>
    <t xml:space="preserve"> on 100%</t>
  </si>
  <si>
    <t>New LBTY</t>
  </si>
  <si>
    <t>Issue is what happens to spectrum</t>
  </si>
  <si>
    <t>Regulator</t>
  </si>
  <si>
    <t>Regulator proposed spectrum back to the government</t>
  </si>
  <si>
    <t>There will be a new regulator</t>
  </si>
  <si>
    <t>Convert issuance</t>
  </si>
  <si>
    <t xml:space="preserve">Current </t>
  </si>
  <si>
    <t>Strike</t>
  </si>
  <si>
    <t>Options cap</t>
  </si>
  <si>
    <t>Issuer</t>
  </si>
  <si>
    <t>Bondholder</t>
  </si>
  <si>
    <t>issue stock</t>
  </si>
  <si>
    <t>cash</t>
  </si>
  <si>
    <t>ambivalent</t>
  </si>
  <si>
    <t>&lt;22.23</t>
  </si>
  <si>
    <t>&gt;22.23</t>
  </si>
  <si>
    <t>Stock scenarios</t>
  </si>
  <si>
    <t>1/ Issue stock</t>
  </si>
  <si>
    <t>2/ Pay cash</t>
  </si>
  <si>
    <t>3/ Blend - pay cash, plus stock</t>
  </si>
  <si>
    <t>Pay cash</t>
  </si>
  <si>
    <t>Original</t>
  </si>
  <si>
    <t>Need to deliver</t>
  </si>
  <si>
    <t>Value</t>
  </si>
  <si>
    <t xml:space="preserve">Option </t>
  </si>
  <si>
    <t>Stock price in 2024</t>
  </si>
  <si>
    <t>Q2 19</t>
  </si>
  <si>
    <t>- of which Costa Rica</t>
  </si>
  <si>
    <t>Bahamas hurricane</t>
  </si>
  <si>
    <t>Parametric based insurance</t>
  </si>
  <si>
    <t>Based on wind speed, just pays out</t>
  </si>
  <si>
    <t>One sensor in Freeport</t>
  </si>
  <si>
    <t>Wireless holds up better than fixed</t>
  </si>
  <si>
    <t>Hurricane Matthew in 2015/16</t>
  </si>
  <si>
    <t>worse storm but not hitting the worst part in terms of population</t>
  </si>
  <si>
    <t>TV stake</t>
  </si>
  <si>
    <t>Bid</t>
  </si>
  <si>
    <t>Target raise price</t>
  </si>
  <si>
    <t>Televisa, USD m</t>
  </si>
  <si>
    <t>LBTY stake size</t>
  </si>
  <si>
    <t>Post-tax interest cost</t>
  </si>
  <si>
    <t>Interest charge</t>
  </si>
  <si>
    <t>Cumulative interest charge</t>
  </si>
  <si>
    <t>Bid for MEGA</t>
  </si>
  <si>
    <t>EV / USD</t>
  </si>
  <si>
    <t>NewCo net debt</t>
  </si>
  <si>
    <t>NewCo EBITDA</t>
  </si>
  <si>
    <t>LBTY / LILA, USD m</t>
  </si>
  <si>
    <t>accretion (vs LBTY base case)</t>
  </si>
  <si>
    <t>LILA acquisition</t>
  </si>
  <si>
    <t>LILA and Cable acquisition</t>
  </si>
  <si>
    <t>LBTY minority TV bid</t>
  </si>
  <si>
    <t>Associate EFCF</t>
  </si>
  <si>
    <t>LBTY borrowing cost</t>
  </si>
  <si>
    <t>Net net debt to EBITDA</t>
  </si>
  <si>
    <t>accretion</t>
  </si>
  <si>
    <t>TV at 8.5x EBITDA</t>
  </si>
  <si>
    <t>MEGA at MXN100 (8.5x EBITDA)</t>
  </si>
  <si>
    <t>% interest (pre-tax)</t>
  </si>
  <si>
    <t>AT&amp;T</t>
  </si>
  <si>
    <t>Capex as % sales</t>
  </si>
  <si>
    <t>LLA buys AT&amp;T</t>
  </si>
  <si>
    <t>New Prop debt</t>
  </si>
  <si>
    <t>New Prop EBITDA</t>
  </si>
  <si>
    <t>Current EFCF</t>
  </si>
  <si>
    <t>OpFCF margin</t>
  </si>
  <si>
    <t>Combined opex</t>
  </si>
  <si>
    <t>Combined capex</t>
  </si>
  <si>
    <t>After-tax</t>
  </si>
  <si>
    <t>Accumulative EFCF</t>
  </si>
  <si>
    <t>More than 1x</t>
  </si>
  <si>
    <t>Revs the smaller part</t>
  </si>
  <si>
    <t>Have a B2B op, 95% of sites connnected with fibre, 75% buried, invested a lot post Maria</t>
  </si>
  <si>
    <t>AT&amp;T not a "local" operator</t>
  </si>
  <si>
    <t>Balan - don’t want to trumpet synergies</t>
  </si>
  <si>
    <t>Q2 2020 close, transition period…trying to be nice re synergies</t>
  </si>
  <si>
    <t>Sprint</t>
  </si>
  <si>
    <t>25-30%</t>
  </si>
  <si>
    <t>TMO</t>
  </si>
  <si>
    <t>mid-teens</t>
  </si>
  <si>
    <t>25% of EBITDA</t>
  </si>
  <si>
    <t>60% of POPS within 30 days</t>
  </si>
  <si>
    <t>Wireless industry</t>
  </si>
  <si>
    <t>PR as a split post-deal</t>
  </si>
  <si>
    <t>Implied EV/EBITDA multiple (2019e)</t>
  </si>
  <si>
    <t>LLA Group today</t>
  </si>
  <si>
    <t>LLA Post acquisition</t>
  </si>
  <si>
    <t>Combined LCPR + AT&amp;T Puerto Rico (assume 90% of Acqusition assets)</t>
  </si>
  <si>
    <t>Deal multiple post synergies (2019e EBITDA)</t>
  </si>
  <si>
    <t>Oct 9th - Puerto Rica</t>
  </si>
  <si>
    <t>Acquisition assets (PR + US Virgin Islands), USD m</t>
  </si>
  <si>
    <t>Int</t>
  </si>
  <si>
    <t>tax</t>
  </si>
  <si>
    <t>post-tax</t>
  </si>
  <si>
    <t>Cabletica facilities</t>
  </si>
  <si>
    <t>Group cash</t>
  </si>
  <si>
    <t>Group facilities</t>
  </si>
  <si>
    <t>Q3 19</t>
  </si>
  <si>
    <t>Jamaica - big slowdown in revs</t>
  </si>
  <si>
    <t>Write-down in Panama</t>
  </si>
  <si>
    <t>$5m revs and $8m EBITDA impact from Hurricane</t>
  </si>
  <si>
    <t>Hurricane adj</t>
  </si>
  <si>
    <t>- of which CWC hurricane adj</t>
  </si>
  <si>
    <t>Demographics update</t>
  </si>
  <si>
    <t>More value exposed…how much risk here</t>
  </si>
  <si>
    <t>AT&amp;T - talk about asset</t>
  </si>
  <si>
    <t>1x lower will full synergies</t>
  </si>
  <si>
    <t>Step down in revenue…what is happening on the ground</t>
  </si>
  <si>
    <t>Cut per GB pricing</t>
  </si>
  <si>
    <t>Digicel responding?</t>
  </si>
  <si>
    <t>Lost mobile subs in Q3</t>
  </si>
  <si>
    <t>Still seeing an impact from Digicel?</t>
  </si>
  <si>
    <t>Consolidation has gone quiet</t>
  </si>
  <si>
    <t>Margins &gt;40% ex Hurricane costs</t>
  </si>
  <si>
    <t>EPL impact? Cost out, replaced by other content?</t>
  </si>
  <si>
    <t>FX implies $10m lower/higher OCF</t>
  </si>
  <si>
    <t>Signs of stabilisation…?</t>
  </si>
  <si>
    <t>Adding $5m to Bahamas the business grew revs in Q3</t>
  </si>
  <si>
    <t>Is this right?</t>
  </si>
  <si>
    <t>TSA agreements with AT&amp;T….bring this in-house (services)</t>
  </si>
  <si>
    <t>Very bullish</t>
  </si>
  <si>
    <t>Churn in pre-paid…price compression still. Too many competitors…close to the bottom. 2020 will comp better</t>
  </si>
  <si>
    <t>Consolidation will happen…new regulator appointed. Hoping for more friendly law interpretation</t>
  </si>
  <si>
    <t>9m fiscal year…migration is flat to slightly positive. Not seeing the big decreases in the past</t>
  </si>
  <si>
    <t>Employment is looking better…island's debt to be renegotiated..cut debt. Cut debt servicing</t>
  </si>
  <si>
    <t>Optimistic, not overly so</t>
  </si>
  <si>
    <t>Will nail this year's guidance….and will set for next year, and do also</t>
  </si>
  <si>
    <t>CWC margin</t>
  </si>
  <si>
    <t>OpEx business…opex in low 30%'s in the lower range vs higher today - for collective business</t>
  </si>
  <si>
    <t>Trying to drive down capex/sales further</t>
  </si>
  <si>
    <t>Grand Bahamas OK</t>
  </si>
  <si>
    <t>Other places more of a struggle</t>
  </si>
  <si>
    <t>Back to run rate in 2020 some time</t>
  </si>
  <si>
    <t>Not to pay down debt..</t>
  </si>
  <si>
    <t>600 towers…monetised for leases previously</t>
  </si>
  <si>
    <t>35 days into Q4….feeling good about how the year will end</t>
  </si>
  <si>
    <t>Corporate costs high in Q3…impact here?</t>
  </si>
  <si>
    <t>Bahamas underlying?</t>
  </si>
  <si>
    <t>Outstanding Q3 19</t>
  </si>
  <si>
    <t>Seychelles de-consolidation?</t>
  </si>
  <si>
    <t>WOM, CLP mn</t>
  </si>
  <si>
    <t>USD/CLP</t>
  </si>
  <si>
    <t>Prop group EBITDA</t>
  </si>
  <si>
    <t>VTR EBITDA</t>
  </si>
  <si>
    <t>Prop group capex</t>
  </si>
  <si>
    <t>VTR capex</t>
  </si>
  <si>
    <t>Prop group OpFCF</t>
  </si>
  <si>
    <t>VTR OpFCF</t>
  </si>
  <si>
    <t>- of which USD</t>
  </si>
  <si>
    <t>- of which local</t>
  </si>
  <si>
    <t>CLP move</t>
  </si>
  <si>
    <t>Gp Prop EV</t>
  </si>
  <si>
    <t>Gp Prop debt</t>
  </si>
  <si>
    <t>Net debt (all CLP as $1.26bn loans swapped)</t>
  </si>
  <si>
    <t>VTR equity</t>
  </si>
  <si>
    <t>VTR EV</t>
  </si>
  <si>
    <t>Combined VTR + WOM</t>
  </si>
  <si>
    <t>WOM, USD m</t>
  </si>
  <si>
    <t>Current LLA EFCF</t>
  </si>
  <si>
    <t>WOM bid EV, USD m</t>
  </si>
  <si>
    <t>Cash, USD m</t>
  </si>
  <si>
    <t>Net debt, USD m</t>
  </si>
  <si>
    <t>Equity , USD m</t>
  </si>
  <si>
    <t>Synergies NPV, USD m</t>
  </si>
  <si>
    <t>FX/other</t>
  </si>
  <si>
    <t>% interest (post-tax)</t>
  </si>
  <si>
    <t>Puerto Rico / US VI</t>
  </si>
  <si>
    <t xml:space="preserve">Puerto Rico </t>
  </si>
  <si>
    <t>xx</t>
  </si>
  <si>
    <t>Post Q3 follow up</t>
  </si>
  <si>
    <t>quite a large amount in usd - capex</t>
  </si>
  <si>
    <t>content costs</t>
  </si>
  <si>
    <t>liquidity</t>
  </si>
  <si>
    <t>additional debt</t>
  </si>
  <si>
    <t>1bn term loans</t>
  </si>
  <si>
    <t>bond</t>
  </si>
  <si>
    <t xml:space="preserve">LBTY Global base case </t>
  </si>
  <si>
    <t>LBTY Global (no buy back)</t>
  </si>
  <si>
    <t>LBTY standalone for Millicom mins</t>
  </si>
  <si>
    <t>Interest payments (post-tax)</t>
  </si>
  <si>
    <t>LILA + Roll-up Millicom</t>
  </si>
  <si>
    <t xml:space="preserve">Acquired in market at </t>
  </si>
  <si>
    <t>LBTY min TIGO bid (only)</t>
  </si>
  <si>
    <t>LLA AT&amp;T</t>
  </si>
  <si>
    <t>Net debt to EBITDA - New</t>
  </si>
  <si>
    <t>Net debt to EBITDA - Old</t>
  </si>
  <si>
    <t>EFCF - New</t>
  </si>
  <si>
    <t>EFCF - pre AT&amp;T</t>
  </si>
  <si>
    <t>EFCF per share (pre AT&amp;T)</t>
  </si>
  <si>
    <t>EFCF per share - New</t>
  </si>
  <si>
    <t>19-22e</t>
  </si>
  <si>
    <t>Previous offer</t>
  </si>
  <si>
    <t>New net debt to EBITDA</t>
  </si>
  <si>
    <t>Pre-Q4 19</t>
  </si>
  <si>
    <t>power grid</t>
  </si>
  <si>
    <t>no real impact to plant</t>
  </si>
  <si>
    <t xml:space="preserve"> end of w/e - everyone should be back on-line</t>
  </si>
  <si>
    <t>played out for now</t>
  </si>
  <si>
    <t>B2B better in Q4</t>
  </si>
  <si>
    <t xml:space="preserve">AT&amp;T - Q2 close </t>
  </si>
  <si>
    <t>Issue stock</t>
  </si>
  <si>
    <t>Organic growth</t>
  </si>
  <si>
    <t>CWC constant FX</t>
  </si>
  <si>
    <t>% change inc AT&amp;T</t>
  </si>
  <si>
    <t>ex-AT&amp;T</t>
  </si>
  <si>
    <t>Q4 19</t>
  </si>
  <si>
    <t>$ rep, y/y</t>
  </si>
  <si>
    <t>Check guide on cash flow</t>
  </si>
  <si>
    <t>$80m of debt but no FCF from AT&amp;T?</t>
  </si>
  <si>
    <t>Panama strength in Q4?</t>
  </si>
  <si>
    <t>EFCF of $223m in FY 2019, $103m in Q4</t>
  </si>
  <si>
    <t>Guide of $150m in FY 20</t>
  </si>
  <si>
    <t>Working capital move in Q4</t>
  </si>
  <si>
    <t>constant FX EBITDA, other</t>
  </si>
  <si>
    <t>constant FX EBITDA, other, ex AT&amp;T</t>
  </si>
  <si>
    <t>Capex much lower</t>
  </si>
  <si>
    <t>OCF minus P&amp;E adds</t>
  </si>
  <si>
    <t>21.2%...targeting mid-20%</t>
  </si>
  <si>
    <t>EFCF call</t>
  </si>
  <si>
    <t>$150m for 2020</t>
  </si>
  <si>
    <t>Despite Chile, Q1 cash outlays</t>
  </si>
  <si>
    <t xml:space="preserve">will be weighted toward </t>
  </si>
  <si>
    <t>Working capital level..?</t>
  </si>
  <si>
    <t>Wireline voice adds</t>
  </si>
  <si>
    <t>Law amended this week</t>
  </si>
  <si>
    <t>Something could happen in the next 12-24 months</t>
  </si>
  <si>
    <t>Very difficult end of year</t>
  </si>
  <si>
    <t>Quieter Jan and Feb, sometime a few issues. No relevant impact. Business and network functioning well</t>
  </si>
  <si>
    <t>We see good demand on BB side</t>
  </si>
  <si>
    <t>B2B - moving forward very strongly</t>
  </si>
  <si>
    <t>B2C fixed…fantastic growth in the last year</t>
  </si>
  <si>
    <t>B2C mobile - good offers, seeing sustainable growth in revenue</t>
  </si>
  <si>
    <t>Re-branding within 12 months</t>
  </si>
  <si>
    <t>3 years agreement with AT&amp;T…carve out systems and network from AT&amp;T</t>
  </si>
  <si>
    <t>Synergies from within 1 year</t>
  </si>
  <si>
    <t>$12m in lower programming in settlement costs</t>
  </si>
  <si>
    <t>$10m withholding tax benefit</t>
  </si>
  <si>
    <t>Benefits</t>
  </si>
  <si>
    <t>Hits</t>
  </si>
  <si>
    <t>Hurricane, $4m hit</t>
  </si>
  <si>
    <t>Bad debt in C&amp;W up $6m</t>
  </si>
  <si>
    <t>$13m insurance payout in Q4 18</t>
  </si>
  <si>
    <t>Deals need to be levered EFCF/share</t>
  </si>
  <si>
    <t>Getting bigger not interesting…accretion</t>
  </si>
  <si>
    <t>" A currency issue for us"</t>
  </si>
  <si>
    <t>Grow the business on volume…not on price</t>
  </si>
  <si>
    <t>Hard to take price</t>
  </si>
  <si>
    <t>AT&amp;T is more than 70% post-paid, so converged oppo in PR?</t>
  </si>
  <si>
    <t xml:space="preserve">LILAC has found a new and lower cost </t>
  </si>
  <si>
    <t>Build is now in the C and D areas, and LiLAC is now focusing on this. Had neglected this</t>
  </si>
  <si>
    <t xml:space="preserve">4G </t>
  </si>
  <si>
    <t>Pen is still quite low, &lt;50% in Jamaica for instance</t>
  </si>
  <si>
    <t>Opex savings</t>
  </si>
  <si>
    <t>Capex savings</t>
  </si>
  <si>
    <t>EV paid</t>
  </si>
  <si>
    <t>DCF fair value</t>
  </si>
  <si>
    <t xml:space="preserve">Total LLA </t>
  </si>
  <si>
    <t>2019 KPIs</t>
  </si>
  <si>
    <t xml:space="preserve">Chile </t>
  </si>
  <si>
    <t>Rolling contribution, BB adds</t>
  </si>
  <si>
    <t>Rolling contribution, Video adds</t>
  </si>
  <si>
    <t>Rolling contribution, wireless adds</t>
  </si>
  <si>
    <t>$ rep, y/y - re-based</t>
  </si>
  <si>
    <t>% HHs covered</t>
  </si>
  <si>
    <t>CRC/USD</t>
  </si>
  <si>
    <t>Jamaica in local</t>
  </si>
  <si>
    <t>Costa Rica in local</t>
  </si>
  <si>
    <t>local growth</t>
  </si>
  <si>
    <t>Chat, 5 March</t>
  </si>
  <si>
    <t>Digicel secured a lot of the roaming revs historically</t>
  </si>
  <si>
    <t>Roaming ~1%</t>
  </si>
  <si>
    <t>Volumes have been high, a seller</t>
  </si>
  <si>
    <t>Quarts</t>
  </si>
  <si>
    <t>Interest higher Q1, Q3</t>
  </si>
  <si>
    <t>WC outflow in Q1</t>
  </si>
  <si>
    <t>Business - building through the year</t>
  </si>
  <si>
    <t>CWC had a very strong Q4</t>
  </si>
  <si>
    <t>Centre costs</t>
  </si>
  <si>
    <t>$16m in Q4…ramp through the year</t>
  </si>
  <si>
    <t>(not double)</t>
  </si>
  <si>
    <t>$150m</t>
  </si>
  <si>
    <t>$1.2bn….6.75</t>
  </si>
  <si>
    <t>$80m negative</t>
  </si>
  <si>
    <t>Restructuring</t>
  </si>
  <si>
    <t>12-18m duration</t>
  </si>
  <si>
    <t>Some costs ahead of close</t>
  </si>
  <si>
    <t>In LCPR and centre</t>
  </si>
  <si>
    <t>1.5x synergies on ongoing basis ($70m)</t>
  </si>
  <si>
    <t>from 1 year after</t>
  </si>
  <si>
    <t>full run rate 2-3 years</t>
  </si>
  <si>
    <t>TSA</t>
  </si>
  <si>
    <t>3 years, business sits within AT&amp;T</t>
  </si>
  <si>
    <t>will be paying them</t>
  </si>
  <si>
    <t>stepped agreement</t>
  </si>
  <si>
    <t>Increased competition</t>
  </si>
  <si>
    <t>EBITDA level…content in USD (50%)</t>
  </si>
  <si>
    <t>non functional</t>
  </si>
  <si>
    <t>CWC more aggressive on pricing</t>
  </si>
  <si>
    <t>unlimited voice</t>
  </si>
  <si>
    <t>Digicel have more towers than CWC</t>
  </si>
  <si>
    <t>&lt;50% pen, 90% coverage</t>
  </si>
  <si>
    <t>mainly added in low end</t>
  </si>
  <si>
    <t>Digicel price up in the top segment</t>
  </si>
  <si>
    <t>sustaining through</t>
  </si>
  <si>
    <t>New offers this week</t>
  </si>
  <si>
    <t>not believers in unlimited data</t>
  </si>
  <si>
    <t>unlimited to top end post-paid</t>
  </si>
  <si>
    <t>Networks vaguely similar</t>
  </si>
  <si>
    <t>fixed revs + double digits</t>
  </si>
  <si>
    <t>B2B down</t>
  </si>
  <si>
    <t>wireless &gt;8% y/y</t>
  </si>
  <si>
    <t>CWC won - increased share of top segment</t>
  </si>
  <si>
    <t>As CWC wins subs, gets better ARPU subs</t>
  </si>
  <si>
    <t>&gt;8%</t>
  </si>
  <si>
    <t>~10%</t>
  </si>
  <si>
    <t>Structural change</t>
  </si>
  <si>
    <t>Oscar Nooi IR at LBTY Global</t>
  </si>
  <si>
    <t>KP reported through him…now straight to Chris</t>
  </si>
  <si>
    <t>much lower  in Q3</t>
  </si>
  <si>
    <t>CWC building momentum</t>
  </si>
  <si>
    <t>USD mobile sequentially, Q4 on Q3 for wireless</t>
  </si>
  <si>
    <t>Mar 19th</t>
  </si>
  <si>
    <t>Not much impact to date</t>
  </si>
  <si>
    <t xml:space="preserve">Increased demand in PR and Chile </t>
  </si>
  <si>
    <t>Tourism</t>
  </si>
  <si>
    <t>Hospitality not a huge part of B2B - struggle to pay their bills</t>
  </si>
  <si>
    <t>Governments might do more</t>
  </si>
  <si>
    <t>CLP moved against LILA</t>
  </si>
  <si>
    <t>Covenant headroom as of Q4</t>
  </si>
  <si>
    <t>Capex and opex headroom</t>
  </si>
  <si>
    <t>How impacts economies</t>
  </si>
  <si>
    <t>Economies weighted toward tourism</t>
  </si>
  <si>
    <t>Energy costs falling</t>
  </si>
  <si>
    <t>negative T&amp;T</t>
  </si>
  <si>
    <t>positive for other importing costs</t>
  </si>
  <si>
    <t>Prepaid mobile</t>
  </si>
  <si>
    <t>3.x</t>
  </si>
  <si>
    <t>leverage</t>
  </si>
  <si>
    <t>vtr</t>
  </si>
  <si>
    <t>maintenance cov</t>
  </si>
  <si>
    <t>incurrence covenant</t>
  </si>
  <si>
    <t>if &gt; then can't raise debt</t>
  </si>
  <si>
    <t>chile</t>
  </si>
  <si>
    <t>pr</t>
  </si>
  <si>
    <t>5.5x net debt / ebitda</t>
  </si>
  <si>
    <t>Buy-back announcement</t>
  </si>
  <si>
    <t>FCC, DoJ need to approve</t>
  </si>
  <si>
    <t>AT&amp;T deal</t>
  </si>
  <si>
    <t>Binding agreement</t>
  </si>
  <si>
    <t>GNI per capital</t>
  </si>
  <si>
    <t>Brazil</t>
  </si>
  <si>
    <t>Peru</t>
  </si>
  <si>
    <t>USD, PPP adj</t>
  </si>
  <si>
    <t>Fixed pen</t>
  </si>
  <si>
    <t>One-offs</t>
  </si>
  <si>
    <t>Convert</t>
  </si>
  <si>
    <t>CWC 2027 senior secured</t>
  </si>
  <si>
    <t>LIBOR</t>
  </si>
  <si>
    <t>CWC split</t>
  </si>
  <si>
    <t>Constant FX, ex-M&amp;A</t>
  </si>
  <si>
    <t>% total</t>
  </si>
  <si>
    <t>PR EBITDA</t>
  </si>
  <si>
    <t>PR net debt to EBITDA</t>
  </si>
  <si>
    <t>Extra debt raised in PR</t>
  </si>
  <si>
    <t>Debt refinanced in PR</t>
  </si>
  <si>
    <t>Parent co</t>
  </si>
  <si>
    <t>Proportionate CWC</t>
  </si>
  <si>
    <t xml:space="preserve">LLA Group today </t>
  </si>
  <si>
    <t>LLA Group today (after WOM)</t>
  </si>
  <si>
    <t>Current LLA EFCF/share</t>
  </si>
  <si>
    <t xml:space="preserve">LLA buys WOM </t>
  </si>
  <si>
    <t>FLOW T&amp;T</t>
  </si>
  <si>
    <t>extra channels</t>
  </si>
  <si>
    <t>Actions so far</t>
  </si>
  <si>
    <t>Millicom voice and WhatsApp messaging</t>
  </si>
  <si>
    <t>NEW, US$ m</t>
  </si>
  <si>
    <t>OLD, US$ m</t>
  </si>
  <si>
    <t>Margin on equipment</t>
  </si>
  <si>
    <t>Lost EBITDA on equip</t>
  </si>
  <si>
    <t>Other lost revs</t>
  </si>
  <si>
    <t>Implied EBITDA loss on other</t>
  </si>
  <si>
    <t xml:space="preserve">Fixed </t>
  </si>
  <si>
    <t>Wireless ex B2B</t>
  </si>
  <si>
    <t>Media/</t>
  </si>
  <si>
    <t>Pre-paid</t>
  </si>
  <si>
    <t>other</t>
  </si>
  <si>
    <t>Liberty LA</t>
  </si>
  <si>
    <t>mobile</t>
  </si>
  <si>
    <t>fixed</t>
  </si>
  <si>
    <t>equip</t>
  </si>
  <si>
    <t>Televisa</t>
  </si>
  <si>
    <t>TEF Brasil</t>
  </si>
  <si>
    <t>corp</t>
  </si>
  <si>
    <t>TIM Brasil</t>
  </si>
  <si>
    <t>res</t>
  </si>
  <si>
    <t>Oi</t>
  </si>
  <si>
    <t>Changes to estimates</t>
  </si>
  <si>
    <t>post</t>
  </si>
  <si>
    <t>SME is 6% of revs</t>
  </si>
  <si>
    <t>TEF has many of the large corporates</t>
  </si>
  <si>
    <t>in Sao Paulo. B2B estimated &lt;10%</t>
  </si>
  <si>
    <t xml:space="preserve">B2B exposure largely in Panama (regional </t>
  </si>
  <si>
    <t>hub) and  Colombia. SME exp small</t>
  </si>
  <si>
    <t>estimates</t>
  </si>
  <si>
    <t>B2B Includes "Corporate" segment but also</t>
  </si>
  <si>
    <t>commercial component of Mass market (4% of total)</t>
  </si>
  <si>
    <r>
      <rPr>
        <i/>
        <sz val="10"/>
        <color theme="1"/>
        <rFont val="Trebuchet MS"/>
        <family val="2"/>
      </rPr>
      <t>pf</t>
    </r>
    <r>
      <rPr>
        <sz val="10"/>
        <color theme="1"/>
        <rFont val="Trebuchet MS"/>
        <family val="2"/>
      </rPr>
      <t xml:space="preserve"> for AT&amp;T acquisition</t>
    </r>
  </si>
  <si>
    <t>Wireless, fixed spit is reported by AMX; otherwise</t>
  </si>
  <si>
    <t>"Other" is mainly Televisa's Content asset. This is</t>
  </si>
  <si>
    <t>expected to be a cyclical business</t>
  </si>
  <si>
    <t>Pre-paid exposure has continually fallen over time</t>
  </si>
  <si>
    <t>tourism component of B2B high but not disclosed</t>
  </si>
  <si>
    <t>"Other" in CWC is largely Subsea cable. Hospitality/</t>
  </si>
  <si>
    <t>From</t>
  </si>
  <si>
    <t>Start year</t>
  </si>
  <si>
    <t>Trough</t>
  </si>
  <si>
    <t>trough</t>
  </si>
  <si>
    <t>TIM</t>
  </si>
  <si>
    <t>Mid-Feb</t>
  </si>
  <si>
    <t>Pre-crisis</t>
  </si>
  <si>
    <t>na (-ve)</t>
  </si>
  <si>
    <t>Changes in estimates (ex-FX)</t>
  </si>
  <si>
    <t>LiLA Group</t>
  </si>
  <si>
    <t>Unused borrowing</t>
  </si>
  <si>
    <t>Millicom with zero pay out</t>
  </si>
  <si>
    <t>Q1 20</t>
  </si>
  <si>
    <t xml:space="preserve">Service </t>
  </si>
  <si>
    <t>EBITDA, y/y</t>
  </si>
  <si>
    <t>Puerto Rico, AMX, y/y</t>
  </si>
  <si>
    <t>EBITDA, $</t>
  </si>
  <si>
    <t>Q1 2020</t>
  </si>
  <si>
    <t>Interested in Costa Rica?</t>
  </si>
  <si>
    <t>AT&amp;T still going ahead (after Millicom move)?</t>
  </si>
  <si>
    <t>Guide on OCF…we’re now negative?</t>
  </si>
  <si>
    <t>EFCF of $150m…we're at $50m</t>
  </si>
  <si>
    <t>$150m OpFCF</t>
  </si>
  <si>
    <t>Panama, Bahamas</t>
  </si>
  <si>
    <t>mobile subcription revs</t>
  </si>
  <si>
    <t>delayed certain advertising</t>
  </si>
  <si>
    <t>Longer remarks in the presentation</t>
  </si>
  <si>
    <t>Kunal</t>
  </si>
  <si>
    <t>Balanced tone</t>
  </si>
  <si>
    <t>No real impact</t>
  </si>
  <si>
    <t>Mobile - Panama, Bahamas</t>
  </si>
  <si>
    <t>Challenges in some parts, strengths in others</t>
  </si>
  <si>
    <t>Chile, PR, CR better placed</t>
  </si>
  <si>
    <t>Lockdowns</t>
  </si>
  <si>
    <t>Q1 did not see many come in</t>
  </si>
  <si>
    <t>Late-March, early April</t>
  </si>
  <si>
    <t>Most aggressive in Panama</t>
  </si>
  <si>
    <t>All stores stayed open in Costa Rica</t>
  </si>
  <si>
    <t>tougher mobile comp, good commercial Q1 in 2019</t>
  </si>
  <si>
    <t>back to normal this Q</t>
  </si>
  <si>
    <t>impacted by lockdown</t>
  </si>
  <si>
    <t>25 March lockdown</t>
  </si>
  <si>
    <t>General sense is relatively comfortable</t>
  </si>
  <si>
    <t>continue to build</t>
  </si>
  <si>
    <t>no change to buy back</t>
  </si>
  <si>
    <t>$1.7m so far</t>
  </si>
  <si>
    <t>Some more colour on April coming</t>
  </si>
  <si>
    <t>Islands</t>
  </si>
  <si>
    <t>Broad view - will impact some of them pretty hard</t>
  </si>
  <si>
    <t>Some help from IMF in last few weeks</t>
  </si>
  <si>
    <t>Positives</t>
  </si>
  <si>
    <t>leaner organisation</t>
  </si>
  <si>
    <t>self install</t>
  </si>
  <si>
    <t>One offs</t>
  </si>
  <si>
    <t>$8m in sub sea</t>
  </si>
  <si>
    <t>More than enough one offs moving the other way</t>
  </si>
  <si>
    <t>Have the cash…debt issued last October</t>
  </si>
  <si>
    <t>Delayed slightly…not directly</t>
  </si>
  <si>
    <t>FCC asking a few questions</t>
  </si>
  <si>
    <t>50% opex, 50% capex</t>
  </si>
  <si>
    <t>500k upgrades/build</t>
  </si>
  <si>
    <t>not updated</t>
  </si>
  <si>
    <t>cancellations, delays of non essential projects</t>
  </si>
  <si>
    <t>this excludes commercial savings</t>
  </si>
  <si>
    <t>Tourism impact</t>
  </si>
  <si>
    <t>Islands with &gt;50% of GDP - what will happen here</t>
  </si>
  <si>
    <t>$150m saving</t>
  </si>
  <si>
    <t>of revenue</t>
  </si>
  <si>
    <t>Does pricing model allow for revenue gain on higher volumes?</t>
  </si>
  <si>
    <t>Saving $75m of growth capex but maintaining $100m buy-back</t>
  </si>
  <si>
    <t>How should we think about this?</t>
  </si>
  <si>
    <t>How to think about this?</t>
  </si>
  <si>
    <t>Will this flush out weaker players, accelerate or slow consolidation opportunities</t>
  </si>
  <si>
    <t>Maxed out in deals</t>
  </si>
  <si>
    <t>How easy to build new homes and upgrade existing…80,000</t>
  </si>
  <si>
    <t>Still able to access homes</t>
  </si>
  <si>
    <t>How to think about working cap over 2020?</t>
  </si>
  <si>
    <t>Q1 2020 conference call</t>
  </si>
  <si>
    <t>more aggressive in Jamaica</t>
  </si>
  <si>
    <t>isolated to Q1?</t>
  </si>
  <si>
    <t>Some time in second half of year, ready to discuss outcome</t>
  </si>
  <si>
    <t>Jamaica double digit re-based</t>
  </si>
  <si>
    <t>VTR: 90% of revs from fixed residential</t>
  </si>
  <si>
    <t xml:space="preserve">PR: </t>
  </si>
  <si>
    <t>In general, how have you competitors respond</t>
  </si>
  <si>
    <t>Digicel response</t>
  </si>
  <si>
    <t>AMX in Puerto Rico struggling a little more</t>
  </si>
  <si>
    <t>Managing for positive FCF</t>
  </si>
  <si>
    <t>$15m per Q from hospitality busineses</t>
  </si>
  <si>
    <t>Collections have meaningfully improved in the last 10 days</t>
  </si>
  <si>
    <t>Chris Noyes</t>
  </si>
  <si>
    <t>Volumes up, not taking price increases</t>
  </si>
  <si>
    <t>Lockdowns are key…starting to ease up</t>
  </si>
  <si>
    <t>more than two thirds of stores on-line</t>
  </si>
  <si>
    <t>Hospitality challenge</t>
  </si>
  <si>
    <t>Hotels are direct customers…closed</t>
  </si>
  <si>
    <t>&lt;5% of total B2B</t>
  </si>
  <si>
    <t>Hotels employ our customers</t>
  </si>
  <si>
    <t>pre-paid wireless exposure</t>
  </si>
  <si>
    <t>and Employment</t>
  </si>
  <si>
    <t>On the lookout for any opportunities</t>
  </si>
  <si>
    <t>Any business struggling in month 1 of Covid..not interesting</t>
  </si>
  <si>
    <t>General macro</t>
  </si>
  <si>
    <t>Carnival</t>
  </si>
  <si>
    <t>Hotel groups</t>
  </si>
  <si>
    <t>August - 8 ships, more by October…things will start coming back</t>
  </si>
  <si>
    <t>need to keep security cameras, reservation lines etc</t>
  </si>
  <si>
    <t>12 months - will see a lot of activity coming back</t>
  </si>
  <si>
    <t>Been very aggressive on lockdowns to ensure return of tourists</t>
  </si>
  <si>
    <t>Further regulatory, legislative action?</t>
  </si>
  <si>
    <t>Ongoing discussions with government</t>
  </si>
  <si>
    <t>Panama…make some changes in the law</t>
  </si>
  <si>
    <t>where can pay, should pay</t>
  </si>
  <si>
    <t>Chile, Bahamas..</t>
  </si>
  <si>
    <t>PR…following US model to keep America connected</t>
  </si>
  <si>
    <t>One of the largest employers</t>
  </si>
  <si>
    <t>Competition response</t>
  </si>
  <si>
    <t>Rational…Digicel dealing with some debt issues</t>
  </si>
  <si>
    <t>Been a good competitor</t>
  </si>
  <si>
    <t>Panama…competition not the issue, the lockdowns are the issue</t>
  </si>
  <si>
    <t>Fixed Jam and Panama</t>
  </si>
  <si>
    <t>Continue to drive nice growth</t>
  </si>
  <si>
    <t>Ownership</t>
  </si>
  <si>
    <t>Voting</t>
  </si>
  <si>
    <t>Cash taxes, interest</t>
  </si>
  <si>
    <t>AT&amp;T close Q3?</t>
  </si>
  <si>
    <t>CWC margins</t>
  </si>
  <si>
    <t>HQ costs lower Q1</t>
  </si>
  <si>
    <t>Panama on track</t>
  </si>
  <si>
    <t>Fries - Lightshed</t>
  </si>
  <si>
    <t>Q2 should be the low point</t>
  </si>
  <si>
    <t>Lockdowns have a big impact</t>
  </si>
  <si>
    <t>Panama - outside a few hours a week only</t>
  </si>
  <si>
    <t>Chile / Puerto Rico</t>
  </si>
  <si>
    <t>numbers broadly ok</t>
  </si>
  <si>
    <t>collections ok</t>
  </si>
  <si>
    <t>bills being paid</t>
  </si>
  <si>
    <t>but also pre-paid</t>
  </si>
  <si>
    <t>all cash coming in</t>
  </si>
  <si>
    <t>largely on-line, or bank transfers</t>
  </si>
  <si>
    <t>Subsea</t>
  </si>
  <si>
    <t>ok</t>
  </si>
  <si>
    <t>usage a little lower, but payments down</t>
  </si>
  <si>
    <t>even if fixed / post-paid…a lot still going to stores</t>
  </si>
  <si>
    <t>Improvement during lockdown</t>
  </si>
  <si>
    <t>Most markets have a Lifeline product</t>
  </si>
  <si>
    <t>If &gt;6 months and lost job, then package with good service</t>
  </si>
  <si>
    <t>A little harder. Trying not to disconnect</t>
  </si>
  <si>
    <t>Trying not to disconnect</t>
  </si>
  <si>
    <t>Q1 impact</t>
  </si>
  <si>
    <t>Head of Commercial at CWC - thinks would have added subs in Bahamas and Panama</t>
  </si>
  <si>
    <t>small revs impact…low single $m's</t>
  </si>
  <si>
    <t>Would have lost subs in Jamaica anyway</t>
  </si>
  <si>
    <t>seasonal</t>
  </si>
  <si>
    <t>Digicel…in the last couple of weeks in March very aggressive</t>
  </si>
  <si>
    <t>Minimal take up in both countries given A/B income groups</t>
  </si>
  <si>
    <t>Panama, 2 Mbps, 200 mins on-net, 10 local - $5 per month</t>
  </si>
  <si>
    <t>CWC is ~$45 of ARPU</t>
  </si>
  <si>
    <t>USD12 package, vs Chile ARPU of USD40</t>
  </si>
  <si>
    <t>too early to say in terms of take-up</t>
  </si>
  <si>
    <t>Not assuming some hockey stick in Q4</t>
  </si>
  <si>
    <t>Telenet</t>
  </si>
  <si>
    <t>5% is hospitality - impacted directly (lockdown / cutting down travel)</t>
  </si>
  <si>
    <t>A lot is government and enterprise</t>
  </si>
  <si>
    <t>some puts and takes</t>
  </si>
  <si>
    <t>25% is subsea</t>
  </si>
  <si>
    <t>&gt;50% is government and Enterprise (large corporates)</t>
  </si>
  <si>
    <t>&lt;25% is hospitality..SMEs</t>
  </si>
  <si>
    <t>Banks</t>
  </si>
  <si>
    <t>Follow up on Q1s</t>
  </si>
  <si>
    <t>CWC FX drag from Jamaica</t>
  </si>
  <si>
    <t>adjs</t>
  </si>
  <si>
    <t>Group LiLAC changes (post Q1)</t>
  </si>
  <si>
    <t>new</t>
  </si>
  <si>
    <t>old</t>
  </si>
  <si>
    <t>* publish *</t>
  </si>
  <si>
    <t xml:space="preserve">Since </t>
  </si>
  <si>
    <t>published</t>
  </si>
  <si>
    <t>EBITDA revisons</t>
  </si>
  <si>
    <t>Q2 20</t>
  </si>
  <si>
    <t>Group OpEx</t>
  </si>
  <si>
    <t>CWC OpEx</t>
  </si>
  <si>
    <t>CWC OpEx (Organic)</t>
  </si>
  <si>
    <t>Group revisions following Q1 2020</t>
  </si>
  <si>
    <t>Group revisions vs pre-Covid</t>
  </si>
  <si>
    <t>CWC revisions following Q1 2020</t>
  </si>
  <si>
    <t>CWC revisions vs pre-Covid</t>
  </si>
  <si>
    <t>y/y clean (RHS)</t>
  </si>
  <si>
    <t>Q3 22e</t>
  </si>
  <si>
    <t>Q4 22e</t>
  </si>
  <si>
    <t>Sensitivity to recovery</t>
  </si>
  <si>
    <t>5% lower CWC revenue</t>
  </si>
  <si>
    <t>loss of revs = EBITDA</t>
  </si>
  <si>
    <t>after-tax FCF loss</t>
  </si>
  <si>
    <t>CWC Mins adj</t>
  </si>
  <si>
    <t>% cut to EFCF</t>
  </si>
  <si>
    <t>Base case EFCF</t>
  </si>
  <si>
    <t>Direct contribution to tourism</t>
  </si>
  <si>
    <t>Antigua and Barbuda</t>
  </si>
  <si>
    <t>- Antigua and Barbuda</t>
  </si>
  <si>
    <t>- Anguilla</t>
  </si>
  <si>
    <t>- Cayman</t>
  </si>
  <si>
    <t>- Dominica</t>
  </si>
  <si>
    <t>- Grenada</t>
  </si>
  <si>
    <t>- St Lucia</t>
  </si>
  <si>
    <t>Other wholesale</t>
  </si>
  <si>
    <t>Employment</t>
  </si>
  <si>
    <t>Direct</t>
  </si>
  <si>
    <t>GDP</t>
  </si>
  <si>
    <t>Split</t>
  </si>
  <si>
    <t>Weighted split</t>
  </si>
  <si>
    <t>of CWC EBITDA</t>
  </si>
  <si>
    <t>of Gp EBITDA</t>
  </si>
  <si>
    <t>Other CWC countries</t>
  </si>
  <si>
    <t>- St Kitts and Nevis</t>
  </si>
  <si>
    <t>- St Vincent and the Grenadines</t>
  </si>
  <si>
    <t>St Kitts and Nevis</t>
  </si>
  <si>
    <t>St Vincent and the Grenadines</t>
  </si>
  <si>
    <t>NewCo LLA EFCF (after synergies)</t>
  </si>
  <si>
    <t>Consolidated CWC</t>
  </si>
  <si>
    <t>USD million</t>
  </si>
  <si>
    <t>EFCF (normalised)</t>
  </si>
  <si>
    <t>Puerto Rico (AT&amp;T from Q4 20)</t>
  </si>
  <si>
    <t>Jun 17th 2020 call</t>
  </si>
  <si>
    <t>Biggest issue is Panama, in terms of collections</t>
  </si>
  <si>
    <t>Lockdowns still in force, from the end of March</t>
  </si>
  <si>
    <t>Removed for 2 days, put back in</t>
  </si>
  <si>
    <t>Collections is the issue</t>
  </si>
  <si>
    <t>Performance is pretty solid</t>
  </si>
  <si>
    <t>Moratorium Law</t>
  </si>
  <si>
    <t>Only market where, Mar-Jun, can't disconnect</t>
  </si>
  <si>
    <t>Any bill accrued spread over a year ago</t>
  </si>
  <si>
    <t>Prompts people to pay</t>
  </si>
  <si>
    <t>All areas being impacted</t>
  </si>
  <si>
    <t>Starting in July for repayment</t>
  </si>
  <si>
    <t>Coming out of lockdown…day to day starting to improve</t>
  </si>
  <si>
    <t>Collections better</t>
  </si>
  <si>
    <t>Stores</t>
  </si>
  <si>
    <t>65% of stores open</t>
  </si>
  <si>
    <t>90% now</t>
  </si>
  <si>
    <t>Islands are now Covid free</t>
  </si>
  <si>
    <t>Disconnect subs in markets</t>
  </si>
  <si>
    <t>US into Caribbean</t>
  </si>
  <si>
    <t>Likely to recover sooner than UK/Europe</t>
  </si>
  <si>
    <t>Puerto Rico progressing well</t>
  </si>
  <si>
    <t>Fine at time of results</t>
  </si>
  <si>
    <t>More of a quarantine subsequently</t>
  </si>
  <si>
    <t>Most revenue on a digital basis</t>
  </si>
  <si>
    <t>Push at the end of Q1…to support numbers</t>
  </si>
  <si>
    <t>Wireless, attractive deals - free GB/mins, for a period of time</t>
  </si>
  <si>
    <t>Fx in markets like Haiti</t>
  </si>
  <si>
    <t>Results are 1 July, for FY 19 (March)</t>
  </si>
  <si>
    <t>7.0x to 5.5x leverage</t>
  </si>
  <si>
    <t>LiLA catch up, 8 July</t>
  </si>
  <si>
    <t xml:space="preserve">$1.26bn </t>
  </si>
  <si>
    <t>Liability management</t>
  </si>
  <si>
    <t>Re fi to 2028, upsized RCF</t>
  </si>
  <si>
    <t>Hold Co level to Hold/Op Co</t>
  </si>
  <si>
    <t>Op Co</t>
  </si>
  <si>
    <t>Derivative value</t>
  </si>
  <si>
    <t>secured</t>
  </si>
  <si>
    <t>Hold co</t>
  </si>
  <si>
    <t>5 and 1/8</t>
  </si>
  <si>
    <t>6 and 3/8</t>
  </si>
  <si>
    <t>unsecured</t>
  </si>
  <si>
    <t>6 and 7/8</t>
  </si>
  <si>
    <t>Cabletica coming into Chile structure</t>
  </si>
  <si>
    <t>Q1 2021</t>
  </si>
  <si>
    <t>Costa Rica being run by Chile</t>
  </si>
  <si>
    <t>Deleverages the silo…CR was at 2x</t>
  </si>
  <si>
    <t>less senior</t>
  </si>
  <si>
    <t>Diversifies the credit</t>
  </si>
  <si>
    <t>Hold Co from Holland to Spain</t>
  </si>
  <si>
    <t>Spain is better for LatAm</t>
  </si>
  <si>
    <t>Withholding tax…Chile to Spain lower tax from Chile to Neths</t>
  </si>
  <si>
    <t>Business update</t>
  </si>
  <si>
    <t>Continued progress</t>
  </si>
  <si>
    <t>CWC - continued to improve month on month</t>
  </si>
  <si>
    <t>Panama the only one in lockdown</t>
  </si>
  <si>
    <t>Chile seeing coming back this year, but less so in Q2</t>
  </si>
  <si>
    <t>Some specific costs</t>
  </si>
  <si>
    <t>Increased demand for services</t>
  </si>
  <si>
    <t>Call centre, truck rolls, investments catch up</t>
  </si>
  <si>
    <t>Soccer league closed down…gave some rebates</t>
  </si>
  <si>
    <t>Some lifeline issues</t>
  </si>
  <si>
    <t>Some capex also therefore</t>
  </si>
  <si>
    <t>Fine at group</t>
  </si>
  <si>
    <t>USD costs such as programming</t>
  </si>
  <si>
    <t>Q2 20 vs 19…depreciation</t>
  </si>
  <si>
    <t>Is VTR a bit dodge?</t>
  </si>
  <si>
    <t>FTTH vs HFC?</t>
  </si>
  <si>
    <t>All new build is FTTH</t>
  </si>
  <si>
    <t>50% increase in total usage</t>
  </si>
  <si>
    <t>Collections data in Chile has been solid, through unrest</t>
  </si>
  <si>
    <t>mostly post-paid fixed</t>
  </si>
  <si>
    <t>Stock volatility</t>
  </si>
  <si>
    <t>not much in the volumes</t>
  </si>
  <si>
    <t>300k</t>
  </si>
  <si>
    <t>1.4m</t>
  </si>
  <si>
    <t>Call with Kunal</t>
  </si>
  <si>
    <t>ICE</t>
  </si>
  <si>
    <t>&lt;25%</t>
  </si>
  <si>
    <t>LiLA</t>
  </si>
  <si>
    <t>LLA/TEF</t>
  </si>
  <si>
    <t>Cabletica has been going well</t>
  </si>
  <si>
    <t>Fair price at USD500m from USD570m</t>
  </si>
  <si>
    <t>4x on the asset buying</t>
  </si>
  <si>
    <t>Haven't fully financed</t>
  </si>
  <si>
    <t>USD300m</t>
  </si>
  <si>
    <t>USD200m</t>
  </si>
  <si>
    <t>Debt or equity</t>
  </si>
  <si>
    <t>USD500m</t>
  </si>
  <si>
    <t>Right to leave it open</t>
  </si>
  <si>
    <t>End Q1</t>
  </si>
  <si>
    <t>2x secured leverage at CWC….compared to 5x maintenance coverage</t>
  </si>
  <si>
    <t>RCF</t>
  </si>
  <si>
    <t>drawn down….have on hand</t>
  </si>
  <si>
    <t>USD313m, or half of total</t>
  </si>
  <si>
    <t>TEF Costa Rica bid EV, USD m</t>
  </si>
  <si>
    <t>EV/EBITDA multiple (2019)</t>
  </si>
  <si>
    <t>Debt, USD m</t>
  </si>
  <si>
    <t>Issue price for LLA, USD</t>
  </si>
  <si>
    <t>Combined Cabletica + TEF</t>
  </si>
  <si>
    <t>LLA / Costa Rica</t>
  </si>
  <si>
    <t>Q2 2020 results</t>
  </si>
  <si>
    <t>Class Action suit against VTR for quality issues during the pandemic</t>
  </si>
  <si>
    <t>Buy back - activity in Q2, plans going forward</t>
  </si>
  <si>
    <t>Issue equity or debt for Telefonica Costa Rica</t>
  </si>
  <si>
    <t>Others</t>
  </si>
  <si>
    <t>Telecable</t>
  </si>
  <si>
    <t>Cabletica (LILA)</t>
  </si>
  <si>
    <t>kolbi (ICE)</t>
  </si>
  <si>
    <t xml:space="preserve">CRC m </t>
  </si>
  <si>
    <t>EV, CRC</t>
  </si>
  <si>
    <t>EV, USD</t>
  </si>
  <si>
    <t>Synergy adj (AT&amp;T guide)</t>
  </si>
  <si>
    <t>LLA Group pf for TEF Costa Rica</t>
  </si>
  <si>
    <t>NSR</t>
  </si>
  <si>
    <t>Consenus</t>
  </si>
  <si>
    <t>Deals - Chile and Trinidad don’t have mobile</t>
  </si>
  <si>
    <t>Wireless down 20% y/y</t>
  </si>
  <si>
    <t>Talk about April lows</t>
  </si>
  <si>
    <t>Improving since then</t>
  </si>
  <si>
    <t>June adds better</t>
  </si>
  <si>
    <t>Added 19k BB subs</t>
  </si>
  <si>
    <t>Video hit…Chilean football league</t>
  </si>
  <si>
    <t>Premium channel</t>
  </si>
  <si>
    <t>USD5m in the quarter</t>
  </si>
  <si>
    <t>50% of progamming in USD</t>
  </si>
  <si>
    <t>hedge some of this</t>
  </si>
  <si>
    <t>hedge rate for this Q moved in the wrong direction</t>
  </si>
  <si>
    <t>USD8m in EBITDA</t>
  </si>
  <si>
    <t>Issue price</t>
  </si>
  <si>
    <t>VWAP</t>
  </si>
  <si>
    <t>No specific mention of $75m</t>
  </si>
  <si>
    <t>P 42 of 10 Q…</t>
  </si>
  <si>
    <t>on track</t>
  </si>
  <si>
    <t>Ex rights price</t>
  </si>
  <si>
    <t>USD9.7m</t>
  </si>
  <si>
    <t>USD1.7m</t>
  </si>
  <si>
    <t>Right value</t>
  </si>
  <si>
    <t>Acquisition financing</t>
  </si>
  <si>
    <t>How much have done of $75m cost…how much commercial savings</t>
  </si>
  <si>
    <t>With</t>
  </si>
  <si>
    <t>consider all forms of capital</t>
  </si>
  <si>
    <t>then right offering one week later…technical issue</t>
  </si>
  <si>
    <t>Revenue pressure</t>
  </si>
  <si>
    <t xml:space="preserve">Related to </t>
  </si>
  <si>
    <t>Rest is related to lockdown..?</t>
  </si>
  <si>
    <t>Seeing any competitive pressure</t>
  </si>
  <si>
    <t>Network and call centre</t>
  </si>
  <si>
    <t>Customer protection agency, Sermac, is bring a class action against you for quality of service issues</t>
  </si>
  <si>
    <t>AT&amp;T - sense as to how H1 has performed…any insights here? Taken a big hit?</t>
  </si>
  <si>
    <t>Subs up to 430k…which is higher than pre-hurricane and with a big step up in Q2</t>
  </si>
  <si>
    <t>how to think about where this number could go</t>
  </si>
  <si>
    <t>38% penetration….where could this get to?</t>
  </si>
  <si>
    <t>Check…the balance of the 4x leverage (USD300m) will be paid for out of the equity raise, or not yet decided</t>
  </si>
  <si>
    <t>Remain agile</t>
  </si>
  <si>
    <t>Accretive EFCF/share opportunities</t>
  </si>
  <si>
    <t xml:space="preserve">New geographies, or infilling </t>
  </si>
  <si>
    <t>Any behaviour change since the capital restructuring…?</t>
  </si>
  <si>
    <t>Millicom say they're actually gaining a little share in Panama…if so, when do you think you will be able to make inroads?</t>
  </si>
  <si>
    <t>Any sense of a need to overlay FTTH?</t>
  </si>
  <si>
    <t>Wholesale very resilient</t>
  </si>
  <si>
    <t>Script</t>
  </si>
  <si>
    <t>Leverage toward 4x</t>
  </si>
  <si>
    <t>USD300m debt</t>
  </si>
  <si>
    <t>Rights offering…including equity</t>
  </si>
  <si>
    <t>USD150m balance…doesn’t imply material transactions, is that a fair read?</t>
  </si>
  <si>
    <t>Extra $1bn of revenue to LLA</t>
  </si>
  <si>
    <t>$150m has no direct (commercial) cost</t>
  </si>
  <si>
    <t>Rights offering</t>
  </si>
  <si>
    <t>Prudent captital structure to get to</t>
  </si>
  <si>
    <t>Efficient mechanism to raise capital</t>
  </si>
  <si>
    <t>Want to move quickly</t>
  </si>
  <si>
    <t>Accelerated network upgrades</t>
  </si>
  <si>
    <t>Did it over a 1 month period</t>
  </si>
  <si>
    <t>Some issues…working with govt and reg to explain how a 1 time issue</t>
  </si>
  <si>
    <t>A force majeur</t>
  </si>
  <si>
    <t>Winter period</t>
  </si>
  <si>
    <t>Covid not improving…strict lockdowns still</t>
  </si>
  <si>
    <t>CBRS auction</t>
  </si>
  <si>
    <t>Mostly post-paid…so AT&amp;T</t>
  </si>
  <si>
    <t>Issues getting call centre staff working from home</t>
  </si>
  <si>
    <t>Core volumes really high</t>
  </si>
  <si>
    <t>Doing very well</t>
  </si>
  <si>
    <t>AT&amp;T - consumer shops all open, network taken on more traffic</t>
  </si>
  <si>
    <t>assume doing pretty well</t>
  </si>
  <si>
    <t>Yes, more runway</t>
  </si>
  <si>
    <t>1/ BB penetration…60-70%, room to grow further, homes build</t>
  </si>
  <si>
    <t>2/ Video growing well…Charter also, adding also</t>
  </si>
  <si>
    <t>Duplicated functions</t>
  </si>
  <si>
    <t>Submarine cable coming into Costa Rica..will be moving TEF traffic onto their fixed network</t>
  </si>
  <si>
    <t>Pipeline</t>
  </si>
  <si>
    <t>Quite active, but disciplined</t>
  </si>
  <si>
    <t>Goal is not to get bigger…but to add value</t>
  </si>
  <si>
    <t>Lifeline products?? Still taken customers off the base here</t>
  </si>
  <si>
    <t>July better than June</t>
  </si>
  <si>
    <t>SMB customers</t>
  </si>
  <si>
    <t>Kept connected in Q2</t>
  </si>
  <si>
    <t>Will see new business starting to arrive</t>
  </si>
  <si>
    <t>Each shareholder gets</t>
  </si>
  <si>
    <t>check:</t>
  </si>
  <si>
    <t>Equates to</t>
  </si>
  <si>
    <t>No of rights to buy a share</t>
  </si>
  <si>
    <t>Issue</t>
  </si>
  <si>
    <t>Other B2B (mainly CWC)</t>
  </si>
  <si>
    <t>Do nothing, right lapses</t>
  </si>
  <si>
    <t>Assume 10% don't</t>
  </si>
  <si>
    <t>Pool is available to all shareholders who have fulfilled obligation</t>
  </si>
  <si>
    <t>Oversubscription for "free"</t>
  </si>
  <si>
    <t>Oct 1st for this oversubscription to be taken up</t>
  </si>
  <si>
    <t>Sept-25th</t>
  </si>
  <si>
    <t>LILAR</t>
  </si>
  <si>
    <t>GS</t>
  </si>
  <si>
    <t>Confident on close</t>
  </si>
  <si>
    <t>Very downbeat tone according to one investor</t>
  </si>
  <si>
    <t>Month on month getting better</t>
  </si>
  <si>
    <t>Noise in the media</t>
  </si>
  <si>
    <t>Since results..</t>
  </si>
  <si>
    <t>Outage last week…freak event</t>
  </si>
  <si>
    <t>Business fine…also. y/y FX impact. Noise in the subs</t>
  </si>
  <si>
    <t>Gross adds</t>
  </si>
  <si>
    <t>door to door sales…impacted by clockdown</t>
  </si>
  <si>
    <t>Churn relatively high</t>
  </si>
  <si>
    <t>Q3 20</t>
  </si>
  <si>
    <t>Q3 2020</t>
  </si>
  <si>
    <t>Network issues….why / where?</t>
  </si>
  <si>
    <t>Has that been resolved, or is it ongoing?</t>
  </si>
  <si>
    <t>Any in-home works needed?</t>
  </si>
  <si>
    <t xml:space="preserve">Linked in my mind to tourism which isn’t </t>
  </si>
  <si>
    <t>Govts plus Panama</t>
  </si>
  <si>
    <t>Penetration of network accelerating quicly</t>
  </si>
  <si>
    <t>Grow the base again in Q4?</t>
  </si>
  <si>
    <t>TEF, Entel, AMX</t>
  </si>
  <si>
    <t>40% today…where from here?</t>
  </si>
  <si>
    <t>Tough Comp in Q4 - $15m</t>
  </si>
  <si>
    <t>If we assume no return of tourism in 2021 for the sake of argument, will CWC revs still be stable? Or maybe even up?</t>
  </si>
  <si>
    <t>Revenue looks to be stable, actually up on Q2</t>
  </si>
  <si>
    <t>Cabletica, positive re-based growth</t>
  </si>
  <si>
    <t>lost football impacting ARPU</t>
  </si>
  <si>
    <t>Subs decline, plus</t>
  </si>
  <si>
    <t>Margins where go…?</t>
  </si>
  <si>
    <t>$275m of debt on business</t>
  </si>
  <si>
    <t>stabilised, with improvements possible</t>
  </si>
  <si>
    <t>Panama…mobile improvements here</t>
  </si>
  <si>
    <t>steady improvements</t>
  </si>
  <si>
    <t>penetrating fibre builds, consumer segment still rising</t>
  </si>
  <si>
    <t>2021 revs growth</t>
  </si>
  <si>
    <t>mobile - learnt a lot, continues to recover</t>
  </si>
  <si>
    <t>sub sea network improving…strong demand</t>
  </si>
  <si>
    <t>restrictions</t>
  </si>
  <si>
    <t>capacity through the roof</t>
  </si>
  <si>
    <t>making migration of call centres from centralised to distributed</t>
  </si>
  <si>
    <t>primary sales channel is door to door - stopped</t>
  </si>
  <si>
    <t>churn went up, took 30 days to recover</t>
  </si>
  <si>
    <t>service calls have fallen dramatically</t>
  </si>
  <si>
    <t>gross down - lockdowns, churn - disruptions</t>
  </si>
  <si>
    <t>network capacity is normal</t>
  </si>
  <si>
    <t>social unrests also, vandalism also</t>
  </si>
  <si>
    <t>tremendous competition for a long period</t>
  </si>
  <si>
    <t>price competition from others also</t>
  </si>
  <si>
    <t>slowdown in building in the period</t>
  </si>
  <si>
    <t>this has been done, to help with new FTTH builds</t>
  </si>
  <si>
    <t>Google Hub TV in Q4</t>
  </si>
  <si>
    <t>new WiFi product</t>
  </si>
  <si>
    <t>Chile fibre players</t>
  </si>
  <si>
    <t>Existing players always overbuilding</t>
  </si>
  <si>
    <t>Claro already overbuilt in Santiago for instance</t>
  </si>
  <si>
    <t>Other smaller names also, on price</t>
  </si>
  <si>
    <t>HFC plant will go to docsis 3.1</t>
  </si>
  <si>
    <t>Chile mobile</t>
  </si>
  <si>
    <t>had been working well pre covid</t>
  </si>
  <si>
    <t>mostly retail (shops) sales…malls closed, still</t>
  </si>
  <si>
    <t>happy with the MVNO, opportunistic. Has deal with TEF</t>
  </si>
  <si>
    <t>Revenue…through AT&amp;T wireless subs not taking LCPR, and vice versa</t>
  </si>
  <si>
    <t>new build out potential. Cost/home passed down. Can now target D and E customers</t>
  </si>
  <si>
    <t>Follow up with IR (6 Nov)</t>
  </si>
  <si>
    <t>Why net debt has come down by $200m</t>
  </si>
  <si>
    <t>Where all the BB customers in PR from?</t>
  </si>
  <si>
    <t>No seasonal ICT wins in Panama in Q4?</t>
  </si>
  <si>
    <t>Tougher comp for Q4 20 (vs 19)</t>
  </si>
  <si>
    <t>TV cost is relatively high…US content is at a "US cost"; some Spanish content also</t>
  </si>
  <si>
    <t>Hub TV aggregator</t>
  </si>
  <si>
    <t>Android platform</t>
  </si>
  <si>
    <t>Connectivity at home, doesn't per se need TV</t>
  </si>
  <si>
    <t>Some one-offs, the $15m</t>
  </si>
  <si>
    <t>Top line</t>
  </si>
  <si>
    <t>Should progress sequentially</t>
  </si>
  <si>
    <t>mobile the bigger driver</t>
  </si>
  <si>
    <t>slight uptick in fixed and B2B</t>
  </si>
  <si>
    <t>Hold the gains we made</t>
  </si>
  <si>
    <t>Should be gains on EBITDA</t>
  </si>
  <si>
    <t>Extra spending</t>
  </si>
  <si>
    <t>Revenue should be up</t>
  </si>
  <si>
    <t>soccer headwind should go away</t>
  </si>
  <si>
    <t>big ARPU impact</t>
  </si>
  <si>
    <t>more neutral from soccer, as stopped paying for Content</t>
  </si>
  <si>
    <t>optimistic on adding customers in Q4</t>
  </si>
  <si>
    <t>Lockdown as issue</t>
  </si>
  <si>
    <t>Bahamas…stabilised, underlying loss to Cable B happened?</t>
  </si>
  <si>
    <t>Q1s in August (to June)</t>
  </si>
  <si>
    <t>EBITDA similar…revenue held up better, lost mobile subs in JAM, mobile ARPU down a little</t>
  </si>
  <si>
    <t>Expected mobile to back to pre-Covid levels</t>
  </si>
  <si>
    <t>Feb levels by Nov</t>
  </si>
  <si>
    <t>Expected revs down 2-3%, EBITDA down 8-9%</t>
  </si>
  <si>
    <t>Revs down 5%, EBITDA down 10%</t>
  </si>
  <si>
    <t>$1.3bn of annualised</t>
  </si>
  <si>
    <t>PR with AT&amp;T PR is $1.3bn</t>
  </si>
  <si>
    <t>take out $420 or so</t>
  </si>
  <si>
    <t>$8-900m for AT&amp;T</t>
  </si>
  <si>
    <t>EBITDA (inc restr costs, ex-synergies)</t>
  </si>
  <si>
    <t>1-way homes</t>
  </si>
  <si>
    <t>penetration of 2-way</t>
  </si>
  <si>
    <t>Households in Chile</t>
  </si>
  <si>
    <t>penetration of HH</t>
  </si>
  <si>
    <t>penetration of HPs</t>
  </si>
  <si>
    <t>ARPU/sub</t>
  </si>
  <si>
    <t>ARPU / sub, CLP</t>
  </si>
  <si>
    <t>Revenue, CLP m</t>
  </si>
  <si>
    <t>New vs old  (Nov-20)</t>
  </si>
  <si>
    <t>restr charges</t>
  </si>
  <si>
    <t>Clean EBITDA (ex synergy gains)</t>
  </si>
  <si>
    <t>EV/EBITDA multiple (2021e)</t>
  </si>
  <si>
    <t>Restructuring charges</t>
  </si>
  <si>
    <t>EBITDA (ex restr)</t>
  </si>
  <si>
    <t>pf for AT&amp;T and Costa Rica</t>
  </si>
  <si>
    <t>Mbps</t>
  </si>
  <si>
    <t>x3-play</t>
  </si>
  <si>
    <t>Speeds price / comps - Nov 20</t>
  </si>
  <si>
    <t>86 + 71HD</t>
  </si>
  <si>
    <t>91 + 71HD</t>
  </si>
  <si>
    <t xml:space="preserve">Internet </t>
  </si>
  <si>
    <t>VTR (LiLAC)</t>
  </si>
  <si>
    <t>152 (61 HD)</t>
  </si>
  <si>
    <t>Discount for 6 months</t>
  </si>
  <si>
    <t>Price, CLP</t>
  </si>
  <si>
    <t>Internet + voice</t>
  </si>
  <si>
    <t>x3 play</t>
  </si>
  <si>
    <t>TV channels/package</t>
  </si>
  <si>
    <t>unliimed to PR/US</t>
  </si>
  <si>
    <t>Internet + telephony</t>
  </si>
  <si>
    <t>TV Esencial (Spanish)</t>
  </si>
  <si>
    <t>Ultimate (Bi-lingual)</t>
  </si>
  <si>
    <t>Flow (LiLAC)</t>
  </si>
  <si>
    <t>Price, JAM (ex-VAT)</t>
  </si>
  <si>
    <t>161 channels</t>
  </si>
  <si>
    <t>HBO App, Flow Sports App</t>
  </si>
  <si>
    <t>unlimited local</t>
  </si>
  <si>
    <t>all mobile, local, + internation</t>
  </si>
  <si>
    <t>unlimited local only</t>
  </si>
  <si>
    <t>Internet only</t>
  </si>
  <si>
    <t>optional</t>
  </si>
  <si>
    <t>Price, CRC</t>
  </si>
  <si>
    <t>Cabletica (LILAC)</t>
  </si>
  <si>
    <t>700 mins free</t>
  </si>
  <si>
    <t>TIGO (Millicom)</t>
  </si>
  <si>
    <t>Avanzado pack</t>
  </si>
  <si>
    <t>ONE TV</t>
  </si>
  <si>
    <t>x2 play</t>
  </si>
  <si>
    <t>Add to package</t>
  </si>
  <si>
    <t>CWC (LiLAC)</t>
  </si>
  <si>
    <t>Cable Onda (Millicom)</t>
  </si>
  <si>
    <t>200 mins local</t>
  </si>
  <si>
    <t>Proportionate clean EBITDA</t>
  </si>
  <si>
    <t>After Rights issue</t>
  </si>
  <si>
    <t>Sold</t>
  </si>
  <si>
    <t>Nov-2020 Form 4</t>
  </si>
  <si>
    <t>TEF Colombia</t>
  </si>
  <si>
    <t>Bid EV</t>
  </si>
  <si>
    <t>Fair value EV, $ million</t>
  </si>
  <si>
    <t>Cash bid</t>
  </si>
  <si>
    <t xml:space="preserve">Stock </t>
  </si>
  <si>
    <t>Cost of debt, post-tax</t>
  </si>
  <si>
    <t>Accumulated interest</t>
  </si>
  <si>
    <t>TEF Colombia, COP</t>
  </si>
  <si>
    <t>USD/COP</t>
  </si>
  <si>
    <t>Prop EBITDA (pf for PR, Costa Rica)</t>
  </si>
  <si>
    <t>Base net debt (prop)</t>
  </si>
  <si>
    <t>New leverage</t>
  </si>
  <si>
    <t>Base EFCF</t>
  </si>
  <si>
    <t>Accretion per share</t>
  </si>
  <si>
    <t>Base SHOUT</t>
  </si>
  <si>
    <t>TEF Ecuador, EUR</t>
  </si>
  <si>
    <t>EUR/USD</t>
  </si>
  <si>
    <t>TEF Ecuador</t>
  </si>
  <si>
    <t>Leverage post Col post Ecuador</t>
  </si>
  <si>
    <t>Implied multiple, 21e EBITDA</t>
  </si>
  <si>
    <t>Accretion vs no deals</t>
  </si>
  <si>
    <t>Ecuador impact</t>
  </si>
  <si>
    <t>Base case</t>
  </si>
  <si>
    <t>w/ Colombia</t>
  </si>
  <si>
    <t>w/ Colombia and Ecuador</t>
  </si>
  <si>
    <t>TEF Ecuador (as well as Colombia)</t>
  </si>
  <si>
    <t>Ecuador fair value EV, $ million</t>
  </si>
  <si>
    <t>30% discount for 12 months</t>
  </si>
  <si>
    <t>Promotion</t>
  </si>
  <si>
    <t>Recent (Nov) promotions turned into base price</t>
  </si>
  <si>
    <t>ex=AT&amp;T</t>
  </si>
  <si>
    <t>pf numbers adjusted</t>
  </si>
  <si>
    <t>9m 2020</t>
  </si>
  <si>
    <t>9m 2019</t>
  </si>
  <si>
    <t>AT&amp;T EBITDA contr to LILAC</t>
  </si>
  <si>
    <t>TSA treatment (replacing old AT&amp;T allocation)</t>
  </si>
  <si>
    <t>Removal of royalty fee</t>
  </si>
  <si>
    <t>Strip out deferred contract costs</t>
  </si>
  <si>
    <t>9m 2020 EBITDA</t>
  </si>
  <si>
    <t>Adj EBITDA</t>
  </si>
  <si>
    <t>Q4 20</t>
  </si>
  <si>
    <t>- of which PR (legacy)</t>
  </si>
  <si>
    <t>- of which PR (AT&amp;T)</t>
  </si>
  <si>
    <t>Panama, y/y</t>
  </si>
  <si>
    <t>How thinking about buy back</t>
  </si>
  <si>
    <t>Panama - how much out of your control, how much would consolidation solve?</t>
  </si>
  <si>
    <t>BB subs continue to be weak</t>
  </si>
  <si>
    <t>Bundling TV and telephony cheaply</t>
  </si>
  <si>
    <t>Q4 2020</t>
  </si>
  <si>
    <t xml:space="preserve">Plans to use Telefonica wholesale? </t>
  </si>
  <si>
    <t>2m lines overlap or incremental?</t>
  </si>
  <si>
    <t>EBITDA of $56m</t>
  </si>
  <si>
    <t>running ahead ?</t>
  </si>
  <si>
    <t>Anything to think synergies could be higher, $70m</t>
  </si>
  <si>
    <t>revenue, cost?</t>
  </si>
  <si>
    <t>Guide of 600,000 subs</t>
  </si>
  <si>
    <t>Chile &amp; CR: 400,000 homes</t>
  </si>
  <si>
    <t>$100/HP, or $40 million</t>
  </si>
  <si>
    <t>EBITDA guidance?</t>
  </si>
  <si>
    <t>Super competitive fixed</t>
  </si>
  <si>
    <t>how playing out, consolidation?</t>
  </si>
  <si>
    <t>How thinking about opening up for tourism?</t>
  </si>
  <si>
    <t>Chile - existing operators high speed service, or will you be first?</t>
  </si>
  <si>
    <t>Cost of connect here</t>
  </si>
  <si>
    <t>Penetration path for these new homes?</t>
  </si>
  <si>
    <t>Managing the business to hit the FCF of $200m</t>
  </si>
  <si>
    <t>Integration costs</t>
  </si>
  <si>
    <t>$35-40m</t>
  </si>
  <si>
    <t>$25-30m</t>
  </si>
  <si>
    <t>$10m synergies</t>
  </si>
  <si>
    <t>$70m by end-integration</t>
  </si>
  <si>
    <t>less restr. costs</t>
  </si>
  <si>
    <t>Can you get Chile back to growth?</t>
  </si>
  <si>
    <t>Won’t be in Argentina, Ven, highly unlikely Brazil</t>
  </si>
  <si>
    <t>Rest of LatAm open</t>
  </si>
  <si>
    <t>4-5 years more build</t>
  </si>
  <si>
    <t>2021 - C/D neighbourhoods</t>
  </si>
  <si>
    <t>Trails - take-rates on trials ahead of A/B</t>
  </si>
  <si>
    <t>3.8m - further cities</t>
  </si>
  <si>
    <t>180-190k new HPs, with very positive new results</t>
  </si>
  <si>
    <t>All FTTH</t>
  </si>
  <si>
    <t>New areas with high speed BB</t>
  </si>
  <si>
    <t>2m calendar year, Q4 tends to be strong</t>
  </si>
  <si>
    <t>Don’t annualise</t>
  </si>
  <si>
    <t>&gt;1 GHz</t>
  </si>
  <si>
    <t>HFC is still very reliable….look at CHTR/CMSA still outperforming Fios</t>
  </si>
  <si>
    <t>All newbuilds will be FTTH</t>
  </si>
  <si>
    <t>Cost point just makes sense now</t>
  </si>
  <si>
    <t>5G backhaul</t>
  </si>
  <si>
    <t>No plans for HFC for 5G backhaul</t>
  </si>
  <si>
    <t>Thinks make sense</t>
  </si>
  <si>
    <t>Couple of sellers…trying to convince to sell at the right price</t>
  </si>
  <si>
    <t>All opportunities well know</t>
  </si>
  <si>
    <t>Levered FCF is key, though not the only thing</t>
  </si>
  <si>
    <t>Equity level (price) being low doesn’t help</t>
  </si>
  <si>
    <t>Need a high hurdle to justify capital to an acquisition</t>
  </si>
  <si>
    <t>Straight maths</t>
  </si>
  <si>
    <t>More new coming</t>
  </si>
  <si>
    <t>Not gretting credit on SOP basis</t>
  </si>
  <si>
    <t>Usual suspects knocking on the door</t>
  </si>
  <si>
    <t>Not an easy separation work</t>
  </si>
  <si>
    <t>doing legal and accounting work</t>
  </si>
  <si>
    <t>A lot of growth potential</t>
  </si>
  <si>
    <t>Link it to B2B sale circuits…pretty signifcant business</t>
  </si>
  <si>
    <t>Covid</t>
  </si>
  <si>
    <t>Unlikely to see cruise ships until Nov-21, after hurricane season</t>
  </si>
  <si>
    <t>Mar 12th call</t>
  </si>
  <si>
    <t>600,000 HPs, how much Chile (400k?)</t>
  </si>
  <si>
    <t>AT&amp;T Wireless</t>
  </si>
  <si>
    <t>Group EBITDA</t>
  </si>
  <si>
    <t>Eliminations within CWC at revenue level…all coming in Q4?</t>
  </si>
  <si>
    <t xml:space="preserve">Subsea </t>
  </si>
  <si>
    <t>Revenue rep</t>
  </si>
  <si>
    <t>LatAm B2B</t>
  </si>
  <si>
    <t>landing stations, fibre, connectivity</t>
  </si>
  <si>
    <t>intercompany</t>
  </si>
  <si>
    <t>Have an asset, don't feel it's represented in our SOP</t>
  </si>
  <si>
    <t>Looking at this</t>
  </si>
  <si>
    <t>Why not sooner..?</t>
  </si>
  <si>
    <t>Other things to focus on</t>
  </si>
  <si>
    <t>Double digits of EBITDA</t>
  </si>
  <si>
    <t>$530 , 6.3% on debt stack</t>
  </si>
  <si>
    <t>$100m tax, low $100m's</t>
  </si>
  <si>
    <t>Chile and Panama are high</t>
  </si>
  <si>
    <t>Phasing through the year</t>
  </si>
  <si>
    <t>PR interest</t>
  </si>
  <si>
    <t>Q1 and Q3 weighting</t>
  </si>
  <si>
    <t>Q2 and Q4 pumped up a little</t>
  </si>
  <si>
    <t>Q120 - $49m</t>
  </si>
  <si>
    <t>Q4 operationally is always strong</t>
  </si>
  <si>
    <t>Q1 sequentially is tough, after peak Q4</t>
  </si>
  <si>
    <t>Costa Rica not in, would have some integration</t>
  </si>
  <si>
    <t>Buy-backs</t>
  </si>
  <si>
    <t>March announced up to $100m</t>
  </si>
  <si>
    <t>Q2 20 bought back some</t>
  </si>
  <si>
    <t>Chile is 400k</t>
  </si>
  <si>
    <t>largest</t>
  </si>
  <si>
    <t>smallest</t>
  </si>
  <si>
    <t>CTO at Dish, CMO at Dish also</t>
  </si>
  <si>
    <t>Management changes</t>
  </si>
  <si>
    <t>Balan approach is to move the chairs every few years</t>
  </si>
  <si>
    <t>New head of Chile, Vivek</t>
  </si>
  <si>
    <t>Chile trends</t>
  </si>
  <si>
    <t>Volume improving generally, but not BB</t>
  </si>
  <si>
    <t>Have differentiated video, held up better</t>
  </si>
  <si>
    <t>See things recovering in 2021 on BB, grow the business</t>
  </si>
  <si>
    <t>Overall RGUs, looking to add</t>
  </si>
  <si>
    <t>$9m of roaming revs in Q4 19, down to $3m</t>
  </si>
  <si>
    <t>Puert Rico</t>
  </si>
  <si>
    <t>TSA in 2020 pro-forma</t>
  </si>
  <si>
    <t>FX is an issue…underlying H1</t>
  </si>
  <si>
    <t>Bond</t>
  </si>
  <si>
    <t>2.4x … 4 and 3/8</t>
  </si>
  <si>
    <t>USD410m</t>
  </si>
  <si>
    <t>Repay in full existing term loans payable 2023 and calling 10% of secured</t>
  </si>
  <si>
    <t>Swap into pesos…</t>
  </si>
  <si>
    <t>6%, or close to 6.3%</t>
  </si>
  <si>
    <t>2028 VTR senior secured notes, 5.125%</t>
  </si>
  <si>
    <t>2028 VTR senior notes, 6.375%</t>
  </si>
  <si>
    <t>Mobile service</t>
  </si>
  <si>
    <t>Mobile interconnect, roaming, equip</t>
  </si>
  <si>
    <t>AT&amp;T ex mobile</t>
  </si>
  <si>
    <t>Ultimate TV</t>
  </si>
  <si>
    <t>Spanish</t>
  </si>
  <si>
    <t>Service revenue (outbound)</t>
  </si>
  <si>
    <t>Equipment / interconnect, inbound</t>
  </si>
  <si>
    <t>as % homes</t>
  </si>
  <si>
    <t>HPs</t>
  </si>
  <si>
    <t>Q4 cable growth - residential fixed</t>
  </si>
  <si>
    <t>VTR (Chile)</t>
  </si>
  <si>
    <t>Megacable (Mexico)</t>
  </si>
  <si>
    <t>LCPR (PR)</t>
  </si>
  <si>
    <t>Cable revs</t>
  </si>
  <si>
    <t>BB revs</t>
  </si>
  <si>
    <t>ATUS</t>
  </si>
  <si>
    <t>VMED UK</t>
  </si>
  <si>
    <t>Telenet (Belgium)</t>
  </si>
  <si>
    <t>UPC/Sunrise (Switz)</t>
  </si>
  <si>
    <t>NOS (Port)</t>
  </si>
  <si>
    <t>Underlying sub-sea</t>
  </si>
  <si>
    <t>Intercompany (CWC)</t>
  </si>
  <si>
    <t>Less intercompany on 6x</t>
  </si>
  <si>
    <t>Per share upside</t>
  </si>
  <si>
    <t>Market value on today at 6x</t>
  </si>
  <si>
    <t>Infra multiple (EBITDA)</t>
  </si>
  <si>
    <t>Subsea/Wholesale revenue</t>
  </si>
  <si>
    <t>Add-back</t>
  </si>
  <si>
    <t>OpEx integration</t>
  </si>
  <si>
    <t>35-40</t>
  </si>
  <si>
    <t>Capex integration</t>
  </si>
  <si>
    <t>25-30</t>
  </si>
  <si>
    <t>Full synergy run rate</t>
  </si>
  <si>
    <t>Pro-forma EFCF guide</t>
  </si>
  <si>
    <t>Pro-forma EFCF yield</t>
  </si>
  <si>
    <t>2021 EFCF guide</t>
  </si>
  <si>
    <t>Fixed residential</t>
  </si>
  <si>
    <t>EFCF base</t>
  </si>
  <si>
    <t>Integration costs adj, full synergies</t>
  </si>
  <si>
    <t>OpFCF added back</t>
  </si>
  <si>
    <t>EFCF adjusted</t>
  </si>
  <si>
    <t>EFCF adj</t>
  </si>
  <si>
    <t>Sale of Subsea</t>
  </si>
  <si>
    <t>Interest saved</t>
  </si>
  <si>
    <t>Cumulative FCF</t>
  </si>
  <si>
    <t>EFCF base case</t>
  </si>
  <si>
    <t>EFCF subsea exit</t>
  </si>
  <si>
    <t>Stock bought back</t>
  </si>
  <si>
    <t>$ buy back</t>
  </si>
  <si>
    <t>Cumulative cost</t>
  </si>
  <si>
    <t>$ cumulative buy back</t>
  </si>
  <si>
    <t>as % equity</t>
  </si>
  <si>
    <t>EFCF after buy back</t>
  </si>
  <si>
    <t>EFCF/ base case</t>
  </si>
  <si>
    <t>EFCF/share subsea exit</t>
  </si>
  <si>
    <t>EFCF/share subsea exit + buy-back 10% stock/annum</t>
  </si>
  <si>
    <t>LIBOR + 3.75%</t>
  </si>
  <si>
    <t>up to parent co</t>
  </si>
  <si>
    <t>Total to parent co</t>
  </si>
  <si>
    <t>balance of CR, 350 was done and was the right size</t>
  </si>
  <si>
    <t>PR putting a little more leverage on PR</t>
  </si>
  <si>
    <t>Have a real pipeline</t>
  </si>
  <si>
    <t>Digicel - happy to sit on it</t>
  </si>
  <si>
    <t>Still putting money in</t>
  </si>
  <si>
    <t>PR financing</t>
  </si>
  <si>
    <t>Leverage is high 4x's</t>
  </si>
  <si>
    <t>Q1 21</t>
  </si>
  <si>
    <t>Q1 21s</t>
  </si>
  <si>
    <t>Net $4m gain</t>
  </si>
  <si>
    <t>So strong in Q1, didn't see any integration costs…will ramp up</t>
  </si>
  <si>
    <t>close to zero</t>
  </si>
  <si>
    <t>Truck rolls, call centres - network and commercial costs</t>
  </si>
  <si>
    <t>Network stats at pre-Covid levels</t>
  </si>
  <si>
    <t>In-home connectivity efforts stepped up</t>
  </si>
  <si>
    <t>Things to manage costs</t>
  </si>
  <si>
    <t>Look to grow by the end of the year</t>
  </si>
  <si>
    <t>Hard to tie in subs</t>
  </si>
  <si>
    <t>Quietly doing a good job, Jamaica doing a good job</t>
  </si>
  <si>
    <t>Subsea - touch on it</t>
  </si>
  <si>
    <t>Get it done this Summer</t>
  </si>
  <si>
    <t>HFC margis in PR up to 52.8%, up 450 bps y/y?</t>
  </si>
  <si>
    <t>Phasing of resructuring costs in PR this year?</t>
  </si>
  <si>
    <t>Costs stable, revenue decline falling through to EBITDA</t>
  </si>
  <si>
    <t>Anything you can do to reduce costs</t>
  </si>
  <si>
    <t>Margins down almost 10pp in recent times</t>
  </si>
  <si>
    <t>WOM</t>
  </si>
  <si>
    <t>Pricing</t>
  </si>
  <si>
    <t>CWC costs</t>
  </si>
  <si>
    <t xml:space="preserve">Margins have been  &gt;40% </t>
  </si>
  <si>
    <t>Q1 2021 earnings call</t>
  </si>
  <si>
    <t>130,000 HPs in Q1, of 600k. 98% are FTTH</t>
  </si>
  <si>
    <t>Panama - most trusted execs to run it (who used to run Chile!)</t>
  </si>
  <si>
    <t>Commited to improving VTR</t>
  </si>
  <si>
    <t>need to start growing subs base. Started in Q1</t>
  </si>
  <si>
    <t>managing price to maintain customer, recalibrating cost</t>
  </si>
  <si>
    <t>former CTO taking on the GM role</t>
  </si>
  <si>
    <t>will take time, believe can get back to growth</t>
  </si>
  <si>
    <t>FCF will be weighted toward Q4</t>
  </si>
  <si>
    <t>Jamaica grew 6% in Q1</t>
  </si>
  <si>
    <t>$200m of cash to fund Costa Rica</t>
  </si>
  <si>
    <t>Leverage 4.3x</t>
  </si>
  <si>
    <t>$410, 8 year VTR. Repay term loans and some notes</t>
  </si>
  <si>
    <t>$1.3 billion in PR, paid $1bn term loan</t>
  </si>
  <si>
    <t>Economic recovery well beyond 2021</t>
  </si>
  <si>
    <t>Separated out</t>
  </si>
  <si>
    <t>Clear line of sight on stand alone</t>
  </si>
  <si>
    <t>A bunch of deliberations internally…from SOP perspective</t>
  </si>
  <si>
    <t>Come back last few months</t>
  </si>
  <si>
    <t>Approved by Board</t>
  </si>
  <si>
    <t>Did some in 2020, will be opportunistic. If trades off will jump in</t>
  </si>
  <si>
    <t>Always competitive</t>
  </si>
  <si>
    <t>6-9 months, more entrants, wholesale, pricing disrupted</t>
  </si>
  <si>
    <t>Front book and back book….Vivek looking at this and trying to normalise</t>
  </si>
  <si>
    <t>Back book…legacy pricing that will need to adjust</t>
  </si>
  <si>
    <t>Not afraid to do that</t>
  </si>
  <si>
    <t>Q1 2021 - good gross adds, clear demand, market continues to grow</t>
  </si>
  <si>
    <t>back book needs adjusting</t>
  </si>
  <si>
    <t>Product focus, network, video, speeds</t>
  </si>
  <si>
    <t>Back book / front book - 60% is very close</t>
  </si>
  <si>
    <t>the rest if not too far off</t>
  </si>
  <si>
    <t>Close to Televisa, Alfonso on the LiLAC board</t>
  </si>
  <si>
    <t>Focus on running their own business</t>
  </si>
  <si>
    <t>VTR had a good brand over the years</t>
  </si>
  <si>
    <t>some impairment in 2020</t>
  </si>
  <si>
    <t>all have work to do to improve brands (telcos in Chile)</t>
  </si>
  <si>
    <t>Q1 21 follow up</t>
  </si>
  <si>
    <t>more potential in Q3 and Q4</t>
  </si>
  <si>
    <t>Wireless grew in wireless</t>
  </si>
  <si>
    <t>Also had a boost in equipment sales</t>
  </si>
  <si>
    <t>iPhone and stimulus cheques</t>
  </si>
  <si>
    <t>Roaming has been great</t>
  </si>
  <si>
    <t>Restructuring: $35-40m</t>
  </si>
  <si>
    <t>Panama improvement through the year</t>
  </si>
  <si>
    <t>Revenue coming back is high margin</t>
  </si>
  <si>
    <t>Lumpiness in Q4 with equipment</t>
  </si>
  <si>
    <t>New leadership</t>
  </si>
  <si>
    <t>Cost out…been on track for a while</t>
  </si>
  <si>
    <t>Opex/sales</t>
  </si>
  <si>
    <t>Medium-term…still coming down</t>
  </si>
  <si>
    <t>Mobile coming back</t>
  </si>
  <si>
    <t>Q1 - went unlimited in Panama wireless</t>
  </si>
  <si>
    <t>helped regain momentum</t>
  </si>
  <si>
    <t>Generally, holding onto margin, some improvement at the end of the year</t>
  </si>
  <si>
    <t>EBITDA up</t>
  </si>
  <si>
    <t>Taxes up</t>
  </si>
  <si>
    <t>Capex to stay this sort of level 18% of sales</t>
  </si>
  <si>
    <t>FCF in 2022</t>
  </si>
  <si>
    <t>&lt;140</t>
  </si>
  <si>
    <t>&gt;500</t>
  </si>
  <si>
    <t>"Really happy with CWC"</t>
  </si>
  <si>
    <t>Lower margin, higher capex/sales - less FCF</t>
  </si>
  <si>
    <t>EBITDA to grow by Q4 y/y</t>
  </si>
  <si>
    <t>Q3/4 better KPIs</t>
  </si>
  <si>
    <t>Better sequential progression</t>
  </si>
  <si>
    <t>Optimism</t>
  </si>
  <si>
    <t>1. Through the network issue, some brand damage</t>
  </si>
  <si>
    <t>2. Rolling out homes…some momentum, with fibre</t>
  </si>
  <si>
    <t>Gross adds are high…highest for a year</t>
  </si>
  <si>
    <t>Managing churn better</t>
  </si>
  <si>
    <t>Front book, back book - not such a big difference given churn</t>
  </si>
  <si>
    <t>Already coming from new areas</t>
  </si>
  <si>
    <t>Carve outs can be tricky</t>
  </si>
  <si>
    <t>Doing well</t>
  </si>
  <si>
    <t>Fixed business</t>
  </si>
  <si>
    <t>been doing very well, big penetration oppo</t>
  </si>
  <si>
    <t>AMX have fibre</t>
  </si>
  <si>
    <t>Optico Fibre</t>
  </si>
  <si>
    <t>reasonable amont of competition</t>
  </si>
  <si>
    <t>PR wireless</t>
  </si>
  <si>
    <t>TMUS-S dominating, having spectrum advantage</t>
  </si>
  <si>
    <t>AT&amp;T bad in the US</t>
  </si>
  <si>
    <t>Spectrum</t>
  </si>
  <si>
    <t>TMUS-S slightly ahead now in absolute terms</t>
  </si>
  <si>
    <t>Joint leadership with TMUS/S</t>
  </si>
  <si>
    <t>2020 est</t>
  </si>
  <si>
    <t>Interest charge on buy-back</t>
  </si>
  <si>
    <t>Buy-back price, USD</t>
  </si>
  <si>
    <t>Prop net debt after buy-back</t>
  </si>
  <si>
    <t>Net sub-sea value on exit</t>
  </si>
  <si>
    <t>Sub-sea exit EV</t>
  </si>
  <si>
    <t>Base case, USDm</t>
  </si>
  <si>
    <t>Subsea estimates, USDm</t>
  </si>
  <si>
    <t>EV/EBITDA exit multiple on Subsea</t>
  </si>
  <si>
    <t>EBITDA, USDm</t>
  </si>
  <si>
    <t>EV on exit, USDm</t>
  </si>
  <si>
    <t>Capex @ 10% sales</t>
  </si>
  <si>
    <t>Networks (Inc Subsea)</t>
  </si>
  <si>
    <t>Group capex</t>
  </si>
  <si>
    <t>Group OpFCF</t>
  </si>
  <si>
    <t>similar to CWC, broadly</t>
  </si>
  <si>
    <t>highlighting more the Covid challenges</t>
  </si>
  <si>
    <t>Digicel reported (Mar-21)</t>
  </si>
  <si>
    <t>June lower EBITDA than March quarter</t>
  </si>
  <si>
    <t xml:space="preserve">UNIENDO </t>
  </si>
  <si>
    <t>funds confirmed</t>
  </si>
  <si>
    <t>$7m per year, in FCF</t>
  </si>
  <si>
    <t>focus on stabilising the biz</t>
  </si>
  <si>
    <t>adding good customers, but churn is very very high</t>
  </si>
  <si>
    <t>Q2 will still be about stabilisation, customer experience</t>
  </si>
  <si>
    <t>external network issues behind us</t>
  </si>
  <si>
    <t>all operators have a wifi connectivity issue, concrete homes. Looking at mesh networks</t>
  </si>
  <si>
    <t>invs still high in Q2</t>
  </si>
  <si>
    <t>400k fibre homes this year</t>
  </si>
  <si>
    <t>Handset in US</t>
  </si>
  <si>
    <t>Roaming</t>
  </si>
  <si>
    <t>Tailwinds on mobile in AT&amp;T</t>
  </si>
  <si>
    <t>Q2 21</t>
  </si>
  <si>
    <t>USD20m for the FY</t>
  </si>
  <si>
    <t>USD35-40m integration costs</t>
  </si>
  <si>
    <t>2021 - found cost don’t need to spend</t>
  </si>
  <si>
    <t>Small amount will move into 2022</t>
  </si>
  <si>
    <t>Total is perhaps USD70-80m</t>
  </si>
  <si>
    <t>Capex of USD25-30m..</t>
  </si>
  <si>
    <t>Small underlying beat</t>
  </si>
  <si>
    <t>Margins continue to be good. Keeping costs away</t>
  </si>
  <si>
    <t>600 to 700 HPs</t>
  </si>
  <si>
    <t>H1 run rate, 359 in H1</t>
  </si>
  <si>
    <t>400 of the 600 was previously Chile</t>
  </si>
  <si>
    <t>Credit</t>
  </si>
  <si>
    <t>CWC 14-16% of sales… ~16% of sales previously</t>
  </si>
  <si>
    <t>Better than Millicom this Q</t>
  </si>
  <si>
    <t>10% of capacity used only</t>
  </si>
  <si>
    <t>50,000 kms</t>
  </si>
  <si>
    <t>usd71.5M funds in to PR</t>
  </si>
  <si>
    <t>Sub sea</t>
  </si>
  <si>
    <t>Panama cost centre helping</t>
  </si>
  <si>
    <t>Uniendo funds in PR</t>
  </si>
  <si>
    <t>x</t>
  </si>
  <si>
    <t>Licencing costs probs not going up….maybe steady state</t>
  </si>
  <si>
    <t>Liberty mobile…? Margins - will get back to us</t>
  </si>
  <si>
    <t>main integration with come through in H2</t>
  </si>
  <si>
    <t>"feel good"</t>
  </si>
  <si>
    <t xml:space="preserve">Showing more clarity </t>
  </si>
  <si>
    <t>Not made a final decision on approach</t>
  </si>
  <si>
    <t>Lumen</t>
  </si>
  <si>
    <t>9x EBITDA</t>
  </si>
  <si>
    <t>Subsea cable, 37,000 km, mainly B2B</t>
  </si>
  <si>
    <t>Quarter from subsea, B2B (datacentres etc)</t>
  </si>
  <si>
    <t>Less infra play</t>
  </si>
  <si>
    <t>CWC would be an anchor tenant</t>
  </si>
  <si>
    <t>Not clear what capex is</t>
  </si>
  <si>
    <t>B2B/connectivity</t>
  </si>
  <si>
    <t>Say something by YE</t>
  </si>
  <si>
    <t>Nothing may well happen</t>
  </si>
  <si>
    <t>PR - normally net loser on roaming, has become a beneficiary</t>
  </si>
  <si>
    <t>Chile - hope for sequential stability</t>
  </si>
  <si>
    <t>Q4 - general election in Chile…social unrest?</t>
  </si>
  <si>
    <t>no2</t>
  </si>
  <si>
    <t>no3</t>
  </si>
  <si>
    <t>no4</t>
  </si>
  <si>
    <t>25% post-paid, vs 10% at CWC</t>
  </si>
  <si>
    <t>Below spectrum caps when combined</t>
  </si>
  <si>
    <t>Adding spectrum</t>
  </si>
  <si>
    <t>No fixed presence…really small</t>
  </si>
  <si>
    <t>6-9 month with anti trust, Acodeco</t>
  </si>
  <si>
    <t>Margins today</t>
  </si>
  <si>
    <t>dilutive pre-synergies on EBITDA</t>
  </si>
  <si>
    <t>more synergy in the EBITDA than in the past</t>
  </si>
  <si>
    <t>one turn historically</t>
  </si>
  <si>
    <t>low margin</t>
  </si>
  <si>
    <t>FCF accretive</t>
  </si>
  <si>
    <t>Post-synergies</t>
  </si>
  <si>
    <t>Year 2 accretive</t>
  </si>
  <si>
    <t>Local funding in Panama</t>
  </si>
  <si>
    <t>Cash…debt/borrowing locally</t>
  </si>
  <si>
    <t>&lt;3x locally</t>
  </si>
  <si>
    <t>&lt;1x today</t>
  </si>
  <si>
    <t>Subs, m</t>
  </si>
  <si>
    <t>Regulation</t>
  </si>
  <si>
    <t>From 3 to 2 not possible</t>
  </si>
  <si>
    <t>Comcast - Q3 adds weaker…</t>
  </si>
  <si>
    <t>2nd derivative Covid issues</t>
  </si>
  <si>
    <t>Claro Panama</t>
  </si>
  <si>
    <t>Post-synergy multiple</t>
  </si>
  <si>
    <t>Interest after-tax</t>
  </si>
  <si>
    <t>Cost of borrowing (pre-tax)</t>
  </si>
  <si>
    <t>EFCF uplift</t>
  </si>
  <si>
    <t>as % EFCF</t>
  </si>
  <si>
    <t>Claro Panama acquisition EV</t>
  </si>
  <si>
    <t>New Street Research</t>
  </si>
  <si>
    <t>Ticker</t>
  </si>
  <si>
    <t>Rating</t>
  </si>
  <si>
    <t>Buy</t>
  </si>
  <si>
    <t>Target Price</t>
  </si>
  <si>
    <t>LiLAC (LILA US)</t>
  </si>
  <si>
    <t>Chile deal</t>
  </si>
  <si>
    <t>Balancing payment</t>
  </si>
  <si>
    <t>Fair value multiple</t>
  </si>
  <si>
    <t>NewCo</t>
  </si>
  <si>
    <t xml:space="preserve"> - VTR share</t>
  </si>
  <si>
    <t xml:space="preserve"> - AMX share</t>
  </si>
  <si>
    <t>NewCo EV fair value</t>
  </si>
  <si>
    <t>upside vs EV today</t>
  </si>
  <si>
    <t>AMX gets</t>
  </si>
  <si>
    <t>LLA debt removed</t>
  </si>
  <si>
    <t>AMX debt removed</t>
  </si>
  <si>
    <t>6m annualied</t>
  </si>
  <si>
    <t>us gaap</t>
  </si>
  <si>
    <t>ifrs 16</t>
  </si>
  <si>
    <t>towers not included</t>
  </si>
  <si>
    <t>accounting</t>
  </si>
  <si>
    <t>High % overlap</t>
  </si>
  <si>
    <t xml:space="preserve">RGUs from </t>
  </si>
  <si>
    <t>Fixed ARPU lower at Claro</t>
  </si>
  <si>
    <t>More of an attacker</t>
  </si>
  <si>
    <t>VTR premium on ARPU</t>
  </si>
  <si>
    <t>Mobile - high subs, heavy on prepaid</t>
  </si>
  <si>
    <t>Complementary subs base</t>
  </si>
  <si>
    <t>integration costs</t>
  </si>
  <si>
    <t>chunky and more easy</t>
  </si>
  <si>
    <t>MVNO to subs, spectrum also</t>
  </si>
  <si>
    <t>Claro 2m homes passed</t>
  </si>
  <si>
    <t>mostly HFC, some FTTH</t>
  </si>
  <si>
    <t>Reg</t>
  </si>
  <si>
    <t>wouldn't agree unless though was possible</t>
  </si>
  <si>
    <t>hard to argue not competitive</t>
  </si>
  <si>
    <t>a lot of fibre player</t>
  </si>
  <si>
    <t>TEF/KKR</t>
  </si>
  <si>
    <t>Mundo</t>
  </si>
  <si>
    <t>Get to 6m homes - all in the country</t>
  </si>
  <si>
    <t>multi level reg process. H2 2022</t>
  </si>
  <si>
    <t>Deconsolidated</t>
  </si>
  <si>
    <t>Will continue to report</t>
  </si>
  <si>
    <t>Have the bond group</t>
  </si>
  <si>
    <t>Some NOLs in Chile</t>
  </si>
  <si>
    <t>Claro - hasn't been the driver. Mobile was WOM</t>
  </si>
  <si>
    <t>Fixed - Tef with fibre, Mundo taken share in the market</t>
  </si>
  <si>
    <t>Claro and VTR subs trends broadly similar</t>
  </si>
  <si>
    <t>FMC</t>
  </si>
  <si>
    <t>Ramped aggressively on fibre, PE</t>
  </si>
  <si>
    <t>Building significantly… cash flow unclear</t>
  </si>
  <si>
    <t>lease adj</t>
  </si>
  <si>
    <t>2019 IAS 17 EBITDA</t>
  </si>
  <si>
    <t>2019 IFRS 16 EBITDA</t>
  </si>
  <si>
    <t>EBITDA 2021e (IFRS 16)</t>
  </si>
  <si>
    <t>EBITDA 2021e (IAS 17)</t>
  </si>
  <si>
    <t>estimated 2021 lease charge</t>
  </si>
  <si>
    <t>tower lease assumption (3% margin)</t>
  </si>
  <si>
    <t>EBITDA after tower leases</t>
  </si>
  <si>
    <t>CLP billion</t>
  </si>
  <si>
    <t>USDCLP</t>
  </si>
  <si>
    <t>Balancing payment (LLA pays)</t>
  </si>
  <si>
    <t>Deconsolidated debt</t>
  </si>
  <si>
    <t>Equity at 50%</t>
  </si>
  <si>
    <t>upside vs fair value EV today</t>
  </si>
  <si>
    <t>Claro Chile</t>
  </si>
  <si>
    <t>implied 2019 lease charge (last reported)</t>
  </si>
  <si>
    <t xml:space="preserve">Synergies, USDm </t>
  </si>
  <si>
    <t>Implied EV/OpFCF</t>
  </si>
  <si>
    <t>LLA share of OpFCF</t>
  </si>
  <si>
    <t>Leases</t>
  </si>
  <si>
    <t xml:space="preserve">Claro </t>
  </si>
  <si>
    <t>EBITDA (after leases)</t>
  </si>
  <si>
    <t>EBITDA margin (after leases)</t>
  </si>
  <si>
    <t>22-28e</t>
  </si>
  <si>
    <t>Per share upside, AMX (USD)</t>
  </si>
  <si>
    <t>Combined</t>
  </si>
  <si>
    <t>Split of upside</t>
  </si>
  <si>
    <t>Per share upside, Liberty LA (USD)</t>
  </si>
  <si>
    <t>Implied 2026 EV/OpFCF (after leases)</t>
  </si>
  <si>
    <t>NewCo equity, CLP bn</t>
  </si>
  <si>
    <t>Debt, CLP bn</t>
  </si>
  <si>
    <t>Payment</t>
  </si>
  <si>
    <t>(implied EBITDA multiple - post leases)</t>
  </si>
  <si>
    <t>Chile fair value EV today, CLP billion</t>
  </si>
  <si>
    <t>NewCo (post-synergies) EV, CLP bn</t>
  </si>
  <si>
    <t>% increase to EV</t>
  </si>
  <si>
    <t>Interest savings after tax</t>
  </si>
  <si>
    <t>Total impact to EFCF</t>
  </si>
  <si>
    <t>opfcf</t>
  </si>
  <si>
    <t>clp</t>
  </si>
  <si>
    <t>% accretion</t>
  </si>
  <si>
    <t>Taxed VTR FCF (100%)</t>
  </si>
  <si>
    <t>Pre-lease EBITDA</t>
  </si>
  <si>
    <t>Existing leases</t>
  </si>
  <si>
    <t>Tower leases</t>
  </si>
  <si>
    <t>After lease EBITDA</t>
  </si>
  <si>
    <t>Value post-deal, CLP bn</t>
  </si>
  <si>
    <t>Value post-deal, USD million (1)</t>
  </si>
  <si>
    <t>Uplift to value USDm (1) less (2)</t>
  </si>
  <si>
    <t>Impairment cash (restructuring)</t>
  </si>
  <si>
    <t>Credit for AT&amp;T deal</t>
  </si>
  <si>
    <t>Normalised</t>
  </si>
  <si>
    <t>$20m of $100m left… this program runs until March 2022</t>
  </si>
  <si>
    <t>Can increase at any time</t>
  </si>
  <si>
    <t>Buy-back</t>
  </si>
  <si>
    <t>BB growth</t>
  </si>
  <si>
    <t>TV growth</t>
  </si>
  <si>
    <t>Q3 21</t>
  </si>
  <si>
    <t>Q3 21E</t>
  </si>
  <si>
    <t>ex-Costa Rica</t>
  </si>
  <si>
    <t>Q3 21 earnings call</t>
  </si>
  <si>
    <t>Liberty mobile</t>
  </si>
  <si>
    <t>What's the underlying margin of this business</t>
  </si>
  <si>
    <t>33% vs 42%</t>
  </si>
  <si>
    <t>Chilean deal</t>
  </si>
  <si>
    <t>What sort of revenue synergies from this deal</t>
  </si>
  <si>
    <t>convergence, can't discount bundled in Chile</t>
  </si>
  <si>
    <t>AMX network…needs upgrading to FTTH?</t>
  </si>
  <si>
    <t>BB subs losses accelerating</t>
  </si>
  <si>
    <t>Update on delta of interchange costs in 2022 vs 21</t>
  </si>
  <si>
    <t>OpEx and Capex</t>
  </si>
  <si>
    <t>When expect synergies to come through</t>
  </si>
  <si>
    <t>Growth outlook in a normalised environement</t>
  </si>
  <si>
    <t>Margins</t>
  </si>
  <si>
    <t>35-40% of B2B</t>
  </si>
  <si>
    <t xml:space="preserve">$1.25 billion </t>
  </si>
  <si>
    <t>B2B - Enterprise</t>
  </si>
  <si>
    <t>$60m under existing $100m program</t>
  </si>
  <si>
    <t>Buy-back has continued into Q4</t>
  </si>
  <si>
    <t>based on low share price and limited pipeline</t>
  </si>
  <si>
    <t>Liberty Mobile</t>
  </si>
  <si>
    <t>Doing v well, added post-paid subs. Some headwinds, but not Covid related. Equipment and roaming</t>
  </si>
  <si>
    <t>Competition in fixed, how much overlaid with high speed BB?</t>
  </si>
  <si>
    <t>Excited about convergence</t>
  </si>
  <si>
    <t>Brands confirmed</t>
  </si>
  <si>
    <t>Business is stable and strong</t>
  </si>
  <si>
    <t>In Feb get a clear view on the assets</t>
  </si>
  <si>
    <t>With fixed and mobile convergence</t>
  </si>
  <si>
    <t>Have you seen any change in strategy from Digicel</t>
  </si>
  <si>
    <t>Retention</t>
  </si>
  <si>
    <t>Re-pricing</t>
  </si>
  <si>
    <t>BB focus from sales</t>
  </si>
  <si>
    <t>CABLETICA</t>
  </si>
  <si>
    <t>MOVISTAR</t>
  </si>
  <si>
    <t>EBITDA for mobile</t>
  </si>
  <si>
    <t>Big swing</t>
  </si>
  <si>
    <t>roaming out</t>
  </si>
  <si>
    <t xml:space="preserve">roaming into </t>
  </si>
  <si>
    <t>$8m of net revenue (EBITDA) per Q. $16m in H1</t>
  </si>
  <si>
    <t>Q4 21</t>
  </si>
  <si>
    <t>Start of 2022</t>
  </si>
  <si>
    <t>$1m in Q3…revs fell a little, but  lot more going outside</t>
  </si>
  <si>
    <t>At the start of this..</t>
  </si>
  <si>
    <t>ringfenced a pool which was on the BS</t>
  </si>
  <si>
    <t>$70m or so pot size….if unused can buy equipment from AT&amp;T</t>
  </si>
  <si>
    <t>exp a net outflow</t>
  </si>
  <si>
    <t>assume $1m positive…</t>
  </si>
  <si>
    <t>Headwind</t>
  </si>
  <si>
    <t>Q4 20 - positive $4m</t>
  </si>
  <si>
    <t>Q3 21 - less equipment sales by $10m, vs Q3 20</t>
  </si>
  <si>
    <t>greater EBITDA loss</t>
  </si>
  <si>
    <t>&lt;$1m of EBITDA loss</t>
  </si>
  <si>
    <t>Q4 21 - lower equipment sales</t>
  </si>
  <si>
    <t>Q3 integration costs</t>
  </si>
  <si>
    <t>$15m for the year, $5m through Q3 - EBITDA, $10m for Q4</t>
  </si>
  <si>
    <t>A bit of delay, but finding less</t>
  </si>
  <si>
    <t>More to be spent in 2022</t>
  </si>
  <si>
    <t>More to spend in mobile core</t>
  </si>
  <si>
    <t>EBITDA and capex</t>
  </si>
  <si>
    <t>$20-25m headwind for next year</t>
  </si>
  <si>
    <t>Synergy will be small, more so in 2023/24</t>
  </si>
  <si>
    <t>$70m synergies is the guide</t>
  </si>
  <si>
    <t>Might see EBITDA flat / down</t>
  </si>
  <si>
    <t xml:space="preserve"> - Liberty Mobile</t>
  </si>
  <si>
    <t xml:space="preserve"> - LCPR (cable)</t>
  </si>
  <si>
    <t>Group less Liberty Mobile</t>
  </si>
  <si>
    <t>PR split</t>
  </si>
  <si>
    <t>LCPR (cable)</t>
  </si>
  <si>
    <t>Q1 22</t>
  </si>
  <si>
    <t>Q2 22</t>
  </si>
  <si>
    <t>Q3 22</t>
  </si>
  <si>
    <t>Q4 22</t>
  </si>
  <si>
    <t>Total Puerto Rico</t>
  </si>
  <si>
    <t>Integration</t>
  </si>
  <si>
    <t>Clean Lib Mobile</t>
  </si>
  <si>
    <t xml:space="preserve"> - Liberty Mobile (rep)</t>
  </si>
  <si>
    <t xml:space="preserve"> - Liberty Mobile (clean)</t>
  </si>
  <si>
    <t>Clean (underlying) EBITDA</t>
  </si>
  <si>
    <t>Rep EBITDA margin</t>
  </si>
  <si>
    <t>Rep EBITDA</t>
  </si>
  <si>
    <t>Other / elims</t>
  </si>
  <si>
    <t>Revenue, USD m</t>
  </si>
  <si>
    <t>Rep EBITDA, USD m</t>
  </si>
  <si>
    <t>Rep EBITDA % margin</t>
  </si>
  <si>
    <t>Clean EBITDA % margin</t>
  </si>
  <si>
    <t>Synergy assumptions</t>
  </si>
  <si>
    <t>Clean EBITDA (ex-synergies)</t>
  </si>
  <si>
    <t>Cons</t>
  </si>
  <si>
    <t>Other/elims in CWC</t>
  </si>
  <si>
    <t>Equity (100%)</t>
  </si>
  <si>
    <t>KKR exit from Telxius Subsea</t>
  </si>
  <si>
    <t>KKR's 40% equity</t>
  </si>
  <si>
    <t>EBITDA (current year estimate)</t>
  </si>
  <si>
    <t>Net debt to EBITDA estimate</t>
  </si>
  <si>
    <t>Exit EV multiple</t>
  </si>
  <si>
    <t>EUR million</t>
  </si>
  <si>
    <t>Big step up in cash tax</t>
  </si>
  <si>
    <t>FY 21</t>
  </si>
  <si>
    <t>H2 closing for Chile hopefully</t>
  </si>
  <si>
    <t>A lot of PE people coming in</t>
  </si>
  <si>
    <t>Inflation</t>
  </si>
  <si>
    <t>Not looking to move up prices, rather cut costs</t>
  </si>
  <si>
    <t>$7m for PR integration in Q4</t>
  </si>
  <si>
    <t>Integration done by 2023</t>
  </si>
  <si>
    <t>more integration costs in 2022</t>
  </si>
  <si>
    <t>FY 21 $12m in opex in PR, $25m in capex</t>
  </si>
  <si>
    <t>$3-4m for Costa Rica in Q4, no capex</t>
  </si>
  <si>
    <t>not much in synergies</t>
  </si>
  <si>
    <t>more to come through</t>
  </si>
  <si>
    <t>H2 new mobile core in PR…more opex/capex</t>
  </si>
  <si>
    <t>Catch up</t>
  </si>
  <si>
    <t>2024 is full run-rate synergies of $70m in PR and CR ($15m)</t>
  </si>
  <si>
    <t>~$250m</t>
  </si>
  <si>
    <t>Lower in last couple of years</t>
  </si>
  <si>
    <t>Back to more normalised level…8-10% of EBITDA. Talked about this historically</t>
  </si>
  <si>
    <t>Covid had a bearing</t>
  </si>
  <si>
    <t>Losses from hurricanes in PR</t>
  </si>
  <si>
    <t>$150m up, ex-taxes</t>
  </si>
  <si>
    <t>Pay some divi minorities end Q4 - $46m, Bahamas and Panama</t>
  </si>
  <si>
    <t>Tougher roaming comp in H1 21 (for H1 22)</t>
  </si>
  <si>
    <t>FCF general cadence, Q1 and Q3 softer, Q2 and Q4 easier</t>
  </si>
  <si>
    <t>Business env</t>
  </si>
  <si>
    <t>Not really a one-off, seasonally</t>
  </si>
  <si>
    <t>B2B is normally strong in Q4, the nature of the business, budgets coming to a head</t>
  </si>
  <si>
    <t>non recurring equipment installs</t>
  </si>
  <si>
    <t>low margin, not a big margin driver</t>
  </si>
  <si>
    <t>surveillance for govt, digitising records, proper Enterprise business</t>
  </si>
  <si>
    <t>2021 iPhone 13</t>
  </si>
  <si>
    <t>2020 iPhone 12 - 5G launch</t>
  </si>
  <si>
    <t>service revenue up a little</t>
  </si>
  <si>
    <t>total revenue down a little</t>
  </si>
  <si>
    <t>Pr net 2021 - $16m, now flattish</t>
  </si>
  <si>
    <t>Revenue not moved around so much</t>
  </si>
  <si>
    <t>Roaming income, exp, net</t>
  </si>
  <si>
    <t>FY22 all integration costs of $30m for FY 22, capex of $40m</t>
  </si>
  <si>
    <t>PR integration by Nov-23</t>
  </si>
  <si>
    <t>USVI</t>
  </si>
  <si>
    <t>Some spend on fixed</t>
  </si>
  <si>
    <t>small drag on FCF</t>
  </si>
  <si>
    <t>With hindsight…probably wouldn't have announced anything</t>
  </si>
  <si>
    <t>Wanted to be transparent</t>
  </si>
  <si>
    <t>If 3rd parties, then not fully in control</t>
  </si>
  <si>
    <t>Insurance / Fed contributions / other</t>
  </si>
  <si>
    <t>Additionals</t>
  </si>
  <si>
    <t>Why did PR cable not grow in Q4 21 y/y?</t>
  </si>
  <si>
    <t>B2B?</t>
  </si>
  <si>
    <t>Integration costs (modelled in cable)</t>
  </si>
  <si>
    <t>Deal close in Chile?</t>
  </si>
  <si>
    <t>JV Interest costs</t>
  </si>
  <si>
    <t>Equity FCF</t>
  </si>
  <si>
    <t>Dividends paid to parents</t>
  </si>
  <si>
    <t>JV net debt (ex-leases)</t>
  </si>
  <si>
    <t>Share of JV (50%)</t>
  </si>
  <si>
    <t>VTR de-consolidated</t>
  </si>
  <si>
    <t>JV EFCF</t>
  </si>
  <si>
    <t>50% of EFCF</t>
  </si>
  <si>
    <t>Assume VTR 2026e EV/OpFCF</t>
  </si>
  <si>
    <t xml:space="preserve">When pay dividends out of Chile…? </t>
  </si>
  <si>
    <t>Any FCF contribution if not?</t>
  </si>
  <si>
    <t>Clean CR</t>
  </si>
  <si>
    <t>% clean margin</t>
  </si>
  <si>
    <t>EFCF (NSR est)*</t>
  </si>
  <si>
    <t>Normalised tax</t>
  </si>
  <si>
    <t>FCF (Liberty definition)</t>
  </si>
  <si>
    <t>Chile fair value EV today, USD m</t>
  </si>
  <si>
    <t>Upside/share versus today's Chile equity</t>
  </si>
  <si>
    <t>Total buy back</t>
  </si>
  <si>
    <t xml:space="preserve">YTD through to FY 21 results </t>
  </si>
  <si>
    <t>Implied working capital outflows</t>
  </si>
  <si>
    <t>P&amp;L interest</t>
  </si>
  <si>
    <t>Clwan EBITDA</t>
  </si>
  <si>
    <t>FCF per share</t>
  </si>
  <si>
    <t>FCF yield</t>
  </si>
  <si>
    <t>Normalised Liberty LA EFCF (pre-Panama)</t>
  </si>
  <si>
    <t>Shares in options scheme</t>
  </si>
  <si>
    <t>Assumed to vest</t>
  </si>
  <si>
    <t>Fully diluted SHOUT</t>
  </si>
  <si>
    <t>Adj yield</t>
  </si>
  <si>
    <t>LBTY FCF after share compensation</t>
  </si>
  <si>
    <t>Average vest price</t>
  </si>
  <si>
    <t>Yield</t>
  </si>
  <si>
    <t>Working capital outflows large</t>
  </si>
  <si>
    <t>Chile margins</t>
  </si>
  <si>
    <t>Homes passed in Chile</t>
  </si>
  <si>
    <t>Res mobile</t>
  </si>
  <si>
    <t>Res mobile service revs</t>
  </si>
  <si>
    <t>Subs fixed</t>
  </si>
  <si>
    <t>Equipment / roaming</t>
  </si>
  <si>
    <t xml:space="preserve"> - of which Liberty Mobile equipment/roaming</t>
  </si>
  <si>
    <t xml:space="preserve"> - of which Liberty fixed service</t>
  </si>
  <si>
    <t>Panama mobile subs loss, and wireless revenue decline. Why..?</t>
  </si>
  <si>
    <t>Fixed telephony</t>
  </si>
  <si>
    <t>Jamaica subs declined</t>
  </si>
  <si>
    <t>FINIX price plans</t>
  </si>
  <si>
    <t>Still happy with the $250m FCF guide</t>
  </si>
  <si>
    <t>Digicel Panama out. Wireless still falling …why? Market structure issue, other factors?</t>
  </si>
  <si>
    <t>Integration costs for FY</t>
  </si>
  <si>
    <t>CWC - bad credit customers</t>
  </si>
  <si>
    <t>** bit more on this</t>
  </si>
  <si>
    <t>Q1 22 earnings call</t>
  </si>
  <si>
    <t>Subsea update - any process ongoing?</t>
  </si>
  <si>
    <t>Homes passed added slowed in Chile</t>
  </si>
  <si>
    <t>just timing issues?</t>
  </si>
  <si>
    <t>Postpaid wireless</t>
  </si>
  <si>
    <t>what sort of ARPU uplift do you see?</t>
  </si>
  <si>
    <t>where are we on 5G in key markets?</t>
  </si>
  <si>
    <t>10% share of post-paid, how quickly move up?</t>
  </si>
  <si>
    <t>PR - migrate to new mobile core</t>
  </si>
  <si>
    <t>USD70m in full in 2024</t>
  </si>
  <si>
    <t>CR - similar, early in the process</t>
  </si>
  <si>
    <t>USD15m in 2024</t>
  </si>
  <si>
    <t>$10m of integration costs for CR in 2022</t>
  </si>
  <si>
    <t>$50m</t>
  </si>
  <si>
    <t>35% opex</t>
  </si>
  <si>
    <t>65% capex</t>
  </si>
  <si>
    <t>Continued at similar clip since end-Q1</t>
  </si>
  <si>
    <t>service revs flat</t>
  </si>
  <si>
    <t>cut prices to third level…</t>
  </si>
  <si>
    <t>Pan</t>
  </si>
  <si>
    <t>2% declines</t>
  </si>
  <si>
    <t>Car</t>
  </si>
  <si>
    <t>Post-paid ARPU higher than pre-paid</t>
  </si>
  <si>
    <t>Still mainly pre-paid</t>
  </si>
  <si>
    <t>trying to shift folks onto post-paid</t>
  </si>
  <si>
    <t>Post-paid - 30/40%</t>
  </si>
  <si>
    <t>5g in PR…handsets readily available</t>
  </si>
  <si>
    <t>Across the region…not investing a lot yet in 5G</t>
  </si>
  <si>
    <t>4G pen is still rather low</t>
  </si>
  <si>
    <t>focus on capacity</t>
  </si>
  <si>
    <t>Digicel exit</t>
  </si>
  <si>
    <t>Revs - prepaid has been impacted by competition on recharge</t>
  </si>
  <si>
    <t>Post-paid adds are strong..</t>
  </si>
  <si>
    <t>FMC and cross-sell</t>
  </si>
  <si>
    <t>stabilising in last few months</t>
  </si>
  <si>
    <t>AVOD vs SVOD</t>
  </si>
  <si>
    <t>In LatAm, AVOD is not an easy product to develop</t>
  </si>
  <si>
    <t>That's why stuck to SVOD</t>
  </si>
  <si>
    <t>Android platorm: can add AVOD, SVOD to this</t>
  </si>
  <si>
    <t>Integration costs for 2023…</t>
  </si>
  <si>
    <t>B2B USD4m IRU</t>
  </si>
  <si>
    <t>Jamaica - subs write downs</t>
  </si>
  <si>
    <t>FCF - phasing</t>
  </si>
  <si>
    <t>Panama mobile</t>
  </si>
  <si>
    <t>Q1 was better, PR had a good Q. This is more typical</t>
  </si>
  <si>
    <t>CR is $10m of opex, $10m of capex</t>
  </si>
  <si>
    <t>PR is in slide deck</t>
  </si>
  <si>
    <t>Cost on the business…some replaced, some synergies</t>
  </si>
  <si>
    <t>should be lower</t>
  </si>
  <si>
    <t>Q1 22 was $2m opex</t>
  </si>
  <si>
    <t>Have IRU with CWC, renegotiate to a contract. Need to accelerate revenue</t>
  </si>
  <si>
    <t>lease capacity for 3 years, agree rates, pay every now and again</t>
  </si>
  <si>
    <t>IRU is more up front</t>
  </si>
  <si>
    <t>recognise extra revs in Q1 21, vs Q1 22, headwind was $4m</t>
  </si>
  <si>
    <t>capacity increased</t>
  </si>
  <si>
    <t>IRU - cash up front, revenue deferred</t>
  </si>
  <si>
    <t>some commercial movements in the quarter</t>
  </si>
  <si>
    <t>credit restrictions</t>
  </si>
  <si>
    <t>didn’t work?</t>
  </si>
  <si>
    <t>Need to appear to be competing with Claro</t>
  </si>
  <si>
    <t>Pre-paid fluctuates</t>
  </si>
  <si>
    <t>Unwind some gain from Q4</t>
  </si>
  <si>
    <t>Q1 23e</t>
  </si>
  <si>
    <t>Q2 23e</t>
  </si>
  <si>
    <t>Q3 23e</t>
  </si>
  <si>
    <t>Q4 23e</t>
  </si>
  <si>
    <t>Revenue 2022e</t>
  </si>
  <si>
    <t>EBITDA 2022e</t>
  </si>
  <si>
    <t>Changes - May 22</t>
  </si>
  <si>
    <t xml:space="preserve">Cost of home passed </t>
  </si>
  <si>
    <t>Cost of connect</t>
  </si>
  <si>
    <t>Year:</t>
  </si>
  <si>
    <t>Assumed penetration of homes passed</t>
  </si>
  <si>
    <t>Average cost of home passed connected</t>
  </si>
  <si>
    <t xml:space="preserve">ARPU </t>
  </si>
  <si>
    <t>ARPU x 12</t>
  </si>
  <si>
    <t>Contribution margin</t>
  </si>
  <si>
    <t>Contribution after tax</t>
  </si>
  <si>
    <t>IRR post-tax</t>
  </si>
  <si>
    <t>Churn</t>
  </si>
  <si>
    <t>USD</t>
  </si>
  <si>
    <t>Revenue, y/y</t>
  </si>
  <si>
    <t>Revenue, CLP bn</t>
  </si>
  <si>
    <t>EBITDA, CLP bn</t>
  </si>
  <si>
    <t>Summary</t>
  </si>
  <si>
    <t>Costa Rica / Pan</t>
  </si>
  <si>
    <t>60% cut</t>
  </si>
  <si>
    <t>Dual play</t>
  </si>
  <si>
    <t>25% cut</t>
  </si>
  <si>
    <t>30% from Feb</t>
  </si>
  <si>
    <t>$30m of FCF losses in Panama from Claro?</t>
  </si>
  <si>
    <t>Q2 22 call</t>
  </si>
  <si>
    <t>What, why?</t>
  </si>
  <si>
    <t>Price down, up again…what's the conclusion of that?</t>
  </si>
  <si>
    <t>Liberty PR</t>
  </si>
  <si>
    <t>Wireless service revs down, pre-pay subs, ARPU - what's happening here?</t>
  </si>
  <si>
    <t>Margins sustainable at these levels?</t>
  </si>
  <si>
    <t>RGU momentum on fixed weaker…Jamaica again, Panama?</t>
  </si>
  <si>
    <t>multiple</t>
  </si>
  <si>
    <t>opex synergies?</t>
  </si>
  <si>
    <t>By 2024…run rate in FY24…by end-24</t>
  </si>
  <si>
    <t>Buy back exps</t>
  </si>
  <si>
    <t>Consumer</t>
  </si>
  <si>
    <t>Tested market…recent conditions, decided to put subsea business sale on hold</t>
  </si>
  <si>
    <t>World Cup</t>
  </si>
  <si>
    <t>Confident on 50/50 JV with Claro</t>
  </si>
  <si>
    <t>Integration capex of $50m</t>
  </si>
  <si>
    <t>FCF substantially generated in Q4</t>
  </si>
  <si>
    <t>+/-$10m of EBITDA</t>
  </si>
  <si>
    <t>Capex of $30m</t>
  </si>
  <si>
    <t>Claro Panama FCF</t>
  </si>
  <si>
    <t>H2 2024</t>
  </si>
  <si>
    <t>Commercial early next year</t>
  </si>
  <si>
    <t>Stores closing etc</t>
  </si>
  <si>
    <t>Some costs to incur this year, also some next year</t>
  </si>
  <si>
    <t>Like to see how things trend in H2, macro etc</t>
  </si>
  <si>
    <t>Will continue to buy, perhaps a little more prudent</t>
  </si>
  <si>
    <t>BB subs growth there</t>
  </si>
  <si>
    <t>Some headwinds: copper, HFC, FTTH</t>
  </si>
  <si>
    <t>growing FTTH, leakage on copper</t>
  </si>
  <si>
    <t>copper spluttered in Q1, revamped in Q2, trend is positive</t>
  </si>
  <si>
    <t>duopoly market with Digicel</t>
  </si>
  <si>
    <t>Inflation / affordability</t>
  </si>
  <si>
    <t>Don't see an issue at this stage</t>
  </si>
  <si>
    <t>Adj LILA (recap)</t>
  </si>
  <si>
    <t>Adj AMX (recap)</t>
  </si>
  <si>
    <t>VTR interest (after tax)</t>
  </si>
  <si>
    <t>Debt deconsolidation</t>
  </si>
  <si>
    <t>Assumed rate</t>
  </si>
  <si>
    <t>New FCF</t>
  </si>
  <si>
    <t>NewCo FCF</t>
  </si>
  <si>
    <t>EFCF (Liberty FCF)</t>
  </si>
  <si>
    <t>Net debt deconsol</t>
  </si>
  <si>
    <t>VTR cash flow</t>
  </si>
  <si>
    <t>ex-Chile</t>
  </si>
  <si>
    <t>Chile USD headwind in constant FX</t>
  </si>
  <si>
    <t>Tower</t>
  </si>
  <si>
    <t>Puerto Rico headwinds (roaming/equip)</t>
  </si>
  <si>
    <t>Compensation</t>
  </si>
  <si>
    <t>Class A</t>
  </si>
  <si>
    <t>Class C</t>
  </si>
  <si>
    <t>RSUs</t>
  </si>
  <si>
    <t>SARs</t>
  </si>
  <si>
    <t>PSUs</t>
  </si>
  <si>
    <t>PSARs</t>
  </si>
  <si>
    <t>SARs strike</t>
  </si>
  <si>
    <t>Total to add to SHOUT</t>
  </si>
  <si>
    <t>Price assumption</t>
  </si>
  <si>
    <t>Price over strike</t>
  </si>
  <si>
    <t>SHOUT adj for Comp</t>
  </si>
  <si>
    <t>Assume % vest</t>
  </si>
  <si>
    <t>SARs vesting</t>
  </si>
  <si>
    <t>Implied SHOUT issued from SARs</t>
  </si>
  <si>
    <t>Cumulative SARs issued</t>
  </si>
  <si>
    <t>VTR bonds</t>
  </si>
  <si>
    <t>No change of control</t>
  </si>
  <si>
    <t>Capital structure</t>
  </si>
  <si>
    <t>LILA Chile Holdings</t>
  </si>
  <si>
    <t>Top company which sits above this structure the JV</t>
  </si>
  <si>
    <t>Once done, more colour on that</t>
  </si>
  <si>
    <t>Worst case - nothing changes</t>
  </si>
  <si>
    <t>Precedence of supporting vehicles</t>
  </si>
  <si>
    <t>Have to respect shareholders</t>
  </si>
  <si>
    <t>Secured</t>
  </si>
  <si>
    <t>Unsecured</t>
  </si>
  <si>
    <t>Debt org</t>
  </si>
  <si>
    <t>Shareholder question</t>
  </si>
  <si>
    <t>Tax attributes, most efficient</t>
  </si>
  <si>
    <t>Cap structure</t>
  </si>
  <si>
    <t>New management team business model…</t>
  </si>
  <si>
    <t>Therefore…debt holders have no say</t>
  </si>
  <si>
    <t>No maintenance covenants</t>
  </si>
  <si>
    <t>Fin</t>
  </si>
  <si>
    <t>Doesn’t mean default</t>
  </si>
  <si>
    <t>Banks could waive this</t>
  </si>
  <si>
    <t>Draw one third, as of end-Q, have a test. If leverage higher than 5x, in breach</t>
  </si>
  <si>
    <t>Walk away</t>
  </si>
  <si>
    <t>AMX obliged to close</t>
  </si>
  <si>
    <t>AMX not down as much</t>
  </si>
  <si>
    <t>Have a good relationship with AMX</t>
  </si>
  <si>
    <t xml:space="preserve">Local or US process? </t>
  </si>
  <si>
    <t>Facilities under US law</t>
  </si>
  <si>
    <t>Might be some choice</t>
  </si>
  <si>
    <t>Vendor</t>
  </si>
  <si>
    <t>Deferred fin costs</t>
  </si>
  <si>
    <t>net debt in the box at the time</t>
  </si>
  <si>
    <t>CLP 1095 m</t>
  </si>
  <si>
    <t>Synergies as % combined Opex/Capex</t>
  </si>
  <si>
    <t>Combined OpEx/Capex</t>
  </si>
  <si>
    <t>Mobile synergies</t>
  </si>
  <si>
    <t>Mobile service revenue</t>
  </si>
  <si>
    <t>Assumed wholesale</t>
  </si>
  <si>
    <t>Gross margin</t>
  </si>
  <si>
    <t>Other costs</t>
  </si>
  <si>
    <t>Total cost, CLP</t>
  </si>
  <si>
    <t>Cost per tower/m</t>
  </si>
  <si>
    <t>2.8-3.5x (long-term)</t>
  </si>
  <si>
    <t>Additional capital</t>
  </si>
  <si>
    <t>New interest costs</t>
  </si>
  <si>
    <t>New Tax</t>
  </si>
  <si>
    <t>FCF for DCF</t>
  </si>
  <si>
    <t>New JV net debt (ex-leases)</t>
  </si>
  <si>
    <t>New FCF after interest</t>
  </si>
  <si>
    <t>Implied growth</t>
  </si>
  <si>
    <t>Term multiple</t>
  </si>
  <si>
    <t>Term value</t>
  </si>
  <si>
    <t>NPV of term multiple</t>
  </si>
  <si>
    <t xml:space="preserve">Towers rental </t>
  </si>
  <si>
    <t>As % net debt</t>
  </si>
  <si>
    <t>VTR standalone, USD, m</t>
  </si>
  <si>
    <t>VTR - Claro merger</t>
  </si>
  <si>
    <t>Chile towers in Sitios spin</t>
  </si>
  <si>
    <t>VTR contributes</t>
  </si>
  <si>
    <t>AMX contributes</t>
  </si>
  <si>
    <t>After payment</t>
  </si>
  <si>
    <t xml:space="preserve">AMX </t>
  </si>
  <si>
    <t>VTR balancing payment</t>
  </si>
  <si>
    <t>Fair value</t>
  </si>
  <si>
    <t>Pass</t>
  </si>
  <si>
    <t>Total extra capex</t>
  </si>
  <si>
    <t>Existing</t>
  </si>
  <si>
    <t>Additional build reqs</t>
  </si>
  <si>
    <t>NPV of FCFs</t>
  </si>
  <si>
    <t xml:space="preserve">New build </t>
  </si>
  <si>
    <t>FCF pre-tax</t>
  </si>
  <si>
    <t>June-22 from Sept-21</t>
  </si>
  <si>
    <t>NewCo EBITDA (pre synergies)</t>
  </si>
  <si>
    <t>NewCo EBITDA margin</t>
  </si>
  <si>
    <t>NewCo Capex</t>
  </si>
  <si>
    <t>NewCo OpFCF</t>
  </si>
  <si>
    <t>Synergies to EBITDA</t>
  </si>
  <si>
    <t>Claro (after tower spin), US GAAP</t>
  </si>
  <si>
    <t>EV, CLP bn</t>
  </si>
  <si>
    <t>Equity, CLP bn</t>
  </si>
  <si>
    <t>Financial cost</t>
  </si>
  <si>
    <t xml:space="preserve">FCF </t>
  </si>
  <si>
    <t>Annual synergy (by 2024) in EBITDA</t>
  </si>
  <si>
    <t xml:space="preserve"> - of which EBITDA</t>
  </si>
  <si>
    <t xml:space="preserve"> - of which Capex</t>
  </si>
  <si>
    <t>EBITDA pre-synergies</t>
  </si>
  <si>
    <t>Acquired Capex after synergies</t>
  </si>
  <si>
    <t>Acquired EBITDA after synergies</t>
  </si>
  <si>
    <t>Acquired OpFCF after synergies</t>
  </si>
  <si>
    <t>#</t>
  </si>
  <si>
    <t>Net FCF impact</t>
  </si>
  <si>
    <t>Change in FCF</t>
  </si>
  <si>
    <t>Net OpFCF impact</t>
  </si>
  <si>
    <t xml:space="preserve"> FCF from deals (synergies less integration)</t>
  </si>
  <si>
    <t xml:space="preserve"> Underlying</t>
  </si>
  <si>
    <t>Panama (inc Claro)</t>
  </si>
  <si>
    <t>Aug 31, 2022 - Kunal chat</t>
  </si>
  <si>
    <t>Check timing of integration / synergies</t>
  </si>
  <si>
    <t>Stock compensation</t>
  </si>
  <si>
    <t>Mobile spectrum would be excessive</t>
  </si>
  <si>
    <t>DTH - VTR can’t own satellite</t>
  </si>
  <si>
    <t>No issues with fixed overlap</t>
  </si>
  <si>
    <t>NOLs and tax efficiencies</t>
  </si>
  <si>
    <t>Less capital intensive ways to run the business</t>
  </si>
  <si>
    <t>Debt itself… disconnect between high yield / M2M ….difference between this and par. Could be some opportunities</t>
  </si>
  <si>
    <t>Claro was low on pricing one year ago</t>
  </si>
  <si>
    <t>On fixed side, overlap. Successul outcome here</t>
  </si>
  <si>
    <t>Claro completely overbuilt</t>
  </si>
  <si>
    <t>Regulatory</t>
  </si>
  <si>
    <t>News - home stretch</t>
  </si>
  <si>
    <t>AMX..? This is the deal which creates the most value</t>
  </si>
  <si>
    <t>Very difficult for AMX to buy a wireless business</t>
  </si>
  <si>
    <t>AMX couldn't do a deal with TEF, Entel, WOM</t>
  </si>
  <si>
    <t>Fixed?</t>
  </si>
  <si>
    <t>Digital Bridge bought it</t>
  </si>
  <si>
    <t>in 90% of Claro's footprint</t>
  </si>
  <si>
    <t xml:space="preserve">Tax etc, not </t>
  </si>
  <si>
    <t>Synergies all opex</t>
  </si>
  <si>
    <t>buying on AMX price point</t>
  </si>
  <si>
    <t xml:space="preserve">Households - 8m </t>
  </si>
  <si>
    <t>6m is the higher end of the homes</t>
  </si>
  <si>
    <t>things have changed over the last year</t>
  </si>
  <si>
    <t>if there are constraints…then value creation will be in focus</t>
  </si>
  <si>
    <t>Learnings</t>
  </si>
  <si>
    <t>Biggest driver is price…more so than FTTH vs HFC</t>
  </si>
  <si>
    <t>Network quality not such a big issue</t>
  </si>
  <si>
    <t>Needs to get to a stable steady state business</t>
  </si>
  <si>
    <t>NOLs</t>
  </si>
  <si>
    <t>Not quantified .. Vehicle itself will be hyperefficient</t>
  </si>
  <si>
    <t>Tax is higher otherwise</t>
  </si>
  <si>
    <t>Spent a lot of time on the financing / tax</t>
  </si>
  <si>
    <t>Triggering covenants</t>
  </si>
  <si>
    <t>Could be 20x levered</t>
  </si>
  <si>
    <t>Can put</t>
  </si>
  <si>
    <t>Bond prices…</t>
  </si>
  <si>
    <t>borrow on the line</t>
  </si>
  <si>
    <t>vendor financing</t>
  </si>
  <si>
    <t>could put debt somewhere</t>
  </si>
  <si>
    <t>cost is expensive in Chile today</t>
  </si>
  <si>
    <t>FTEs for example</t>
  </si>
  <si>
    <t>$180m</t>
  </si>
  <si>
    <t>chunk can happen quickly</t>
  </si>
  <si>
    <t>HPs close to 2 million</t>
  </si>
  <si>
    <t>A lot is in Santiago, plus other main cities</t>
  </si>
  <si>
    <t>this is where regulatory issues could have been more problematic</t>
  </si>
  <si>
    <t>Mobile spectrum</t>
  </si>
  <si>
    <t>handed back, some solutions to this</t>
  </si>
  <si>
    <t>incredibly solvable…very slightly over the cap</t>
  </si>
  <si>
    <t>final decisions from regulator</t>
  </si>
  <si>
    <t>Will take a while for value to build</t>
  </si>
  <si>
    <t>TSA falls away through Q4. Capex in core bit, H2 / H1 23. need everything largely done</t>
  </si>
  <si>
    <t>migrate over time</t>
  </si>
  <si>
    <t>Integration costs are coming</t>
  </si>
  <si>
    <t>may be able to do a little better</t>
  </si>
  <si>
    <t>some of it may be opex, some capex</t>
  </si>
  <si>
    <t>capitalisation rules…depends, would like more on capex</t>
  </si>
  <si>
    <t>BVI also</t>
  </si>
  <si>
    <t>Build FTTH across the 3 islands</t>
  </si>
  <si>
    <t>Cash flow side…double up on tax, double whammy in 2022</t>
  </si>
  <si>
    <t>CF improves in 2023</t>
  </si>
  <si>
    <t>Synergies not as noticeable</t>
  </si>
  <si>
    <t>Business not profitable</t>
  </si>
  <si>
    <t>Need to run it through to early 2023</t>
  </si>
  <si>
    <t>Do back office stuff but have to hold of</t>
  </si>
  <si>
    <t>Start much better into 2023..not so much EBITDA</t>
  </si>
  <si>
    <t>2024…quite additive basis</t>
  </si>
  <si>
    <t>As you get to start of 2024, comes through</t>
  </si>
  <si>
    <t>this is the first year</t>
  </si>
  <si>
    <t>Stock a little lumpy likely</t>
  </si>
  <si>
    <t>at these levels, or &lt;$10</t>
  </si>
  <si>
    <t>Options / SARs worth zero</t>
  </si>
  <si>
    <t>Stock comp</t>
  </si>
  <si>
    <t>Buy back lower than issuing stock to employees</t>
  </si>
  <si>
    <t xml:space="preserve">Expect share </t>
  </si>
  <si>
    <t>Slide 6</t>
  </si>
  <si>
    <t>Value of derivatives</t>
  </si>
  <si>
    <t>Slide 7</t>
  </si>
  <si>
    <t>Debt cost is likely to be higher</t>
  </si>
  <si>
    <t>Slide 8</t>
  </si>
  <si>
    <t>Don’t think there are other deals available</t>
  </si>
  <si>
    <t>Mobile market is an issue for the regulator</t>
  </si>
  <si>
    <t>Mundo the only asset in play</t>
  </si>
  <si>
    <t>Costa Rica / Panama integration</t>
  </si>
  <si>
    <t>Costa Rica / Panama synergies</t>
  </si>
  <si>
    <t>Integration costs (through OpEx)</t>
  </si>
  <si>
    <t>FCF yield (stock comp adj)</t>
  </si>
  <si>
    <t>Ex-Chile</t>
  </si>
  <si>
    <t>Other / stock</t>
  </si>
  <si>
    <t>Prop OpFCF</t>
  </si>
  <si>
    <t>New CEO announced, Claro had hired out of Entel: Alfredo Parot</t>
  </si>
  <si>
    <t>Suggests confident on deal close</t>
  </si>
  <si>
    <t>Can run ahead of targeted synergies</t>
  </si>
  <si>
    <t>Partner with other FTTH infrastructure</t>
  </si>
  <si>
    <t>Think more consolidation to come</t>
  </si>
  <si>
    <t>Comfortable with capital structure</t>
  </si>
  <si>
    <t>Naturally de-lever within 24 months</t>
  </si>
  <si>
    <t>High barriers to entry. HPs cost is similar to US levels</t>
  </si>
  <si>
    <t>Aerial is 3x LatAm levels. Poles owned by utilities, AMX. San Juan old town hard to build in</t>
  </si>
  <si>
    <t>Also need to dig, cost even higher</t>
  </si>
  <si>
    <t>FCF supports levered equity model</t>
  </si>
  <si>
    <t>Tested the market, ran the maths. High bar for selling. Couple of bidders who hit the bar. 1/ SPAC, show up with money. 2/ Debt market closed on them, were going to lever it up</t>
  </si>
  <si>
    <t>Come back at same level, maybe</t>
  </si>
  <si>
    <t>Ray Collins – new GM overseeing the business. Doing things were looking at with buyer.</t>
  </si>
  <si>
    <t>Been run for cash last 4 years, will run slightly differently</t>
  </si>
  <si>
    <t>$230m EBITDA, v low capex, 2 businesses</t>
  </si>
  <si>
    <t>Attacker LatAm B2B. Capital goes here, Dom Rep, Colombia (USD60m), El Sal, Honduras</t>
  </si>
  <si>
    <t>Incumbent style</t>
  </si>
  <si>
    <t>New entrant, where no consumer business</t>
  </si>
  <si>
    <t>Cable – lot of upside</t>
  </si>
  <si>
    <t>Wholesale B2B. The fastest growing</t>
  </si>
  <si>
    <t>Nothing likely to be as accretive as buying back stock</t>
  </si>
  <si>
    <t>Leverage?</t>
  </si>
  <si>
    <t>Invest</t>
  </si>
  <si>
    <t>Paying down debt (27/28), convert in 2024</t>
  </si>
  <si>
    <t>Dividend- inefficient</t>
  </si>
  <si>
    <t>GS Conf - September 22</t>
  </si>
  <si>
    <t>FCF (ex Chile inc stock comp)</t>
  </si>
  <si>
    <t>FCF 2022 (Chile in for FY)</t>
  </si>
  <si>
    <t>De-consolidation of Chile losses</t>
  </si>
  <si>
    <t>FCF swing from deals</t>
  </si>
  <si>
    <t>FCF 2023</t>
  </si>
  <si>
    <t>Net debt de-consolidation</t>
  </si>
  <si>
    <t>Gross debt H1</t>
  </si>
  <si>
    <t>Net debt in Chile (inc derivative)</t>
  </si>
  <si>
    <t>Q2 end USDCLP</t>
  </si>
  <si>
    <t xml:space="preserve">Derivative contracts </t>
  </si>
  <si>
    <t>Chile EBITDA</t>
  </si>
  <si>
    <t>Chile EBITDA (last 2Q annualised)</t>
  </si>
  <si>
    <t>Post de-consolidation</t>
  </si>
  <si>
    <t>EBITDA (last 2Q annualised)</t>
  </si>
  <si>
    <t>Net debt H1</t>
  </si>
  <si>
    <t>Chile debt</t>
  </si>
  <si>
    <t>Net debt H1 ex Chile</t>
  </si>
  <si>
    <t>EBITDA H1</t>
  </si>
  <si>
    <t>EBITDA ex-Chile</t>
  </si>
  <si>
    <t xml:space="preserve"> of which Post-paid</t>
  </si>
  <si>
    <t xml:space="preserve"> of which Pre-paid</t>
  </si>
  <si>
    <t>Wireless service revenue</t>
  </si>
  <si>
    <t xml:space="preserve"> - of which Liberty Mobile residential service</t>
  </si>
  <si>
    <t>Q3 working capital of negative $315m</t>
  </si>
  <si>
    <t>USIV funding</t>
  </si>
  <si>
    <t>Handsets loss making…seeing other carriers make a positive margin</t>
  </si>
  <si>
    <t>PR wireless - competition</t>
  </si>
  <si>
    <t>How much more…what sort of scale uplift think can achieve here</t>
  </si>
  <si>
    <t>Comments</t>
  </si>
  <si>
    <t>Q3 harder than expected, hurricanes</t>
  </si>
  <si>
    <t>FCF for FY 22 - EFCF..?</t>
  </si>
  <si>
    <t>4 s</t>
  </si>
  <si>
    <t>FCF should be improved</t>
  </si>
  <si>
    <t>Feb 23 - update</t>
  </si>
  <si>
    <t>Ray Collins, new management</t>
  </si>
  <si>
    <t>New routes</t>
  </si>
  <si>
    <t>Plan in place</t>
  </si>
  <si>
    <t>FCF is very significant</t>
  </si>
  <si>
    <t>$37m funding in mobile, coming to end, shoud renew</t>
  </si>
  <si>
    <t>10 year on fixed, being allocated</t>
  </si>
  <si>
    <t>complex:</t>
  </si>
  <si>
    <t>Pre-paid has dropped y/y - RGUs, and re-seller business</t>
  </si>
  <si>
    <t>40% of the decline</t>
  </si>
  <si>
    <t>but has grown again</t>
  </si>
  <si>
    <t>Amortisation of subsidies of handsets</t>
  </si>
  <si>
    <t>37% of delta</t>
  </si>
  <si>
    <t>Post-paid is growing, adds, stable ARPUs. Churn is equal or better</t>
  </si>
  <si>
    <t>Holding well against the competition</t>
  </si>
  <si>
    <t>Hurricane highlighted the resilience of the network</t>
  </si>
  <si>
    <t>Sell handset with subsidy</t>
  </si>
  <si>
    <t>discount to fair value of equip</t>
  </si>
  <si>
    <t>service</t>
  </si>
  <si>
    <t>equipment</t>
  </si>
  <si>
    <t>contract asset, then amortised (negative) over financing of handset</t>
  </si>
  <si>
    <t>when acquired, was reset to zero, building and building</t>
  </si>
  <si>
    <t>will impact Q4 yy and qq</t>
  </si>
  <si>
    <t>also Q3</t>
  </si>
  <si>
    <t>volume of post-paid, size of subsidy</t>
  </si>
  <si>
    <t>More equipment sales, more subsidies</t>
  </si>
  <si>
    <t>Nothing too significant</t>
  </si>
  <si>
    <t>Not the easiest to work with</t>
  </si>
  <si>
    <t>$90m as framework</t>
  </si>
  <si>
    <t>Q</t>
  </si>
  <si>
    <t>TSA offsets USVI</t>
  </si>
  <si>
    <t>Equipment sales also loss-making</t>
  </si>
  <si>
    <t>Smaller impact on service revenue</t>
  </si>
  <si>
    <t>TSA doesn’t help</t>
  </si>
  <si>
    <t>Trying to win back</t>
  </si>
  <si>
    <t>Re-sellers - want to have comfort that there are handsets to sell</t>
  </si>
  <si>
    <t>Dependent on AT&amp;T</t>
  </si>
  <si>
    <t xml:space="preserve">Actually AT&amp;T </t>
  </si>
  <si>
    <t>Handset insurance - bill US wide</t>
  </si>
  <si>
    <t>Re-branded</t>
  </si>
  <si>
    <t>Group elims</t>
  </si>
  <si>
    <t>New PR split</t>
  </si>
  <si>
    <t>Q1 23</t>
  </si>
  <si>
    <t>Q2 23</t>
  </si>
  <si>
    <t>Q3 23</t>
  </si>
  <si>
    <t>Q4 23</t>
  </si>
  <si>
    <t>Q4 21e</t>
  </si>
  <si>
    <t>less Hurricane</t>
  </si>
  <si>
    <t>Total adj.</t>
  </si>
  <si>
    <t>EFCF 2023</t>
  </si>
  <si>
    <t>EFCF 2022</t>
  </si>
  <si>
    <t>Delta Synergies PR</t>
  </si>
  <si>
    <t>Delta Synergies Panama</t>
  </si>
  <si>
    <t>Delta Synergies Costa Rica</t>
  </si>
  <si>
    <t>Working Capital / other</t>
  </si>
  <si>
    <t>Underlying OpFCF</t>
  </si>
  <si>
    <t>Hurricane costs</t>
  </si>
  <si>
    <t>EFCF 2024</t>
  </si>
  <si>
    <t>Delta PR integration costs</t>
  </si>
  <si>
    <t>Delta Panama integration costs</t>
  </si>
  <si>
    <t>Delta Costa Rica integration costs</t>
  </si>
  <si>
    <t>Changes to estimates, ex-Chile</t>
  </si>
  <si>
    <t>EBITDA after synergies, after integration</t>
  </si>
  <si>
    <t xml:space="preserve">Interest </t>
  </si>
  <si>
    <t>Interest (largely VTR)</t>
  </si>
  <si>
    <t>Net debt for valuation</t>
  </si>
  <si>
    <t>Liberty PR wireless</t>
  </si>
  <si>
    <t>Underlying wireless</t>
  </si>
  <si>
    <t xml:space="preserve">Q3 2021 </t>
  </si>
  <si>
    <t>Est of Amortisation of handset subsidies</t>
  </si>
  <si>
    <t>Equipment/roaming</t>
  </si>
  <si>
    <t>Q3 2021 PR revenue</t>
  </si>
  <si>
    <t>Q3 22 PR revenue</t>
  </si>
  <si>
    <t>Hurricane coupons - fixed</t>
  </si>
  <si>
    <t xml:space="preserve">Underyling residental fixed </t>
  </si>
  <si>
    <t>T-Mobile</t>
  </si>
  <si>
    <t>Discount on 2nd line $10 on higher plans, $5 on cheapest</t>
  </si>
  <si>
    <t>Discount on 2nd line $15 on highest plan (40 GB), $10 on cheapr</t>
  </si>
  <si>
    <t>Tariff I</t>
  </si>
  <si>
    <t>Tariff II</t>
  </si>
  <si>
    <t>GB (LTE)</t>
  </si>
  <si>
    <t xml:space="preserve">Liberty PR </t>
  </si>
  <si>
    <t>unlimited*</t>
  </si>
  <si>
    <t>Tariff III</t>
  </si>
  <si>
    <t>Tariff IV</t>
  </si>
  <si>
    <t>Tariff V</t>
  </si>
  <si>
    <t>Refinancing</t>
  </si>
  <si>
    <t>Maturities coming up</t>
  </si>
  <si>
    <t>CR - local bank</t>
  </si>
  <si>
    <t>would have dealt with sooner</t>
  </si>
  <si>
    <t>If don't get pricing they want</t>
  </si>
  <si>
    <t>2.3-3.0x lower leverage</t>
  </si>
  <si>
    <t>Market hasn’t reopened</t>
  </si>
  <si>
    <t>Don't have 5G</t>
  </si>
  <si>
    <t>Have some 3.5 GHz…Claro did</t>
  </si>
  <si>
    <t>Restriction on use</t>
  </si>
  <si>
    <t>Court decision saying can use</t>
  </si>
  <si>
    <t>High $200's</t>
  </si>
  <si>
    <t>Mid to high 300s</t>
  </si>
  <si>
    <t>Tender of Digicel</t>
  </si>
  <si>
    <t>WOM?</t>
  </si>
  <si>
    <t>Require 3 players from a legislative perspective</t>
  </si>
  <si>
    <t>Moody's note, CR press, BBG</t>
  </si>
  <si>
    <t>Senior unsecured</t>
  </si>
  <si>
    <t>Senior secured</t>
  </si>
  <si>
    <t>Hache</t>
  </si>
  <si>
    <t>Genesis</t>
  </si>
  <si>
    <t>Canyon</t>
  </si>
  <si>
    <t>Quaker</t>
  </si>
  <si>
    <t>Ali</t>
  </si>
  <si>
    <t>LILA, Frontier, Alphabet</t>
  </si>
  <si>
    <t>ex Chile</t>
  </si>
  <si>
    <t>EBITDA growth</t>
  </si>
  <si>
    <t>weight</t>
  </si>
  <si>
    <t>FY 22 earnings call</t>
  </si>
  <si>
    <t>$30m vs $26m in FY 22</t>
  </si>
  <si>
    <t>Is that done thereafter</t>
  </si>
  <si>
    <t>Panama / Bahamas</t>
  </si>
  <si>
    <t>Process for dividends.. why $2m in 2022, $100m in 2023</t>
  </si>
  <si>
    <t>$70m PR, $70m in Panama, $15m Costa Rica</t>
  </si>
  <si>
    <t>FCF guide</t>
  </si>
  <si>
    <t>Working Capital</t>
  </si>
  <si>
    <t>EBITDA momentum</t>
  </si>
  <si>
    <t>Anything in PR?</t>
  </si>
  <si>
    <t>&gt;$150m FY</t>
  </si>
  <si>
    <t>What included in FCF guide for synergies?</t>
  </si>
  <si>
    <t>$70m run-rate for 2024</t>
  </si>
  <si>
    <t>Integration by YE</t>
  </si>
  <si>
    <t>$170m in 2022…thoughts into 2023</t>
  </si>
  <si>
    <t>meaningful</t>
  </si>
  <si>
    <t>to mid to high single digit</t>
  </si>
  <si>
    <t>driver here?</t>
  </si>
  <si>
    <t>Panama acquisition last year</t>
  </si>
  <si>
    <t>Held cash in Bahamas to be on safe side</t>
  </si>
  <si>
    <t>Upstreaming … have capital allocation</t>
  </si>
  <si>
    <t>Most synergies will kick in from 2024</t>
  </si>
  <si>
    <t>Normalised min dividends…sitting on cash balances</t>
  </si>
  <si>
    <t>In 2024</t>
  </si>
  <si>
    <t>Panama trip</t>
  </si>
  <si>
    <t>Regional</t>
  </si>
  <si>
    <t>What deliver</t>
  </si>
  <si>
    <t>Who like across peers</t>
  </si>
  <si>
    <t>Valuation multiples</t>
  </si>
  <si>
    <t>M&amp;A, given equity/debt</t>
  </si>
  <si>
    <t>New / existing products</t>
  </si>
  <si>
    <t>Fintech</t>
  </si>
  <si>
    <t>What most worried about</t>
  </si>
  <si>
    <t>Satellite TV as viable threat</t>
  </si>
  <si>
    <t>FTTH vs HFC</t>
  </si>
  <si>
    <t>Duopolies</t>
  </si>
  <si>
    <t>Start to deliver some growth</t>
  </si>
  <si>
    <r>
      <t>Satellite constellation.</t>
    </r>
    <r>
      <rPr>
        <sz val="11"/>
        <color rgb="FF000000"/>
        <rFont val="Calibri"/>
        <family val="2"/>
        <scheme val="minor"/>
      </rPr>
      <t> LEO is better than GEO because GEO has shadowing/blockage problems, limiting utility in emergency response services.</t>
    </r>
  </si>
  <si>
    <r>
      <t>Regulation is a bottleneck for satellite operators.</t>
    </r>
    <r>
      <rPr>
        <sz val="11"/>
        <color rgb="FF000000"/>
        <rFont val="Calibri"/>
        <family val="2"/>
        <scheme val="minor"/>
      </rPr>
      <t> Satellite providers need regulatory approval country by country. Globalstar’s footprint is global, and they already have regulatory approval in every country. This allows Globalstar to move quickly in bringing Apple’s service to life</t>
    </r>
  </si>
  <si>
    <t>Market is confused about D2D capabilities among the different satellite providers. The main differentiators according to Jay are:-</t>
  </si>
  <si>
    <r>
      <t>Spectrum frequency and ownership. </t>
    </r>
    <r>
      <rPr>
        <sz val="11"/>
        <color rgb="FF000000"/>
        <rFont val="Calibri"/>
        <family val="2"/>
        <scheme val="minor"/>
      </rPr>
      <t xml:space="preserve"> some satellite providers are using carriers' spectrum. This can create interference, go-to-market and regulation problems.</t>
    </r>
  </si>
  <si>
    <t>First, low or mid band spectrum is more favorable than high-band because higher bands need equipment too large to be held in hand</t>
  </si>
  <si>
    <t>Second, some satellite providers are using carriers' spectrum. This can create interference, go-to-market and regulation problems</t>
  </si>
  <si>
    <t>Using Globalstar</t>
  </si>
  <si>
    <t>GEO is earth orbiting, typically along the equator, 36,000 kms above the earth</t>
  </si>
  <si>
    <t>LEO is low orbit (&lt;2,000 km)</t>
  </si>
  <si>
    <t>Satellite enabled text</t>
  </si>
  <si>
    <t>Ligado and Omnispace</t>
  </si>
  <si>
    <t>String of announcements from satellite operators and terrestrial network operators partnering to pursue the D2D opportunity</t>
  </si>
  <si>
    <t>The direct-to-device (D2D) standard being developed by 3GPP aims to integrate satellite and terrestrial communication networks in standard smartphones</t>
  </si>
  <si>
    <t>Not just remote, but those who suffer lapses in coverage</t>
  </si>
  <si>
    <t>60% of US consumers</t>
  </si>
  <si>
    <t>Voice as the killer App therefore for D2D</t>
  </si>
  <si>
    <t>(non-terrestrial networks, or NTNs)</t>
  </si>
  <si>
    <t xml:space="preserve">3GPP </t>
  </si>
  <si>
    <t>T-Mobile and Space X</t>
  </si>
  <si>
    <t>Coverage support</t>
  </si>
  <si>
    <t>Devices still an issue today</t>
  </si>
  <si>
    <t>More satellites will need to be launched</t>
  </si>
  <si>
    <t>Could be a $20 billion industry in the US, 4-6x globally</t>
  </si>
  <si>
    <t>IOT NTN</t>
  </si>
  <si>
    <t>NR NTN</t>
  </si>
  <si>
    <t>Narrow band, 2G style data rates</t>
  </si>
  <si>
    <t>Quicker speedd</t>
  </si>
  <si>
    <t>MediaTek demo'd a video call but years away</t>
  </si>
  <si>
    <t>Why Buyers</t>
  </si>
  <si>
    <t>Consolidation , synergies coming through</t>
  </si>
  <si>
    <t>Strong FCF</t>
  </si>
  <si>
    <t>Opportunity</t>
  </si>
  <si>
    <t>But most importantly FCF. Hit the $300m and build from there</t>
  </si>
  <si>
    <t>Show that FCF for 2024 should be $450-500m (pre minorities)</t>
  </si>
  <si>
    <t>Consolidation plays, benign markets</t>
  </si>
  <si>
    <t>Brazil is a good example</t>
  </si>
  <si>
    <t>Mexico most in focus</t>
  </si>
  <si>
    <t>General chat</t>
  </si>
  <si>
    <t>Opportunity in Panama</t>
  </si>
  <si>
    <t>Re-rate opportunity</t>
  </si>
  <si>
    <t>Which peers to look at?</t>
  </si>
  <si>
    <t>India</t>
  </si>
  <si>
    <t>Bharti</t>
  </si>
  <si>
    <t>23 EBITDA</t>
  </si>
  <si>
    <t>23 OpFCF</t>
  </si>
  <si>
    <t>European</t>
  </si>
  <si>
    <t>Charter (US)</t>
  </si>
  <si>
    <t>money transfer</t>
  </si>
  <si>
    <t>micro lending</t>
  </si>
  <si>
    <t>digital wallets</t>
  </si>
  <si>
    <t>FCF yield is key</t>
  </si>
  <si>
    <t>less mins</t>
  </si>
  <si>
    <t>2024/25</t>
  </si>
  <si>
    <t>with synergies</t>
  </si>
  <si>
    <t>with op leverage</t>
  </si>
  <si>
    <t>% yield</t>
  </si>
  <si>
    <t>after stock comp</t>
  </si>
  <si>
    <t>24 yield</t>
  </si>
  <si>
    <t>Safaricom - 38% of service revenue from Mpesa</t>
  </si>
  <si>
    <t>Vodacom Intl</t>
  </si>
  <si>
    <t>MTN Ghana</t>
  </si>
  <si>
    <t>both &gt;20% contribution</t>
  </si>
  <si>
    <t xml:space="preserve">Globalstar pressie </t>
  </si>
  <si>
    <t>iPhone 14 - Sept 22</t>
  </si>
  <si>
    <t>Deep restructuring rather than just pushing out maturities</t>
  </si>
  <si>
    <t>Bonds at 40 cents in the USD</t>
  </si>
  <si>
    <t>Supportive for LILA</t>
  </si>
  <si>
    <t xml:space="preserve">Leveraging Space X's Starlink LEO </t>
  </si>
  <si>
    <t>Half a million square miles of US has no coverage</t>
  </si>
  <si>
    <t>Most cellphones on the network will be compatible</t>
  </si>
  <si>
    <t>Use T-Mobile's mid-band spectrum</t>
  </si>
  <si>
    <t>Texting first, voice and data to follow</t>
  </si>
  <si>
    <t>Ligado</t>
  </si>
  <si>
    <t>40 MHz of L-band</t>
  </si>
  <si>
    <t>Omnispace</t>
  </si>
  <si>
    <t>60 MHz of S-band</t>
  </si>
  <si>
    <t>Enough capacity to go beyond texting</t>
  </si>
  <si>
    <t>Africa</t>
  </si>
  <si>
    <t>2-sided platform</t>
  </si>
  <si>
    <t>Merchants - accepting payments</t>
  </si>
  <si>
    <t>Consumers - digital wallets</t>
  </si>
  <si>
    <t>Enterprise</t>
  </si>
  <si>
    <t>Datacentres</t>
  </si>
  <si>
    <t>DM - Enterprises customers of telcos</t>
  </si>
  <si>
    <t>EM - large base of SMEs underserved</t>
  </si>
  <si>
    <t>Cloud</t>
  </si>
  <si>
    <t>Cybersecurity</t>
  </si>
  <si>
    <t>IOT &amp; messaging</t>
  </si>
  <si>
    <t>Vivo Money</t>
  </si>
  <si>
    <t>BRL183m end-22</t>
  </si>
  <si>
    <t>Other (B2B)</t>
  </si>
  <si>
    <t>USD/CRC</t>
  </si>
  <si>
    <t>Share based compensation / other</t>
  </si>
  <si>
    <t>CWC Caribbean</t>
  </si>
  <si>
    <t>CWC Networks</t>
  </si>
  <si>
    <t xml:space="preserve"> - of CWC Caribbean</t>
  </si>
  <si>
    <t xml:space="preserve"> - of CWC Networks</t>
  </si>
  <si>
    <t xml:space="preserve"> - of CWC Panama</t>
  </si>
  <si>
    <t>CWC (ex Panama, Jamaica)</t>
  </si>
  <si>
    <t>Stabilised wireless service revenue</t>
  </si>
  <si>
    <t>Will continue to be messy</t>
  </si>
  <si>
    <t>Looking to show sequential growth</t>
  </si>
  <si>
    <t>Some subs on subsidised plans</t>
  </si>
  <si>
    <t>May have been taking 3 but took less</t>
  </si>
  <si>
    <t>existing taking less RGUs</t>
  </si>
  <si>
    <t>Last 2 quarters annualised</t>
  </si>
  <si>
    <t>lifting prices in Costa Rica in Q1</t>
  </si>
  <si>
    <t>change in outlook here?</t>
  </si>
  <si>
    <t>PR mobile</t>
  </si>
  <si>
    <t xml:space="preserve">stabilisation in wireless service </t>
  </si>
  <si>
    <t>is this the trough?</t>
  </si>
  <si>
    <t>how are you seeing the competitive backdrop?</t>
  </si>
  <si>
    <t>coming through in CR, Panama… PR perhaps later?</t>
  </si>
  <si>
    <t>$40m to mins in Q2</t>
  </si>
  <si>
    <t>Panama, Bahamaas</t>
  </si>
  <si>
    <t>Expecting more later in the year?</t>
  </si>
  <si>
    <t>CR re-fi</t>
  </si>
  <si>
    <t>2031, levered 2.5x, $25m purchase of 2024 bonds</t>
  </si>
  <si>
    <t>how much is built into guidance</t>
  </si>
  <si>
    <t>OpEx?</t>
  </si>
  <si>
    <t>TSA migration</t>
  </si>
  <si>
    <t>$30m integration here?</t>
  </si>
  <si>
    <t>started…going pretty well, pre and post paid disruptions</t>
  </si>
  <si>
    <t>some handsets which won’t operate on new network</t>
  </si>
  <si>
    <t>yes, a lot will go away</t>
  </si>
  <si>
    <t>to AT&amp;T and start paying for licences on new stack</t>
  </si>
  <si>
    <t>offering opportunities to swap out handsets</t>
  </si>
  <si>
    <t>this is a very low %</t>
  </si>
  <si>
    <t>not taken off in market</t>
  </si>
  <si>
    <t>FWA in many markets?</t>
  </si>
  <si>
    <t>fixed networks are strong, competitors also</t>
  </si>
  <si>
    <t>Considered in a few cases</t>
  </si>
  <si>
    <t>though is a big spectrum hog</t>
  </si>
  <si>
    <t>CR margins</t>
  </si>
  <si>
    <t>exercise muscles on price increases</t>
  </si>
  <si>
    <t>modest, see how market reacts</t>
  </si>
  <si>
    <t>volume is still the focus…but some prices</t>
  </si>
  <si>
    <t>PR increase in fixed (v minimal), post-paid mobile coming</t>
  </si>
  <si>
    <t>testing the market a little</t>
  </si>
  <si>
    <t>market seems to be ready. No increases for 3 years, product has improved a lot</t>
  </si>
  <si>
    <t>speeds up, better CPE</t>
  </si>
  <si>
    <t>in arpu has some adjs to reflect subsidised devices</t>
  </si>
  <si>
    <t>tried to match e/one…writing a lot of cheques for devices, and accumulating this into devices</t>
  </si>
  <si>
    <t>cutting back on subsidies, more stability on arpu</t>
  </si>
  <si>
    <t>price increases, as per mainland operators</t>
  </si>
  <si>
    <t>CWC Caribbean competition?</t>
  </si>
  <si>
    <t>Macro coming back, though tourism is still not there (60% hotel occupancy vs 80%)</t>
  </si>
  <si>
    <t>On COGS side, programming, commercial</t>
  </si>
  <si>
    <t>1/ Focused on taking cost out since pandemic</t>
  </si>
  <si>
    <t>2/ Innovative FMC, moved some pre-pay to post-pay</t>
  </si>
  <si>
    <t>Duopoly - Digicel quite motivated to create value</t>
  </si>
  <si>
    <t>Regulatory issues</t>
  </si>
  <si>
    <t>Constantly monitor</t>
  </si>
  <si>
    <t>5G spectrum the main thing, when available, how distribute</t>
  </si>
  <si>
    <t>most are business friendly</t>
  </si>
  <si>
    <t>Always open</t>
  </si>
  <si>
    <t>New routes in the meantime, new markets</t>
  </si>
  <si>
    <t>Claro current gross debt</t>
  </si>
  <si>
    <t>Claro cash (est)</t>
  </si>
  <si>
    <t>VTR cash (end-22)</t>
  </si>
  <si>
    <t>VTR dervative value estimate (est)</t>
  </si>
  <si>
    <t>Equity funding (assumes shareholder loan fully converted)</t>
  </si>
  <si>
    <t xml:space="preserve">New EBITDA </t>
  </si>
  <si>
    <t>Claro debt</t>
  </si>
  <si>
    <t>VTR debt (end-22)</t>
  </si>
  <si>
    <t>Equity funding USD</t>
  </si>
  <si>
    <t>EBITDA calc from LILA disclosures</t>
  </si>
  <si>
    <t>Depr</t>
  </si>
  <si>
    <t>SBC</t>
  </si>
  <si>
    <t>Rel party fees</t>
  </si>
  <si>
    <t>Impairment</t>
  </si>
  <si>
    <t>Revs from LILA dis</t>
  </si>
  <si>
    <t>CLP billions</t>
  </si>
  <si>
    <t xml:space="preserve"> - of which BB</t>
  </si>
  <si>
    <t xml:space="preserve"> - of which TV</t>
  </si>
  <si>
    <t xml:space="preserve"> - of which voice</t>
  </si>
  <si>
    <t>Res fixed service revenue</t>
  </si>
  <si>
    <t>Capex (P&amp;E)</t>
  </si>
  <si>
    <t>EBITDA sequential improvements across the board</t>
  </si>
  <si>
    <t>Coming from revs</t>
  </si>
  <si>
    <t>PR - continuing progress, no market activity to speak off</t>
  </si>
  <si>
    <t>Hired a new person from TMUS.. Senior commercial team member</t>
  </si>
  <si>
    <t>na</t>
  </si>
  <si>
    <t>EBITDAaL pre synergies</t>
  </si>
  <si>
    <t>Revenue (VTR + Claro)</t>
  </si>
  <si>
    <t>FCF g</t>
  </si>
  <si>
    <t>Exit multiple</t>
  </si>
  <si>
    <t>As % of EV</t>
  </si>
  <si>
    <t>Asset pre debt</t>
  </si>
  <si>
    <t>Asset cover</t>
  </si>
  <si>
    <t>Less: Net debt</t>
  </si>
  <si>
    <t>ClaroVTR</t>
  </si>
  <si>
    <t>Lease obligations</t>
  </si>
  <si>
    <t>2024 EBITDA</t>
  </si>
  <si>
    <t>Puerto Rico (only) from Q4 22</t>
  </si>
  <si>
    <t>NWC</t>
  </si>
  <si>
    <t>Owners</t>
  </si>
  <si>
    <t>Income statement</t>
  </si>
  <si>
    <t>CF statement</t>
  </si>
  <si>
    <t>Non controlling</t>
  </si>
  <si>
    <t>P&amp;L drivers:</t>
  </si>
  <si>
    <t>Average cash</t>
  </si>
  <si>
    <t>CF drivers:</t>
  </si>
  <si>
    <t>NWC% revenue</t>
  </si>
  <si>
    <t>ND/EBITDA</t>
  </si>
  <si>
    <t>Maturity schedule</t>
  </si>
  <si>
    <t>LPR</t>
  </si>
  <si>
    <t>$ million</t>
  </si>
  <si>
    <t>Panama total</t>
  </si>
  <si>
    <t>Revenue (from LLA)</t>
  </si>
  <si>
    <t>CWC reported</t>
  </si>
  <si>
    <t>Total debt and finance lease obligations</t>
  </si>
  <si>
    <t>Long-term debt and finance lease obligations</t>
  </si>
  <si>
    <t>Current debt and finance lease obligations</t>
  </si>
  <si>
    <t>Interest expenses</t>
  </si>
  <si>
    <t>Sum</t>
  </si>
  <si>
    <t>Weight</t>
  </si>
  <si>
    <t>C&amp;W Notes</t>
  </si>
  <si>
    <t>C&amp;W CF</t>
  </si>
  <si>
    <t>Wireless Service revenue</t>
  </si>
  <si>
    <t>Wireless Subs</t>
  </si>
  <si>
    <t>Cash and CE</t>
  </si>
  <si>
    <t>Credit facilities</t>
  </si>
  <si>
    <t>Premiums, discounts etc</t>
  </si>
  <si>
    <t>Unused borrowing capacity</t>
  </si>
  <si>
    <t>LPR Senior Sec Notes</t>
  </si>
  <si>
    <t>LPR CF</t>
  </si>
  <si>
    <t>Interest coverage</t>
  </si>
  <si>
    <t>EV/EBITDA 2024e</t>
  </si>
  <si>
    <t>Debt schedule</t>
  </si>
  <si>
    <t>2025-28</t>
  </si>
  <si>
    <t>&gt;2028</t>
  </si>
  <si>
    <t>ClaroVTR (CLP bn)</t>
  </si>
  <si>
    <t>Puerto Rico, still expect TSA end 2023…timing on synergies?</t>
  </si>
  <si>
    <t>Panama - how much of synergies in Q2, how much of the $70m in 2023</t>
  </si>
  <si>
    <t>how quickly improve mobile performance</t>
  </si>
  <si>
    <t>Q2 23 call</t>
  </si>
  <si>
    <t>How to think about 50% equity stake going forward</t>
  </si>
  <si>
    <t>Prices - landed well, tempted for another push</t>
  </si>
  <si>
    <t>Increased costs</t>
  </si>
  <si>
    <t>EBITDA guide…?</t>
  </si>
  <si>
    <t>Mid to high single digit..lower end of this guide?</t>
  </si>
  <si>
    <t>Infer no more cash going into Chile from Liberty?</t>
  </si>
  <si>
    <t>Bought back more convert following Q2.</t>
  </si>
  <si>
    <t>Puerto Rico - lower handset subsidies</t>
  </si>
  <si>
    <t>Adj FCF</t>
  </si>
  <si>
    <t>significant promotions on mainland US toward end of 2022</t>
  </si>
  <si>
    <t>in H1, subsidy levels reduced…looked at results..plans in H2 will be a little different (subsidies likely up)</t>
  </si>
  <si>
    <t>in H1, mainland US subsidy levels lower</t>
  </si>
  <si>
    <t>try and be more nimble</t>
  </si>
  <si>
    <t>shifted to high-end plans, away from low-end</t>
  </si>
  <si>
    <t>Confirm no cash into Chile this quarter? Of the recent $600m funding round, assume nothing coming from Liberty</t>
  </si>
  <si>
    <t>Synergies in Panama</t>
  </si>
  <si>
    <t>55-60% of synergies</t>
  </si>
  <si>
    <t>$600m - Liberty did not put its share into it. Loan from AMX into VTR</t>
  </si>
  <si>
    <t>In next 1-2 years…will be more definitive on where things stand</t>
  </si>
  <si>
    <t>VC oppos</t>
  </si>
  <si>
    <t>Televisa one of the top in Mexico, anything there?</t>
  </si>
  <si>
    <t>SOFR</t>
  </si>
  <si>
    <t>pre mins</t>
  </si>
  <si>
    <t>after mins</t>
  </si>
  <si>
    <t>Q2 23 follow up</t>
  </si>
  <si>
    <t>Rev one offs</t>
  </si>
  <si>
    <t>Lower integration costs</t>
  </si>
  <si>
    <t>Q3 and Q4 will be a touch more challenging</t>
  </si>
  <si>
    <t>Pre migration starting, post migration in next few weeks</t>
  </si>
  <si>
    <t>Cannot configure the core for all phones out there</t>
  </si>
  <si>
    <t>low % but relevant</t>
  </si>
  <si>
    <t>Post-paid subs more an issue than pre-pay</t>
  </si>
  <si>
    <t>Some higher integration costs, also in Q4</t>
  </si>
  <si>
    <t>replacement costs</t>
  </si>
  <si>
    <t>TSA has different blocks</t>
  </si>
  <si>
    <t>Can come off gradually</t>
  </si>
  <si>
    <t>Some benefit in Q4, bulk out in Q1</t>
  </si>
  <si>
    <t>Not running the asset properly yet</t>
  </si>
  <si>
    <t>Cannot create bundles yet</t>
  </si>
  <si>
    <t>Rebranded yets…but some specific offers</t>
  </si>
  <si>
    <t>Some FMC, but not material</t>
  </si>
  <si>
    <t>Panama bulk of synergies this year…most to be realised this year</t>
  </si>
  <si>
    <t>$50m of opex synergy…some in H1</t>
  </si>
  <si>
    <t>$20m capex</t>
  </si>
  <si>
    <t>good amount is synergy</t>
  </si>
  <si>
    <t>More competitive fixed market</t>
  </si>
  <si>
    <t>Claro being a little more competitive…building out FTTH</t>
  </si>
  <si>
    <t>ISE (incumbent) is the most relevant party here</t>
  </si>
  <si>
    <t>minority change</t>
  </si>
  <si>
    <t>2036+</t>
  </si>
  <si>
    <t>CWC ($m)</t>
  </si>
  <si>
    <t>LCPR ($m)</t>
  </si>
  <si>
    <t>Accrued capex</t>
  </si>
  <si>
    <t>Accued capex</t>
  </si>
  <si>
    <t>PR integration</t>
  </si>
  <si>
    <t>noise in Q3 and Q4</t>
  </si>
  <si>
    <t>Group overall</t>
  </si>
  <si>
    <t>mid to high single digit EBITDA on track</t>
  </si>
  <si>
    <t>Investors a little light on Q4</t>
  </si>
  <si>
    <t>additional costs…some subs losses, spilling issues</t>
  </si>
  <si>
    <t>some revenue risk</t>
  </si>
  <si>
    <t>Corp / elims</t>
  </si>
  <si>
    <t>Pre Q3 23</t>
  </si>
  <si>
    <t>Panama synergies</t>
  </si>
  <si>
    <t>Puerto Rico opex..?</t>
  </si>
  <si>
    <t>Chile contribution</t>
  </si>
  <si>
    <t>what are the costs exactly?</t>
  </si>
  <si>
    <t>Why not included in integration costs?</t>
  </si>
  <si>
    <t xml:space="preserve">Opex </t>
  </si>
  <si>
    <t>Guidance cut?</t>
  </si>
  <si>
    <t>Earnings</t>
  </si>
  <si>
    <t>iPhone 15 subsidies</t>
  </si>
  <si>
    <t>handsets…how many non compatible..? Will this all be done by Q4?</t>
  </si>
  <si>
    <t>how much of the TSA have you exited?</t>
  </si>
  <si>
    <t>does any of this impact the synergy guide</t>
  </si>
  <si>
    <t>run integration costs into 2024?</t>
  </si>
  <si>
    <t>spectrum - how quickly close the gap on TMO? Specifically how manifesting?</t>
  </si>
  <si>
    <t>have you seen churn impacted?</t>
  </si>
  <si>
    <t>run rate for HQ</t>
  </si>
  <si>
    <t>Talk about ARPU pressure</t>
  </si>
  <si>
    <t>What's happened to churn?</t>
  </si>
  <si>
    <t>lost subs through transition?</t>
  </si>
  <si>
    <t>higher in Q3</t>
  </si>
  <si>
    <t>on the retail side - run through which areas?</t>
  </si>
  <si>
    <t>why is roaming down…what structural issues here?</t>
  </si>
  <si>
    <t>pre paid prices</t>
  </si>
  <si>
    <t>post paid adds</t>
  </si>
  <si>
    <t>CWC Caribbean mobile revs +6%</t>
  </si>
  <si>
    <t>what % of synergies?</t>
  </si>
  <si>
    <t>Sale of towers</t>
  </si>
  <si>
    <t>what multiple…what impact on EBITDA</t>
  </si>
  <si>
    <t>subsidies lower in H1</t>
  </si>
  <si>
    <t>225k customers over to new IP platform</t>
  </si>
  <si>
    <t>pre-paid and post-paid</t>
  </si>
  <si>
    <t>data quality, software incompatibility - solved/solution</t>
  </si>
  <si>
    <t>will be cost impact</t>
  </si>
  <si>
    <t>doubling of softare contracts</t>
  </si>
  <si>
    <t>personnel</t>
  </si>
  <si>
    <t>one time spend…april 2024</t>
  </si>
  <si>
    <t>opex levels in Q3 into Q4 and Q1 before falling away</t>
  </si>
  <si>
    <t>deal close, struggle until then</t>
  </si>
  <si>
    <t>attractive FCF multiple</t>
  </si>
  <si>
    <t>any more towers</t>
  </si>
  <si>
    <t>infrastructure more broadly</t>
  </si>
  <si>
    <t>costs at a higher level…</t>
  </si>
  <si>
    <t>anything changing outlook for $70m synergies</t>
  </si>
  <si>
    <t>45% of convert</t>
  </si>
  <si>
    <t>total costs weighing on EBITDA?</t>
  </si>
  <si>
    <t>$70m synergy reiterated…delayed by a couple of quarters</t>
  </si>
  <si>
    <t>Paying TSA, plus network/licences</t>
  </si>
  <si>
    <t>Migration</t>
  </si>
  <si>
    <t>bunch of handsets which can't software upgrade. Android. Pushes come from AT&amp;T, not from Samsung</t>
  </si>
  <si>
    <t>decided would be a poor customer experience</t>
  </si>
  <si>
    <t>decision to replace handsets which didn't budget for</t>
  </si>
  <si>
    <t>April</t>
  </si>
  <si>
    <t>TSA - couple of months after the close. Drops a lot but doesn't go to zero</t>
  </si>
  <si>
    <t>June will be completely off</t>
  </si>
  <si>
    <t>January</t>
  </si>
  <si>
    <t>Exclusively selling devices on own stack</t>
  </si>
  <si>
    <t>Nimble on promotions</t>
  </si>
  <si>
    <t>Restructured content costs to support EBITDA</t>
  </si>
  <si>
    <t>Roaming - has returned…cruise ships etc</t>
  </si>
  <si>
    <t xml:space="preserve">1% should be 3% underlying </t>
  </si>
  <si>
    <t>August / September - extend migration</t>
  </si>
  <si>
    <t>10,000 portings per day</t>
  </si>
  <si>
    <t>civil unrest…had to close some stores</t>
  </si>
  <si>
    <t>sales slowed a little, should recover</t>
  </si>
  <si>
    <t>$70m annualised…won't see full</t>
  </si>
  <si>
    <t>Panama synergies….a lot has been captured… $10m extra so far</t>
  </si>
  <si>
    <t>TMO went aggressive on subsidies…matched through to end of 2022</t>
  </si>
  <si>
    <t>slowed subsidies in H1…net adds flat/down…in H2 changes in exec team on product side</t>
  </si>
  <si>
    <t>iPhone 15 subsidies…plus non Apple devices. Will see post paid do better in 2024</t>
  </si>
  <si>
    <t>Pre paid promo - 4 lines, $20 each. Couldn't do this before</t>
  </si>
  <si>
    <t>mostly lost on pre-paid</t>
  </si>
  <si>
    <t>Boost transaction…more channels will come through</t>
  </si>
  <si>
    <t>returns on promos are good</t>
  </si>
  <si>
    <t>In 2024/25 - will be the attacker in PR</t>
  </si>
  <si>
    <t>Towers</t>
  </si>
  <si>
    <t>Everything is done</t>
  </si>
  <si>
    <t>Multiple…highly accretive</t>
  </si>
  <si>
    <t>EBITDA impact - not that significant</t>
  </si>
  <si>
    <t>mhz</t>
  </si>
  <si>
    <t>POPs</t>
  </si>
  <si>
    <t>always a small discount on auction</t>
  </si>
  <si>
    <t>LLA take over build obligations</t>
  </si>
  <si>
    <t>going to go head to head against TMO</t>
  </si>
  <si>
    <t>Q2 24e</t>
  </si>
  <si>
    <t>Q4 24e</t>
  </si>
  <si>
    <t>Q3 24e</t>
  </si>
  <si>
    <t>Net debt / EBITDA (annualised L2Q)</t>
  </si>
  <si>
    <t>Net debt 2024e</t>
  </si>
  <si>
    <t>Catch up payments possible through to Aug 1 2024</t>
  </si>
  <si>
    <t>CLP972.4 billion max capital through to Jun 30 2024</t>
  </si>
  <si>
    <t>Aug 1 2024, if &gt;50% then can appoint majority of board and take control</t>
  </si>
  <si>
    <t>AMX likely to consolidate from Q3 24</t>
  </si>
  <si>
    <t>Boxing Day agreement</t>
  </si>
  <si>
    <t>VTR derivative value estimate (est)</t>
  </si>
  <si>
    <t>Check: OpFCF</t>
  </si>
  <si>
    <t>2024e</t>
  </si>
  <si>
    <t>2025e</t>
  </si>
  <si>
    <t>2026e</t>
  </si>
  <si>
    <t>SHOUT, millions</t>
  </si>
  <si>
    <t>Cumulative dividend</t>
  </si>
  <si>
    <t>Less minorities dividend</t>
  </si>
  <si>
    <t>EBITDA split</t>
  </si>
  <si>
    <t>2016A</t>
  </si>
  <si>
    <t>Fixed Tel</t>
  </si>
  <si>
    <t>Revenues:</t>
  </si>
  <si>
    <t>Cable fixed service</t>
  </si>
  <si>
    <t>Total service</t>
  </si>
  <si>
    <t xml:space="preserve">Total  </t>
  </si>
  <si>
    <t>Programming % video revenues</t>
  </si>
  <si>
    <t>Franchise fees % revenues</t>
  </si>
  <si>
    <t>CWC Split</t>
  </si>
  <si>
    <t>Per share</t>
  </si>
  <si>
    <t>New spectrum is outside FCF</t>
  </si>
  <si>
    <t>Tower monetisation</t>
  </si>
  <si>
    <t>Completed…some taxes associated with that</t>
  </si>
  <si>
    <t>Sale and leaseback, 15/20</t>
  </si>
  <si>
    <t>Debt onto the balance sheet, paid off over time</t>
  </si>
  <si>
    <t>Cash also</t>
  </si>
  <si>
    <t>Mix of interest and capital repayment</t>
  </si>
  <si>
    <t>FCF $273m pre-minority</t>
  </si>
  <si>
    <t>$70m of synerges</t>
  </si>
  <si>
    <t>Other FCF moves</t>
  </si>
  <si>
    <t>Costs in Q1 and Q2… volatility</t>
  </si>
  <si>
    <t>Assuming some interest cost increase</t>
  </si>
  <si>
    <t>Mid to high single digit CAGR</t>
  </si>
  <si>
    <t>Interest costs</t>
  </si>
  <si>
    <t>PR once through the integration</t>
  </si>
  <si>
    <t>CWC refinanced first</t>
  </si>
  <si>
    <t>look at where it's trading, other comps in the market, what seen from banks</t>
  </si>
  <si>
    <t>6% WACC</t>
  </si>
  <si>
    <t>800k, vs 200k</t>
  </si>
  <si>
    <t>80% complete, 800k mobile subs migrated over</t>
  </si>
  <si>
    <t>majority outstanding are b2b</t>
  </si>
  <si>
    <t>subsidy piece?</t>
  </si>
  <si>
    <t>Talk through the FCF guide a little more?</t>
  </si>
  <si>
    <t>Sound like some higher final integration costs with AT&amp;T in 2024</t>
  </si>
  <si>
    <t>When exit the TSA?</t>
  </si>
  <si>
    <t>I think there are some tax implications from the tower monetisation</t>
  </si>
  <si>
    <t>EBITDA margins at 32%...might be more upside?</t>
  </si>
  <si>
    <t>Talk about the scope of the refinancing within the guide..?</t>
  </si>
  <si>
    <t>When is this incorporated</t>
  </si>
  <si>
    <t>How are you thinking about refi rates</t>
  </si>
  <si>
    <t>Run-rate synergies reached</t>
  </si>
  <si>
    <t>What's left to be done</t>
  </si>
  <si>
    <t>Final 200k subs, any complications here?</t>
  </si>
  <si>
    <t>Mobile service revs continue to be down 10% y/y…expect this to continue until later this year?</t>
  </si>
  <si>
    <t>29% EBITDA margin…how much integration expense is running though this</t>
  </si>
  <si>
    <t>i.e. can we think about taking x $m out, adding $70m of synergies</t>
  </si>
  <si>
    <t>Continue to take price increases</t>
  </si>
  <si>
    <t>Margin performance</t>
  </si>
  <si>
    <t>Any structural changes here?</t>
  </si>
  <si>
    <t>Perhaps some sense on cadence through the 3-year period</t>
  </si>
  <si>
    <t>Remove post of the copper by end-24</t>
  </si>
  <si>
    <t>100% of pre-paid done, most of post-paid in H1</t>
  </si>
  <si>
    <t>$70m, of which $20m in capex</t>
  </si>
  <si>
    <t>Challenging year and Q4</t>
  </si>
  <si>
    <t>ECF funding pulled by Dept of Ed. Headwinds continue in Q1</t>
  </si>
  <si>
    <t>Pre-paid offers…sales challenged though..need to focus on migration</t>
  </si>
  <si>
    <t>Boost from Dish in the coming years</t>
  </si>
  <si>
    <t>$273m in FY 23</t>
  </si>
  <si>
    <t>Mid to high single digit EBITDA</t>
  </si>
  <si>
    <t>What are the variables here..?</t>
  </si>
  <si>
    <t>How thinking about minority distributions</t>
  </si>
  <si>
    <t>Focus on redeeming converts</t>
  </si>
  <si>
    <t>Buy partcicularly at current levels</t>
  </si>
  <si>
    <t>To 3.5x in the coming years</t>
  </si>
  <si>
    <t>Inorganic opportunities</t>
  </si>
  <si>
    <t>Evaluating opportunities</t>
  </si>
  <si>
    <t xml:space="preserve">Q1 </t>
  </si>
  <si>
    <t>Toughest quarter to date</t>
  </si>
  <si>
    <t>Mentioned a few numbers…</t>
  </si>
  <si>
    <t>incompatible handsets in Q1, heavy set of integration costs also, as per Q4…feb, mar, apr</t>
  </si>
  <si>
    <t>the most compressed oibda</t>
  </si>
  <si>
    <t xml:space="preserve">tsa will wind off, ratcheting down </t>
  </si>
  <si>
    <t>90m tsa in last year, down 75% in 2024. from june</t>
  </si>
  <si>
    <t>pre tower transaction…some taxes. ~$45m in 2024</t>
  </si>
  <si>
    <t>vendor financing and debt stack.. Pay back vendor financing at 4.5%</t>
  </si>
  <si>
    <t>24 the low as build into '25/'26</t>
  </si>
  <si>
    <t>financing assumptios</t>
  </si>
  <si>
    <t>27-29 - refi / terming out some of the debt</t>
  </si>
  <si>
    <t>prudent</t>
  </si>
  <si>
    <t>Competitive dynamics</t>
  </si>
  <si>
    <t>TMUS extremely aggressive on subsidies</t>
  </si>
  <si>
    <t>Retail / call centres - focus on the migration. Come out of migration in latter half of April, will be aggressive again the mobile</t>
  </si>
  <si>
    <t>PR is local and have full FMC adv over TMUR</t>
  </si>
  <si>
    <t>Not happening with local government</t>
  </si>
  <si>
    <t>Large enterprises more room</t>
  </si>
  <si>
    <t>Q1 24</t>
  </si>
  <si>
    <t>January sales coming in well, cautiously optimistic</t>
  </si>
  <si>
    <t>Want to get through migration</t>
  </si>
  <si>
    <t>close to or better than budget</t>
  </si>
  <si>
    <t>Liberty Networks</t>
  </si>
  <si>
    <t>IRUs, non cash revenue come through, which is lumpy</t>
  </si>
  <si>
    <t>Hyperscalers…some would have booked in Q4. NRR (non recurring revenue)</t>
  </si>
  <si>
    <t>Trying to move to MRR</t>
  </si>
  <si>
    <t>For 2024</t>
  </si>
  <si>
    <t>1/ Migrating to longer-term cash generating revenue</t>
  </si>
  <si>
    <t>2/ New routes buildig out - see a lot of opportuntity. Demand for traffic higher than ever</t>
  </si>
  <si>
    <t>new drops for hyperscalers</t>
  </si>
  <si>
    <t>8% growth in the MRR</t>
  </si>
  <si>
    <t>this is underlying</t>
  </si>
  <si>
    <t>had a large collection in Q4 22…but in 2023 collected through the year</t>
  </si>
  <si>
    <t>large customer in venezuela</t>
  </si>
  <si>
    <t>drops in colombia, panama, into miami/US</t>
  </si>
  <si>
    <t>Quite optimistic about &gt;$1 billion</t>
  </si>
  <si>
    <t>2024 FCF</t>
  </si>
  <si>
    <t>$45m taxes due tower monetisation, on the transaction</t>
  </si>
  <si>
    <t>3x 2023a FCF</t>
  </si>
  <si>
    <t>Higher capex</t>
  </si>
  <si>
    <t>Incremental EBITDA @ 5% CAGR</t>
  </si>
  <si>
    <t>Tax from tower sale</t>
  </si>
  <si>
    <t>2023-2026 cumulative FCF</t>
  </si>
  <si>
    <t>Incremental EBITDA @ 8% CAGR</t>
  </si>
  <si>
    <t xml:space="preserve">$100m </t>
  </si>
  <si>
    <t>$55m - pay vendor financing back</t>
  </si>
  <si>
    <t>It is more in Panama</t>
  </si>
  <si>
    <t>Cash in</t>
  </si>
  <si>
    <t>Debt on BS</t>
  </si>
  <si>
    <t>Pay interest on debt</t>
  </si>
  <si>
    <t>Own 50% of this…would be cash leakage</t>
  </si>
  <si>
    <t>With tower monetisation</t>
  </si>
  <si>
    <t>Repaid Panama vendor financing</t>
  </si>
  <si>
    <t>$40m of capex</t>
  </si>
  <si>
    <t>$25m opex</t>
  </si>
  <si>
    <t>opex, same again..?</t>
  </si>
  <si>
    <t>$45m of EBITDA per month</t>
  </si>
  <si>
    <t>At some point…</t>
  </si>
  <si>
    <t>PR run-rate of $45m / month target</t>
  </si>
  <si>
    <t>currently $35m</t>
  </si>
  <si>
    <t>guide</t>
  </si>
  <si>
    <t>mid to high</t>
  </si>
  <si>
    <t>Call with Chris Noyes - 8 March 2024</t>
  </si>
  <si>
    <t>Cash out</t>
  </si>
  <si>
    <t xml:space="preserve">DISH spectrum </t>
  </si>
  <si>
    <t>annual</t>
  </si>
  <si>
    <t>Selling towers</t>
  </si>
  <si>
    <t>net proceed… how much for deleverage</t>
  </si>
  <si>
    <t>Timing of cash outs for DISH</t>
  </si>
  <si>
    <t>$407m  cash in , is the size of the MLA on the BS?</t>
  </si>
  <si>
    <t>Average cost of net debt</t>
  </si>
  <si>
    <t>ARPU of pre-paid</t>
  </si>
  <si>
    <t>thoughts here</t>
  </si>
  <si>
    <t>Dom Republic - Altice a seller?</t>
  </si>
  <si>
    <t>FY 23</t>
  </si>
  <si>
    <t>FY 24</t>
  </si>
  <si>
    <t>Puerto Rico - small down EBITDA</t>
  </si>
  <si>
    <t>Cash in from towers pay back vendor financing</t>
  </si>
  <si>
    <t>Unlikely to refi much this year</t>
  </si>
  <si>
    <t>Tough H1, better H2</t>
  </si>
  <si>
    <t>booked 600m in FY 23… similar</t>
  </si>
  <si>
    <t xml:space="preserve">Anything re taxes.. </t>
  </si>
  <si>
    <t>Interest charges similar</t>
  </si>
  <si>
    <t>80% of migration done…when get to 100%?</t>
  </si>
  <si>
    <t>$90m in 2023</t>
  </si>
  <si>
    <t>down 75% in 2024</t>
  </si>
  <si>
    <t>for FY 24..?</t>
  </si>
  <si>
    <t>TSA done by June</t>
  </si>
  <si>
    <t>Talked about $45m of EBITDA for PR run rate</t>
  </si>
  <si>
    <t>540m annualised</t>
  </si>
  <si>
    <t>plus this for 2025..?</t>
  </si>
  <si>
    <t>How thinking about speed to restore competitive positioning in market on wireless?</t>
  </si>
  <si>
    <t>up y/y</t>
  </si>
  <si>
    <t>what's happening here</t>
  </si>
  <si>
    <t>delta on price increases…which markets</t>
  </si>
  <si>
    <t xml:space="preserve">margins </t>
  </si>
  <si>
    <t>synergies fully in numbers -low 305s margin. Cwc running low 40%s, route to getting there</t>
  </si>
  <si>
    <t>2 player market…anything on no.3 op/licence?</t>
  </si>
  <si>
    <t>Impact on net debt, any net deleveraging</t>
  </si>
  <si>
    <t>2025-</t>
  </si>
  <si>
    <t>Refi from when</t>
  </si>
  <si>
    <t>What's top / what's bottom of guide?</t>
  </si>
  <si>
    <t>How much more to run here</t>
  </si>
  <si>
    <t>What seeing from Digicel?</t>
  </si>
  <si>
    <t>these all need subsidies?</t>
  </si>
  <si>
    <t>double digit in '23…continue motoring into FY 24</t>
  </si>
  <si>
    <t>3% ex loss of transit</t>
  </si>
  <si>
    <t>pricing, multi year run</t>
  </si>
  <si>
    <t>post paid mobile</t>
  </si>
  <si>
    <t>EBITDA expansion…</t>
  </si>
  <si>
    <t>margin expansion expect</t>
  </si>
  <si>
    <t>Low single digit</t>
  </si>
  <si>
    <t>Much better H2</t>
  </si>
  <si>
    <t>Growth compressed in front end</t>
  </si>
  <si>
    <t>Decent amount of cost out in H2 24…and into '25</t>
  </si>
  <si>
    <t>Weighted down with integration and TSA mid Summer</t>
  </si>
  <si>
    <t>Should chip forward</t>
  </si>
  <si>
    <t>Mobile expansion, fixed share gains, q/q</t>
  </si>
  <si>
    <t>Management change in the last month…better attacker . Not in A/B customer segment</t>
  </si>
  <si>
    <t>Subscription businesses</t>
  </si>
  <si>
    <t>Consistent</t>
  </si>
  <si>
    <t>LatAm not the best place post pandemic</t>
  </si>
  <si>
    <t>Some better tourism</t>
  </si>
  <si>
    <t>Mediocre economics</t>
  </si>
  <si>
    <t>Before partner distributions</t>
  </si>
  <si>
    <t>Tower transaction</t>
  </si>
  <si>
    <t>Sold towers in 6 markets, closed on 5</t>
  </si>
  <si>
    <t>taxes to pay in '24 - $45m</t>
  </si>
  <si>
    <t>Proceeds into Panama</t>
  </si>
  <si>
    <t>$90m… could dividend it out and pay down leverage</t>
  </si>
  <si>
    <t>4.25% term loan for a handful of years</t>
  </si>
  <si>
    <t>vendor financing being rolled at 8-9% level</t>
  </si>
  <si>
    <t>report FCF but a one off event</t>
  </si>
  <si>
    <t>Tower deal</t>
  </si>
  <si>
    <t>Cost - a debt instrument running through cash flow</t>
  </si>
  <si>
    <t xml:space="preserve">Interest income… but convertible bond deal </t>
  </si>
  <si>
    <t>notice where stock trades…</t>
  </si>
  <si>
    <t>Cash received</t>
  </si>
  <si>
    <t>$244m for the 5 markets</t>
  </si>
  <si>
    <t>Another $70m for Bahamas</t>
  </si>
  <si>
    <t>Cash in = debt equivalent</t>
  </si>
  <si>
    <t>any rethinking here?</t>
  </si>
  <si>
    <t>200 bps</t>
  </si>
  <si>
    <t>WACD extra</t>
  </si>
  <si>
    <t>doesn’t impact where will be from EBITDA / credit perspective</t>
  </si>
  <si>
    <t>Focus on debt / EBITDA</t>
  </si>
  <si>
    <t>target mid 3.0x…low to mid 4.0x</t>
  </si>
  <si>
    <t>Option to match partner (AMX) through to August 2024</t>
  </si>
  <si>
    <t>Invs to date in the form of convertible note</t>
  </si>
  <si>
    <t>Footprint good today</t>
  </si>
  <si>
    <t>Not a ton of infill, market level</t>
  </si>
  <si>
    <t>Interested in infra side, B2B across the footprint</t>
  </si>
  <si>
    <t>EBITDA less capex % margin, limtied tax leakage</t>
  </si>
  <si>
    <t>Would trade at a higher multiple</t>
  </si>
  <si>
    <t>A $ into Networks would likely be more value accretive</t>
  </si>
  <si>
    <t xml:space="preserve">Invs… </t>
  </si>
  <si>
    <t>$ FCF. Fuels a lot of</t>
  </si>
  <si>
    <t>Cost side</t>
  </si>
  <si>
    <t>COGS…a lot around roaming, equipment, programming</t>
  </si>
  <si>
    <t>Continue to tighten this, drops through</t>
  </si>
  <si>
    <t>Good discipline on opex, even with inflation. Taken some heads out</t>
  </si>
  <si>
    <t>There's more things to do</t>
  </si>
  <si>
    <t>some transformation - 1 / digitised, still a lot of manualised functionr</t>
  </si>
  <si>
    <t>close to being done with copper, overbuilding with fibre</t>
  </si>
  <si>
    <t>expensive to maintain, a little copper and you need the infra</t>
  </si>
  <si>
    <t>shut it down</t>
  </si>
  <si>
    <t>a lot of variable cost</t>
  </si>
  <si>
    <t>Where share has been attacked, where have pockets have copper</t>
  </si>
  <si>
    <t>Self install - looking at euro example</t>
  </si>
  <si>
    <t>No major reorgs yet…seen what others are done</t>
  </si>
  <si>
    <t>Sales channels</t>
  </si>
  <si>
    <t>door to door v expensive</t>
  </si>
  <si>
    <t>Mainly a duopoly</t>
  </si>
  <si>
    <t>If Digicel raise…then CWC follow</t>
  </si>
  <si>
    <t>Haven’t seen too much in churn</t>
  </si>
  <si>
    <t>haven't raised previously for a couple of years</t>
  </si>
  <si>
    <t>5% +/- it's not a big number</t>
  </si>
  <si>
    <t>Pre-paid in pockets</t>
  </si>
  <si>
    <t>B2B / Government</t>
  </si>
  <si>
    <t>Not all the synergies through yet…should have a pretty good comp</t>
  </si>
  <si>
    <t>Margins at low 30%s….less capex, mid-teens. No doubt this should be in the 20%s…EBITDA margin pick up should come</t>
  </si>
  <si>
    <t>Growth on the fixed side</t>
  </si>
  <si>
    <t>Momentum on integration…&gt;80%</t>
  </si>
  <si>
    <t>End of April done and fully on the stack</t>
  </si>
  <si>
    <t>Cost will be quick to drop out..</t>
  </si>
  <si>
    <t>$7-8m per month</t>
  </si>
  <si>
    <t>Some services will run through…couple of months</t>
  </si>
  <si>
    <t>End April - within Q2…should be more aggressive in selling</t>
  </si>
  <si>
    <t>Last 2-3 months, Q4 also - sales channels tied up with migrations</t>
  </si>
  <si>
    <t>Will be able to move quickly</t>
  </si>
  <si>
    <t>Tested on the pre-paid side</t>
  </si>
  <si>
    <t>Reinvigorating, bundling</t>
  </si>
  <si>
    <t>Q3 / Q4 - big push on post-paid</t>
  </si>
  <si>
    <t>Not happy with where the share price sits</t>
  </si>
  <si>
    <t>Evaluate buy back</t>
  </si>
  <si>
    <t>Q1 to Q2 - story comes a lot clearer</t>
  </si>
  <si>
    <t>3 year FCF as &gt;$1 billion to anchor onto this</t>
  </si>
  <si>
    <t>Be a little more active on the investor side</t>
  </si>
  <si>
    <t>$45m of EBITDA / Q in PR in H2</t>
  </si>
  <si>
    <t>About 6 months behind schedule…had hoped 2024 would be the year</t>
  </si>
  <si>
    <t>HQ losses / other</t>
  </si>
  <si>
    <t>Cumulative 24-26e</t>
  </si>
  <si>
    <t xml:space="preserve"> of which fixed broadband</t>
  </si>
  <si>
    <t>Fixed broadband revs</t>
  </si>
  <si>
    <t>as % PR</t>
  </si>
  <si>
    <t>as % Group</t>
  </si>
  <si>
    <t>Net debt*</t>
  </si>
  <si>
    <t>Group, $ per share</t>
  </si>
  <si>
    <t>acquired 0.5m C shares</t>
  </si>
  <si>
    <t>https://d18rn0p25nwr6d.cloudfront.net/CIK-0001712184/48f4f5ac-9214-4c39-9ac6-1e1492c219c6.pdf</t>
  </si>
  <si>
    <t>CWC (Liberty LA)</t>
  </si>
  <si>
    <t>TIGO*</t>
  </si>
  <si>
    <t xml:space="preserve">Others </t>
  </si>
  <si>
    <t>Kolbi (ICE)</t>
  </si>
  <si>
    <t>% split</t>
  </si>
  <si>
    <t>COSTA RICA</t>
  </si>
  <si>
    <t>* Unique subs only disclosed - assumes 80% are BB</t>
  </si>
  <si>
    <t>Fixed res</t>
  </si>
  <si>
    <t>Non susbcription</t>
  </si>
  <si>
    <t>USD / CRC</t>
  </si>
  <si>
    <t>CRC m</t>
  </si>
  <si>
    <t>Jun</t>
  </si>
  <si>
    <t>Mar</t>
  </si>
  <si>
    <t>Dec</t>
  </si>
  <si>
    <t>3m</t>
  </si>
  <si>
    <t>EBITDA y/y</t>
  </si>
  <si>
    <t>y/y (FXN)</t>
  </si>
  <si>
    <t>25 mult</t>
  </si>
  <si>
    <t>Integration related expense</t>
  </si>
  <si>
    <t>$18m i.e. ongoing TSA or additional?</t>
  </si>
  <si>
    <t>migration, integration</t>
  </si>
  <si>
    <t>inventory</t>
  </si>
  <si>
    <t>&gt;1000</t>
  </si>
  <si>
    <t>Talk through how to get to $45m</t>
  </si>
  <si>
    <t>How to move beyond this?</t>
  </si>
  <si>
    <t>TSA will half in Q2</t>
  </si>
  <si>
    <t>&lt;$1m / quarter in H2</t>
  </si>
  <si>
    <t>Headcount reduction</t>
  </si>
  <si>
    <t>Confident on delivery</t>
  </si>
  <si>
    <t>Leverage to decrease in H2</t>
  </si>
  <si>
    <t>Changes to Panama</t>
  </si>
  <si>
    <t>Digicel benefits, grabbed some share</t>
  </si>
  <si>
    <t>Loss of pre-pay… trying to push pre-pay to post-paid</t>
  </si>
  <si>
    <t>Affordable Conn Program, ACP</t>
  </si>
  <si>
    <t>LILA 600k ACP in total, LILA has &lt;100k</t>
  </si>
  <si>
    <t>In mobile, &lt;5k</t>
  </si>
  <si>
    <t>90% have opted in to stay with them</t>
  </si>
  <si>
    <t>ECF</t>
  </si>
  <si>
    <t>mobile plan, Dept of Edu subsidy</t>
  </si>
  <si>
    <t>Students, schools - free modems</t>
  </si>
  <si>
    <t xml:space="preserve">Very low </t>
  </si>
  <si>
    <t>Price increase</t>
  </si>
  <si>
    <t>Straight to bottom line</t>
  </si>
  <si>
    <t>Need to grow mobile…seeing some green shoots</t>
  </si>
  <si>
    <t>April numbers looking much better on pre-paid, already</t>
  </si>
  <si>
    <t>Paused a lot of sales in Q1</t>
  </si>
  <si>
    <t>No real change in assumptions over forecast period</t>
  </si>
  <si>
    <t>27-29</t>
  </si>
  <si>
    <t>Most likely start with CWC in the next 12 months</t>
  </si>
  <si>
    <t>In the market, several times</t>
  </si>
  <si>
    <t>Great momentum in CWC over time</t>
  </si>
  <si>
    <t>A little after CWC, wait for better metrics to come through</t>
  </si>
  <si>
    <t>$45m in August</t>
  </si>
  <si>
    <t>10% headcount</t>
  </si>
  <si>
    <t>300 people</t>
  </si>
  <si>
    <t>CWC Term loan floating Oct 29 SOFR +3%</t>
  </si>
  <si>
    <t>CWC Term loan floating Jan 28 SOFR +2.25%</t>
  </si>
  <si>
    <t>CWC Term loan Jan 2028 4.25%</t>
  </si>
  <si>
    <t>PR Term loan floating (9.29%)</t>
  </si>
  <si>
    <t>PR 6.75% senior secured Oct 27</t>
  </si>
  <si>
    <t>PR 5.125% senior secured Jul 29</t>
  </si>
  <si>
    <t>Costa Rica 10.875% 2031</t>
  </si>
  <si>
    <t>Tower financing</t>
  </si>
  <si>
    <t>Refi PR</t>
  </si>
  <si>
    <t>Refi Other</t>
  </si>
  <si>
    <t>Refi CWC 1</t>
  </si>
  <si>
    <t>Refi CWC 2</t>
  </si>
  <si>
    <t>Refinance rate / schedule</t>
  </si>
  <si>
    <t>Cost of borrowing 6% … how do you get to this?</t>
  </si>
  <si>
    <t>Assume start CWC this year?</t>
  </si>
  <si>
    <t>Other cash flow items</t>
  </si>
  <si>
    <t>Does higher share price increase stock comp expense?</t>
  </si>
  <si>
    <t>6-8% of EBITDA</t>
  </si>
  <si>
    <t>$5 to $2</t>
  </si>
  <si>
    <t>Data plans</t>
  </si>
  <si>
    <t>Expect some pricing</t>
  </si>
  <si>
    <t>SAC will come in Q2</t>
  </si>
  <si>
    <t xml:space="preserve">GS </t>
  </si>
  <si>
    <t>Debt conference</t>
  </si>
  <si>
    <t>Q1 EBITDA</t>
  </si>
  <si>
    <t>Headcount</t>
  </si>
  <si>
    <t>Other cost</t>
  </si>
  <si>
    <t>Price lift</t>
  </si>
  <si>
    <t>Targeted EBITDA</t>
  </si>
  <si>
    <t>Inventory one-off</t>
  </si>
  <si>
    <t>Integration/migration one-off</t>
  </si>
  <si>
    <t xml:space="preserve">TSA </t>
  </si>
  <si>
    <t>Revenue (volume)</t>
  </si>
  <si>
    <t>Monthly</t>
  </si>
  <si>
    <t>july</t>
  </si>
  <si>
    <t>aug</t>
  </si>
  <si>
    <t>sept</t>
  </si>
  <si>
    <t>Cash from Operations</t>
  </si>
  <si>
    <t>Working capital / other</t>
  </si>
  <si>
    <t>2024-26</t>
  </si>
  <si>
    <t>before minorities</t>
  </si>
  <si>
    <t>Guide</t>
  </si>
  <si>
    <t>&gt;1,000</t>
  </si>
  <si>
    <t>Capex PPE</t>
  </si>
  <si>
    <t>FCF after minorities</t>
  </si>
  <si>
    <t>24-26</t>
  </si>
  <si>
    <t>NEW, USD million</t>
  </si>
  <si>
    <t>Cumulative</t>
  </si>
  <si>
    <t>EFCF yield at $8.5</t>
  </si>
  <si>
    <t>Liberty FCF definition</t>
  </si>
  <si>
    <t>After mins, adj for stock comp</t>
  </si>
  <si>
    <t>Market Cap, USD m</t>
  </si>
  <si>
    <t xml:space="preserve"> - Puerto Rico</t>
  </si>
  <si>
    <t xml:space="preserve"> - CWC</t>
  </si>
  <si>
    <t>BB penetration</t>
  </si>
  <si>
    <t>Assumed HH</t>
  </si>
  <si>
    <t xml:space="preserve">LBTY FCF def </t>
  </si>
  <si>
    <t>LBTY pre minorities (new guidance definition)</t>
  </si>
  <si>
    <t>equity</t>
  </si>
  <si>
    <t>debt</t>
  </si>
  <si>
    <t>ev</t>
  </si>
  <si>
    <t>ev/ebitda</t>
  </si>
  <si>
    <t xml:space="preserve">Revs </t>
  </si>
  <si>
    <t>Op income</t>
  </si>
  <si>
    <t>Restructuing</t>
  </si>
  <si>
    <t>LT</t>
  </si>
  <si>
    <t>Share based comp</t>
  </si>
  <si>
    <t>Claro IFRS 16 (est)</t>
  </si>
  <si>
    <t>5G auction</t>
  </si>
  <si>
    <t>Standalone OpFCF</t>
  </si>
  <si>
    <t>VTR cash</t>
  </si>
  <si>
    <t xml:space="preserve">Claro debt </t>
  </si>
  <si>
    <t>less intercompany</t>
  </si>
  <si>
    <t>VTR debt (inc intercompany loan)</t>
  </si>
  <si>
    <t>Claro cash (inc equity contribution from AMX)</t>
  </si>
  <si>
    <t>Total JV debt</t>
  </si>
  <si>
    <t>Total JV cash + deriv</t>
  </si>
  <si>
    <t>Standalone EBITDA (pre synergies)</t>
  </si>
  <si>
    <t>Standalone Capex (pre synergies)</t>
  </si>
  <si>
    <t>WOM (pre-Chapter 11 assumptions)</t>
  </si>
  <si>
    <t>FCF yield (LILA definition)</t>
  </si>
  <si>
    <t>FCF yield (after minorities)</t>
  </si>
  <si>
    <t>FCF yield (after mins, stock comp adj)</t>
  </si>
  <si>
    <t>Q2 24</t>
  </si>
  <si>
    <t>Stable internet. Fixed revs flat</t>
  </si>
  <si>
    <t>April migration</t>
  </si>
  <si>
    <t>ECF funding gone from schools, 39k losses, 74k losses last year</t>
  </si>
  <si>
    <t>ARPU is 50% of average across base for these subs</t>
  </si>
  <si>
    <t>lower ARPU due to retention offers, inc for ATP base</t>
  </si>
  <si>
    <t>Had expected better in Q2</t>
  </si>
  <si>
    <t>full synergies Q3/4</t>
  </si>
  <si>
    <t>&gt;$45m per month in H2, now toward YE</t>
  </si>
  <si>
    <t>Aim to stabilise and grow share</t>
  </si>
  <si>
    <t>Pre-paid target</t>
  </si>
  <si>
    <t>Challenges</t>
  </si>
  <si>
    <t>Post paid and pre paid losses</t>
  </si>
  <si>
    <t>some adds in prepaid toward the end of Q2</t>
  </si>
  <si>
    <t>Market share around 20%</t>
  </si>
  <si>
    <t>FMC pen 25%</t>
  </si>
  <si>
    <t>Dish spectrum / Boost in Q3</t>
  </si>
  <si>
    <t>Complex, re mapping and billing. Moving legacy AT&amp;T plans. Through the worst</t>
  </si>
  <si>
    <t>Mostly exited the TSA, now minimal costs</t>
  </si>
  <si>
    <t>Write off $12m of bad debt</t>
  </si>
  <si>
    <t>Excited about return to growth oppo</t>
  </si>
  <si>
    <t>Solid fixed…challenging competitive fixed</t>
  </si>
  <si>
    <t>drove Millicom transaction</t>
  </si>
  <si>
    <t>Deal</t>
  </si>
  <si>
    <t>Fixed market improve….details?</t>
  </si>
  <si>
    <t>Significant footprint overlap</t>
  </si>
  <si>
    <t>3 FTTH networks in the country</t>
  </si>
  <si>
    <t>HRS clearance, exp FCC clearance in Q3</t>
  </si>
  <si>
    <t>$99m, 3 annual future payments</t>
  </si>
  <si>
    <t>100 MHz of spectrum, 110k Boost subs</t>
  </si>
  <si>
    <t>Hurricanes</t>
  </si>
  <si>
    <t>strengthen 5G</t>
  </si>
  <si>
    <t>In Q2 numbers (i.e. EBITDA impacted)</t>
  </si>
  <si>
    <t>$3m integration costs</t>
  </si>
  <si>
    <t>$4m inventory</t>
  </si>
  <si>
    <t>$9m of TSA costs in Q2, drop off in Q3, almost done by Q4</t>
  </si>
  <si>
    <t>Savings to come</t>
  </si>
  <si>
    <t>$44m expected in Q3</t>
  </si>
  <si>
    <t>Dramatic gain of share from Digicel</t>
  </si>
  <si>
    <t>how much $ revs added?</t>
  </si>
  <si>
    <t>Impacted in Q3</t>
  </si>
  <si>
    <t>cash impact should be covered</t>
  </si>
  <si>
    <t>12m shares, 6% of LLA at these levels</t>
  </si>
  <si>
    <t>6m derivs transaction</t>
  </si>
  <si>
    <t>option to buy in H2</t>
  </si>
  <si>
    <t>PR ACP discounts</t>
  </si>
  <si>
    <t>EBITDA drivers in PR</t>
  </si>
  <si>
    <t>85,000 subs in fixed, 3k in mobile</t>
  </si>
  <si>
    <t>kept &gt;90%</t>
  </si>
  <si>
    <t>subsidy was $30, lla was $14/15</t>
  </si>
  <si>
    <t>ECF for mobile</t>
  </si>
  <si>
    <t>dongle for customers, low ARPU. This disconnect was the main driver</t>
  </si>
  <si>
    <t>cost take out</t>
  </si>
  <si>
    <t>300 headcount…done</t>
  </si>
  <si>
    <t>plus, a number of line items including COGS and opex</t>
  </si>
  <si>
    <t>launching new campaigns</t>
  </si>
  <si>
    <t>some acquisition cost, opex - but will drive revs, and bottom line into Q4</t>
  </si>
  <si>
    <t>arpu discount of ~4%</t>
  </si>
  <si>
    <t>some downgrade now subsidy done</t>
  </si>
  <si>
    <t>Seeing traction on top line</t>
  </si>
  <si>
    <t>$25m * 12</t>
  </si>
  <si>
    <t>$540m for PR for 2025?</t>
  </si>
  <si>
    <t xml:space="preserve">End-25, should be above $45m </t>
  </si>
  <si>
    <t>2025 to show revs growth?</t>
  </si>
  <si>
    <t>Yes will be positive. It's a given</t>
  </si>
  <si>
    <t>5 segments</t>
  </si>
  <si>
    <t>CWC Caribbean - rebulding platform, infra and product base, eliminated almost all copper (done by early 25). Duopoly market</t>
  </si>
  <si>
    <t>price increases also</t>
  </si>
  <si>
    <t>rebuilt also, quite extensively. Strong growth this year</t>
  </si>
  <si>
    <t>revs and margin expansion in the business</t>
  </si>
  <si>
    <t>almost all fibre, some new HFC, 5G also</t>
  </si>
  <si>
    <t>bulding fibre rapidly. HFC also v strong</t>
  </si>
  <si>
    <t>doing well in mobile and fixed already</t>
  </si>
  <si>
    <t>plus deal</t>
  </si>
  <si>
    <t>subsea cable</t>
  </si>
  <si>
    <t>moving to subscription model…Q2 washing out some old IRUs (have collected cash)</t>
  </si>
  <si>
    <t>mostly MRR (monthly recurring revs)</t>
  </si>
  <si>
    <t>Enterprise is double digit revs</t>
  </si>
  <si>
    <t>subsea has some new routes</t>
  </si>
  <si>
    <t>Q3 rebuild, relaunch, new IT</t>
  </si>
  <si>
    <t>harvest beginnings in Q4</t>
  </si>
  <si>
    <t>2025 will be good numbers, and easier comps</t>
  </si>
  <si>
    <t>Level 4 data centre activity</t>
  </si>
  <si>
    <t>Micro ones for customers in certain markets</t>
  </si>
  <si>
    <t>3 areas which could be an oppo</t>
  </si>
  <si>
    <t>fibre into Cancun, Quintera, data centre biz has been growing, connectivity into that</t>
  </si>
  <si>
    <t>intel building plants here</t>
  </si>
  <si>
    <t>need contracts with large hyperscalers to add capital</t>
  </si>
  <si>
    <t>Good biz into Venezuela for subsea, paid in USD</t>
  </si>
  <si>
    <t xml:space="preserve">Could be a good market </t>
  </si>
  <si>
    <t>Ray</t>
  </si>
  <si>
    <t>connecting hyperscale centres</t>
  </si>
  <si>
    <t>new network announced to do with providing for hyperscalers</t>
  </si>
  <si>
    <t>no plans to build data centres for the hyperscalers</t>
  </si>
  <si>
    <t>Hurricane Beryl</t>
  </si>
  <si>
    <t>3 ops - Grenada, St Vincents, Jamaica</t>
  </si>
  <si>
    <t>Power outages the big issues, Jamaica - off-line. Only 7 towers damaged in Jam</t>
  </si>
  <si>
    <t>PTI is responsible for rebuilding towers</t>
  </si>
  <si>
    <t>Some network to rebuilt</t>
  </si>
  <si>
    <t>170 km of backbone will be built underground</t>
  </si>
  <si>
    <t>Some smaller islands damaged quite significantly</t>
  </si>
  <si>
    <t>using fixed wireless access cost efficiently</t>
  </si>
  <si>
    <t>Hit early this year</t>
  </si>
  <si>
    <t>Some credits going back to customers</t>
  </si>
  <si>
    <t>capped call option</t>
  </si>
  <si>
    <t>bought stock in June</t>
  </si>
  <si>
    <t>Brendan Paddock</t>
  </si>
  <si>
    <t>Main impact</t>
  </si>
  <si>
    <t>EBITDA - $10-20m</t>
  </si>
  <si>
    <t>Revs, partly opex and capex</t>
  </si>
  <si>
    <t>$44m of proceeds in, almost all</t>
  </si>
  <si>
    <t>Neutral for FCF</t>
  </si>
  <si>
    <t>Capex - $10-20m</t>
  </si>
  <si>
    <t>Have a number…6 in total, one in Curacao also</t>
  </si>
  <si>
    <t>Stock went up, contracts with Meta - to build connectivity links</t>
  </si>
  <si>
    <t>Embedded networks</t>
  </si>
  <si>
    <t>bad debt</t>
  </si>
  <si>
    <t>tsa</t>
  </si>
  <si>
    <t>inv</t>
  </si>
  <si>
    <t>integ costs</t>
  </si>
  <si>
    <t>opex</t>
  </si>
  <si>
    <t>current</t>
  </si>
  <si>
    <t>Call with Chris Noyes</t>
  </si>
  <si>
    <t>AMX / Claro</t>
  </si>
  <si>
    <t>BB revs up 19.4%</t>
  </si>
  <si>
    <t>EBITDA per month</t>
  </si>
  <si>
    <t>T-Mobile PR</t>
  </si>
  <si>
    <t>What is the write off for $10 million</t>
  </si>
  <si>
    <t>Wireless share is 20%... where move to?</t>
  </si>
  <si>
    <t>post paid</t>
  </si>
  <si>
    <t>pre paid</t>
  </si>
  <si>
    <t>what fixed share</t>
  </si>
  <si>
    <t>still very strong FTTH competition</t>
  </si>
  <si>
    <t>Combo</t>
  </si>
  <si>
    <t>Implied TIGO</t>
  </si>
  <si>
    <t>Lease costs</t>
  </si>
  <si>
    <t>OpEx / capex</t>
  </si>
  <si>
    <t>10% saving</t>
  </si>
  <si>
    <t>fcf</t>
  </si>
  <si>
    <t>LILA share</t>
  </si>
  <si>
    <t>LILA upside</t>
  </si>
  <si>
    <t>Mobile service revs / subs</t>
  </si>
  <si>
    <t>Rep ARPU</t>
  </si>
  <si>
    <t>calc as % rep</t>
  </si>
  <si>
    <t>gap between rep and calc is widening?</t>
  </si>
  <si>
    <t>$30 vs $40</t>
  </si>
  <si>
    <t>25% lower</t>
  </si>
  <si>
    <t>how fund this?</t>
  </si>
  <si>
    <t>local liquidity sources, including cash on hand, cash generated from operations, cash generated from asset sales, and/or revolving credit facilities.</t>
  </si>
  <si>
    <t>at the time:</t>
  </si>
  <si>
    <t>$60m in cash end-Q2</t>
  </si>
  <si>
    <t>how comfortable drawing on RCF</t>
  </si>
  <si>
    <t>dividends from parent / CWC?</t>
  </si>
  <si>
    <t>$90m from Claro / Panama?</t>
  </si>
  <si>
    <t>similar here?</t>
  </si>
  <si>
    <t>Cabletica 2018</t>
  </si>
  <si>
    <t>Tef Movistar 2020 (Millicom pulled out)</t>
  </si>
  <si>
    <t>Buying stock</t>
  </si>
  <si>
    <t>Through H1, $300m in equity/linked is very healthy</t>
  </si>
  <si>
    <t>July convert $140m - liquidity</t>
  </si>
  <si>
    <t>Didn't want low stock price to pass by…call options…? Not liquid to do anything in size</t>
  </si>
  <si>
    <t>mid to late 2000s, cap call buy back</t>
  </si>
  <si>
    <t>deferring payment, 12-18m out</t>
  </si>
  <si>
    <t>lock in 6m shares at an attractive strike</t>
  </si>
  <si>
    <t>lower than where we are today</t>
  </si>
  <si>
    <t>to offset the cost, sold some calls at the lower end</t>
  </si>
  <si>
    <t>$14.6m</t>
  </si>
  <si>
    <t>cash at $9, 1.6m shares</t>
  </si>
  <si>
    <t>leverage on the repurchase</t>
  </si>
  <si>
    <t xml:space="preserve">Buy back underlying…? </t>
  </si>
  <si>
    <t>opportunistic</t>
  </si>
  <si>
    <t>Not much cash in H1, H2 tends to be far better</t>
  </si>
  <si>
    <t>Cash used to fund DISH</t>
  </si>
  <si>
    <t>CWC - average borrow cost</t>
  </si>
  <si>
    <t>5.4% today, moving to 8%</t>
  </si>
  <si>
    <t>Aug 19 2024</t>
  </si>
  <si>
    <t>Been building out homes</t>
  </si>
  <si>
    <t>Competitive market</t>
  </si>
  <si>
    <t>Wireless is larger</t>
  </si>
  <si>
    <t>Couple of turns difference on EBITDA</t>
  </si>
  <si>
    <t>Pricing in CWC</t>
  </si>
  <si>
    <t>Panama pricing - scrapped to get subs</t>
  </si>
  <si>
    <t>pre paid duration / days</t>
  </si>
  <si>
    <t>Costa Rica / PR - will remain tough</t>
  </si>
  <si>
    <t>Jamaica also</t>
  </si>
  <si>
    <t>Done it before, been fine - Panama</t>
  </si>
  <si>
    <t>Buying a business, get assets and customers, but didn't get back end</t>
  </si>
  <si>
    <t>Completely new platform</t>
  </si>
  <si>
    <t>no subs</t>
  </si>
  <si>
    <t>move everyone across</t>
  </si>
  <si>
    <t>process is arduous, missteps</t>
  </si>
  <si>
    <t>Billing problem</t>
  </si>
  <si>
    <t>friction</t>
  </si>
  <si>
    <t>AT&amp;T been around a long time, a lot of legacy noise</t>
  </si>
  <si>
    <t>mapping the complexity far more challening</t>
  </si>
  <si>
    <t>Pretty much through that</t>
  </si>
  <si>
    <t>Direct impact - unhappy customers, didn't collect</t>
  </si>
  <si>
    <t>Had to hold back on promotions, commercial initiatives</t>
  </si>
  <si>
    <t>Not about adding 100k subs</t>
  </si>
  <si>
    <t>Not saying quite where coming from</t>
  </si>
  <si>
    <t>$10-20m EBITDA impact</t>
  </si>
  <si>
    <t>Credit on revs, costs EBITDA</t>
  </si>
  <si>
    <t>Q3</t>
  </si>
  <si>
    <t>Insurance money is in</t>
  </si>
  <si>
    <t>Lower capex</t>
  </si>
  <si>
    <t>Funding</t>
  </si>
  <si>
    <t xml:space="preserve">ACP </t>
  </si>
  <si>
    <t>Across the US</t>
  </si>
  <si>
    <t>Fixed product, ~80,000 fixed customers, inc BB</t>
  </si>
  <si>
    <t>signed them onto lower rates</t>
  </si>
  <si>
    <t>some price increases though offset</t>
  </si>
  <si>
    <t>ACP - potentially churn in Q3</t>
  </si>
  <si>
    <t>lower rates might churn</t>
  </si>
  <si>
    <t>Subsidies for school, dongles</t>
  </si>
  <si>
    <t>Mobile impact</t>
  </si>
  <si>
    <t>74,000 lost</t>
  </si>
  <si>
    <t>lower ARPU</t>
  </si>
  <si>
    <t xml:space="preserve">Some FCC as other revs… .this continues </t>
  </si>
  <si>
    <t>single digit $ millions</t>
  </si>
  <si>
    <t>FCC / UCP - General funding</t>
  </si>
  <si>
    <t>Emergency Connectivity fund</t>
  </si>
  <si>
    <t>Affordable Connectivity Program (ACP)</t>
  </si>
  <si>
    <t>FCC program</t>
  </si>
  <si>
    <t>per month</t>
  </si>
  <si>
    <t xml:space="preserve">Refinancing </t>
  </si>
  <si>
    <t>CWC closed yesterday</t>
  </si>
  <si>
    <t>Pre-marketing last week</t>
  </si>
  <si>
    <t>7.25-7.5% for $500m previously</t>
  </si>
  <si>
    <t>Book was $4 billion</t>
  </si>
  <si>
    <t>$1 billion</t>
  </si>
  <si>
    <t>CWC 2027 senior (unsecured)</t>
  </si>
  <si>
    <t>re-launched brand</t>
  </si>
  <si>
    <t>launched converged offer - Loop (not a brand)</t>
  </si>
  <si>
    <t>Claro has something…</t>
  </si>
  <si>
    <t>Loop incentives include handsets</t>
  </si>
  <si>
    <t>Equity guys buy into the recovery</t>
  </si>
  <si>
    <t>Debt guys more conservative</t>
  </si>
  <si>
    <t>haircut numbers more</t>
  </si>
  <si>
    <t>Fidelity have come in, in size</t>
  </si>
  <si>
    <t>August Patrio</t>
  </si>
  <si>
    <t>Q1 and into Q2</t>
  </si>
  <si>
    <t>Nothing TMUS</t>
  </si>
  <si>
    <t>Spectrum available</t>
  </si>
  <si>
    <t>Payable over 4 years</t>
  </si>
  <si>
    <t>&gt;110,000 subs</t>
  </si>
  <si>
    <t>Some more ACP - subsidised govt plans</t>
  </si>
  <si>
    <t>85,000 on close</t>
  </si>
  <si>
    <t>$20-30</t>
  </si>
  <si>
    <t>Day 1 - MVNO, negative EBITDA. Some tech adjustments needed</t>
  </si>
  <si>
    <t>Not expected this year</t>
  </si>
  <si>
    <t>Q3 - up toward $100m</t>
  </si>
  <si>
    <t>So low $30's</t>
  </si>
  <si>
    <t>$28m should drop out</t>
  </si>
  <si>
    <t>Some residual issues</t>
  </si>
  <si>
    <t>Were done in August</t>
  </si>
  <si>
    <t>Still lingering a little through Q3</t>
  </si>
  <si>
    <t>CBRS</t>
  </si>
  <si>
    <t>WCS</t>
  </si>
  <si>
    <t>Pay</t>
  </si>
  <si>
    <t>Launched Loop</t>
  </si>
  <si>
    <t>Aggressive on handset subsidies</t>
  </si>
  <si>
    <t>Sales momentum in September</t>
  </si>
  <si>
    <t>$45m - not reiterating, not formally backing away</t>
  </si>
  <si>
    <t>not 3x45</t>
  </si>
  <si>
    <t>there's a bit of ambition, some commercial success</t>
  </si>
  <si>
    <t>bit of everything</t>
  </si>
  <si>
    <t>churn - focus also</t>
  </si>
  <si>
    <t>gross adds have been improving - this is key, daily sales? Yes, better here</t>
  </si>
  <si>
    <t>Through all the noise?</t>
  </si>
  <si>
    <t>Not all adds about subsidies</t>
  </si>
  <si>
    <t>Structured such that extra sales, extra EBITDA, smoothed over life of contract</t>
  </si>
  <si>
    <t>portion upfront, rest is spread, service revs netted</t>
  </si>
  <si>
    <t>Also, some subsidies on post-paid</t>
  </si>
  <si>
    <t>iphone 16 also…good upgrade stats</t>
  </si>
  <si>
    <t>$71m in Q2</t>
  </si>
  <si>
    <t>$99m in Q3 (+28)</t>
  </si>
  <si>
    <t>Some top line weakness perhaps dragging</t>
  </si>
  <si>
    <t>subs lost through Q2…full impact in Q3</t>
  </si>
  <si>
    <t>$95-100 EBITDA for Q3</t>
  </si>
  <si>
    <t>Issues are behind them</t>
  </si>
  <si>
    <t>Launch in August in line with new target</t>
  </si>
  <si>
    <t>Q1 average</t>
  </si>
  <si>
    <t>Q2 average</t>
  </si>
  <si>
    <t>NWC as % revenue</t>
  </si>
  <si>
    <t>LCPR SUMMARY</t>
  </si>
  <si>
    <t>Q1 25e</t>
  </si>
  <si>
    <t>Q2 25e</t>
  </si>
  <si>
    <t>Q3 25e</t>
  </si>
  <si>
    <t>Q4 25e</t>
  </si>
  <si>
    <t>Average gross debt</t>
  </si>
  <si>
    <t>Acquisitions (inc spectrum)</t>
  </si>
  <si>
    <t>Underlying EBITDA (ex-synergies, int)</t>
  </si>
  <si>
    <t>3QFY-2024</t>
  </si>
  <si>
    <t>4QFY-2024</t>
  </si>
  <si>
    <t>CRCm</t>
  </si>
  <si>
    <t>Subs rev</t>
  </si>
  <si>
    <t>Non-sub rev</t>
  </si>
  <si>
    <t>Residential mobile</t>
  </si>
  <si>
    <t>Service rev</t>
  </si>
  <si>
    <t>IC, equipt etc</t>
  </si>
  <si>
    <t>B2B rev</t>
  </si>
  <si>
    <t>Total rev</t>
  </si>
  <si>
    <t>CRP bn</t>
  </si>
  <si>
    <t>Fixed subs</t>
  </si>
  <si>
    <t>Avg rev / Resi RGU</t>
  </si>
  <si>
    <t>Non-subs rev YoY</t>
  </si>
  <si>
    <t>Prepaid net adds</t>
  </si>
  <si>
    <t>Postpaid net adds</t>
  </si>
  <si>
    <t>IC, equipt etc YoY</t>
  </si>
  <si>
    <t>B2B YoY</t>
  </si>
  <si>
    <t>MOBILE</t>
  </si>
  <si>
    <t>Fixed KPIs</t>
  </si>
  <si>
    <t>OLD PF COSTA RICA</t>
  </si>
  <si>
    <t>Current debt and fin lease oblig</t>
  </si>
  <si>
    <t>Long-term debt and fin lease oblig</t>
  </si>
  <si>
    <t>Total debt and fin lease oblig</t>
  </si>
  <si>
    <t>2031 LCR TL A</t>
  </si>
  <si>
    <t>Payout ratio</t>
  </si>
  <si>
    <t>OLD cable</t>
  </si>
  <si>
    <t>OLD mobile</t>
  </si>
  <si>
    <t>Liberty CR</t>
  </si>
  <si>
    <t>Millicom CR</t>
  </si>
  <si>
    <t>Fixed (Home) Customer relationships</t>
  </si>
  <si>
    <t>Year-on-year local currency growth</t>
  </si>
  <si>
    <t>Year-on-year growth</t>
  </si>
  <si>
    <t>Customer net adds</t>
  </si>
  <si>
    <t>Non SR rev</t>
  </si>
  <si>
    <t>Capex to sales</t>
  </si>
  <si>
    <t>Capex (NSRe)</t>
  </si>
  <si>
    <t>Gross debt ($m)</t>
  </si>
  <si>
    <t>FX used</t>
  </si>
  <si>
    <t>LLA+Millicom CR</t>
  </si>
  <si>
    <t>LLA CR</t>
  </si>
  <si>
    <t>Total OpEx</t>
  </si>
  <si>
    <t>Total Capex</t>
  </si>
  <si>
    <t>PF opex/capex</t>
  </si>
  <si>
    <t>Savings %</t>
  </si>
  <si>
    <t>Opex synergies</t>
  </si>
  <si>
    <t>Capex synergies</t>
  </si>
  <si>
    <t>Synergies DCF</t>
  </si>
  <si>
    <t>Terminal multiple</t>
  </si>
  <si>
    <t>PV of term value</t>
  </si>
  <si>
    <t>NPV synergies</t>
  </si>
  <si>
    <t>In $ mn</t>
  </si>
  <si>
    <t>Per LLA share</t>
  </si>
  <si>
    <t>Bband subs</t>
  </si>
  <si>
    <t>Liberty CR ($m)</t>
  </si>
  <si>
    <t>% to LLA</t>
  </si>
  <si>
    <t>Liberty CR (CRCbn)</t>
  </si>
  <si>
    <t>Q3 24</t>
  </si>
  <si>
    <t>CWC had $10-15m of losses within it?</t>
  </si>
  <si>
    <t>Peru - who funded?</t>
  </si>
  <si>
    <t>plan for asset</t>
  </si>
  <si>
    <t>200,000 FTTH by YE - 15%</t>
  </si>
  <si>
    <t>Migration of 20,000 post-paid</t>
  </si>
  <si>
    <t>Some pre-paid success</t>
  </si>
  <si>
    <t>Will cut costs</t>
  </si>
  <si>
    <t>Investments needed in 2025</t>
  </si>
  <si>
    <t>EBITDA recovery</t>
  </si>
  <si>
    <t>Future expansion</t>
  </si>
  <si>
    <t>$70-80m Movistar when acquired</t>
  </si>
  <si>
    <t>Wow</t>
  </si>
  <si>
    <t>15% share nationally, 25% outside Lima</t>
  </si>
  <si>
    <t>Q4 strongest FCF</t>
  </si>
  <si>
    <t>Handset receivables fin</t>
  </si>
  <si>
    <t>Handset financing</t>
  </si>
  <si>
    <t>Handet financing</t>
  </si>
  <si>
    <t>Handset liability</t>
  </si>
  <si>
    <t>Handsets</t>
  </si>
  <si>
    <t>Plus: handset financing</t>
  </si>
  <si>
    <t>AY</t>
  </si>
  <si>
    <t>Integation costs</t>
  </si>
  <si>
    <t xml:space="preserve">Costa Rica </t>
  </si>
  <si>
    <t>Equity into Puerto Rico</t>
  </si>
  <si>
    <t>cost cutting, working hard on revenue line</t>
  </si>
  <si>
    <t>Q3 - handset securitsation</t>
  </si>
  <si>
    <t>can manage working cap better</t>
  </si>
  <si>
    <t>3 years</t>
  </si>
  <si>
    <t>total equity in is $100m, partners also</t>
  </si>
  <si>
    <t>fast build.. Working with interesting technologies</t>
  </si>
  <si>
    <t>targeting outside of Lima</t>
  </si>
  <si>
    <t>less comp, less investment in these areas</t>
  </si>
  <si>
    <t xml:space="preserve">Acquisitions driven by convergence </t>
  </si>
  <si>
    <t>Loop</t>
  </si>
  <si>
    <t>high speed BB and 5G also</t>
  </si>
  <si>
    <t>PR, CR, Panama and Caymen</t>
  </si>
  <si>
    <t>Judicious about where invs are made</t>
  </si>
  <si>
    <t>Leader in mobile in PR and CR</t>
  </si>
  <si>
    <t>some markets are 4G</t>
  </si>
  <si>
    <t>Across the Caribbean</t>
  </si>
  <si>
    <t>~25% convergence</t>
  </si>
  <si>
    <t>Adapt per country</t>
  </si>
  <si>
    <t>Recovery</t>
  </si>
  <si>
    <t>In addition to some synergies, another round of cost cutting</t>
  </si>
  <si>
    <t>anything not growth related…identified some already</t>
  </si>
  <si>
    <t>Need to more than just cost, need growth</t>
  </si>
  <si>
    <t>selling at pre-22 level</t>
  </si>
  <si>
    <t>Focus on sales in '25, will show up in '26</t>
  </si>
  <si>
    <t>Looking at a lot of non-mobile B2B</t>
  </si>
  <si>
    <t>$200m, will grow a lot more</t>
  </si>
  <si>
    <t>Fixed business - steady as she goes</t>
  </si>
  <si>
    <t>Echostar</t>
  </si>
  <si>
    <t>transition OK here</t>
  </si>
  <si>
    <t>1/ have a mobile network, didn't have one with AT&amp;T</t>
  </si>
  <si>
    <t>2/ have an IT stack now for mobile. Only had fixed before</t>
  </si>
  <si>
    <t>3/ post-paid migrations not an issue</t>
  </si>
  <si>
    <t>handset migration?</t>
  </si>
  <si>
    <t>High seventies exposure</t>
  </si>
  <si>
    <t>President Elect - weaker $ is the goal</t>
  </si>
  <si>
    <t>Hihg tariffs will not be helpful, from Asia in particular</t>
  </si>
  <si>
    <t>Jamaica and Costa Rica float</t>
  </si>
  <si>
    <t>Hedge where mismatch</t>
  </si>
  <si>
    <t>Some subscriber quality issues picked up in Q3</t>
  </si>
  <si>
    <t>3m HPs with fibre</t>
  </si>
  <si>
    <t>internet pen of 40%</t>
  </si>
  <si>
    <t>15% share nationally, 25% outside of Peru</t>
  </si>
  <si>
    <t>POPs median age of 34</t>
  </si>
  <si>
    <t>latam fibre provider of the year 2024</t>
  </si>
  <si>
    <t>lost most</t>
  </si>
  <si>
    <t>6k lost from ACP churn</t>
  </si>
  <si>
    <t>added to 4k lost in Q3</t>
  </si>
  <si>
    <t>would have had net positive adds</t>
  </si>
  <si>
    <t>targeting 200k FTTH HPs</t>
  </si>
  <si>
    <t>20,000 migration related lines</t>
  </si>
  <si>
    <t>PR opex</t>
  </si>
  <si>
    <t>monthly</t>
  </si>
  <si>
    <t>target Q</t>
  </si>
  <si>
    <t>target m</t>
  </si>
  <si>
    <t>one offs Q</t>
  </si>
  <si>
    <t>gap</t>
  </si>
  <si>
    <t>TSA/int</t>
  </si>
  <si>
    <t>lost 30,000 subs (20k restatement)</t>
  </si>
  <si>
    <t>missing element</t>
  </si>
  <si>
    <t>B2B bad debt expense</t>
  </si>
  <si>
    <t>Peru fibre</t>
  </si>
  <si>
    <t>Acquisitions / DISH</t>
  </si>
  <si>
    <t>Acquisitions / CR</t>
  </si>
  <si>
    <t>Spectrum (DISH)</t>
  </si>
  <si>
    <t>sales didn't improve as much as expected</t>
  </si>
  <si>
    <t>mobile was flat sequentially</t>
  </si>
  <si>
    <t>Some incentives to prevent Claro poaching</t>
  </si>
  <si>
    <t>Post paid was the needle mover</t>
  </si>
  <si>
    <t>migration issues</t>
  </si>
  <si>
    <t>no billing issues, or service issues</t>
  </si>
  <si>
    <t>"customer sentiment around the migration"</t>
  </si>
  <si>
    <t>Post-paid mobile</t>
  </si>
  <si>
    <t>Adding now</t>
  </si>
  <si>
    <t>Not adding on a net basis now</t>
  </si>
  <si>
    <t>Gross is high</t>
  </si>
  <si>
    <t>Churn is staying high</t>
  </si>
  <si>
    <t>this is the issue</t>
  </si>
  <si>
    <t>Have ideas, but not communicating yet</t>
  </si>
  <si>
    <t>Nothing structural that the company can see</t>
  </si>
  <si>
    <t>12 through to 36 month contracts</t>
  </si>
  <si>
    <t>Driving improved sales</t>
  </si>
  <si>
    <t>Q4 should sequentially improve</t>
  </si>
  <si>
    <t>to some extent</t>
  </si>
  <si>
    <t>Likely to invest more, subsidies etc</t>
  </si>
  <si>
    <t>Costs in PR</t>
  </si>
  <si>
    <t>Building improving NPS</t>
  </si>
  <si>
    <t>Buy-out balance of 8.5% in Costa Rica</t>
  </si>
  <si>
    <t>Q4 24</t>
  </si>
  <si>
    <t>EV/HP</t>
  </si>
  <si>
    <t>stake %</t>
  </si>
  <si>
    <t>Former AT&amp;T</t>
  </si>
  <si>
    <t>Old Fixed parameter</t>
  </si>
  <si>
    <t>* includes DISH payments</t>
  </si>
  <si>
    <t>Other (inc handset receivables)</t>
  </si>
  <si>
    <t>Peru fibre (45%)</t>
  </si>
  <si>
    <t>2027e</t>
  </si>
  <si>
    <t>24-27e CAGR</t>
  </si>
  <si>
    <t>2025 net debt</t>
  </si>
  <si>
    <t>2025 debt</t>
  </si>
  <si>
    <t>Chris Hoare</t>
  </si>
  <si>
    <t>+44 20 7375 9130</t>
  </si>
  <si>
    <t>chris@newstreetresearch.com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</si>
</sst>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6">
    <numFmt numFmtId="6" formatCode="&quot;£&quot;#,##0;[Red]\-&quot;£&quot;#,##0"/>
    <numFmt numFmtId="8" formatCode="&quot;£&quot;#,##0.00;[Red]\-&quot;£&quot;#,##0.00"/>
    <numFmt numFmtId="42" formatCode="_-&quot;£&quot;* #,##0_-;\-&quot;£&quot;* #,##0_-;_-&quot;£&quot;* &quot;-&quot;_-;_-@_-"/>
    <numFmt numFmtId="41" formatCode="_-* #,##0_-;\-* #,##0_-;_-* &quot;-&quot;_-;_-@_-"/>
    <numFmt numFmtId="43" formatCode="_-* #,##0.00_-;\-* #,##0.00_-;_-* &quot;-&quot;??_-;_-@_-"/>
    <numFmt numFmtId="164" formatCode="&quot;$&quot;#,##0;[Red]\-&quot;$&quot;#,##0"/>
    <numFmt numFmtId="165" formatCode="&quot;$&quot;#,##0.00;\-&quot;$&quot;#,##0.00"/>
    <numFmt numFmtId="166" formatCode="&quot;$&quot;#,##0.00;[Red]\-&quot;$&quot;#,##0.00"/>
    <numFmt numFmtId="167" formatCode="0.0%"/>
    <numFmt numFmtId="168" formatCode="_-* #,##0_-;\-* #,##0_-;_-* &quot;-&quot;??_-;_-@_-"/>
    <numFmt numFmtId="169" formatCode="_-* #,##0.0_-;\-* #,##0.0_-;_-* &quot;-&quot;??_-;_-@_-"/>
    <numFmt numFmtId="170" formatCode="_-* #,##0_-;\-* #,##0_-;_-* &quot;-&quot;?_-;_-@_-"/>
    <numFmt numFmtId="171" formatCode="#,##0;\(#,##0\)"/>
    <numFmt numFmtId="172" formatCode="0.0"/>
    <numFmt numFmtId="173" formatCode="#,##0.0"/>
    <numFmt numFmtId="174" formatCode="0.000000000000000%"/>
    <numFmt numFmtId="175" formatCode="#,##0.0;\(#,##0.0\)"/>
    <numFmt numFmtId="176" formatCode="#,##0.00000"/>
    <numFmt numFmtId="177" formatCode="#,##0.0000000000"/>
    <numFmt numFmtId="178" formatCode="\€#,##0.00;\(\€#,##0.00\)"/>
    <numFmt numFmtId="179" formatCode="#,##0.0\X;\(#,##0.0\X\)"/>
    <numFmt numFmtId="180" formatCode="0.000%"/>
    <numFmt numFmtId="181" formatCode="[$€-1809]#,##0.0"/>
    <numFmt numFmtId="182" formatCode="0.0\X"/>
    <numFmt numFmtId="183" formatCode="0\X"/>
    <numFmt numFmtId="184" formatCode="0.0\x"/>
    <numFmt numFmtId="185" formatCode="0.000"/>
    <numFmt numFmtId="186" formatCode="#,##0.00;\(#,##0.00\)"/>
    <numFmt numFmtId="187" formatCode="_(* #,##0.0_);_(* \(#,##0.0\);_(* &quot;-&quot;??_);_(@_)"/>
    <numFmt numFmtId="188" formatCode="&quot;$&quot;* #,##0_);[Red]&quot;$&quot;* \(#,##0\)"/>
    <numFmt numFmtId="189" formatCode="&quot;Revised&quot;\ m/d/yy\ h:mm"/>
    <numFmt numFmtId="190" formatCode="0_)%;\(0\)%"/>
    <numFmt numFmtId="191" formatCode="_(&quot;$&quot;* #,##0.0_);_(&quot;$&quot;* \(#,##0.0\);_(&quot;$&quot;* &quot;-  &quot;_);_(@_)"/>
    <numFmt numFmtId="192" formatCode="0.0_)\%;\(0.0\)\%;0.0_)\%;@_)_%"/>
    <numFmt numFmtId="193" formatCode="#,##0.0_)_%;\(#,##0.0\)_%;0.0_)_%;@_)_%"/>
    <numFmt numFmtId="194" formatCode="#,##0.0_);\(#,##0.0\);#,##0.0_);@_)"/>
    <numFmt numFmtId="195" formatCode="#,##0.00\ ;\(#,##0.00\)\ ;\ "/>
    <numFmt numFmtId="196" formatCode="#,##0.0_);\(#,##0.0\)"/>
    <numFmt numFmtId="197" formatCode="&quot;£&quot;_(#,##0.00_);&quot;£&quot;\(#,##0.00\);&quot;£&quot;_(0.00_);@_)"/>
    <numFmt numFmtId="198" formatCode="0.0_)"/>
    <numFmt numFmtId="199" formatCode="&quot;$&quot;_(#,##0.00_);&quot;$&quot;\(#,##0.00\);&quot;$&quot;_(0.00_);@_)"/>
    <numFmt numFmtId="200" formatCode="#,##0.0;\-#,##0.0"/>
    <numFmt numFmtId="201" formatCode="###0;\-###0"/>
    <numFmt numFmtId="202" formatCode="#,##0.00_);\(#,##0.00\);0.00_);@_)"/>
    <numFmt numFmtId="203" formatCode="\€_(#,##0.00_);\€\(#,##0.00\);\€_(0.00_);@_)"/>
    <numFmt numFmtId="204" formatCode="0_)"/>
    <numFmt numFmtId="205" formatCode="#,##0_)\x;\(#,##0\)\x;0_)\x;@_)_x"/>
    <numFmt numFmtId="206" formatCode="#,##0\ ;\(#,##0\)\ ;\ "/>
    <numFmt numFmtId="207" formatCode="dd\-mm\-yy"/>
    <numFmt numFmtId="208" formatCode="0&quot;%&quot;"/>
    <numFmt numFmtId="209" formatCode="0.00_)"/>
    <numFmt numFmtId="210" formatCode="#,##0_)_x;\(#,##0\)_x;0_)_x;@_)_x"/>
    <numFmt numFmtId="211" formatCode="#,##0.0\x"/>
    <numFmt numFmtId="212" formatCode="#,##0\ ;\(#,##0\)"/>
    <numFmt numFmtId="213" formatCode="#,##0.0,;\(#,##0.0,\)"/>
    <numFmt numFmtId="214" formatCode="0.0%;\(#.#%\)"/>
    <numFmt numFmtId="215" formatCode="mm/dd/yy"/>
    <numFmt numFmtId="216" formatCode="#,##0,;\(#,##0\)\,"/>
    <numFmt numFmtId="217" formatCode="#,##0.0_);[Red]\(#,##0.0\)"/>
    <numFmt numFmtId="218" formatCode="#,##0.000"/>
    <numFmt numFmtId="219" formatCode="&quot;$&quot;#,##0.0_);[Red]\(&quot;$&quot;#,##0.0\)"/>
    <numFmt numFmtId="220" formatCode="#\ ##0.00"/>
    <numFmt numFmtId="221" formatCode="0.0%;\(0.0\)%"/>
    <numFmt numFmtId="222" formatCode="#,##0.000_);\(#,##0.000\)"/>
    <numFmt numFmtId="223" formatCode="_(&quot;$&quot;* #,##0.00_);_(&quot;$&quot;* \(#,##0.00\);_(&quot;$&quot;* &quot;-&quot;??_);_(@_)"/>
    <numFmt numFmtId="224" formatCode="_(&quot;$&quot;* #,##0_);_(&quot;$&quot;* \(#,##0\);_(&quot;$&quot;* &quot;-&quot;_);_(@_)"/>
    <numFmt numFmtId="225" formatCode="0\A"/>
    <numFmt numFmtId="226" formatCode="0_);\(0\)"/>
    <numFmt numFmtId="227" formatCode="0&quot;E&quot;;\(0\)&quot;E&quot;"/>
    <numFmt numFmtId="228" formatCode="_(* #,##0.00_);_(* \(#,##0.00\);_(* &quot;-&quot;??_);_(@_)"/>
    <numFmt numFmtId="229" formatCode="#,##0;\-#,##0;&quot;-&quot;"/>
    <numFmt numFmtId="230" formatCode="#,##0.00;\-#,##0.00;&quot;-&quot;"/>
    <numFmt numFmtId="231" formatCode="#,##0%;\-#,##0%;&quot;- &quot;"/>
    <numFmt numFmtId="232" formatCode="#,##0.0%;\-#,##0.0%;&quot;- &quot;"/>
    <numFmt numFmtId="233" formatCode="#,##0.00%;\-#,##0.00%;&quot;- &quot;"/>
    <numFmt numFmtId="234" formatCode="#,##0.0;\-#,##0.0;&quot;-&quot;"/>
    <numFmt numFmtId="235" formatCode="###0"/>
    <numFmt numFmtId="236" formatCode="#,##0.00_);[Red]\-#,##0.00_);0.00_);@_)"/>
    <numFmt numFmtId="237" formatCode="_(&quot;$&quot;* #,##0.0000_);_(&quot;$&quot;* \(#,##0.0000\);_(&quot;$&quot;* &quot;-&quot;??_);_(@_)"/>
    <numFmt numFmtId="238" formatCode="0.00%\ ;\(0.00%\)"/>
    <numFmt numFmtId="239" formatCode="#,##0_%_);\(#,##0\)_%;#,##0_%_);@_%_)"/>
    <numFmt numFmtId="240" formatCode="#,##0.00_%_);\(#,##0.00\)_%;#,##0.00_%_);@_%_)"/>
    <numFmt numFmtId="241" formatCode="_-* #,##0.00\ _E_U_R_-;\-* #,##0.00\ _E_U_R_-;_-* &quot;-&quot;??\ _E_U_R_-;_-@_-"/>
    <numFmt numFmtId="242" formatCode="_-\€* #,##0.00_-;\-\€* #,##0.00_-;_-\€* &quot;-&quot;??_-;_-@_-"/>
    <numFmt numFmtId="243" formatCode="* _(#,##0.00_);[Red]* \(#,##0.00\);* _(&quot;-&quot;?_);@_)"/>
    <numFmt numFmtId="244" formatCode="_-\€* #,##0_-;\-\€* #,##0_-;_-\€* &quot;-&quot;_-;_-@_-"/>
    <numFmt numFmtId="245" formatCode="&quot;$&quot;#,##0.00_);\(&quot;$&quot;#,##0.00\)"/>
    <numFmt numFmtId="246" formatCode="&quot;$&quot;#,##0_%_);\(&quot;$&quot;#,##0\)_%;&quot;$&quot;#,##0_%_);@_%_)"/>
    <numFmt numFmtId="247" formatCode="&quot;$&quot;#,##0.00_%_);\(&quot;$&quot;#,##0.00\)_%;&quot;$&quot;#,##0.00_%_);@_%_)"/>
    <numFmt numFmtId="248" formatCode="\$\ * _(#,##0_);[Red]\$\ * \(#,##0\);\$\ * _(&quot;-&quot;?_);@_)"/>
    <numFmt numFmtId="249" formatCode="\$\ * _(#,##0.00_);[Red]\$\ * \(#,##0.00\);\$\ * _(&quot;-&quot;?_);@_)"/>
    <numFmt numFmtId="250" formatCode="[$EUR]\ * _(#,##0_);[Red][$EUR]\ * \(#,##0\);[$EUR]\ * _(&quot;-&quot;?_);@_)"/>
    <numFmt numFmtId="251" formatCode="[$EUR]\ * _(#,##0.00_);[Red][$EUR]\ * \(#,##0.00\);[$EUR]\ * _(&quot;-&quot;?_);@_)"/>
    <numFmt numFmtId="252" formatCode="\€\ * _(#,##0_);[Red]\€\ * \(#,##0\);\€\ * _(&quot;-&quot;?_);@_)"/>
    <numFmt numFmtId="253" formatCode="\€\ * _(#,##0.00_);[Red]\€\ * \(#,##0.00\);\€\ * _(&quot;-&quot;?_);@_)"/>
    <numFmt numFmtId="254" formatCode="[$GBP]\ * _(#,##0_);[Red][$GBP]\ * \(#,##0\);[$GBP]\ * _(&quot;-&quot;?_);@_)"/>
    <numFmt numFmtId="255" formatCode="[$GBP]\ * _(#,##0.00_);[Red][$GBP]\ * \(#,##0.00\);[$GBP]\ * _(&quot;-&quot;?_);@_)"/>
    <numFmt numFmtId="256" formatCode="\£\ * _(#,##0_);[Red]\£\ * \(#,##0\);\£\ * _(&quot;-&quot;?_);@_)"/>
    <numFmt numFmtId="257" formatCode="\£\ * _(#,##0.00_);[Red]\£\ * \(#,##0.00\);\£\ * _(&quot;-&quot;?_);@_)"/>
    <numFmt numFmtId="258" formatCode="[$USD]\ * _(#,##0_);[Red][$USD]\ * \(#,##0\);[$USD]\ * _(&quot;-&quot;?_);@_)"/>
    <numFmt numFmtId="259" formatCode="[$USD]\ * _(#,##0.00_);[Red][$USD]\ * \(#,##0.00\);[$USD]\ * _(&quot;-&quot;?_);@_)"/>
    <numFmt numFmtId="260" formatCode="&quot;$&quot;#,##0.0_);\(&quot;$&quot;#,##0.0\)"/>
    <numFmt numFmtId="261" formatCode="mmm\ yy_)"/>
    <numFmt numFmtId="262" formatCode="yyyy_)"/>
    <numFmt numFmtId="263" formatCode="m/d/yy_%_)"/>
    <numFmt numFmtId="264" formatCode="m/d/yyyy\ h:mm:ss"/>
    <numFmt numFmtId="265" formatCode="_(* #,##0_);_(* \(#,##0\);_(* &quot;-&quot;??_);_(@_)"/>
    <numFmt numFmtId="266" formatCode="_(* #,##0.000_);_(* \(#,##0.000\);_(* &quot;-&quot;??_);_(@_)"/>
    <numFmt numFmtId="267" formatCode="#,##0_);\(#,##0\);0_)"/>
    <numFmt numFmtId="268" formatCode="#,##0.0000_);[Red]\(#,##0.0000\);0.0000_)"/>
    <numFmt numFmtId="269" formatCode="_(* #,###.00_);_(* \(#,###.00\);_(* &quot;-&quot;??_);_(@_)"/>
    <numFmt numFmtId="270" formatCode="&quot;$&quot;#,##0_);\(&quot;$&quot;#,##0\)"/>
    <numFmt numFmtId="271" formatCode="0_%_);\(0\)_%;0_%_);@_%_)"/>
    <numFmt numFmtId="272" formatCode="00000"/>
    <numFmt numFmtId="273" formatCode="0.00\e"/>
    <numFmt numFmtId="274" formatCode="_([$€-2]* #,##0.00_);_([$€-2]* \(#,##0.00\);_([$€-2]* &quot;-&quot;??_)"/>
    <numFmt numFmtId="275" formatCode="#,#00"/>
    <numFmt numFmtId="276" formatCode="&quot;\&quot;#,##0.00;&quot;\&quot;\-#,##0.00"/>
    <numFmt numFmtId="277" formatCode="0.0\%_);\(0.0\%\);0.0\%_);@_%_)"/>
    <numFmt numFmtId="278" formatCode="#,##0_);[Red]\-#,##0_);0_);@_)"/>
    <numFmt numFmtId="279" formatCode="#,##0\ \ \ "/>
    <numFmt numFmtId="280" formatCode="#,##0.0_ ;[Red]\-#,##0.0\ "/>
    <numFmt numFmtId="281" formatCode="0.0_ ;[Red]\-0.0\ "/>
    <numFmt numFmtId="282" formatCode="#,##0;[Red]&quot;-&quot;#,##0"/>
    <numFmt numFmtId="283" formatCode="_ * #,##0_ ;_ * \-#,##0_ ;_ * &quot;-&quot;_ ;_ @_ "/>
    <numFmt numFmtId="284" formatCode="_ * #,##0.00_ ;_ * \-#,##0.00_ ;_ * &quot;-&quot;??_ ;_ @_ "/>
    <numFmt numFmtId="285" formatCode="_-* #,##0_ _F_-;\-* #,##0_ _F_-;_-* &quot;-&quot;_ _F_-;_-@_-"/>
    <numFmt numFmtId="286" formatCode="#,##0.00_);[Red]\(#,##0.00\);0.00_)"/>
    <numFmt numFmtId="287" formatCode="_-* #,##0.00_-;_-* #,##0.00\-;_-* &quot;-&quot;??_-;_-@_-"/>
    <numFmt numFmtId="288" formatCode="_ &quot;S/&quot;* #,##0_ ;_ &quot;S/&quot;* \-#,##0_ ;_ &quot;S/&quot;* &quot;-&quot;_ ;_ @_ "/>
    <numFmt numFmtId="289" formatCode="_ &quot;S/&quot;* #,##0.00_ ;_ &quot;S/&quot;* \-#,##0.00_ ;_ &quot;S/&quot;* &quot;-&quot;??_ ;_ @_ "/>
    <numFmt numFmtId="290" formatCode="_-* #,##0&quot; F&quot;_-;\-* #,##0&quot; F&quot;_-;_-* &quot;-&quot;&quot; F&quot;_-;_-@_-"/>
    <numFmt numFmtId="291" formatCode="d\.mmm\.yy"/>
    <numFmt numFmtId="292" formatCode="_-* #,##0\ _F_-;\-* #,##0\ _F_-;_-* &quot;-&quot;\ _F_-;_-@_-"/>
    <numFmt numFmtId="293" formatCode="#,##0.00_)&quot; F&quot;;[Red]\(#,##0.00\)&quot; F&quot;;0.00_)&quot; F&quot;"/>
    <numFmt numFmtId="294" formatCode="_-* #,##0.00&quot; F&quot;_-;\-* #,##0.00&quot; F&quot;_-;_-* &quot;-&quot;??&quot; F&quot;_-;_-@_-"/>
    <numFmt numFmtId="295" formatCode="d\.mmm"/>
    <numFmt numFmtId="296" formatCode="_-* #,##0.00\ &quot;F&quot;_-;\-* #,##0.00\ &quot;F&quot;_-;_-* &quot;-&quot;??\ &quot;F&quot;_-;_-@_-"/>
    <numFmt numFmtId="297" formatCode="0.0\x_)_);&quot;NM&quot;_x_)_);0.0\x_)_);@_%_)"/>
    <numFmt numFmtId="298" formatCode="#,##0_);\(#,##0\);;"/>
    <numFmt numFmtId="299" formatCode="#,##0%;[Red]\-#,##0%;0%;@_)"/>
    <numFmt numFmtId="300" formatCode="#,##0.00%;[Red]\-#,##0.00%;0.00%;@_)"/>
    <numFmt numFmtId="301" formatCode="0%;[Red]\-0%"/>
    <numFmt numFmtId="302" formatCode="%#,#00"/>
    <numFmt numFmtId="303" formatCode="#.##000"/>
    <numFmt numFmtId="304" formatCode="0.0%_);\(0.0%\)"/>
    <numFmt numFmtId="305" formatCode="0.00%_);\(0.00%\)"/>
    <numFmt numFmtId="306" formatCode="_-* #,##0.00\ _D_M_-;\-* #,##0.00\ _D_M_-;_-* &quot;-&quot;??\ _D_M_-;_-@_-"/>
    <numFmt numFmtId="307" formatCode="0\.00%;[Red]\-0\.00%"/>
    <numFmt numFmtId="308" formatCode="#,##0;\(#,##0\);\–;@"/>
    <numFmt numFmtId="309" formatCode="#,"/>
    <numFmt numFmtId="310" formatCode="&quot;$&quot;#,##0_);[Red]\(&quot;$&quot;#,##0\)"/>
    <numFmt numFmtId="311" formatCode="dd/mm/yy;@"/>
    <numFmt numFmtId="312" formatCode="\$#,##0.00;\(\$#,##0.00\)"/>
    <numFmt numFmtId="313" formatCode="0.0\X;\(0.0\X\)"/>
    <numFmt numFmtId="314" formatCode="0.00000"/>
    <numFmt numFmtId="315" formatCode="0.00\x"/>
    <numFmt numFmtId="316" formatCode="_-* #,##0\ &quot;pta&quot;_-;\-* #,##0\ &quot;pta&quot;_-;_-* &quot;-&quot;\ &quot;pta&quot;_-;_-@_-"/>
    <numFmt numFmtId="317" formatCode="General_)"/>
    <numFmt numFmtId="318" formatCode="_-* #,##0\ _p_t_a_-;\-* #,##0\ _p_t_a_-;_-* &quot;-&quot;\ _p_t_a_-;_-@_-"/>
    <numFmt numFmtId="319" formatCode="_-* #,##0.00\ &quot;pta&quot;_-;\-* #,##0.00\ &quot;pta&quot;_-;_-* &quot;-&quot;??\ &quot;pta&quot;_-;_-@_-"/>
    <numFmt numFmtId="320" formatCode="&quot;$&quot;#,##0.00_);[Red]\(&quot;$&quot;#,##0.00\)"/>
    <numFmt numFmtId="321" formatCode="&quot;$&quot;_(#,##0.00_);&quot;$&quot;\(#,##0.00\)"/>
    <numFmt numFmtId="322" formatCode="#,##0.0_)\x;\(#,##0.0\)\x"/>
    <numFmt numFmtId="323" formatCode="#,##0.0_)_x;\(#,##0.0\)_x"/>
    <numFmt numFmtId="324" formatCode="0.0_)\%;\(0.0\)\%"/>
    <numFmt numFmtId="325" formatCode="#,##0.0_)_%;\(#,##0.0\)_%"/>
    <numFmt numFmtId="326" formatCode="#,##0.00\ &quot;Kč&quot;;[Red]\-#,##0.00\ &quot;Kč&quot;"/>
    <numFmt numFmtId="327" formatCode="#,##0,;\-#,##0,"/>
    <numFmt numFmtId="328" formatCode="#,##0.000_);[Red]\(#,##0.000\)"/>
    <numFmt numFmtId="329" formatCode="0.00_);\(0.00\);0.00"/>
    <numFmt numFmtId="330" formatCode="0.0%_);\(0.0%\)_)"/>
    <numFmt numFmtId="331" formatCode="&quot;$&quot;#,##0.00000000000000000000000000_);[Red]\(&quot;$&quot;#,##0.00000000000000000000000000\)"/>
    <numFmt numFmtId="332" formatCode="#,##0.000;\(#,##0.000\)"/>
    <numFmt numFmtId="333" formatCode="yyyy"/>
    <numFmt numFmtId="334" formatCode="&quot;$&quot;#,##0.00&quot;A&quot;;[Red]\(&quot;$&quot;#,##0.00\)&quot;A&quot;"/>
    <numFmt numFmtId="335" formatCode="&quot;$&quot;#,##0.00&quot;E&quot;;[Red]\(&quot;$&quot;#,##0.00\)&quot;E&quot;"/>
    <numFmt numFmtId="336" formatCode="#\ ##0.0"/>
    <numFmt numFmtId="337" formatCode="0.0%_);[Red]\(0.0%\)"/>
    <numFmt numFmtId="338" formatCode="0.00%;\(0.00%\)"/>
    <numFmt numFmtId="339" formatCode="0.00_);\(0.00\);0.00_)"/>
    <numFmt numFmtId="340" formatCode="_-* #,##0.00\ _K_č_-;\-* #,##0.00\ _K_č_-;_-* &quot;-&quot;??\ _K_č_-;_-@_-"/>
    <numFmt numFmtId="341" formatCode="0.0000"/>
    <numFmt numFmtId="342" formatCode="#,##0.0000;\(#,##0.0000\)"/>
    <numFmt numFmtId="343" formatCode="0.00\%;\-0.00\%;0.00\%"/>
    <numFmt numFmtId="344" formatCode="#.0"/>
    <numFmt numFmtId="345" formatCode="&quot;kr&quot;\ #,##0_);[Red]\(&quot;kr&quot;\ #,##0\)"/>
    <numFmt numFmtId="346" formatCode="0.00\x;\-0.00\x;0.00\x"/>
    <numFmt numFmtId="347" formatCode="##0.00000"/>
    <numFmt numFmtId="348" formatCode="0.0000%"/>
    <numFmt numFmtId="349" formatCode="#,##0.00_)\ \x;\(#,##0.00\)\ \x"/>
    <numFmt numFmtId="350" formatCode="&quot;kr&quot;\ #,##0.00_);[Red]\(&quot;kr&quot;\ #,##0.00\)"/>
    <numFmt numFmtId="351" formatCode="#,##0.0\ ;\(#,##0.0\)"/>
    <numFmt numFmtId="352" formatCode="#,##0.00\ ;\(#,##0.00\)"/>
    <numFmt numFmtId="353" formatCode="_-* #,##0.00\ _€_-;\-* #,##0.00\ _€_-;_-* &quot;-&quot;??\ _€_-;_-@_-"/>
    <numFmt numFmtId="354" formatCode="#,##0_);\(#,##0\);#,##0_);@_)"/>
  </numFmts>
  <fonts count="306">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0"/>
      <name val="Arial"/>
      <family val="2"/>
    </font>
    <font>
      <sz val="10"/>
      <name val="Trebuchet MS"/>
      <family val="2"/>
    </font>
    <font>
      <b/>
      <sz val="10"/>
      <name val="Trebuchet MS"/>
      <family val="2"/>
    </font>
    <font>
      <b/>
      <sz val="10"/>
      <name val="Arial"/>
      <family val="2"/>
    </font>
    <font>
      <b/>
      <sz val="9"/>
      <color indexed="81"/>
      <name val="Tahoma"/>
      <family val="2"/>
    </font>
    <font>
      <sz val="9"/>
      <color indexed="81"/>
      <name val="Tahoma"/>
      <family val="2"/>
    </font>
    <font>
      <b/>
      <u/>
      <sz val="10"/>
      <name val="Trebuchet MS"/>
      <family val="2"/>
    </font>
    <font>
      <sz val="10"/>
      <color theme="1"/>
      <name val="Trebuchet MS"/>
      <family val="2"/>
    </font>
    <font>
      <i/>
      <sz val="10"/>
      <color theme="1"/>
      <name val="Trebuchet MS"/>
      <family val="2"/>
    </font>
    <font>
      <b/>
      <sz val="10"/>
      <color theme="1"/>
      <name val="Trebuchet MS"/>
      <family val="2"/>
    </font>
    <font>
      <u/>
      <sz val="10"/>
      <color theme="1"/>
      <name val="Trebuchet MS"/>
      <family val="2"/>
    </font>
    <font>
      <sz val="11"/>
      <color theme="1"/>
      <name val="Calibri"/>
      <family val="2"/>
      <scheme val="minor"/>
    </font>
    <font>
      <sz val="10"/>
      <color theme="1"/>
      <name val="Arial"/>
      <family val="2"/>
    </font>
    <font>
      <sz val="11"/>
      <color theme="0"/>
      <name val="Trebuchet MS"/>
      <family val="2"/>
    </font>
    <font>
      <sz val="10"/>
      <color rgb="FF0070C0"/>
      <name val="Trebuchet MS"/>
      <family val="2"/>
    </font>
    <font>
      <sz val="8"/>
      <name val="Trebuchet MS"/>
      <family val="2"/>
    </font>
    <font>
      <sz val="10"/>
      <color rgb="FF00B050"/>
      <name val="Trebuchet MS"/>
      <family val="2"/>
    </font>
    <font>
      <sz val="10"/>
      <color rgb="FF7030A0"/>
      <name val="Trebuchet MS"/>
      <family val="2"/>
    </font>
    <font>
      <sz val="10"/>
      <color theme="1" tint="0.499984740745262"/>
      <name val="Trebuchet MS"/>
      <family val="2"/>
    </font>
    <font>
      <b/>
      <sz val="10"/>
      <color rgb="FFFF0000"/>
      <name val="Trebuchet MS"/>
      <family val="2"/>
    </font>
    <font>
      <sz val="12"/>
      <color theme="0"/>
      <name val="Trebuchet MS"/>
      <family val="2"/>
    </font>
    <font>
      <sz val="10"/>
      <color indexed="9"/>
      <name val="Trebuchet MS"/>
      <family val="2"/>
    </font>
    <font>
      <sz val="10"/>
      <color rgb="FF0000FF"/>
      <name val="Trebuchet MS"/>
      <family val="2"/>
    </font>
    <font>
      <b/>
      <u/>
      <sz val="10"/>
      <color theme="1"/>
      <name val="Trebuchet MS"/>
      <family val="2"/>
    </font>
    <font>
      <i/>
      <u/>
      <sz val="10"/>
      <color theme="1"/>
      <name val="Trebuchet MS"/>
      <family val="2"/>
    </font>
    <font>
      <sz val="9"/>
      <color theme="1"/>
      <name val="Trebuchet MS"/>
      <family val="2"/>
    </font>
    <font>
      <sz val="9"/>
      <color theme="0"/>
      <name val="Trebuchet MS"/>
      <family val="2"/>
    </font>
    <font>
      <sz val="10"/>
      <color theme="0"/>
      <name val="Trebuchet MS"/>
      <family val="2"/>
    </font>
    <font>
      <sz val="12"/>
      <color indexed="8"/>
      <name val="Times New Roman"/>
      <family val="1"/>
    </font>
    <font>
      <sz val="8.5"/>
      <name val="LinePrinter"/>
    </font>
    <font>
      <sz val="8"/>
      <name val="Arial"/>
      <family val="2"/>
    </font>
    <font>
      <sz val="10"/>
      <name val="Verdana"/>
      <family val="2"/>
    </font>
    <font>
      <sz val="10"/>
      <name val="Times New Roman"/>
      <family val="1"/>
    </font>
    <font>
      <sz val="10"/>
      <color indexed="8"/>
      <name val="MS Sans Serif"/>
      <family val="2"/>
    </font>
    <font>
      <sz val="9"/>
      <name val="Arial"/>
      <family val="2"/>
    </font>
    <font>
      <sz val="10"/>
      <name val="Courier"/>
      <family val="3"/>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name val="Times New Roman"/>
      <family val="1"/>
    </font>
    <font>
      <sz val="10"/>
      <name val="MS Sans Serif"/>
      <family val="2"/>
    </font>
    <font>
      <sz val="10"/>
      <name val="Helv"/>
    </font>
    <font>
      <sz val="12"/>
      <name val="Arial MT"/>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11"/>
      <name val="Arial"/>
      <family val="2"/>
    </font>
    <font>
      <b/>
      <sz val="9"/>
      <name val="Arial"/>
      <family val="2"/>
    </font>
    <font>
      <b/>
      <sz val="9"/>
      <name val="Times New Roman"/>
      <family val="1"/>
    </font>
    <font>
      <sz val="8"/>
      <name val="Times"/>
      <family val="1"/>
    </font>
    <font>
      <b/>
      <sz val="12"/>
      <name val="Helv"/>
    </font>
    <font>
      <sz val="9"/>
      <name val="Helvetica"/>
      <family val="2"/>
    </font>
    <font>
      <sz val="10"/>
      <color indexed="10"/>
      <name val="Times New Roman"/>
      <family val="1"/>
    </font>
    <font>
      <sz val="8"/>
      <color indexed="12"/>
      <name val="Tms Rmn"/>
    </font>
    <font>
      <sz val="10"/>
      <color indexed="9"/>
      <name val="Arial"/>
      <family val="2"/>
    </font>
    <font>
      <b/>
      <sz val="10"/>
      <color indexed="9"/>
      <name val="Arial"/>
      <family val="2"/>
    </font>
    <font>
      <b/>
      <sz val="8"/>
      <name val="Arial"/>
      <family val="2"/>
    </font>
    <font>
      <b/>
      <sz val="12"/>
      <name val="Times New Roman"/>
      <family val="1"/>
    </font>
    <font>
      <b/>
      <sz val="10"/>
      <color indexed="8"/>
      <name val="Times New Roman"/>
      <family val="1"/>
    </font>
    <font>
      <sz val="10"/>
      <color indexed="8"/>
      <name val="Arial"/>
      <family val="2"/>
    </font>
    <font>
      <sz val="12"/>
      <color indexed="10"/>
      <name val="Times New Roman"/>
      <family val="1"/>
    </font>
    <font>
      <b/>
      <i/>
      <sz val="18"/>
      <name val="Times New Roman"/>
      <family val="1"/>
    </font>
    <font>
      <sz val="10"/>
      <color indexed="18"/>
      <name val="Times New Roman"/>
      <family val="1"/>
    </font>
    <font>
      <sz val="6"/>
      <name val="Arial Narrow"/>
      <family val="2"/>
    </font>
    <font>
      <i/>
      <sz val="9"/>
      <color indexed="55"/>
      <name val="Arial"/>
      <family val="2"/>
    </font>
    <font>
      <b/>
      <sz val="8"/>
      <name val="GillSans"/>
    </font>
    <font>
      <b/>
      <sz val="7"/>
      <name val="Helvetica-Narrow"/>
      <family val="2"/>
    </font>
    <font>
      <b/>
      <sz val="7"/>
      <name val="GillSans"/>
    </font>
    <font>
      <b/>
      <sz val="10"/>
      <name val="Times New Roman"/>
      <family val="1"/>
    </font>
    <font>
      <sz val="8"/>
      <name val="Helvetica"/>
      <family val="2"/>
    </font>
    <font>
      <sz val="6"/>
      <color indexed="12"/>
      <name val="Times New Roman"/>
      <family val="1"/>
    </font>
    <font>
      <sz val="8"/>
      <name val="Palatino"/>
      <family val="1"/>
    </font>
    <font>
      <sz val="10"/>
      <name val="Arial Narrow"/>
      <family val="2"/>
    </font>
    <font>
      <sz val="10"/>
      <name val="BERNHARD"/>
    </font>
    <font>
      <sz val="24"/>
      <name val="MS Sans Serif"/>
      <family val="2"/>
    </font>
    <font>
      <sz val="10"/>
      <name val="MS Serif"/>
      <family val="1"/>
    </font>
    <font>
      <b/>
      <sz val="10"/>
      <name val="Arial Narrow"/>
      <family val="2"/>
    </font>
    <font>
      <sz val="12"/>
      <color indexed="12"/>
      <name val="Times New Roman"/>
      <family val="1"/>
    </font>
    <font>
      <sz val="1"/>
      <color indexed="8"/>
      <name val="Courier"/>
      <family val="3"/>
    </font>
    <font>
      <sz val="8"/>
      <name val="Times New Roman"/>
      <family val="1"/>
    </font>
    <font>
      <i/>
      <sz val="8"/>
      <name val="Arial"/>
      <family val="2"/>
    </font>
    <font>
      <sz val="12"/>
      <color indexed="14"/>
      <name val="Times New Roman"/>
      <family val="1"/>
    </font>
    <font>
      <sz val="9"/>
      <color indexed="18"/>
      <name val="Arial"/>
      <family val="2"/>
    </font>
    <font>
      <b/>
      <i/>
      <sz val="8"/>
      <color indexed="12"/>
      <name val="Helvetica-Narrow"/>
      <family val="2"/>
    </font>
    <font>
      <b/>
      <sz val="1"/>
      <color indexed="8"/>
      <name val="Courier"/>
      <family val="3"/>
    </font>
    <font>
      <sz val="10"/>
      <color indexed="12"/>
      <name val="Arial"/>
      <family val="2"/>
    </font>
    <font>
      <sz val="10"/>
      <color indexed="16"/>
      <name val="MS Serif"/>
      <family val="1"/>
    </font>
    <font>
      <b/>
      <sz val="7"/>
      <color indexed="48"/>
      <name val="Tahoma"/>
      <family val="2"/>
    </font>
    <font>
      <sz val="8"/>
      <name val="Tahoma"/>
      <family val="2"/>
    </font>
    <font>
      <b/>
      <sz val="8"/>
      <name val="Helvetica"/>
      <family val="2"/>
    </font>
    <font>
      <sz val="7"/>
      <name val="Palatino"/>
      <family val="1"/>
    </font>
    <font>
      <b/>
      <sz val="22"/>
      <name val="Arial"/>
      <family val="2"/>
    </font>
    <font>
      <b/>
      <sz val="18"/>
      <name val="Arial"/>
      <family val="2"/>
    </font>
    <font>
      <b/>
      <sz val="14"/>
      <name val="Arial"/>
      <family val="2"/>
    </font>
    <font>
      <b/>
      <sz val="12"/>
      <name val="Arial"/>
      <family val="2"/>
    </font>
    <font>
      <sz val="10"/>
      <color indexed="12"/>
      <name val="Times New Roman"/>
      <family val="1"/>
    </font>
    <font>
      <b/>
      <sz val="10"/>
      <color indexed="9"/>
      <name val="GillSans"/>
    </font>
    <font>
      <b/>
      <sz val="10"/>
      <color indexed="8"/>
      <name val="GillSans"/>
    </font>
    <font>
      <sz val="6"/>
      <color indexed="16"/>
      <name val="Palatino"/>
      <family val="1"/>
    </font>
    <font>
      <b/>
      <sz val="10"/>
      <color indexed="9"/>
      <name val="Arial Narrow"/>
      <family val="2"/>
    </font>
    <font>
      <u/>
      <sz val="10"/>
      <color indexed="12"/>
      <name val="Arial"/>
      <family val="2"/>
    </font>
    <font>
      <u/>
      <sz val="10"/>
      <color indexed="36"/>
      <name val="Arial"/>
      <family val="2"/>
    </font>
    <font>
      <u/>
      <sz val="8"/>
      <color indexed="12"/>
      <name val="Arial"/>
      <family val="2"/>
    </font>
    <font>
      <u/>
      <sz val="8"/>
      <color indexed="53"/>
      <name val="Arial"/>
      <family val="2"/>
    </font>
    <font>
      <u/>
      <sz val="10"/>
      <color indexed="20"/>
      <name val="Arial"/>
      <family val="2"/>
    </font>
    <font>
      <sz val="14"/>
      <name val="Times New Roman"/>
      <family val="1"/>
    </font>
    <font>
      <sz val="8"/>
      <color indexed="10"/>
      <name val="Times New Roman"/>
      <family val="1"/>
    </font>
    <font>
      <sz val="10.5"/>
      <name val="Arial"/>
      <family val="2"/>
    </font>
    <font>
      <sz val="9"/>
      <color indexed="12"/>
      <name val="Arial"/>
      <family val="2"/>
    </font>
    <font>
      <sz val="10"/>
      <name val="N Helvetica Narrow"/>
      <family val="1"/>
    </font>
    <font>
      <sz val="10"/>
      <color indexed="10"/>
      <name val="Helv"/>
    </font>
    <font>
      <i/>
      <sz val="8.5"/>
      <name val="Letter Gothic"/>
      <family val="3"/>
    </font>
    <font>
      <sz val="12"/>
      <name val="Arial"/>
      <family val="2"/>
    </font>
    <font>
      <b/>
      <sz val="10"/>
      <name val="MS Sans Serif"/>
      <family val="2"/>
    </font>
    <font>
      <sz val="10"/>
      <name val="Tms Rmn"/>
    </font>
    <font>
      <sz val="10"/>
      <name val="GillSans Light"/>
    </font>
    <font>
      <sz val="18"/>
      <name val="Times New Roman"/>
      <family val="1"/>
    </font>
    <font>
      <b/>
      <sz val="13"/>
      <name val="Times New Roman"/>
      <family val="1"/>
    </font>
    <font>
      <b/>
      <i/>
      <sz val="12"/>
      <name val="Times New Roman"/>
      <family val="1"/>
    </font>
    <font>
      <i/>
      <sz val="12"/>
      <name val="Times New Roman"/>
      <family val="1"/>
    </font>
    <font>
      <b/>
      <sz val="10"/>
      <name val="Helv"/>
    </font>
    <font>
      <sz val="10"/>
      <color indexed="14"/>
      <name val="Arial"/>
      <family val="2"/>
    </font>
    <font>
      <b/>
      <sz val="18"/>
      <name val="Times New Roman"/>
      <family val="1"/>
    </font>
    <font>
      <sz val="10"/>
      <name val="Geneva"/>
    </font>
    <font>
      <sz val="10"/>
      <name val="KPN Arial"/>
    </font>
    <font>
      <sz val="9"/>
      <color indexed="12"/>
      <name val="Times New Roman"/>
      <family val="1"/>
    </font>
    <font>
      <sz val="7"/>
      <name val="Small Fonts"/>
      <family val="2"/>
    </font>
    <font>
      <b/>
      <i/>
      <sz val="16"/>
      <name val="Helv"/>
    </font>
    <font>
      <sz val="9"/>
      <name val="Verdana"/>
      <family val="2"/>
    </font>
    <font>
      <sz val="10"/>
      <color theme="1"/>
      <name val="Calibri"/>
      <family val="2"/>
    </font>
    <font>
      <i/>
      <sz val="10"/>
      <name val="Arial"/>
      <family val="2"/>
    </font>
    <font>
      <i/>
      <sz val="10"/>
      <name val="Helv"/>
    </font>
    <font>
      <i/>
      <sz val="12"/>
      <color indexed="10"/>
      <name val="Times New Roman"/>
      <family val="1"/>
    </font>
    <font>
      <sz val="10"/>
      <color indexed="16"/>
      <name val="Helvetica-Black"/>
    </font>
    <font>
      <b/>
      <sz val="8"/>
      <name val="Times New Roman"/>
      <family val="1"/>
    </font>
    <font>
      <sz val="8"/>
      <name val="Helv"/>
    </font>
    <font>
      <sz val="10"/>
      <color indexed="12"/>
      <name val="Geneva"/>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0"/>
      <color indexed="23"/>
      <name val="MS Sans Serif"/>
      <family val="2"/>
    </font>
    <font>
      <b/>
      <sz val="12"/>
      <color indexed="56"/>
      <name val="Arial"/>
      <family val="2"/>
    </font>
    <font>
      <b/>
      <sz val="14"/>
      <name val="Times New Roman"/>
      <family val="1"/>
    </font>
    <font>
      <b/>
      <sz val="12"/>
      <name val="MS Sans Serif"/>
      <family val="2"/>
    </font>
    <font>
      <b/>
      <sz val="8"/>
      <name val="HelveticaNeue Condensed"/>
      <family val="2"/>
    </font>
    <font>
      <b/>
      <sz val="8"/>
      <name val="HelveticaNeue Condensed"/>
    </font>
    <font>
      <sz val="8"/>
      <name val="HelveticaNeue LightCond"/>
      <family val="2"/>
    </font>
    <font>
      <b/>
      <u/>
      <sz val="11"/>
      <name val="Helv"/>
      <family val="2"/>
    </font>
    <font>
      <sz val="10"/>
      <name val="Frutiger 45 Light"/>
      <family val="2"/>
    </font>
    <font>
      <b/>
      <sz val="14"/>
      <name val="Helv"/>
    </font>
    <font>
      <sz val="11"/>
      <name val="ＭＳ Ｐゴシック"/>
      <family val="3"/>
      <charset val="128"/>
    </font>
    <font>
      <b/>
      <sz val="10"/>
      <color theme="1"/>
      <name val="Arial"/>
      <family val="2"/>
    </font>
    <font>
      <sz val="10"/>
      <color rgb="FF0070C0"/>
      <name val="Arial"/>
      <family val="2"/>
    </font>
    <font>
      <b/>
      <sz val="14"/>
      <color indexed="9"/>
      <name val="Trebuchet MS"/>
      <family val="2"/>
    </font>
    <font>
      <sz val="10"/>
      <color rgb="FFFF0000"/>
      <name val="Trebuchet MS"/>
      <family val="2"/>
    </font>
    <font>
      <b/>
      <u/>
      <sz val="11"/>
      <color theme="1"/>
      <name val="Calibri"/>
      <family val="2"/>
      <scheme val="minor"/>
    </font>
    <font>
      <sz val="10"/>
      <color theme="3" tint="0.39997558519241921"/>
      <name val="Trebuchet MS"/>
      <family val="2"/>
    </font>
    <font>
      <sz val="11"/>
      <color theme="3" tint="0.39997558519241921"/>
      <name val="Calibri"/>
      <family val="2"/>
      <scheme val="minor"/>
    </font>
    <font>
      <sz val="11"/>
      <name val="Calibri"/>
      <family val="2"/>
      <scheme val="minor"/>
    </font>
    <font>
      <u/>
      <sz val="10"/>
      <name val="Arial"/>
      <family val="2"/>
    </font>
    <font>
      <sz val="10"/>
      <color rgb="FF222222"/>
      <name val="Arial"/>
      <family val="2"/>
    </font>
    <font>
      <sz val="11"/>
      <color rgb="FFFF0000"/>
      <name val="Calibri"/>
      <family val="2"/>
      <scheme val="minor"/>
    </font>
    <font>
      <b/>
      <u/>
      <sz val="10"/>
      <color theme="0" tint="-4.9989318521683403E-2"/>
      <name val="Arial"/>
      <family val="2"/>
    </font>
    <font>
      <sz val="11"/>
      <color theme="1"/>
      <name val="Trebuchet MS"/>
      <family val="2"/>
    </font>
    <font>
      <b/>
      <sz val="10"/>
      <color theme="0"/>
      <name val="Trebuchet MS"/>
      <family val="2"/>
    </font>
    <font>
      <b/>
      <sz val="11"/>
      <color theme="1"/>
      <name val="Trebuchet MS"/>
      <family val="2"/>
    </font>
    <font>
      <sz val="11"/>
      <color rgb="FF333333"/>
      <name val="Arial"/>
      <family val="2"/>
    </font>
    <font>
      <u/>
      <sz val="10"/>
      <name val="Trebuchet MS"/>
      <family val="2"/>
    </font>
    <font>
      <i/>
      <sz val="10"/>
      <name val="Trebuchet MS"/>
      <family val="2"/>
    </font>
    <font>
      <sz val="10"/>
      <color theme="1"/>
      <name val="Calibri"/>
      <family val="2"/>
      <scheme val="minor"/>
    </font>
    <font>
      <u/>
      <sz val="10"/>
      <color theme="1"/>
      <name val="Calibri"/>
      <family val="2"/>
      <scheme val="minor"/>
    </font>
    <font>
      <sz val="11"/>
      <color rgb="FF00B0F0"/>
      <name val="Calibri"/>
      <family val="2"/>
      <scheme val="minor"/>
    </font>
    <font>
      <b/>
      <i/>
      <sz val="10"/>
      <color theme="1"/>
      <name val="Trebuchet MS"/>
      <family val="2"/>
    </font>
    <font>
      <b/>
      <sz val="10"/>
      <color theme="1"/>
      <name val="Calibri"/>
      <family val="2"/>
      <scheme val="minor"/>
    </font>
    <font>
      <u/>
      <sz val="11"/>
      <color theme="1"/>
      <name val="Trebuchet MS"/>
      <family val="2"/>
    </font>
    <font>
      <b/>
      <sz val="14"/>
      <color indexed="8"/>
      <name val="Helvetica"/>
      <family val="2"/>
    </font>
    <font>
      <b/>
      <sz val="10"/>
      <color indexed="8"/>
      <name val="Helvetica"/>
      <family val="2"/>
    </font>
    <font>
      <sz val="10"/>
      <name val="Book Antiqua"/>
      <family val="1"/>
    </font>
    <font>
      <sz val="10"/>
      <color indexed="8"/>
      <name val="Helvetica"/>
      <family val="2"/>
    </font>
    <font>
      <b/>
      <sz val="12"/>
      <color indexed="8"/>
      <name val="Helvetica"/>
      <family val="2"/>
    </font>
    <font>
      <b/>
      <u/>
      <sz val="12"/>
      <name val="L Serifa Light"/>
    </font>
    <font>
      <b/>
      <sz val="9"/>
      <color indexed="9"/>
      <name val="Arial"/>
      <family val="2"/>
    </font>
    <font>
      <sz val="12"/>
      <name val="·s²Ó©úÅé"/>
      <charset val="136"/>
    </font>
    <font>
      <sz val="8"/>
      <color indexed="8"/>
      <name val="MS Sans Serif"/>
      <family val="2"/>
    </font>
    <font>
      <b/>
      <sz val="11"/>
      <color indexed="10"/>
      <name val="Times New Roman"/>
      <family val="1"/>
    </font>
    <font>
      <b/>
      <i/>
      <sz val="11"/>
      <color indexed="9"/>
      <name val="Times New Roman"/>
      <family val="1"/>
    </font>
    <font>
      <sz val="8"/>
      <color indexed="12"/>
      <name val="Times"/>
      <family val="1"/>
    </font>
    <font>
      <u val="singleAccounting"/>
      <sz val="10"/>
      <name val="Arial"/>
      <family val="2"/>
    </font>
    <font>
      <sz val="10"/>
      <color indexed="22"/>
      <name val="Arial"/>
      <family val="2"/>
    </font>
    <font>
      <u val="doubleAccounting"/>
      <sz val="10"/>
      <name val="Arial"/>
      <family val="2"/>
    </font>
    <font>
      <b/>
      <i/>
      <sz val="8"/>
      <color indexed="12"/>
      <name val="HelveticaNeue Condensed"/>
    </font>
    <font>
      <b/>
      <u/>
      <sz val="12"/>
      <name val="Arial Narrow"/>
      <family val="2"/>
    </font>
    <font>
      <sz val="10"/>
      <color indexed="2"/>
      <name val="Tahoma"/>
      <family val="2"/>
    </font>
    <font>
      <b/>
      <sz val="10"/>
      <color indexed="0"/>
      <name val="Tahoma"/>
      <family val="2"/>
    </font>
    <font>
      <i/>
      <sz val="8"/>
      <color indexed="17"/>
      <name val="Times New Roman"/>
      <family val="1"/>
    </font>
    <font>
      <sz val="8"/>
      <color indexed="21"/>
      <name val="Arial"/>
      <family val="2"/>
    </font>
    <font>
      <sz val="8"/>
      <color indexed="12"/>
      <name val="Times New Roman"/>
      <family val="1"/>
    </font>
    <font>
      <b/>
      <sz val="12"/>
      <color indexed="10"/>
      <name val="Arial"/>
      <family val="2"/>
    </font>
    <font>
      <b/>
      <sz val="10"/>
      <color indexed="18"/>
      <name val="Times New Roman"/>
      <family val="1"/>
    </font>
    <font>
      <sz val="10"/>
      <name val="Tahoma"/>
      <family val="2"/>
    </font>
    <font>
      <sz val="8"/>
      <color indexed="8"/>
      <name val="Helvetica"/>
      <family val="2"/>
    </font>
    <font>
      <u/>
      <sz val="6"/>
      <color indexed="12"/>
      <name val="Arial"/>
      <family val="2"/>
    </font>
    <font>
      <sz val="12"/>
      <name val="Helv"/>
    </font>
    <font>
      <sz val="8"/>
      <color indexed="39"/>
      <name val="Arial"/>
      <family val="2"/>
    </font>
    <font>
      <sz val="8"/>
      <color indexed="10"/>
      <name val="Helv"/>
    </font>
    <font>
      <sz val="10"/>
      <color indexed="16"/>
      <name val="MS Sans Serif"/>
      <family val="2"/>
    </font>
    <font>
      <b/>
      <sz val="12"/>
      <color indexed="17"/>
      <name val="Wingdings"/>
      <charset val="2"/>
    </font>
    <font>
      <b/>
      <sz val="8"/>
      <color indexed="14"/>
      <name val="MS Sans Serif"/>
      <family val="2"/>
    </font>
    <font>
      <sz val="8"/>
      <color indexed="18"/>
      <name val="Times New Roman"/>
      <family val="1"/>
    </font>
    <font>
      <b/>
      <i/>
      <sz val="10"/>
      <color indexed="4"/>
      <name val="Tahoma"/>
      <family val="2"/>
    </font>
    <font>
      <sz val="10"/>
      <color indexed="4"/>
      <name val="Tahoma"/>
      <family val="2"/>
    </font>
    <font>
      <sz val="7"/>
      <color indexed="12"/>
      <name val="Arial"/>
      <family val="2"/>
    </font>
    <font>
      <sz val="8"/>
      <color indexed="8"/>
      <name val="Arial"/>
      <family val="2"/>
    </font>
    <font>
      <i/>
      <sz val="10"/>
      <name val="Helvetica"/>
    </font>
    <font>
      <b/>
      <sz val="8"/>
      <color indexed="18"/>
      <name val="Times New Roman"/>
      <family val="1"/>
    </font>
    <font>
      <sz val="8"/>
      <name val="Univers"/>
      <family val="2"/>
    </font>
    <font>
      <sz val="8"/>
      <color indexed="10"/>
      <name val="Arial"/>
      <family val="2"/>
    </font>
    <font>
      <sz val="8"/>
      <name val="COUR"/>
    </font>
    <font>
      <sz val="10"/>
      <name val="COUR"/>
    </font>
    <font>
      <b/>
      <sz val="10"/>
      <name val="GillSans"/>
    </font>
    <font>
      <b/>
      <sz val="16"/>
      <name val="Times New Roman"/>
      <family val="1"/>
    </font>
    <font>
      <b/>
      <sz val="10"/>
      <color indexed="16"/>
      <name val="Times New Roman"/>
      <family val="1"/>
    </font>
    <font>
      <sz val="8"/>
      <name val="MS Sans Serif"/>
      <family val="2"/>
    </font>
    <font>
      <i/>
      <sz val="9"/>
      <name val="Times New Roman"/>
      <family val="1"/>
    </font>
    <font>
      <b/>
      <i/>
      <sz val="10"/>
      <name val="Arial"/>
      <family val="2"/>
    </font>
    <font>
      <sz val="8"/>
      <color indexed="9"/>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sz val="10"/>
      <color indexed="17"/>
      <name val="Arial"/>
      <family val="2"/>
    </font>
    <font>
      <b/>
      <sz val="10"/>
      <color indexed="52"/>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i/>
      <sz val="11"/>
      <color theme="1"/>
      <name val="Trebuchet MS"/>
      <family val="2"/>
    </font>
    <font>
      <b/>
      <sz val="10"/>
      <color theme="3" tint="0.39997558519241921"/>
      <name val="Trebuchet MS"/>
      <family val="2"/>
    </font>
    <font>
      <sz val="10"/>
      <color theme="4"/>
      <name val="Trebuchet MS"/>
      <family val="2"/>
    </font>
    <font>
      <sz val="9"/>
      <color theme="1"/>
      <name val="Calibri"/>
      <family val="2"/>
    </font>
    <font>
      <sz val="10"/>
      <color indexed="8"/>
      <name val="Calibri"/>
      <family val="2"/>
    </font>
    <font>
      <sz val="8"/>
      <name val="Calibri"/>
      <family val="2"/>
    </font>
    <font>
      <sz val="18"/>
      <name val="Calibri"/>
      <family val="2"/>
    </font>
    <font>
      <sz val="9"/>
      <name val="Calibri"/>
      <family val="2"/>
    </font>
    <font>
      <sz val="10"/>
      <name val="Calibri"/>
      <family val="2"/>
    </font>
    <font>
      <b/>
      <sz val="10"/>
      <name val="Calibri"/>
      <family val="2"/>
    </font>
    <font>
      <i/>
      <sz val="10"/>
      <name val="Calibri"/>
      <family val="2"/>
    </font>
    <font>
      <b/>
      <i/>
      <sz val="9"/>
      <name val="Calibri"/>
      <family val="2"/>
    </font>
    <font>
      <sz val="9"/>
      <color theme="1"/>
      <name val="Calibri"/>
      <family val="2"/>
      <scheme val="minor"/>
    </font>
    <font>
      <b/>
      <i/>
      <sz val="11"/>
      <color theme="1"/>
      <name val="Calibri"/>
      <family val="2"/>
      <scheme val="minor"/>
    </font>
    <font>
      <sz val="8"/>
      <name val="Calibri"/>
      <family val="2"/>
      <scheme val="minor"/>
    </font>
    <font>
      <b/>
      <sz val="11"/>
      <color theme="1"/>
      <name val="Roboto"/>
    </font>
    <font>
      <sz val="11"/>
      <color theme="1"/>
      <name val="Roboto"/>
    </font>
    <font>
      <b/>
      <sz val="10"/>
      <color theme="1"/>
      <name val="Roboto"/>
    </font>
    <font>
      <sz val="10"/>
      <color theme="1"/>
      <name val="Roboto"/>
    </font>
    <font>
      <i/>
      <sz val="10"/>
      <color theme="1"/>
      <name val="Roboto"/>
    </font>
    <font>
      <b/>
      <i/>
      <sz val="10"/>
      <color theme="1"/>
      <name val="Roboto"/>
    </font>
    <font>
      <sz val="10"/>
      <color theme="3" tint="0.39997558519241921"/>
      <name val="Roboto"/>
    </font>
    <font>
      <b/>
      <u/>
      <sz val="10"/>
      <color theme="1"/>
      <name val="Roboto"/>
    </font>
    <font>
      <u/>
      <sz val="10"/>
      <color theme="1"/>
      <name val="Roboto"/>
    </font>
    <font>
      <sz val="10"/>
      <name val="Roboto"/>
    </font>
    <font>
      <sz val="11"/>
      <color theme="3" tint="0.39997558519241921"/>
      <name val="Roboto"/>
    </font>
    <font>
      <b/>
      <u/>
      <sz val="11"/>
      <color theme="1"/>
      <name val="Roboto"/>
    </font>
    <font>
      <u/>
      <sz val="11"/>
      <color theme="1"/>
      <name val="Roboto"/>
    </font>
    <font>
      <sz val="5"/>
      <color rgb="FF000000"/>
      <name val="Public Sans"/>
    </font>
    <font>
      <sz val="11"/>
      <color rgb="FF000000"/>
      <name val="Calibri"/>
      <family val="2"/>
      <scheme val="minor"/>
    </font>
    <font>
      <sz val="11"/>
      <color theme="0"/>
      <name val="Calibri"/>
      <family val="2"/>
      <scheme val="minor"/>
    </font>
    <font>
      <sz val="11"/>
      <color rgb="FF0000FF"/>
      <name val="Calibri"/>
      <family val="2"/>
      <scheme val="minor"/>
    </font>
    <font>
      <b/>
      <sz val="11"/>
      <color rgb="FF0000FF"/>
      <name val="Calibri"/>
      <family val="2"/>
      <scheme val="minor"/>
    </font>
    <font>
      <b/>
      <sz val="11"/>
      <name val="Calibri"/>
      <family val="2"/>
      <scheme val="minor"/>
    </font>
    <font>
      <b/>
      <sz val="11"/>
      <name val="Roboto"/>
    </font>
    <font>
      <b/>
      <sz val="10"/>
      <color indexed="8"/>
      <name val="Roboto"/>
    </font>
    <font>
      <b/>
      <sz val="11"/>
      <color rgb="FF000000"/>
      <name val="Roboto"/>
    </font>
    <font>
      <sz val="11"/>
      <color rgb="FF000000"/>
      <name val="Roboto"/>
    </font>
    <font>
      <sz val="11"/>
      <color rgb="FF0000FF"/>
      <name val="Roboto"/>
    </font>
    <font>
      <b/>
      <sz val="11"/>
      <color theme="3" tint="0.39997558519241921"/>
      <name val="Calibri"/>
      <family val="2"/>
      <scheme val="minor"/>
    </font>
    <font>
      <i/>
      <sz val="11"/>
      <color theme="1"/>
      <name val="Roboto"/>
    </font>
    <font>
      <b/>
      <sz val="11"/>
      <color theme="0"/>
      <name val="Roboto"/>
    </font>
    <font>
      <sz val="11"/>
      <color theme="0"/>
      <name val="Roboto"/>
    </font>
    <font>
      <sz val="11"/>
      <name val="Roboto"/>
    </font>
    <font>
      <i/>
      <u/>
      <sz val="11"/>
      <color theme="1"/>
      <name val="Roboto"/>
    </font>
    <font>
      <b/>
      <sz val="11"/>
      <color rgb="FF0000FF"/>
      <name val="Roboto"/>
    </font>
    <font>
      <b/>
      <sz val="11"/>
      <color theme="3"/>
      <name val="Roboto"/>
    </font>
    <font>
      <sz val="11"/>
      <color rgb="FF00B0F0"/>
      <name val="Roboto"/>
    </font>
    <font>
      <sz val="11"/>
      <color theme="1"/>
      <name val="Arial"/>
      <family val="2"/>
    </font>
    <font>
      <b/>
      <sz val="11"/>
      <color theme="1"/>
      <name val="Arial"/>
      <family val="2"/>
    </font>
    <font>
      <u/>
      <sz val="11"/>
      <color theme="10"/>
      <name val="Calibri"/>
      <family val="2"/>
      <scheme val="minor"/>
    </font>
  </fonts>
  <fills count="94">
    <fill>
      <patternFill patternType="none"/>
    </fill>
    <fill>
      <patternFill patternType="gray125"/>
    </fill>
    <fill>
      <patternFill patternType="solid">
        <fgColor rgb="FF00B0F0"/>
        <bgColor indexed="64"/>
      </patternFill>
    </fill>
    <fill>
      <patternFill patternType="solid">
        <fgColor indexed="13"/>
        <bgColor indexed="64"/>
      </patternFill>
    </fill>
    <fill>
      <patternFill patternType="solid">
        <fgColor rgb="FFFFFF00"/>
        <bgColor indexed="64"/>
      </patternFill>
    </fill>
    <fill>
      <patternFill patternType="solid">
        <fgColor rgb="FFFF0000"/>
        <bgColor indexed="64"/>
      </patternFill>
    </fill>
    <fill>
      <patternFill patternType="solid">
        <fgColor theme="3"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rgb="FFFFFFCC"/>
        <bgColor indexed="64"/>
      </patternFill>
    </fill>
    <fill>
      <patternFill patternType="solid">
        <fgColor indexed="48"/>
        <bgColor indexed="64"/>
      </patternFill>
    </fill>
    <fill>
      <patternFill patternType="solid">
        <fgColor theme="3" tint="0.39997558519241921"/>
        <bgColor indexed="64"/>
      </patternFill>
    </fill>
    <fill>
      <patternFill patternType="solid">
        <fgColor indexed="43"/>
      </patternFill>
    </fill>
    <fill>
      <patternFill patternType="solid">
        <fgColor indexed="22"/>
        <bgColor indexed="64"/>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lightGray">
        <fgColor indexed="15"/>
      </patternFill>
    </fill>
    <fill>
      <patternFill patternType="gray0625">
        <fgColor indexed="15"/>
      </patternFill>
    </fill>
    <fill>
      <patternFill patternType="solid">
        <fgColor indexed="41"/>
        <bgColor indexed="64"/>
      </patternFill>
    </fill>
    <fill>
      <patternFill patternType="lightGray">
        <fgColor indexed="12"/>
      </patternFill>
    </fill>
    <fill>
      <patternFill patternType="solid">
        <fgColor indexed="9"/>
        <bgColor indexed="64"/>
      </patternFill>
    </fill>
    <fill>
      <patternFill patternType="solid">
        <fgColor indexed="45"/>
        <bgColor indexed="14"/>
      </patternFill>
    </fill>
    <fill>
      <patternFill patternType="gray0625"/>
    </fill>
    <fill>
      <patternFill patternType="mediumGray"/>
    </fill>
    <fill>
      <patternFill patternType="solid">
        <fgColor indexed="8"/>
        <bgColor indexed="64"/>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lightGray"/>
    </fill>
    <fill>
      <patternFill patternType="solid">
        <fgColor indexed="47"/>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6"/>
        <bgColor indexed="64"/>
      </patternFill>
    </fill>
    <fill>
      <patternFill patternType="solid">
        <fgColor indexed="9"/>
      </patternFill>
    </fill>
    <fill>
      <patternFill patternType="solid">
        <fgColor theme="4" tint="0.79998168889431442"/>
        <bgColor indexed="64"/>
      </patternFill>
    </fill>
    <fill>
      <patternFill patternType="solid">
        <fgColor indexed="62"/>
        <bgColor indexed="64"/>
      </patternFill>
    </fill>
    <fill>
      <patternFill patternType="solid">
        <fgColor indexed="44"/>
        <bgColor indexed="64"/>
      </patternFill>
    </fill>
    <fill>
      <patternFill patternType="solid">
        <fgColor rgb="FFFFFF66"/>
        <bgColor indexed="64"/>
      </patternFill>
    </fill>
    <fill>
      <patternFill patternType="solid">
        <fgColor rgb="FF92D05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9F9F9"/>
        <bgColor indexed="64"/>
      </patternFill>
    </fill>
    <fill>
      <patternFill patternType="solid">
        <fgColor theme="0" tint="-0.14999847407452621"/>
        <bgColor indexed="64"/>
      </patternFill>
    </fill>
    <fill>
      <patternFill patternType="solid">
        <fgColor indexed="48"/>
      </patternFill>
    </fill>
    <fill>
      <patternFill patternType="solid">
        <fgColor indexed="15"/>
        <bgColor indexed="64"/>
      </patternFill>
    </fill>
    <fill>
      <patternFill patternType="solid">
        <fgColor indexed="22"/>
      </patternFill>
    </fill>
    <fill>
      <patternFill patternType="solid">
        <fgColor indexed="15"/>
      </patternFill>
    </fill>
    <fill>
      <patternFill patternType="solid">
        <fgColor indexed="12"/>
      </patternFill>
    </fill>
    <fill>
      <patternFill patternType="solid">
        <fgColor indexed="1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theme="0" tint="-0.14999847407452621"/>
      </patternFill>
    </fill>
    <fill>
      <patternFill patternType="solid">
        <fgColor theme="0" tint="-0.34998626667073579"/>
        <bgColor indexed="64"/>
      </patternFill>
    </fill>
    <fill>
      <patternFill patternType="solid">
        <fgColor rgb="FFFFFFFF"/>
        <bgColor rgb="FF000000"/>
      </patternFill>
    </fill>
    <fill>
      <patternFill patternType="solid">
        <fgColor theme="9" tint="0.79998168889431442"/>
        <bgColor indexed="64"/>
      </patternFill>
    </fill>
  </fills>
  <borders count="9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thick">
        <color indexed="37"/>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bottom style="hair">
        <color indexed="64"/>
      </bottom>
      <diagonal/>
    </border>
    <border>
      <left/>
      <right/>
      <top style="medium">
        <color indexed="32"/>
      </top>
      <bottom style="medium">
        <color indexed="32"/>
      </bottom>
      <diagonal/>
    </border>
    <border>
      <left style="double">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bottom style="medium">
        <color indexed="8"/>
      </bottom>
      <diagonal/>
    </border>
    <border>
      <left/>
      <right/>
      <top style="medium">
        <color indexed="64"/>
      </top>
      <bottom style="medium">
        <color indexed="64"/>
      </bottom>
      <diagonal/>
    </border>
    <border>
      <left/>
      <right/>
      <top style="thin">
        <color indexed="9"/>
      </top>
      <bottom style="thin">
        <color indexed="9"/>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double">
        <color indexed="64"/>
      </left>
      <right/>
      <top style="double">
        <color indexed="64"/>
      </top>
      <bottom/>
      <diagonal/>
    </border>
    <border>
      <left/>
      <right/>
      <top style="double">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thick">
        <color indexed="64"/>
      </top>
      <bottom/>
      <diagonal/>
    </border>
    <border>
      <left/>
      <right/>
      <top/>
      <bottom style="thick">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theme="1"/>
      </top>
      <bottom/>
      <diagonal/>
    </border>
    <border>
      <left/>
      <right/>
      <top style="thin">
        <color indexed="64"/>
      </top>
      <bottom style="thin">
        <color theme="1"/>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theme="1"/>
      </top>
      <bottom style="thin">
        <color indexed="64"/>
      </bottom>
      <diagonal/>
    </border>
  </borders>
  <cellStyleXfs count="2102">
    <xf numFmtId="0" fontId="0"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20" fillId="0" borderId="0"/>
    <xf numFmtId="0" fontId="6" fillId="0" borderId="0"/>
    <xf numFmtId="0" fontId="20" fillId="0" borderId="0"/>
    <xf numFmtId="0" fontId="5" fillId="0" borderId="0"/>
    <xf numFmtId="0" fontId="6" fillId="0" borderId="0"/>
    <xf numFmtId="0" fontId="6" fillId="0" borderId="0"/>
    <xf numFmtId="0" fontId="17" fillId="0" borderId="0"/>
    <xf numFmtId="187" fontId="33" fillId="0" borderId="0">
      <alignment horizontal="right"/>
    </xf>
    <xf numFmtId="0" fontId="5" fillId="0" borderId="0" applyFont="0" applyFill="0" applyBorder="0" applyAlignment="0" applyProtection="0"/>
    <xf numFmtId="188" fontId="34" fillId="0" borderId="0" applyFont="0" applyFill="0" applyBorder="0" applyAlignment="0" applyProtection="0"/>
    <xf numFmtId="0" fontId="35" fillId="0" borderId="0" applyFont="0" applyFill="0" applyBorder="0" applyAlignment="0" applyProtection="0"/>
    <xf numFmtId="189" fontId="5" fillId="0" borderId="0" applyFont="0" applyFill="0" applyBorder="0" applyAlignment="0" applyProtection="0"/>
    <xf numFmtId="0" fontId="36" fillId="0" borderId="0">
      <alignment vertical="top"/>
    </xf>
    <xf numFmtId="0" fontId="35" fillId="0" borderId="0"/>
    <xf numFmtId="0" fontId="6" fillId="0" borderId="0"/>
    <xf numFmtId="0" fontId="35" fillId="0" borderId="0"/>
    <xf numFmtId="0" fontId="5" fillId="0" borderId="0"/>
    <xf numFmtId="0" fontId="5" fillId="0" borderId="0"/>
    <xf numFmtId="171" fontId="37" fillId="0" borderId="0" applyFont="0" applyFill="0" applyBorder="0" applyAlignment="0" applyProtection="0">
      <protection locked="0"/>
    </xf>
    <xf numFmtId="0" fontId="5" fillId="0" borderId="0"/>
    <xf numFmtId="0" fontId="5" fillId="0" borderId="0"/>
    <xf numFmtId="0" fontId="5" fillId="0" borderId="0"/>
    <xf numFmtId="190" fontId="34" fillId="0" borderId="0" applyFont="0" applyFill="0" applyBorder="0" applyAlignment="0" applyProtection="0"/>
    <xf numFmtId="191" fontId="5" fillId="0" borderId="0" applyFont="0" applyFill="0" applyBorder="0" applyAlignment="0" applyProtection="0"/>
    <xf numFmtId="0" fontId="38" fillId="0" borderId="0" applyNumberFormat="0" applyFont="0" applyFill="0" applyBorder="0" applyAlignment="0" applyProtection="0"/>
    <xf numFmtId="0" fontId="39" fillId="0" borderId="0"/>
    <xf numFmtId="0" fontId="5" fillId="0" borderId="0"/>
    <xf numFmtId="192" fontId="39" fillId="0" borderId="0" applyFont="0" applyFill="0" applyBorder="0" applyAlignment="0" applyProtection="0"/>
    <xf numFmtId="193" fontId="39" fillId="0" borderId="0" applyFont="0" applyFill="0" applyBorder="0" applyAlignment="0" applyProtection="0"/>
    <xf numFmtId="0" fontId="40" fillId="0" borderId="0">
      <alignment vertical="center"/>
    </xf>
    <xf numFmtId="0" fontId="5" fillId="0" borderId="0"/>
    <xf numFmtId="3" fontId="39" fillId="0" borderId="0"/>
    <xf numFmtId="0" fontId="5" fillId="0" borderId="0"/>
    <xf numFmtId="0" fontId="5" fillId="0" borderId="0" applyFont="0" applyFill="0" applyBorder="0" applyAlignment="0" applyProtection="0"/>
    <xf numFmtId="0" fontId="40" fillId="0" borderId="0">
      <alignment vertical="center"/>
    </xf>
    <xf numFmtId="0" fontId="40" fillId="0" borderId="0">
      <alignment vertical="center"/>
    </xf>
    <xf numFmtId="194" fontId="39" fillId="0" borderId="0" applyFont="0" applyFill="0" applyBorder="0" applyAlignment="0" applyProtection="0"/>
    <xf numFmtId="0" fontId="5" fillId="0" borderId="0" applyFont="0" applyFill="0" applyBorder="0" applyAlignment="0" applyProtection="0"/>
    <xf numFmtId="194" fontId="5" fillId="0" borderId="0" applyFont="0" applyFill="0" applyBorder="0" applyAlignment="0" applyProtection="0"/>
    <xf numFmtId="19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6" fontId="5" fillId="0" borderId="0" applyFont="0" applyFill="0" applyBorder="0" applyAlignment="0" applyProtection="0"/>
    <xf numFmtId="0" fontId="40" fillId="0" borderId="0">
      <alignment vertical="center"/>
    </xf>
    <xf numFmtId="0" fontId="5" fillId="0" borderId="0" applyFont="0" applyFill="0" applyBorder="0" applyAlignment="0" applyProtection="0"/>
    <xf numFmtId="0" fontId="40" fillId="0" borderId="0">
      <alignment vertical="center"/>
    </xf>
    <xf numFmtId="197" fontId="39" fillId="0" borderId="0" applyFont="0" applyFill="0" applyBorder="0" applyAlignment="0" applyProtection="0"/>
    <xf numFmtId="0" fontId="5" fillId="0" borderId="0" applyFont="0" applyFill="0" applyBorder="0" applyAlignment="0" applyProtection="0"/>
    <xf numFmtId="198" fontId="5" fillId="0" borderId="0" applyFont="0" applyFill="0" applyBorder="0" applyAlignment="0" applyProtection="0"/>
    <xf numFmtId="19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0" fontId="35" fillId="0" borderId="0" applyFont="0" applyFill="0" applyBorder="0" applyAlignment="0" applyProtection="0"/>
    <xf numFmtId="20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9" fontId="5" fillId="0" borderId="0" applyFont="0" applyFill="0" applyBorder="0" applyAlignment="0" applyProtection="0"/>
    <xf numFmtId="202" fontId="39" fillId="0" borderId="0" applyFont="0" applyFill="0" applyBorder="0" applyAlignment="0" applyProtection="0"/>
    <xf numFmtId="202" fontId="5" fillId="0" borderId="0" applyFont="0" applyFill="0" applyBorder="0" applyAlignment="0" applyProtection="0"/>
    <xf numFmtId="196"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xf numFmtId="203" fontId="39" fillId="0" borderId="0" applyFont="0" applyFill="0" applyBorder="0" applyAlignment="0" applyProtection="0"/>
    <xf numFmtId="0" fontId="5" fillId="0" borderId="0"/>
    <xf numFmtId="204" fontId="41" fillId="0" borderId="0" applyNumberForma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04" fontId="39" fillId="15" borderId="0" applyNumberFormat="0" applyFont="0" applyAlignment="0" applyProtection="0"/>
    <xf numFmtId="0" fontId="40" fillId="0" borderId="0">
      <alignment vertical="center"/>
    </xf>
    <xf numFmtId="0" fontId="38" fillId="0" borderId="0" applyNumberFormat="0" applyFill="0" applyBorder="0" applyAlignment="0" applyProtection="0"/>
    <xf numFmtId="0" fontId="40" fillId="0" borderId="0">
      <alignment vertical="center"/>
    </xf>
    <xf numFmtId="205" fontId="39" fillId="0" borderId="0" applyFont="0" applyFill="0" applyBorder="0" applyAlignment="0" applyProtection="0"/>
    <xf numFmtId="0" fontId="5" fillId="0" borderId="0" applyFont="0" applyFill="0" applyBorder="0" applyAlignment="0" applyProtection="0"/>
    <xf numFmtId="205"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195"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195"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195"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195"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195"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08" fontId="5" fillId="0" borderId="0" applyFont="0" applyFill="0" applyBorder="0" applyAlignment="0" applyProtection="0"/>
    <xf numFmtId="195"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9" fontId="5" fillId="0" borderId="0" applyFont="0" applyFill="0" applyBorder="0" applyAlignment="0" applyProtection="0"/>
    <xf numFmtId="210" fontId="39" fillId="0" borderId="0" applyFont="0" applyFill="0" applyBorder="0" applyProtection="0">
      <alignment horizontal="right"/>
    </xf>
    <xf numFmtId="0" fontId="5" fillId="0" borderId="0" applyFont="0" applyFill="0" applyBorder="0" applyAlignment="0" applyProtection="0"/>
    <xf numFmtId="210" fontId="5" fillId="0" borderId="0" applyFont="0" applyFill="0" applyBorder="0" applyProtection="0">
      <alignment horizontal="right"/>
    </xf>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21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21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21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21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5" fillId="0" borderId="0" applyFont="0" applyFill="0" applyBorder="0" applyAlignment="0" applyProtection="0"/>
    <xf numFmtId="216"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21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21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6"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6"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5" fillId="0" borderId="0" applyFont="0" applyFill="0" applyBorder="0" applyAlignment="0" applyProtection="0"/>
    <xf numFmtId="0" fontId="39" fillId="0" borderId="0">
      <alignment vertical="top"/>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8"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9"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2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7" fontId="5" fillId="0" borderId="0" applyFont="0" applyFill="0" applyBorder="0" applyAlignment="0" applyProtection="0"/>
    <xf numFmtId="221"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2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7" fontId="5" fillId="0" borderId="0" applyFont="0" applyFill="0" applyBorder="0" applyAlignment="0" applyProtection="0"/>
    <xf numFmtId="221"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2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7" fontId="5" fillId="0" borderId="0" applyFont="0" applyFill="0" applyBorder="0" applyAlignment="0" applyProtection="0"/>
    <xf numFmtId="221"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2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7" fontId="5" fillId="0" borderId="0" applyFont="0" applyFill="0" applyBorder="0" applyAlignment="0" applyProtection="0"/>
    <xf numFmtId="221"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2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7" fontId="5" fillId="0" borderId="0" applyFont="0" applyFill="0" applyBorder="0" applyAlignment="0" applyProtection="0"/>
    <xf numFmtId="221"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2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7" fontId="5" fillId="0" borderId="0" applyFont="0" applyFill="0" applyBorder="0" applyAlignment="0" applyProtection="0"/>
    <xf numFmtId="221"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20" fontId="5" fillId="0" borderId="0" applyFont="0" applyFill="0" applyBorder="0" applyAlignment="0" applyProtection="0"/>
    <xf numFmtId="0" fontId="5" fillId="0" borderId="0" applyFont="0" applyFill="0" applyBorder="0" applyAlignment="0" applyProtection="0"/>
    <xf numFmtId="0" fontId="35" fillId="0" borderId="0" applyFont="0" applyFill="0" applyBorder="0" applyAlignment="0" applyProtection="0"/>
    <xf numFmtId="207" fontId="5" fillId="0" borderId="0" applyFont="0" applyFill="0" applyBorder="0" applyAlignment="0" applyProtection="0"/>
    <xf numFmtId="221" fontId="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180" fontId="5" fillId="0" borderId="0" applyFont="0" applyFill="0" applyBorder="0" applyAlignment="0" applyProtection="0"/>
    <xf numFmtId="0" fontId="5" fillId="0" borderId="0" applyFont="0" applyFill="0" applyBorder="0" applyAlignment="0" applyProtection="0"/>
    <xf numFmtId="22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204" fontId="42" fillId="0" borderId="0" applyNumberFormat="0" applyFill="0" applyBorder="0" applyProtection="0">
      <alignment vertical="top"/>
    </xf>
    <xf numFmtId="0" fontId="42" fillId="0" borderId="0" applyNumberFormat="0" applyFill="0" applyBorder="0" applyProtection="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04" fontId="43" fillId="0" borderId="24" applyNumberFormat="0" applyFill="0" applyAlignment="0" applyProtection="0"/>
    <xf numFmtId="0" fontId="43" fillId="0" borderId="24"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04" fontId="44" fillId="0" borderId="25" applyNumberFormat="0" applyFill="0" applyProtection="0">
      <alignment horizontal="center"/>
    </xf>
    <xf numFmtId="0" fontId="44" fillId="0" borderId="25" applyNumberFormat="0" applyFill="0" applyProtection="0">
      <alignment horizontal="center"/>
    </xf>
    <xf numFmtId="0" fontId="5" fillId="0" borderId="25" applyNumberFormat="0" applyFill="0" applyProtection="0">
      <alignment horizontal="center"/>
    </xf>
    <xf numFmtId="0" fontId="5" fillId="0" borderId="25" applyNumberFormat="0" applyFill="0" applyProtection="0">
      <alignment horizontal="center"/>
    </xf>
    <xf numFmtId="0" fontId="5" fillId="0" borderId="25" applyNumberFormat="0" applyFill="0" applyProtection="0">
      <alignment horizontal="center"/>
    </xf>
    <xf numFmtId="0" fontId="5" fillId="0" borderId="25" applyNumberFormat="0" applyFill="0" applyProtection="0">
      <alignment horizontal="center"/>
    </xf>
    <xf numFmtId="0" fontId="5" fillId="0" borderId="26" applyNumberFormat="0" applyFont="0" applyFill="0" applyAlignment="0" applyProtection="0"/>
    <xf numFmtId="204" fontId="44" fillId="0" borderId="0" applyNumberFormat="0" applyFill="0" applyBorder="0" applyProtection="0">
      <alignment horizontal="left"/>
    </xf>
    <xf numFmtId="0" fontId="44" fillId="0" borderId="0" applyNumberFormat="0" applyFill="0" applyBorder="0" applyProtection="0">
      <alignment horizontal="left"/>
    </xf>
    <xf numFmtId="0" fontId="5" fillId="0" borderId="0" applyNumberFormat="0" applyFill="0" applyBorder="0" applyProtection="0">
      <alignment horizontal="left"/>
    </xf>
    <xf numFmtId="0" fontId="5" fillId="0" borderId="0" applyNumberFormat="0" applyFill="0" applyBorder="0" applyProtection="0">
      <alignment horizontal="left"/>
    </xf>
    <xf numFmtId="0" fontId="5" fillId="0" borderId="0" applyNumberFormat="0" applyFill="0" applyBorder="0" applyProtection="0">
      <alignment horizontal="left"/>
    </xf>
    <xf numFmtId="0" fontId="5" fillId="0" borderId="0" applyNumberFormat="0" applyFill="0" applyBorder="0" applyProtection="0">
      <alignment horizontal="left"/>
    </xf>
    <xf numFmtId="204" fontId="45" fillId="0" borderId="0" applyNumberFormat="0" applyFill="0" applyBorder="0" applyProtection="0">
      <alignment horizontal="centerContinuous"/>
    </xf>
    <xf numFmtId="0" fontId="45" fillId="0" borderId="0" applyNumberFormat="0" applyFill="0" applyBorder="0" applyProtection="0">
      <alignment horizontal="centerContinuous"/>
    </xf>
    <xf numFmtId="0" fontId="5" fillId="0" borderId="0" applyNumberFormat="0" applyFill="0" applyBorder="0" applyProtection="0">
      <alignment horizontal="centerContinuous"/>
    </xf>
    <xf numFmtId="0" fontId="5" fillId="0" borderId="0" applyNumberFormat="0" applyFill="0" applyBorder="0" applyProtection="0">
      <alignment horizontal="centerContinuous"/>
    </xf>
    <xf numFmtId="0" fontId="5" fillId="0" borderId="0" applyNumberFormat="0" applyFill="0" applyBorder="0" applyProtection="0">
      <alignment horizontal="centerContinuous"/>
    </xf>
    <xf numFmtId="0" fontId="5" fillId="0" borderId="0" applyNumberFormat="0" applyFill="0" applyBorder="0" applyProtection="0">
      <alignment horizontal="centerContinuous"/>
    </xf>
    <xf numFmtId="0" fontId="39" fillId="0" borderId="0">
      <alignment vertical="top"/>
    </xf>
    <xf numFmtId="0" fontId="5" fillId="0" borderId="0" applyFont="0" applyFill="0" applyBorder="0" applyAlignment="0" applyProtection="0"/>
    <xf numFmtId="0" fontId="5" fillId="0" borderId="0"/>
    <xf numFmtId="3" fontId="39" fillId="0" borderId="0"/>
    <xf numFmtId="223" fontId="37" fillId="0" borderId="0" applyFont="0" applyFill="0" applyBorder="0" applyAlignment="0" applyProtection="0"/>
    <xf numFmtId="224" fontId="37"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5" fillId="0" borderId="0"/>
    <xf numFmtId="0" fontId="37" fillId="0" borderId="0"/>
    <xf numFmtId="0" fontId="37" fillId="0" borderId="0"/>
    <xf numFmtId="0" fontId="47" fillId="0" borderId="0"/>
    <xf numFmtId="204" fontId="48" fillId="0" borderId="0"/>
    <xf numFmtId="9" fontId="5" fillId="0" borderId="0"/>
    <xf numFmtId="0" fontId="5" fillId="0" borderId="0"/>
    <xf numFmtId="0" fontId="5" fillId="0" borderId="0"/>
    <xf numFmtId="0" fontId="5" fillId="0" borderId="0"/>
    <xf numFmtId="0" fontId="5" fillId="0" borderId="0"/>
    <xf numFmtId="172" fontId="48" fillId="0" borderId="0"/>
    <xf numFmtId="167" fontId="48" fillId="0" borderId="0"/>
    <xf numFmtId="2" fontId="48" fillId="0" borderId="0"/>
    <xf numFmtId="10" fontId="48" fillId="0" borderId="0"/>
    <xf numFmtId="38" fontId="37" fillId="0" borderId="27"/>
    <xf numFmtId="164" fontId="5" fillId="0" borderId="0">
      <alignment horizontal="center"/>
    </xf>
    <xf numFmtId="175" fontId="49" fillId="0" borderId="0"/>
    <xf numFmtId="2" fontId="49" fillId="0" borderId="0"/>
    <xf numFmtId="187" fontId="33" fillId="0" borderId="0">
      <alignment horizontal="right"/>
    </xf>
    <xf numFmtId="166" fontId="5" fillId="0" borderId="0">
      <alignment horizontal="center"/>
    </xf>
    <xf numFmtId="165" fontId="5" fillId="0" borderId="0">
      <alignment horizontal="center"/>
    </xf>
    <xf numFmtId="37" fontId="50" fillId="0" borderId="0">
      <alignment horizontal="center"/>
    </xf>
    <xf numFmtId="196" fontId="51" fillId="16" borderId="0" applyFont="0" applyBorder="0"/>
    <xf numFmtId="0" fontId="52" fillId="17" borderId="0"/>
    <xf numFmtId="196" fontId="51" fillId="18" borderId="0" applyNumberFormat="0" applyFont="0" applyBorder="0" applyAlignment="0" applyProtection="0"/>
    <xf numFmtId="196" fontId="40" fillId="19" borderId="0" applyNumberFormat="0" applyFont="0" applyBorder="0" applyAlignment="0" applyProtection="0"/>
    <xf numFmtId="196" fontId="35" fillId="20" borderId="0" applyBorder="0"/>
    <xf numFmtId="196" fontId="5" fillId="0" borderId="28" applyNumberFormat="0" applyBorder="0" applyAlignment="0" applyProtection="0"/>
    <xf numFmtId="173" fontId="53" fillId="0" borderId="0" applyBorder="0">
      <alignment horizontal="right"/>
    </xf>
    <xf numFmtId="173" fontId="35" fillId="0" borderId="28" applyBorder="0">
      <alignment horizontal="right"/>
    </xf>
    <xf numFmtId="167" fontId="54" fillId="0" borderId="0" applyBorder="0">
      <alignment horizontal="right"/>
    </xf>
    <xf numFmtId="167" fontId="55" fillId="0" borderId="28" applyBorder="0">
      <alignment horizontal="right"/>
    </xf>
    <xf numFmtId="196" fontId="56" fillId="0" borderId="0">
      <alignment horizontal="left" indent="1"/>
    </xf>
    <xf numFmtId="196" fontId="57" fillId="0" borderId="11" applyBorder="0"/>
    <xf numFmtId="196" fontId="51" fillId="21" borderId="28" applyNumberFormat="0" applyFont="0" applyBorder="0" applyAlignment="0" applyProtection="0"/>
    <xf numFmtId="173" fontId="58" fillId="22" borderId="11" applyBorder="0">
      <alignment horizontal="right"/>
    </xf>
    <xf numFmtId="173" fontId="58" fillId="0" borderId="11" applyBorder="0">
      <alignment horizontal="right"/>
    </xf>
    <xf numFmtId="196" fontId="39" fillId="0" borderId="28" applyNumberFormat="0" applyBorder="0" applyAlignment="0" applyProtection="0"/>
    <xf numFmtId="0" fontId="58" fillId="16" borderId="29" applyBorder="0">
      <alignment horizontal="center"/>
    </xf>
    <xf numFmtId="225" fontId="59" fillId="16" borderId="1">
      <alignment horizontal="right"/>
    </xf>
    <xf numFmtId="0" fontId="5" fillId="22" borderId="0" applyNumberFormat="0" applyFont="0"/>
    <xf numFmtId="0" fontId="46" fillId="0" borderId="0"/>
    <xf numFmtId="0" fontId="60" fillId="0" borderId="0"/>
    <xf numFmtId="226" fontId="37" fillId="0" borderId="0" applyFont="0" applyFill="0" applyBorder="0" applyAlignment="0" applyProtection="0"/>
    <xf numFmtId="227" fontId="61" fillId="0" borderId="0" applyFont="0" applyFill="0" applyBorder="0" applyAlignment="0" applyProtection="0"/>
    <xf numFmtId="0" fontId="5" fillId="0" borderId="0">
      <alignment horizontal="right"/>
    </xf>
    <xf numFmtId="0" fontId="62" fillId="0" borderId="0" applyNumberFormat="0" applyFill="0" applyBorder="0" applyAlignment="0" applyProtection="0"/>
    <xf numFmtId="0" fontId="63" fillId="0" borderId="30" applyNumberFormat="0" applyFill="0" applyAlignment="0" applyProtection="0"/>
    <xf numFmtId="0" fontId="52" fillId="0" borderId="0"/>
    <xf numFmtId="0" fontId="37" fillId="0" borderId="0"/>
    <xf numFmtId="0" fontId="64" fillId="0" borderId="0" applyNumberFormat="0" applyFill="0" applyBorder="0" applyAlignment="0" applyProtection="0"/>
    <xf numFmtId="0" fontId="65" fillId="17" borderId="31"/>
    <xf numFmtId="0" fontId="66" fillId="17" borderId="32">
      <alignment horizontal="center" vertical="center"/>
    </xf>
    <xf numFmtId="0" fontId="67" fillId="0" borderId="11" applyNumberFormat="0" applyFill="0" applyBorder="0" applyAlignment="0" applyProtection="0"/>
    <xf numFmtId="0" fontId="68" fillId="0" borderId="1" applyNumberFormat="0" applyFill="0" applyAlignment="0" applyProtection="0"/>
    <xf numFmtId="0" fontId="58" fillId="0" borderId="33">
      <alignment horizontal="right"/>
    </xf>
    <xf numFmtId="0" fontId="46"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28" fontId="37" fillId="0" borderId="0">
      <alignment horizontal="right"/>
    </xf>
    <xf numFmtId="228" fontId="37" fillId="0" borderId="0">
      <alignment horizontal="right"/>
    </xf>
    <xf numFmtId="43" fontId="37" fillId="0" borderId="0">
      <alignment horizontal="right"/>
    </xf>
    <xf numFmtId="228" fontId="37" fillId="0" borderId="0">
      <alignment horizontal="right"/>
    </xf>
    <xf numFmtId="228" fontId="37" fillId="0" borderId="0">
      <alignment horizontal="right"/>
    </xf>
    <xf numFmtId="228" fontId="37" fillId="0" borderId="0">
      <alignment horizontal="right"/>
    </xf>
    <xf numFmtId="43" fontId="37" fillId="0" borderId="0">
      <alignment horizontal="right"/>
    </xf>
    <xf numFmtId="228" fontId="37" fillId="0" borderId="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29" fontId="70" fillId="0" borderId="0" applyFill="0" applyBorder="0" applyAlignment="0"/>
    <xf numFmtId="230" fontId="70" fillId="0" borderId="0" applyFill="0" applyBorder="0" applyAlignment="0"/>
    <xf numFmtId="231" fontId="70" fillId="0" borderId="0" applyFill="0" applyBorder="0" applyAlignment="0"/>
    <xf numFmtId="232" fontId="70" fillId="0" borderId="0" applyFill="0" applyBorder="0" applyAlignment="0"/>
    <xf numFmtId="233" fontId="70" fillId="0" borderId="0" applyFill="0" applyBorder="0" applyAlignment="0"/>
    <xf numFmtId="229" fontId="70" fillId="0" borderId="0" applyFill="0" applyBorder="0" applyAlignment="0"/>
    <xf numFmtId="234" fontId="70" fillId="0" borderId="0" applyFill="0" applyBorder="0" applyAlignment="0"/>
    <xf numFmtId="230" fontId="70" fillId="0" borderId="0" applyFill="0" applyBorder="0" applyAlignment="0"/>
    <xf numFmtId="39" fontId="71" fillId="0" borderId="7" applyNumberFormat="0" applyFill="0" applyBorder="0"/>
    <xf numFmtId="0" fontId="72" fillId="23" borderId="0" applyNumberFormat="0" applyFont="0" applyBorder="0" applyAlignment="0"/>
    <xf numFmtId="235" fontId="35" fillId="0" borderId="34"/>
    <xf numFmtId="1" fontId="73" fillId="0" borderId="0"/>
    <xf numFmtId="0" fontId="74" fillId="19" borderId="0"/>
    <xf numFmtId="236" fontId="75" fillId="0" borderId="0" applyNumberFormat="0" applyAlignment="0">
      <alignment vertical="center"/>
    </xf>
    <xf numFmtId="0" fontId="76" fillId="0" borderId="1" applyNumberFormat="0" applyFill="0" applyProtection="0">
      <alignment horizontal="left" vertical="center"/>
    </xf>
    <xf numFmtId="0" fontId="48" fillId="0" borderId="0">
      <alignment horizontal="center" wrapText="1"/>
      <protection hidden="1"/>
    </xf>
    <xf numFmtId="0" fontId="77" fillId="0" borderId="33" applyNumberFormat="0" applyFill="0" applyProtection="0">
      <alignment horizontal="center" vertical="center"/>
    </xf>
    <xf numFmtId="0" fontId="78" fillId="0" borderId="1" applyNumberFormat="0" applyFill="0" applyBorder="0" applyProtection="0">
      <alignment horizontal="right" vertical="center"/>
    </xf>
    <xf numFmtId="0" fontId="79" fillId="24" borderId="21" applyNumberFormat="0" applyProtection="0">
      <alignment horizontal="center" vertical="center" wrapText="1"/>
    </xf>
    <xf numFmtId="0" fontId="79" fillId="24" borderId="0" applyNumberFormat="0" applyBorder="0" applyProtection="0">
      <alignment horizontal="centerContinuous" vertical="center"/>
    </xf>
    <xf numFmtId="0" fontId="79" fillId="24" borderId="3" applyNumberFormat="0" applyBorder="0" applyProtection="0">
      <alignment horizontal="center" vertical="center" wrapText="1"/>
    </xf>
    <xf numFmtId="0" fontId="58" fillId="25" borderId="0" applyNumberFormat="0">
      <alignment horizontal="center" vertical="top" wrapText="1"/>
    </xf>
    <xf numFmtId="0" fontId="58" fillId="25" borderId="0" applyNumberFormat="0">
      <alignment horizontal="left" vertical="top" wrapText="1"/>
    </xf>
    <xf numFmtId="0" fontId="58" fillId="25" borderId="0" applyNumberFormat="0">
      <alignment horizontal="centerContinuous" vertical="top"/>
    </xf>
    <xf numFmtId="0" fontId="39" fillId="25" borderId="0" applyNumberFormat="0">
      <alignment horizontal="center" vertical="top" wrapText="1"/>
    </xf>
    <xf numFmtId="0" fontId="58" fillId="19" borderId="0" applyNumberFormat="0">
      <alignment horizontal="center" vertical="top" wrapText="1"/>
    </xf>
    <xf numFmtId="0" fontId="37" fillId="0" borderId="35" applyNumberFormat="0" applyFont="0" applyFill="0" applyAlignment="0" applyProtection="0">
      <alignment horizontal="left"/>
    </xf>
    <xf numFmtId="0" fontId="80" fillId="0" borderId="0" applyFont="0" applyFill="0" applyBorder="0" applyAlignment="0" applyProtection="0"/>
    <xf numFmtId="229" fontId="5" fillId="0" borderId="0" applyFont="0" applyFill="0" applyBorder="0" applyAlignment="0" applyProtection="0"/>
    <xf numFmtId="196" fontId="5" fillId="0" borderId="0" applyFont="0" applyFill="0" applyBorder="0" applyAlignment="0" applyProtection="0"/>
    <xf numFmtId="237" fontId="37" fillId="0" borderId="0" applyFont="0" applyFill="0" applyBorder="0" applyAlignment="0" applyProtection="0"/>
    <xf numFmtId="238" fontId="37" fillId="0" borderId="0" applyFont="0" applyFill="0" applyBorder="0" applyAlignment="0" applyProtection="0"/>
    <xf numFmtId="196" fontId="5" fillId="0" borderId="0" applyFont="0" applyFill="0" applyBorder="0" applyAlignment="0" applyProtection="0"/>
    <xf numFmtId="0" fontId="81" fillId="0" borderId="0" applyFont="0" applyFill="0" applyBorder="0" applyAlignment="0" applyProtection="0"/>
    <xf numFmtId="0" fontId="82" fillId="0" borderId="0" applyFont="0" applyFill="0" applyBorder="0" applyAlignment="0" applyProtection="0">
      <alignment horizontal="right"/>
    </xf>
    <xf numFmtId="239" fontId="82" fillId="0" borderId="0" applyFont="0" applyFill="0" applyBorder="0" applyAlignment="0" applyProtection="0">
      <alignment horizontal="righ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0" fontId="82" fillId="0" borderId="0" applyFont="0" applyFill="0" applyBorder="0" applyAlignment="0" applyProtection="0">
      <alignment horizontal="right"/>
    </xf>
    <xf numFmtId="241" fontId="5" fillId="0" borderId="0" applyFont="0" applyFill="0" applyBorder="0" applyAlignment="0" applyProtection="0"/>
    <xf numFmtId="228" fontId="3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5" fillId="0" borderId="0"/>
    <xf numFmtId="196" fontId="83" fillId="0" borderId="0" applyFont="0" applyFill="0" applyBorder="0" applyAlignment="0" applyProtection="0"/>
    <xf numFmtId="39" fontId="83" fillId="0" borderId="0" applyFont="0" applyFill="0" applyBorder="0" applyAlignment="0" applyProtection="0"/>
    <xf numFmtId="0" fontId="84" fillId="0" borderId="0"/>
    <xf numFmtId="0" fontId="49" fillId="0" borderId="0"/>
    <xf numFmtId="0" fontId="84" fillId="0" borderId="0"/>
    <xf numFmtId="0" fontId="49" fillId="0" borderId="0"/>
    <xf numFmtId="0" fontId="85" fillId="26" borderId="0">
      <alignment horizontal="center" vertical="center" wrapText="1"/>
    </xf>
    <xf numFmtId="0" fontId="5" fillId="0" borderId="0"/>
    <xf numFmtId="0" fontId="86" fillId="0" borderId="0" applyNumberFormat="0" applyAlignment="0">
      <alignment horizontal="left"/>
    </xf>
    <xf numFmtId="196" fontId="5" fillId="0" borderId="0" applyFill="0" applyBorder="0" applyAlignment="0" applyProtection="0">
      <alignment horizontal="left"/>
    </xf>
    <xf numFmtId="0" fontId="48" fillId="0" borderId="0" applyFill="0" applyBorder="0">
      <alignment horizontal="right"/>
      <protection locked="0"/>
    </xf>
    <xf numFmtId="242" fontId="46" fillId="0" borderId="0" applyFont="0"/>
    <xf numFmtId="243" fontId="39" fillId="0" borderId="0" applyFont="0" applyFill="0" applyBorder="0" applyAlignment="0" applyProtection="0">
      <alignment vertical="center"/>
    </xf>
    <xf numFmtId="244" fontId="46" fillId="0" borderId="0" applyFont="0"/>
    <xf numFmtId="244" fontId="46" fillId="0" borderId="0" applyFont="0"/>
    <xf numFmtId="244" fontId="46" fillId="0" borderId="0" applyFont="0"/>
    <xf numFmtId="230" fontId="5" fillId="0" borderId="0" applyFont="0" applyFill="0" applyBorder="0" applyAlignment="0" applyProtection="0"/>
    <xf numFmtId="245" fontId="87" fillId="0" borderId="0" applyFont="0" applyBorder="0" applyAlignment="0"/>
    <xf numFmtId="0" fontId="82" fillId="0" borderId="0" applyFont="0" applyFill="0" applyBorder="0" applyAlignment="0" applyProtection="0">
      <alignment horizontal="right"/>
    </xf>
    <xf numFmtId="246" fontId="82" fillId="0" borderId="0" applyFont="0" applyFill="0" applyBorder="0" applyAlignment="0" applyProtection="0">
      <alignment horizontal="right"/>
    </xf>
    <xf numFmtId="0" fontId="82" fillId="0" borderId="0" applyFont="0" applyFill="0" applyBorder="0" applyAlignment="0" applyProtection="0">
      <alignment horizontal="right"/>
    </xf>
    <xf numFmtId="247" fontId="82" fillId="0" borderId="0" applyFont="0" applyFill="0" applyBorder="0" applyAlignment="0" applyProtection="0">
      <alignment horizontal="right"/>
    </xf>
    <xf numFmtId="248" fontId="39" fillId="0" borderId="0" applyFont="0" applyFill="0" applyBorder="0" applyAlignment="0" applyProtection="0">
      <alignment vertical="center"/>
    </xf>
    <xf numFmtId="249" fontId="39" fillId="0" borderId="0" applyFont="0" applyFill="0" applyBorder="0" applyAlignment="0" applyProtection="0">
      <alignment vertical="center"/>
    </xf>
    <xf numFmtId="250" fontId="39" fillId="0" borderId="0" applyFont="0" applyFill="0" applyBorder="0" applyAlignment="0" applyProtection="0">
      <alignment vertical="center"/>
    </xf>
    <xf numFmtId="251" fontId="39" fillId="0" borderId="0" applyFont="0" applyFill="0" applyBorder="0" applyAlignment="0" applyProtection="0">
      <alignment vertical="center"/>
    </xf>
    <xf numFmtId="252" fontId="39" fillId="0" borderId="0" applyFont="0" applyFill="0" applyBorder="0" applyAlignment="0" applyProtection="0">
      <alignment vertical="center"/>
    </xf>
    <xf numFmtId="253" fontId="39" fillId="0" borderId="0" applyFont="0" applyFill="0" applyBorder="0" applyAlignment="0" applyProtection="0">
      <alignment vertical="center"/>
    </xf>
    <xf numFmtId="254" fontId="39" fillId="0" borderId="0" applyFont="0" applyFill="0" applyBorder="0" applyAlignment="0" applyProtection="0">
      <alignment vertical="center"/>
    </xf>
    <xf numFmtId="255" fontId="39" fillId="0" borderId="0" applyFont="0" applyFill="0" applyBorder="0" applyAlignment="0" applyProtection="0">
      <alignment vertical="center"/>
    </xf>
    <xf numFmtId="256" fontId="39" fillId="0" borderId="0" applyFont="0" applyFill="0" applyBorder="0" applyAlignment="0" applyProtection="0">
      <alignment vertical="center"/>
    </xf>
    <xf numFmtId="257" fontId="39" fillId="0" borderId="0" applyFont="0" applyFill="0" applyBorder="0" applyAlignment="0" applyProtection="0">
      <alignment vertical="center"/>
    </xf>
    <xf numFmtId="258" fontId="39" fillId="0" borderId="0" applyFont="0" applyFill="0" applyBorder="0" applyAlignment="0" applyProtection="0">
      <alignment vertical="center"/>
    </xf>
    <xf numFmtId="259" fontId="39" fillId="0" borderId="0" applyFont="0" applyFill="0" applyBorder="0" applyAlignment="0" applyProtection="0">
      <alignment vertical="center"/>
    </xf>
    <xf numFmtId="260" fontId="83" fillId="0" borderId="0" applyFont="0" applyFill="0" applyBorder="0" applyAlignment="0" applyProtection="0"/>
    <xf numFmtId="245" fontId="83" fillId="0" borderId="0" applyFont="0" applyFill="0" applyBorder="0" applyAlignment="0" applyProtection="0"/>
    <xf numFmtId="187" fontId="88" fillId="0" borderId="0">
      <alignment horizontal="right"/>
    </xf>
    <xf numFmtId="187" fontId="88" fillId="0" borderId="0" applyNumberFormat="0" applyAlignment="0">
      <alignment horizontal="right"/>
    </xf>
    <xf numFmtId="0" fontId="46" fillId="0" borderId="0" applyFont="0" applyFill="0" applyBorder="0" applyAlignment="0" applyProtection="0"/>
    <xf numFmtId="0" fontId="89" fillId="0" borderId="0">
      <protection locked="0"/>
    </xf>
    <xf numFmtId="0" fontId="5" fillId="0" borderId="0">
      <alignment horizontal="right"/>
      <protection locked="0"/>
    </xf>
    <xf numFmtId="261" fontId="39" fillId="0" borderId="0" applyFont="0" applyFill="0" applyBorder="0" applyAlignment="0" applyProtection="0">
      <alignment vertical="center"/>
    </xf>
    <xf numFmtId="262" fontId="39" fillId="0" borderId="0" applyFont="0" applyFill="0" applyBorder="0" applyAlignment="0" applyProtection="0">
      <alignment vertical="center"/>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14" fontId="8" fillId="0" borderId="2" applyFont="0">
      <alignment horizontal="right"/>
    </xf>
    <xf numFmtId="263" fontId="82" fillId="0" borderId="0" applyFont="0" applyFill="0" applyBorder="0" applyAlignment="0" applyProtection="0"/>
    <xf numFmtId="263" fontId="82" fillId="0" borderId="0" applyFont="0" applyFill="0" applyBorder="0" applyAlignment="0" applyProtection="0"/>
    <xf numFmtId="14" fontId="70" fillId="0" borderId="0" applyFill="0" applyBorder="0" applyAlignment="0"/>
    <xf numFmtId="0" fontId="5" fillId="0" borderId="0">
      <alignment horizontal="right"/>
      <protection locked="0"/>
    </xf>
    <xf numFmtId="264" fontId="90" fillId="0" borderId="0"/>
    <xf numFmtId="265" fontId="88" fillId="0" borderId="0"/>
    <xf numFmtId="266" fontId="88" fillId="0" borderId="0"/>
    <xf numFmtId="0" fontId="91" fillId="27" borderId="0" applyNumberFormat="0" applyFont="0" applyFill="0" applyBorder="0" applyAlignment="0" applyProtection="0"/>
    <xf numFmtId="267" fontId="92" fillId="0" borderId="7" applyNumberFormat="0" applyFill="0" applyBorder="0" applyAlignment="0">
      <alignment horizontal="left"/>
      <protection locked="0"/>
    </xf>
    <xf numFmtId="268" fontId="37" fillId="0" borderId="0" applyFont="0" applyFill="0" applyBorder="0" applyAlignment="0" applyProtection="0"/>
    <xf numFmtId="0" fontId="93" fillId="0" borderId="0">
      <protection locked="0"/>
    </xf>
    <xf numFmtId="0" fontId="89" fillId="0" borderId="0">
      <protection locked="0"/>
    </xf>
    <xf numFmtId="269" fontId="5" fillId="0" borderId="0"/>
    <xf numFmtId="270" fontId="70" fillId="0" borderId="0" applyFont="0" applyFill="0" applyBorder="0" applyAlignment="0" applyProtection="0">
      <protection locked="0"/>
    </xf>
    <xf numFmtId="0" fontId="82" fillId="0" borderId="36" applyNumberFormat="0" applyFont="0" applyFill="0" applyAlignment="0" applyProtection="0"/>
    <xf numFmtId="271" fontId="82" fillId="0" borderId="36" applyNumberFormat="0" applyFont="0" applyFill="0" applyAlignment="0" applyProtection="0"/>
    <xf numFmtId="167" fontId="37" fillId="0" borderId="0">
      <alignment horizontal="right"/>
    </xf>
    <xf numFmtId="167" fontId="94" fillId="16" borderId="37" applyNumberFormat="0" applyAlignment="0" applyProtection="0">
      <alignment vertical="top"/>
    </xf>
    <xf numFmtId="187" fontId="88" fillId="0" borderId="11">
      <alignment horizontal="right"/>
    </xf>
    <xf numFmtId="0" fontId="95" fillId="0" borderId="0">
      <protection locked="0"/>
    </xf>
    <xf numFmtId="0" fontId="95" fillId="0" borderId="0">
      <protection locked="0"/>
    </xf>
    <xf numFmtId="229" fontId="96" fillId="0" borderId="0" applyFill="0" applyBorder="0" applyAlignment="0"/>
    <xf numFmtId="230" fontId="96" fillId="0" borderId="0" applyFill="0" applyBorder="0" applyAlignment="0"/>
    <xf numFmtId="229" fontId="96" fillId="0" borderId="0" applyFill="0" applyBorder="0" applyAlignment="0"/>
    <xf numFmtId="234" fontId="96" fillId="0" borderId="0" applyFill="0" applyBorder="0" applyAlignment="0"/>
    <xf numFmtId="230" fontId="96" fillId="0" borderId="0" applyFill="0" applyBorder="0" applyAlignment="0"/>
    <xf numFmtId="0" fontId="97" fillId="0" borderId="0" applyNumberFormat="0" applyAlignment="0">
      <alignment horizontal="left"/>
    </xf>
    <xf numFmtId="272" fontId="37" fillId="0" borderId="0" applyFont="0" applyFill="0" applyBorder="0" applyAlignment="0"/>
    <xf numFmtId="273" fontId="5" fillId="28" borderId="0" applyFont="0" applyFill="0" applyBorder="0" applyAlignment="0"/>
    <xf numFmtId="274" fontId="5" fillId="0" borderId="0" applyFont="0" applyFill="0" applyBorder="0" applyAlignment="0" applyProtection="0"/>
    <xf numFmtId="187" fontId="33" fillId="0" borderId="0">
      <alignment horizontal="right"/>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0" fontId="99" fillId="0" borderId="0"/>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0" fontId="99" fillId="0" borderId="0"/>
    <xf numFmtId="9" fontId="98" fillId="16" borderId="5" applyNumberFormat="0" applyFont="0" applyFill="0" applyBorder="0" applyAlignment="0" applyProtection="0">
      <alignment horizontal="left" vertical="center" wrapText="1"/>
      <protection hidden="1"/>
    </xf>
    <xf numFmtId="0" fontId="99" fillId="0" borderId="0"/>
    <xf numFmtId="0" fontId="99" fillId="0" borderId="0"/>
    <xf numFmtId="0" fontId="99" fillId="0" borderId="0"/>
    <xf numFmtId="0" fontId="99" fillId="0" borderId="0"/>
    <xf numFmtId="0" fontId="99" fillId="0" borderId="0"/>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0" fontId="99" fillId="0" borderId="0"/>
    <xf numFmtId="0" fontId="99" fillId="0" borderId="0"/>
    <xf numFmtId="0" fontId="99" fillId="0" borderId="0"/>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9" fontId="98" fillId="16" borderId="5" applyNumberFormat="0" applyFont="0" applyFill="0" applyBorder="0" applyAlignment="0" applyProtection="0">
      <alignment horizontal="left" vertical="center" wrapText="1"/>
      <protection hidden="1"/>
    </xf>
    <xf numFmtId="0" fontId="99" fillId="0" borderId="0"/>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0" fontId="89" fillId="0" borderId="0">
      <protection locked="0"/>
    </xf>
    <xf numFmtId="265" fontId="33" fillId="0" borderId="0">
      <alignment horizontal="right"/>
    </xf>
    <xf numFmtId="266" fontId="33" fillId="0" borderId="0">
      <alignment horizontal="right"/>
    </xf>
    <xf numFmtId="0" fontId="89" fillId="0" borderId="0">
      <protection locked="0"/>
    </xf>
    <xf numFmtId="0" fontId="89" fillId="0" borderId="0">
      <protection locked="0"/>
    </xf>
    <xf numFmtId="0" fontId="100" fillId="0" borderId="0" applyFont="0" applyFill="0" applyBorder="0" applyAlignment="0" applyProtection="0">
      <alignment horizontal="right"/>
    </xf>
    <xf numFmtId="275" fontId="89" fillId="0" borderId="0">
      <protection locked="0"/>
    </xf>
    <xf numFmtId="276" fontId="5" fillId="0" borderId="0" applyProtection="0">
      <alignment horizontal="left"/>
    </xf>
    <xf numFmtId="0" fontId="35" fillId="0" borderId="0" applyNumberFormat="0" applyFill="0" applyBorder="0" applyAlignment="0" applyProtection="0"/>
    <xf numFmtId="0" fontId="101" fillId="0" borderId="0" applyFill="0" applyBorder="0" applyProtection="0">
      <alignment horizontal="left"/>
    </xf>
    <xf numFmtId="0" fontId="101" fillId="0" borderId="0" applyFill="0" applyBorder="0" applyProtection="0">
      <alignment horizontal="left"/>
    </xf>
    <xf numFmtId="0" fontId="35" fillId="0" borderId="0"/>
    <xf numFmtId="0" fontId="35" fillId="0" borderId="0"/>
    <xf numFmtId="38" fontId="35" fillId="16"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applyNumberFormat="0" applyFill="0" applyProtection="0">
      <alignment horizontal="left"/>
    </xf>
    <xf numFmtId="0" fontId="102" fillId="19" borderId="0" applyNumberFormat="0">
      <alignment vertical="center"/>
    </xf>
    <xf numFmtId="0" fontId="103" fillId="0" borderId="0" applyNumberFormat="0" applyFill="0" applyBorder="0" applyAlignment="0" applyProtection="0">
      <alignment vertical="center"/>
    </xf>
    <xf numFmtId="0" fontId="37" fillId="0" borderId="38">
      <alignment horizontal="centerContinuous"/>
    </xf>
    <xf numFmtId="0" fontId="104" fillId="0" borderId="0" applyNumberFormat="0" applyFill="0" applyBorder="0" applyAlignment="0" applyProtection="0">
      <alignment vertical="center"/>
    </xf>
    <xf numFmtId="0" fontId="37" fillId="0" borderId="0">
      <alignment horizontal="centerContinuous"/>
    </xf>
    <xf numFmtId="0" fontId="105" fillId="0" borderId="0" applyNumberFormat="0" applyFill="0" applyBorder="0" applyAlignment="0" applyProtection="0">
      <alignment horizontal="left" vertical="center"/>
    </xf>
    <xf numFmtId="0" fontId="58" fillId="0" borderId="0" applyNumberFormat="0" applyFill="0" applyBorder="0" applyAlignment="0" applyProtection="0">
      <alignment vertical="center"/>
    </xf>
    <xf numFmtId="2" fontId="106" fillId="29" borderId="0"/>
    <xf numFmtId="0" fontId="82" fillId="0" borderId="0" applyFont="0" applyFill="0" applyBorder="0" applyAlignment="0" applyProtection="0">
      <alignment horizontal="right"/>
    </xf>
    <xf numFmtId="277" fontId="82" fillId="0" borderId="0" applyFont="0" applyFill="0" applyBorder="0" applyAlignment="0" applyProtection="0">
      <alignment horizontal="right"/>
    </xf>
    <xf numFmtId="0" fontId="107" fillId="30" borderId="0" applyNumberFormat="0" applyBorder="0" applyProtection="0">
      <alignment horizontal="left" vertical="center"/>
    </xf>
    <xf numFmtId="0" fontId="108" fillId="1" borderId="0" applyNumberFormat="0" applyBorder="0" applyProtection="0">
      <alignment horizontal="left" vertical="center"/>
    </xf>
    <xf numFmtId="0" fontId="109" fillId="0" borderId="0" applyProtection="0">
      <alignment horizontal="right"/>
    </xf>
    <xf numFmtId="0" fontId="109" fillId="0" borderId="0" applyProtection="0">
      <alignment horizontal="right"/>
    </xf>
    <xf numFmtId="0" fontId="105" fillId="0" borderId="39" applyNumberFormat="0" applyAlignment="0" applyProtection="0">
      <alignment horizontal="left" vertical="center"/>
    </xf>
    <xf numFmtId="0" fontId="105" fillId="0" borderId="2">
      <alignment horizontal="left" vertical="center"/>
    </xf>
    <xf numFmtId="0" fontId="110" fillId="31" borderId="0" applyProtection="0"/>
    <xf numFmtId="0" fontId="37" fillId="0" borderId="21">
      <alignment horizontal="centerContinuous"/>
    </xf>
    <xf numFmtId="0" fontId="39" fillId="3" borderId="0" applyNumberFormat="0" applyFont="0" applyBorder="0" applyAlignment="0" applyProtection="0">
      <alignment vertical="center"/>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68" fillId="0" borderId="0" applyFont="0" applyAlignment="0">
      <alignment horizontal="centerContinuous"/>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88" fillId="0" borderId="3">
      <alignment horizontal="centerContinuous"/>
    </xf>
    <xf numFmtId="49" fontId="37" fillId="0" borderId="40"/>
    <xf numFmtId="49" fontId="37" fillId="0" borderId="0"/>
    <xf numFmtId="49" fontId="116" fillId="0" borderId="0"/>
    <xf numFmtId="0" fontId="46" fillId="0" borderId="0"/>
    <xf numFmtId="0" fontId="37" fillId="0" borderId="0"/>
    <xf numFmtId="0" fontId="37" fillId="0" borderId="0"/>
    <xf numFmtId="0" fontId="117" fillId="0" borderId="0" applyNumberFormat="0" applyFill="0" applyBorder="0" applyAlignment="0" applyProtection="0"/>
    <xf numFmtId="167" fontId="118" fillId="16" borderId="0">
      <protection locked="0"/>
    </xf>
    <xf numFmtId="10" fontId="35" fillId="32" borderId="3" applyNumberFormat="0" applyBorder="0" applyAlignment="0" applyProtection="0"/>
    <xf numFmtId="3" fontId="5" fillId="16" borderId="0">
      <alignment horizontal="right"/>
      <protection locked="0"/>
    </xf>
    <xf numFmtId="173" fontId="5" fillId="16" borderId="0" applyBorder="0">
      <alignment horizontal="right"/>
      <protection locked="0"/>
    </xf>
    <xf numFmtId="3" fontId="119" fillId="16" borderId="0">
      <alignment horizontal="right"/>
      <protection locked="0"/>
    </xf>
    <xf numFmtId="0" fontId="39" fillId="0" borderId="41" applyNumberFormat="0" applyAlignment="0">
      <alignment vertical="center"/>
    </xf>
    <xf numFmtId="3" fontId="120" fillId="0" borderId="12" applyNumberFormat="0" applyFont="0" applyFill="0" applyAlignment="0">
      <alignment horizontal="center" vertical="top"/>
      <protection locked="0"/>
    </xf>
    <xf numFmtId="0" fontId="39" fillId="0" borderId="42" applyNumberFormat="0" applyAlignment="0">
      <alignment vertical="center"/>
      <protection locked="0"/>
    </xf>
    <xf numFmtId="278" fontId="39" fillId="33" borderId="42" applyNumberFormat="0" applyAlignment="0">
      <alignment vertical="center"/>
      <protection locked="0"/>
    </xf>
    <xf numFmtId="0" fontId="39" fillId="19" borderId="0" applyNumberFormat="0" applyAlignment="0">
      <alignment vertical="center"/>
    </xf>
    <xf numFmtId="0" fontId="39" fillId="34" borderId="0" applyNumberFormat="0" applyAlignment="0">
      <alignment vertical="center"/>
    </xf>
    <xf numFmtId="0" fontId="106" fillId="0" borderId="0" applyNumberFormat="0" applyFill="0" applyBorder="0" applyAlignment="0" applyProtection="0"/>
    <xf numFmtId="0" fontId="39" fillId="0" borderId="43" applyNumberFormat="0" applyAlignment="0">
      <alignment vertical="center"/>
      <protection locked="0"/>
    </xf>
    <xf numFmtId="10" fontId="121" fillId="0" borderId="0"/>
    <xf numFmtId="10" fontId="5" fillId="0" borderId="0">
      <protection locked="0"/>
    </xf>
    <xf numFmtId="167" fontId="35" fillId="32" borderId="1" applyNumberFormat="0" applyFont="0" applyAlignment="0" applyProtection="0">
      <alignment horizontal="center"/>
      <protection locked="0"/>
    </xf>
    <xf numFmtId="0" fontId="96" fillId="0" borderId="0" applyNumberFormat="0" applyFill="0" applyBorder="0" applyAlignment="0">
      <protection locked="0"/>
    </xf>
    <xf numFmtId="0" fontId="106" fillId="0" borderId="0" applyNumberFormat="0" applyFill="0" applyBorder="0" applyAlignment="0">
      <protection locked="0"/>
    </xf>
    <xf numFmtId="15" fontId="5" fillId="0" borderId="0">
      <protection locked="0"/>
    </xf>
    <xf numFmtId="2" fontId="5" fillId="0" borderId="44">
      <protection locked="0"/>
    </xf>
    <xf numFmtId="0" fontId="5" fillId="0" borderId="0">
      <protection locked="0"/>
    </xf>
    <xf numFmtId="0" fontId="48" fillId="0" borderId="0" applyFill="0" applyBorder="0">
      <alignment horizontal="right"/>
      <protection locked="0"/>
    </xf>
    <xf numFmtId="279" fontId="122" fillId="0" borderId="7" applyFill="0" applyBorder="0" applyProtection="0"/>
    <xf numFmtId="0" fontId="48" fillId="0" borderId="0" applyFill="0" applyBorder="0">
      <alignment horizontal="right"/>
      <protection locked="0"/>
    </xf>
    <xf numFmtId="280" fontId="123" fillId="35" borderId="0" applyBorder="0"/>
    <xf numFmtId="0" fontId="124" fillId="36" borderId="45">
      <alignment horizontal="left" vertical="center" wrapText="1"/>
    </xf>
    <xf numFmtId="4" fontId="106" fillId="29" borderId="0"/>
    <xf numFmtId="0" fontId="125" fillId="0" borderId="0" applyNumberFormat="0" applyFill="0" applyBorder="0" applyAlignment="0"/>
    <xf numFmtId="0" fontId="126" fillId="0" borderId="0" applyNumberFormat="0" applyFill="0" applyBorder="0" applyProtection="0">
      <alignment horizontal="left" vertical="center"/>
    </xf>
    <xf numFmtId="38" fontId="127" fillId="0" borderId="0"/>
    <xf numFmtId="38" fontId="128" fillId="0" borderId="0"/>
    <xf numFmtId="38" fontId="129" fillId="0" borderId="0"/>
    <xf numFmtId="38" fontId="130" fillId="0" borderId="0"/>
    <xf numFmtId="0" fontId="47" fillId="0" borderId="0"/>
    <xf numFmtId="0" fontId="47" fillId="0" borderId="0"/>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171" fontId="131" fillId="0" borderId="1" applyNumberFormat="0" applyFill="0">
      <alignment vertical="center"/>
    </xf>
    <xf numFmtId="1" fontId="5" fillId="0" borderId="0" applyNumberFormat="0" applyBorder="0" applyAlignment="0">
      <alignment horizontal="right"/>
    </xf>
    <xf numFmtId="229" fontId="132" fillId="0" borderId="0" applyFill="0" applyBorder="0" applyAlignment="0"/>
    <xf numFmtId="230" fontId="132" fillId="0" borderId="0" applyFill="0" applyBorder="0" applyAlignment="0"/>
    <xf numFmtId="229" fontId="132" fillId="0" borderId="0" applyFill="0" applyBorder="0" applyAlignment="0"/>
    <xf numFmtId="234" fontId="132" fillId="0" borderId="0" applyFill="0" applyBorder="0" applyAlignment="0"/>
    <xf numFmtId="230" fontId="132" fillId="0" borderId="0" applyFill="0" applyBorder="0" applyAlignment="0"/>
    <xf numFmtId="3" fontId="35" fillId="17" borderId="0" applyFont="0"/>
    <xf numFmtId="42" fontId="5" fillId="0" borderId="0">
      <alignment horizontal="right"/>
    </xf>
    <xf numFmtId="8" fontId="5" fillId="0" borderId="0">
      <alignment horizontal="right"/>
    </xf>
    <xf numFmtId="0" fontId="133" fillId="0" borderId="0" applyNumberFormat="0" applyFill="0" applyBorder="0" applyProtection="0">
      <alignment horizontal="left" vertical="center"/>
    </xf>
    <xf numFmtId="281" fontId="123" fillId="35" borderId="0" applyBorder="0" applyAlignment="0">
      <alignment horizontal="right"/>
    </xf>
    <xf numFmtId="282" fontId="48" fillId="0" borderId="0" applyFont="0" applyFill="0" applyBorder="0" applyAlignment="0" applyProtection="0"/>
    <xf numFmtId="40" fontId="48" fillId="0" borderId="0" applyFont="0" applyFill="0" applyBorder="0" applyAlignment="0" applyProtection="0"/>
    <xf numFmtId="283" fontId="5" fillId="0" borderId="0" applyFont="0" applyFill="0" applyBorder="0" applyAlignment="0" applyProtection="0"/>
    <xf numFmtId="284" fontId="5" fillId="0" borderId="0" applyFont="0" applyFill="0" applyBorder="0" applyAlignment="0" applyProtection="0"/>
    <xf numFmtId="285" fontId="134" fillId="0" borderId="0" applyFont="0" applyFill="0" applyBorder="0" applyAlignment="0" applyProtection="0"/>
    <xf numFmtId="286" fontId="37" fillId="0" borderId="0" applyFont="0" applyFill="0" applyBorder="0" applyAlignment="0" applyProtection="0"/>
    <xf numFmtId="287" fontId="135" fillId="0" borderId="0" applyFont="0" applyFill="0" applyBorder="0" applyAlignment="0" applyProtection="0"/>
    <xf numFmtId="167" fontId="5" fillId="0" borderId="0"/>
    <xf numFmtId="288" fontId="5" fillId="0" borderId="0" applyFont="0" applyFill="0" applyBorder="0" applyAlignment="0" applyProtection="0"/>
    <xf numFmtId="289" fontId="5" fillId="0" borderId="0" applyFont="0" applyFill="0" applyBorder="0" applyAlignment="0" applyProtection="0"/>
    <xf numFmtId="290" fontId="134" fillId="0" borderId="0" applyFont="0" applyFill="0" applyBorder="0" applyAlignment="0" applyProtection="0"/>
    <xf numFmtId="291" fontId="5" fillId="0" borderId="0" applyFont="0" applyFill="0" applyBorder="0" applyAlignment="0" applyProtection="0"/>
    <xf numFmtId="292"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224" fontId="5" fillId="0" borderId="0" applyFont="0" applyFill="0" applyBorder="0" applyAlignment="0" applyProtection="0"/>
    <xf numFmtId="224" fontId="5" fillId="0" borderId="0" applyFont="0" applyFill="0" applyBorder="0" applyAlignment="0" applyProtection="0"/>
    <xf numFmtId="293" fontId="5" fillId="0" borderId="0" applyFont="0" applyFill="0" applyBorder="0" applyAlignment="0"/>
    <xf numFmtId="294" fontId="134" fillId="0" borderId="0" applyFont="0" applyFill="0" applyBorder="0" applyAlignment="0" applyProtection="0"/>
    <xf numFmtId="295" fontId="5" fillId="0" borderId="0" applyFont="0" applyFill="0" applyBorder="0" applyAlignment="0" applyProtection="0"/>
    <xf numFmtId="29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223" fontId="5" fillId="0" borderId="0" applyFont="0" applyFill="0" applyBorder="0" applyAlignment="0" applyProtection="0"/>
    <xf numFmtId="223" fontId="5" fillId="0" borderId="0" applyFont="0" applyFill="0" applyBorder="0" applyAlignment="0" applyProtection="0"/>
    <xf numFmtId="0" fontId="89" fillId="0" borderId="0">
      <protection locked="0"/>
    </xf>
    <xf numFmtId="0" fontId="96" fillId="0" borderId="0"/>
    <xf numFmtId="0" fontId="5" fillId="0" borderId="0" applyFont="0" applyFill="0" applyBorder="0" applyAlignment="0" applyProtection="0"/>
    <xf numFmtId="297" fontId="82" fillId="0" borderId="0" applyFont="0" applyFill="0" applyBorder="0" applyAlignment="0" applyProtection="0">
      <alignment horizontal="right"/>
    </xf>
    <xf numFmtId="0" fontId="56" fillId="0" borderId="0" applyNumberFormat="0" applyAlignment="0">
      <alignment vertical="center"/>
    </xf>
    <xf numFmtId="0" fontId="136" fillId="0" borderId="46" applyBorder="0" applyAlignment="0" applyProtection="0">
      <alignment horizontal="center"/>
    </xf>
    <xf numFmtId="37" fontId="137" fillId="0" borderId="0"/>
    <xf numFmtId="0" fontId="5" fillId="0" borderId="0"/>
    <xf numFmtId="209" fontId="138"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16" fillId="0" borderId="0"/>
    <xf numFmtId="0" fontId="16" fillId="0" borderId="0"/>
    <xf numFmtId="0" fontId="5" fillId="0" borderId="0"/>
    <xf numFmtId="0" fontId="139" fillId="0" borderId="0"/>
    <xf numFmtId="0" fontId="6" fillId="0" borderId="0"/>
    <xf numFmtId="0" fontId="6" fillId="0" borderId="0"/>
    <xf numFmtId="0" fontId="3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0" borderId="0"/>
    <xf numFmtId="0" fontId="140" fillId="0" borderId="0"/>
    <xf numFmtId="0" fontId="16" fillId="0" borderId="0"/>
    <xf numFmtId="0" fontId="16" fillId="0" borderId="0"/>
    <xf numFmtId="0" fontId="1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39" fillId="0" borderId="0"/>
    <xf numFmtId="0" fontId="5" fillId="0" borderId="0"/>
    <xf numFmtId="0" fontId="139" fillId="0" borderId="0"/>
    <xf numFmtId="0" fontId="6" fillId="0" borderId="0"/>
    <xf numFmtId="0" fontId="35" fillId="0" borderId="0"/>
    <xf numFmtId="0" fontId="35" fillId="0" borderId="0"/>
    <xf numFmtId="0" fontId="35" fillId="0" borderId="0"/>
    <xf numFmtId="0" fontId="35" fillId="0" borderId="0"/>
    <xf numFmtId="0" fontId="5" fillId="0" borderId="0"/>
    <xf numFmtId="0" fontId="5" fillId="0" borderId="0"/>
    <xf numFmtId="0" fontId="5" fillId="0" borderId="0"/>
    <xf numFmtId="0" fontId="5" fillId="0" borderId="0"/>
    <xf numFmtId="0" fontId="5" fillId="0" borderId="0"/>
    <xf numFmtId="3" fontId="5" fillId="0" borderId="0"/>
    <xf numFmtId="2" fontId="48" fillId="0" borderId="0" applyBorder="0" applyProtection="0"/>
    <xf numFmtId="0" fontId="141" fillId="32" borderId="0" applyNumberFormat="0" applyFont="0" applyFill="0" applyBorder="0" applyAlignment="0" applyProtection="0">
      <alignment horizontal="left"/>
    </xf>
    <xf numFmtId="3" fontId="5" fillId="0" borderId="0">
      <alignment horizontal="left"/>
    </xf>
    <xf numFmtId="0" fontId="5" fillId="0" borderId="0"/>
    <xf numFmtId="0" fontId="35" fillId="0" borderId="0"/>
    <xf numFmtId="0" fontId="5" fillId="0" borderId="0"/>
    <xf numFmtId="0" fontId="6" fillId="0" borderId="0"/>
    <xf numFmtId="0" fontId="35" fillId="0" borderId="0" applyNumberFormat="0" applyFill="0" applyBorder="0" applyAlignment="0" applyProtection="0">
      <alignment vertical="center"/>
    </xf>
    <xf numFmtId="0" fontId="142" fillId="0" borderId="44"/>
    <xf numFmtId="278" fontId="39" fillId="0" borderId="0" applyFont="0" applyFill="0" applyBorder="0" applyAlignment="0" applyProtection="0">
      <alignment vertical="center"/>
    </xf>
    <xf numFmtId="236" fontId="39" fillId="0" borderId="0" applyFont="0" applyFill="0" applyBorder="0" applyAlignment="0" applyProtection="0">
      <alignment vertical="center"/>
    </xf>
    <xf numFmtId="38" fontId="37" fillId="0" borderId="8" applyFont="0" applyFill="0" applyBorder="0" applyAlignment="0" applyProtection="0"/>
    <xf numFmtId="0" fontId="5" fillId="0" borderId="0"/>
    <xf numFmtId="298" fontId="143" fillId="37" borderId="7" applyFont="0" applyBorder="0"/>
    <xf numFmtId="1" fontId="144" fillId="0" borderId="0" applyProtection="0">
      <alignment horizontal="right" vertical="center"/>
    </xf>
    <xf numFmtId="0" fontId="5" fillId="0" borderId="1">
      <alignment vertical="center"/>
    </xf>
    <xf numFmtId="0" fontId="48"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39" fillId="0" borderId="0" applyFont="0" applyFill="0" applyBorder="0" applyAlignment="0" applyProtection="0"/>
    <xf numFmtId="9" fontId="5"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134" fillId="0" borderId="0" applyFont="0" applyFill="0" applyBorder="0" applyAlignment="0" applyProtection="0"/>
    <xf numFmtId="10" fontId="134" fillId="0" borderId="0" applyFont="0" applyFill="0" applyBorder="0" applyAlignment="0" applyProtection="0"/>
    <xf numFmtId="299" fontId="39" fillId="0" borderId="0" applyFont="0" applyFill="0" applyBorder="0" applyAlignment="0" applyProtection="0">
      <alignment horizontal="right" vertical="center"/>
    </xf>
    <xf numFmtId="300" fontId="39" fillId="0" borderId="0" applyFont="0" applyFill="0" applyBorder="0" applyAlignment="0" applyProtection="0">
      <alignment vertical="center"/>
    </xf>
    <xf numFmtId="301" fontId="37" fillId="0" borderId="0" applyFont="0" applyFill="0" applyBorder="0" applyAlignment="0" applyProtection="0"/>
    <xf numFmtId="0" fontId="48" fillId="0" borderId="0" applyFill="0" applyBorder="0">
      <alignment horizontal="right"/>
      <protection locked="0"/>
    </xf>
    <xf numFmtId="302" fontId="89" fillId="0" borderId="0">
      <protection locked="0"/>
    </xf>
    <xf numFmtId="303" fontId="89" fillId="0" borderId="0">
      <protection locked="0"/>
    </xf>
    <xf numFmtId="0" fontId="89" fillId="0" borderId="0">
      <protection locked="0"/>
    </xf>
    <xf numFmtId="167" fontId="39" fillId="0" borderId="0" applyBorder="0" applyAlignment="0" applyProtection="0">
      <protection locked="0"/>
    </xf>
    <xf numFmtId="304" fontId="142" fillId="0" borderId="0" applyFill="0" applyBorder="0" applyAlignment="0" applyProtection="0"/>
    <xf numFmtId="305" fontId="5" fillId="0" borderId="0" applyFont="0" applyFill="0" applyBorder="0" applyAlignment="0"/>
    <xf numFmtId="9" fontId="134" fillId="0" borderId="0" applyFont="0" applyFill="0" applyBorder="0" applyAlignment="0" applyProtection="0"/>
    <xf numFmtId="0" fontId="145" fillId="16" borderId="0" applyNumberFormat="0" applyFont="0" applyBorder="0" applyAlignment="0"/>
    <xf numFmtId="0" fontId="48" fillId="0" borderId="0" applyNumberFormat="0" applyFont="0" applyFill="0" applyBorder="0" applyAlignment="0" applyProtection="0">
      <alignment horizontal="left"/>
    </xf>
    <xf numFmtId="0" fontId="5" fillId="0" borderId="0">
      <alignment horizontal="right"/>
    </xf>
    <xf numFmtId="0" fontId="59" fillId="0" borderId="1">
      <alignment horizontal="right"/>
    </xf>
    <xf numFmtId="0" fontId="48" fillId="0" borderId="0">
      <alignment horizontal="right"/>
      <protection locked="0"/>
    </xf>
    <xf numFmtId="38" fontId="146" fillId="0" borderId="0"/>
    <xf numFmtId="0" fontId="5" fillId="0" borderId="0">
      <alignment horizontal="right"/>
    </xf>
    <xf numFmtId="0" fontId="5" fillId="0" borderId="0">
      <alignment horizontal="right"/>
    </xf>
    <xf numFmtId="0" fontId="5" fillId="0" borderId="0" applyFill="0" applyBorder="0" applyProtection="0">
      <alignment horizontal="right"/>
    </xf>
    <xf numFmtId="0" fontId="5" fillId="0" borderId="0">
      <alignment horizontal="right"/>
    </xf>
    <xf numFmtId="0" fontId="147" fillId="27" borderId="47" applyNumberFormat="0" applyFont="0" applyAlignment="0" applyProtection="0">
      <alignment horizontal="left"/>
    </xf>
    <xf numFmtId="0" fontId="37" fillId="0" borderId="48" applyNumberFormat="0" applyFont="0" applyFill="0" applyAlignment="0" applyProtection="0"/>
    <xf numFmtId="0" fontId="79" fillId="24" borderId="19" applyNumberFormat="0" applyBorder="0" applyProtection="0">
      <alignment horizontal="left" wrapText="1"/>
    </xf>
    <xf numFmtId="0" fontId="79" fillId="24" borderId="0" applyNumberFormat="0" applyBorder="0" applyProtection="0">
      <alignment horizontal="left"/>
    </xf>
    <xf numFmtId="0" fontId="5" fillId="0" borderId="0" applyNumberFormat="0" applyFont="0" applyFill="0" applyBorder="0" applyAlignment="0" applyProtection="0"/>
    <xf numFmtId="0" fontId="5" fillId="27" borderId="0" applyNumberFormat="0" applyFont="0" applyAlignment="0"/>
    <xf numFmtId="0" fontId="58" fillId="0" borderId="0" applyNumberFormat="0" applyFill="0" applyBorder="0">
      <alignment horizontal="left" vertical="center" wrapText="1"/>
    </xf>
    <xf numFmtId="0" fontId="39" fillId="0" borderId="0" applyNumberFormat="0" applyFill="0" applyBorder="0">
      <alignment horizontal="left" vertical="center" wrapText="1" indent="1"/>
    </xf>
    <xf numFmtId="0" fontId="5" fillId="32" borderId="0" applyNumberFormat="0" applyFont="0" applyFill="0" applyBorder="0" applyAlignment="0" applyProtection="0">
      <alignment horizontal="left" indent="1"/>
    </xf>
    <xf numFmtId="0" fontId="5" fillId="0" borderId="11" applyNumberFormat="0" applyFont="0" applyFill="0" applyBorder="0" applyAlignment="0" applyProtection="0"/>
    <xf numFmtId="0" fontId="5" fillId="0" borderId="0" applyNumberFormat="0" applyFont="0" applyFill="0" applyBorder="0" applyAlignment="0" applyProtection="0">
      <alignment horizontal="left" vertical="top"/>
    </xf>
    <xf numFmtId="0" fontId="8" fillId="38" borderId="0" applyNumberFormat="0" applyFont="0" applyFill="0" applyBorder="0" applyAlignment="0" applyProtection="0">
      <alignment vertical="top"/>
    </xf>
    <xf numFmtId="0" fontId="8" fillId="0" borderId="0" applyNumberFormat="0" applyFont="0" applyFill="0" applyBorder="0" applyAlignment="0" applyProtection="0">
      <alignment vertical="top"/>
    </xf>
    <xf numFmtId="0" fontId="141" fillId="0" borderId="0" applyNumberFormat="0" applyFont="0" applyFill="0" applyBorder="0" applyAlignment="0" applyProtection="0">
      <alignment vertical="top"/>
    </xf>
    <xf numFmtId="0" fontId="91" fillId="0" borderId="0" applyNumberFormat="0" applyFill="0" applyBorder="0" applyAlignment="0" applyProtection="0">
      <alignment horizontal="left" indent="1"/>
    </xf>
    <xf numFmtId="0" fontId="37" fillId="0" borderId="49" applyNumberFormat="0" applyFont="0" applyFill="0" applyAlignment="0" applyProtection="0"/>
    <xf numFmtId="0" fontId="5" fillId="0" borderId="2" applyNumberFormat="0" applyFont="0" applyFill="0" applyBorder="0" applyAlignment="0" applyProtection="0"/>
    <xf numFmtId="0" fontId="5" fillId="0" borderId="0"/>
    <xf numFmtId="267" fontId="88" fillId="0" borderId="7" applyNumberFormat="0" applyFill="0" applyBorder="0">
      <protection locked="0"/>
    </xf>
    <xf numFmtId="4" fontId="70" fillId="21" borderId="50" applyNumberFormat="0" applyProtection="0">
      <alignment vertical="center"/>
    </xf>
    <xf numFmtId="4" fontId="148" fillId="21" borderId="50" applyNumberFormat="0" applyProtection="0">
      <alignment vertical="center"/>
    </xf>
    <xf numFmtId="4" fontId="70" fillId="21" borderId="50" applyNumberFormat="0" applyProtection="0">
      <alignment horizontal="left" vertical="center" indent="1"/>
    </xf>
    <xf numFmtId="4" fontId="70" fillId="21" borderId="50" applyNumberFormat="0" applyProtection="0">
      <alignment horizontal="left" vertical="center" indent="1"/>
    </xf>
    <xf numFmtId="0" fontId="5" fillId="20" borderId="50" applyNumberFormat="0" applyProtection="0">
      <alignment horizontal="left" vertical="center" indent="1"/>
    </xf>
    <xf numFmtId="4" fontId="70" fillId="39" borderId="50" applyNumberFormat="0" applyProtection="0">
      <alignment horizontal="right" vertical="center"/>
    </xf>
    <xf numFmtId="4" fontId="70" fillId="18" borderId="50" applyNumberFormat="0" applyProtection="0">
      <alignment horizontal="right" vertical="center"/>
    </xf>
    <xf numFmtId="4" fontId="70" fillId="40" borderId="50" applyNumberFormat="0" applyProtection="0">
      <alignment horizontal="right" vertical="center"/>
    </xf>
    <xf numFmtId="4" fontId="70" fillId="22" borderId="50" applyNumberFormat="0" applyProtection="0">
      <alignment horizontal="right" vertical="center"/>
    </xf>
    <xf numFmtId="4" fontId="70" fillId="41" borderId="50" applyNumberFormat="0" applyProtection="0">
      <alignment horizontal="right" vertical="center"/>
    </xf>
    <xf numFmtId="4" fontId="70" fillId="42" borderId="50" applyNumberFormat="0" applyProtection="0">
      <alignment horizontal="right" vertical="center"/>
    </xf>
    <xf numFmtId="4" fontId="70" fillId="43" borderId="50" applyNumberFormat="0" applyProtection="0">
      <alignment horizontal="right" vertical="center"/>
    </xf>
    <xf numFmtId="4" fontId="70" fillId="44" borderId="50" applyNumberFormat="0" applyProtection="0">
      <alignment horizontal="right" vertical="center"/>
    </xf>
    <xf numFmtId="4" fontId="70" fillId="34" borderId="50" applyNumberFormat="0" applyProtection="0">
      <alignment horizontal="right" vertical="center"/>
    </xf>
    <xf numFmtId="4" fontId="149" fillId="45" borderId="50" applyNumberFormat="0" applyProtection="0">
      <alignment horizontal="left" vertical="center" indent="1"/>
    </xf>
    <xf numFmtId="4" fontId="70" fillId="46" borderId="51" applyNumberFormat="0" applyProtection="0">
      <alignment horizontal="left" vertical="center" indent="1"/>
    </xf>
    <xf numFmtId="4" fontId="150" fillId="47" borderId="0" applyNumberFormat="0" applyProtection="0">
      <alignment horizontal="left" vertical="center" indent="1"/>
    </xf>
    <xf numFmtId="0" fontId="5" fillId="20" borderId="50" applyNumberFormat="0" applyProtection="0">
      <alignment horizontal="left" vertical="center" indent="1"/>
    </xf>
    <xf numFmtId="4" fontId="70" fillId="46" borderId="50" applyNumberFormat="0" applyProtection="0">
      <alignment horizontal="left" vertical="center" indent="1"/>
    </xf>
    <xf numFmtId="4" fontId="70" fillId="48" borderId="50" applyNumberFormat="0" applyProtection="0">
      <alignment horizontal="left" vertical="center" indent="1"/>
    </xf>
    <xf numFmtId="0" fontId="5" fillId="48" borderId="50" applyNumberFormat="0" applyProtection="0">
      <alignment horizontal="left" vertical="center" indent="1"/>
    </xf>
    <xf numFmtId="0" fontId="5" fillId="48" borderId="50" applyNumberFormat="0" applyProtection="0">
      <alignment horizontal="left" vertical="center" indent="1"/>
    </xf>
    <xf numFmtId="0" fontId="5" fillId="49" borderId="50" applyNumberFormat="0" applyProtection="0">
      <alignment horizontal="left" vertical="center" indent="1"/>
    </xf>
    <xf numFmtId="0" fontId="5" fillId="49" borderId="50" applyNumberFormat="0" applyProtection="0">
      <alignment horizontal="left" vertical="center" indent="1"/>
    </xf>
    <xf numFmtId="0" fontId="5" fillId="16" borderId="50" applyNumberFormat="0" applyProtection="0">
      <alignment horizontal="left" vertical="center" indent="1"/>
    </xf>
    <xf numFmtId="0" fontId="5" fillId="16" borderId="50" applyNumberFormat="0" applyProtection="0">
      <alignment horizontal="left" vertical="center" indent="1"/>
    </xf>
    <xf numFmtId="0" fontId="5" fillId="20" borderId="50" applyNumberFormat="0" applyProtection="0">
      <alignment horizontal="left" vertical="center" indent="1"/>
    </xf>
    <xf numFmtId="0" fontId="5" fillId="20" borderId="50" applyNumberFormat="0" applyProtection="0">
      <alignment horizontal="left" vertical="center" indent="1"/>
    </xf>
    <xf numFmtId="4" fontId="70" fillId="32" borderId="50" applyNumberFormat="0" applyProtection="0">
      <alignment vertical="center"/>
    </xf>
    <xf numFmtId="4" fontId="148" fillId="32" borderId="50" applyNumberFormat="0" applyProtection="0">
      <alignment vertical="center"/>
    </xf>
    <xf numFmtId="4" fontId="70" fillId="32" borderId="50" applyNumberFormat="0" applyProtection="0">
      <alignment horizontal="left" vertical="center" indent="1"/>
    </xf>
    <xf numFmtId="4" fontId="70" fillId="32" borderId="50" applyNumberFormat="0" applyProtection="0">
      <alignment horizontal="left" vertical="center" indent="1"/>
    </xf>
    <xf numFmtId="4" fontId="70" fillId="46" borderId="50" applyNumberFormat="0" applyProtection="0">
      <alignment horizontal="right" vertical="center"/>
    </xf>
    <xf numFmtId="4" fontId="148" fillId="46" borderId="50" applyNumberFormat="0" applyProtection="0">
      <alignment horizontal="right" vertical="center"/>
    </xf>
    <xf numFmtId="0" fontId="5" fillId="20" borderId="50" applyNumberFormat="0" applyProtection="0">
      <alignment horizontal="left" vertical="center" indent="1"/>
    </xf>
    <xf numFmtId="0" fontId="5" fillId="20" borderId="50" applyNumberFormat="0" applyProtection="0">
      <alignment horizontal="left" vertical="center" indent="1"/>
    </xf>
    <xf numFmtId="0" fontId="151" fillId="0" borderId="0"/>
    <xf numFmtId="4" fontId="152" fillId="46" borderId="50" applyNumberFormat="0" applyProtection="0">
      <alignment horizontal="right" vertical="center"/>
    </xf>
    <xf numFmtId="0" fontId="153" fillId="0" borderId="0" applyFill="0" applyBorder="0">
      <alignment horizontal="right"/>
      <protection hidden="1"/>
    </xf>
    <xf numFmtId="196" fontId="154" fillId="0" borderId="0">
      <alignment horizontal="left"/>
    </xf>
    <xf numFmtId="0" fontId="155" fillId="0" borderId="0" applyNumberFormat="0" applyFill="0" applyBorder="0" applyProtection="0">
      <alignment horizontal="left" vertical="center"/>
    </xf>
    <xf numFmtId="0" fontId="156" fillId="26" borderId="3">
      <alignment horizontal="center" vertical="center" wrapText="1"/>
      <protection hidden="1"/>
    </xf>
    <xf numFmtId="306" fontId="5" fillId="0" borderId="0" applyFont="0" applyFill="0" applyBorder="0" applyAlignment="0" applyProtection="0"/>
    <xf numFmtId="40" fontId="48" fillId="0" borderId="0" applyFont="0" applyFill="0" applyBorder="0" applyAlignment="0" applyProtection="0"/>
    <xf numFmtId="40" fontId="37" fillId="0" borderId="0" applyFont="0" applyFill="0" applyBorder="0" applyAlignment="0" applyProtection="0"/>
    <xf numFmtId="307" fontId="37" fillId="0" borderId="0" applyFont="0" applyFill="0" applyBorder="0" applyAlignment="0" applyProtection="0"/>
    <xf numFmtId="171" fontId="131" fillId="0" borderId="0" applyNumberFormat="0" applyFill="0" applyBorder="0" applyAlignment="0"/>
    <xf numFmtId="196" fontId="5" fillId="0" borderId="0">
      <alignment horizontal="left"/>
    </xf>
    <xf numFmtId="0" fontId="37" fillId="0" borderId="0" applyFont="0" applyFill="0" applyBorder="0" applyAlignment="0" applyProtection="0"/>
    <xf numFmtId="0" fontId="5" fillId="0" borderId="0" applyFont="0" applyFill="0" applyBorder="0" applyAlignment="0" applyProtection="0"/>
    <xf numFmtId="0" fontId="5" fillId="0" borderId="0">
      <alignment vertical="top"/>
    </xf>
    <xf numFmtId="0" fontId="39" fillId="0" borderId="0">
      <alignment vertical="top"/>
    </xf>
    <xf numFmtId="0" fontId="40" fillId="0" borderId="0">
      <alignment vertical="center"/>
    </xf>
    <xf numFmtId="0" fontId="39" fillId="0" borderId="0">
      <alignment vertical="top"/>
    </xf>
    <xf numFmtId="0" fontId="39" fillId="0" borderId="0">
      <alignment vertical="top"/>
    </xf>
    <xf numFmtId="0" fontId="5" fillId="0" borderId="0"/>
    <xf numFmtId="0" fontId="40" fillId="0" borderId="0">
      <alignment vertical="center"/>
    </xf>
    <xf numFmtId="0" fontId="39" fillId="0" borderId="0">
      <alignment vertical="top"/>
    </xf>
    <xf numFmtId="0" fontId="39" fillId="0" borderId="0">
      <alignment vertical="top"/>
    </xf>
    <xf numFmtId="0" fontId="40" fillId="0" borderId="0">
      <alignment vertical="center"/>
    </xf>
    <xf numFmtId="0" fontId="39" fillId="0" borderId="0">
      <alignment vertical="top"/>
    </xf>
    <xf numFmtId="0" fontId="39" fillId="0" borderId="0">
      <alignment vertical="top"/>
    </xf>
    <xf numFmtId="0" fontId="157" fillId="0" borderId="0" applyNumberFormat="0" applyFill="0" applyBorder="0" applyAlignment="0" applyProtection="0">
      <protection locked="0"/>
    </xf>
    <xf numFmtId="308" fontId="158" fillId="0" borderId="0" applyNumberFormat="0" applyFill="0" applyBorder="0" applyAlignment="0" applyProtection="0">
      <alignment horizontal="right" vertical="center" wrapText="1"/>
    </xf>
    <xf numFmtId="0" fontId="159" fillId="0" borderId="0" applyNumberFormat="0" applyFill="0" applyBorder="0" applyAlignment="0" applyProtection="0"/>
    <xf numFmtId="3" fontId="5" fillId="0" borderId="0"/>
    <xf numFmtId="3" fontId="5" fillId="0" borderId="0"/>
    <xf numFmtId="3" fontId="160" fillId="0" borderId="0"/>
    <xf numFmtId="3" fontId="43" fillId="0" borderId="11"/>
    <xf numFmtId="265" fontId="8" fillId="0" borderId="4"/>
    <xf numFmtId="278" fontId="58" fillId="0" borderId="52" applyNumberFormat="0" applyFill="0" applyAlignment="0" applyProtection="0">
      <alignment vertical="center"/>
    </xf>
    <xf numFmtId="3" fontId="5" fillId="0" borderId="11"/>
    <xf numFmtId="278" fontId="39" fillId="0" borderId="53" applyNumberFormat="0" applyFont="0" applyFill="0" applyAlignment="0" applyProtection="0">
      <alignment vertical="center"/>
    </xf>
    <xf numFmtId="0" fontId="83" fillId="0" borderId="0" applyBorder="0" applyProtection="0">
      <alignment vertical="center"/>
    </xf>
    <xf numFmtId="0" fontId="83" fillId="0" borderId="1" applyBorder="0" applyProtection="0">
      <alignment horizontal="right" vertical="center"/>
    </xf>
    <xf numFmtId="0" fontId="83" fillId="50" borderId="0" applyBorder="0" applyProtection="0">
      <alignment horizontal="centerContinuous" vertical="center"/>
    </xf>
    <xf numFmtId="0" fontId="83" fillId="31" borderId="1" applyBorder="0" applyProtection="0">
      <alignment horizontal="centerContinuous" vertical="center"/>
    </xf>
    <xf numFmtId="0" fontId="83" fillId="0" borderId="0" applyBorder="0" applyProtection="0">
      <alignment vertical="center"/>
    </xf>
    <xf numFmtId="175" fontId="35" fillId="0" borderId="0">
      <alignment horizontal="right"/>
    </xf>
    <xf numFmtId="175" fontId="35" fillId="0" borderId="0">
      <alignment horizontal="right"/>
    </xf>
    <xf numFmtId="3" fontId="35" fillId="0" borderId="0">
      <alignment horizontal="right"/>
    </xf>
    <xf numFmtId="3" fontId="35" fillId="0" borderId="0">
      <alignment horizontal="right"/>
    </xf>
    <xf numFmtId="0" fontId="39" fillId="16" borderId="0" applyNumberFormat="0" applyFont="0" applyBorder="0" applyAlignment="0" applyProtection="0">
      <alignment vertical="center"/>
    </xf>
    <xf numFmtId="0" fontId="5" fillId="0" borderId="0"/>
    <xf numFmtId="0" fontId="83" fillId="0" borderId="0" applyFill="0" applyBorder="0" applyProtection="0">
      <alignment horizontal="left"/>
    </xf>
    <xf numFmtId="0" fontId="39" fillId="0" borderId="0" applyNumberFormat="0" applyFont="0" applyFill="0" applyAlignment="0" applyProtection="0">
      <alignment vertical="center"/>
    </xf>
    <xf numFmtId="0" fontId="101" fillId="0" borderId="7" applyFill="0" applyBorder="0" applyProtection="0">
      <alignment horizontal="left" vertical="top"/>
    </xf>
    <xf numFmtId="278" fontId="39" fillId="0" borderId="0" applyNumberFormat="0" applyFont="0" applyBorder="0" applyAlignment="0" applyProtection="0">
      <alignment vertical="center"/>
    </xf>
    <xf numFmtId="0" fontId="5" fillId="51" borderId="54" applyNumberFormat="0" applyAlignment="0" applyProtection="0">
      <alignment vertical="center"/>
    </xf>
    <xf numFmtId="49" fontId="161" fillId="0" borderId="1">
      <alignment vertical="center"/>
    </xf>
    <xf numFmtId="49" fontId="39" fillId="0" borderId="0" applyFont="0" applyFill="0" applyBorder="0" applyAlignment="0" applyProtection="0">
      <alignment horizontal="center" vertical="center"/>
    </xf>
    <xf numFmtId="0" fontId="79" fillId="24" borderId="21" applyNumberFormat="0" applyProtection="0">
      <alignment horizontal="left" vertical="center"/>
    </xf>
    <xf numFmtId="0" fontId="48" fillId="0" borderId="0" applyBorder="0"/>
    <xf numFmtId="267" fontId="61" fillId="0" borderId="0" applyNumberFormat="0" applyFill="0" applyBorder="0" applyAlignment="0"/>
    <xf numFmtId="196" fontId="162" fillId="37" borderId="0" applyFill="0" applyBorder="0" applyAlignment="0" applyProtection="0">
      <alignment horizontal="left"/>
    </xf>
    <xf numFmtId="196" fontId="5" fillId="0" borderId="0" applyFill="0" applyBorder="0" applyAlignment="0" applyProtection="0">
      <alignment horizontal="left"/>
    </xf>
    <xf numFmtId="309" fontId="95" fillId="0" borderId="0">
      <protection locked="0"/>
    </xf>
    <xf numFmtId="309" fontId="95" fillId="0" borderId="0">
      <protection locked="0"/>
    </xf>
    <xf numFmtId="0" fontId="8" fillId="0" borderId="0"/>
    <xf numFmtId="278" fontId="58" fillId="25" borderId="0" applyNumberFormat="0" applyAlignment="0" applyProtection="0">
      <alignment vertical="center"/>
    </xf>
    <xf numFmtId="0" fontId="39" fillId="0" borderId="0" applyNumberFormat="0" applyFont="0" applyBorder="0" applyAlignment="0" applyProtection="0">
      <alignment vertical="center"/>
    </xf>
    <xf numFmtId="0" fontId="39" fillId="0" borderId="0" applyNumberFormat="0" applyFont="0" applyAlignment="0" applyProtection="0">
      <alignment vertical="center"/>
    </xf>
    <xf numFmtId="310" fontId="48" fillId="0" borderId="0" applyFont="0" applyFill="0" applyBorder="0" applyAlignment="0" applyProtection="0"/>
    <xf numFmtId="0" fontId="67" fillId="27" borderId="11" applyNumberFormat="0" applyFont="0" applyAlignment="0" applyProtection="0">
      <protection locked="0"/>
    </xf>
    <xf numFmtId="0" fontId="37" fillId="24" borderId="0" applyNumberFormat="0" applyBorder="0" applyProtection="0">
      <alignment horizontal="left"/>
    </xf>
    <xf numFmtId="0" fontId="79" fillId="0" borderId="1">
      <alignment horizontal="right"/>
    </xf>
    <xf numFmtId="0" fontId="5" fillId="0" borderId="0"/>
    <xf numFmtId="0" fontId="163" fillId="0" borderId="0"/>
    <xf numFmtId="43" fontId="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5" fillId="0" borderId="0"/>
    <xf numFmtId="0" fontId="5" fillId="0" borderId="0"/>
    <xf numFmtId="0" fontId="5" fillId="0" borderId="0"/>
    <xf numFmtId="320" fontId="190" fillId="0" borderId="0" applyBorder="0"/>
    <xf numFmtId="0" fontId="5" fillId="0" borderId="0" applyFont="0" applyFill="0" applyBorder="0" applyAlignment="0" applyProtection="0"/>
    <xf numFmtId="265" fontId="5" fillId="0" borderId="0" applyFont="0" applyFill="0" applyBorder="0" applyAlignment="0" applyProtection="0"/>
    <xf numFmtId="187" fontId="5" fillId="0" borderId="0" applyFont="0" applyFill="0" applyBorder="0" applyAlignment="0" applyProtection="0"/>
    <xf numFmtId="15" fontId="191" fillId="0" borderId="0" applyFont="0" applyFill="0" applyBorder="0" applyAlignment="0" applyProtection="0">
      <protection locked="0"/>
    </xf>
    <xf numFmtId="0" fontId="5" fillId="0" borderId="0"/>
    <xf numFmtId="0" fontId="46" fillId="0" borderId="0"/>
    <xf numFmtId="223" fontId="36" fillId="0" borderId="0" applyFont="0" applyFill="0" applyBorder="0" applyAlignment="0" applyProtection="0"/>
    <xf numFmtId="0" fontId="188" fillId="0" borderId="0" applyNumberFormat="0" applyFill="0" applyBorder="0" applyAlignment="0" applyProtection="0">
      <protection locked="0"/>
    </xf>
    <xf numFmtId="317" fontId="192" fillId="0" borderId="0" applyNumberFormat="0" applyFill="0" applyBorder="0" applyAlignment="0" applyProtection="0">
      <protection locked="0"/>
    </xf>
    <xf numFmtId="317" fontId="189" fillId="0" borderId="0" applyNumberFormat="0" applyFill="0" applyBorder="0" applyAlignment="0" applyProtection="0">
      <protection locked="0"/>
    </xf>
    <xf numFmtId="316" fontId="5" fillId="0" borderId="0" applyFont="0" applyFill="0" applyBorder="0" applyAlignment="0" applyProtection="0"/>
    <xf numFmtId="319" fontId="5" fillId="0" borderId="0" applyFont="0" applyFill="0" applyBorder="0" applyAlignment="0" applyProtection="0"/>
    <xf numFmtId="1" fontId="193" fillId="0" borderId="0" applyFill="0" applyBorder="0"/>
    <xf numFmtId="167" fontId="49" fillId="0" borderId="0" applyFont="0" applyFill="0" applyBorder="0" applyAlignment="0" applyProtection="0"/>
    <xf numFmtId="10" fontId="49" fillId="0" borderId="0" applyFont="0" applyFill="0" applyBorder="0" applyAlignment="0" applyProtection="0"/>
    <xf numFmtId="318" fontId="5" fillId="0" borderId="0" applyFont="0" applyFill="0" applyBorder="0" applyAlignment="0" applyProtection="0"/>
    <xf numFmtId="43" fontId="16" fillId="0" borderId="0" applyFont="0" applyFill="0" applyBorder="0" applyAlignment="0" applyProtection="0"/>
    <xf numFmtId="0" fontId="5" fillId="0" borderId="0"/>
    <xf numFmtId="43" fontId="6" fillId="0" borderId="0" applyFont="0" applyFill="0" applyBorder="0" applyAlignment="0" applyProtection="0"/>
    <xf numFmtId="0" fontId="5" fillId="0" borderId="0"/>
    <xf numFmtId="0" fontId="5" fillId="0" borderId="0" applyFont="0" applyFill="0" applyBorder="0" applyAlignment="0" applyProtection="0"/>
    <xf numFmtId="0" fontId="124" fillId="0" borderId="0" applyNumberFormat="0" applyFill="0" applyBorder="0" applyAlignment="0" applyProtection="0"/>
    <xf numFmtId="0" fontId="36" fillId="0" borderId="0"/>
    <xf numFmtId="0" fontId="36" fillId="0" borderId="0"/>
    <xf numFmtId="0" fontId="6" fillId="0" borderId="0"/>
    <xf numFmtId="0" fontId="6" fillId="0" borderId="0"/>
    <xf numFmtId="0" fontId="6" fillId="0" borderId="0"/>
    <xf numFmtId="0" fontId="6" fillId="0" borderId="0"/>
    <xf numFmtId="196" fontId="5" fillId="0" borderId="0" applyFont="0" applyFill="0" applyBorder="0" applyAlignment="0" applyProtection="0"/>
    <xf numFmtId="321"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38" fillId="0" borderId="0" applyNumberFormat="0" applyFill="0" applyBorder="0" applyAlignment="0" applyProtection="0"/>
    <xf numFmtId="0" fontId="5" fillId="0" borderId="0" applyFont="0" applyFill="0" applyBorder="0" applyAlignment="0" applyProtection="0"/>
    <xf numFmtId="322" fontId="5" fillId="0" borderId="0" applyFont="0" applyFill="0" applyBorder="0" applyAlignment="0" applyProtection="0"/>
    <xf numFmtId="323" fontId="5" fillId="0" borderId="0" applyFont="0" applyFill="0" applyBorder="0" applyAlignment="0" applyProtection="0"/>
    <xf numFmtId="324" fontId="5" fillId="0" borderId="0" applyFont="0" applyFill="0" applyBorder="0" applyAlignment="0" applyProtection="0"/>
    <xf numFmtId="325" fontId="5" fillId="0" borderId="0" applyFont="0" applyFill="0" applyBorder="0" applyAlignment="0" applyProtection="0"/>
    <xf numFmtId="0" fontId="5" fillId="0" borderId="0"/>
    <xf numFmtId="0" fontId="195" fillId="0" borderId="0"/>
    <xf numFmtId="0" fontId="36" fillId="0" borderId="0"/>
    <xf numFmtId="0" fontId="5" fillId="0" borderId="0"/>
    <xf numFmtId="0" fontId="5" fillId="0" borderId="0" applyFont="0" applyFill="0" applyBorder="0" applyAlignment="0" applyProtection="0"/>
    <xf numFmtId="180" fontId="5" fillId="0" borderId="0" applyFont="0" applyFill="0" applyBorder="0" applyAlignment="0" applyProtection="0"/>
    <xf numFmtId="0" fontId="49" fillId="0" borderId="0">
      <protection locked="0"/>
    </xf>
    <xf numFmtId="172" fontId="5" fillId="0" borderId="0" applyNumberFormat="0" applyFill="0" applyBorder="0" applyAlignment="0"/>
    <xf numFmtId="326" fontId="5" fillId="0" borderId="0" applyFill="0" applyBorder="0" applyProtection="0">
      <alignment horizontal="right"/>
    </xf>
    <xf numFmtId="0" fontId="5" fillId="0" borderId="0" applyFont="0" applyFill="0" applyBorder="0" applyAlignment="0" applyProtection="0"/>
    <xf numFmtId="0" fontId="5" fillId="0" borderId="0" applyFont="0" applyFill="0" applyBorder="0" applyAlignment="0" applyProtection="0"/>
    <xf numFmtId="173" fontId="196" fillId="32" borderId="0">
      <alignment horizontal="left"/>
    </xf>
    <xf numFmtId="0" fontId="90" fillId="0" borderId="0">
      <alignment horizontal="center" wrapText="1"/>
      <protection locked="0"/>
    </xf>
    <xf numFmtId="0" fontId="5" fillId="0" borderId="0" applyNumberFormat="0" applyFill="0" applyBorder="0" applyAlignment="0" applyProtection="0"/>
    <xf numFmtId="0" fontId="123" fillId="0" borderId="0" applyNumberFormat="0" applyFill="0" applyBorder="0" applyAlignment="0" applyProtection="0"/>
    <xf numFmtId="171" fontId="197" fillId="27" borderId="0" applyNumberFormat="0" applyFill="0" applyBorder="0" applyAlignment="0" applyProtection="0">
      <alignment horizontal="right"/>
    </xf>
    <xf numFmtId="0"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0" fontId="5" fillId="0" borderId="0"/>
    <xf numFmtId="328" fontId="90" fillId="0" borderId="0" applyFill="0" applyBorder="0" applyAlignment="0" applyProtection="0">
      <protection locked="0"/>
    </xf>
    <xf numFmtId="0" fontId="198" fillId="31" borderId="0"/>
    <xf numFmtId="196" fontId="37" fillId="0" borderId="0" applyNumberFormat="0" applyFont="0" applyAlignment="0" applyProtection="0"/>
    <xf numFmtId="0" fontId="194" fillId="17" borderId="0" applyNumberFormat="0" applyBorder="0">
      <alignment horizontal="center" vertical="center"/>
    </xf>
    <xf numFmtId="0" fontId="199" fillId="0" borderId="0" applyNumberFormat="0" applyFill="0" applyBorder="0" applyAlignment="0" applyProtection="0"/>
    <xf numFmtId="0" fontId="200" fillId="0" borderId="0" applyFont="0" applyFill="0" applyBorder="0" applyAlignment="0" applyProtection="0"/>
    <xf numFmtId="0" fontId="5" fillId="0" borderId="0"/>
    <xf numFmtId="328" fontId="90" fillId="0" borderId="0" applyFont="0" applyFill="0" applyBorder="0" applyAlignment="0" applyProtection="0">
      <protection locked="0"/>
    </xf>
    <xf numFmtId="0" fontId="131" fillId="0" borderId="0"/>
    <xf numFmtId="0" fontId="58" fillId="19" borderId="0" applyNumberFormat="0">
      <alignment horizontal="center" vertical="top" wrapText="1"/>
    </xf>
    <xf numFmtId="0" fontId="58" fillId="19" borderId="0" applyNumberFormat="0">
      <alignment horizontal="left" vertical="top" wrapText="1"/>
    </xf>
    <xf numFmtId="0" fontId="58" fillId="19" borderId="0" applyNumberFormat="0">
      <alignment horizontal="centerContinuous" vertical="top"/>
    </xf>
    <xf numFmtId="0" fontId="39" fillId="19" borderId="0" applyNumberFormat="0">
      <alignment horizontal="center" vertical="top" wrapText="1"/>
    </xf>
    <xf numFmtId="173" fontId="8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alignment horizontal="right"/>
    </xf>
    <xf numFmtId="43" fontId="36" fillId="0" borderId="0" applyFont="0" applyFill="0" applyBorder="0" applyAlignment="0" applyProtection="0"/>
    <xf numFmtId="0" fontId="134" fillId="0" borderId="0" applyFont="0" applyFill="0" applyBorder="0" applyAlignment="0" applyProtection="0"/>
    <xf numFmtId="196" fontId="35" fillId="0" borderId="0"/>
    <xf numFmtId="3" fontId="201" fillId="0" borderId="0" applyFont="0" applyFill="0" applyBorder="0" applyAlignment="0" applyProtection="0"/>
    <xf numFmtId="0" fontId="5" fillId="0" borderId="0">
      <alignment horizontal="left"/>
    </xf>
    <xf numFmtId="0" fontId="5" fillId="0" borderId="0"/>
    <xf numFmtId="0" fontId="5" fillId="0" borderId="0">
      <alignment horizontal="left"/>
    </xf>
    <xf numFmtId="329" fontId="48" fillId="0" borderId="0" applyFill="0" applyBorder="0">
      <alignment horizontal="right"/>
      <protection locked="0"/>
    </xf>
    <xf numFmtId="330" fontId="5" fillId="0" borderId="0"/>
    <xf numFmtId="0" fontId="161" fillId="0" borderId="0" applyFont="0" applyFill="0" applyBorder="0" applyAlignment="0" applyProtection="0">
      <alignment horizontal="right"/>
    </xf>
    <xf numFmtId="0" fontId="161" fillId="0" borderId="0" applyFont="0" applyFill="0" applyBorder="0" applyAlignment="0" applyProtection="0">
      <alignment horizontal="right"/>
    </xf>
    <xf numFmtId="331" fontId="5" fillId="0" borderId="0" applyFont="0" applyFill="0" applyBorder="0" applyAlignment="0" applyProtection="0"/>
    <xf numFmtId="15" fontId="67" fillId="0" borderId="0" applyFill="0" applyBorder="0" applyAlignment="0"/>
    <xf numFmtId="0" fontId="67" fillId="32" borderId="0" applyFont="0" applyFill="0" applyBorder="0" applyAlignment="0" applyProtection="0"/>
    <xf numFmtId="332" fontId="5" fillId="32" borderId="57" applyFont="0" applyFill="0" applyBorder="0" applyAlignment="0" applyProtection="0"/>
    <xf numFmtId="186" fontId="5" fillId="32" borderId="0" applyFont="0" applyFill="0" applyBorder="0" applyAlignment="0" applyProtection="0"/>
    <xf numFmtId="17" fontId="67" fillId="0" borderId="0" applyFill="0" applyBorder="0">
      <alignment horizontal="right"/>
    </xf>
    <xf numFmtId="168" fontId="5" fillId="0" borderId="1" applyFont="0" applyFill="0" applyBorder="0" applyAlignment="0" applyProtection="0"/>
    <xf numFmtId="0" fontId="161" fillId="0" borderId="0" applyFont="0" applyFill="0" applyBorder="0" applyAlignment="0" applyProtection="0"/>
    <xf numFmtId="186" fontId="5" fillId="0" borderId="0" applyFill="0" applyBorder="0">
      <alignment horizontal="right"/>
    </xf>
    <xf numFmtId="14" fontId="145" fillId="0" borderId="0" applyFont="0" applyFill="0" applyBorder="0" applyAlignment="0" applyProtection="0">
      <alignment horizontal="center"/>
    </xf>
    <xf numFmtId="333" fontId="145" fillId="0" borderId="0" applyFont="0" applyFill="0" applyBorder="0" applyAlignment="0" applyProtection="0">
      <alignment horizontal="center"/>
    </xf>
    <xf numFmtId="0" fontId="83" fillId="0" borderId="0">
      <protection locked="0"/>
    </xf>
    <xf numFmtId="320" fontId="90" fillId="0" borderId="0" applyFont="0" applyFill="0" applyBorder="0" applyAlignment="0" applyProtection="0"/>
    <xf numFmtId="0" fontId="35" fillId="0" borderId="0"/>
    <xf numFmtId="310" fontId="90" fillId="0" borderId="0" applyFont="0" applyFill="0" applyBorder="0" applyAlignment="0" applyProtection="0"/>
    <xf numFmtId="0" fontId="161" fillId="0" borderId="36" applyNumberFormat="0" applyFont="0" applyFill="0" applyAlignment="0" applyProtection="0"/>
    <xf numFmtId="0" fontId="202" fillId="0" borderId="0" applyFill="0" applyBorder="0" applyAlignment="0" applyProtection="0"/>
    <xf numFmtId="167" fontId="203" fillId="0" borderId="37" applyNumberFormat="0" applyAlignment="0" applyProtection="0">
      <alignment vertical="top"/>
    </xf>
    <xf numFmtId="0" fontId="35" fillId="21" borderId="0" applyNumberFormat="0" applyFont="0" applyBorder="0" applyAlignment="0" applyProtection="0"/>
    <xf numFmtId="167" fontId="96" fillId="0" borderId="0" applyNumberFormat="0"/>
    <xf numFmtId="320" fontId="90" fillId="0" borderId="0" applyFont="0" applyFill="0" applyBorder="0" applyAlignment="0" applyProtection="0">
      <alignment horizontal="right"/>
    </xf>
    <xf numFmtId="334" fontId="37" fillId="0" borderId="0" applyFont="0" applyFill="0" applyBorder="0" applyProtection="0">
      <alignment horizontal="left"/>
      <protection locked="0"/>
    </xf>
    <xf numFmtId="335" fontId="37" fillId="0" borderId="0" applyFont="0" applyFill="0" applyBorder="0" applyProtection="0">
      <alignment horizontal="left"/>
      <protection locked="0"/>
    </xf>
    <xf numFmtId="0" fontId="204" fillId="0" borderId="0"/>
    <xf numFmtId="0" fontId="204" fillId="0" borderId="0"/>
    <xf numFmtId="0" fontId="204" fillId="0" borderId="0"/>
    <xf numFmtId="223" fontId="36" fillId="0" borderId="0" applyFont="0" applyFill="0" applyBorder="0" applyAlignment="0" applyProtection="0"/>
    <xf numFmtId="336" fontId="37" fillId="27" borderId="0">
      <alignment horizontal="right"/>
    </xf>
    <xf numFmtId="0" fontId="205" fillId="0" borderId="0"/>
    <xf numFmtId="0" fontId="206" fillId="62" borderId="0"/>
    <xf numFmtId="2" fontId="201" fillId="0" borderId="0" applyFont="0" applyFill="0" applyBorder="0" applyAlignment="0" applyProtection="0"/>
    <xf numFmtId="0" fontId="5" fillId="32" borderId="0" applyFont="0" applyFill="0" applyBorder="0" applyAlignment="0"/>
    <xf numFmtId="0" fontId="35" fillId="0" borderId="0"/>
    <xf numFmtId="0" fontId="112" fillId="0" borderId="0" applyNumberFormat="0" applyFill="0" applyBorder="0" applyAlignment="0" applyProtection="0">
      <alignment vertical="top"/>
      <protection locked="0"/>
    </xf>
    <xf numFmtId="0" fontId="5" fillId="0" borderId="0">
      <alignment horizontal="left"/>
    </xf>
    <xf numFmtId="0" fontId="5" fillId="0" borderId="0">
      <alignment horizontal="left"/>
    </xf>
    <xf numFmtId="0" fontId="5" fillId="0" borderId="0" applyFill="0" applyBorder="0" applyProtection="0">
      <alignment horizontal="left"/>
    </xf>
    <xf numFmtId="0" fontId="5" fillId="0" borderId="0">
      <alignment horizontal="left"/>
    </xf>
    <xf numFmtId="0" fontId="5" fillId="0" borderId="0">
      <alignment horizontal="left"/>
    </xf>
    <xf numFmtId="217" fontId="90" fillId="0" borderId="0" applyFill="0" applyBorder="0" applyAlignment="0" applyProtection="0">
      <protection locked="0"/>
    </xf>
    <xf numFmtId="38" fontId="35" fillId="16" borderId="0" applyNumberFormat="0" applyFont="0" applyBorder="0" applyAlignment="0">
      <protection hidden="1"/>
    </xf>
    <xf numFmtId="337" fontId="207" fillId="0" borderId="0" applyFill="0" applyBorder="0" applyAlignment="0" applyProtection="0"/>
    <xf numFmtId="337" fontId="208" fillId="0" borderId="0" applyAlignment="0">
      <alignment horizontal="left"/>
      <protection locked="0"/>
    </xf>
    <xf numFmtId="0" fontId="37" fillId="0" borderId="0"/>
    <xf numFmtId="175" fontId="209" fillId="0" borderId="0" applyNumberFormat="0" applyFill="0" applyBorder="0" applyAlignment="0" applyProtection="0"/>
    <xf numFmtId="338" fontId="67" fillId="32" borderId="3" applyNumberFormat="0" applyFont="0" applyAlignment="0"/>
    <xf numFmtId="0" fontId="161" fillId="0" borderId="0" applyFont="0" applyFill="0" applyBorder="0" applyAlignment="0" applyProtection="0">
      <alignment horizontal="right"/>
    </xf>
    <xf numFmtId="0" fontId="5" fillId="1" borderId="0" applyNumberFormat="0" applyBorder="0" applyProtection="0">
      <alignment horizontal="left" vertical="center"/>
    </xf>
    <xf numFmtId="0" fontId="5" fillId="0" borderId="0" applyProtection="0">
      <alignment horizontal="right"/>
    </xf>
    <xf numFmtId="0" fontId="5" fillId="0" borderId="0">
      <alignment horizontal="left"/>
    </xf>
    <xf numFmtId="0" fontId="210" fillId="63" borderId="0">
      <alignment horizontal="left"/>
    </xf>
    <xf numFmtId="0" fontId="5" fillId="64" borderId="0"/>
    <xf numFmtId="0" fontId="5" fillId="0" borderId="0">
      <alignment horizontal="left"/>
    </xf>
    <xf numFmtId="0" fontId="5" fillId="0" borderId="7">
      <alignment horizontal="left" vertical="top"/>
    </xf>
    <xf numFmtId="0" fontId="5" fillId="0" borderId="0">
      <alignment horizontal="left"/>
    </xf>
    <xf numFmtId="0" fontId="5" fillId="0" borderId="7">
      <alignment horizontal="left" vertical="top"/>
    </xf>
    <xf numFmtId="0" fontId="5" fillId="0" borderId="0">
      <alignment horizontal="left"/>
    </xf>
    <xf numFmtId="0" fontId="211" fillId="0" borderId="0"/>
    <xf numFmtId="0" fontId="212" fillId="0" borderId="0">
      <alignment wrapText="1"/>
    </xf>
    <xf numFmtId="235" fontId="213" fillId="0" borderId="0" applyNumberFormat="0" applyFill="0" applyBorder="0" applyAlignment="0"/>
    <xf numFmtId="0" fontId="214"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217" fontId="90" fillId="0" borderId="0" applyFill="0" applyBorder="0" applyAlignment="0" applyProtection="0">
      <alignment horizontal="right"/>
      <protection locked="0"/>
    </xf>
    <xf numFmtId="0" fontId="161" fillId="0" borderId="0" applyNumberFormat="0" applyFill="0" applyBorder="0" applyAlignment="0" applyProtection="0"/>
    <xf numFmtId="196" fontId="215" fillId="65" borderId="0"/>
    <xf numFmtId="320" fontId="35" fillId="0" borderId="0"/>
    <xf numFmtId="186" fontId="5" fillId="32" borderId="0" applyFont="0" applyBorder="0" applyAlignment="0" applyProtection="0">
      <protection locked="0"/>
    </xf>
    <xf numFmtId="0" fontId="35" fillId="32" borderId="0" applyFont="0" applyBorder="0" applyAlignment="0">
      <protection locked="0"/>
    </xf>
    <xf numFmtId="217" fontId="35" fillId="32" borderId="0">
      <protection locked="0"/>
    </xf>
    <xf numFmtId="317" fontId="5" fillId="32" borderId="0" applyFont="0" applyBorder="0" applyAlignment="0">
      <protection locked="0"/>
    </xf>
    <xf numFmtId="10" fontId="35" fillId="32" borderId="0">
      <protection locked="0"/>
    </xf>
    <xf numFmtId="0" fontId="35" fillId="32" borderId="0" applyFont="0" applyBorder="0" applyAlignment="0">
      <protection locked="0"/>
    </xf>
    <xf numFmtId="217" fontId="216" fillId="32" borderId="0" applyNumberFormat="0" applyBorder="0" applyAlignment="0">
      <protection locked="0"/>
    </xf>
    <xf numFmtId="0" fontId="5" fillId="32" borderId="3"/>
    <xf numFmtId="0" fontId="5" fillId="32" borderId="3"/>
    <xf numFmtId="0" fontId="83" fillId="0" borderId="0" applyNumberFormat="0" applyFill="0" applyBorder="0" applyAlignment="0">
      <protection locked="0"/>
    </xf>
    <xf numFmtId="339" fontId="48" fillId="0" borderId="0" applyFill="0" applyBorder="0">
      <alignment horizontal="right"/>
      <protection locked="0"/>
    </xf>
    <xf numFmtId="1" fontId="217" fillId="1" borderId="12">
      <protection locked="0"/>
    </xf>
    <xf numFmtId="1" fontId="218" fillId="0" borderId="0" applyNumberFormat="0" applyFill="0" applyBorder="0" applyAlignment="0" applyProtection="0">
      <alignment horizontal="right"/>
    </xf>
    <xf numFmtId="196" fontId="5" fillId="66" borderId="0"/>
    <xf numFmtId="196" fontId="219" fillId="0" borderId="0" applyNumberFormat="0" applyFont="0" applyFill="0" applyBorder="0" applyAlignment="0">
      <protection hidden="1"/>
    </xf>
    <xf numFmtId="0" fontId="220" fillId="0" borderId="0"/>
    <xf numFmtId="304" fontId="221" fillId="0" borderId="0" applyFill="0" applyBorder="0" applyAlignment="0" applyProtection="0"/>
    <xf numFmtId="0" fontId="206" fillId="0" borderId="0"/>
    <xf numFmtId="0" fontId="222" fillId="0" borderId="0"/>
    <xf numFmtId="0" fontId="223" fillId="0" borderId="0"/>
    <xf numFmtId="0" fontId="5" fillId="0" borderId="21"/>
    <xf numFmtId="0" fontId="161" fillId="0" borderId="0" applyFont="0" applyFill="0" applyBorder="0" applyAlignment="0" applyProtection="0">
      <alignment horizontal="right"/>
    </xf>
    <xf numFmtId="172" fontId="5" fillId="16" borderId="0" applyFont="0" applyBorder="0" applyAlignment="0" applyProtection="0">
      <alignment horizontal="right"/>
      <protection hidden="1"/>
    </xf>
    <xf numFmtId="0" fontId="83" fillId="0" borderId="46" applyBorder="0" applyAlignment="0" applyProtection="0">
      <alignment horizontal="center"/>
    </xf>
    <xf numFmtId="38" fontId="35" fillId="0" borderId="0" applyFont="0" applyFill="0" applyBorder="0" applyAlignment="0"/>
    <xf numFmtId="217" fontId="5" fillId="0" borderId="0" applyFont="0" applyFill="0" applyBorder="0" applyAlignment="0"/>
    <xf numFmtId="40" fontId="35" fillId="0" borderId="0" applyFont="0" applyFill="0" applyBorder="0" applyAlignment="0"/>
    <xf numFmtId="284" fontId="5" fillId="0" borderId="0" applyFont="0" applyFill="0" applyBorder="0" applyAlignment="0"/>
    <xf numFmtId="217" fontId="67" fillId="0" borderId="0" applyNumberFormat="0" applyFill="0" applyBorder="0" applyAlignment="0" applyProtection="0"/>
    <xf numFmtId="0" fontId="35" fillId="0" borderId="0" applyFont="0" applyFill="0" applyBorder="0" applyAlignment="0" applyProtection="0"/>
    <xf numFmtId="175" fontId="37" fillId="0" borderId="0" applyFill="0" applyBorder="0" applyAlignment="0" applyProtection="0"/>
    <xf numFmtId="0" fontId="5" fillId="0" borderId="0"/>
    <xf numFmtId="169" fontId="5" fillId="0" borderId="0"/>
    <xf numFmtId="37" fontId="224" fillId="0" borderId="0" applyNumberFormat="0" applyFont="0" applyFill="0" applyBorder="0" applyAlignment="0" applyProtection="0"/>
    <xf numFmtId="340" fontId="5" fillId="0" borderId="0" applyFont="0" applyFill="0" applyBorder="0" applyAlignment="0" applyProtection="0"/>
    <xf numFmtId="341" fontId="5" fillId="0" borderId="0" applyFont="0" applyFill="0" applyBorder="0" applyAlignment="0" applyProtection="0"/>
    <xf numFmtId="43" fontId="37" fillId="0" borderId="0" applyFont="0" applyFill="0" applyBorder="0" applyAlignment="0" applyProtection="0"/>
    <xf numFmtId="41" fontId="37" fillId="0" borderId="0" applyFont="0" applyFill="0" applyBorder="0" applyAlignment="0" applyProtection="0"/>
    <xf numFmtId="172" fontId="225" fillId="0" borderId="0"/>
    <xf numFmtId="0" fontId="5" fillId="0" borderId="3">
      <alignment vertical="center" wrapText="1"/>
    </xf>
    <xf numFmtId="0" fontId="5" fillId="0" borderId="0">
      <alignment horizontal="left"/>
    </xf>
    <xf numFmtId="0" fontId="223" fillId="0" borderId="0"/>
    <xf numFmtId="0" fontId="79" fillId="0" borderId="69" applyNumberFormat="0" applyAlignment="0" applyProtection="0"/>
    <xf numFmtId="0" fontId="37" fillId="19" borderId="0" applyNumberFormat="0" applyFont="0" applyBorder="0" applyAlignment="0" applyProtection="0"/>
    <xf numFmtId="0" fontId="35" fillId="25" borderId="44" applyNumberFormat="0" applyFont="0" applyBorder="0" applyAlignment="0" applyProtection="0">
      <alignment horizontal="center"/>
    </xf>
    <xf numFmtId="0" fontId="35" fillId="54" borderId="44" applyNumberFormat="0" applyFont="0" applyBorder="0" applyAlignment="0" applyProtection="0">
      <alignment horizontal="center"/>
    </xf>
    <xf numFmtId="0" fontId="37" fillId="0" borderId="70" applyNumberFormat="0" applyAlignment="0" applyProtection="0"/>
    <xf numFmtId="0" fontId="37" fillId="0" borderId="71" applyNumberFormat="0" applyAlignment="0" applyProtection="0"/>
    <xf numFmtId="0" fontId="79" fillId="0" borderId="72" applyNumberFormat="0" applyAlignment="0" applyProtection="0"/>
    <xf numFmtId="0" fontId="35" fillId="0" borderId="0"/>
    <xf numFmtId="167" fontId="226" fillId="0" borderId="0" applyFill="0" applyBorder="0" applyProtection="0">
      <alignment vertical="top"/>
    </xf>
    <xf numFmtId="14" fontId="90" fillId="0" borderId="0">
      <alignment horizontal="center" wrapText="1"/>
      <protection locked="0"/>
    </xf>
    <xf numFmtId="0" fontId="5" fillId="0" borderId="0" applyFont="0" applyFill="0" applyBorder="0" applyAlignment="0"/>
    <xf numFmtId="317" fontId="5" fillId="0" borderId="0" applyFont="0" applyFill="0" applyBorder="0" applyAlignment="0"/>
    <xf numFmtId="342" fontId="5" fillId="21" borderId="0" applyFont="0" applyFill="0" applyBorder="0" applyAlignment="0" applyProtection="0"/>
    <xf numFmtId="9" fontId="37" fillId="0" borderId="0"/>
    <xf numFmtId="10" fontId="37" fillId="0" borderId="0"/>
    <xf numFmtId="9" fontId="37" fillId="0" borderId="0"/>
    <xf numFmtId="343" fontId="48" fillId="0" borderId="0" applyFill="0" applyBorder="0">
      <alignment horizontal="right"/>
      <protection locked="0"/>
    </xf>
    <xf numFmtId="337" fontId="90" fillId="0" borderId="0" applyFont="0" applyFill="0" applyBorder="0" applyAlignment="0" applyProtection="0"/>
    <xf numFmtId="180" fontId="5" fillId="0" borderId="0" applyFont="0" applyFill="0" applyBorder="0" applyAlignment="0" applyProtection="0"/>
    <xf numFmtId="320" fontId="90" fillId="0" borderId="0" applyFont="0" applyFill="0" applyBorder="0" applyAlignment="0" applyProtection="0"/>
    <xf numFmtId="217" fontId="90" fillId="0" borderId="0" applyFont="0" applyFill="0" applyBorder="0" applyAlignment="0" applyProtection="0">
      <protection locked="0"/>
    </xf>
    <xf numFmtId="217" fontId="90" fillId="0" borderId="0" applyFill="0" applyBorder="0" applyAlignment="0" applyProtection="0"/>
    <xf numFmtId="38" fontId="90" fillId="0" borderId="0" applyFont="0" applyFill="0" applyBorder="0" applyAlignment="0" applyProtection="0"/>
    <xf numFmtId="320" fontId="227" fillId="0" borderId="17">
      <alignment horizontal="right"/>
    </xf>
    <xf numFmtId="0" fontId="5" fillId="0" borderId="0"/>
    <xf numFmtId="344" fontId="5" fillId="0" borderId="0"/>
    <xf numFmtId="345" fontId="228" fillId="0" borderId="0"/>
    <xf numFmtId="344" fontId="5" fillId="0" borderId="0"/>
    <xf numFmtId="345" fontId="228" fillId="0" borderId="0"/>
    <xf numFmtId="345" fontId="228" fillId="0" borderId="0"/>
    <xf numFmtId="344" fontId="5" fillId="0" borderId="0"/>
    <xf numFmtId="345" fontId="228" fillId="0" borderId="0"/>
    <xf numFmtId="345" fontId="228" fillId="0" borderId="0"/>
    <xf numFmtId="345" fontId="228" fillId="0" borderId="0"/>
    <xf numFmtId="344" fontId="5" fillId="0" borderId="0"/>
    <xf numFmtId="345" fontId="228" fillId="0" borderId="0"/>
    <xf numFmtId="345" fontId="228" fillId="0" borderId="0"/>
    <xf numFmtId="344" fontId="5" fillId="0" borderId="0"/>
    <xf numFmtId="345" fontId="228" fillId="0" borderId="0"/>
    <xf numFmtId="345" fontId="228" fillId="0" borderId="0"/>
    <xf numFmtId="0" fontId="5" fillId="0" borderId="0"/>
    <xf numFmtId="0" fontId="5" fillId="0" borderId="0"/>
    <xf numFmtId="0" fontId="5" fillId="0" borderId="0"/>
    <xf numFmtId="346" fontId="48" fillId="0" borderId="0">
      <alignment horizontal="right"/>
      <protection locked="0"/>
    </xf>
    <xf numFmtId="217" fontId="229" fillId="0" borderId="0" applyNumberFormat="0" applyFill="0" applyBorder="0" applyAlignment="0" applyProtection="0">
      <alignment horizontal="left"/>
    </xf>
    <xf numFmtId="217" fontId="145" fillId="0" borderId="0" applyFont="0" applyFill="0" applyBorder="0" applyAlignment="0" applyProtection="0"/>
    <xf numFmtId="0" fontId="126" fillId="0" borderId="0" applyNumberFormat="0" applyFill="0" applyBorder="0" applyProtection="0">
      <alignment horizontal="right" vertical="center"/>
    </xf>
    <xf numFmtId="0" fontId="230" fillId="51" borderId="0" applyFont="0" applyFill="0" applyAlignment="0"/>
    <xf numFmtId="0" fontId="35" fillId="0" borderId="0" applyNumberFormat="0" applyFont="0" applyFill="0" applyBorder="0" applyAlignment="0" applyProtection="0"/>
    <xf numFmtId="0" fontId="231" fillId="51" borderId="0" applyNumberFormat="0" applyFont="0" applyFill="0" applyBorder="0" applyAlignment="0" applyProtection="0"/>
    <xf numFmtId="0" fontId="231" fillId="51" borderId="0" applyNumberFormat="0" applyFont="0" applyFill="0" applyBorder="0" applyAlignment="0" applyProtection="0"/>
    <xf numFmtId="0" fontId="231" fillId="51" borderId="0" applyNumberFormat="0" applyFont="0" applyFill="0" applyBorder="0" applyAlignment="0" applyProtection="0"/>
    <xf numFmtId="0" fontId="5" fillId="0" borderId="73">
      <alignment vertical="center"/>
    </xf>
    <xf numFmtId="347" fontId="153" fillId="0" borderId="0" applyFill="0" applyBorder="0">
      <alignment horizontal="right"/>
      <protection hidden="1"/>
    </xf>
    <xf numFmtId="328" fontId="90" fillId="0" borderId="0" applyFill="0" applyBorder="0" applyAlignment="0" applyProtection="0">
      <protection locked="0"/>
    </xf>
    <xf numFmtId="0" fontId="200" fillId="0" borderId="0" applyFill="0" applyBorder="0" applyAlignment="0" applyProtection="0"/>
    <xf numFmtId="0" fontId="48" fillId="0" borderId="0"/>
    <xf numFmtId="0" fontId="35" fillId="19" borderId="0" applyNumberFormat="0" applyFont="0" applyBorder="0" applyAlignment="0">
      <protection hidden="1"/>
    </xf>
    <xf numFmtId="0" fontId="49" fillId="0" borderId="0"/>
    <xf numFmtId="0" fontId="232" fillId="0" borderId="0" applyNumberFormat="0" applyFill="0" applyBorder="0" applyProtection="0">
      <alignment horizontal="left" vertical="center"/>
    </xf>
    <xf numFmtId="0" fontId="90" fillId="0" borderId="0"/>
    <xf numFmtId="0" fontId="5" fillId="0" borderId="0">
      <alignment horizontal="left"/>
    </xf>
    <xf numFmtId="0" fontId="161" fillId="0" borderId="1" applyBorder="0" applyProtection="0">
      <alignment horizontal="right" vertical="center"/>
    </xf>
    <xf numFmtId="0" fontId="5" fillId="50" borderId="0" applyBorder="0" applyProtection="0">
      <alignment horizontal="centerContinuous" vertical="center"/>
    </xf>
    <xf numFmtId="0" fontId="5" fillId="31" borderId="1" applyBorder="0" applyProtection="0">
      <alignment horizontal="centerContinuous" vertical="center"/>
    </xf>
    <xf numFmtId="0" fontId="5" fillId="0" borderId="0">
      <alignment horizontal="left"/>
    </xf>
    <xf numFmtId="0" fontId="5" fillId="0" borderId="0"/>
    <xf numFmtId="0" fontId="233" fillId="0" borderId="0">
      <alignment horizontal="centerContinuous"/>
    </xf>
    <xf numFmtId="0" fontId="5" fillId="0" borderId="0"/>
    <xf numFmtId="0" fontId="90" fillId="0" borderId="0"/>
    <xf numFmtId="0" fontId="233" fillId="0" borderId="0">
      <alignment horizontal="centerContinuous"/>
    </xf>
    <xf numFmtId="0" fontId="5" fillId="34"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348" fontId="5" fillId="0" borderId="0" applyFill="0" applyBorder="0" applyAlignment="0" applyProtection="0">
      <alignment horizontal="right"/>
    </xf>
    <xf numFmtId="1" fontId="145" fillId="0" borderId="2" applyFill="0" applyBorder="0" applyProtection="0">
      <alignment horizontal="right"/>
    </xf>
    <xf numFmtId="349" fontId="5" fillId="0" borderId="0"/>
    <xf numFmtId="0" fontId="37" fillId="0" borderId="0" applyNumberFormat="0" applyFill="0" applyBorder="0" applyAlignment="0" applyProtection="0"/>
    <xf numFmtId="0" fontId="46" fillId="0" borderId="0" applyNumberFormat="0" applyFill="0" applyBorder="0" applyAlignment="0" applyProtection="0"/>
    <xf numFmtId="350" fontId="228" fillId="0" borderId="0"/>
    <xf numFmtId="0" fontId="145" fillId="0" borderId="0" applyFill="0" applyBorder="0" applyProtection="0"/>
    <xf numFmtId="0" fontId="5" fillId="0" borderId="74"/>
    <xf numFmtId="217" fontId="234" fillId="0" borderId="75"/>
    <xf numFmtId="217" fontId="227" fillId="0" borderId="0" applyNumberFormat="0" applyFill="0" applyBorder="0" applyAlignment="0" applyProtection="0"/>
    <xf numFmtId="0" fontId="5" fillId="0" borderId="0"/>
    <xf numFmtId="0" fontId="5" fillId="0" borderId="0"/>
    <xf numFmtId="0" fontId="5" fillId="0" borderId="0" applyNumberFormat="0" applyFont="0" applyFill="0" applyBorder="0" applyAlignment="0">
      <alignment horizontal="left" vertical="center"/>
    </xf>
    <xf numFmtId="196" fontId="5" fillId="0" borderId="11" applyNumberFormat="0" applyFont="0" applyFill="0" applyAlignment="0"/>
    <xf numFmtId="0" fontId="58" fillId="19" borderId="0" applyNumberFormat="0" applyAlignment="0" applyProtection="0">
      <alignment horizontal="left" vertical="center" wrapText="1"/>
    </xf>
    <xf numFmtId="284"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73" fontId="235" fillId="0" borderId="1" applyAlignment="0">
      <alignment horizontal="left"/>
      <protection locked="0"/>
    </xf>
    <xf numFmtId="0" fontId="5" fillId="0" borderId="0"/>
    <xf numFmtId="0" fontId="236" fillId="0" borderId="0"/>
    <xf numFmtId="351" fontId="5" fillId="0" borderId="0" applyNumberFormat="0"/>
    <xf numFmtId="0" fontId="237" fillId="0" borderId="0" applyNumberFormat="0" applyFont="0" applyFill="0" applyBorder="0" applyAlignment="0" applyProtection="0">
      <alignment horizontal="left"/>
    </xf>
    <xf numFmtId="0" fontId="238" fillId="0" borderId="0" applyNumberFormat="0" applyFill="0" applyBorder="0" applyAlignment="0" applyProtection="0"/>
    <xf numFmtId="1" fontId="90" fillId="0" borderId="0" applyFont="0" applyFill="0" applyBorder="0" applyAlignment="0" applyProtection="0"/>
    <xf numFmtId="1" fontId="5" fillId="67" borderId="0"/>
    <xf numFmtId="0" fontId="200" fillId="0" borderId="0" applyFont="0" applyFill="0" applyBorder="0" applyAlignment="0" applyProtection="0"/>
    <xf numFmtId="40" fontId="239" fillId="0" borderId="0" applyFont="0" applyFill="0" applyBorder="0" applyAlignment="0" applyProtection="0"/>
    <xf numFmtId="38" fontId="239" fillId="0" borderId="0" applyFont="0" applyFill="0" applyBorder="0" applyAlignment="0" applyProtection="0"/>
    <xf numFmtId="0" fontId="239" fillId="0" borderId="0" applyFont="0" applyFill="0" applyBorder="0" applyAlignment="0" applyProtection="0"/>
    <xf numFmtId="0" fontId="239" fillId="0" borderId="0" applyFont="0" applyFill="0" applyBorder="0" applyAlignment="0" applyProtection="0"/>
    <xf numFmtId="0" fontId="240" fillId="0" borderId="0"/>
    <xf numFmtId="0" fontId="241" fillId="0" borderId="0" applyFont="0" applyFill="0" applyBorder="0" applyAlignment="0" applyProtection="0"/>
    <xf numFmtId="0" fontId="241" fillId="0" borderId="0" applyFont="0" applyFill="0" applyBorder="0" applyAlignment="0" applyProtection="0"/>
    <xf numFmtId="352" fontId="5" fillId="0" borderId="0" applyFont="0" applyFill="0" applyBorder="0" applyAlignment="0" applyProtection="0"/>
    <xf numFmtId="0" fontId="241" fillId="0" borderId="0" applyFont="0" applyFill="0" applyBorder="0" applyAlignment="0" applyProtection="0"/>
    <xf numFmtId="0" fontId="242" fillId="0" borderId="0"/>
    <xf numFmtId="0" fontId="5" fillId="0" borderId="0"/>
    <xf numFmtId="0" fontId="70" fillId="68" borderId="0" applyNumberFormat="0" applyBorder="0" applyAlignment="0" applyProtection="0"/>
    <xf numFmtId="0" fontId="70" fillId="69" borderId="0" applyNumberFormat="0" applyBorder="0" applyAlignment="0" applyProtection="0"/>
    <xf numFmtId="0" fontId="70" fillId="70" borderId="0" applyNumberFormat="0" applyBorder="0" applyAlignment="0" applyProtection="0"/>
    <xf numFmtId="0" fontId="70" fillId="71"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4" borderId="0" applyNumberFormat="0" applyBorder="0" applyAlignment="0" applyProtection="0"/>
    <xf numFmtId="0" fontId="70" fillId="75" borderId="0" applyNumberFormat="0" applyBorder="0" applyAlignment="0" applyProtection="0"/>
    <xf numFmtId="0" fontId="70" fillId="76" borderId="0" applyNumberFormat="0" applyBorder="0" applyAlignment="0" applyProtection="0"/>
    <xf numFmtId="0" fontId="70" fillId="71" borderId="0" applyNumberFormat="0" applyBorder="0" applyAlignment="0" applyProtection="0"/>
    <xf numFmtId="0" fontId="70" fillId="74" borderId="0" applyNumberFormat="0" applyBorder="0" applyAlignment="0" applyProtection="0"/>
    <xf numFmtId="0" fontId="70" fillId="77" borderId="0" applyNumberFormat="0" applyBorder="0" applyAlignment="0" applyProtection="0"/>
    <xf numFmtId="0" fontId="65" fillId="78"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65" fillId="79" borderId="0" applyNumberFormat="0" applyBorder="0" applyAlignment="0" applyProtection="0"/>
    <xf numFmtId="0" fontId="65" fillId="80" borderId="0" applyNumberFormat="0" applyBorder="0" applyAlignment="0" applyProtection="0"/>
    <xf numFmtId="0" fontId="65" fillId="81" borderId="0" applyNumberFormat="0" applyBorder="0" applyAlignment="0" applyProtection="0"/>
    <xf numFmtId="0" fontId="243" fillId="70" borderId="0" applyNumberFormat="0" applyBorder="0" applyAlignment="0" applyProtection="0"/>
    <xf numFmtId="0" fontId="244" fillId="64" borderId="76" applyNumberFormat="0" applyAlignment="0" applyProtection="0"/>
    <xf numFmtId="0" fontId="66" fillId="82" borderId="77" applyNumberFormat="0" applyAlignment="0" applyProtection="0"/>
    <xf numFmtId="0" fontId="245" fillId="0" borderId="78" applyNumberFormat="0" applyFill="0" applyAlignment="0" applyProtection="0"/>
    <xf numFmtId="0" fontId="246" fillId="0" borderId="0" applyNumberFormat="0" applyFill="0" applyBorder="0" applyAlignment="0" applyProtection="0"/>
    <xf numFmtId="0" fontId="65" fillId="83" borderId="0" applyNumberFormat="0" applyBorder="0" applyAlignment="0" applyProtection="0"/>
    <xf numFmtId="0" fontId="65" fillId="84" borderId="0" applyNumberFormat="0" applyBorder="0" applyAlignment="0" applyProtection="0"/>
    <xf numFmtId="0" fontId="65" fillId="85" borderId="0" applyNumberFormat="0" applyBorder="0" applyAlignment="0" applyProtection="0"/>
    <xf numFmtId="0" fontId="65" fillId="79" borderId="0" applyNumberFormat="0" applyBorder="0" applyAlignment="0" applyProtection="0"/>
    <xf numFmtId="0" fontId="65" fillId="80" borderId="0" applyNumberFormat="0" applyBorder="0" applyAlignment="0" applyProtection="0"/>
    <xf numFmtId="0" fontId="65" fillId="86" borderId="0" applyNumberFormat="0" applyBorder="0" applyAlignment="0" applyProtection="0"/>
    <xf numFmtId="0" fontId="247" fillId="73" borderId="76" applyNumberFormat="0" applyAlignment="0" applyProtection="0"/>
    <xf numFmtId="0" fontId="248" fillId="69" borderId="0" applyNumberFormat="0" applyBorder="0" applyAlignment="0" applyProtection="0"/>
    <xf numFmtId="353" fontId="5" fillId="0" borderId="0" applyFont="0" applyFill="0" applyBorder="0" applyAlignment="0" applyProtection="0"/>
    <xf numFmtId="0" fontId="249" fillId="15" borderId="0" applyNumberFormat="0" applyBorder="0" applyAlignment="0" applyProtection="0"/>
    <xf numFmtId="0" fontId="5" fillId="87" borderId="47" applyNumberFormat="0" applyFont="0" applyAlignment="0" applyProtection="0"/>
    <xf numFmtId="0" fontId="250" fillId="64" borderId="50" applyNumberFormat="0" applyAlignment="0" applyProtection="0"/>
    <xf numFmtId="0" fontId="152" fillId="0" borderId="0" applyNumberFormat="0" applyFill="0" applyBorder="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3" fillId="0" borderId="79" applyNumberFormat="0" applyFill="0" applyAlignment="0" applyProtection="0"/>
    <xf numFmtId="0" fontId="254" fillId="0" borderId="80" applyNumberFormat="0" applyFill="0" applyAlignment="0" applyProtection="0"/>
    <xf numFmtId="0" fontId="246" fillId="0" borderId="81" applyNumberFormat="0" applyFill="0" applyAlignment="0" applyProtection="0"/>
    <xf numFmtId="0" fontId="149" fillId="0" borderId="82" applyNumberFormat="0" applyFill="0" applyAlignment="0" applyProtection="0"/>
    <xf numFmtId="0" fontId="5" fillId="0" borderId="0" applyFont="0" applyFill="0" applyBorder="0" applyAlignment="0" applyProtection="0"/>
    <xf numFmtId="0" fontId="258" fillId="0" borderId="0"/>
    <xf numFmtId="228" fontId="258" fillId="0" borderId="0" applyFont="0" applyFill="0" applyBorder="0" applyAlignment="0" applyProtection="0"/>
    <xf numFmtId="0" fontId="305" fillId="0" borderId="0" applyNumberFormat="0" applyFill="0" applyBorder="0" applyAlignment="0" applyProtection="0"/>
  </cellStyleXfs>
  <cellXfs count="1879">
    <xf numFmtId="0" fontId="0" fillId="0" borderId="0" xfId="0"/>
    <xf numFmtId="17" fontId="0" fillId="0" borderId="0" xfId="0" applyNumberFormat="1"/>
    <xf numFmtId="17" fontId="0" fillId="0" borderId="0" xfId="0" quotePrefix="1" applyNumberFormat="1"/>
    <xf numFmtId="0" fontId="0" fillId="0" borderId="1" xfId="0" applyBorder="1"/>
    <xf numFmtId="0" fontId="0" fillId="0" borderId="1" xfId="0" applyBorder="1" applyAlignment="1">
      <alignment horizontal="right"/>
    </xf>
    <xf numFmtId="9" fontId="0" fillId="0" borderId="0" xfId="0" applyNumberFormat="1"/>
    <xf numFmtId="167" fontId="0" fillId="0" borderId="0" xfId="0" applyNumberFormat="1"/>
    <xf numFmtId="167" fontId="0" fillId="0" borderId="1" xfId="0" applyNumberFormat="1" applyBorder="1"/>
    <xf numFmtId="0" fontId="3" fillId="0" borderId="0" xfId="0" applyFont="1"/>
    <xf numFmtId="0" fontId="3" fillId="0" borderId="1" xfId="0" applyFont="1" applyBorder="1"/>
    <xf numFmtId="167" fontId="3" fillId="0" borderId="0" xfId="0" applyNumberFormat="1" applyFont="1"/>
    <xf numFmtId="167" fontId="3" fillId="0" borderId="1" xfId="0" applyNumberFormat="1" applyFont="1" applyBorder="1"/>
    <xf numFmtId="0" fontId="2" fillId="0" borderId="0" xfId="0" applyFont="1"/>
    <xf numFmtId="0" fontId="4" fillId="0" borderId="0" xfId="0" applyFont="1"/>
    <xf numFmtId="0" fontId="1" fillId="2" borderId="0" xfId="0" applyFont="1" applyFill="1"/>
    <xf numFmtId="0" fontId="4" fillId="0" borderId="0" xfId="0" quotePrefix="1" applyFont="1"/>
    <xf numFmtId="1" fontId="0" fillId="0" borderId="0" xfId="0" applyNumberFormat="1"/>
    <xf numFmtId="0" fontId="6" fillId="0" borderId="0" xfId="1" applyFont="1"/>
    <xf numFmtId="0" fontId="7" fillId="0" borderId="2" xfId="2" applyFont="1" applyBorder="1"/>
    <xf numFmtId="0" fontId="7" fillId="0" borderId="0" xfId="2" applyFont="1"/>
    <xf numFmtId="168" fontId="7" fillId="0" borderId="0" xfId="2" applyNumberFormat="1" applyFont="1"/>
    <xf numFmtId="167" fontId="6" fillId="0" borderId="0" xfId="2" applyNumberFormat="1" applyFont="1"/>
    <xf numFmtId="0" fontId="6" fillId="0" borderId="0" xfId="2" applyFont="1"/>
    <xf numFmtId="9" fontId="6" fillId="0" borderId="0" xfId="2" applyNumberFormat="1" applyFont="1"/>
    <xf numFmtId="0" fontId="5" fillId="0" borderId="0" xfId="2"/>
    <xf numFmtId="168" fontId="5" fillId="0" borderId="0" xfId="2" applyNumberFormat="1"/>
    <xf numFmtId="0" fontId="6" fillId="0" borderId="1" xfId="1" applyFont="1" applyBorder="1"/>
    <xf numFmtId="168" fontId="6" fillId="0" borderId="0" xfId="2" applyNumberFormat="1" applyFont="1"/>
    <xf numFmtId="168" fontId="6" fillId="0" borderId="0" xfId="3" applyNumberFormat="1" applyFont="1"/>
    <xf numFmtId="167" fontId="6" fillId="0" borderId="0" xfId="4" applyNumberFormat="1" applyFont="1" applyFill="1"/>
    <xf numFmtId="1" fontId="6" fillId="0" borderId="0" xfId="2" applyNumberFormat="1" applyFont="1"/>
    <xf numFmtId="0" fontId="6" fillId="0" borderId="1" xfId="2" applyFont="1" applyBorder="1"/>
    <xf numFmtId="17" fontId="0" fillId="0" borderId="1" xfId="0" applyNumberFormat="1" applyBorder="1"/>
    <xf numFmtId="17" fontId="7" fillId="0" borderId="2" xfId="2" applyNumberFormat="1" applyFont="1" applyBorder="1"/>
    <xf numFmtId="9" fontId="0" fillId="4" borderId="0" xfId="0" applyNumberFormat="1" applyFill="1"/>
    <xf numFmtId="167" fontId="0" fillId="4" borderId="0" xfId="0" applyNumberFormat="1" applyFill="1"/>
    <xf numFmtId="0" fontId="0" fillId="4" borderId="0" xfId="0" applyFill="1"/>
    <xf numFmtId="17" fontId="0" fillId="0" borderId="0" xfId="0" applyNumberFormat="1" applyAlignment="1">
      <alignment horizontal="right"/>
    </xf>
    <xf numFmtId="17" fontId="0" fillId="0" borderId="1" xfId="0" applyNumberFormat="1" applyBorder="1" applyAlignment="1">
      <alignment horizontal="right"/>
    </xf>
    <xf numFmtId="173" fontId="6" fillId="3" borderId="3" xfId="2" applyNumberFormat="1" applyFont="1" applyFill="1" applyBorder="1"/>
    <xf numFmtId="3" fontId="6" fillId="0" borderId="0" xfId="2" applyNumberFormat="1" applyFont="1"/>
    <xf numFmtId="3" fontId="7" fillId="0" borderId="0" xfId="2" applyNumberFormat="1" applyFont="1"/>
    <xf numFmtId="0" fontId="11" fillId="0" borderId="0" xfId="2" applyFont="1"/>
    <xf numFmtId="3" fontId="6" fillId="0" borderId="1" xfId="2" applyNumberFormat="1" applyFont="1" applyBorder="1"/>
    <xf numFmtId="3" fontId="5" fillId="0" borderId="0" xfId="2" applyNumberFormat="1"/>
    <xf numFmtId="173" fontId="6" fillId="0" borderId="0" xfId="2" applyNumberFormat="1" applyFont="1"/>
    <xf numFmtId="4" fontId="6" fillId="0" borderId="0" xfId="2" applyNumberFormat="1" applyFont="1"/>
    <xf numFmtId="172" fontId="7" fillId="0" borderId="0" xfId="2" applyNumberFormat="1" applyFont="1"/>
    <xf numFmtId="167" fontId="6" fillId="0" borderId="0" xfId="4" applyNumberFormat="1" applyFont="1"/>
    <xf numFmtId="173" fontId="7" fillId="0" borderId="0" xfId="2" applyNumberFormat="1" applyFont="1"/>
    <xf numFmtId="0" fontId="12" fillId="0" borderId="1" xfId="0" applyFont="1" applyBorder="1"/>
    <xf numFmtId="0" fontId="12" fillId="0" borderId="1" xfId="0" applyFont="1" applyBorder="1" applyAlignment="1">
      <alignment horizontal="right"/>
    </xf>
    <xf numFmtId="0" fontId="12" fillId="0" borderId="1" xfId="0" applyFont="1" applyBorder="1" applyAlignment="1">
      <alignment horizontal="left"/>
    </xf>
    <xf numFmtId="0" fontId="12" fillId="0" borderId="0" xfId="0" applyFont="1"/>
    <xf numFmtId="9" fontId="12" fillId="0" borderId="0" xfId="0" applyNumberFormat="1" applyFont="1"/>
    <xf numFmtId="0" fontId="13" fillId="0" borderId="0" xfId="0" applyFont="1"/>
    <xf numFmtId="167" fontId="12" fillId="0" borderId="0" xfId="0" applyNumberFormat="1" applyFont="1"/>
    <xf numFmtId="9" fontId="12" fillId="0" borderId="1" xfId="0" applyNumberFormat="1" applyFont="1" applyBorder="1"/>
    <xf numFmtId="0" fontId="14" fillId="0" borderId="0" xfId="0" applyFont="1"/>
    <xf numFmtId="43" fontId="0" fillId="0" borderId="0" xfId="0" applyNumberFormat="1"/>
    <xf numFmtId="169" fontId="0" fillId="0" borderId="0" xfId="0" applyNumberFormat="1"/>
    <xf numFmtId="9" fontId="3" fillId="0" borderId="0" xfId="0" applyNumberFormat="1" applyFont="1"/>
    <xf numFmtId="172" fontId="0" fillId="0" borderId="0" xfId="0" applyNumberFormat="1"/>
    <xf numFmtId="1" fontId="0" fillId="4" borderId="0" xfId="0" applyNumberFormat="1" applyFill="1"/>
    <xf numFmtId="1" fontId="0" fillId="0" borderId="1" xfId="0" applyNumberFormat="1" applyBorder="1"/>
    <xf numFmtId="1" fontId="0" fillId="4" borderId="1" xfId="0" applyNumberFormat="1" applyFill="1" applyBorder="1"/>
    <xf numFmtId="0" fontId="0" fillId="0" borderId="4" xfId="0" applyBorder="1"/>
    <xf numFmtId="1" fontId="0" fillId="0" borderId="4" xfId="0" applyNumberFormat="1" applyBorder="1"/>
    <xf numFmtId="0" fontId="1" fillId="2" borderId="1" xfId="0" applyFont="1" applyFill="1" applyBorder="1"/>
    <xf numFmtId="17" fontId="1" fillId="2" borderId="1" xfId="0" applyNumberFormat="1" applyFont="1" applyFill="1" applyBorder="1"/>
    <xf numFmtId="0" fontId="7" fillId="0" borderId="1" xfId="5" applyFont="1" applyBorder="1"/>
    <xf numFmtId="0" fontId="7" fillId="0" borderId="1" xfId="5" applyFont="1" applyBorder="1" applyAlignment="1">
      <alignment horizontal="right"/>
    </xf>
    <xf numFmtId="9" fontId="6" fillId="0" borderId="0" xfId="5" applyNumberFormat="1" applyFont="1"/>
    <xf numFmtId="168" fontId="6" fillId="0" borderId="0" xfId="5" applyNumberFormat="1" applyFont="1"/>
    <xf numFmtId="0" fontId="6" fillId="0" borderId="0" xfId="5" applyFont="1"/>
    <xf numFmtId="167" fontId="6" fillId="3" borderId="0" xfId="5" applyNumberFormat="1" applyFont="1" applyFill="1"/>
    <xf numFmtId="167" fontId="6" fillId="0" borderId="0" xfId="5" applyNumberFormat="1" applyFont="1"/>
    <xf numFmtId="0" fontId="7" fillId="0" borderId="0" xfId="5" applyFont="1"/>
    <xf numFmtId="0" fontId="15" fillId="0" borderId="0" xfId="0" applyFont="1"/>
    <xf numFmtId="0" fontId="12" fillId="0" borderId="0" xfId="0" applyFont="1" applyAlignment="1">
      <alignment horizontal="right"/>
    </xf>
    <xf numFmtId="0" fontId="0" fillId="0" borderId="0" xfId="0" applyAlignment="1">
      <alignment horizontal="right"/>
    </xf>
    <xf numFmtId="0" fontId="0" fillId="0" borderId="8" xfId="0" applyBorder="1"/>
    <xf numFmtId="0" fontId="0" fillId="0" borderId="10" xfId="0" applyBorder="1"/>
    <xf numFmtId="0" fontId="0" fillId="0" borderId="1"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9" xfId="0"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18" fillId="6" borderId="0" xfId="6" applyFont="1" applyFill="1" applyAlignment="1">
      <alignment horizontal="left" vertical="center"/>
    </xf>
    <xf numFmtId="0" fontId="18" fillId="6" borderId="0" xfId="6" applyFont="1" applyFill="1" applyAlignment="1">
      <alignment horizontal="center" vertical="center"/>
    </xf>
    <xf numFmtId="0" fontId="12" fillId="0" borderId="0" xfId="6" applyFont="1" applyAlignment="1">
      <alignment horizontal="center"/>
    </xf>
    <xf numFmtId="0" fontId="12" fillId="0" borderId="0" xfId="6" applyFont="1"/>
    <xf numFmtId="0" fontId="14" fillId="0" borderId="2" xfId="6" applyFont="1" applyBorder="1" applyAlignment="1">
      <alignment horizontal="left"/>
    </xf>
    <xf numFmtId="0" fontId="14" fillId="0" borderId="2" xfId="6" applyFont="1" applyBorder="1" applyAlignment="1">
      <alignment horizontal="center"/>
    </xf>
    <xf numFmtId="0" fontId="14" fillId="0" borderId="2" xfId="6" applyFont="1" applyBorder="1"/>
    <xf numFmtId="175" fontId="19" fillId="0" borderId="0" xfId="6" applyNumberFormat="1" applyFont="1" applyAlignment="1">
      <alignment horizontal="center"/>
    </xf>
    <xf numFmtId="175" fontId="12" fillId="0" borderId="0" xfId="6" applyNumberFormat="1" applyFont="1" applyAlignment="1">
      <alignment horizontal="center"/>
    </xf>
    <xf numFmtId="167" fontId="19" fillId="0" borderId="0" xfId="7" applyNumberFormat="1" applyFont="1" applyFill="1" applyAlignment="1">
      <alignment horizontal="center"/>
    </xf>
    <xf numFmtId="175" fontId="12" fillId="0" borderId="0" xfId="6" applyNumberFormat="1" applyFont="1"/>
    <xf numFmtId="175" fontId="12" fillId="7" borderId="0" xfId="6" applyNumberFormat="1" applyFont="1" applyFill="1" applyAlignment="1">
      <alignment horizontal="center"/>
    </xf>
    <xf numFmtId="9" fontId="12" fillId="0" borderId="0" xfId="7" applyFont="1" applyAlignment="1">
      <alignment horizontal="center"/>
    </xf>
    <xf numFmtId="9" fontId="12" fillId="7" borderId="0" xfId="7" applyFont="1" applyFill="1" applyAlignment="1">
      <alignment horizontal="center"/>
    </xf>
    <xf numFmtId="167" fontId="12" fillId="0" borderId="0" xfId="7" applyNumberFormat="1" applyFont="1" applyAlignment="1">
      <alignment horizontal="center"/>
    </xf>
    <xf numFmtId="167" fontId="12" fillId="7" borderId="0" xfId="7" applyNumberFormat="1" applyFont="1" applyFill="1" applyAlignment="1">
      <alignment horizontal="center"/>
    </xf>
    <xf numFmtId="171" fontId="12" fillId="0" borderId="0" xfId="6" applyNumberFormat="1" applyFont="1" applyAlignment="1">
      <alignment horizontal="center"/>
    </xf>
    <xf numFmtId="171" fontId="19" fillId="0" borderId="0" xfId="6" applyNumberFormat="1" applyFont="1" applyAlignment="1">
      <alignment horizontal="center"/>
    </xf>
    <xf numFmtId="172" fontId="12" fillId="0" borderId="0" xfId="6" applyNumberFormat="1" applyFont="1" applyAlignment="1">
      <alignment horizontal="center"/>
    </xf>
    <xf numFmtId="172" fontId="19" fillId="0" borderId="0" xfId="6" applyNumberFormat="1" applyFont="1" applyAlignment="1">
      <alignment horizontal="center"/>
    </xf>
    <xf numFmtId="172" fontId="6" fillId="0" borderId="0" xfId="6" applyNumberFormat="1" applyFont="1" applyAlignment="1">
      <alignment horizontal="center"/>
    </xf>
    <xf numFmtId="0" fontId="19" fillId="0" borderId="0" xfId="6" applyFont="1" applyAlignment="1">
      <alignment horizontal="center"/>
    </xf>
    <xf numFmtId="175" fontId="13" fillId="0" borderId="0" xfId="6" applyNumberFormat="1" applyFont="1" applyAlignment="1">
      <alignment horizontal="center"/>
    </xf>
    <xf numFmtId="167" fontId="13" fillId="0" borderId="0" xfId="7" applyNumberFormat="1" applyFont="1" applyAlignment="1">
      <alignment horizontal="center"/>
    </xf>
    <xf numFmtId="171" fontId="12" fillId="7" borderId="0" xfId="6" applyNumberFormat="1" applyFont="1" applyFill="1" applyAlignment="1">
      <alignment horizontal="center"/>
    </xf>
    <xf numFmtId="43" fontId="12" fillId="7" borderId="0" xfId="8" applyFont="1" applyFill="1" applyAlignment="1">
      <alignment horizontal="center"/>
    </xf>
    <xf numFmtId="168" fontId="12" fillId="0" borderId="0" xfId="8" applyNumberFormat="1" applyFont="1" applyFill="1" applyAlignment="1">
      <alignment horizontal="center"/>
    </xf>
    <xf numFmtId="171" fontId="6" fillId="0" borderId="0" xfId="6" applyNumberFormat="1" applyFont="1" applyAlignment="1">
      <alignment horizontal="center"/>
    </xf>
    <xf numFmtId="173" fontId="12" fillId="0" borderId="0" xfId="6" applyNumberFormat="1" applyFont="1"/>
    <xf numFmtId="175" fontId="12" fillId="8" borderId="0" xfId="6" applyNumberFormat="1" applyFont="1" applyFill="1" applyAlignment="1">
      <alignment horizontal="center"/>
    </xf>
    <xf numFmtId="1" fontId="13" fillId="0" borderId="0" xfId="6" applyNumberFormat="1" applyFont="1" applyAlignment="1">
      <alignment horizontal="center"/>
    </xf>
    <xf numFmtId="167" fontId="19" fillId="7" borderId="0" xfId="6" applyNumberFormat="1" applyFont="1" applyFill="1" applyAlignment="1">
      <alignment horizontal="center"/>
    </xf>
    <xf numFmtId="167" fontId="19" fillId="0" borderId="0" xfId="6" applyNumberFormat="1" applyFont="1" applyAlignment="1">
      <alignment horizontal="center"/>
    </xf>
    <xf numFmtId="167" fontId="12" fillId="0" borderId="0" xfId="6" applyNumberFormat="1" applyFont="1" applyAlignment="1">
      <alignment horizontal="center"/>
    </xf>
    <xf numFmtId="167" fontId="12" fillId="7" borderId="0" xfId="6" applyNumberFormat="1" applyFont="1" applyFill="1" applyAlignment="1">
      <alignment horizontal="center"/>
    </xf>
    <xf numFmtId="167" fontId="12" fillId="0" borderId="0" xfId="6" applyNumberFormat="1" applyFont="1"/>
    <xf numFmtId="167" fontId="13" fillId="0" borderId="0" xfId="6" applyNumberFormat="1" applyFont="1" applyAlignment="1">
      <alignment horizontal="center"/>
    </xf>
    <xf numFmtId="9" fontId="12" fillId="0" borderId="0" xfId="6" applyNumberFormat="1" applyFont="1" applyAlignment="1">
      <alignment horizontal="center"/>
    </xf>
    <xf numFmtId="3" fontId="12" fillId="0" borderId="0" xfId="6" applyNumberFormat="1" applyFont="1" applyAlignment="1">
      <alignment horizontal="center"/>
    </xf>
    <xf numFmtId="0" fontId="13" fillId="0" borderId="0" xfId="6" applyFont="1" applyAlignment="1">
      <alignment horizontal="center"/>
    </xf>
    <xf numFmtId="167" fontId="12" fillId="5" borderId="0" xfId="6" applyNumberFormat="1" applyFont="1" applyFill="1" applyAlignment="1">
      <alignment horizontal="center"/>
    </xf>
    <xf numFmtId="0" fontId="14" fillId="0" borderId="0" xfId="6" applyFont="1"/>
    <xf numFmtId="175" fontId="19" fillId="0" borderId="0" xfId="6" applyNumberFormat="1" applyFont="1"/>
    <xf numFmtId="171" fontId="19" fillId="0" borderId="1" xfId="6" applyNumberFormat="1" applyFont="1" applyBorder="1" applyAlignment="1">
      <alignment horizontal="center"/>
    </xf>
    <xf numFmtId="171" fontId="6" fillId="0" borderId="1" xfId="6" applyNumberFormat="1" applyFont="1" applyBorder="1" applyAlignment="1">
      <alignment horizontal="center"/>
    </xf>
    <xf numFmtId="175" fontId="19" fillId="0" borderId="1" xfId="6" applyNumberFormat="1" applyFont="1" applyBorder="1"/>
    <xf numFmtId="175" fontId="6" fillId="0" borderId="0" xfId="6" applyNumberFormat="1" applyFont="1"/>
    <xf numFmtId="167" fontId="12" fillId="0" borderId="1" xfId="7" applyNumberFormat="1" applyFont="1" applyBorder="1" applyAlignment="1">
      <alignment horizontal="center"/>
    </xf>
    <xf numFmtId="9" fontId="12" fillId="0" borderId="1" xfId="7" applyFont="1" applyBorder="1" applyAlignment="1">
      <alignment horizontal="center"/>
    </xf>
    <xf numFmtId="9" fontId="12" fillId="7" borderId="1" xfId="7" applyFont="1" applyFill="1" applyBorder="1" applyAlignment="1">
      <alignment horizontal="center"/>
    </xf>
    <xf numFmtId="171" fontId="12" fillId="0" borderId="0" xfId="7" applyNumberFormat="1" applyFont="1" applyAlignment="1">
      <alignment horizontal="center"/>
    </xf>
    <xf numFmtId="171" fontId="12" fillId="0" borderId="1" xfId="7" applyNumberFormat="1" applyFont="1" applyBorder="1" applyAlignment="1">
      <alignment horizontal="center"/>
    </xf>
    <xf numFmtId="0" fontId="12" fillId="0" borderId="0" xfId="6" applyFont="1" applyAlignment="1">
      <alignment horizontal="left"/>
    </xf>
    <xf numFmtId="0" fontId="6" fillId="0" borderId="0" xfId="6" applyFont="1"/>
    <xf numFmtId="0" fontId="6" fillId="0" borderId="0" xfId="6" applyFont="1" applyAlignment="1">
      <alignment horizontal="left"/>
    </xf>
    <xf numFmtId="175" fontId="6" fillId="0" borderId="0" xfId="6" applyNumberFormat="1" applyFont="1" applyAlignment="1">
      <alignment horizontal="center"/>
    </xf>
    <xf numFmtId="173" fontId="12" fillId="0" borderId="0" xfId="6" applyNumberFormat="1" applyFont="1" applyAlignment="1">
      <alignment horizontal="center"/>
    </xf>
    <xf numFmtId="167" fontId="12" fillId="8" borderId="0" xfId="7" applyNumberFormat="1" applyFont="1" applyFill="1" applyAlignment="1">
      <alignment horizontal="center"/>
    </xf>
    <xf numFmtId="167" fontId="12" fillId="0" borderId="0" xfId="7" applyNumberFormat="1" applyFont="1" applyFill="1" applyAlignment="1">
      <alignment horizontal="center"/>
    </xf>
    <xf numFmtId="176" fontId="12" fillId="0" borderId="0" xfId="6" applyNumberFormat="1" applyFont="1" applyAlignment="1">
      <alignment horizontal="center"/>
    </xf>
    <xf numFmtId="1" fontId="12" fillId="0" borderId="0" xfId="6" applyNumberFormat="1" applyFont="1" applyAlignment="1">
      <alignment horizontal="center"/>
    </xf>
    <xf numFmtId="177" fontId="12" fillId="0" borderId="0" xfId="6" applyNumberFormat="1" applyFont="1" applyAlignment="1">
      <alignment horizontal="center"/>
    </xf>
    <xf numFmtId="1" fontId="12" fillId="7" borderId="0" xfId="6" applyNumberFormat="1" applyFont="1" applyFill="1" applyAlignment="1">
      <alignment horizontal="center"/>
    </xf>
    <xf numFmtId="172" fontId="12" fillId="7" borderId="0" xfId="6" applyNumberFormat="1" applyFont="1" applyFill="1" applyAlignment="1">
      <alignment horizontal="center"/>
    </xf>
    <xf numFmtId="175" fontId="12" fillId="0" borderId="1" xfId="6" applyNumberFormat="1" applyFont="1" applyBorder="1" applyAlignment="1">
      <alignment horizontal="center"/>
    </xf>
    <xf numFmtId="175" fontId="19" fillId="0" borderId="1" xfId="6" applyNumberFormat="1" applyFont="1" applyBorder="1" applyAlignment="1">
      <alignment horizontal="center"/>
    </xf>
    <xf numFmtId="175" fontId="12" fillId="7" borderId="1" xfId="6" applyNumberFormat="1" applyFont="1" applyFill="1" applyBorder="1" applyAlignment="1">
      <alignment horizontal="center"/>
    </xf>
    <xf numFmtId="0" fontId="12" fillId="0" borderId="1" xfId="6" applyFont="1" applyBorder="1" applyAlignment="1">
      <alignment horizontal="center"/>
    </xf>
    <xf numFmtId="0" fontId="6" fillId="0" borderId="0" xfId="9" applyFont="1"/>
    <xf numFmtId="175" fontId="6" fillId="0" borderId="0" xfId="9" applyNumberFormat="1" applyFont="1" applyAlignment="1">
      <alignment horizontal="center"/>
    </xf>
    <xf numFmtId="0" fontId="6" fillId="0" borderId="0" xfId="9" applyFont="1" applyAlignment="1">
      <alignment horizontal="center"/>
    </xf>
    <xf numFmtId="171" fontId="6" fillId="7" borderId="0" xfId="9" applyNumberFormat="1" applyFont="1" applyFill="1" applyAlignment="1">
      <alignment horizontal="center"/>
    </xf>
    <xf numFmtId="171" fontId="6" fillId="0" borderId="0" xfId="9" applyNumberFormat="1" applyFont="1" applyAlignment="1">
      <alignment horizontal="center"/>
    </xf>
    <xf numFmtId="0" fontId="7" fillId="0" borderId="0" xfId="9" applyFont="1"/>
    <xf numFmtId="178" fontId="6" fillId="0" borderId="0" xfId="9" applyNumberFormat="1" applyFont="1" applyAlignment="1">
      <alignment horizontal="center"/>
    </xf>
    <xf numFmtId="175" fontId="6" fillId="0" borderId="0" xfId="9" applyNumberFormat="1" applyFont="1"/>
    <xf numFmtId="175" fontId="6" fillId="0" borderId="1" xfId="9" applyNumberFormat="1" applyFont="1" applyBorder="1"/>
    <xf numFmtId="175" fontId="6" fillId="0" borderId="1" xfId="9" applyNumberFormat="1" applyFont="1" applyBorder="1" applyAlignment="1">
      <alignment horizontal="center"/>
    </xf>
    <xf numFmtId="175" fontId="12" fillId="0" borderId="11" xfId="6" applyNumberFormat="1" applyFont="1" applyBorder="1" applyAlignment="1">
      <alignment horizontal="center"/>
    </xf>
    <xf numFmtId="175" fontId="14" fillId="0" borderId="12" xfId="6" applyNumberFormat="1" applyFont="1" applyBorder="1" applyAlignment="1">
      <alignment horizontal="center"/>
    </xf>
    <xf numFmtId="0" fontId="6" fillId="0" borderId="0" xfId="10"/>
    <xf numFmtId="173" fontId="12" fillId="0" borderId="11" xfId="6" applyNumberFormat="1" applyFont="1" applyBorder="1" applyAlignment="1">
      <alignment horizontal="center"/>
    </xf>
    <xf numFmtId="173" fontId="12" fillId="0" borderId="1" xfId="6" applyNumberFormat="1" applyFont="1" applyBorder="1" applyAlignment="1">
      <alignment horizontal="center"/>
    </xf>
    <xf numFmtId="0" fontId="19" fillId="0" borderId="1" xfId="6" applyFont="1" applyBorder="1" applyAlignment="1">
      <alignment horizontal="center"/>
    </xf>
    <xf numFmtId="179" fontId="6" fillId="0" borderId="0" xfId="10" applyNumberFormat="1" applyAlignment="1">
      <alignment horizontal="center"/>
    </xf>
    <xf numFmtId="0" fontId="7" fillId="0" borderId="2" xfId="10" applyFont="1" applyBorder="1" applyAlignment="1">
      <alignment vertical="center"/>
    </xf>
    <xf numFmtId="0" fontId="12" fillId="0" borderId="1" xfId="6" applyFont="1" applyBorder="1"/>
    <xf numFmtId="179" fontId="6" fillId="0" borderId="1" xfId="10" applyNumberFormat="1" applyBorder="1" applyAlignment="1">
      <alignment horizontal="center"/>
    </xf>
    <xf numFmtId="0" fontId="12" fillId="0" borderId="2" xfId="6" applyFont="1" applyBorder="1" applyAlignment="1">
      <alignment horizontal="center"/>
    </xf>
    <xf numFmtId="0" fontId="14" fillId="0" borderId="2" xfId="6" applyFont="1" applyBorder="1" applyAlignment="1">
      <alignment horizontal="center" vertical="center"/>
    </xf>
    <xf numFmtId="0" fontId="7" fillId="9" borderId="2" xfId="11" applyFont="1" applyFill="1" applyBorder="1" applyAlignment="1">
      <alignment vertical="center"/>
    </xf>
    <xf numFmtId="0" fontId="7" fillId="9" borderId="2" xfId="11" applyFont="1" applyFill="1" applyBorder="1" applyAlignment="1">
      <alignment horizontal="center" vertical="center" wrapText="1"/>
    </xf>
    <xf numFmtId="0" fontId="7" fillId="9" borderId="2" xfId="9" quotePrefix="1" applyFont="1" applyFill="1" applyBorder="1" applyAlignment="1">
      <alignment horizontal="center" vertical="center" wrapText="1"/>
    </xf>
    <xf numFmtId="0" fontId="6" fillId="10" borderId="0" xfId="11" applyFont="1" applyFill="1"/>
    <xf numFmtId="171" fontId="6" fillId="10" borderId="0" xfId="9" applyNumberFormat="1" applyFont="1" applyFill="1" applyAlignment="1">
      <alignment horizontal="center"/>
    </xf>
    <xf numFmtId="179" fontId="6" fillId="10" borderId="0" xfId="9" applyNumberFormat="1" applyFont="1" applyFill="1" applyAlignment="1">
      <alignment horizontal="center"/>
    </xf>
    <xf numFmtId="0" fontId="6" fillId="9" borderId="0" xfId="11" applyFont="1" applyFill="1"/>
    <xf numFmtId="171" fontId="6" fillId="9" borderId="1" xfId="11" applyNumberFormat="1" applyFont="1" applyFill="1" applyBorder="1" applyAlignment="1">
      <alignment horizontal="center"/>
    </xf>
    <xf numFmtId="179" fontId="12" fillId="9" borderId="1" xfId="9" applyNumberFormat="1" applyFont="1" applyFill="1" applyBorder="1" applyAlignment="1">
      <alignment horizontal="center"/>
    </xf>
    <xf numFmtId="171" fontId="12" fillId="10" borderId="0" xfId="9" applyNumberFormat="1" applyFont="1" applyFill="1" applyAlignment="1">
      <alignment horizontal="center"/>
    </xf>
    <xf numFmtId="179" fontId="12" fillId="10" borderId="0" xfId="9" applyNumberFormat="1" applyFont="1" applyFill="1" applyAlignment="1">
      <alignment horizontal="center"/>
    </xf>
    <xf numFmtId="171" fontId="12" fillId="9" borderId="0" xfId="9" applyNumberFormat="1" applyFont="1" applyFill="1" applyAlignment="1">
      <alignment horizontal="center"/>
    </xf>
    <xf numFmtId="179" fontId="12" fillId="9" borderId="0" xfId="9" applyNumberFormat="1" applyFont="1" applyFill="1" applyAlignment="1">
      <alignment horizontal="center"/>
    </xf>
    <xf numFmtId="171" fontId="12" fillId="10" borderId="1" xfId="9" applyNumberFormat="1" applyFont="1" applyFill="1" applyBorder="1" applyAlignment="1">
      <alignment horizontal="center"/>
    </xf>
    <xf numFmtId="179" fontId="12" fillId="10" borderId="1" xfId="9" applyNumberFormat="1" applyFont="1" applyFill="1" applyBorder="1" applyAlignment="1">
      <alignment horizontal="center"/>
    </xf>
    <xf numFmtId="0" fontId="7" fillId="9" borderId="0" xfId="11" applyFont="1" applyFill="1"/>
    <xf numFmtId="171" fontId="14" fillId="9" borderId="0" xfId="9" applyNumberFormat="1" applyFont="1" applyFill="1" applyAlignment="1">
      <alignment horizontal="center"/>
    </xf>
    <xf numFmtId="179" fontId="14" fillId="9" borderId="0" xfId="9" applyNumberFormat="1" applyFont="1" applyFill="1" applyAlignment="1">
      <alignment horizontal="center"/>
    </xf>
    <xf numFmtId="0" fontId="12" fillId="10" borderId="0" xfId="6" applyFont="1" applyFill="1"/>
    <xf numFmtId="175" fontId="12" fillId="10" borderId="0" xfId="6" applyNumberFormat="1" applyFont="1" applyFill="1" applyAlignment="1">
      <alignment horizontal="center"/>
    </xf>
    <xf numFmtId="0" fontId="12" fillId="10" borderId="0" xfId="6" applyFont="1" applyFill="1" applyAlignment="1">
      <alignment horizontal="center"/>
    </xf>
    <xf numFmtId="180" fontId="12" fillId="7" borderId="0" xfId="7" applyNumberFormat="1" applyFont="1" applyFill="1" applyAlignment="1">
      <alignment horizontal="center"/>
    </xf>
    <xf numFmtId="180" fontId="12" fillId="0" borderId="0" xfId="6" applyNumberFormat="1" applyFont="1"/>
    <xf numFmtId="0" fontId="14" fillId="9" borderId="4" xfId="6" applyFont="1" applyFill="1" applyBorder="1"/>
    <xf numFmtId="171" fontId="14" fillId="9" borderId="4" xfId="6" applyNumberFormat="1" applyFont="1" applyFill="1" applyBorder="1" applyAlignment="1">
      <alignment horizontal="center"/>
    </xf>
    <xf numFmtId="179" fontId="14" fillId="9" borderId="4" xfId="6" applyNumberFormat="1" applyFont="1" applyFill="1" applyBorder="1" applyAlignment="1">
      <alignment horizontal="center"/>
    </xf>
    <xf numFmtId="180" fontId="12" fillId="0" borderId="0" xfId="7" applyNumberFormat="1" applyFont="1" applyFill="1" applyAlignment="1">
      <alignment horizontal="center"/>
    </xf>
    <xf numFmtId="0" fontId="7" fillId="11" borderId="0" xfId="12" applyFont="1" applyFill="1" applyAlignment="1">
      <alignment vertical="center"/>
    </xf>
    <xf numFmtId="0" fontId="7" fillId="11" borderId="0" xfId="12" applyFont="1" applyFill="1" applyAlignment="1">
      <alignment horizontal="center" vertical="center"/>
    </xf>
    <xf numFmtId="0" fontId="7" fillId="11" borderId="0" xfId="12" applyFont="1" applyFill="1"/>
    <xf numFmtId="171" fontId="6" fillId="11" borderId="0" xfId="11" applyNumberFormat="1" applyFont="1" applyFill="1" applyAlignment="1">
      <alignment horizontal="center"/>
    </xf>
    <xf numFmtId="0" fontId="6" fillId="11" borderId="0" xfId="12" applyFont="1" applyFill="1"/>
    <xf numFmtId="171" fontId="6" fillId="11" borderId="0" xfId="12" applyNumberFormat="1" applyFont="1" applyFill="1" applyAlignment="1">
      <alignment horizontal="center"/>
    </xf>
    <xf numFmtId="171" fontId="19" fillId="11" borderId="0" xfId="11" applyNumberFormat="1" applyFont="1" applyFill="1" applyAlignment="1">
      <alignment horizontal="center"/>
    </xf>
    <xf numFmtId="0" fontId="7" fillId="0" borderId="2" xfId="11" applyFont="1" applyBorder="1" applyAlignment="1">
      <alignment horizontal="left" vertical="center"/>
    </xf>
    <xf numFmtId="0" fontId="6" fillId="0" borderId="0" xfId="11" applyFont="1"/>
    <xf numFmtId="0" fontId="6" fillId="0" borderId="0" xfId="11" applyFont="1" applyAlignment="1">
      <alignment horizontal="center"/>
    </xf>
    <xf numFmtId="0" fontId="6" fillId="0" borderId="0" xfId="12" applyFont="1"/>
    <xf numFmtId="14" fontId="6" fillId="0" borderId="0" xfId="11" applyNumberFormat="1" applyFont="1"/>
    <xf numFmtId="0" fontId="7" fillId="9" borderId="2" xfId="11" applyFont="1" applyFill="1" applyBorder="1" applyAlignment="1">
      <alignment horizontal="left" vertical="center"/>
    </xf>
    <xf numFmtId="0" fontId="7" fillId="9" borderId="2" xfId="11" applyFont="1" applyFill="1" applyBorder="1" applyAlignment="1">
      <alignment horizontal="center" vertical="center"/>
    </xf>
    <xf numFmtId="0" fontId="6" fillId="10" borderId="0" xfId="11" applyFont="1" applyFill="1" applyAlignment="1">
      <alignment horizontal="left"/>
    </xf>
    <xf numFmtId="171" fontId="6" fillId="10" borderId="0" xfId="11" applyNumberFormat="1" applyFont="1" applyFill="1" applyAlignment="1">
      <alignment horizontal="center"/>
    </xf>
    <xf numFmtId="0" fontId="6" fillId="9" borderId="0" xfId="11" applyFont="1" applyFill="1" applyAlignment="1">
      <alignment horizontal="left"/>
    </xf>
    <xf numFmtId="171" fontId="6" fillId="9" borderId="0" xfId="11" applyNumberFormat="1" applyFont="1" applyFill="1" applyAlignment="1">
      <alignment horizontal="center"/>
    </xf>
    <xf numFmtId="179" fontId="6" fillId="9" borderId="0" xfId="11" applyNumberFormat="1" applyFont="1" applyFill="1" applyAlignment="1">
      <alignment horizontal="center"/>
    </xf>
    <xf numFmtId="179" fontId="6" fillId="10" borderId="0" xfId="11" applyNumberFormat="1" applyFont="1" applyFill="1" applyAlignment="1">
      <alignment horizontal="center"/>
    </xf>
    <xf numFmtId="0" fontId="17" fillId="0" borderId="0" xfId="6"/>
    <xf numFmtId="175" fontId="21" fillId="0" borderId="0" xfId="6" applyNumberFormat="1" applyFont="1" applyAlignment="1">
      <alignment horizontal="center"/>
    </xf>
    <xf numFmtId="175" fontId="12" fillId="0" borderId="0" xfId="6" applyNumberFormat="1" applyFont="1" applyAlignment="1">
      <alignment horizontal="left"/>
    </xf>
    <xf numFmtId="0" fontId="6" fillId="0" borderId="0" xfId="6" applyFont="1" applyAlignment="1">
      <alignment horizontal="center"/>
    </xf>
    <xf numFmtId="9" fontId="6" fillId="0" borderId="0" xfId="7" applyFont="1" applyAlignment="1">
      <alignment horizontal="center"/>
    </xf>
    <xf numFmtId="167" fontId="6" fillId="0" borderId="0" xfId="7" applyNumberFormat="1" applyFont="1" applyAlignment="1">
      <alignment horizontal="center"/>
    </xf>
    <xf numFmtId="0" fontId="14" fillId="0" borderId="2" xfId="6" applyFont="1" applyBorder="1" applyAlignment="1">
      <alignment horizontal="right"/>
    </xf>
    <xf numFmtId="169" fontId="12" fillId="7" borderId="0" xfId="8" applyNumberFormat="1" applyFont="1" applyFill="1" applyAlignment="1">
      <alignment horizontal="center"/>
    </xf>
    <xf numFmtId="9" fontId="12" fillId="7" borderId="0" xfId="6" applyNumberFormat="1" applyFont="1" applyFill="1" applyAlignment="1">
      <alignment horizontal="center"/>
    </xf>
    <xf numFmtId="0" fontId="19" fillId="0" borderId="0" xfId="6" applyFont="1"/>
    <xf numFmtId="172" fontId="12" fillId="0" borderId="0" xfId="6" applyNumberFormat="1" applyFont="1"/>
    <xf numFmtId="0" fontId="19" fillId="0" borderId="1" xfId="6" applyFont="1" applyBorder="1"/>
    <xf numFmtId="172" fontId="12" fillId="0" borderId="1" xfId="6" applyNumberFormat="1" applyFont="1" applyBorder="1"/>
    <xf numFmtId="9" fontId="12" fillId="0" borderId="0" xfId="7" applyFont="1"/>
    <xf numFmtId="9" fontId="12" fillId="0" borderId="1" xfId="7" applyFont="1" applyBorder="1"/>
    <xf numFmtId="9" fontId="12" fillId="7" borderId="0" xfId="7" applyFont="1" applyFill="1"/>
    <xf numFmtId="9" fontId="12" fillId="7" borderId="1" xfId="7" applyFont="1" applyFill="1" applyBorder="1"/>
    <xf numFmtId="0" fontId="21" fillId="0" borderId="0" xfId="6" applyFont="1" applyAlignment="1">
      <alignment horizontal="center"/>
    </xf>
    <xf numFmtId="175" fontId="19" fillId="4" borderId="0" xfId="6" applyNumberFormat="1" applyFont="1" applyFill="1" applyAlignment="1">
      <alignment horizontal="center"/>
    </xf>
    <xf numFmtId="167" fontId="6" fillId="0" borderId="0" xfId="7" applyNumberFormat="1" applyFont="1" applyFill="1" applyAlignment="1">
      <alignment horizontal="center"/>
    </xf>
    <xf numFmtId="175" fontId="22" fillId="0" borderId="0" xfId="6" applyNumberFormat="1" applyFont="1" applyAlignment="1">
      <alignment horizontal="center"/>
    </xf>
    <xf numFmtId="171" fontId="6" fillId="12" borderId="0" xfId="9" applyNumberFormat="1" applyFont="1" applyFill="1" applyAlignment="1">
      <alignment horizontal="center"/>
    </xf>
    <xf numFmtId="171" fontId="6" fillId="12" borderId="1" xfId="9" applyNumberFormat="1" applyFont="1" applyFill="1" applyBorder="1" applyAlignment="1">
      <alignment horizontal="center"/>
    </xf>
    <xf numFmtId="175" fontId="19" fillId="0" borderId="11" xfId="6" applyNumberFormat="1" applyFont="1" applyBorder="1" applyAlignment="1">
      <alignment horizontal="center"/>
    </xf>
    <xf numFmtId="175" fontId="6" fillId="10" borderId="0" xfId="9" applyNumberFormat="1" applyFont="1" applyFill="1" applyAlignment="1">
      <alignment horizontal="center"/>
    </xf>
    <xf numFmtId="175" fontId="6" fillId="9" borderId="1" xfId="11" applyNumberFormat="1" applyFont="1" applyFill="1" applyBorder="1" applyAlignment="1">
      <alignment horizontal="center"/>
    </xf>
    <xf numFmtId="175" fontId="12" fillId="10" borderId="0" xfId="9" applyNumberFormat="1" applyFont="1" applyFill="1" applyAlignment="1">
      <alignment horizontal="center"/>
    </xf>
    <xf numFmtId="175" fontId="12" fillId="9" borderId="0" xfId="9" applyNumberFormat="1" applyFont="1" applyFill="1" applyAlignment="1">
      <alignment horizontal="center"/>
    </xf>
    <xf numFmtId="10" fontId="12" fillId="0" borderId="0" xfId="6" applyNumberFormat="1" applyFont="1"/>
    <xf numFmtId="175" fontId="12" fillId="10" borderId="1" xfId="9" applyNumberFormat="1" applyFont="1" applyFill="1" applyBorder="1" applyAlignment="1">
      <alignment horizontal="center"/>
    </xf>
    <xf numFmtId="0" fontId="14" fillId="9" borderId="0" xfId="6" applyFont="1" applyFill="1"/>
    <xf numFmtId="175" fontId="14" fillId="9" borderId="0" xfId="6" applyNumberFormat="1" applyFont="1" applyFill="1" applyAlignment="1">
      <alignment horizontal="center"/>
    </xf>
    <xf numFmtId="179" fontId="14" fillId="9" borderId="0" xfId="6" applyNumberFormat="1" applyFont="1" applyFill="1" applyAlignment="1">
      <alignment horizontal="center"/>
    </xf>
    <xf numFmtId="175" fontId="14" fillId="9" borderId="4" xfId="6" applyNumberFormat="1" applyFont="1" applyFill="1" applyBorder="1" applyAlignment="1">
      <alignment horizontal="center"/>
    </xf>
    <xf numFmtId="0" fontId="7" fillId="0" borderId="2" xfId="11" applyFont="1" applyBorder="1" applyAlignment="1">
      <alignment horizontal="center" vertical="center"/>
    </xf>
    <xf numFmtId="0" fontId="6" fillId="10" borderId="0" xfId="11" applyFont="1" applyFill="1" applyAlignment="1">
      <alignment horizontal="center"/>
    </xf>
    <xf numFmtId="171" fontId="6" fillId="0" borderId="0" xfId="11" applyNumberFormat="1" applyFont="1" applyAlignment="1">
      <alignment horizontal="left"/>
    </xf>
    <xf numFmtId="0" fontId="6" fillId="9" borderId="0" xfId="11" applyFont="1" applyFill="1" applyAlignment="1">
      <alignment horizontal="center"/>
    </xf>
    <xf numFmtId="0" fontId="7" fillId="0" borderId="0" xfId="10" applyFont="1" applyAlignment="1">
      <alignment vertical="center"/>
    </xf>
    <xf numFmtId="175" fontId="23" fillId="0" borderId="0" xfId="6" applyNumberFormat="1" applyFont="1" applyAlignment="1">
      <alignment horizontal="center"/>
    </xf>
    <xf numFmtId="181" fontId="12" fillId="0" borderId="0" xfId="6" applyNumberFormat="1" applyFont="1" applyAlignment="1">
      <alignment horizontal="center"/>
    </xf>
    <xf numFmtId="0" fontId="23" fillId="0" borderId="0" xfId="6" applyFont="1"/>
    <xf numFmtId="171" fontId="22" fillId="0" borderId="0" xfId="6" applyNumberFormat="1" applyFont="1" applyAlignment="1">
      <alignment horizontal="center"/>
    </xf>
    <xf numFmtId="171" fontId="22" fillId="0" borderId="1" xfId="6" applyNumberFormat="1" applyFont="1" applyBorder="1" applyAlignment="1">
      <alignment horizontal="center"/>
    </xf>
    <xf numFmtId="175" fontId="23" fillId="4" borderId="0" xfId="6" applyNumberFormat="1" applyFont="1" applyFill="1" applyAlignment="1">
      <alignment horizontal="center"/>
    </xf>
    <xf numFmtId="175" fontId="23" fillId="0" borderId="1" xfId="6" applyNumberFormat="1" applyFont="1" applyBorder="1" applyAlignment="1">
      <alignment horizontal="center"/>
    </xf>
    <xf numFmtId="0" fontId="7" fillId="0" borderId="2" xfId="9" applyFont="1" applyBorder="1"/>
    <xf numFmtId="0" fontId="7" fillId="0" borderId="2" xfId="9" applyFont="1" applyBorder="1" applyAlignment="1">
      <alignment horizontal="center"/>
    </xf>
    <xf numFmtId="175" fontId="23" fillId="0" borderId="0" xfId="9" applyNumberFormat="1" applyFont="1" applyAlignment="1">
      <alignment horizontal="center"/>
    </xf>
    <xf numFmtId="175" fontId="23" fillId="0" borderId="1" xfId="9" applyNumberFormat="1" applyFont="1" applyBorder="1" applyAlignment="1">
      <alignment horizontal="center"/>
    </xf>
    <xf numFmtId="0" fontId="24" fillId="0" borderId="0" xfId="6" applyFont="1"/>
    <xf numFmtId="171" fontId="23" fillId="0" borderId="11" xfId="6" applyNumberFormat="1" applyFont="1" applyBorder="1" applyAlignment="1">
      <alignment horizontal="center"/>
    </xf>
    <xf numFmtId="171" fontId="23" fillId="0" borderId="0" xfId="6" applyNumberFormat="1" applyFont="1" applyAlignment="1">
      <alignment horizontal="center"/>
    </xf>
    <xf numFmtId="171" fontId="23" fillId="0" borderId="1" xfId="6" applyNumberFormat="1" applyFont="1" applyBorder="1" applyAlignment="1">
      <alignment horizontal="center"/>
    </xf>
    <xf numFmtId="171" fontId="6" fillId="0" borderId="11" xfId="6" applyNumberFormat="1" applyFont="1" applyBorder="1" applyAlignment="1">
      <alignment horizontal="center"/>
    </xf>
    <xf numFmtId="0" fontId="14" fillId="0" borderId="11" xfId="6" applyFont="1" applyBorder="1"/>
    <xf numFmtId="171" fontId="7" fillId="0" borderId="11" xfId="6" applyNumberFormat="1" applyFont="1" applyBorder="1" applyAlignment="1">
      <alignment horizontal="center"/>
    </xf>
    <xf numFmtId="182" fontId="6" fillId="0" borderId="0" xfId="13" applyNumberFormat="1" applyAlignment="1">
      <alignment horizontal="center"/>
    </xf>
    <xf numFmtId="171" fontId="7" fillId="0" borderId="0" xfId="6" applyNumberFormat="1" applyFont="1" applyAlignment="1">
      <alignment horizontal="center"/>
    </xf>
    <xf numFmtId="182" fontId="6" fillId="0" borderId="1" xfId="13" applyNumberFormat="1" applyBorder="1" applyAlignment="1">
      <alignment horizontal="center"/>
    </xf>
    <xf numFmtId="0" fontId="22" fillId="0" borderId="0" xfId="6" applyFont="1" applyAlignment="1">
      <alignment horizontal="center"/>
    </xf>
    <xf numFmtId="171" fontId="6" fillId="9" borderId="0" xfId="9" applyNumberFormat="1" applyFont="1" applyFill="1" applyAlignment="1">
      <alignment horizontal="center"/>
    </xf>
    <xf numFmtId="0" fontId="7" fillId="10" borderId="2" xfId="11" applyFont="1" applyFill="1" applyBorder="1"/>
    <xf numFmtId="171" fontId="7" fillId="10" borderId="2" xfId="9" applyNumberFormat="1" applyFont="1" applyFill="1" applyBorder="1" applyAlignment="1">
      <alignment horizontal="center"/>
    </xf>
    <xf numFmtId="179" fontId="14" fillId="10" borderId="2" xfId="9" applyNumberFormat="1" applyFont="1" applyFill="1" applyBorder="1" applyAlignment="1">
      <alignment horizontal="center"/>
    </xf>
    <xf numFmtId="0" fontId="12" fillId="9" borderId="0" xfId="6" applyFont="1" applyFill="1" applyAlignment="1">
      <alignment horizontal="center"/>
    </xf>
    <xf numFmtId="0" fontId="7" fillId="9" borderId="2" xfId="11" applyFont="1" applyFill="1" applyBorder="1"/>
    <xf numFmtId="171" fontId="7" fillId="9" borderId="2" xfId="9" applyNumberFormat="1" applyFont="1" applyFill="1" applyBorder="1" applyAlignment="1">
      <alignment horizontal="center"/>
    </xf>
    <xf numFmtId="179" fontId="14" fillId="9" borderId="2" xfId="9" applyNumberFormat="1" applyFont="1" applyFill="1" applyBorder="1" applyAlignment="1">
      <alignment horizontal="center"/>
    </xf>
    <xf numFmtId="0" fontId="7" fillId="9" borderId="11" xfId="11" applyFont="1" applyFill="1" applyBorder="1"/>
    <xf numFmtId="171" fontId="7" fillId="9" borderId="11" xfId="9" applyNumberFormat="1" applyFont="1" applyFill="1" applyBorder="1" applyAlignment="1">
      <alignment horizontal="center"/>
    </xf>
    <xf numFmtId="179" fontId="14" fillId="9" borderId="11" xfId="9" applyNumberFormat="1" applyFont="1" applyFill="1" applyBorder="1" applyAlignment="1">
      <alignment horizontal="center"/>
    </xf>
    <xf numFmtId="179" fontId="12" fillId="0" borderId="0" xfId="9" applyNumberFormat="1" applyFont="1" applyAlignment="1">
      <alignment horizontal="center"/>
    </xf>
    <xf numFmtId="0" fontId="17" fillId="0" borderId="0" xfId="6" applyAlignment="1">
      <alignment horizontal="center"/>
    </xf>
    <xf numFmtId="0" fontId="14" fillId="9" borderId="2" xfId="6" applyFont="1" applyFill="1" applyBorder="1" applyAlignment="1">
      <alignment horizontal="center" vertical="center"/>
    </xf>
    <xf numFmtId="0" fontId="25" fillId="6" borderId="0" xfId="6" applyFont="1" applyFill="1" applyAlignment="1">
      <alignment horizontal="left" vertical="center"/>
    </xf>
    <xf numFmtId="0" fontId="25" fillId="6" borderId="0" xfId="6" applyFont="1" applyFill="1" applyAlignment="1">
      <alignment horizontal="center" vertical="center"/>
    </xf>
    <xf numFmtId="0" fontId="26" fillId="13" borderId="0" xfId="14" applyFont="1" applyFill="1" applyAlignment="1">
      <alignment vertical="center"/>
    </xf>
    <xf numFmtId="0" fontId="26" fillId="13" borderId="0" xfId="14" applyFont="1" applyFill="1" applyAlignment="1">
      <alignment horizontal="center" vertical="center"/>
    </xf>
    <xf numFmtId="0" fontId="14" fillId="0" borderId="2" xfId="6" applyFont="1" applyBorder="1" applyAlignment="1">
      <alignment vertical="center"/>
    </xf>
    <xf numFmtId="0" fontId="14" fillId="0" borderId="2" xfId="6" applyFont="1" applyBorder="1" applyAlignment="1">
      <alignment horizontal="center" vertical="center" wrapText="1"/>
    </xf>
    <xf numFmtId="9" fontId="27" fillId="0" borderId="0" xfId="7" applyFont="1" applyFill="1" applyAlignment="1">
      <alignment horizontal="center"/>
    </xf>
    <xf numFmtId="171" fontId="12" fillId="0" borderId="1" xfId="6" applyNumberFormat="1" applyFont="1" applyBorder="1" applyAlignment="1">
      <alignment horizontal="center"/>
    </xf>
    <xf numFmtId="9" fontId="27" fillId="0" borderId="1" xfId="7" applyFont="1" applyFill="1" applyBorder="1" applyAlignment="1">
      <alignment horizontal="center"/>
    </xf>
    <xf numFmtId="182" fontId="7" fillId="0" borderId="0" xfId="13" applyNumberFormat="1" applyFont="1" applyAlignment="1">
      <alignment horizontal="center"/>
    </xf>
    <xf numFmtId="171" fontId="14" fillId="0" borderId="0" xfId="6" applyNumberFormat="1" applyFont="1" applyAlignment="1">
      <alignment horizontal="center"/>
    </xf>
    <xf numFmtId="0" fontId="14" fillId="0" borderId="0" xfId="6" applyFont="1" applyAlignment="1">
      <alignment horizontal="center"/>
    </xf>
    <xf numFmtId="9" fontId="12" fillId="0" borderId="0" xfId="6" applyNumberFormat="1" applyFont="1"/>
    <xf numFmtId="171" fontId="12" fillId="0" borderId="0" xfId="6" applyNumberFormat="1" applyFont="1"/>
    <xf numFmtId="171" fontId="27" fillId="0" borderId="1" xfId="6" applyNumberFormat="1" applyFont="1" applyBorder="1" applyAlignment="1">
      <alignment horizontal="center"/>
    </xf>
    <xf numFmtId="0" fontId="14" fillId="0" borderId="2" xfId="6" applyFont="1" applyBorder="1" applyAlignment="1">
      <alignment vertical="center" wrapText="1"/>
    </xf>
    <xf numFmtId="0" fontId="14" fillId="0" borderId="13" xfId="6" applyFont="1" applyBorder="1" applyAlignment="1">
      <alignment horizontal="center" vertical="center" wrapText="1"/>
    </xf>
    <xf numFmtId="172" fontId="12" fillId="12" borderId="0" xfId="6" applyNumberFormat="1" applyFont="1" applyFill="1" applyAlignment="1">
      <alignment horizontal="center"/>
    </xf>
    <xf numFmtId="182" fontId="6" fillId="0" borderId="14" xfId="13" applyNumberFormat="1" applyBorder="1" applyAlignment="1">
      <alignment horizontal="center"/>
    </xf>
    <xf numFmtId="182" fontId="6" fillId="0" borderId="15" xfId="13" applyNumberFormat="1" applyBorder="1" applyAlignment="1">
      <alignment horizontal="center"/>
    </xf>
    <xf numFmtId="172" fontId="12" fillId="0" borderId="1" xfId="6" applyNumberFormat="1" applyFont="1" applyBorder="1" applyAlignment="1">
      <alignment horizontal="center"/>
    </xf>
    <xf numFmtId="167" fontId="27" fillId="0" borderId="0" xfId="7" applyNumberFormat="1" applyFont="1" applyAlignment="1">
      <alignment horizontal="center"/>
    </xf>
    <xf numFmtId="167" fontId="6" fillId="12" borderId="0" xfId="7" applyNumberFormat="1" applyFont="1" applyFill="1" applyAlignment="1">
      <alignment horizontal="center"/>
    </xf>
    <xf numFmtId="10" fontId="6" fillId="12" borderId="0" xfId="13" applyNumberFormat="1" applyFill="1" applyAlignment="1">
      <alignment horizontal="center"/>
    </xf>
    <xf numFmtId="167" fontId="6" fillId="12" borderId="0" xfId="13" applyNumberFormat="1" applyFill="1" applyAlignment="1">
      <alignment horizontal="center"/>
    </xf>
    <xf numFmtId="171" fontId="6" fillId="12" borderId="0" xfId="6" applyNumberFormat="1" applyFont="1" applyFill="1" applyAlignment="1">
      <alignment horizontal="center"/>
    </xf>
    <xf numFmtId="171" fontId="7" fillId="0" borderId="12" xfId="6" applyNumberFormat="1" applyFont="1" applyBorder="1" applyAlignment="1">
      <alignment horizontal="center"/>
    </xf>
    <xf numFmtId="171" fontId="6" fillId="12" borderId="1" xfId="6" applyNumberFormat="1" applyFont="1" applyFill="1" applyBorder="1" applyAlignment="1">
      <alignment horizontal="center"/>
    </xf>
    <xf numFmtId="175" fontId="12" fillId="0" borderId="0" xfId="15" applyNumberFormat="1" applyFont="1"/>
    <xf numFmtId="183" fontId="6" fillId="0" borderId="0" xfId="13" applyNumberFormat="1" applyAlignment="1">
      <alignment horizontal="center"/>
    </xf>
    <xf numFmtId="0" fontId="26" fillId="0" borderId="0" xfId="14" applyFont="1" applyAlignment="1">
      <alignment vertical="center"/>
    </xf>
    <xf numFmtId="0" fontId="26" fillId="0" borderId="0" xfId="14" applyFont="1" applyAlignment="1">
      <alignment horizontal="center" vertical="center"/>
    </xf>
    <xf numFmtId="175" fontId="27" fillId="0" borderId="0" xfId="6" applyNumberFormat="1" applyFont="1" applyAlignment="1">
      <alignment horizontal="center"/>
    </xf>
    <xf numFmtId="172" fontId="27" fillId="0" borderId="0" xfId="6" applyNumberFormat="1" applyFont="1" applyAlignment="1">
      <alignment horizontal="center"/>
    </xf>
    <xf numFmtId="0" fontId="28" fillId="0" borderId="0" xfId="6" applyFont="1"/>
    <xf numFmtId="0" fontId="12" fillId="0" borderId="1" xfId="6" applyFont="1" applyBorder="1" applyAlignment="1">
      <alignment horizontal="right"/>
    </xf>
    <xf numFmtId="172" fontId="12" fillId="4" borderId="0" xfId="6" applyNumberFormat="1" applyFont="1" applyFill="1"/>
    <xf numFmtId="0" fontId="12" fillId="4" borderId="0" xfId="6" applyFont="1" applyFill="1"/>
    <xf numFmtId="172" fontId="13" fillId="0" borderId="0" xfId="6" applyNumberFormat="1" applyFont="1"/>
    <xf numFmtId="172" fontId="13" fillId="0" borderId="1" xfId="6" applyNumberFormat="1" applyFont="1" applyBorder="1"/>
    <xf numFmtId="0" fontId="12" fillId="0" borderId="4" xfId="6" applyFont="1" applyBorder="1"/>
    <xf numFmtId="172" fontId="12" fillId="0" borderId="4" xfId="6" applyNumberFormat="1" applyFont="1" applyBorder="1"/>
    <xf numFmtId="0" fontId="29" fillId="0" borderId="0" xfId="6" applyFont="1"/>
    <xf numFmtId="0" fontId="13" fillId="0" borderId="0" xfId="6" applyFont="1"/>
    <xf numFmtId="1" fontId="12" fillId="0" borderId="0" xfId="6" applyNumberFormat="1" applyFont="1"/>
    <xf numFmtId="0" fontId="12" fillId="0" borderId="16" xfId="6" applyFont="1" applyBorder="1"/>
    <xf numFmtId="0" fontId="12" fillId="0" borderId="17" xfId="6" applyFont="1" applyBorder="1"/>
    <xf numFmtId="0" fontId="12" fillId="0" borderId="18" xfId="6" applyFont="1" applyBorder="1"/>
    <xf numFmtId="0" fontId="12" fillId="0" borderId="20" xfId="6" applyFont="1" applyBorder="1"/>
    <xf numFmtId="0" fontId="12" fillId="0" borderId="21" xfId="6" applyFont="1" applyBorder="1"/>
    <xf numFmtId="1" fontId="12" fillId="0" borderId="21" xfId="6" applyNumberFormat="1" applyFont="1" applyBorder="1"/>
    <xf numFmtId="167" fontId="12" fillId="0" borderId="21" xfId="6" applyNumberFormat="1" applyFont="1" applyBorder="1"/>
    <xf numFmtId="0" fontId="15" fillId="0" borderId="0" xfId="6" applyFont="1"/>
    <xf numFmtId="2" fontId="12" fillId="0" borderId="0" xfId="6" applyNumberFormat="1" applyFont="1"/>
    <xf numFmtId="1" fontId="12" fillId="0" borderId="1" xfId="6" applyNumberFormat="1" applyFont="1" applyBorder="1"/>
    <xf numFmtId="0" fontId="12" fillId="0" borderId="0" xfId="6" applyFont="1" applyAlignment="1">
      <alignment horizontal="right"/>
    </xf>
    <xf numFmtId="172" fontId="12" fillId="0" borderId="0" xfId="6" applyNumberFormat="1" applyFont="1" applyAlignment="1">
      <alignment horizontal="right"/>
    </xf>
    <xf numFmtId="2" fontId="12" fillId="0" borderId="0" xfId="6" applyNumberFormat="1" applyFont="1" applyAlignment="1">
      <alignment horizontal="right"/>
    </xf>
    <xf numFmtId="0" fontId="12" fillId="0" borderId="0" xfId="6" quotePrefix="1" applyFont="1"/>
    <xf numFmtId="167" fontId="12" fillId="0" borderId="1" xfId="6" applyNumberFormat="1" applyFont="1" applyBorder="1"/>
    <xf numFmtId="0" fontId="13" fillId="0" borderId="0" xfId="6" quotePrefix="1" applyFont="1"/>
    <xf numFmtId="167" fontId="13" fillId="0" borderId="0" xfId="6" applyNumberFormat="1" applyFont="1"/>
    <xf numFmtId="0" fontId="12" fillId="0" borderId="1" xfId="6" quotePrefix="1" applyFont="1" applyBorder="1"/>
    <xf numFmtId="3" fontId="12" fillId="0" borderId="0" xfId="6" applyNumberFormat="1" applyFont="1"/>
    <xf numFmtId="3" fontId="12" fillId="0" borderId="1" xfId="6" applyNumberFormat="1" applyFont="1" applyBorder="1"/>
    <xf numFmtId="184" fontId="12" fillId="0" borderId="0" xfId="6" applyNumberFormat="1" applyFont="1"/>
    <xf numFmtId="17" fontId="12" fillId="0" borderId="0" xfId="6" applyNumberFormat="1" applyFont="1" applyAlignment="1">
      <alignment horizontal="left"/>
    </xf>
    <xf numFmtId="185" fontId="12" fillId="0" borderId="0" xfId="6" applyNumberFormat="1" applyFont="1" applyAlignment="1">
      <alignment horizontal="right"/>
    </xf>
    <xf numFmtId="185" fontId="12" fillId="0" borderId="0" xfId="6" applyNumberFormat="1" applyFont="1"/>
    <xf numFmtId="185" fontId="12" fillId="0" borderId="1" xfId="6" applyNumberFormat="1" applyFont="1" applyBorder="1" applyAlignment="1">
      <alignment horizontal="right"/>
    </xf>
    <xf numFmtId="185" fontId="12" fillId="0" borderId="1" xfId="6" applyNumberFormat="1" applyFont="1" applyBorder="1"/>
    <xf numFmtId="3" fontId="12" fillId="4" borderId="0" xfId="6" applyNumberFormat="1" applyFont="1" applyFill="1"/>
    <xf numFmtId="172" fontId="12" fillId="0" borderId="1" xfId="6" quotePrefix="1" applyNumberFormat="1" applyFont="1" applyBorder="1" applyAlignment="1">
      <alignment horizontal="right"/>
    </xf>
    <xf numFmtId="172" fontId="12" fillId="0" borderId="1" xfId="6" quotePrefix="1" applyNumberFormat="1" applyFont="1" applyBorder="1"/>
    <xf numFmtId="9" fontId="12" fillId="4" borderId="0" xfId="6" applyNumberFormat="1" applyFont="1" applyFill="1"/>
    <xf numFmtId="1" fontId="12" fillId="4" borderId="0" xfId="6" applyNumberFormat="1" applyFont="1" applyFill="1"/>
    <xf numFmtId="171" fontId="12" fillId="0" borderId="1" xfId="6" applyNumberFormat="1" applyFont="1" applyBorder="1"/>
    <xf numFmtId="172" fontId="12" fillId="0" borderId="1" xfId="6" applyNumberFormat="1" applyFont="1" applyBorder="1" applyAlignment="1">
      <alignment horizontal="right"/>
    </xf>
    <xf numFmtId="171" fontId="12" fillId="4" borderId="0" xfId="6" applyNumberFormat="1" applyFont="1" applyFill="1"/>
    <xf numFmtId="0" fontId="30" fillId="0" borderId="0" xfId="6" applyFont="1"/>
    <xf numFmtId="171" fontId="30" fillId="0" borderId="0" xfId="6" applyNumberFormat="1" applyFont="1"/>
    <xf numFmtId="1" fontId="30" fillId="0" borderId="1" xfId="6" quotePrefix="1" applyNumberFormat="1" applyFont="1" applyBorder="1" applyAlignment="1">
      <alignment horizontal="right"/>
    </xf>
    <xf numFmtId="0" fontId="30" fillId="0" borderId="1" xfId="6" applyFont="1" applyBorder="1"/>
    <xf numFmtId="1" fontId="30" fillId="0" borderId="0" xfId="6" applyNumberFormat="1" applyFont="1"/>
    <xf numFmtId="0" fontId="31" fillId="14" borderId="0" xfId="6" applyFont="1" applyFill="1"/>
    <xf numFmtId="172" fontId="32" fillId="14" borderId="0" xfId="6" applyNumberFormat="1" applyFont="1" applyFill="1"/>
    <xf numFmtId="0" fontId="32" fillId="14" borderId="0" xfId="6" applyFont="1" applyFill="1"/>
    <xf numFmtId="3" fontId="30" fillId="0" borderId="0" xfId="6" applyNumberFormat="1" applyFont="1"/>
    <xf numFmtId="167" fontId="30" fillId="0" borderId="0" xfId="6" applyNumberFormat="1" applyFont="1"/>
    <xf numFmtId="3" fontId="30" fillId="0" borderId="1" xfId="6" applyNumberFormat="1" applyFont="1" applyBorder="1"/>
    <xf numFmtId="167" fontId="30" fillId="0" borderId="1" xfId="6" applyNumberFormat="1" applyFont="1" applyBorder="1"/>
    <xf numFmtId="3" fontId="30" fillId="4" borderId="0" xfId="6" applyNumberFormat="1" applyFont="1" applyFill="1"/>
    <xf numFmtId="167" fontId="30" fillId="4" borderId="0" xfId="6" applyNumberFormat="1" applyFont="1" applyFill="1"/>
    <xf numFmtId="0" fontId="30" fillId="0" borderId="22" xfId="6" applyFont="1" applyBorder="1"/>
    <xf numFmtId="3" fontId="30" fillId="0" borderId="23" xfId="6" applyNumberFormat="1" applyFont="1" applyBorder="1"/>
    <xf numFmtId="0" fontId="12" fillId="4" borderId="1" xfId="6" applyFont="1" applyFill="1" applyBorder="1"/>
    <xf numFmtId="172" fontId="12" fillId="4" borderId="1" xfId="6" applyNumberFormat="1" applyFont="1" applyFill="1" applyBorder="1"/>
    <xf numFmtId="9" fontId="12" fillId="0" borderId="1" xfId="6" applyNumberFormat="1" applyFont="1" applyBorder="1"/>
    <xf numFmtId="9" fontId="12" fillId="0" borderId="0" xfId="6" applyNumberFormat="1" applyFont="1" applyAlignment="1">
      <alignment horizontal="left"/>
    </xf>
    <xf numFmtId="0" fontId="30" fillId="0" borderId="1" xfId="6" applyFont="1" applyBorder="1" applyAlignment="1">
      <alignment horizontal="left"/>
    </xf>
    <xf numFmtId="0" fontId="30" fillId="0" borderId="1" xfId="6" applyFont="1" applyBorder="1" applyAlignment="1">
      <alignment horizontal="right"/>
    </xf>
    <xf numFmtId="0" fontId="30" fillId="0" borderId="0" xfId="6" applyFont="1" applyAlignment="1">
      <alignment horizontal="left"/>
    </xf>
    <xf numFmtId="172" fontId="30" fillId="4" borderId="0" xfId="6" applyNumberFormat="1" applyFont="1" applyFill="1"/>
    <xf numFmtId="9" fontId="30" fillId="0" borderId="0" xfId="6" applyNumberFormat="1" applyFont="1"/>
    <xf numFmtId="0" fontId="12" fillId="0" borderId="1" xfId="6" applyFont="1" applyBorder="1" applyAlignment="1">
      <alignment horizontal="left"/>
    </xf>
    <xf numFmtId="172" fontId="30" fillId="4" borderId="1" xfId="6" applyNumberFormat="1" applyFont="1" applyFill="1" applyBorder="1"/>
    <xf numFmtId="9" fontId="30" fillId="0" borderId="1" xfId="6" applyNumberFormat="1" applyFont="1" applyBorder="1"/>
    <xf numFmtId="2" fontId="30" fillId="0" borderId="0" xfId="6" applyNumberFormat="1" applyFont="1"/>
    <xf numFmtId="186" fontId="12" fillId="0" borderId="0" xfId="6" applyNumberFormat="1" applyFont="1"/>
    <xf numFmtId="175" fontId="12" fillId="0" borderId="1" xfId="6" applyNumberFormat="1" applyFont="1" applyBorder="1"/>
    <xf numFmtId="173" fontId="12" fillId="0" borderId="1" xfId="6" applyNumberFormat="1" applyFont="1" applyBorder="1"/>
    <xf numFmtId="0" fontId="12" fillId="0" borderId="22" xfId="6" applyFont="1" applyBorder="1"/>
    <xf numFmtId="173" fontId="12" fillId="0" borderId="2" xfId="6" applyNumberFormat="1" applyFont="1" applyBorder="1"/>
    <xf numFmtId="167" fontId="12" fillId="0" borderId="2" xfId="6" applyNumberFormat="1" applyFont="1" applyBorder="1"/>
    <xf numFmtId="0" fontId="12" fillId="0" borderId="2" xfId="6" applyFont="1" applyBorder="1"/>
    <xf numFmtId="3" fontId="12" fillId="0" borderId="23" xfId="6" applyNumberFormat="1" applyFont="1" applyBorder="1"/>
    <xf numFmtId="0" fontId="13" fillId="0" borderId="1" xfId="6" applyFont="1" applyBorder="1"/>
    <xf numFmtId="0" fontId="164" fillId="0" borderId="2" xfId="6" applyFont="1" applyBorder="1" applyAlignment="1">
      <alignment horizontal="left"/>
    </xf>
    <xf numFmtId="0" fontId="164" fillId="0" borderId="2" xfId="6" applyFont="1" applyBorder="1" applyAlignment="1">
      <alignment horizontal="right"/>
    </xf>
    <xf numFmtId="0" fontId="165" fillId="0" borderId="0" xfId="6" applyFont="1"/>
    <xf numFmtId="1" fontId="165" fillId="0" borderId="0" xfId="6" applyNumberFormat="1" applyFont="1"/>
    <xf numFmtId="0" fontId="165" fillId="4" borderId="0" xfId="6" applyFont="1" applyFill="1"/>
    <xf numFmtId="2" fontId="17" fillId="0" borderId="0" xfId="6" applyNumberFormat="1"/>
    <xf numFmtId="0" fontId="164" fillId="0" borderId="2" xfId="6" applyFont="1" applyBorder="1"/>
    <xf numFmtId="2" fontId="165" fillId="0" borderId="0" xfId="6" applyNumberFormat="1" applyFont="1"/>
    <xf numFmtId="2" fontId="17" fillId="7" borderId="0" xfId="6" applyNumberFormat="1" applyFill="1"/>
    <xf numFmtId="2" fontId="17" fillId="52" borderId="0" xfId="6" applyNumberFormat="1" applyFill="1"/>
    <xf numFmtId="311" fontId="17" fillId="4" borderId="0" xfId="6" applyNumberFormat="1" applyFill="1"/>
    <xf numFmtId="0" fontId="6" fillId="0" borderId="0" xfId="14"/>
    <xf numFmtId="0" fontId="6" fillId="0" borderId="0" xfId="14" applyAlignment="1">
      <alignment horizontal="center"/>
    </xf>
    <xf numFmtId="0" fontId="166" fillId="53" borderId="55" xfId="14" applyFont="1" applyFill="1" applyBorder="1" applyAlignment="1">
      <alignment vertical="center"/>
    </xf>
    <xf numFmtId="0" fontId="26" fillId="53" borderId="55" xfId="14" applyFont="1" applyFill="1" applyBorder="1" applyAlignment="1">
      <alignment horizontal="center"/>
    </xf>
    <xf numFmtId="0" fontId="167" fillId="0" borderId="0" xfId="14" applyFont="1"/>
    <xf numFmtId="0" fontId="7" fillId="0" borderId="2" xfId="14" applyFont="1" applyBorder="1"/>
    <xf numFmtId="0" fontId="7" fillId="0" borderId="2" xfId="14" applyFont="1" applyBorder="1" applyAlignment="1">
      <alignment horizontal="center"/>
    </xf>
    <xf numFmtId="168" fontId="6" fillId="54" borderId="0" xfId="1740" applyNumberFormat="1" applyFont="1" applyFill="1" applyAlignment="1">
      <alignment horizontal="center"/>
    </xf>
    <xf numFmtId="171" fontId="6" fillId="54" borderId="0" xfId="1740" applyNumberFormat="1" applyFont="1" applyFill="1" applyAlignment="1">
      <alignment horizontal="center"/>
    </xf>
    <xf numFmtId="175" fontId="6" fillId="54" borderId="0" xfId="1740" applyNumberFormat="1" applyFont="1" applyFill="1" applyAlignment="1">
      <alignment horizontal="center"/>
    </xf>
    <xf numFmtId="0" fontId="6" fillId="54" borderId="0" xfId="14" applyFill="1" applyAlignment="1">
      <alignment horizontal="center"/>
    </xf>
    <xf numFmtId="169" fontId="6" fillId="54" borderId="0" xfId="1740" applyNumberFormat="1" applyFont="1" applyFill="1" applyAlignment="1">
      <alignment horizontal="center"/>
    </xf>
    <xf numFmtId="178" fontId="6" fillId="54" borderId="0" xfId="1740" applyNumberFormat="1" applyFont="1" applyFill="1" applyAlignment="1">
      <alignment horizontal="center"/>
    </xf>
    <xf numFmtId="312" fontId="6" fillId="54" borderId="0" xfId="1740" applyNumberFormat="1" applyFont="1" applyFill="1" applyAlignment="1">
      <alignment horizontal="center"/>
    </xf>
    <xf numFmtId="171" fontId="6" fillId="55" borderId="0" xfId="1740" applyNumberFormat="1" applyFont="1" applyFill="1" applyAlignment="1">
      <alignment horizontal="center"/>
    </xf>
    <xf numFmtId="168" fontId="6" fillId="55" borderId="0" xfId="1740" applyNumberFormat="1" applyFont="1" applyFill="1" applyAlignment="1">
      <alignment horizontal="center"/>
    </xf>
    <xf numFmtId="168" fontId="6" fillId="4" borderId="0" xfId="1740" applyNumberFormat="1" applyFont="1" applyFill="1" applyAlignment="1">
      <alignment horizontal="center"/>
    </xf>
    <xf numFmtId="168" fontId="6" fillId="54" borderId="1" xfId="1740" applyNumberFormat="1" applyFont="1" applyFill="1" applyBorder="1" applyAlignment="1">
      <alignment horizontal="center"/>
    </xf>
    <xf numFmtId="171" fontId="6" fillId="54" borderId="1" xfId="1740" applyNumberFormat="1" applyFont="1" applyFill="1" applyBorder="1" applyAlignment="1">
      <alignment horizontal="center"/>
    </xf>
    <xf numFmtId="0" fontId="6" fillId="0" borderId="0" xfId="1550" applyFont="1"/>
    <xf numFmtId="313" fontId="6" fillId="54" borderId="0" xfId="1740" applyNumberFormat="1" applyFont="1" applyFill="1" applyAlignment="1">
      <alignment horizontal="center"/>
    </xf>
    <xf numFmtId="9" fontId="6" fillId="54" borderId="0" xfId="1577" applyFont="1" applyFill="1" applyAlignment="1">
      <alignment horizontal="center"/>
    </xf>
    <xf numFmtId="0" fontId="7" fillId="0" borderId="0" xfId="1550" applyFont="1" applyAlignment="1">
      <alignment horizontal="left"/>
    </xf>
    <xf numFmtId="168" fontId="6" fillId="0" borderId="0" xfId="14" applyNumberFormat="1" applyAlignment="1">
      <alignment horizontal="center"/>
    </xf>
    <xf numFmtId="0" fontId="6" fillId="54" borderId="0" xfId="14" applyFill="1" applyAlignment="1">
      <alignment horizontal="left"/>
    </xf>
    <xf numFmtId="168" fontId="6" fillId="54" borderId="0" xfId="1740" applyNumberFormat="1" applyFont="1" applyFill="1" applyAlignment="1">
      <alignment horizontal="left"/>
    </xf>
    <xf numFmtId="9" fontId="6" fillId="54" borderId="0" xfId="7" applyFont="1" applyFill="1" applyAlignment="1">
      <alignment horizontal="center"/>
    </xf>
    <xf numFmtId="168" fontId="6" fillId="0" borderId="0" xfId="1740" applyNumberFormat="1" applyFont="1" applyFill="1" applyAlignment="1">
      <alignment horizontal="center"/>
    </xf>
    <xf numFmtId="168" fontId="6" fillId="0" borderId="0" xfId="1740" applyNumberFormat="1" applyFont="1" applyFill="1"/>
    <xf numFmtId="175" fontId="6" fillId="54" borderId="1" xfId="1740" applyNumberFormat="1" applyFont="1" applyFill="1" applyBorder="1" applyAlignment="1">
      <alignment horizontal="center"/>
    </xf>
    <xf numFmtId="169" fontId="6" fillId="54" borderId="1" xfId="1740" applyNumberFormat="1" applyFont="1" applyFill="1" applyBorder="1" applyAlignment="1">
      <alignment horizontal="center"/>
    </xf>
    <xf numFmtId="9" fontId="6" fillId="54" borderId="1" xfId="7" applyFont="1" applyFill="1" applyBorder="1" applyAlignment="1">
      <alignment horizontal="center"/>
    </xf>
    <xf numFmtId="3" fontId="6" fillId="54" borderId="0" xfId="14" applyNumberFormat="1" applyFill="1" applyAlignment="1">
      <alignment horizontal="center"/>
    </xf>
    <xf numFmtId="168" fontId="167" fillId="54" borderId="0" xfId="1740" applyNumberFormat="1" applyFont="1" applyFill="1" applyAlignment="1">
      <alignment horizontal="center"/>
    </xf>
    <xf numFmtId="0" fontId="167" fillId="54" borderId="0" xfId="14" applyFont="1" applyFill="1" applyAlignment="1">
      <alignment horizontal="center"/>
    </xf>
    <xf numFmtId="0" fontId="7" fillId="0" borderId="2" xfId="1551" applyFont="1" applyBorder="1" applyAlignment="1">
      <alignment horizontal="center"/>
    </xf>
    <xf numFmtId="0" fontId="5" fillId="0" borderId="0" xfId="14" applyFont="1"/>
    <xf numFmtId="10" fontId="5" fillId="54" borderId="0" xfId="14" applyNumberFormat="1" applyFont="1" applyFill="1" applyAlignment="1">
      <alignment horizontal="center"/>
    </xf>
    <xf numFmtId="0" fontId="5" fillId="54" borderId="0" xfId="14" applyFont="1" applyFill="1" applyAlignment="1">
      <alignment horizontal="center"/>
    </xf>
    <xf numFmtId="9" fontId="5" fillId="54" borderId="0" xfId="14" applyNumberFormat="1" applyFont="1" applyFill="1" applyAlignment="1">
      <alignment horizontal="center"/>
    </xf>
    <xf numFmtId="0" fontId="6" fillId="0" borderId="0" xfId="1551" applyFont="1" applyAlignment="1">
      <alignment horizontal="center"/>
    </xf>
    <xf numFmtId="0" fontId="6" fillId="0" borderId="0" xfId="1551" applyFont="1"/>
    <xf numFmtId="9" fontId="5" fillId="54" borderId="0" xfId="1577" applyFont="1" applyFill="1" applyAlignment="1">
      <alignment horizontal="center"/>
    </xf>
    <xf numFmtId="9" fontId="0" fillId="54" borderId="0" xfId="1577" applyFont="1" applyFill="1" applyAlignment="1">
      <alignment horizontal="center"/>
    </xf>
    <xf numFmtId="0" fontId="6" fillId="0" borderId="0" xfId="1552" applyFont="1" applyAlignment="1">
      <alignment horizontal="center"/>
    </xf>
    <xf numFmtId="0" fontId="6" fillId="0" borderId="0" xfId="1552" applyFont="1"/>
    <xf numFmtId="0" fontId="7" fillId="0" borderId="2" xfId="1681" applyFont="1" applyBorder="1"/>
    <xf numFmtId="0" fontId="7" fillId="0" borderId="2" xfId="1681" applyFont="1" applyBorder="1" applyAlignment="1">
      <alignment horizontal="center"/>
    </xf>
    <xf numFmtId="0" fontId="7" fillId="0" borderId="2" xfId="1553" applyFont="1" applyBorder="1" applyAlignment="1">
      <alignment horizontal="center"/>
    </xf>
    <xf numFmtId="171" fontId="6" fillId="54" borderId="0" xfId="1552" applyNumberFormat="1" applyFont="1" applyFill="1" applyAlignment="1">
      <alignment horizontal="center"/>
    </xf>
    <xf numFmtId="171" fontId="6" fillId="0" borderId="0" xfId="1552" applyNumberFormat="1" applyFont="1" applyAlignment="1">
      <alignment horizontal="center"/>
    </xf>
    <xf numFmtId="0" fontId="7" fillId="0" borderId="2" xfId="1681" applyFont="1" applyFill="1" applyBorder="1"/>
    <xf numFmtId="1" fontId="12" fillId="0" borderId="0" xfId="0" applyNumberFormat="1" applyFont="1"/>
    <xf numFmtId="171" fontId="19" fillId="0" borderId="0" xfId="0"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0" fontId="0" fillId="0" borderId="1" xfId="0" applyBorder="1" applyAlignment="1">
      <alignment horizontal="center" wrapText="1"/>
    </xf>
    <xf numFmtId="3" fontId="0" fillId="0" borderId="0" xfId="0" applyNumberFormat="1"/>
    <xf numFmtId="3" fontId="0" fillId="0" borderId="1" xfId="0" applyNumberFormat="1" applyBorder="1"/>
    <xf numFmtId="0" fontId="0" fillId="0" borderId="0" xfId="0" quotePrefix="1"/>
    <xf numFmtId="10" fontId="0" fillId="0" borderId="0" xfId="0" applyNumberFormat="1"/>
    <xf numFmtId="0" fontId="0" fillId="0" borderId="3" xfId="0" applyBorder="1"/>
    <xf numFmtId="9" fontId="0" fillId="0" borderId="0" xfId="0" applyNumberFormat="1" applyAlignment="1">
      <alignment horizontal="left"/>
    </xf>
    <xf numFmtId="0" fontId="3" fillId="0" borderId="7" xfId="0" applyFont="1" applyBorder="1" applyAlignment="1">
      <alignment horizontal="right"/>
    </xf>
    <xf numFmtId="0" fontId="3" fillId="0" borderId="6" xfId="0" applyFont="1" applyBorder="1" applyAlignment="1">
      <alignment horizontal="right"/>
    </xf>
    <xf numFmtId="0" fontId="3" fillId="0" borderId="8" xfId="0" applyFont="1" applyBorder="1" applyAlignment="1">
      <alignment horizontal="right"/>
    </xf>
    <xf numFmtId="0" fontId="0" fillId="0" borderId="6" xfId="0" applyBorder="1" applyAlignment="1">
      <alignment horizontal="right"/>
    </xf>
    <xf numFmtId="0" fontId="0" fillId="0" borderId="8" xfId="0" applyBorder="1" applyAlignment="1">
      <alignment horizontal="right"/>
    </xf>
    <xf numFmtId="174" fontId="3" fillId="0" borderId="5" xfId="0" applyNumberFormat="1" applyFont="1" applyBorder="1" applyAlignment="1">
      <alignment horizontal="right"/>
    </xf>
    <xf numFmtId="174" fontId="3" fillId="0" borderId="7" xfId="0" applyNumberFormat="1" applyFont="1" applyBorder="1" applyAlignment="1">
      <alignment horizontal="right"/>
    </xf>
    <xf numFmtId="174" fontId="3" fillId="0" borderId="8" xfId="0" applyNumberFormat="1" applyFont="1" applyBorder="1" applyAlignment="1">
      <alignment horizontal="right"/>
    </xf>
    <xf numFmtId="0" fontId="0" fillId="0" borderId="7" xfId="0" applyBorder="1" applyAlignment="1">
      <alignment horizontal="right"/>
    </xf>
    <xf numFmtId="0" fontId="0" fillId="52" borderId="0" xfId="0" applyFill="1" applyAlignment="1">
      <alignment horizontal="left"/>
    </xf>
    <xf numFmtId="3" fontId="0" fillId="0" borderId="0" xfId="0" applyNumberFormat="1" applyAlignment="1">
      <alignment horizontal="right"/>
    </xf>
    <xf numFmtId="3" fontId="0" fillId="52" borderId="0" xfId="0" applyNumberFormat="1" applyFill="1" applyAlignment="1">
      <alignment horizontal="right"/>
    </xf>
    <xf numFmtId="3" fontId="0" fillId="0" borderId="3" xfId="0" applyNumberFormat="1" applyBorder="1" applyAlignment="1">
      <alignment horizontal="right"/>
    </xf>
    <xf numFmtId="0" fontId="0" fillId="0" borderId="7" xfId="0" applyBorder="1"/>
    <xf numFmtId="0" fontId="0" fillId="0" borderId="9" xfId="0" applyBorder="1"/>
    <xf numFmtId="3" fontId="3" fillId="0" borderId="1" xfId="0" applyNumberFormat="1" applyFont="1" applyBorder="1" applyAlignment="1">
      <alignment horizontal="right"/>
    </xf>
    <xf numFmtId="3" fontId="0" fillId="0" borderId="3" xfId="0" applyNumberFormat="1" applyBorder="1"/>
    <xf numFmtId="3" fontId="0" fillId="52" borderId="0" xfId="0" applyNumberFormat="1" applyFill="1"/>
    <xf numFmtId="0" fontId="2" fillId="0" borderId="0" xfId="0" applyFont="1" applyAlignment="1">
      <alignment horizontal="left"/>
    </xf>
    <xf numFmtId="17" fontId="0" fillId="0" borderId="1" xfId="0" quotePrefix="1" applyNumberFormat="1" applyBorder="1" applyAlignment="1">
      <alignment horizontal="right"/>
    </xf>
    <xf numFmtId="9" fontId="0" fillId="0" borderId="1" xfId="0" applyNumberFormat="1" applyBorder="1"/>
    <xf numFmtId="0" fontId="168" fillId="0" borderId="0" xfId="0" applyFont="1"/>
    <xf numFmtId="0" fontId="0" fillId="52" borderId="3" xfId="0" applyFill="1" applyBorder="1" applyAlignment="1">
      <alignment horizontal="left"/>
    </xf>
    <xf numFmtId="186" fontId="6" fillId="54" borderId="0" xfId="1740" applyNumberFormat="1" applyFont="1" applyFill="1" applyAlignment="1">
      <alignment horizontal="center"/>
    </xf>
    <xf numFmtId="171" fontId="6" fillId="54" borderId="0" xfId="1740" applyNumberFormat="1" applyFont="1" applyFill="1" applyBorder="1" applyAlignment="1">
      <alignment horizontal="center"/>
    </xf>
    <xf numFmtId="168" fontId="6" fillId="54" borderId="0" xfId="1740" applyNumberFormat="1" applyFont="1" applyFill="1" applyBorder="1" applyAlignment="1">
      <alignment horizontal="center"/>
    </xf>
    <xf numFmtId="0" fontId="6" fillId="0" borderId="1" xfId="14" applyBorder="1"/>
    <xf numFmtId="167" fontId="12" fillId="0" borderId="3" xfId="6" applyNumberFormat="1" applyFont="1" applyBorder="1"/>
    <xf numFmtId="3" fontId="30" fillId="0" borderId="1" xfId="6" applyNumberFormat="1" applyFont="1" applyBorder="1" applyAlignment="1">
      <alignment horizontal="right"/>
    </xf>
    <xf numFmtId="167" fontId="3" fillId="4" borderId="0" xfId="0" applyNumberFormat="1" applyFont="1" applyFill="1"/>
    <xf numFmtId="9" fontId="6" fillId="0" borderId="0" xfId="1" applyNumberFormat="1" applyFont="1"/>
    <xf numFmtId="168" fontId="0" fillId="0" borderId="0" xfId="0" applyNumberFormat="1"/>
    <xf numFmtId="173" fontId="30" fillId="0" borderId="0" xfId="6" applyNumberFormat="1" applyFont="1"/>
    <xf numFmtId="185" fontId="12" fillId="4" borderId="0" xfId="6" applyNumberFormat="1" applyFont="1" applyFill="1"/>
    <xf numFmtId="172" fontId="12" fillId="56" borderId="0" xfId="6" applyNumberFormat="1" applyFont="1" applyFill="1"/>
    <xf numFmtId="173" fontId="12" fillId="56" borderId="0" xfId="6" applyNumberFormat="1" applyFont="1" applyFill="1"/>
    <xf numFmtId="2" fontId="12" fillId="4" borderId="0" xfId="6" applyNumberFormat="1" applyFont="1" applyFill="1"/>
    <xf numFmtId="14" fontId="12" fillId="0" borderId="1" xfId="6" applyNumberFormat="1" applyFont="1" applyBorder="1"/>
    <xf numFmtId="14" fontId="12" fillId="0" borderId="1" xfId="6" applyNumberFormat="1" applyFont="1" applyBorder="1" applyAlignment="1">
      <alignment horizontal="right"/>
    </xf>
    <xf numFmtId="167" fontId="12" fillId="4" borderId="0" xfId="6" applyNumberFormat="1" applyFont="1" applyFill="1"/>
    <xf numFmtId="172" fontId="12" fillId="0" borderId="3" xfId="6" applyNumberFormat="1" applyFont="1" applyBorder="1"/>
    <xf numFmtId="0" fontId="30" fillId="0" borderId="5" xfId="6" applyFont="1" applyBorder="1"/>
    <xf numFmtId="0" fontId="12" fillId="0" borderId="11" xfId="6" applyFont="1" applyBorder="1"/>
    <xf numFmtId="0" fontId="12" fillId="0" borderId="6" xfId="6" applyFont="1" applyBorder="1"/>
    <xf numFmtId="3" fontId="30" fillId="0" borderId="7" xfId="6" applyNumberFormat="1" applyFont="1" applyBorder="1"/>
    <xf numFmtId="3" fontId="30" fillId="0" borderId="8" xfId="6" applyNumberFormat="1" applyFont="1" applyBorder="1"/>
    <xf numFmtId="3" fontId="30" fillId="0" borderId="9" xfId="6" applyNumberFormat="1" applyFont="1" applyBorder="1"/>
    <xf numFmtId="173" fontId="30" fillId="0" borderId="1" xfId="6" applyNumberFormat="1" applyFont="1" applyBorder="1"/>
    <xf numFmtId="173" fontId="30" fillId="0" borderId="10" xfId="6" applyNumberFormat="1" applyFont="1" applyBorder="1"/>
    <xf numFmtId="0" fontId="30" fillId="0" borderId="56" xfId="6" applyFont="1" applyBorder="1" applyAlignment="1">
      <alignment horizontal="right"/>
    </xf>
    <xf numFmtId="3" fontId="30" fillId="0" borderId="44" xfId="6" applyNumberFormat="1" applyFont="1" applyBorder="1"/>
    <xf numFmtId="173" fontId="30" fillId="0" borderId="57" xfId="6" applyNumberFormat="1" applyFont="1" applyBorder="1"/>
    <xf numFmtId="0" fontId="30" fillId="0" borderId="9" xfId="6" applyFont="1" applyBorder="1"/>
    <xf numFmtId="9" fontId="30" fillId="0" borderId="57" xfId="6" applyNumberFormat="1" applyFont="1" applyBorder="1"/>
    <xf numFmtId="9" fontId="30" fillId="0" borderId="10" xfId="6" applyNumberFormat="1" applyFont="1" applyBorder="1"/>
    <xf numFmtId="168" fontId="6" fillId="0" borderId="0" xfId="1" applyNumberFormat="1" applyFont="1"/>
    <xf numFmtId="0" fontId="0" fillId="0" borderId="2" xfId="0" applyBorder="1"/>
    <xf numFmtId="1" fontId="0" fillId="0" borderId="2" xfId="0" applyNumberFormat="1" applyBorder="1"/>
    <xf numFmtId="167" fontId="0" fillId="52" borderId="0" xfId="0" applyNumberFormat="1" applyFill="1"/>
    <xf numFmtId="0" fontId="0" fillId="4" borderId="1" xfId="0" applyFill="1" applyBorder="1"/>
    <xf numFmtId="0" fontId="2" fillId="0" borderId="1" xfId="0" applyFont="1" applyBorder="1"/>
    <xf numFmtId="17" fontId="2" fillId="0" borderId="1" xfId="0" applyNumberFormat="1" applyFont="1" applyBorder="1"/>
    <xf numFmtId="172" fontId="0" fillId="0" borderId="1" xfId="0" applyNumberFormat="1" applyBorder="1"/>
    <xf numFmtId="0" fontId="0" fillId="52" borderId="0" xfId="0" applyFill="1"/>
    <xf numFmtId="1" fontId="6" fillId="0" borderId="0" xfId="6" applyNumberFormat="1" applyFont="1"/>
    <xf numFmtId="167" fontId="12" fillId="4" borderId="21" xfId="6" applyNumberFormat="1" applyFont="1" applyFill="1" applyBorder="1"/>
    <xf numFmtId="173" fontId="0" fillId="0" borderId="0" xfId="0" applyNumberFormat="1"/>
    <xf numFmtId="16" fontId="0" fillId="0" borderId="0" xfId="0" quotePrefix="1" applyNumberFormat="1" applyAlignment="1">
      <alignment horizontal="right"/>
    </xf>
    <xf numFmtId="9" fontId="0" fillId="0" borderId="0" xfId="0" applyNumberFormat="1" applyAlignment="1">
      <alignment horizontal="right"/>
    </xf>
    <xf numFmtId="167" fontId="169" fillId="0" borderId="0" xfId="6" applyNumberFormat="1" applyFont="1"/>
    <xf numFmtId="0" fontId="169" fillId="0" borderId="0" xfId="6" applyFont="1"/>
    <xf numFmtId="172" fontId="169" fillId="0" borderId="0" xfId="6" applyNumberFormat="1" applyFont="1"/>
    <xf numFmtId="17" fontId="2" fillId="0" borderId="0" xfId="0" applyNumberFormat="1" applyFont="1"/>
    <xf numFmtId="172" fontId="170" fillId="0" borderId="0" xfId="0" applyNumberFormat="1" applyFont="1"/>
    <xf numFmtId="172" fontId="170" fillId="0" borderId="1" xfId="0" applyNumberFormat="1" applyFont="1" applyBorder="1"/>
    <xf numFmtId="0" fontId="170" fillId="0" borderId="0" xfId="0" applyFont="1"/>
    <xf numFmtId="1" fontId="170" fillId="0" borderId="0" xfId="0" applyNumberFormat="1" applyFont="1"/>
    <xf numFmtId="9" fontId="170" fillId="0" borderId="0" xfId="0" applyNumberFormat="1" applyFont="1"/>
    <xf numFmtId="0" fontId="1" fillId="14" borderId="0" xfId="0" applyFont="1" applyFill="1"/>
    <xf numFmtId="0" fontId="4" fillId="0" borderId="0" xfId="0" applyFont="1" applyAlignment="1">
      <alignment horizontal="right"/>
    </xf>
    <xf numFmtId="9" fontId="171" fillId="0" borderId="0" xfId="0" applyNumberFormat="1" applyFont="1"/>
    <xf numFmtId="3" fontId="3" fillId="0" borderId="0" xfId="0" applyNumberFormat="1" applyFont="1"/>
    <xf numFmtId="0" fontId="1" fillId="57" borderId="1" xfId="0" applyFont="1" applyFill="1" applyBorder="1"/>
    <xf numFmtId="17" fontId="1" fillId="57" borderId="1" xfId="0" applyNumberFormat="1" applyFont="1" applyFill="1" applyBorder="1"/>
    <xf numFmtId="0" fontId="0" fillId="57" borderId="0" xfId="0" applyFill="1"/>
    <xf numFmtId="0" fontId="5" fillId="0" borderId="0" xfId="0" applyFont="1"/>
    <xf numFmtId="0" fontId="172" fillId="0" borderId="0" xfId="0" applyFont="1"/>
    <xf numFmtId="0" fontId="12" fillId="0" borderId="0" xfId="0" applyFont="1" applyAlignment="1">
      <alignment horizontal="center" wrapText="1"/>
    </xf>
    <xf numFmtId="14" fontId="12" fillId="0" borderId="0" xfId="0" applyNumberFormat="1" applyFont="1" applyAlignment="1">
      <alignment horizontal="center" wrapText="1"/>
    </xf>
    <xf numFmtId="0" fontId="12" fillId="0" borderId="1" xfId="0" applyFont="1" applyBorder="1" applyAlignment="1">
      <alignment horizontal="center" wrapText="1"/>
    </xf>
    <xf numFmtId="3" fontId="12" fillId="0" borderId="0" xfId="0" applyNumberFormat="1" applyFont="1" applyAlignment="1">
      <alignment horizontal="center"/>
    </xf>
    <xf numFmtId="167" fontId="12" fillId="0" borderId="0" xfId="1741" applyNumberFormat="1" applyFont="1" applyAlignment="1">
      <alignment horizontal="center"/>
    </xf>
    <xf numFmtId="3" fontId="12" fillId="0" borderId="11" xfId="0" applyNumberFormat="1" applyFont="1" applyBorder="1" applyAlignment="1">
      <alignment horizontal="center"/>
    </xf>
    <xf numFmtId="0" fontId="12" fillId="0" borderId="0" xfId="0" applyFont="1" applyAlignment="1">
      <alignment horizontal="center"/>
    </xf>
    <xf numFmtId="3" fontId="0" fillId="57" borderId="0" xfId="0" applyNumberFormat="1" applyFill="1"/>
    <xf numFmtId="167" fontId="12" fillId="0" borderId="0" xfId="6" quotePrefix="1" applyNumberFormat="1" applyFont="1" applyAlignment="1">
      <alignment horizontal="right"/>
    </xf>
    <xf numFmtId="0" fontId="12" fillId="0" borderId="3" xfId="6" applyFont="1" applyBorder="1" applyAlignment="1">
      <alignment horizontal="right"/>
    </xf>
    <xf numFmtId="0" fontId="12" fillId="0" borderId="44" xfId="6" applyFont="1" applyBorder="1"/>
    <xf numFmtId="167" fontId="12" fillId="0" borderId="44" xfId="6" applyNumberFormat="1" applyFont="1" applyBorder="1"/>
    <xf numFmtId="167" fontId="12" fillId="0" borderId="57" xfId="6" applyNumberFormat="1" applyFont="1" applyBorder="1"/>
    <xf numFmtId="167" fontId="0" fillId="0" borderId="0" xfId="0" applyNumberFormat="1" applyAlignment="1">
      <alignment horizontal="center"/>
    </xf>
    <xf numFmtId="0" fontId="173" fillId="0" borderId="0" xfId="0" applyFont="1"/>
    <xf numFmtId="1" fontId="0" fillId="0" borderId="0" xfId="0" applyNumberFormat="1" applyAlignment="1">
      <alignment horizontal="right"/>
    </xf>
    <xf numFmtId="0" fontId="174" fillId="0" borderId="0" xfId="0" applyFont="1"/>
    <xf numFmtId="1" fontId="3" fillId="0" borderId="0" xfId="0" applyNumberFormat="1" applyFont="1"/>
    <xf numFmtId="1" fontId="3" fillId="0" borderId="1" xfId="0" applyNumberFormat="1" applyFont="1" applyBorder="1"/>
    <xf numFmtId="1" fontId="0" fillId="4" borderId="4" xfId="0" applyNumberFormat="1" applyFill="1" applyBorder="1"/>
    <xf numFmtId="1" fontId="174" fillId="0" borderId="0" xfId="0" applyNumberFormat="1" applyFont="1"/>
    <xf numFmtId="1" fontId="2" fillId="0" borderId="0" xfId="0" applyNumberFormat="1" applyFont="1"/>
    <xf numFmtId="0" fontId="2" fillId="52" borderId="0" xfId="0" applyFont="1" applyFill="1"/>
    <xf numFmtId="167" fontId="2" fillId="0" borderId="0" xfId="0" applyNumberFormat="1" applyFont="1"/>
    <xf numFmtId="0" fontId="171" fillId="0" borderId="0" xfId="0" applyFont="1"/>
    <xf numFmtId="0" fontId="1" fillId="57" borderId="0" xfId="0" applyFont="1" applyFill="1"/>
    <xf numFmtId="0" fontId="15" fillId="0" borderId="0" xfId="0" quotePrefix="1" applyFont="1"/>
    <xf numFmtId="167" fontId="0" fillId="0" borderId="0" xfId="1741" applyNumberFormat="1" applyFont="1"/>
    <xf numFmtId="167" fontId="0" fillId="0" borderId="1" xfId="1741" applyNumberFormat="1" applyFont="1" applyBorder="1"/>
    <xf numFmtId="10" fontId="0" fillId="0" borderId="0" xfId="0" applyNumberFormat="1" applyAlignment="1">
      <alignment horizontal="left"/>
    </xf>
    <xf numFmtId="1" fontId="2" fillId="4" borderId="0" xfId="0" applyNumberFormat="1" applyFont="1" applyFill="1"/>
    <xf numFmtId="15" fontId="0" fillId="0" borderId="0" xfId="0" applyNumberFormat="1"/>
    <xf numFmtId="1" fontId="0" fillId="56" borderId="1" xfId="0" applyNumberFormat="1" applyFill="1" applyBorder="1"/>
    <xf numFmtId="167" fontId="0" fillId="0" borderId="0" xfId="1741" applyNumberFormat="1" applyFont="1" applyBorder="1"/>
    <xf numFmtId="17" fontId="6" fillId="0" borderId="0" xfId="1" applyNumberFormat="1" applyFont="1"/>
    <xf numFmtId="9" fontId="2" fillId="0" borderId="0" xfId="0" applyNumberFormat="1" applyFont="1"/>
    <xf numFmtId="0" fontId="175" fillId="14" borderId="0" xfId="0" applyFont="1" applyFill="1"/>
    <xf numFmtId="1" fontId="12" fillId="0" borderId="0" xfId="0" applyNumberFormat="1" applyFont="1" applyAlignment="1">
      <alignment horizontal="right"/>
    </xf>
    <xf numFmtId="184" fontId="12" fillId="0" borderId="0" xfId="0" applyNumberFormat="1" applyFont="1" applyAlignment="1">
      <alignment horizontal="right"/>
    </xf>
    <xf numFmtId="1" fontId="12" fillId="0" borderId="1" xfId="0" applyNumberFormat="1" applyFont="1" applyBorder="1" applyAlignment="1">
      <alignment horizontal="right"/>
    </xf>
    <xf numFmtId="184" fontId="12" fillId="0" borderId="1" xfId="0" applyNumberFormat="1" applyFont="1" applyBorder="1" applyAlignment="1">
      <alignment horizontal="right"/>
    </xf>
    <xf numFmtId="9" fontId="12" fillId="0" borderId="0" xfId="0" applyNumberFormat="1" applyFont="1" applyAlignment="1">
      <alignment horizontal="left"/>
    </xf>
    <xf numFmtId="172" fontId="12" fillId="0" borderId="0" xfId="0" applyNumberFormat="1" applyFont="1"/>
    <xf numFmtId="172" fontId="12" fillId="0" borderId="1" xfId="0" applyNumberFormat="1" applyFont="1" applyBorder="1"/>
    <xf numFmtId="0" fontId="176" fillId="0" borderId="1" xfId="0" applyFont="1" applyBorder="1"/>
    <xf numFmtId="0" fontId="176" fillId="0" borderId="0" xfId="0" applyFont="1"/>
    <xf numFmtId="9" fontId="176" fillId="0" borderId="0" xfId="0" applyNumberFormat="1" applyFont="1"/>
    <xf numFmtId="1" fontId="176" fillId="0" borderId="0" xfId="0" applyNumberFormat="1" applyFont="1"/>
    <xf numFmtId="0" fontId="176" fillId="0" borderId="1" xfId="0" applyFont="1" applyBorder="1" applyAlignment="1">
      <alignment horizontal="right"/>
    </xf>
    <xf numFmtId="9" fontId="176" fillId="0" borderId="1" xfId="0" applyNumberFormat="1" applyFont="1" applyBorder="1"/>
    <xf numFmtId="1" fontId="0" fillId="4" borderId="2" xfId="0" applyNumberFormat="1" applyFill="1" applyBorder="1"/>
    <xf numFmtId="3" fontId="12" fillId="0" borderId="0" xfId="0" applyNumberFormat="1" applyFont="1"/>
    <xf numFmtId="167" fontId="12" fillId="0" borderId="1" xfId="0" applyNumberFormat="1" applyFont="1" applyBorder="1"/>
    <xf numFmtId="3" fontId="12" fillId="0" borderId="1" xfId="0" applyNumberFormat="1" applyFont="1" applyBorder="1"/>
    <xf numFmtId="314" fontId="0" fillId="0" borderId="0" xfId="0" applyNumberFormat="1"/>
    <xf numFmtId="0" fontId="3" fillId="0" borderId="1" xfId="0" applyFont="1" applyBorder="1" applyAlignment="1">
      <alignment horizontal="right"/>
    </xf>
    <xf numFmtId="0" fontId="177" fillId="14" borderId="0" xfId="0" applyFont="1" applyFill="1"/>
    <xf numFmtId="0" fontId="14" fillId="0" borderId="1" xfId="0" applyFont="1" applyBorder="1"/>
    <xf numFmtId="167" fontId="12" fillId="0" borderId="0" xfId="1741" applyNumberFormat="1" applyFont="1"/>
    <xf numFmtId="1" fontId="12" fillId="0" borderId="1" xfId="0" applyNumberFormat="1" applyFont="1" applyBorder="1"/>
    <xf numFmtId="173" fontId="12" fillId="0" borderId="0" xfId="0" applyNumberFormat="1" applyFont="1"/>
    <xf numFmtId="167" fontId="13" fillId="0" borderId="0" xfId="0" applyNumberFormat="1" applyFont="1"/>
    <xf numFmtId="1" fontId="169" fillId="0" borderId="0" xfId="6" applyNumberFormat="1" applyFont="1"/>
    <xf numFmtId="0" fontId="14" fillId="0" borderId="1" xfId="0" applyFont="1" applyBorder="1" applyAlignment="1">
      <alignment horizontal="right"/>
    </xf>
    <xf numFmtId="1" fontId="169" fillId="0" borderId="0" xfId="0" applyNumberFormat="1" applyFont="1"/>
    <xf numFmtId="17" fontId="0" fillId="0" borderId="0" xfId="0" applyNumberFormat="1" applyAlignment="1">
      <alignment horizontal="left"/>
    </xf>
    <xf numFmtId="0" fontId="178" fillId="0" borderId="1" xfId="0" applyFont="1" applyBorder="1"/>
    <xf numFmtId="0" fontId="178" fillId="0" borderId="1" xfId="0" applyFont="1" applyBorder="1" applyAlignment="1">
      <alignment horizontal="right"/>
    </xf>
    <xf numFmtId="0" fontId="0" fillId="4" borderId="0" xfId="0" applyFill="1" applyAlignment="1">
      <alignment horizontal="right"/>
    </xf>
    <xf numFmtId="0" fontId="12" fillId="52" borderId="0" xfId="0" applyFont="1" applyFill="1"/>
    <xf numFmtId="3" fontId="12" fillId="52" borderId="0" xfId="0" applyNumberFormat="1" applyFont="1" applyFill="1"/>
    <xf numFmtId="1" fontId="12" fillId="52" borderId="0" xfId="0" applyNumberFormat="1" applyFont="1" applyFill="1"/>
    <xf numFmtId="9" fontId="12" fillId="52" borderId="0" xfId="0" applyNumberFormat="1" applyFont="1" applyFill="1"/>
    <xf numFmtId="0" fontId="12" fillId="0" borderId="16" xfId="0" applyFont="1" applyBorder="1"/>
    <xf numFmtId="0" fontId="12" fillId="0" borderId="17" xfId="0" applyFont="1" applyBorder="1"/>
    <xf numFmtId="3" fontId="12" fillId="0" borderId="17" xfId="0" applyNumberFormat="1" applyFont="1" applyBorder="1"/>
    <xf numFmtId="9" fontId="12" fillId="0" borderId="17" xfId="0" applyNumberFormat="1" applyFont="1" applyBorder="1"/>
    <xf numFmtId="9" fontId="12" fillId="0" borderId="63" xfId="0" applyNumberFormat="1" applyFont="1" applyBorder="1"/>
    <xf numFmtId="0" fontId="12" fillId="52" borderId="18" xfId="0" applyFont="1" applyFill="1" applyBorder="1"/>
    <xf numFmtId="9" fontId="12" fillId="52" borderId="19" xfId="0" applyNumberFormat="1" applyFont="1" applyFill="1" applyBorder="1"/>
    <xf numFmtId="0" fontId="12" fillId="0" borderId="20" xfId="0" applyFont="1" applyBorder="1"/>
    <xf numFmtId="0" fontId="12" fillId="0" borderId="21" xfId="0" applyFont="1" applyBorder="1"/>
    <xf numFmtId="3" fontId="12" fillId="0" borderId="21" xfId="0" applyNumberFormat="1" applyFont="1" applyBorder="1"/>
    <xf numFmtId="9" fontId="12" fillId="0" borderId="21" xfId="0" applyNumberFormat="1" applyFont="1" applyBorder="1"/>
    <xf numFmtId="9" fontId="12" fillId="0" borderId="64" xfId="0" applyNumberFormat="1" applyFont="1" applyBorder="1"/>
    <xf numFmtId="0" fontId="14" fillId="52" borderId="0" xfId="0" applyFont="1" applyFill="1"/>
    <xf numFmtId="3" fontId="14" fillId="52" borderId="0" xfId="0" applyNumberFormat="1" applyFont="1" applyFill="1"/>
    <xf numFmtId="0" fontId="12" fillId="52" borderId="1" xfId="0" applyFont="1" applyFill="1" applyBorder="1"/>
    <xf numFmtId="3" fontId="12" fillId="52" borderId="1" xfId="0" applyNumberFormat="1" applyFont="1" applyFill="1" applyBorder="1"/>
    <xf numFmtId="3" fontId="12" fillId="52" borderId="1" xfId="0" applyNumberFormat="1" applyFont="1" applyFill="1" applyBorder="1" applyAlignment="1">
      <alignment horizontal="right"/>
    </xf>
    <xf numFmtId="0" fontId="14" fillId="52" borderId="2" xfId="0" applyFont="1" applyFill="1" applyBorder="1"/>
    <xf numFmtId="3" fontId="14" fillId="52" borderId="2" xfId="0" applyNumberFormat="1" applyFont="1" applyFill="1" applyBorder="1"/>
    <xf numFmtId="0" fontId="176" fillId="52" borderId="0" xfId="0" applyFont="1" applyFill="1"/>
    <xf numFmtId="1" fontId="176" fillId="52" borderId="0" xfId="0" applyNumberFormat="1" applyFont="1" applyFill="1"/>
    <xf numFmtId="315" fontId="176" fillId="52" borderId="0" xfId="0" applyNumberFormat="1" applyFont="1" applyFill="1"/>
    <xf numFmtId="315" fontId="176" fillId="0" borderId="0" xfId="0" applyNumberFormat="1" applyFont="1"/>
    <xf numFmtId="0" fontId="176" fillId="52" borderId="1" xfId="0" applyFont="1" applyFill="1" applyBorder="1"/>
    <xf numFmtId="1" fontId="176" fillId="52" borderId="1" xfId="0" applyNumberFormat="1" applyFont="1" applyFill="1" applyBorder="1"/>
    <xf numFmtId="315" fontId="176" fillId="52" borderId="1" xfId="0" applyNumberFormat="1" applyFont="1" applyFill="1" applyBorder="1"/>
    <xf numFmtId="315" fontId="176" fillId="0" borderId="1" xfId="0" applyNumberFormat="1" applyFont="1" applyBorder="1"/>
    <xf numFmtId="9" fontId="176" fillId="52" borderId="0" xfId="0" applyNumberFormat="1" applyFont="1" applyFill="1"/>
    <xf numFmtId="9" fontId="176" fillId="52" borderId="1" xfId="0" applyNumberFormat="1" applyFont="1" applyFill="1" applyBorder="1"/>
    <xf numFmtId="172" fontId="13" fillId="0" borderId="0" xfId="0" applyNumberFormat="1" applyFont="1"/>
    <xf numFmtId="0" fontId="13" fillId="0" borderId="1" xfId="0" applyFont="1" applyBorder="1"/>
    <xf numFmtId="172" fontId="13" fillId="0" borderId="1" xfId="0" applyNumberFormat="1" applyFont="1" applyBorder="1"/>
    <xf numFmtId="0" fontId="177" fillId="2" borderId="0" xfId="0" applyFont="1" applyFill="1"/>
    <xf numFmtId="315" fontId="12" fillId="0" borderId="0" xfId="0" applyNumberFormat="1" applyFont="1"/>
    <xf numFmtId="1" fontId="169" fillId="0" borderId="1" xfId="0" applyNumberFormat="1" applyFont="1" applyBorder="1"/>
    <xf numFmtId="9" fontId="0" fillId="4" borderId="1" xfId="0" applyNumberFormat="1" applyFill="1" applyBorder="1"/>
    <xf numFmtId="171" fontId="19" fillId="5" borderId="0" xfId="6" applyNumberFormat="1" applyFont="1" applyFill="1" applyAlignment="1">
      <alignment horizontal="center"/>
    </xf>
    <xf numFmtId="3" fontId="6" fillId="4" borderId="1" xfId="2" applyNumberFormat="1" applyFont="1" applyFill="1" applyBorder="1"/>
    <xf numFmtId="0" fontId="12" fillId="58" borderId="2" xfId="0" applyFont="1" applyFill="1" applyBorder="1"/>
    <xf numFmtId="0" fontId="12" fillId="58" borderId="2" xfId="0" applyFont="1" applyFill="1" applyBorder="1" applyAlignment="1">
      <alignment horizontal="right"/>
    </xf>
    <xf numFmtId="0" fontId="12" fillId="58" borderId="0" xfId="0" applyFont="1" applyFill="1"/>
    <xf numFmtId="173" fontId="12" fillId="58" borderId="0" xfId="0" applyNumberFormat="1" applyFont="1" applyFill="1" applyAlignment="1">
      <alignment horizontal="right"/>
    </xf>
    <xf numFmtId="173" fontId="12" fillId="58" borderId="11" xfId="0" applyNumberFormat="1" applyFont="1" applyFill="1" applyBorder="1" applyAlignment="1">
      <alignment horizontal="right"/>
    </xf>
    <xf numFmtId="9" fontId="12" fillId="58" borderId="0" xfId="1741" applyFont="1" applyFill="1" applyAlignment="1">
      <alignment horizontal="right"/>
    </xf>
    <xf numFmtId="1" fontId="12" fillId="52" borderId="1" xfId="0" applyNumberFormat="1" applyFont="1" applyFill="1" applyBorder="1"/>
    <xf numFmtId="172" fontId="12" fillId="52" borderId="0" xfId="0" applyNumberFormat="1" applyFont="1" applyFill="1"/>
    <xf numFmtId="0" fontId="12" fillId="52" borderId="0" xfId="0" applyFont="1" applyFill="1" applyAlignment="1">
      <alignment horizontal="right"/>
    </xf>
    <xf numFmtId="0" fontId="12" fillId="52" borderId="1" xfId="0" applyFont="1" applyFill="1" applyBorder="1" applyAlignment="1">
      <alignment horizontal="right"/>
    </xf>
    <xf numFmtId="0" fontId="12" fillId="0" borderId="2" xfId="0" applyFont="1" applyBorder="1"/>
    <xf numFmtId="1" fontId="12" fillId="0" borderId="2" xfId="0" applyNumberFormat="1" applyFont="1" applyBorder="1"/>
    <xf numFmtId="172" fontId="12" fillId="4" borderId="0" xfId="0" applyNumberFormat="1" applyFont="1" applyFill="1"/>
    <xf numFmtId="17" fontId="7" fillId="0" borderId="0" xfId="2" applyNumberFormat="1" applyFont="1"/>
    <xf numFmtId="175" fontId="14" fillId="0" borderId="0" xfId="0" applyNumberFormat="1" applyFont="1"/>
    <xf numFmtId="175" fontId="12" fillId="0" borderId="0" xfId="0" applyNumberFormat="1" applyFont="1"/>
    <xf numFmtId="175" fontId="12" fillId="0" borderId="1" xfId="0" applyNumberFormat="1" applyFont="1" applyBorder="1"/>
    <xf numFmtId="171" fontId="12" fillId="0" borderId="0" xfId="0" applyNumberFormat="1" applyFont="1"/>
    <xf numFmtId="171" fontId="14" fillId="0" borderId="0" xfId="0" applyNumberFormat="1" applyFont="1"/>
    <xf numFmtId="0" fontId="169" fillId="0" borderId="0" xfId="0" applyFont="1"/>
    <xf numFmtId="184" fontId="6" fillId="0" borderId="0" xfId="2" applyNumberFormat="1" applyFont="1"/>
    <xf numFmtId="172" fontId="14" fillId="0" borderId="0" xfId="0" applyNumberFormat="1" applyFont="1"/>
    <xf numFmtId="1" fontId="14" fillId="0" borderId="0" xfId="0" applyNumberFormat="1" applyFont="1"/>
    <xf numFmtId="184" fontId="12" fillId="0" borderId="0" xfId="0" applyNumberFormat="1" applyFont="1"/>
    <xf numFmtId="0" fontId="12" fillId="4" borderId="0" xfId="0" applyFont="1" applyFill="1"/>
    <xf numFmtId="0" fontId="12" fillId="4" borderId="1" xfId="0" applyFont="1" applyFill="1" applyBorder="1"/>
    <xf numFmtId="0" fontId="179" fillId="59" borderId="65" xfId="0" applyFont="1" applyFill="1" applyBorder="1" applyAlignment="1">
      <alignment vertical="top" wrapText="1"/>
    </xf>
    <xf numFmtId="0" fontId="179" fillId="60" borderId="65" xfId="0" applyFont="1" applyFill="1" applyBorder="1" applyAlignment="1">
      <alignment vertical="top" wrapText="1"/>
    </xf>
    <xf numFmtId="3" fontId="14" fillId="0" borderId="0" xfId="0" applyNumberFormat="1" applyFont="1"/>
    <xf numFmtId="172" fontId="169" fillId="0" borderId="0" xfId="0" applyNumberFormat="1" applyFont="1"/>
    <xf numFmtId="0" fontId="14" fillId="52" borderId="0" xfId="0" applyFont="1" applyFill="1" applyAlignment="1">
      <alignment horizontal="right"/>
    </xf>
    <xf numFmtId="9" fontId="12" fillId="0" borderId="0" xfId="0" applyNumberFormat="1" applyFont="1" applyAlignment="1">
      <alignment horizontal="right"/>
    </xf>
    <xf numFmtId="9" fontId="12" fillId="52" borderId="0" xfId="0" applyNumberFormat="1" applyFont="1" applyFill="1" applyAlignment="1">
      <alignment horizontal="right"/>
    </xf>
    <xf numFmtId="9" fontId="12" fillId="0" borderId="0" xfId="0" quotePrefix="1" applyNumberFormat="1" applyFont="1" applyAlignment="1">
      <alignment horizontal="right"/>
    </xf>
    <xf numFmtId="17" fontId="12" fillId="52" borderId="1" xfId="0" applyNumberFormat="1" applyFont="1" applyFill="1" applyBorder="1" applyAlignment="1">
      <alignment horizontal="left"/>
    </xf>
    <xf numFmtId="0" fontId="2" fillId="0" borderId="12" xfId="0" applyFont="1" applyBorder="1"/>
    <xf numFmtId="0" fontId="168" fillId="0" borderId="0" xfId="0" applyFont="1" applyAlignment="1">
      <alignment horizontal="right"/>
    </xf>
    <xf numFmtId="0" fontId="7" fillId="0" borderId="1" xfId="0" applyFont="1" applyBorder="1" applyAlignment="1">
      <alignment horizontal="right"/>
    </xf>
    <xf numFmtId="1" fontId="6" fillId="0" borderId="0" xfId="0" applyNumberFormat="1" applyFont="1"/>
    <xf numFmtId="1" fontId="6" fillId="0" borderId="1" xfId="0" applyNumberFormat="1" applyFont="1" applyBorder="1"/>
    <xf numFmtId="1" fontId="6" fillId="0" borderId="2" xfId="0" applyNumberFormat="1" applyFont="1" applyBorder="1"/>
    <xf numFmtId="167" fontId="6" fillId="0" borderId="0" xfId="0" applyNumberFormat="1" applyFont="1"/>
    <xf numFmtId="167" fontId="6" fillId="0" borderId="1" xfId="0" applyNumberFormat="1" applyFont="1" applyBorder="1"/>
    <xf numFmtId="0" fontId="12" fillId="0" borderId="22" xfId="0" applyFont="1" applyBorder="1" applyAlignment="1">
      <alignment horizontal="right"/>
    </xf>
    <xf numFmtId="0" fontId="12" fillId="0" borderId="2" xfId="0" applyFont="1" applyBorder="1" applyAlignment="1">
      <alignment horizontal="right"/>
    </xf>
    <xf numFmtId="0" fontId="12" fillId="0" borderId="23" xfId="0" applyFont="1" applyBorder="1" applyAlignment="1">
      <alignment horizontal="right"/>
    </xf>
    <xf numFmtId="1" fontId="12" fillId="0" borderId="7" xfId="0" applyNumberFormat="1" applyFont="1" applyBorder="1"/>
    <xf numFmtId="1" fontId="12" fillId="0" borderId="8" xfId="0" applyNumberFormat="1" applyFont="1" applyBorder="1"/>
    <xf numFmtId="1" fontId="12" fillId="0" borderId="9" xfId="0" applyNumberFormat="1" applyFont="1" applyBorder="1"/>
    <xf numFmtId="1" fontId="12" fillId="0" borderId="10" xfId="0" applyNumberFormat="1" applyFont="1" applyBorder="1"/>
    <xf numFmtId="9" fontId="12" fillId="0" borderId="9" xfId="0" applyNumberFormat="1" applyFont="1" applyBorder="1"/>
    <xf numFmtId="9" fontId="12" fillId="0" borderId="10" xfId="0" applyNumberFormat="1" applyFont="1" applyBorder="1"/>
    <xf numFmtId="167" fontId="12" fillId="0" borderId="5" xfId="0" applyNumberFormat="1" applyFont="1" applyBorder="1"/>
    <xf numFmtId="167" fontId="12" fillId="0" borderId="11" xfId="0" applyNumberFormat="1" applyFont="1" applyBorder="1"/>
    <xf numFmtId="167" fontId="12" fillId="0" borderId="6" xfId="0" applyNumberFormat="1" applyFont="1" applyBorder="1"/>
    <xf numFmtId="167" fontId="12" fillId="0" borderId="7" xfId="0" applyNumberFormat="1" applyFont="1" applyBorder="1"/>
    <xf numFmtId="167" fontId="12" fillId="0" borderId="8" xfId="0" applyNumberFormat="1" applyFont="1" applyBorder="1"/>
    <xf numFmtId="167" fontId="12" fillId="0" borderId="9" xfId="0" applyNumberFormat="1" applyFont="1" applyBorder="1"/>
    <xf numFmtId="167" fontId="12" fillId="0" borderId="10" xfId="0" applyNumberFormat="1" applyFont="1" applyBorder="1"/>
    <xf numFmtId="1" fontId="12" fillId="4" borderId="0" xfId="0" applyNumberFormat="1" applyFont="1" applyFill="1"/>
    <xf numFmtId="1" fontId="12" fillId="4" borderId="1" xfId="0" applyNumberFormat="1" applyFont="1" applyFill="1" applyBorder="1"/>
    <xf numFmtId="1" fontId="6" fillId="0" borderId="0" xfId="0" applyNumberFormat="1" applyFont="1" applyAlignment="1">
      <alignment horizontal="right"/>
    </xf>
    <xf numFmtId="167" fontId="12" fillId="4" borderId="0" xfId="0" applyNumberFormat="1" applyFont="1" applyFill="1"/>
    <xf numFmtId="172" fontId="12" fillId="0" borderId="22" xfId="0" applyNumberFormat="1" applyFont="1" applyBorder="1"/>
    <xf numFmtId="172" fontId="12" fillId="0" borderId="2" xfId="0" applyNumberFormat="1" applyFont="1" applyBorder="1"/>
    <xf numFmtId="172" fontId="12" fillId="0" borderId="23" xfId="0" applyNumberFormat="1" applyFont="1" applyBorder="1"/>
    <xf numFmtId="0" fontId="182" fillId="0" borderId="0" xfId="0" applyFont="1"/>
    <xf numFmtId="167" fontId="182" fillId="0" borderId="0" xfId="0" applyNumberFormat="1" applyFont="1"/>
    <xf numFmtId="0" fontId="182" fillId="0" borderId="1" xfId="0" applyFont="1" applyBorder="1"/>
    <xf numFmtId="167" fontId="182" fillId="0" borderId="1" xfId="0" applyNumberFormat="1" applyFont="1" applyBorder="1"/>
    <xf numFmtId="1" fontId="182" fillId="0" borderId="0" xfId="0" applyNumberFormat="1" applyFont="1"/>
    <xf numFmtId="1" fontId="182" fillId="0" borderId="1" xfId="0" applyNumberFormat="1" applyFont="1" applyBorder="1"/>
    <xf numFmtId="1" fontId="182" fillId="0" borderId="0" xfId="0" applyNumberFormat="1" applyFont="1" applyAlignment="1">
      <alignment horizontal="right"/>
    </xf>
    <xf numFmtId="0" fontId="182" fillId="0" borderId="0" xfId="0" applyFont="1" applyAlignment="1">
      <alignment horizontal="right"/>
    </xf>
    <xf numFmtId="3" fontId="12" fillId="4" borderId="0" xfId="0" applyNumberFormat="1" applyFont="1" applyFill="1"/>
    <xf numFmtId="3" fontId="12" fillId="4" borderId="1" xfId="0" applyNumberFormat="1" applyFont="1" applyFill="1" applyBorder="1"/>
    <xf numFmtId="3" fontId="32" fillId="0" borderId="0" xfId="0" applyNumberFormat="1" applyFont="1"/>
    <xf numFmtId="173" fontId="12" fillId="0" borderId="12" xfId="0" applyNumberFormat="1" applyFont="1" applyBorder="1"/>
    <xf numFmtId="9" fontId="12" fillId="4" borderId="12" xfId="0" applyNumberFormat="1" applyFont="1" applyFill="1" applyBorder="1"/>
    <xf numFmtId="3" fontId="12" fillId="4" borderId="12" xfId="0" applyNumberFormat="1" applyFont="1" applyFill="1" applyBorder="1"/>
    <xf numFmtId="0" fontId="12" fillId="0" borderId="58" xfId="0" applyFont="1" applyBorder="1" applyAlignment="1">
      <alignment horizontal="right"/>
    </xf>
    <xf numFmtId="167" fontId="12" fillId="0" borderId="28" xfId="0" applyNumberFormat="1" applyFont="1" applyBorder="1"/>
    <xf numFmtId="167" fontId="12" fillId="0" borderId="59" xfId="0" applyNumberFormat="1" applyFont="1" applyBorder="1"/>
    <xf numFmtId="167" fontId="12" fillId="0" borderId="60" xfId="0" applyNumberFormat="1" applyFont="1" applyBorder="1"/>
    <xf numFmtId="17" fontId="12" fillId="0" borderId="0" xfId="0" applyNumberFormat="1" applyFont="1"/>
    <xf numFmtId="0" fontId="12" fillId="0" borderId="61" xfId="0" applyFont="1" applyBorder="1"/>
    <xf numFmtId="9" fontId="12" fillId="0" borderId="39" xfId="0" applyNumberFormat="1" applyFont="1" applyBorder="1"/>
    <xf numFmtId="9" fontId="12" fillId="0" borderId="62" xfId="0" applyNumberFormat="1" applyFont="1" applyBorder="1"/>
    <xf numFmtId="3" fontId="12" fillId="0" borderId="39" xfId="0" applyNumberFormat="1" applyFont="1" applyBorder="1"/>
    <xf numFmtId="167" fontId="12" fillId="4" borderId="39" xfId="0" applyNumberFormat="1" applyFont="1" applyFill="1" applyBorder="1"/>
    <xf numFmtId="167" fontId="12" fillId="4" borderId="62" xfId="0" applyNumberFormat="1" applyFont="1" applyFill="1" applyBorder="1"/>
    <xf numFmtId="167" fontId="169" fillId="0" borderId="0" xfId="0" applyNumberFormat="1" applyFont="1"/>
    <xf numFmtId="172" fontId="169" fillId="0" borderId="1" xfId="0" applyNumberFormat="1" applyFont="1" applyBorder="1"/>
    <xf numFmtId="1" fontId="12" fillId="0" borderId="3" xfId="0" applyNumberFormat="1" applyFont="1" applyBorder="1"/>
    <xf numFmtId="9" fontId="12" fillId="4" borderId="0" xfId="0" applyNumberFormat="1" applyFont="1" applyFill="1"/>
    <xf numFmtId="0" fontId="183" fillId="0" borderId="0" xfId="0" applyFont="1"/>
    <xf numFmtId="3" fontId="182" fillId="0" borderId="0" xfId="0" applyNumberFormat="1" applyFont="1"/>
    <xf numFmtId="1" fontId="12" fillId="0" borderId="0" xfId="0" quotePrefix="1" applyNumberFormat="1" applyFont="1" applyAlignment="1">
      <alignment horizontal="right"/>
    </xf>
    <xf numFmtId="1" fontId="12" fillId="0" borderId="1" xfId="0" quotePrefix="1" applyNumberFormat="1" applyFont="1" applyBorder="1" applyAlignment="1">
      <alignment horizontal="right"/>
    </xf>
    <xf numFmtId="0" fontId="12" fillId="0" borderId="22" xfId="0" applyFont="1" applyBorder="1"/>
    <xf numFmtId="1" fontId="12" fillId="0" borderId="23" xfId="0" applyNumberFormat="1" applyFont="1" applyBorder="1"/>
    <xf numFmtId="0" fontId="171" fillId="0" borderId="0" xfId="0" applyFont="1" applyAlignment="1">
      <alignment horizontal="right" vertical="center"/>
    </xf>
    <xf numFmtId="185" fontId="12" fillId="0" borderId="44" xfId="6" applyNumberFormat="1" applyFont="1" applyBorder="1"/>
    <xf numFmtId="185" fontId="12" fillId="0" borderId="57" xfId="6" applyNumberFormat="1" applyFont="1" applyBorder="1"/>
    <xf numFmtId="17" fontId="14" fillId="0" borderId="0" xfId="6" applyNumberFormat="1" applyFont="1" applyAlignment="1">
      <alignment horizontal="left"/>
    </xf>
    <xf numFmtId="0" fontId="14" fillId="0" borderId="1" xfId="6" applyFont="1" applyBorder="1"/>
    <xf numFmtId="0" fontId="14" fillId="0" borderId="1" xfId="6" applyFont="1" applyBorder="1" applyAlignment="1">
      <alignment horizontal="right"/>
    </xf>
    <xf numFmtId="0" fontId="12" fillId="0" borderId="7" xfId="0" applyFont="1" applyBorder="1"/>
    <xf numFmtId="0" fontId="12" fillId="0" borderId="8" xfId="0" applyFont="1" applyBorder="1"/>
    <xf numFmtId="1" fontId="14" fillId="0" borderId="8" xfId="0" applyNumberFormat="1" applyFont="1" applyBorder="1"/>
    <xf numFmtId="184" fontId="12" fillId="0" borderId="1" xfId="6" applyNumberFormat="1" applyFont="1" applyBorder="1"/>
    <xf numFmtId="16" fontId="0" fillId="0" borderId="0" xfId="0" applyNumberFormat="1"/>
    <xf numFmtId="0" fontId="0" fillId="56" borderId="0" xfId="0" applyFill="1"/>
    <xf numFmtId="1" fontId="0" fillId="56" borderId="0" xfId="0" applyNumberFormat="1" applyFill="1"/>
    <xf numFmtId="0" fontId="0" fillId="56" borderId="0" xfId="0" applyFill="1" applyAlignment="1">
      <alignment horizontal="right"/>
    </xf>
    <xf numFmtId="167" fontId="0" fillId="56" borderId="0" xfId="0" applyNumberFormat="1" applyFill="1" applyAlignment="1">
      <alignment horizontal="right"/>
    </xf>
    <xf numFmtId="2" fontId="0" fillId="56" borderId="0" xfId="0" applyNumberFormat="1" applyFill="1"/>
    <xf numFmtId="0" fontId="12" fillId="52" borderId="0" xfId="0" quotePrefix="1" applyFont="1" applyFill="1"/>
    <xf numFmtId="0" fontId="7" fillId="0" borderId="1" xfId="0" applyFont="1" applyBorder="1"/>
    <xf numFmtId="0" fontId="6" fillId="0" borderId="0" xfId="0" applyFont="1"/>
    <xf numFmtId="0" fontId="6" fillId="0" borderId="1" xfId="0" applyFont="1" applyBorder="1"/>
    <xf numFmtId="9" fontId="6" fillId="0" borderId="0" xfId="0" applyNumberFormat="1" applyFont="1"/>
    <xf numFmtId="9" fontId="6" fillId="0" borderId="0" xfId="0" applyNumberFormat="1" applyFont="1" applyAlignment="1">
      <alignment horizontal="right"/>
    </xf>
    <xf numFmtId="0" fontId="180" fillId="0" borderId="0" xfId="0" applyFont="1"/>
    <xf numFmtId="0" fontId="181" fillId="0" borderId="0" xfId="0" applyFont="1"/>
    <xf numFmtId="167" fontId="181" fillId="0" borderId="0" xfId="0" applyNumberFormat="1" applyFont="1"/>
    <xf numFmtId="0" fontId="14" fillId="0" borderId="0" xfId="0" applyFont="1" applyAlignment="1">
      <alignment horizontal="right"/>
    </xf>
    <xf numFmtId="0" fontId="12" fillId="0" borderId="1" xfId="0" quotePrefix="1" applyFont="1" applyBorder="1"/>
    <xf numFmtId="1" fontId="12" fillId="57" borderId="0" xfId="0" applyNumberFormat="1" applyFont="1" applyFill="1"/>
    <xf numFmtId="1" fontId="184" fillId="0" borderId="0" xfId="0" applyNumberFormat="1" applyFont="1"/>
    <xf numFmtId="4" fontId="12" fillId="0" borderId="0" xfId="0" applyNumberFormat="1" applyFont="1"/>
    <xf numFmtId="0" fontId="12" fillId="0" borderId="0" xfId="0" quotePrefix="1" applyFont="1"/>
    <xf numFmtId="15" fontId="0" fillId="0" borderId="0" xfId="0" quotePrefix="1" applyNumberFormat="1"/>
    <xf numFmtId="1" fontId="169" fillId="0" borderId="1" xfId="6" applyNumberFormat="1" applyFont="1" applyBorder="1"/>
    <xf numFmtId="0" fontId="6" fillId="0" borderId="0" xfId="0" applyFont="1" applyAlignment="1">
      <alignment horizontal="right"/>
    </xf>
    <xf numFmtId="0" fontId="6" fillId="0" borderId="16" xfId="0" applyFont="1" applyBorder="1"/>
    <xf numFmtId="1" fontId="6" fillId="0" borderId="17" xfId="0" applyNumberFormat="1" applyFont="1" applyBorder="1"/>
    <xf numFmtId="1" fontId="6" fillId="0" borderId="63" xfId="0" applyNumberFormat="1" applyFont="1" applyBorder="1"/>
    <xf numFmtId="0" fontId="6" fillId="0" borderId="18" xfId="0" applyFont="1" applyBorder="1"/>
    <xf numFmtId="1" fontId="6" fillId="0" borderId="19" xfId="0" applyNumberFormat="1" applyFont="1" applyBorder="1"/>
    <xf numFmtId="0" fontId="6" fillId="0" borderId="20" xfId="0" applyFont="1" applyBorder="1"/>
    <xf numFmtId="9" fontId="6" fillId="0" borderId="21" xfId="0" applyNumberFormat="1" applyFont="1" applyBorder="1"/>
    <xf numFmtId="9" fontId="6" fillId="0" borderId="64" xfId="0" applyNumberFormat="1" applyFont="1" applyBorder="1"/>
    <xf numFmtId="0" fontId="6" fillId="0" borderId="61" xfId="0" applyFont="1" applyBorder="1"/>
    <xf numFmtId="172" fontId="6" fillId="0" borderId="39" xfId="0" applyNumberFormat="1" applyFont="1" applyBorder="1"/>
    <xf numFmtId="172" fontId="6" fillId="0" borderId="62" xfId="0" applyNumberFormat="1" applyFont="1" applyBorder="1"/>
    <xf numFmtId="0" fontId="6" fillId="0" borderId="0" xfId="0" quotePrefix="1" applyFont="1"/>
    <xf numFmtId="3" fontId="6" fillId="0" borderId="0" xfId="0" applyNumberFormat="1" applyFont="1"/>
    <xf numFmtId="3" fontId="171" fillId="0" borderId="0" xfId="0" applyNumberFormat="1" applyFont="1"/>
    <xf numFmtId="184" fontId="6" fillId="0" borderId="0" xfId="0" applyNumberFormat="1" applyFont="1"/>
    <xf numFmtId="184" fontId="6" fillId="0" borderId="12" xfId="0" applyNumberFormat="1" applyFont="1" applyBorder="1"/>
    <xf numFmtId="0" fontId="14" fillId="0" borderId="0" xfId="6" applyFont="1" applyAlignment="1">
      <alignment horizontal="right"/>
    </xf>
    <xf numFmtId="0" fontId="12" fillId="57" borderId="1" xfId="0" applyFont="1" applyFill="1" applyBorder="1"/>
    <xf numFmtId="9" fontId="12" fillId="0" borderId="1" xfId="0" applyNumberFormat="1" applyFont="1" applyBorder="1" applyAlignment="1">
      <alignment horizontal="right"/>
    </xf>
    <xf numFmtId="167" fontId="12" fillId="0" borderId="0" xfId="0" applyNumberFormat="1" applyFont="1" applyAlignment="1">
      <alignment horizontal="right"/>
    </xf>
    <xf numFmtId="2" fontId="0" fillId="0" borderId="0" xfId="0" applyNumberFormat="1"/>
    <xf numFmtId="1" fontId="6" fillId="4" borderId="2" xfId="0" applyNumberFormat="1" applyFont="1" applyFill="1" applyBorder="1"/>
    <xf numFmtId="1" fontId="12" fillId="5" borderId="0" xfId="0" applyNumberFormat="1" applyFont="1" applyFill="1"/>
    <xf numFmtId="167" fontId="6" fillId="4" borderId="1" xfId="0" applyNumberFormat="1" applyFont="1" applyFill="1" applyBorder="1"/>
    <xf numFmtId="167" fontId="6" fillId="4" borderId="0" xfId="0" applyNumberFormat="1" applyFont="1" applyFill="1"/>
    <xf numFmtId="167" fontId="6" fillId="0" borderId="0" xfId="0" applyNumberFormat="1" applyFont="1" applyAlignment="1">
      <alignment horizontal="right"/>
    </xf>
    <xf numFmtId="1" fontId="7" fillId="0" borderId="39" xfId="0" applyNumberFormat="1" applyFont="1" applyBorder="1"/>
    <xf numFmtId="1" fontId="7" fillId="0" borderId="62" xfId="0" applyNumberFormat="1" applyFont="1" applyBorder="1"/>
    <xf numFmtId="167" fontId="12" fillId="52" borderId="0" xfId="0" applyNumberFormat="1" applyFont="1" applyFill="1"/>
    <xf numFmtId="0" fontId="12" fillId="61" borderId="1" xfId="0" applyFont="1" applyFill="1" applyBorder="1" applyAlignment="1">
      <alignment horizontal="right"/>
    </xf>
    <xf numFmtId="3" fontId="6" fillId="61" borderId="0" xfId="0" applyNumberFormat="1" applyFont="1" applyFill="1"/>
    <xf numFmtId="3" fontId="12" fillId="61" borderId="0" xfId="0" applyNumberFormat="1" applyFont="1" applyFill="1"/>
    <xf numFmtId="3" fontId="6" fillId="61" borderId="1" xfId="0" applyNumberFormat="1" applyFont="1" applyFill="1" applyBorder="1"/>
    <xf numFmtId="1" fontId="6" fillId="4" borderId="0" xfId="0" applyNumberFormat="1" applyFont="1" applyFill="1"/>
    <xf numFmtId="173" fontId="12" fillId="4" borderId="12" xfId="0" applyNumberFormat="1" applyFont="1" applyFill="1" applyBorder="1"/>
    <xf numFmtId="184" fontId="12" fillId="0" borderId="0" xfId="0" applyNumberFormat="1" applyFont="1" applyProtection="1">
      <protection locked="0"/>
    </xf>
    <xf numFmtId="1" fontId="12" fillId="4" borderId="12" xfId="0" applyNumberFormat="1" applyFont="1" applyFill="1" applyBorder="1"/>
    <xf numFmtId="0" fontId="12" fillId="0" borderId="66" xfId="0" applyFont="1" applyBorder="1"/>
    <xf numFmtId="0" fontId="12" fillId="0" borderId="67" xfId="0" applyFont="1" applyBorder="1"/>
    <xf numFmtId="0" fontId="12" fillId="0" borderId="68" xfId="0" applyFont="1" applyBorder="1"/>
    <xf numFmtId="0" fontId="12" fillId="0" borderId="18" xfId="0" applyFont="1" applyBorder="1"/>
    <xf numFmtId="172" fontId="12" fillId="0" borderId="19" xfId="0" applyNumberFormat="1" applyFont="1" applyBorder="1"/>
    <xf numFmtId="172" fontId="12" fillId="0" borderId="21" xfId="0" applyNumberFormat="1" applyFont="1" applyBorder="1"/>
    <xf numFmtId="172" fontId="12" fillId="0" borderId="64" xfId="0" applyNumberFormat="1" applyFont="1" applyBorder="1"/>
    <xf numFmtId="172" fontId="14" fillId="0" borderId="0" xfId="0" applyNumberFormat="1" applyFont="1" applyAlignment="1">
      <alignment horizontal="right"/>
    </xf>
    <xf numFmtId="0" fontId="2" fillId="0" borderId="0" xfId="0" applyFont="1" applyAlignment="1">
      <alignment horizontal="right"/>
    </xf>
    <xf numFmtId="172" fontId="14" fillId="0" borderId="5" xfId="0" applyNumberFormat="1" applyFont="1" applyBorder="1"/>
    <xf numFmtId="172" fontId="14" fillId="0" borderId="11" xfId="0" applyNumberFormat="1" applyFont="1" applyBorder="1"/>
    <xf numFmtId="172" fontId="14" fillId="0" borderId="6" xfId="0" applyNumberFormat="1" applyFont="1" applyBorder="1"/>
    <xf numFmtId="0" fontId="14" fillId="0" borderId="7" xfId="0" applyFont="1" applyBorder="1"/>
    <xf numFmtId="0" fontId="14" fillId="0" borderId="8" xfId="0" applyFont="1" applyBorder="1"/>
    <xf numFmtId="172" fontId="14" fillId="52" borderId="3" xfId="0" applyNumberFormat="1" applyFont="1" applyFill="1" applyBorder="1" applyAlignment="1">
      <alignment horizontal="right"/>
    </xf>
    <xf numFmtId="184" fontId="12" fillId="52" borderId="2" xfId="0" applyNumberFormat="1" applyFont="1" applyFill="1" applyBorder="1"/>
    <xf numFmtId="172" fontId="12" fillId="52" borderId="23" xfId="0" applyNumberFormat="1" applyFont="1" applyFill="1" applyBorder="1"/>
    <xf numFmtId="0" fontId="14" fillId="52" borderId="22" xfId="0" applyFont="1" applyFill="1" applyBorder="1" applyAlignment="1">
      <alignment horizontal="right"/>
    </xf>
    <xf numFmtId="0" fontId="0" fillId="52" borderId="23" xfId="0" applyFill="1" applyBorder="1"/>
    <xf numFmtId="184" fontId="12" fillId="52" borderId="1" xfId="0" applyNumberFormat="1" applyFont="1" applyFill="1" applyBorder="1"/>
    <xf numFmtId="9" fontId="12" fillId="52" borderId="1" xfId="0" applyNumberFormat="1" applyFont="1" applyFill="1" applyBorder="1"/>
    <xf numFmtId="0" fontId="12" fillId="52" borderId="61" xfId="0" applyFont="1" applyFill="1" applyBorder="1"/>
    <xf numFmtId="3" fontId="12" fillId="52" borderId="39" xfId="0" applyNumberFormat="1" applyFont="1" applyFill="1" applyBorder="1"/>
    <xf numFmtId="167" fontId="12" fillId="52" borderId="39" xfId="0" applyNumberFormat="1" applyFont="1" applyFill="1" applyBorder="1"/>
    <xf numFmtId="167" fontId="12" fillId="52" borderId="62" xfId="0" applyNumberFormat="1" applyFont="1" applyFill="1" applyBorder="1"/>
    <xf numFmtId="173" fontId="12" fillId="52" borderId="0" xfId="0" applyNumberFormat="1" applyFont="1" applyFill="1"/>
    <xf numFmtId="0" fontId="14" fillId="0" borderId="61" xfId="0" applyFont="1" applyBorder="1"/>
    <xf numFmtId="3" fontId="14" fillId="0" borderId="62" xfId="0" applyNumberFormat="1" applyFont="1" applyBorder="1"/>
    <xf numFmtId="0" fontId="12" fillId="52" borderId="0" xfId="6" applyFont="1" applyFill="1"/>
    <xf numFmtId="172" fontId="12" fillId="52" borderId="0" xfId="6" applyNumberFormat="1" applyFont="1" applyFill="1"/>
    <xf numFmtId="0" fontId="12" fillId="52" borderId="1" xfId="6" applyFont="1" applyFill="1" applyBorder="1"/>
    <xf numFmtId="172" fontId="12" fillId="52" borderId="1" xfId="6" applyNumberFormat="1" applyFont="1" applyFill="1" applyBorder="1"/>
    <xf numFmtId="185" fontId="12" fillId="52" borderId="0" xfId="6" applyNumberFormat="1" applyFont="1" applyFill="1"/>
    <xf numFmtId="167" fontId="12" fillId="52" borderId="0" xfId="6" applyNumberFormat="1" applyFont="1" applyFill="1"/>
    <xf numFmtId="0" fontId="12" fillId="52" borderId="16" xfId="6" applyFont="1" applyFill="1" applyBorder="1"/>
    <xf numFmtId="167" fontId="12" fillId="0" borderId="0" xfId="6" applyNumberFormat="1" applyFont="1" applyAlignment="1">
      <alignment horizontal="right"/>
    </xf>
    <xf numFmtId="172" fontId="12" fillId="52" borderId="0" xfId="6" applyNumberFormat="1" applyFont="1" applyFill="1" applyAlignment="1">
      <alignment horizontal="right"/>
    </xf>
    <xf numFmtId="172" fontId="12" fillId="52" borderId="1" xfId="6" applyNumberFormat="1" applyFont="1" applyFill="1" applyBorder="1" applyAlignment="1">
      <alignment horizontal="right"/>
    </xf>
    <xf numFmtId="185" fontId="12" fillId="52" borderId="0" xfId="6" applyNumberFormat="1" applyFont="1" applyFill="1" applyAlignment="1">
      <alignment horizontal="right"/>
    </xf>
    <xf numFmtId="0" fontId="12" fillId="52" borderId="0" xfId="6" applyFont="1" applyFill="1" applyAlignment="1">
      <alignment horizontal="right"/>
    </xf>
    <xf numFmtId="167" fontId="12" fillId="52" borderId="0" xfId="6" applyNumberFormat="1" applyFont="1" applyFill="1" applyAlignment="1">
      <alignment horizontal="right"/>
    </xf>
    <xf numFmtId="167" fontId="12" fillId="52" borderId="17" xfId="6" applyNumberFormat="1" applyFont="1" applyFill="1" applyBorder="1" applyAlignment="1">
      <alignment horizontal="right"/>
    </xf>
    <xf numFmtId="0" fontId="0" fillId="52" borderId="17" xfId="0" applyFill="1" applyBorder="1" applyAlignment="1">
      <alignment horizontal="right"/>
    </xf>
    <xf numFmtId="167" fontId="12" fillId="52" borderId="63" xfId="6" applyNumberFormat="1" applyFont="1" applyFill="1" applyBorder="1" applyAlignment="1">
      <alignment horizontal="right"/>
    </xf>
    <xf numFmtId="167" fontId="12" fillId="0" borderId="21" xfId="6" applyNumberFormat="1" applyFont="1" applyBorder="1" applyAlignment="1">
      <alignment horizontal="right"/>
    </xf>
    <xf numFmtId="0" fontId="0" fillId="0" borderId="21" xfId="0" applyBorder="1" applyAlignment="1">
      <alignment horizontal="right"/>
    </xf>
    <xf numFmtId="167" fontId="12" fillId="0" borderId="64" xfId="6" applyNumberFormat="1" applyFont="1" applyBorder="1" applyAlignment="1">
      <alignment horizontal="right"/>
    </xf>
    <xf numFmtId="9" fontId="14" fillId="0" borderId="0" xfId="0" applyNumberFormat="1" applyFont="1"/>
    <xf numFmtId="9" fontId="14" fillId="52" borderId="0" xfId="0" applyNumberFormat="1" applyFont="1" applyFill="1"/>
    <xf numFmtId="9" fontId="14" fillId="0" borderId="61" xfId="0" applyNumberFormat="1" applyFont="1" applyBorder="1"/>
    <xf numFmtId="9" fontId="14" fillId="52" borderId="1" xfId="0" applyNumberFormat="1" applyFont="1" applyFill="1" applyBorder="1"/>
    <xf numFmtId="184" fontId="12" fillId="52" borderId="0" xfId="0" applyNumberFormat="1" applyFont="1" applyFill="1"/>
    <xf numFmtId="184" fontId="12" fillId="0" borderId="39" xfId="0" applyNumberFormat="1" applyFont="1" applyBorder="1"/>
    <xf numFmtId="184" fontId="12" fillId="52" borderId="22" xfId="0" applyNumberFormat="1" applyFont="1" applyFill="1" applyBorder="1"/>
    <xf numFmtId="184" fontId="12" fillId="52" borderId="23" xfId="0" applyNumberFormat="1" applyFont="1" applyFill="1" applyBorder="1"/>
    <xf numFmtId="172" fontId="14" fillId="0" borderId="1" xfId="0" applyNumberFormat="1" applyFont="1" applyBorder="1" applyAlignment="1">
      <alignment horizontal="right"/>
    </xf>
    <xf numFmtId="3" fontId="12" fillId="52" borderId="12" xfId="0" applyNumberFormat="1" applyFont="1" applyFill="1" applyBorder="1"/>
    <xf numFmtId="172" fontId="12" fillId="52" borderId="12" xfId="0" applyNumberFormat="1" applyFont="1" applyFill="1" applyBorder="1"/>
    <xf numFmtId="0" fontId="28" fillId="52" borderId="0" xfId="0" applyFont="1" applyFill="1"/>
    <xf numFmtId="0" fontId="12" fillId="52" borderId="39" xfId="0" applyFont="1" applyFill="1" applyBorder="1"/>
    <xf numFmtId="9" fontId="12" fillId="52" borderId="39" xfId="0" applyNumberFormat="1" applyFont="1" applyFill="1" applyBorder="1"/>
    <xf numFmtId="9" fontId="12" fillId="52" borderId="62" xfId="0" applyNumberFormat="1" applyFont="1" applyFill="1" applyBorder="1"/>
    <xf numFmtId="184" fontId="12" fillId="0" borderId="67" xfId="0" applyNumberFormat="1" applyFont="1" applyBorder="1"/>
    <xf numFmtId="172" fontId="14" fillId="52" borderId="0" xfId="0" applyNumberFormat="1" applyFont="1" applyFill="1" applyAlignment="1">
      <alignment horizontal="right"/>
    </xf>
    <xf numFmtId="173" fontId="14" fillId="0" borderId="0" xfId="0" applyNumberFormat="1" applyFont="1"/>
    <xf numFmtId="173" fontId="14" fillId="0" borderId="39" xfId="0" applyNumberFormat="1" applyFont="1" applyBorder="1"/>
    <xf numFmtId="173" fontId="14" fillId="0" borderId="62" xfId="0" applyNumberFormat="1" applyFont="1" applyBorder="1"/>
    <xf numFmtId="1" fontId="14" fillId="0" borderId="1" xfId="0" applyNumberFormat="1" applyFont="1" applyBorder="1"/>
    <xf numFmtId="0" fontId="4" fillId="0" borderId="0" xfId="6" applyFont="1"/>
    <xf numFmtId="167" fontId="165" fillId="0" borderId="0" xfId="6" applyNumberFormat="1" applyFont="1"/>
    <xf numFmtId="172" fontId="12" fillId="4" borderId="1" xfId="0" applyNumberFormat="1" applyFont="1" applyFill="1" applyBorder="1"/>
    <xf numFmtId="9" fontId="169" fillId="0" borderId="0" xfId="0" applyNumberFormat="1" applyFont="1"/>
    <xf numFmtId="175" fontId="12" fillId="4" borderId="0" xfId="6" applyNumberFormat="1" applyFont="1" applyFill="1" applyAlignment="1">
      <alignment horizontal="center"/>
    </xf>
    <xf numFmtId="172" fontId="12" fillId="4" borderId="2" xfId="0" applyNumberFormat="1" applyFont="1" applyFill="1" applyBorder="1"/>
    <xf numFmtId="1" fontId="12" fillId="0" borderId="0" xfId="6" applyNumberFormat="1" applyFont="1" applyAlignment="1">
      <alignment horizontal="right"/>
    </xf>
    <xf numFmtId="1" fontId="12" fillId="0" borderId="1" xfId="6" applyNumberFormat="1" applyFont="1" applyBorder="1" applyAlignment="1">
      <alignment horizontal="right"/>
    </xf>
    <xf numFmtId="315" fontId="12" fillId="4" borderId="0" xfId="0" applyNumberFormat="1" applyFont="1" applyFill="1"/>
    <xf numFmtId="1" fontId="14" fillId="4" borderId="0" xfId="0" applyNumberFormat="1" applyFont="1" applyFill="1"/>
    <xf numFmtId="0" fontId="14" fillId="0" borderId="4" xfId="0" applyFont="1" applyBorder="1"/>
    <xf numFmtId="3" fontId="14" fillId="4" borderId="4" xfId="0" applyNumberFormat="1" applyFont="1" applyFill="1" applyBorder="1"/>
    <xf numFmtId="3" fontId="14" fillId="0" borderId="4" xfId="0" applyNumberFormat="1" applyFont="1" applyBorder="1"/>
    <xf numFmtId="9" fontId="6" fillId="4" borderId="0" xfId="0" applyNumberFormat="1" applyFont="1" applyFill="1"/>
    <xf numFmtId="3" fontId="6" fillId="4" borderId="0" xfId="2" applyNumberFormat="1" applyFont="1" applyFill="1"/>
    <xf numFmtId="167" fontId="12" fillId="0" borderId="1" xfId="0" applyNumberFormat="1" applyFont="1" applyBorder="1" applyAlignment="1">
      <alignment horizontal="right"/>
    </xf>
    <xf numFmtId="167" fontId="14" fillId="0" borderId="0" xfId="0" applyNumberFormat="1" applyFont="1"/>
    <xf numFmtId="167" fontId="14" fillId="0" borderId="1" xfId="0" applyNumberFormat="1" applyFont="1" applyBorder="1"/>
    <xf numFmtId="0" fontId="14" fillId="0" borderId="2" xfId="0" applyFont="1" applyBorder="1"/>
    <xf numFmtId="2" fontId="12" fillId="0" borderId="0" xfId="0" applyNumberFormat="1" applyFont="1"/>
    <xf numFmtId="167" fontId="185" fillId="0" borderId="0" xfId="0" applyNumberFormat="1" applyFont="1"/>
    <xf numFmtId="0" fontId="185" fillId="0" borderId="0" xfId="0" applyFont="1"/>
    <xf numFmtId="0" fontId="2" fillId="0" borderId="1" xfId="0" applyFont="1" applyBorder="1" applyAlignment="1">
      <alignment horizontal="right"/>
    </xf>
    <xf numFmtId="0" fontId="14" fillId="0" borderId="55" xfId="0" applyFont="1" applyBorder="1"/>
    <xf numFmtId="0" fontId="0" fillId="0" borderId="55" xfId="0" applyBorder="1"/>
    <xf numFmtId="1" fontId="14" fillId="0" borderId="55" xfId="0" applyNumberFormat="1" applyFont="1" applyBorder="1"/>
    <xf numFmtId="0" fontId="7" fillId="0" borderId="0" xfId="0" applyFont="1"/>
    <xf numFmtId="0" fontId="6" fillId="0" borderId="1" xfId="0" applyFont="1" applyBorder="1" applyAlignment="1">
      <alignment horizontal="right"/>
    </xf>
    <xf numFmtId="9" fontId="13" fillId="0" borderId="0" xfId="0" applyNumberFormat="1" applyFont="1"/>
    <xf numFmtId="0" fontId="14" fillId="0" borderId="5" xfId="0" applyFont="1" applyBorder="1"/>
    <xf numFmtId="0" fontId="14" fillId="0" borderId="11" xfId="0" applyFont="1" applyBorder="1" applyAlignment="1">
      <alignment horizontal="right"/>
    </xf>
    <xf numFmtId="0" fontId="14" fillId="0" borderId="11" xfId="0" applyFont="1" applyBorder="1"/>
    <xf numFmtId="0" fontId="14" fillId="0" borderId="6" xfId="0" applyFont="1" applyBorder="1" applyAlignment="1">
      <alignment horizontal="right"/>
    </xf>
    <xf numFmtId="0" fontId="14" fillId="0" borderId="9" xfId="0" applyFont="1" applyBorder="1"/>
    <xf numFmtId="0" fontId="14" fillId="0" borderId="10" xfId="0" applyFont="1" applyBorder="1" applyAlignment="1">
      <alignment horizontal="right"/>
    </xf>
    <xf numFmtId="3" fontId="12" fillId="0" borderId="8" xfId="0" applyNumberFormat="1" applyFont="1" applyBorder="1"/>
    <xf numFmtId="0" fontId="12" fillId="0" borderId="7" xfId="0" quotePrefix="1" applyFont="1" applyBorder="1"/>
    <xf numFmtId="0" fontId="12" fillId="0" borderId="9" xfId="0" applyFont="1" applyBorder="1"/>
    <xf numFmtId="0" fontId="12" fillId="0" borderId="10" xfId="0" applyFont="1" applyBorder="1"/>
    <xf numFmtId="0" fontId="14" fillId="0" borderId="22" xfId="0" quotePrefix="1" applyFont="1" applyBorder="1"/>
    <xf numFmtId="172" fontId="14" fillId="0" borderId="2" xfId="0" applyNumberFormat="1" applyFont="1" applyBorder="1"/>
    <xf numFmtId="167" fontId="14" fillId="0" borderId="2" xfId="0" applyNumberFormat="1" applyFont="1" applyBorder="1" applyAlignment="1">
      <alignment horizontal="right"/>
    </xf>
    <xf numFmtId="9" fontId="14" fillId="0" borderId="2" xfId="0" applyNumberFormat="1" applyFont="1" applyBorder="1"/>
    <xf numFmtId="3" fontId="14" fillId="0" borderId="23" xfId="0" applyNumberFormat="1" applyFont="1" applyBorder="1"/>
    <xf numFmtId="315" fontId="169" fillId="0" borderId="0" xfId="0" applyNumberFormat="1" applyFont="1"/>
    <xf numFmtId="184" fontId="14" fillId="0" borderId="0" xfId="0" applyNumberFormat="1" applyFont="1"/>
    <xf numFmtId="0" fontId="14" fillId="2" borderId="0" xfId="0" applyFont="1" applyFill="1"/>
    <xf numFmtId="169" fontId="12" fillId="0" borderId="0" xfId="1742" applyNumberFormat="1" applyFont="1" applyAlignment="1">
      <alignment horizontal="left"/>
    </xf>
    <xf numFmtId="315" fontId="14" fillId="0" borderId="0" xfId="0" applyNumberFormat="1" applyFont="1"/>
    <xf numFmtId="4" fontId="14" fillId="0" borderId="0" xfId="0" applyNumberFormat="1" applyFont="1"/>
    <xf numFmtId="172" fontId="12" fillId="0" borderId="0" xfId="0" applyNumberFormat="1" applyFont="1" applyAlignment="1">
      <alignment horizontal="right"/>
    </xf>
    <xf numFmtId="173" fontId="12" fillId="0" borderId="1" xfId="0" applyNumberFormat="1" applyFont="1" applyBorder="1"/>
    <xf numFmtId="0" fontId="12" fillId="0" borderId="0" xfId="0" applyFont="1" applyAlignment="1">
      <alignment horizontal="left"/>
    </xf>
    <xf numFmtId="17" fontId="168" fillId="0" borderId="0" xfId="0" applyNumberFormat="1" applyFont="1" applyAlignment="1">
      <alignment horizontal="left"/>
    </xf>
    <xf numFmtId="3" fontId="169" fillId="0" borderId="0" xfId="0" applyNumberFormat="1" applyFont="1"/>
    <xf numFmtId="3" fontId="12" fillId="0" borderId="62" xfId="0" applyNumberFormat="1" applyFont="1" applyBorder="1"/>
    <xf numFmtId="3" fontId="12" fillId="52" borderId="63" xfId="0" applyNumberFormat="1" applyFont="1" applyFill="1" applyBorder="1"/>
    <xf numFmtId="0" fontId="12" fillId="0" borderId="64" xfId="0" applyFont="1" applyBorder="1"/>
    <xf numFmtId="0" fontId="2" fillId="0" borderId="39" xfId="0" applyFont="1" applyBorder="1"/>
    <xf numFmtId="1" fontId="14" fillId="0" borderId="39" xfId="0" applyNumberFormat="1" applyFont="1" applyBorder="1"/>
    <xf numFmtId="1" fontId="14" fillId="0" borderId="62" xfId="0" applyNumberFormat="1" applyFont="1" applyBorder="1"/>
    <xf numFmtId="167" fontId="14" fillId="0" borderId="0" xfId="6" applyNumberFormat="1" applyFont="1"/>
    <xf numFmtId="0" fontId="13" fillId="0" borderId="0" xfId="0" quotePrefix="1" applyFont="1"/>
    <xf numFmtId="1" fontId="185" fillId="0" borderId="0" xfId="0" applyNumberFormat="1" applyFont="1"/>
    <xf numFmtId="167" fontId="185" fillId="0" borderId="8" xfId="0" applyNumberFormat="1" applyFont="1" applyBorder="1"/>
    <xf numFmtId="0" fontId="12" fillId="0" borderId="5" xfId="0" applyFont="1" applyBorder="1"/>
    <xf numFmtId="3" fontId="12" fillId="0" borderId="6" xfId="0" applyNumberFormat="1" applyFont="1" applyBorder="1"/>
    <xf numFmtId="184" fontId="12" fillId="52" borderId="10" xfId="0" applyNumberFormat="1" applyFont="1" applyFill="1" applyBorder="1"/>
    <xf numFmtId="9" fontId="14" fillId="4" borderId="1" xfId="0" applyNumberFormat="1" applyFont="1" applyFill="1" applyBorder="1"/>
    <xf numFmtId="3" fontId="14" fillId="0" borderId="1" xfId="0" applyNumberFormat="1" applyFont="1" applyBorder="1" applyAlignment="1">
      <alignment horizontal="right"/>
    </xf>
    <xf numFmtId="0" fontId="186" fillId="0" borderId="1" xfId="0" applyFont="1" applyBorder="1"/>
    <xf numFmtId="167" fontId="12" fillId="0" borderId="63" xfId="0" applyNumberFormat="1" applyFont="1" applyBorder="1"/>
    <xf numFmtId="173" fontId="12" fillId="0" borderId="21" xfId="0" applyNumberFormat="1" applyFont="1" applyBorder="1"/>
    <xf numFmtId="0" fontId="182" fillId="0" borderId="64" xfId="0" applyFont="1" applyBorder="1"/>
    <xf numFmtId="184" fontId="12" fillId="52" borderId="39" xfId="0" applyNumberFormat="1" applyFont="1" applyFill="1" applyBorder="1"/>
    <xf numFmtId="184" fontId="12" fillId="52" borderId="62" xfId="0" applyNumberFormat="1" applyFont="1" applyFill="1" applyBorder="1"/>
    <xf numFmtId="3" fontId="14" fillId="4" borderId="0" xfId="0" applyNumberFormat="1" applyFont="1" applyFill="1"/>
    <xf numFmtId="9" fontId="14" fillId="0" borderId="1" xfId="0" applyNumberFormat="1" applyFont="1" applyBorder="1"/>
    <xf numFmtId="9" fontId="14" fillId="0" borderId="1" xfId="0" applyNumberFormat="1" applyFont="1" applyBorder="1" applyAlignment="1">
      <alignment horizontal="right"/>
    </xf>
    <xf numFmtId="1" fontId="14" fillId="0" borderId="1" xfId="0" applyNumberFormat="1" applyFont="1" applyBorder="1" applyAlignment="1">
      <alignment horizontal="right"/>
    </xf>
    <xf numFmtId="172" fontId="12" fillId="57" borderId="0" xfId="0" applyNumberFormat="1" applyFont="1" applyFill="1"/>
    <xf numFmtId="172" fontId="12" fillId="57" borderId="1" xfId="0" applyNumberFormat="1" applyFont="1" applyFill="1" applyBorder="1"/>
    <xf numFmtId="9" fontId="30" fillId="0" borderId="1" xfId="0" applyNumberFormat="1" applyFont="1" applyBorder="1"/>
    <xf numFmtId="9" fontId="30" fillId="0" borderId="0" xfId="0" applyNumberFormat="1" applyFont="1"/>
    <xf numFmtId="3" fontId="30" fillId="0" borderId="0" xfId="0" applyNumberFormat="1" applyFont="1"/>
    <xf numFmtId="9" fontId="30" fillId="4" borderId="0" xfId="0" applyNumberFormat="1" applyFont="1" applyFill="1"/>
    <xf numFmtId="3" fontId="30" fillId="4" borderId="0" xfId="0" applyNumberFormat="1" applyFont="1" applyFill="1"/>
    <xf numFmtId="1" fontId="6" fillId="0" borderId="0" xfId="1743" applyNumberFormat="1" applyFont="1"/>
    <xf numFmtId="3" fontId="176" fillId="0" borderId="0" xfId="0" applyNumberFormat="1" applyFont="1"/>
    <xf numFmtId="167" fontId="176" fillId="0" borderId="0" xfId="0" applyNumberFormat="1" applyFont="1"/>
    <xf numFmtId="167" fontId="176" fillId="0" borderId="1" xfId="0" applyNumberFormat="1" applyFont="1" applyBorder="1"/>
    <xf numFmtId="167" fontId="176" fillId="4" borderId="0" xfId="0" applyNumberFormat="1" applyFont="1" applyFill="1"/>
    <xf numFmtId="3" fontId="176" fillId="4" borderId="0" xfId="0" applyNumberFormat="1" applyFont="1" applyFill="1"/>
    <xf numFmtId="167" fontId="176" fillId="4" borderId="1" xfId="0" applyNumberFormat="1" applyFont="1" applyFill="1" applyBorder="1"/>
    <xf numFmtId="0" fontId="187" fillId="0" borderId="0" xfId="0" applyFont="1"/>
    <xf numFmtId="0" fontId="7" fillId="0" borderId="10" xfId="0" applyFont="1" applyBorder="1" applyAlignment="1">
      <alignment horizontal="right"/>
    </xf>
    <xf numFmtId="0" fontId="11" fillId="0" borderId="0" xfId="0" applyFont="1"/>
    <xf numFmtId="0" fontId="7" fillId="0" borderId="7" xfId="0" applyFont="1" applyBorder="1"/>
    <xf numFmtId="0" fontId="14" fillId="0" borderId="9" xfId="0" applyFont="1" applyBorder="1" applyAlignment="1">
      <alignment horizontal="right"/>
    </xf>
    <xf numFmtId="0" fontId="14" fillId="52" borderId="7" xfId="0" applyFont="1" applyFill="1" applyBorder="1"/>
    <xf numFmtId="9" fontId="12" fillId="52" borderId="7" xfId="0" applyNumberFormat="1" applyFont="1" applyFill="1" applyBorder="1" applyAlignment="1">
      <alignment horizontal="right"/>
    </xf>
    <xf numFmtId="9" fontId="12" fillId="52" borderId="8" xfId="0" applyNumberFormat="1" applyFont="1" applyFill="1" applyBorder="1" applyAlignment="1">
      <alignment horizontal="right"/>
    </xf>
    <xf numFmtId="9" fontId="12" fillId="0" borderId="7" xfId="0" applyNumberFormat="1" applyFont="1" applyBorder="1" applyAlignment="1">
      <alignment horizontal="right"/>
    </xf>
    <xf numFmtId="9" fontId="12" fillId="0" borderId="8" xfId="0" applyNumberFormat="1" applyFont="1" applyBorder="1" applyAlignment="1">
      <alignment horizontal="right"/>
    </xf>
    <xf numFmtId="0" fontId="185" fillId="0" borderId="7" xfId="0" applyFont="1" applyBorder="1"/>
    <xf numFmtId="9" fontId="13" fillId="0" borderId="0" xfId="0" applyNumberFormat="1" applyFont="1" applyAlignment="1">
      <alignment horizontal="right"/>
    </xf>
    <xf numFmtId="9" fontId="13" fillId="0" borderId="7" xfId="0" applyNumberFormat="1" applyFont="1" applyBorder="1" applyAlignment="1">
      <alignment horizontal="right"/>
    </xf>
    <xf numFmtId="9" fontId="13" fillId="0" borderId="8" xfId="0" applyNumberFormat="1" applyFont="1" applyBorder="1" applyAlignment="1">
      <alignment horizontal="right"/>
    </xf>
    <xf numFmtId="0" fontId="12" fillId="52" borderId="9" xfId="0" applyFont="1" applyFill="1" applyBorder="1"/>
    <xf numFmtId="9" fontId="12" fillId="52" borderId="9" xfId="0" applyNumberFormat="1" applyFont="1" applyFill="1" applyBorder="1"/>
    <xf numFmtId="9" fontId="12" fillId="52" borderId="10" xfId="0" applyNumberFormat="1" applyFont="1" applyFill="1" applyBorder="1"/>
    <xf numFmtId="0" fontId="14" fillId="0" borderId="56" xfId="0" applyFont="1" applyBorder="1" applyAlignment="1">
      <alignment horizontal="right"/>
    </xf>
    <xf numFmtId="0" fontId="12" fillId="0" borderId="57" xfId="0" applyFont="1" applyBorder="1"/>
    <xf numFmtId="0" fontId="12" fillId="52" borderId="44" xfId="0" applyFont="1" applyFill="1" applyBorder="1"/>
    <xf numFmtId="0" fontId="12" fillId="0" borderId="44" xfId="0" applyFont="1" applyBorder="1"/>
    <xf numFmtId="0" fontId="12" fillId="52" borderId="57" xfId="0" applyFont="1" applyFill="1" applyBorder="1"/>
    <xf numFmtId="0" fontId="12" fillId="52" borderId="44" xfId="0" applyFont="1" applyFill="1" applyBorder="1" applyAlignment="1">
      <alignment horizontal="right"/>
    </xf>
    <xf numFmtId="0" fontId="12" fillId="0" borderId="44" xfId="0" applyFont="1" applyBorder="1" applyAlignment="1">
      <alignment horizontal="right"/>
    </xf>
    <xf numFmtId="0" fontId="12" fillId="0" borderId="8" xfId="0" applyFont="1" applyBorder="1" applyAlignment="1">
      <alignment horizontal="right"/>
    </xf>
    <xf numFmtId="0" fontId="12" fillId="52" borderId="10" xfId="0" applyFont="1" applyFill="1" applyBorder="1"/>
    <xf numFmtId="0" fontId="14" fillId="52" borderId="9" xfId="0" applyFont="1" applyFill="1" applyBorder="1"/>
    <xf numFmtId="0" fontId="12" fillId="52" borderId="8" xfId="0" applyFont="1" applyFill="1" applyBorder="1" applyAlignment="1">
      <alignment horizontal="right"/>
    </xf>
    <xf numFmtId="0" fontId="12" fillId="52" borderId="8" xfId="0" applyFont="1" applyFill="1" applyBorder="1"/>
    <xf numFmtId="167" fontId="12" fillId="52" borderId="8" xfId="0" applyNumberFormat="1" applyFont="1" applyFill="1" applyBorder="1"/>
    <xf numFmtId="167" fontId="12" fillId="52" borderId="6" xfId="0" applyNumberFormat="1" applyFont="1" applyFill="1" applyBorder="1"/>
    <xf numFmtId="0" fontId="7" fillId="0" borderId="9" xfId="0" applyFont="1" applyBorder="1"/>
    <xf numFmtId="0" fontId="7" fillId="0" borderId="5" xfId="0" applyFont="1" applyBorder="1"/>
    <xf numFmtId="0" fontId="7" fillId="0" borderId="0" xfId="0" applyFont="1" applyAlignment="1">
      <alignment horizontal="right"/>
    </xf>
    <xf numFmtId="167" fontId="12" fillId="0" borderId="12" xfId="0" applyNumberFormat="1" applyFont="1" applyBorder="1"/>
    <xf numFmtId="167" fontId="12" fillId="52" borderId="12" xfId="0" applyNumberFormat="1" applyFont="1" applyFill="1" applyBorder="1"/>
    <xf numFmtId="0" fontId="7" fillId="0" borderId="8" xfId="0" applyFont="1" applyBorder="1" applyAlignment="1">
      <alignment horizontal="right"/>
    </xf>
    <xf numFmtId="0" fontId="28" fillId="0" borderId="0" xfId="0" applyFont="1"/>
    <xf numFmtId="16" fontId="12" fillId="0" borderId="0" xfId="0" applyNumberFormat="1" applyFont="1"/>
    <xf numFmtId="16" fontId="12" fillId="0" borderId="0" xfId="0" quotePrefix="1" applyNumberFormat="1" applyFont="1"/>
    <xf numFmtId="16" fontId="12" fillId="0" borderId="0" xfId="0" applyNumberFormat="1" applyFont="1" applyAlignment="1">
      <alignment horizontal="right"/>
    </xf>
    <xf numFmtId="185" fontId="176" fillId="0" borderId="0" xfId="0" applyNumberFormat="1" applyFont="1"/>
    <xf numFmtId="185" fontId="176" fillId="0" borderId="1" xfId="0" applyNumberFormat="1" applyFont="1" applyBorder="1"/>
    <xf numFmtId="0" fontId="185" fillId="0" borderId="1" xfId="0" applyFont="1" applyBorder="1"/>
    <xf numFmtId="3" fontId="13" fillId="0" borderId="0" xfId="0" applyNumberFormat="1" applyFont="1"/>
    <xf numFmtId="172" fontId="0" fillId="4" borderId="0" xfId="0" applyNumberFormat="1" applyFill="1"/>
    <xf numFmtId="3" fontId="176" fillId="0" borderId="1" xfId="0" applyNumberFormat="1" applyFont="1" applyBorder="1"/>
    <xf numFmtId="172" fontId="176" fillId="0" borderId="0" xfId="0" applyNumberFormat="1" applyFont="1"/>
    <xf numFmtId="1" fontId="176" fillId="0" borderId="1" xfId="0" applyNumberFormat="1" applyFont="1" applyBorder="1"/>
    <xf numFmtId="0" fontId="255" fillId="0" borderId="0" xfId="0" quotePrefix="1" applyFont="1"/>
    <xf numFmtId="9" fontId="255" fillId="0" borderId="0" xfId="0" applyNumberFormat="1" applyFont="1"/>
    <xf numFmtId="0" fontId="255" fillId="0" borderId="1" xfId="0" quotePrefix="1" applyFont="1" applyBorder="1"/>
    <xf numFmtId="9" fontId="255" fillId="0" borderId="1" xfId="0" applyNumberFormat="1" applyFont="1" applyBorder="1"/>
    <xf numFmtId="0" fontId="176" fillId="0" borderId="0" xfId="0" applyFont="1" applyAlignment="1">
      <alignment horizontal="right"/>
    </xf>
    <xf numFmtId="0" fontId="187" fillId="0" borderId="1" xfId="0" applyFont="1" applyBorder="1"/>
    <xf numFmtId="172" fontId="176" fillId="0" borderId="1" xfId="0" applyNumberFormat="1" applyFont="1" applyBorder="1"/>
    <xf numFmtId="173" fontId="12" fillId="0" borderId="17" xfId="0" applyNumberFormat="1" applyFont="1" applyBorder="1"/>
    <xf numFmtId="173" fontId="12" fillId="0" borderId="63" xfId="0" applyNumberFormat="1" applyFont="1" applyBorder="1"/>
    <xf numFmtId="4" fontId="6" fillId="3" borderId="56" xfId="2" applyNumberFormat="1" applyFont="1" applyFill="1" applyBorder="1"/>
    <xf numFmtId="0" fontId="7" fillId="0" borderId="2" xfId="2" applyFont="1" applyBorder="1" applyAlignment="1">
      <alignment horizontal="right"/>
    </xf>
    <xf numFmtId="0" fontId="6" fillId="0" borderId="2" xfId="2" applyFont="1" applyBorder="1" applyAlignment="1">
      <alignment horizontal="right"/>
    </xf>
    <xf numFmtId="0" fontId="14" fillId="0" borderId="11" xfId="0" applyFont="1" applyBorder="1" applyAlignment="1">
      <alignment horizontal="center"/>
    </xf>
    <xf numFmtId="16" fontId="0" fillId="0" borderId="0" xfId="0" applyNumberFormat="1" applyAlignment="1">
      <alignment horizontal="left"/>
    </xf>
    <xf numFmtId="172" fontId="0" fillId="0" borderId="12" xfId="0" applyNumberFormat="1" applyBorder="1"/>
    <xf numFmtId="341" fontId="0" fillId="0" borderId="0" xfId="0" applyNumberFormat="1"/>
    <xf numFmtId="341" fontId="3" fillId="0" borderId="0" xfId="0" applyNumberFormat="1" applyFont="1"/>
    <xf numFmtId="2" fontId="0" fillId="0" borderId="12" xfId="0" applyNumberFormat="1" applyBorder="1"/>
    <xf numFmtId="2" fontId="169" fillId="0" borderId="0" xfId="6" applyNumberFormat="1" applyFont="1"/>
    <xf numFmtId="2" fontId="12" fillId="0" borderId="1" xfId="0" applyNumberFormat="1" applyFont="1" applyBorder="1"/>
    <xf numFmtId="9" fontId="256" fillId="0" borderId="0" xfId="0" applyNumberFormat="1" applyFont="1"/>
    <xf numFmtId="173" fontId="12" fillId="4" borderId="0" xfId="0" applyNumberFormat="1" applyFont="1" applyFill="1"/>
    <xf numFmtId="0" fontId="14" fillId="0" borderId="22" xfId="0" applyFont="1" applyBorder="1"/>
    <xf numFmtId="0" fontId="14" fillId="0" borderId="2" xfId="0" applyFont="1" applyBorder="1" applyAlignment="1">
      <alignment horizontal="right"/>
    </xf>
    <xf numFmtId="167" fontId="12" fillId="0" borderId="2" xfId="0" applyNumberFormat="1" applyFont="1" applyBorder="1"/>
    <xf numFmtId="0" fontId="4" fillId="0" borderId="0" xfId="0" applyFont="1" applyAlignment="1">
      <alignment horizontal="left"/>
    </xf>
    <xf numFmtId="172" fontId="12" fillId="4" borderId="0" xfId="6" applyNumberFormat="1" applyFont="1" applyFill="1" applyAlignment="1">
      <alignment horizontal="right"/>
    </xf>
    <xf numFmtId="1" fontId="257" fillId="0" borderId="0" xfId="0" applyNumberFormat="1" applyFont="1"/>
    <xf numFmtId="17" fontId="168" fillId="0" borderId="0" xfId="0" applyNumberFormat="1" applyFont="1"/>
    <xf numFmtId="0" fontId="12" fillId="0" borderId="63" xfId="0" applyFont="1" applyBorder="1"/>
    <xf numFmtId="167" fontId="12" fillId="0" borderId="64" xfId="0" applyNumberFormat="1" applyFont="1" applyBorder="1"/>
    <xf numFmtId="1" fontId="12" fillId="0" borderId="63" xfId="0" applyNumberFormat="1" applyFont="1" applyBorder="1"/>
    <xf numFmtId="12" fontId="0" fillId="0" borderId="0" xfId="0" applyNumberFormat="1" applyAlignment="1">
      <alignment horizontal="left"/>
    </xf>
    <xf numFmtId="1" fontId="14" fillId="0" borderId="0" xfId="6" applyNumberFormat="1" applyFont="1"/>
    <xf numFmtId="1" fontId="13" fillId="0" borderId="0" xfId="6" applyNumberFormat="1" applyFont="1"/>
    <xf numFmtId="0" fontId="2" fillId="0" borderId="1" xfId="0" applyFont="1" applyBorder="1" applyAlignment="1">
      <alignment horizontal="left"/>
    </xf>
    <xf numFmtId="0" fontId="14" fillId="52" borderId="1" xfId="0" applyFont="1" applyFill="1" applyBorder="1"/>
    <xf numFmtId="184" fontId="14" fillId="52" borderId="1" xfId="0" applyNumberFormat="1" applyFont="1" applyFill="1" applyBorder="1"/>
    <xf numFmtId="0" fontId="14" fillId="52" borderId="61" xfId="0" applyFont="1" applyFill="1" applyBorder="1"/>
    <xf numFmtId="172" fontId="14" fillId="52" borderId="39" xfId="0" applyNumberFormat="1" applyFont="1" applyFill="1" applyBorder="1"/>
    <xf numFmtId="172" fontId="14" fillId="52" borderId="62" xfId="0" applyNumberFormat="1" applyFont="1" applyFill="1" applyBorder="1"/>
    <xf numFmtId="172" fontId="12" fillId="4" borderId="12" xfId="0" applyNumberFormat="1" applyFont="1" applyFill="1" applyBorder="1"/>
    <xf numFmtId="17" fontId="14" fillId="0" borderId="1" xfId="0" applyNumberFormat="1" applyFont="1" applyBorder="1"/>
    <xf numFmtId="15" fontId="168" fillId="0" borderId="0" xfId="0" applyNumberFormat="1" applyFont="1" applyAlignment="1">
      <alignment horizontal="left"/>
    </xf>
    <xf numFmtId="0" fontId="14" fillId="52" borderId="0" xfId="6" applyFont="1" applyFill="1"/>
    <xf numFmtId="1" fontId="14" fillId="52" borderId="0" xfId="6" applyNumberFormat="1" applyFont="1" applyFill="1"/>
    <xf numFmtId="167" fontId="14" fillId="52" borderId="0" xfId="6" applyNumberFormat="1" applyFont="1" applyFill="1"/>
    <xf numFmtId="0" fontId="28" fillId="52" borderId="0" xfId="6" applyFont="1" applyFill="1"/>
    <xf numFmtId="172" fontId="14" fillId="52" borderId="0" xfId="6" applyNumberFormat="1" applyFont="1" applyFill="1"/>
    <xf numFmtId="0" fontId="12" fillId="52" borderId="0" xfId="6" quotePrefix="1" applyFont="1" applyFill="1"/>
    <xf numFmtId="1" fontId="12" fillId="52" borderId="0" xfId="6" applyNumberFormat="1" applyFont="1" applyFill="1"/>
    <xf numFmtId="9" fontId="12" fillId="52" borderId="0" xfId="6" applyNumberFormat="1" applyFont="1" applyFill="1"/>
    <xf numFmtId="167" fontId="12" fillId="52" borderId="1" xfId="0" applyNumberFormat="1" applyFont="1" applyFill="1" applyBorder="1"/>
    <xf numFmtId="0" fontId="12" fillId="52" borderId="7" xfId="0" applyFont="1" applyFill="1" applyBorder="1"/>
    <xf numFmtId="184" fontId="12" fillId="4" borderId="12" xfId="0" applyNumberFormat="1" applyFont="1" applyFill="1" applyBorder="1"/>
    <xf numFmtId="0" fontId="12" fillId="0" borderId="28" xfId="0" applyFont="1" applyBorder="1"/>
    <xf numFmtId="0" fontId="12" fillId="52" borderId="60" xfId="0" applyFont="1" applyFill="1" applyBorder="1"/>
    <xf numFmtId="0" fontId="259" fillId="88" borderId="21" xfId="2099" applyFont="1" applyFill="1" applyBorder="1"/>
    <xf numFmtId="0" fontId="260" fillId="88" borderId="21" xfId="2099" applyFont="1" applyFill="1" applyBorder="1"/>
    <xf numFmtId="0" fontId="258" fillId="0" borderId="0" xfId="2099"/>
    <xf numFmtId="0" fontId="260" fillId="88" borderId="0" xfId="2099" applyFont="1" applyFill="1"/>
    <xf numFmtId="0" fontId="261" fillId="88" borderId="0" xfId="2099" applyFont="1" applyFill="1"/>
    <xf numFmtId="14" fontId="262" fillId="88" borderId="0" xfId="2099" applyNumberFormat="1" applyFont="1" applyFill="1" applyAlignment="1">
      <alignment horizontal="left"/>
    </xf>
    <xf numFmtId="0" fontId="263" fillId="88" borderId="0" xfId="2099" applyFont="1" applyFill="1"/>
    <xf numFmtId="354" fontId="260" fillId="88" borderId="0" xfId="2099" applyNumberFormat="1" applyFont="1" applyFill="1"/>
    <xf numFmtId="0" fontId="264" fillId="88" borderId="0" xfId="2099" applyFont="1" applyFill="1"/>
    <xf numFmtId="0" fontId="258" fillId="88" borderId="0" xfId="2099" applyFill="1"/>
    <xf numFmtId="0" fontId="265" fillId="88" borderId="0" xfId="2099" applyFont="1" applyFill="1"/>
    <xf numFmtId="0" fontId="263" fillId="88" borderId="0" xfId="2099" quotePrefix="1" applyFont="1" applyFill="1"/>
    <xf numFmtId="0" fontId="262" fillId="88" borderId="0" xfId="2099" applyFont="1" applyFill="1"/>
    <xf numFmtId="0" fontId="266" fillId="88" borderId="0" xfId="2099" applyFont="1" applyFill="1"/>
    <xf numFmtId="265" fontId="260" fillId="88" borderId="0" xfId="2100" applyNumberFormat="1" applyFont="1" applyFill="1"/>
    <xf numFmtId="0" fontId="262" fillId="88" borderId="0" xfId="2099" applyFont="1" applyFill="1" applyAlignment="1">
      <alignment horizontal="right"/>
    </xf>
    <xf numFmtId="37" fontId="262" fillId="88" borderId="0" xfId="2099" applyNumberFormat="1" applyFont="1" applyFill="1"/>
    <xf numFmtId="0" fontId="0" fillId="52" borderId="1" xfId="0" applyFill="1" applyBorder="1"/>
    <xf numFmtId="0" fontId="14" fillId="0" borderId="58" xfId="0" applyFont="1" applyBorder="1" applyAlignment="1">
      <alignment horizontal="right"/>
    </xf>
    <xf numFmtId="0" fontId="12" fillId="52" borderId="66" xfId="0" applyFont="1" applyFill="1" applyBorder="1"/>
    <xf numFmtId="9" fontId="12" fillId="52" borderId="67" xfId="0" applyNumberFormat="1" applyFont="1" applyFill="1" applyBorder="1" applyAlignment="1">
      <alignment horizontal="right"/>
    </xf>
    <xf numFmtId="0" fontId="12" fillId="52" borderId="20" xfId="0" applyFont="1" applyFill="1" applyBorder="1"/>
    <xf numFmtId="172" fontId="12" fillId="52" borderId="21" xfId="0" applyNumberFormat="1" applyFont="1" applyFill="1" applyBorder="1"/>
    <xf numFmtId="3" fontId="12" fillId="52" borderId="28" xfId="0" applyNumberFormat="1" applyFont="1" applyFill="1" applyBorder="1"/>
    <xf numFmtId="3" fontId="12" fillId="0" borderId="28" xfId="0" applyNumberFormat="1" applyFont="1" applyBorder="1"/>
    <xf numFmtId="0" fontId="12" fillId="52" borderId="28" xfId="0" applyFont="1" applyFill="1" applyBorder="1"/>
    <xf numFmtId="184" fontId="12" fillId="0" borderId="28" xfId="0" applyNumberFormat="1" applyFont="1" applyBorder="1"/>
    <xf numFmtId="9" fontId="12" fillId="0" borderId="28" xfId="0" applyNumberFormat="1" applyFont="1" applyBorder="1"/>
    <xf numFmtId="3" fontId="12" fillId="52" borderId="59" xfId="0" applyNumberFormat="1" applyFont="1" applyFill="1" applyBorder="1"/>
    <xf numFmtId="3" fontId="12" fillId="52" borderId="58" xfId="0" applyNumberFormat="1" applyFont="1" applyFill="1" applyBorder="1"/>
    <xf numFmtId="3" fontId="14" fillId="0" borderId="12" xfId="0" applyNumberFormat="1" applyFont="1" applyBorder="1"/>
    <xf numFmtId="1" fontId="14" fillId="0" borderId="12" xfId="0" applyNumberFormat="1" applyFont="1" applyBorder="1"/>
    <xf numFmtId="172" fontId="185" fillId="0" borderId="0" xfId="0" applyNumberFormat="1" applyFont="1"/>
    <xf numFmtId="9" fontId="0" fillId="57" borderId="0" xfId="0" applyNumberFormat="1" applyFill="1"/>
    <xf numFmtId="1" fontId="0" fillId="57" borderId="0" xfId="0" applyNumberFormat="1" applyFill="1"/>
    <xf numFmtId="0" fontId="1" fillId="6" borderId="0" xfId="0" applyFont="1" applyFill="1"/>
    <xf numFmtId="3" fontId="2" fillId="0" borderId="0" xfId="0" applyNumberFormat="1" applyFont="1"/>
    <xf numFmtId="0" fontId="177" fillId="6" borderId="0" xfId="0" applyFont="1" applyFill="1"/>
    <xf numFmtId="172" fontId="257" fillId="0" borderId="0" xfId="6" applyNumberFormat="1" applyFont="1" applyAlignment="1">
      <alignment horizontal="right"/>
    </xf>
    <xf numFmtId="0" fontId="2" fillId="0" borderId="0" xfId="6" quotePrefix="1" applyFont="1"/>
    <xf numFmtId="167" fontId="2" fillId="0" borderId="0" xfId="6" applyNumberFormat="1" applyFont="1"/>
    <xf numFmtId="3" fontId="2" fillId="0" borderId="0" xfId="6" applyNumberFormat="1" applyFont="1"/>
    <xf numFmtId="3" fontId="2" fillId="89" borderId="0" xfId="6" applyNumberFormat="1" applyFont="1" applyFill="1"/>
    <xf numFmtId="184" fontId="14" fillId="52" borderId="62" xfId="0" applyNumberFormat="1" applyFont="1" applyFill="1" applyBorder="1"/>
    <xf numFmtId="315" fontId="12" fillId="52" borderId="0" xfId="0" applyNumberFormat="1" applyFont="1" applyFill="1"/>
    <xf numFmtId="0" fontId="16" fillId="0" borderId="0" xfId="0" applyFont="1"/>
    <xf numFmtId="0" fontId="268" fillId="0" borderId="0" xfId="0" applyFont="1"/>
    <xf numFmtId="9" fontId="169" fillId="0" borderId="0" xfId="2" applyNumberFormat="1" applyFont="1"/>
    <xf numFmtId="172" fontId="6" fillId="0" borderId="0" xfId="6" applyNumberFormat="1" applyFont="1"/>
    <xf numFmtId="184" fontId="12" fillId="4" borderId="61" xfId="0" applyNumberFormat="1" applyFont="1" applyFill="1" applyBorder="1"/>
    <xf numFmtId="184" fontId="12" fillId="4" borderId="62" xfId="0" applyNumberFormat="1" applyFont="1" applyFill="1" applyBorder="1"/>
    <xf numFmtId="173" fontId="14" fillId="52" borderId="62" xfId="0" applyNumberFormat="1" applyFont="1" applyFill="1" applyBorder="1"/>
    <xf numFmtId="9" fontId="6" fillId="52" borderId="84" xfId="0" applyNumberFormat="1" applyFont="1" applyFill="1" applyBorder="1"/>
    <xf numFmtId="9" fontId="7" fillId="0" borderId="0" xfId="0" applyNumberFormat="1" applyFont="1"/>
    <xf numFmtId="3" fontId="6" fillId="0" borderId="1" xfId="0" applyNumberFormat="1" applyFont="1" applyBorder="1"/>
    <xf numFmtId="0" fontId="6" fillId="52" borderId="85" xfId="0" applyFont="1" applyFill="1" applyBorder="1"/>
    <xf numFmtId="9" fontId="6" fillId="52" borderId="86" xfId="0" applyNumberFormat="1" applyFont="1" applyFill="1" applyBorder="1"/>
    <xf numFmtId="3" fontId="178" fillId="0" borderId="1" xfId="0" applyNumberFormat="1" applyFont="1" applyBorder="1" applyAlignment="1">
      <alignment horizontal="right"/>
    </xf>
    <xf numFmtId="3" fontId="178" fillId="0" borderId="87" xfId="0" applyNumberFormat="1" applyFont="1" applyBorder="1" applyAlignment="1">
      <alignment horizontal="right"/>
    </xf>
    <xf numFmtId="3" fontId="176" fillId="0" borderId="28" xfId="0" applyNumberFormat="1" applyFont="1" applyBorder="1"/>
    <xf numFmtId="9" fontId="176" fillId="0" borderId="28" xfId="0" applyNumberFormat="1" applyFont="1" applyBorder="1"/>
    <xf numFmtId="3" fontId="176" fillId="52" borderId="0" xfId="0" applyNumberFormat="1" applyFont="1" applyFill="1"/>
    <xf numFmtId="173" fontId="176" fillId="52" borderId="0" xfId="0" applyNumberFormat="1" applyFont="1" applyFill="1"/>
    <xf numFmtId="173" fontId="176" fillId="52" borderId="28" xfId="0" applyNumberFormat="1" applyFont="1" applyFill="1" applyBorder="1"/>
    <xf numFmtId="3" fontId="176" fillId="52" borderId="28" xfId="0" applyNumberFormat="1" applyFont="1" applyFill="1" applyBorder="1"/>
    <xf numFmtId="9" fontId="176" fillId="52" borderId="28" xfId="0" applyNumberFormat="1" applyFont="1" applyFill="1" applyBorder="1"/>
    <xf numFmtId="167" fontId="176" fillId="0" borderId="59" xfId="0" applyNumberFormat="1" applyFont="1" applyBorder="1"/>
    <xf numFmtId="0" fontId="2" fillId="0" borderId="85" xfId="0" applyFont="1" applyBorder="1"/>
    <xf numFmtId="3" fontId="14" fillId="0" borderId="88" xfId="0" applyNumberFormat="1" applyFont="1" applyBorder="1"/>
    <xf numFmtId="0" fontId="2" fillId="0" borderId="88" xfId="0" applyFont="1" applyBorder="1"/>
    <xf numFmtId="3" fontId="7" fillId="0" borderId="88" xfId="2" applyNumberFormat="1" applyFont="1" applyBorder="1"/>
    <xf numFmtId="9" fontId="14" fillId="0" borderId="88" xfId="0" applyNumberFormat="1" applyFont="1" applyBorder="1"/>
    <xf numFmtId="9" fontId="14" fillId="0" borderId="86" xfId="0" applyNumberFormat="1" applyFont="1" applyBorder="1"/>
    <xf numFmtId="0" fontId="271" fillId="0" borderId="0" xfId="0" applyFont="1"/>
    <xf numFmtId="0" fontId="270" fillId="0" borderId="0" xfId="0" applyFont="1"/>
    <xf numFmtId="0" fontId="270" fillId="0" borderId="1" xfId="0" applyFont="1" applyBorder="1"/>
    <xf numFmtId="0" fontId="272" fillId="0" borderId="1" xfId="0" applyFont="1" applyBorder="1" applyAlignment="1">
      <alignment horizontal="right"/>
    </xf>
    <xf numFmtId="0" fontId="273" fillId="0" borderId="0" xfId="0" applyFont="1"/>
    <xf numFmtId="0" fontId="272" fillId="0" borderId="0" xfId="0" applyFont="1"/>
    <xf numFmtId="1" fontId="273" fillId="0" borderId="1" xfId="0" applyNumberFormat="1" applyFont="1" applyBorder="1"/>
    <xf numFmtId="0" fontId="272" fillId="0" borderId="1" xfId="0" applyFont="1" applyBorder="1"/>
    <xf numFmtId="0" fontId="273" fillId="0" borderId="1" xfId="0" applyFont="1" applyBorder="1"/>
    <xf numFmtId="6" fontId="272" fillId="0" borderId="0" xfId="0" applyNumberFormat="1" applyFont="1" applyAlignment="1">
      <alignment horizontal="right"/>
    </xf>
    <xf numFmtId="172" fontId="273" fillId="0" borderId="0" xfId="0" applyNumberFormat="1" applyFont="1"/>
    <xf numFmtId="0" fontId="273" fillId="0" borderId="0" xfId="0" applyFont="1" applyAlignment="1">
      <alignment horizontal="right"/>
    </xf>
    <xf numFmtId="0" fontId="272" fillId="0" borderId="0" xfId="0" applyFont="1" applyAlignment="1">
      <alignment horizontal="right"/>
    </xf>
    <xf numFmtId="172" fontId="272" fillId="0" borderId="1" xfId="0" applyNumberFormat="1" applyFont="1" applyBorder="1" applyAlignment="1">
      <alignment horizontal="right"/>
    </xf>
    <xf numFmtId="172" fontId="271" fillId="0" borderId="0" xfId="0" applyNumberFormat="1" applyFont="1"/>
    <xf numFmtId="1" fontId="273" fillId="0" borderId="0" xfId="0" applyNumberFormat="1" applyFont="1"/>
    <xf numFmtId="0" fontId="273" fillId="90" borderId="11" xfId="6" applyFont="1" applyFill="1" applyBorder="1"/>
    <xf numFmtId="3" fontId="273" fillId="90" borderId="11" xfId="6" applyNumberFormat="1" applyFont="1" applyFill="1" applyBorder="1"/>
    <xf numFmtId="0" fontId="273" fillId="0" borderId="0" xfId="6" applyFont="1"/>
    <xf numFmtId="3" fontId="273" fillId="0" borderId="0" xfId="6" applyNumberFormat="1" applyFont="1"/>
    <xf numFmtId="0" fontId="273" fillId="90" borderId="0" xfId="6" applyFont="1" applyFill="1"/>
    <xf numFmtId="3" fontId="273" fillId="90" borderId="0" xfId="6" applyNumberFormat="1" applyFont="1" applyFill="1"/>
    <xf numFmtId="0" fontId="272" fillId="0" borderId="11" xfId="6" applyFont="1" applyBorder="1"/>
    <xf numFmtId="3" fontId="272" fillId="0" borderId="11" xfId="6" applyNumberFormat="1" applyFont="1" applyBorder="1"/>
    <xf numFmtId="0" fontId="272" fillId="90" borderId="0" xfId="6" applyFont="1" applyFill="1"/>
    <xf numFmtId="0" fontId="272" fillId="90" borderId="11" xfId="6" applyFont="1" applyFill="1" applyBorder="1"/>
    <xf numFmtId="3" fontId="272" fillId="90" borderId="11" xfId="6" applyNumberFormat="1" applyFont="1" applyFill="1" applyBorder="1"/>
    <xf numFmtId="0" fontId="272" fillId="0" borderId="0" xfId="6" applyFont="1"/>
    <xf numFmtId="0" fontId="272" fillId="0" borderId="0" xfId="6" applyFont="1" applyAlignment="1">
      <alignment horizontal="right"/>
    </xf>
    <xf numFmtId="0" fontId="272" fillId="0" borderId="89" xfId="6" applyFont="1" applyBorder="1"/>
    <xf numFmtId="0" fontId="272" fillId="0" borderId="89" xfId="0" applyFont="1" applyBorder="1" applyAlignment="1">
      <alignment horizontal="right"/>
    </xf>
    <xf numFmtId="0" fontId="274" fillId="0" borderId="0" xfId="0" applyFont="1"/>
    <xf numFmtId="167" fontId="274" fillId="0" borderId="0" xfId="0" applyNumberFormat="1" applyFont="1"/>
    <xf numFmtId="167" fontId="273" fillId="0" borderId="0" xfId="0" applyNumberFormat="1" applyFont="1"/>
    <xf numFmtId="0" fontId="273" fillId="90" borderId="0" xfId="0" applyFont="1" applyFill="1"/>
    <xf numFmtId="167" fontId="273" fillId="90" borderId="0" xfId="0" applyNumberFormat="1" applyFont="1" applyFill="1"/>
    <xf numFmtId="0" fontId="274" fillId="90" borderId="0" xfId="0" applyFont="1" applyFill="1"/>
    <xf numFmtId="167" fontId="274" fillId="90" borderId="0" xfId="0" applyNumberFormat="1" applyFont="1" applyFill="1"/>
    <xf numFmtId="0" fontId="272" fillId="90" borderId="0" xfId="0" applyFont="1" applyFill="1"/>
    <xf numFmtId="167" fontId="272" fillId="90" borderId="0" xfId="0" applyNumberFormat="1" applyFont="1" applyFill="1"/>
    <xf numFmtId="0" fontId="275" fillId="0" borderId="0" xfId="0" applyFont="1"/>
    <xf numFmtId="167" fontId="275" fillId="0" borderId="0" xfId="0" applyNumberFormat="1" applyFont="1"/>
    <xf numFmtId="1" fontId="274" fillId="0" borderId="0" xfId="0" applyNumberFormat="1" applyFont="1"/>
    <xf numFmtId="0" fontId="272" fillId="0" borderId="11" xfId="0" applyFont="1" applyBorder="1"/>
    <xf numFmtId="1" fontId="272" fillId="0" borderId="11" xfId="0" applyNumberFormat="1" applyFont="1" applyBorder="1"/>
    <xf numFmtId="1" fontId="272" fillId="0" borderId="0" xfId="0" applyNumberFormat="1" applyFont="1"/>
    <xf numFmtId="1" fontId="275" fillId="0" borderId="0" xfId="0" applyNumberFormat="1" applyFont="1"/>
    <xf numFmtId="0" fontId="272" fillId="90" borderId="0" xfId="0" applyFont="1" applyFill="1" applyAlignment="1">
      <alignment horizontal="right"/>
    </xf>
    <xf numFmtId="0" fontId="272" fillId="0" borderId="90" xfId="0" applyFont="1" applyBorder="1"/>
    <xf numFmtId="167" fontId="272" fillId="0" borderId="90" xfId="0" applyNumberFormat="1" applyFont="1" applyBorder="1"/>
    <xf numFmtId="0" fontId="12" fillId="4" borderId="22" xfId="0" applyFont="1" applyFill="1" applyBorder="1"/>
    <xf numFmtId="0" fontId="12" fillId="4" borderId="2" xfId="0" applyFont="1" applyFill="1" applyBorder="1"/>
    <xf numFmtId="0" fontId="12" fillId="4" borderId="23" xfId="0" applyFont="1" applyFill="1" applyBorder="1"/>
    <xf numFmtId="167" fontId="0" fillId="0" borderId="0" xfId="0" applyNumberFormat="1" applyAlignment="1">
      <alignment horizontal="left"/>
    </xf>
    <xf numFmtId="0" fontId="0" fillId="61" borderId="0" xfId="0" applyFill="1"/>
    <xf numFmtId="167" fontId="272" fillId="61" borderId="0" xfId="0" applyNumberFormat="1" applyFont="1" applyFill="1"/>
    <xf numFmtId="1" fontId="0" fillId="61" borderId="0" xfId="0" applyNumberFormat="1" applyFill="1"/>
    <xf numFmtId="167" fontId="272" fillId="0" borderId="0" xfId="0" applyNumberFormat="1" applyFont="1"/>
    <xf numFmtId="218" fontId="6" fillId="0" borderId="0" xfId="2" applyNumberFormat="1" applyFont="1"/>
    <xf numFmtId="9" fontId="11" fillId="0" borderId="0" xfId="2" applyNumberFormat="1" applyFont="1"/>
    <xf numFmtId="173" fontId="0" fillId="0" borderId="1" xfId="0" applyNumberFormat="1" applyBorder="1"/>
    <xf numFmtId="173" fontId="2" fillId="0" borderId="0" xfId="0" applyNumberFormat="1" applyFont="1"/>
    <xf numFmtId="167" fontId="7" fillId="0" borderId="0" xfId="2" applyNumberFormat="1" applyFont="1"/>
    <xf numFmtId="185" fontId="0" fillId="0" borderId="0" xfId="0" applyNumberFormat="1"/>
    <xf numFmtId="0" fontId="0" fillId="5" borderId="0" xfId="0" applyFill="1"/>
    <xf numFmtId="0" fontId="170" fillId="5" borderId="0" xfId="0" applyFont="1" applyFill="1"/>
    <xf numFmtId="17" fontId="4" fillId="0" borderId="0" xfId="0" applyNumberFormat="1" applyFont="1"/>
    <xf numFmtId="10" fontId="0" fillId="0" borderId="1" xfId="0" applyNumberFormat="1" applyBorder="1"/>
    <xf numFmtId="3" fontId="273" fillId="0" borderId="0" xfId="0" applyNumberFormat="1" applyFont="1"/>
    <xf numFmtId="3" fontId="273" fillId="0" borderId="1" xfId="0" applyNumberFormat="1" applyFont="1" applyBorder="1"/>
    <xf numFmtId="184" fontId="273" fillId="0" borderId="0" xfId="0" applyNumberFormat="1" applyFont="1"/>
    <xf numFmtId="184" fontId="272" fillId="0" borderId="0" xfId="0" applyNumberFormat="1" applyFont="1"/>
    <xf numFmtId="0" fontId="277" fillId="0" borderId="0" xfId="0" applyFont="1"/>
    <xf numFmtId="9" fontId="273" fillId="4" borderId="0" xfId="0" applyNumberFormat="1" applyFont="1" applyFill="1"/>
    <xf numFmtId="184" fontId="272" fillId="0" borderId="1" xfId="0" applyNumberFormat="1" applyFont="1" applyBorder="1"/>
    <xf numFmtId="9" fontId="273" fillId="0" borderId="0" xfId="0" applyNumberFormat="1" applyFont="1"/>
    <xf numFmtId="167" fontId="273" fillId="4" borderId="0" xfId="0" applyNumberFormat="1" applyFont="1" applyFill="1"/>
    <xf numFmtId="3" fontId="273" fillId="4" borderId="0" xfId="0" applyNumberFormat="1" applyFont="1" applyFill="1"/>
    <xf numFmtId="172" fontId="273" fillId="4" borderId="0" xfId="0" applyNumberFormat="1" applyFont="1" applyFill="1"/>
    <xf numFmtId="172" fontId="276" fillId="0" borderId="0" xfId="0" applyNumberFormat="1" applyFont="1"/>
    <xf numFmtId="315" fontId="273" fillId="0" borderId="0" xfId="0" applyNumberFormat="1" applyFont="1"/>
    <xf numFmtId="172" fontId="273" fillId="0" borderId="1" xfId="0" applyNumberFormat="1" applyFont="1" applyBorder="1"/>
    <xf numFmtId="172" fontId="273" fillId="4" borderId="1" xfId="0" applyNumberFormat="1" applyFont="1" applyFill="1" applyBorder="1"/>
    <xf numFmtId="173" fontId="273" fillId="0" borderId="0" xfId="0" applyNumberFormat="1" applyFont="1"/>
    <xf numFmtId="0" fontId="273" fillId="0" borderId="2" xfId="0" applyFont="1" applyBorder="1"/>
    <xf numFmtId="172" fontId="273" fillId="0" borderId="2" xfId="0" applyNumberFormat="1" applyFont="1" applyBorder="1"/>
    <xf numFmtId="172" fontId="273" fillId="4" borderId="2" xfId="0" applyNumberFormat="1" applyFont="1" applyFill="1" applyBorder="1"/>
    <xf numFmtId="167" fontId="276" fillId="0" borderId="0" xfId="0" applyNumberFormat="1" applyFont="1"/>
    <xf numFmtId="1" fontId="273" fillId="4" borderId="0" xfId="0" applyNumberFormat="1" applyFont="1" applyFill="1"/>
    <xf numFmtId="9" fontId="276" fillId="0" borderId="0" xfId="0" applyNumberFormat="1" applyFont="1"/>
    <xf numFmtId="1" fontId="276" fillId="0" borderId="0" xfId="0" applyNumberFormat="1" applyFont="1"/>
    <xf numFmtId="0" fontId="278" fillId="0" borderId="0" xfId="0" applyFont="1"/>
    <xf numFmtId="3" fontId="276" fillId="0" borderId="0" xfId="0" applyNumberFormat="1" applyFont="1"/>
    <xf numFmtId="9" fontId="279" fillId="0" borderId="0" xfId="0" applyNumberFormat="1" applyFont="1"/>
    <xf numFmtId="0" fontId="273" fillId="0" borderId="1" xfId="0" applyFont="1" applyBorder="1" applyAlignment="1">
      <alignment horizontal="right"/>
    </xf>
    <xf numFmtId="1" fontId="273" fillId="0" borderId="1" xfId="0" applyNumberFormat="1" applyFont="1" applyBorder="1" applyAlignment="1">
      <alignment horizontal="right"/>
    </xf>
    <xf numFmtId="4" fontId="0" fillId="0" borderId="0" xfId="0" applyNumberFormat="1"/>
    <xf numFmtId="17" fontId="272" fillId="0" borderId="0" xfId="0" applyNumberFormat="1" applyFont="1"/>
    <xf numFmtId="1" fontId="273" fillId="0" borderId="0" xfId="0" applyNumberFormat="1" applyFont="1" applyAlignment="1">
      <alignment horizontal="right"/>
    </xf>
    <xf numFmtId="0" fontId="271" fillId="61" borderId="0" xfId="0" applyFont="1" applyFill="1"/>
    <xf numFmtId="3" fontId="271" fillId="61" borderId="0" xfId="0" applyNumberFormat="1" applyFont="1" applyFill="1"/>
    <xf numFmtId="167" fontId="271" fillId="61" borderId="0" xfId="0" applyNumberFormat="1" applyFont="1" applyFill="1"/>
    <xf numFmtId="9" fontId="271" fillId="0" borderId="0" xfId="0" applyNumberFormat="1" applyFont="1"/>
    <xf numFmtId="3" fontId="271" fillId="0" borderId="0" xfId="0" applyNumberFormat="1" applyFont="1"/>
    <xf numFmtId="167" fontId="271" fillId="0" borderId="0" xfId="0" applyNumberFormat="1" applyFont="1"/>
    <xf numFmtId="0" fontId="271" fillId="0" borderId="1" xfId="0" applyFont="1" applyBorder="1"/>
    <xf numFmtId="3" fontId="271" fillId="0" borderId="1" xfId="0" applyNumberFormat="1" applyFont="1" applyBorder="1"/>
    <xf numFmtId="3" fontId="280" fillId="0" borderId="1" xfId="0" applyNumberFormat="1" applyFont="1" applyBorder="1"/>
    <xf numFmtId="9" fontId="271" fillId="61" borderId="0" xfId="0" applyNumberFormat="1" applyFont="1" applyFill="1"/>
    <xf numFmtId="3" fontId="270" fillId="0" borderId="0" xfId="0" applyNumberFormat="1" applyFont="1"/>
    <xf numFmtId="0" fontId="271" fillId="61" borderId="1" xfId="0" applyFont="1" applyFill="1" applyBorder="1"/>
    <xf numFmtId="0" fontId="0" fillId="61" borderId="1" xfId="0" applyFill="1" applyBorder="1"/>
    <xf numFmtId="0" fontId="270" fillId="0" borderId="87" xfId="0" applyFont="1" applyBorder="1" applyAlignment="1">
      <alignment horizontal="right"/>
    </xf>
    <xf numFmtId="167" fontId="271" fillId="61" borderId="28" xfId="0" applyNumberFormat="1" applyFont="1" applyFill="1" applyBorder="1"/>
    <xf numFmtId="167" fontId="271" fillId="0" borderId="59" xfId="0" applyNumberFormat="1" applyFont="1" applyBorder="1"/>
    <xf numFmtId="0" fontId="270" fillId="61" borderId="0" xfId="0" applyFont="1" applyFill="1"/>
    <xf numFmtId="3" fontId="270" fillId="61" borderId="0" xfId="0" applyNumberFormat="1" applyFont="1" applyFill="1"/>
    <xf numFmtId="3" fontId="270" fillId="61" borderId="11" xfId="0" applyNumberFormat="1" applyFont="1" applyFill="1" applyBorder="1"/>
    <xf numFmtId="167" fontId="270" fillId="61" borderId="91" xfId="0" applyNumberFormat="1" applyFont="1" applyFill="1" applyBorder="1"/>
    <xf numFmtId="0" fontId="271" fillId="0" borderId="28" xfId="0" applyFont="1" applyBorder="1"/>
    <xf numFmtId="0" fontId="271" fillId="61" borderId="59" xfId="0" applyFont="1" applyFill="1" applyBorder="1"/>
    <xf numFmtId="167" fontId="271" fillId="0" borderId="28" xfId="0" applyNumberFormat="1" applyFont="1" applyBorder="1"/>
    <xf numFmtId="0" fontId="271" fillId="61" borderId="28" xfId="0" applyFont="1" applyFill="1" applyBorder="1"/>
    <xf numFmtId="0" fontId="271" fillId="0" borderId="59" xfId="0" applyFont="1" applyBorder="1"/>
    <xf numFmtId="3" fontId="271" fillId="61" borderId="1" xfId="0" applyNumberFormat="1" applyFont="1" applyFill="1" applyBorder="1"/>
    <xf numFmtId="167" fontId="271" fillId="61" borderId="59" xfId="0" applyNumberFormat="1" applyFont="1" applyFill="1" applyBorder="1"/>
    <xf numFmtId="167" fontId="270" fillId="0" borderId="28" xfId="0" applyNumberFormat="1" applyFont="1" applyBorder="1"/>
    <xf numFmtId="9" fontId="280" fillId="61" borderId="0" xfId="0" applyNumberFormat="1" applyFont="1" applyFill="1"/>
    <xf numFmtId="9" fontId="271" fillId="0" borderId="1" xfId="0" applyNumberFormat="1" applyFont="1" applyBorder="1"/>
    <xf numFmtId="9" fontId="280" fillId="0" borderId="1" xfId="0" applyNumberFormat="1" applyFont="1" applyBorder="1"/>
    <xf numFmtId="3" fontId="280" fillId="61" borderId="1" xfId="0" applyNumberFormat="1" applyFont="1" applyFill="1" applyBorder="1"/>
    <xf numFmtId="167" fontId="270" fillId="61" borderId="60" xfId="0" applyNumberFormat="1" applyFont="1" applyFill="1" applyBorder="1"/>
    <xf numFmtId="184" fontId="270" fillId="61" borderId="0" xfId="0" applyNumberFormat="1" applyFont="1" applyFill="1"/>
    <xf numFmtId="0" fontId="281" fillId="0" borderId="0" xfId="0" applyFont="1"/>
    <xf numFmtId="184" fontId="271" fillId="61" borderId="0" xfId="0" applyNumberFormat="1" applyFont="1" applyFill="1"/>
    <xf numFmtId="0" fontId="12" fillId="0" borderId="60" xfId="0" applyFont="1" applyBorder="1"/>
    <xf numFmtId="0" fontId="12" fillId="4" borderId="83" xfId="0" applyFont="1" applyFill="1" applyBorder="1"/>
    <xf numFmtId="0" fontId="12" fillId="4" borderId="28" xfId="0" applyFont="1" applyFill="1" applyBorder="1"/>
    <xf numFmtId="1" fontId="271" fillId="0" borderId="0" xfId="0" applyNumberFormat="1" applyFont="1"/>
    <xf numFmtId="0" fontId="270" fillId="0" borderId="1" xfId="0" applyFont="1" applyBorder="1" applyAlignment="1">
      <alignment horizontal="right"/>
    </xf>
    <xf numFmtId="1" fontId="271" fillId="0" borderId="1" xfId="0" applyNumberFormat="1" applyFont="1" applyBorder="1"/>
    <xf numFmtId="0" fontId="271" fillId="0" borderId="0" xfId="0" quotePrefix="1" applyFont="1"/>
    <xf numFmtId="1" fontId="271" fillId="61" borderId="0" xfId="0" applyNumberFormat="1" applyFont="1" applyFill="1"/>
    <xf numFmtId="0" fontId="281" fillId="61" borderId="0" xfId="0" applyFont="1" applyFill="1"/>
    <xf numFmtId="1" fontId="270" fillId="61" borderId="0" xfId="0" applyNumberFormat="1" applyFont="1" applyFill="1"/>
    <xf numFmtId="0" fontId="270" fillId="61" borderId="16" xfId="0" applyFont="1" applyFill="1" applyBorder="1"/>
    <xf numFmtId="1" fontId="270" fillId="61" borderId="17" xfId="0" applyNumberFormat="1" applyFont="1" applyFill="1" applyBorder="1"/>
    <xf numFmtId="0" fontId="270" fillId="61" borderId="63" xfId="0" applyFont="1" applyFill="1" applyBorder="1"/>
    <xf numFmtId="0" fontId="270" fillId="0" borderId="20" xfId="0" applyFont="1" applyBorder="1"/>
    <xf numFmtId="1" fontId="270" fillId="0" borderId="21" xfId="0" applyNumberFormat="1" applyFont="1" applyBorder="1"/>
    <xf numFmtId="0" fontId="270" fillId="0" borderId="64" xfId="0" applyFont="1" applyBorder="1"/>
    <xf numFmtId="3" fontId="271" fillId="4" borderId="0" xfId="0" applyNumberFormat="1" applyFont="1" applyFill="1"/>
    <xf numFmtId="0" fontId="271" fillId="0" borderId="0" xfId="0" applyFont="1" applyAlignment="1">
      <alignment vertical="center"/>
    </xf>
    <xf numFmtId="0" fontId="271" fillId="0" borderId="0" xfId="0" applyFont="1" applyAlignment="1">
      <alignment horizontal="left" vertical="center" indent="1"/>
    </xf>
    <xf numFmtId="0" fontId="271" fillId="0" borderId="0" xfId="0" applyFont="1" applyAlignment="1">
      <alignment horizontal="left" vertical="center" indent="2"/>
    </xf>
    <xf numFmtId="0" fontId="271" fillId="4" borderId="0" xfId="0" applyFont="1" applyFill="1"/>
    <xf numFmtId="0" fontId="271" fillId="0" borderId="1" xfId="0" applyFont="1" applyBorder="1" applyAlignment="1">
      <alignment horizontal="right"/>
    </xf>
    <xf numFmtId="315" fontId="271" fillId="0" borderId="0" xfId="0" applyNumberFormat="1" applyFont="1"/>
    <xf numFmtId="0" fontId="270" fillId="61" borderId="85" xfId="0" applyFont="1" applyFill="1" applyBorder="1"/>
    <xf numFmtId="0" fontId="270" fillId="61" borderId="88" xfId="0" applyFont="1" applyFill="1" applyBorder="1"/>
    <xf numFmtId="1" fontId="270" fillId="61" borderId="88" xfId="0" applyNumberFormat="1" applyFont="1" applyFill="1" applyBorder="1"/>
    <xf numFmtId="0" fontId="270" fillId="61" borderId="86" xfId="0" applyFont="1" applyFill="1" applyBorder="1"/>
    <xf numFmtId="0" fontId="271" fillId="0" borderId="67" xfId="0" quotePrefix="1" applyFont="1" applyBorder="1"/>
    <xf numFmtId="0" fontId="271" fillId="0" borderId="67" xfId="0" applyFont="1" applyBorder="1"/>
    <xf numFmtId="3" fontId="271" fillId="0" borderId="67" xfId="0" applyNumberFormat="1" applyFont="1" applyBorder="1"/>
    <xf numFmtId="9" fontId="7" fillId="0" borderId="61" xfId="2" applyNumberFormat="1" applyFont="1" applyBorder="1"/>
    <xf numFmtId="9" fontId="7" fillId="0" borderId="39" xfId="2" applyNumberFormat="1" applyFont="1" applyBorder="1"/>
    <xf numFmtId="173" fontId="7" fillId="0" borderId="39" xfId="2" applyNumberFormat="1" applyFont="1" applyBorder="1"/>
    <xf numFmtId="173" fontId="7" fillId="0" borderId="62" xfId="2" applyNumberFormat="1" applyFont="1" applyBorder="1"/>
    <xf numFmtId="0" fontId="273" fillId="0" borderId="0" xfId="0" quotePrefix="1" applyFont="1"/>
    <xf numFmtId="0" fontId="2" fillId="61" borderId="1" xfId="0" applyFont="1" applyFill="1" applyBorder="1"/>
    <xf numFmtId="167" fontId="2" fillId="61" borderId="1" xfId="0" applyNumberFormat="1" applyFont="1" applyFill="1" applyBorder="1"/>
    <xf numFmtId="0" fontId="282" fillId="0" borderId="0" xfId="0" applyFont="1" applyAlignment="1">
      <alignment vertical="center"/>
    </xf>
    <xf numFmtId="9" fontId="271" fillId="0" borderId="0" xfId="0" applyNumberFormat="1" applyFont="1" applyAlignment="1">
      <alignment horizontal="left"/>
    </xf>
    <xf numFmtId="0" fontId="271" fillId="0" borderId="0" xfId="0" applyFont="1" applyAlignment="1">
      <alignment horizontal="left"/>
    </xf>
    <xf numFmtId="167" fontId="12" fillId="0" borderId="1" xfId="1741" applyNumberFormat="1" applyFont="1" applyBorder="1"/>
    <xf numFmtId="167" fontId="12" fillId="0" borderId="0" xfId="1741" applyNumberFormat="1" applyFont="1" applyBorder="1"/>
    <xf numFmtId="167" fontId="170" fillId="0" borderId="0" xfId="0" applyNumberFormat="1" applyFont="1"/>
    <xf numFmtId="3" fontId="0" fillId="4" borderId="0" xfId="0" applyNumberFormat="1" applyFill="1"/>
    <xf numFmtId="3" fontId="7" fillId="61" borderId="0" xfId="0" applyNumberFormat="1" applyFont="1" applyFill="1"/>
    <xf numFmtId="1" fontId="14" fillId="0" borderId="2" xfId="0" applyNumberFormat="1" applyFont="1" applyBorder="1"/>
    <xf numFmtId="1" fontId="14" fillId="4" borderId="2" xfId="0" applyNumberFormat="1" applyFont="1" applyFill="1" applyBorder="1"/>
    <xf numFmtId="1" fontId="14" fillId="57" borderId="2" xfId="0" applyNumberFormat="1" applyFont="1" applyFill="1" applyBorder="1"/>
    <xf numFmtId="17" fontId="2" fillId="0" borderId="0" xfId="0" applyNumberFormat="1" applyFont="1" applyAlignment="1">
      <alignment horizontal="left"/>
    </xf>
    <xf numFmtId="0" fontId="0" fillId="61" borderId="83" xfId="0" applyFill="1" applyBorder="1"/>
    <xf numFmtId="0" fontId="0" fillId="0" borderId="28" xfId="0" applyBorder="1"/>
    <xf numFmtId="0" fontId="0" fillId="61" borderId="28" xfId="0" applyFill="1" applyBorder="1"/>
    <xf numFmtId="0" fontId="0" fillId="0" borderId="60" xfId="0" applyBorder="1"/>
    <xf numFmtId="0" fontId="0" fillId="61" borderId="60" xfId="0" applyFill="1" applyBorder="1"/>
    <xf numFmtId="1" fontId="7" fillId="0" borderId="2" xfId="2" applyNumberFormat="1" applyFont="1" applyBorder="1"/>
    <xf numFmtId="17" fontId="281" fillId="0" borderId="0" xfId="0" applyNumberFormat="1" applyFont="1" applyAlignment="1">
      <alignment horizontal="left"/>
    </xf>
    <xf numFmtId="17" fontId="271" fillId="0" borderId="1" xfId="0" applyNumberFormat="1" applyFont="1" applyBorder="1"/>
    <xf numFmtId="0" fontId="283" fillId="0" borderId="0" xfId="0" applyFont="1" applyAlignment="1">
      <alignment horizontal="left" vertical="center" wrapText="1" indent="1"/>
    </xf>
    <xf numFmtId="0" fontId="168" fillId="0" borderId="0" xfId="0" quotePrefix="1" applyFont="1" applyAlignment="1">
      <alignment horizontal="right"/>
    </xf>
    <xf numFmtId="0" fontId="273" fillId="61" borderId="0" xfId="6" applyFont="1" applyFill="1"/>
    <xf numFmtId="3" fontId="273" fillId="61" borderId="0" xfId="6" applyNumberFormat="1" applyFont="1" applyFill="1"/>
    <xf numFmtId="0" fontId="272" fillId="0" borderId="1" xfId="6" applyFont="1" applyBorder="1" applyAlignment="1">
      <alignment horizontal="right"/>
    </xf>
    <xf numFmtId="167" fontId="274" fillId="61" borderId="0" xfId="0" applyNumberFormat="1" applyFont="1" applyFill="1"/>
    <xf numFmtId="9" fontId="273" fillId="90" borderId="0" xfId="0" applyNumberFormat="1" applyFont="1" applyFill="1"/>
    <xf numFmtId="0" fontId="273" fillId="90" borderId="0" xfId="0" quotePrefix="1" applyFont="1" applyFill="1"/>
    <xf numFmtId="0" fontId="273" fillId="61" borderId="0" xfId="0" applyFont="1" applyFill="1"/>
    <xf numFmtId="0" fontId="273" fillId="61" borderId="1" xfId="0" applyFont="1" applyFill="1" applyBorder="1"/>
    <xf numFmtId="167" fontId="274" fillId="61" borderId="1" xfId="0" applyNumberFormat="1" applyFont="1" applyFill="1" applyBorder="1"/>
    <xf numFmtId="167" fontId="273" fillId="61" borderId="0" xfId="0" applyNumberFormat="1" applyFont="1" applyFill="1"/>
    <xf numFmtId="0" fontId="272" fillId="90" borderId="11" xfId="0" applyFont="1" applyFill="1" applyBorder="1"/>
    <xf numFmtId="167" fontId="272" fillId="90" borderId="11" xfId="0" applyNumberFormat="1" applyFont="1" applyFill="1" applyBorder="1"/>
    <xf numFmtId="0" fontId="272" fillId="90" borderId="1" xfId="0" applyFont="1" applyFill="1" applyBorder="1" applyAlignment="1">
      <alignment horizontal="right"/>
    </xf>
    <xf numFmtId="167" fontId="0" fillId="61" borderId="0" xfId="0" applyNumberFormat="1" applyFill="1"/>
    <xf numFmtId="167" fontId="273" fillId="61" borderId="1" xfId="0" applyNumberFormat="1" applyFont="1" applyFill="1" applyBorder="1"/>
    <xf numFmtId="167" fontId="272" fillId="0" borderId="11" xfId="0" applyNumberFormat="1" applyFont="1" applyBorder="1"/>
    <xf numFmtId="0" fontId="272" fillId="90" borderId="1" xfId="0" applyFont="1" applyFill="1" applyBorder="1"/>
    <xf numFmtId="172" fontId="271" fillId="0" borderId="1" xfId="0" applyNumberFormat="1" applyFont="1" applyBorder="1"/>
    <xf numFmtId="172" fontId="12" fillId="0" borderId="84" xfId="6" applyNumberFormat="1" applyFont="1" applyBorder="1"/>
    <xf numFmtId="184" fontId="270" fillId="0" borderId="0" xfId="0" applyNumberFormat="1" applyFont="1"/>
    <xf numFmtId="184" fontId="271" fillId="0" borderId="0" xfId="0" applyNumberFormat="1" applyFont="1"/>
    <xf numFmtId="3" fontId="270" fillId="0" borderId="1" xfId="0" applyNumberFormat="1" applyFont="1" applyBorder="1"/>
    <xf numFmtId="184" fontId="270" fillId="0" borderId="1" xfId="0" applyNumberFormat="1" applyFont="1" applyBorder="1"/>
    <xf numFmtId="184" fontId="270" fillId="61" borderId="0" xfId="0" applyNumberFormat="1" applyFont="1" applyFill="1" applyAlignment="1">
      <alignment horizontal="right"/>
    </xf>
    <xf numFmtId="172" fontId="3" fillId="0" borderId="0" xfId="0" applyNumberFormat="1" applyFont="1"/>
    <xf numFmtId="172" fontId="2" fillId="0" borderId="0" xfId="0" applyNumberFormat="1" applyFont="1"/>
    <xf numFmtId="0" fontId="177" fillId="91" borderId="1" xfId="0" applyFont="1" applyFill="1" applyBorder="1"/>
    <xf numFmtId="0" fontId="285" fillId="91" borderId="1" xfId="0" applyFont="1" applyFill="1" applyBorder="1"/>
    <xf numFmtId="184" fontId="0" fillId="0" borderId="0" xfId="0" applyNumberFormat="1"/>
    <xf numFmtId="0" fontId="2" fillId="0" borderId="11" xfId="0" applyFont="1" applyBorder="1"/>
    <xf numFmtId="3" fontId="286" fillId="0" borderId="0" xfId="0" applyNumberFormat="1" applyFont="1"/>
    <xf numFmtId="3" fontId="2" fillId="0" borderId="11" xfId="0" applyNumberFormat="1" applyFont="1" applyBorder="1"/>
    <xf numFmtId="0" fontId="0" fillId="0" borderId="11" xfId="0" applyBorder="1"/>
    <xf numFmtId="3" fontId="287" fillId="0" borderId="11" xfId="0" applyNumberFormat="1" applyFont="1" applyBorder="1"/>
    <xf numFmtId="0" fontId="2" fillId="0" borderId="2" xfId="0" applyFont="1" applyBorder="1"/>
    <xf numFmtId="9" fontId="0" fillId="0" borderId="0" xfId="1741" applyFont="1"/>
    <xf numFmtId="9" fontId="0" fillId="4" borderId="0" xfId="1741" applyFont="1" applyFill="1"/>
    <xf numFmtId="9" fontId="171" fillId="4" borderId="0" xfId="0" applyNumberFormat="1" applyFont="1" applyFill="1"/>
    <xf numFmtId="9" fontId="171" fillId="4" borderId="1" xfId="0" applyNumberFormat="1" applyFont="1" applyFill="1" applyBorder="1"/>
    <xf numFmtId="167" fontId="171" fillId="4" borderId="0" xfId="0" applyNumberFormat="1" applyFont="1" applyFill="1"/>
    <xf numFmtId="9" fontId="0" fillId="0" borderId="0" xfId="1741" applyFont="1" applyFill="1"/>
    <xf numFmtId="167" fontId="0" fillId="4" borderId="0" xfId="1741" applyNumberFormat="1" applyFont="1" applyFill="1"/>
    <xf numFmtId="3" fontId="287" fillId="0" borderId="0" xfId="0" applyNumberFormat="1" applyFont="1"/>
    <xf numFmtId="9" fontId="6" fillId="4" borderId="0" xfId="5" applyNumberFormat="1" applyFont="1" applyFill="1"/>
    <xf numFmtId="0" fontId="6" fillId="4" borderId="0" xfId="5" applyFont="1" applyFill="1"/>
    <xf numFmtId="167" fontId="7" fillId="0" borderId="0" xfId="5" applyNumberFormat="1" applyFont="1"/>
    <xf numFmtId="3" fontId="12" fillId="0" borderId="1" xfId="0" applyNumberFormat="1" applyFont="1" applyBorder="1" applyAlignment="1">
      <alignment horizontal="right"/>
    </xf>
    <xf numFmtId="3" fontId="170" fillId="0" borderId="1" xfId="0" applyNumberFormat="1" applyFont="1" applyBorder="1"/>
    <xf numFmtId="3" fontId="288" fillId="0" borderId="0" xfId="0" applyNumberFormat="1" applyFont="1"/>
    <xf numFmtId="9" fontId="2" fillId="0" borderId="0" xfId="1741" applyFont="1"/>
    <xf numFmtId="0" fontId="270" fillId="9" borderId="11" xfId="0" applyFont="1" applyFill="1" applyBorder="1"/>
    <xf numFmtId="0" fontId="271" fillId="9" borderId="11" xfId="0" applyFont="1" applyFill="1" applyBorder="1"/>
    <xf numFmtId="0" fontId="270" fillId="9" borderId="21" xfId="0" applyFont="1" applyFill="1" applyBorder="1"/>
    <xf numFmtId="0" fontId="270" fillId="9" borderId="21" xfId="0" applyFont="1" applyFill="1" applyBorder="1" applyAlignment="1">
      <alignment horizontal="right"/>
    </xf>
    <xf numFmtId="3" fontId="271" fillId="61" borderId="0" xfId="0" applyNumberFormat="1" applyFont="1" applyFill="1" applyAlignment="1">
      <alignment horizontal="right"/>
    </xf>
    <xf numFmtId="0" fontId="271" fillId="9" borderId="0" xfId="0" applyFont="1" applyFill="1"/>
    <xf numFmtId="167" fontId="271" fillId="9" borderId="0" xfId="1741" applyNumberFormat="1" applyFont="1" applyFill="1" applyAlignment="1">
      <alignment horizontal="right"/>
    </xf>
    <xf numFmtId="3" fontId="271" fillId="9" borderId="0" xfId="0" applyNumberFormat="1" applyFont="1" applyFill="1" applyAlignment="1">
      <alignment horizontal="right"/>
    </xf>
    <xf numFmtId="167" fontId="271" fillId="61" borderId="0" xfId="1741" applyNumberFormat="1" applyFont="1" applyFill="1" applyAlignment="1">
      <alignment horizontal="right"/>
    </xf>
    <xf numFmtId="3" fontId="271" fillId="9" borderId="11" xfId="0" applyNumberFormat="1" applyFont="1" applyFill="1" applyBorder="1" applyAlignment="1">
      <alignment horizontal="right"/>
    </xf>
    <xf numFmtId="0" fontId="270" fillId="9" borderId="0" xfId="0" applyFont="1" applyFill="1"/>
    <xf numFmtId="3" fontId="270" fillId="9" borderId="11" xfId="0" applyNumberFormat="1" applyFont="1" applyFill="1" applyBorder="1" applyAlignment="1">
      <alignment horizontal="right"/>
    </xf>
    <xf numFmtId="3" fontId="270" fillId="61" borderId="0" xfId="0" applyNumberFormat="1" applyFont="1" applyFill="1" applyAlignment="1">
      <alignment horizontal="right"/>
    </xf>
    <xf numFmtId="0" fontId="271" fillId="61" borderId="0" xfId="0" applyFont="1" applyFill="1" applyAlignment="1">
      <alignment horizontal="right"/>
    </xf>
    <xf numFmtId="0" fontId="271" fillId="9" borderId="0" xfId="0" applyFont="1" applyFill="1" applyAlignment="1">
      <alignment horizontal="right"/>
    </xf>
    <xf numFmtId="172" fontId="270" fillId="9" borderId="0" xfId="0" applyNumberFormat="1" applyFont="1" applyFill="1" applyAlignment="1">
      <alignment horizontal="right"/>
    </xf>
    <xf numFmtId="3" fontId="270" fillId="61" borderId="11" xfId="0" applyNumberFormat="1" applyFont="1" applyFill="1" applyBorder="1" applyAlignment="1">
      <alignment horizontal="right"/>
    </xf>
    <xf numFmtId="9" fontId="271" fillId="61" borderId="0" xfId="0" applyNumberFormat="1" applyFont="1" applyFill="1" applyAlignment="1">
      <alignment horizontal="right"/>
    </xf>
    <xf numFmtId="0" fontId="270" fillId="9" borderId="0" xfId="0" applyFont="1" applyFill="1" applyAlignment="1">
      <alignment horizontal="right"/>
    </xf>
    <xf numFmtId="3" fontId="270" fillId="9" borderId="0" xfId="0" applyNumberFormat="1" applyFont="1" applyFill="1" applyAlignment="1">
      <alignment horizontal="right"/>
    </xf>
    <xf numFmtId="173" fontId="270" fillId="9" borderId="0" xfId="0" applyNumberFormat="1" applyFont="1" applyFill="1" applyAlignment="1">
      <alignment horizontal="right"/>
    </xf>
    <xf numFmtId="167" fontId="271" fillId="9" borderId="0" xfId="0" applyNumberFormat="1" applyFont="1" applyFill="1"/>
    <xf numFmtId="172" fontId="271" fillId="61" borderId="0" xfId="0" applyNumberFormat="1" applyFont="1" applyFill="1"/>
    <xf numFmtId="3" fontId="270" fillId="9" borderId="11" xfId="0" applyNumberFormat="1" applyFont="1" applyFill="1" applyBorder="1"/>
    <xf numFmtId="3" fontId="271" fillId="9" borderId="0" xfId="0" applyNumberFormat="1" applyFont="1" applyFill="1"/>
    <xf numFmtId="9" fontId="270" fillId="61" borderId="3" xfId="1741" applyFont="1" applyFill="1" applyBorder="1"/>
    <xf numFmtId="0" fontId="270" fillId="61" borderId="11" xfId="0" applyFont="1" applyFill="1" applyBorder="1"/>
    <xf numFmtId="184" fontId="270" fillId="9" borderId="0" xfId="0" applyNumberFormat="1" applyFont="1" applyFill="1" applyAlignment="1">
      <alignment horizontal="right"/>
    </xf>
    <xf numFmtId="0" fontId="0" fillId="9" borderId="0" xfId="0" applyFill="1"/>
    <xf numFmtId="0" fontId="2" fillId="9" borderId="0" xfId="0" applyFont="1" applyFill="1" applyAlignment="1">
      <alignment horizontal="center"/>
    </xf>
    <xf numFmtId="167" fontId="271" fillId="9" borderId="0" xfId="0" applyNumberFormat="1" applyFont="1" applyFill="1" applyAlignment="1">
      <alignment horizontal="center"/>
    </xf>
    <xf numFmtId="3" fontId="271" fillId="9" borderId="0" xfId="0" applyNumberFormat="1" applyFont="1" applyFill="1" applyAlignment="1">
      <alignment horizontal="center"/>
    </xf>
    <xf numFmtId="0" fontId="2" fillId="9" borderId="21" xfId="0" applyFont="1" applyFill="1" applyBorder="1" applyAlignment="1">
      <alignment horizontal="center"/>
    </xf>
    <xf numFmtId="167" fontId="271" fillId="61" borderId="0" xfId="0" applyNumberFormat="1" applyFont="1" applyFill="1" applyAlignment="1">
      <alignment horizontal="center"/>
    </xf>
    <xf numFmtId="3" fontId="271" fillId="61" borderId="0" xfId="0" applyNumberFormat="1" applyFont="1" applyFill="1" applyAlignment="1">
      <alignment horizontal="center"/>
    </xf>
    <xf numFmtId="0" fontId="289" fillId="0" borderId="2" xfId="0" applyFont="1" applyBorder="1"/>
    <xf numFmtId="0" fontId="270" fillId="0" borderId="11" xfId="0" applyFont="1" applyBorder="1"/>
    <xf numFmtId="184" fontId="270" fillId="0" borderId="0" xfId="0" applyNumberFormat="1" applyFont="1" applyAlignment="1">
      <alignment horizontal="left"/>
    </xf>
    <xf numFmtId="0" fontId="289" fillId="0" borderId="1" xfId="0" applyFont="1" applyBorder="1"/>
    <xf numFmtId="3" fontId="280" fillId="0" borderId="0" xfId="0" applyNumberFormat="1" applyFont="1"/>
    <xf numFmtId="167" fontId="273" fillId="0" borderId="0" xfId="6" applyNumberFormat="1" applyFont="1"/>
    <xf numFmtId="167" fontId="273" fillId="90" borderId="0" xfId="6" applyNumberFormat="1" applyFont="1" applyFill="1"/>
    <xf numFmtId="167" fontId="272" fillId="0" borderId="11" xfId="6" applyNumberFormat="1" applyFont="1" applyBorder="1"/>
    <xf numFmtId="167" fontId="273" fillId="61" borderId="0" xfId="6" applyNumberFormat="1" applyFont="1" applyFill="1"/>
    <xf numFmtId="167" fontId="272" fillId="90" borderId="11" xfId="6" applyNumberFormat="1" applyFont="1" applyFill="1" applyBorder="1"/>
    <xf numFmtId="167" fontId="273" fillId="0" borderId="0" xfId="1741" applyNumberFormat="1" applyFont="1" applyFill="1" applyBorder="1"/>
    <xf numFmtId="167" fontId="290" fillId="0" borderId="0" xfId="0" applyNumberFormat="1" applyFont="1"/>
    <xf numFmtId="0" fontId="12" fillId="57" borderId="0" xfId="0" applyFont="1" applyFill="1"/>
    <xf numFmtId="168" fontId="6" fillId="0" borderId="1" xfId="1" applyNumberFormat="1" applyFont="1" applyBorder="1"/>
    <xf numFmtId="0" fontId="291" fillId="92" borderId="11" xfId="0" applyFont="1" applyFill="1" applyBorder="1"/>
    <xf numFmtId="0" fontId="292" fillId="92" borderId="11" xfId="0" applyFont="1" applyFill="1" applyBorder="1" applyAlignment="1">
      <alignment horizontal="right"/>
    </xf>
    <xf numFmtId="0" fontId="291" fillId="92" borderId="21" xfId="0" applyFont="1" applyFill="1" applyBorder="1"/>
    <xf numFmtId="0" fontId="291" fillId="92" borderId="21" xfId="0" applyFont="1" applyFill="1" applyBorder="1" applyAlignment="1">
      <alignment horizontal="right"/>
    </xf>
    <xf numFmtId="3" fontId="293" fillId="0" borderId="0" xfId="0" applyNumberFormat="1" applyFont="1"/>
    <xf numFmtId="3" fontId="293" fillId="93" borderId="0" xfId="0" applyNumberFormat="1" applyFont="1" applyFill="1"/>
    <xf numFmtId="3" fontId="293" fillId="91" borderId="0" xfId="0" applyNumberFormat="1" applyFont="1" applyFill="1"/>
    <xf numFmtId="3" fontId="271" fillId="91" borderId="0" xfId="0" applyNumberFormat="1" applyFont="1" applyFill="1"/>
    <xf numFmtId="0" fontId="271" fillId="91" borderId="0" xfId="0" applyFont="1" applyFill="1"/>
    <xf numFmtId="0" fontId="273" fillId="90" borderId="1" xfId="6" applyFont="1" applyFill="1" applyBorder="1"/>
    <xf numFmtId="3" fontId="273" fillId="90" borderId="1" xfId="6" applyNumberFormat="1" applyFont="1" applyFill="1" applyBorder="1"/>
    <xf numFmtId="0" fontId="273" fillId="0" borderId="1" xfId="6" applyFont="1" applyBorder="1"/>
    <xf numFmtId="3" fontId="273" fillId="0" borderId="1" xfId="6" applyNumberFormat="1" applyFont="1" applyBorder="1"/>
    <xf numFmtId="6" fontId="273" fillId="0" borderId="0" xfId="0" applyNumberFormat="1" applyFont="1"/>
    <xf numFmtId="0" fontId="270" fillId="0" borderId="0" xfId="6" applyFont="1"/>
    <xf numFmtId="3" fontId="273" fillId="61" borderId="0" xfId="0" applyNumberFormat="1" applyFont="1" applyFill="1"/>
    <xf numFmtId="3" fontId="273" fillId="61" borderId="1" xfId="0" applyNumberFormat="1" applyFont="1" applyFill="1" applyBorder="1"/>
    <xf numFmtId="3" fontId="272" fillId="0" borderId="0" xfId="0" applyNumberFormat="1" applyFont="1"/>
    <xf numFmtId="9" fontId="273" fillId="61" borderId="0" xfId="0" applyNumberFormat="1" applyFont="1" applyFill="1"/>
    <xf numFmtId="3" fontId="272" fillId="0" borderId="1" xfId="0" applyNumberFormat="1" applyFont="1" applyBorder="1" applyAlignment="1">
      <alignment horizontal="right"/>
    </xf>
    <xf numFmtId="167" fontId="273" fillId="0" borderId="1" xfId="0" applyNumberFormat="1" applyFont="1" applyBorder="1"/>
    <xf numFmtId="0" fontId="272" fillId="61" borderId="0" xfId="0" applyFont="1" applyFill="1"/>
    <xf numFmtId="167" fontId="273" fillId="90" borderId="11" xfId="1741" applyNumberFormat="1" applyFont="1" applyFill="1" applyBorder="1"/>
    <xf numFmtId="167" fontId="273" fillId="90" borderId="1" xfId="6" applyNumberFormat="1" applyFont="1" applyFill="1" applyBorder="1"/>
    <xf numFmtId="173" fontId="271" fillId="61" borderId="0" xfId="0" applyNumberFormat="1" applyFont="1" applyFill="1"/>
    <xf numFmtId="0" fontId="270" fillId="0" borderId="0" xfId="0" applyFont="1" applyAlignment="1">
      <alignment horizontal="right"/>
    </xf>
    <xf numFmtId="0" fontId="282" fillId="0" borderId="0" xfId="0" applyFont="1"/>
    <xf numFmtId="0" fontId="294" fillId="0" borderId="0" xfId="0" applyFont="1" applyAlignment="1">
      <alignment horizontal="right"/>
    </xf>
    <xf numFmtId="3" fontId="169" fillId="0" borderId="0" xfId="2" applyNumberFormat="1" applyFont="1"/>
    <xf numFmtId="3" fontId="256" fillId="0" borderId="0" xfId="2" applyNumberFormat="1" applyFont="1"/>
    <xf numFmtId="167" fontId="2" fillId="61" borderId="0" xfId="0" applyNumberFormat="1" applyFont="1" applyFill="1"/>
    <xf numFmtId="0" fontId="174" fillId="0" borderId="0" xfId="0" quotePrefix="1" applyFont="1"/>
    <xf numFmtId="3" fontId="2" fillId="4" borderId="0" xfId="0" applyNumberFormat="1" applyFont="1" applyFill="1"/>
    <xf numFmtId="3" fontId="288" fillId="4" borderId="0" xfId="0" applyNumberFormat="1" applyFont="1" applyFill="1"/>
    <xf numFmtId="3" fontId="7" fillId="0" borderId="84" xfId="2" applyNumberFormat="1" applyFont="1" applyBorder="1"/>
    <xf numFmtId="167" fontId="294" fillId="0" borderId="0" xfId="0" applyNumberFormat="1" applyFont="1"/>
    <xf numFmtId="0" fontId="294" fillId="0" borderId="0" xfId="0" applyFont="1"/>
    <xf numFmtId="3" fontId="0" fillId="0" borderId="0" xfId="0" applyNumberFormat="1" applyAlignment="1">
      <alignment horizontal="left"/>
    </xf>
    <xf numFmtId="168" fontId="271" fillId="0" borderId="0" xfId="0" applyNumberFormat="1" applyFont="1"/>
    <xf numFmtId="169" fontId="271" fillId="0" borderId="0" xfId="0" applyNumberFormat="1" applyFont="1"/>
    <xf numFmtId="169" fontId="271" fillId="0" borderId="1" xfId="0" applyNumberFormat="1" applyFont="1" applyBorder="1"/>
    <xf numFmtId="168" fontId="271" fillId="0" borderId="1" xfId="0" applyNumberFormat="1" applyFont="1" applyBorder="1"/>
    <xf numFmtId="167" fontId="270" fillId="0" borderId="1" xfId="0" applyNumberFormat="1" applyFont="1" applyBorder="1"/>
    <xf numFmtId="0" fontId="270" fillId="0" borderId="1" xfId="0" quotePrefix="1" applyFont="1" applyBorder="1" applyAlignment="1">
      <alignment horizontal="right"/>
    </xf>
    <xf numFmtId="9" fontId="270" fillId="61" borderId="0" xfId="0" applyNumberFormat="1" applyFont="1" applyFill="1"/>
    <xf numFmtId="17" fontId="14" fillId="0" borderId="1" xfId="6" applyNumberFormat="1" applyFont="1" applyBorder="1" applyAlignment="1">
      <alignment horizontal="left"/>
    </xf>
    <xf numFmtId="9" fontId="270" fillId="0" borderId="0" xfId="0" applyNumberFormat="1" applyFont="1"/>
    <xf numFmtId="1" fontId="295" fillId="0" borderId="0" xfId="0" applyNumberFormat="1" applyFont="1"/>
    <xf numFmtId="1" fontId="295" fillId="0" borderId="1" xfId="0" applyNumberFormat="1" applyFont="1" applyBorder="1"/>
    <xf numFmtId="1" fontId="13" fillId="0" borderId="1" xfId="0" applyNumberFormat="1" applyFont="1" applyBorder="1"/>
    <xf numFmtId="1" fontId="0" fillId="0" borderId="0" xfId="0" applyNumberFormat="1" applyAlignment="1">
      <alignment horizontal="left"/>
    </xf>
    <xf numFmtId="3" fontId="0" fillId="61" borderId="0" xfId="0" applyNumberFormat="1" applyFill="1"/>
    <xf numFmtId="3" fontId="0" fillId="61" borderId="1" xfId="0" applyNumberFormat="1" applyFill="1" applyBorder="1"/>
    <xf numFmtId="3" fontId="2" fillId="0" borderId="85" xfId="0" applyNumberFormat="1" applyFont="1" applyBorder="1"/>
    <xf numFmtId="3" fontId="2" fillId="0" borderId="88" xfId="0" applyNumberFormat="1" applyFont="1" applyBorder="1"/>
    <xf numFmtId="3" fontId="2" fillId="0" borderId="86" xfId="0" applyNumberFormat="1" applyFont="1" applyBorder="1"/>
    <xf numFmtId="0" fontId="2" fillId="61" borderId="0" xfId="0" applyFont="1" applyFill="1"/>
    <xf numFmtId="3" fontId="2" fillId="61" borderId="0" xfId="0" applyNumberFormat="1" applyFont="1" applyFill="1"/>
    <xf numFmtId="0" fontId="296" fillId="61" borderId="0" xfId="0" applyFont="1" applyFill="1"/>
    <xf numFmtId="0" fontId="296" fillId="61" borderId="0" xfId="0" applyFont="1" applyFill="1" applyAlignment="1">
      <alignment horizontal="right"/>
    </xf>
    <xf numFmtId="0" fontId="297" fillId="61" borderId="0" xfId="0" applyFont="1" applyFill="1"/>
    <xf numFmtId="0" fontId="297" fillId="61" borderId="1" xfId="0" applyFont="1" applyFill="1" applyBorder="1"/>
    <xf numFmtId="0" fontId="296" fillId="61" borderId="1" xfId="0" applyFont="1" applyFill="1" applyBorder="1" applyAlignment="1">
      <alignment horizontal="right"/>
    </xf>
    <xf numFmtId="0" fontId="2" fillId="0" borderId="66" xfId="0" applyFont="1" applyBorder="1" applyAlignment="1">
      <alignment horizontal="right"/>
    </xf>
    <xf numFmtId="0" fontId="2" fillId="0" borderId="67" xfId="0" applyFont="1" applyBorder="1" applyAlignment="1">
      <alignment horizontal="right"/>
    </xf>
    <xf numFmtId="0" fontId="2" fillId="0" borderId="68" xfId="0" applyFont="1" applyBorder="1" applyAlignment="1">
      <alignment horizontal="right"/>
    </xf>
    <xf numFmtId="1" fontId="0" fillId="0" borderId="18" xfId="0" applyNumberFormat="1" applyBorder="1"/>
    <xf numFmtId="1" fontId="0" fillId="0" borderId="19" xfId="0" applyNumberFormat="1" applyBorder="1"/>
    <xf numFmtId="3" fontId="0" fillId="0" borderId="93" xfId="0" applyNumberFormat="1" applyBorder="1"/>
    <xf numFmtId="3" fontId="0" fillId="0" borderId="92" xfId="0" applyNumberFormat="1" applyBorder="1"/>
    <xf numFmtId="3" fontId="2" fillId="61" borderId="18" xfId="0" applyNumberFormat="1" applyFont="1" applyFill="1" applyBorder="1"/>
    <xf numFmtId="3" fontId="2" fillId="61" borderId="19" xfId="0" applyNumberFormat="1" applyFont="1" applyFill="1" applyBorder="1"/>
    <xf numFmtId="3" fontId="0" fillId="0" borderId="18" xfId="0" applyNumberFormat="1" applyBorder="1"/>
    <xf numFmtId="3" fontId="0" fillId="0" borderId="19" xfId="0" applyNumberFormat="1" applyBorder="1"/>
    <xf numFmtId="3" fontId="0" fillId="61" borderId="18" xfId="0" applyNumberFormat="1" applyFill="1" applyBorder="1"/>
    <xf numFmtId="3" fontId="0" fillId="61" borderId="19" xfId="0" applyNumberFormat="1" applyFill="1" applyBorder="1"/>
    <xf numFmtId="3" fontId="0" fillId="61" borderId="93" xfId="0" applyNumberFormat="1" applyFill="1" applyBorder="1"/>
    <xf numFmtId="3" fontId="0" fillId="61" borderId="92" xfId="0" applyNumberFormat="1" applyFill="1" applyBorder="1"/>
    <xf numFmtId="3" fontId="2" fillId="0" borderId="18" xfId="0" applyNumberFormat="1" applyFont="1" applyBorder="1"/>
    <xf numFmtId="3" fontId="2" fillId="0" borderId="19" xfId="0" applyNumberFormat="1" applyFont="1" applyBorder="1"/>
    <xf numFmtId="3" fontId="2" fillId="61" borderId="83" xfId="0" applyNumberFormat="1" applyFont="1" applyFill="1" applyBorder="1"/>
    <xf numFmtId="3" fontId="2" fillId="0" borderId="60" xfId="0" applyNumberFormat="1" applyFont="1" applyBorder="1" applyAlignment="1">
      <alignment horizontal="right"/>
    </xf>
    <xf numFmtId="0" fontId="2" fillId="61" borderId="85" xfId="0" applyFont="1" applyFill="1" applyBorder="1"/>
    <xf numFmtId="1" fontId="2" fillId="61" borderId="88" xfId="0" applyNumberFormat="1" applyFont="1" applyFill="1" applyBorder="1"/>
    <xf numFmtId="1" fontId="2" fillId="61" borderId="85" xfId="0" applyNumberFormat="1" applyFont="1" applyFill="1" applyBorder="1"/>
    <xf numFmtId="1" fontId="2" fillId="61" borderId="86" xfId="0" applyNumberFormat="1" applyFont="1" applyFill="1" applyBorder="1"/>
    <xf numFmtId="3" fontId="2" fillId="0" borderId="84" xfId="0" applyNumberFormat="1" applyFont="1" applyBorder="1"/>
    <xf numFmtId="167" fontId="2" fillId="0" borderId="84" xfId="0" applyNumberFormat="1" applyFont="1" applyBorder="1"/>
    <xf numFmtId="3" fontId="0" fillId="0" borderId="83" xfId="0" applyNumberFormat="1" applyBorder="1"/>
    <xf numFmtId="3" fontId="0" fillId="0" borderId="59" xfId="0" applyNumberFormat="1" applyBorder="1"/>
    <xf numFmtId="3" fontId="0" fillId="0" borderId="60" xfId="0" applyNumberFormat="1" applyBorder="1"/>
    <xf numFmtId="3" fontId="0" fillId="61" borderId="83" xfId="0" applyNumberFormat="1" applyFill="1" applyBorder="1"/>
    <xf numFmtId="3" fontId="0" fillId="61" borderId="60" xfId="0" applyNumberFormat="1" applyFill="1" applyBorder="1"/>
    <xf numFmtId="3" fontId="2" fillId="61" borderId="84" xfId="0" applyNumberFormat="1" applyFont="1" applyFill="1" applyBorder="1"/>
    <xf numFmtId="0" fontId="2" fillId="61" borderId="88" xfId="0" applyFont="1" applyFill="1" applyBorder="1"/>
    <xf numFmtId="167" fontId="2" fillId="61" borderId="88" xfId="0" applyNumberFormat="1" applyFont="1" applyFill="1" applyBorder="1"/>
    <xf numFmtId="167" fontId="2" fillId="61" borderId="86" xfId="0" applyNumberFormat="1" applyFont="1" applyFill="1" applyBorder="1"/>
    <xf numFmtId="0" fontId="2" fillId="61" borderId="16" xfId="0" applyFont="1" applyFill="1" applyBorder="1"/>
    <xf numFmtId="0" fontId="0" fillId="61" borderId="17" xfId="0" applyFill="1" applyBorder="1"/>
    <xf numFmtId="0" fontId="0" fillId="61" borderId="63" xfId="0" applyFill="1" applyBorder="1"/>
    <xf numFmtId="0" fontId="0" fillId="0" borderId="18" xfId="0" applyBorder="1"/>
    <xf numFmtId="167" fontId="0" fillId="0" borderId="19" xfId="0" applyNumberFormat="1" applyBorder="1"/>
    <xf numFmtId="0" fontId="0" fillId="0" borderId="20" xfId="0" applyBorder="1"/>
    <xf numFmtId="0" fontId="0" fillId="0" borderId="21" xfId="0" applyBorder="1"/>
    <xf numFmtId="167" fontId="0" fillId="0" borderId="21" xfId="0" applyNumberFormat="1" applyBorder="1"/>
    <xf numFmtId="167" fontId="0" fillId="0" borderId="64" xfId="0" applyNumberFormat="1" applyBorder="1"/>
    <xf numFmtId="1" fontId="286" fillId="0" borderId="0" xfId="0" applyNumberFormat="1" applyFont="1"/>
    <xf numFmtId="9" fontId="12" fillId="0" borderId="0" xfId="6" applyNumberFormat="1" applyFont="1" applyAlignment="1">
      <alignment horizontal="right"/>
    </xf>
    <xf numFmtId="184" fontId="12" fillId="0" borderId="0" xfId="6" applyNumberFormat="1" applyFont="1" applyAlignment="1">
      <alignment horizontal="right"/>
    </xf>
    <xf numFmtId="10" fontId="271" fillId="0" borderId="0" xfId="0" applyNumberFormat="1" applyFont="1"/>
    <xf numFmtId="10" fontId="271" fillId="61" borderId="0" xfId="0" applyNumberFormat="1" applyFont="1" applyFill="1"/>
    <xf numFmtId="0" fontId="271" fillId="61" borderId="1" xfId="0" applyFont="1" applyFill="1" applyBorder="1" applyAlignment="1">
      <alignment horizontal="left"/>
    </xf>
    <xf numFmtId="184" fontId="270" fillId="61" borderId="1" xfId="0" applyNumberFormat="1" applyFont="1" applyFill="1" applyBorder="1" applyAlignment="1">
      <alignment horizontal="left"/>
    </xf>
    <xf numFmtId="0" fontId="270" fillId="0" borderId="2" xfId="0" applyFont="1" applyBorder="1"/>
    <xf numFmtId="167" fontId="270" fillId="0" borderId="0" xfId="0" applyNumberFormat="1" applyFont="1"/>
    <xf numFmtId="167" fontId="271" fillId="0" borderId="1" xfId="0" applyNumberFormat="1" applyFont="1" applyBorder="1"/>
    <xf numFmtId="3" fontId="298" fillId="0" borderId="0" xfId="0" applyNumberFormat="1" applyFont="1"/>
    <xf numFmtId="3" fontId="298" fillId="61" borderId="1" xfId="0" applyNumberFormat="1" applyFont="1" applyFill="1" applyBorder="1"/>
    <xf numFmtId="1" fontId="271" fillId="61" borderId="22" xfId="0" applyNumberFormat="1" applyFont="1" applyFill="1" applyBorder="1"/>
    <xf numFmtId="1" fontId="271" fillId="61" borderId="23" xfId="0" applyNumberFormat="1" applyFont="1" applyFill="1" applyBorder="1"/>
    <xf numFmtId="1" fontId="298" fillId="0" borderId="0" xfId="0" applyNumberFormat="1" applyFont="1"/>
    <xf numFmtId="0" fontId="272" fillId="0" borderId="94" xfId="0" applyFont="1" applyBorder="1" applyAlignment="1">
      <alignment horizontal="right"/>
    </xf>
    <xf numFmtId="172" fontId="12" fillId="0" borderId="0" xfId="1741" applyNumberFormat="1" applyFont="1"/>
    <xf numFmtId="3" fontId="268" fillId="0" borderId="0" xfId="0" applyNumberFormat="1" applyFont="1"/>
    <xf numFmtId="43" fontId="271" fillId="0" borderId="0" xfId="0" applyNumberFormat="1" applyFont="1"/>
    <xf numFmtId="0" fontId="271" fillId="0" borderId="1" xfId="0" applyFont="1" applyBorder="1" applyAlignment="1">
      <alignment horizontal="left"/>
    </xf>
    <xf numFmtId="0" fontId="295" fillId="0" borderId="0" xfId="0" applyFont="1"/>
    <xf numFmtId="0" fontId="299" fillId="0" borderId="0" xfId="0" applyFont="1"/>
    <xf numFmtId="168" fontId="295" fillId="0" borderId="0" xfId="0" applyNumberFormat="1" applyFont="1"/>
    <xf numFmtId="0" fontId="288" fillId="0" borderId="2" xfId="0" applyFont="1" applyBorder="1"/>
    <xf numFmtId="169" fontId="270" fillId="0" borderId="0" xfId="0" applyNumberFormat="1" applyFont="1"/>
    <xf numFmtId="0" fontId="0" fillId="89" borderId="0" xfId="0" applyFill="1"/>
    <xf numFmtId="3" fontId="0" fillId="89" borderId="0" xfId="0" applyNumberFormat="1" applyFill="1"/>
    <xf numFmtId="0" fontId="0" fillId="89" borderId="1" xfId="0" applyFill="1" applyBorder="1"/>
    <xf numFmtId="3" fontId="0" fillId="89" borderId="1" xfId="0" applyNumberFormat="1" applyFill="1" applyBorder="1"/>
    <xf numFmtId="9" fontId="0" fillId="89" borderId="0" xfId="0" applyNumberFormat="1" applyFill="1"/>
    <xf numFmtId="0" fontId="2" fillId="89" borderId="0" xfId="0" applyFont="1" applyFill="1"/>
    <xf numFmtId="3" fontId="2" fillId="89" borderId="0" xfId="0" applyNumberFormat="1" applyFont="1" applyFill="1"/>
    <xf numFmtId="9" fontId="0" fillId="89" borderId="1" xfId="0" applyNumberFormat="1" applyFill="1" applyBorder="1"/>
    <xf numFmtId="184" fontId="2" fillId="89" borderId="0" xfId="0" applyNumberFormat="1" applyFont="1" applyFill="1"/>
    <xf numFmtId="167" fontId="273" fillId="0" borderId="1" xfId="1741" applyNumberFormat="1" applyFont="1" applyFill="1" applyBorder="1"/>
    <xf numFmtId="0" fontId="275" fillId="0" borderId="83" xfId="6" applyFont="1" applyBorder="1" applyAlignment="1">
      <alignment horizontal="right"/>
    </xf>
    <xf numFmtId="0" fontId="275" fillId="0" borderId="59" xfId="6" applyFont="1" applyBorder="1" applyAlignment="1">
      <alignment horizontal="right"/>
    </xf>
    <xf numFmtId="167" fontId="274" fillId="90" borderId="91" xfId="1741" applyNumberFormat="1" applyFont="1" applyFill="1" applyBorder="1"/>
    <xf numFmtId="167" fontId="274" fillId="0" borderId="28" xfId="1741" applyNumberFormat="1" applyFont="1" applyFill="1" applyBorder="1"/>
    <xf numFmtId="167" fontId="274" fillId="90" borderId="59" xfId="6" applyNumberFormat="1" applyFont="1" applyFill="1" applyBorder="1"/>
    <xf numFmtId="167" fontId="274" fillId="61" borderId="28" xfId="6" applyNumberFormat="1" applyFont="1" applyFill="1" applyBorder="1"/>
    <xf numFmtId="167" fontId="274" fillId="0" borderId="28" xfId="6" applyNumberFormat="1" applyFont="1" applyBorder="1"/>
    <xf numFmtId="167" fontId="274" fillId="90" borderId="28" xfId="6" applyNumberFormat="1" applyFont="1" applyFill="1" applyBorder="1"/>
    <xf numFmtId="167" fontId="275" fillId="0" borderId="91" xfId="6" applyNumberFormat="1" applyFont="1" applyBorder="1"/>
    <xf numFmtId="167" fontId="274" fillId="0" borderId="59" xfId="1741" applyNumberFormat="1" applyFont="1" applyFill="1" applyBorder="1"/>
    <xf numFmtId="167" fontId="275" fillId="90" borderId="91" xfId="6" applyNumberFormat="1" applyFont="1" applyFill="1" applyBorder="1"/>
    <xf numFmtId="9" fontId="274" fillId="0" borderId="28" xfId="6" applyNumberFormat="1" applyFont="1" applyBorder="1"/>
    <xf numFmtId="9" fontId="275" fillId="90" borderId="60" xfId="6" applyNumberFormat="1" applyFont="1" applyFill="1" applyBorder="1"/>
    <xf numFmtId="0" fontId="2" fillId="0" borderId="0" xfId="6" applyFont="1"/>
    <xf numFmtId="3" fontId="272" fillId="90" borderId="0" xfId="6" applyNumberFormat="1" applyFont="1" applyFill="1"/>
    <xf numFmtId="9" fontId="272" fillId="90" borderId="0" xfId="6" applyNumberFormat="1" applyFont="1" applyFill="1"/>
    <xf numFmtId="167" fontId="271" fillId="89" borderId="0" xfId="0" applyNumberFormat="1" applyFont="1" applyFill="1"/>
    <xf numFmtId="1" fontId="295" fillId="89" borderId="0" xfId="0" applyNumberFormat="1" applyFont="1" applyFill="1"/>
    <xf numFmtId="169" fontId="271" fillId="89" borderId="0" xfId="0" applyNumberFormat="1" applyFont="1" applyFill="1"/>
    <xf numFmtId="168" fontId="271" fillId="89" borderId="0" xfId="0" applyNumberFormat="1" applyFont="1" applyFill="1"/>
    <xf numFmtId="0" fontId="271" fillId="89" borderId="0" xfId="0" applyFont="1" applyFill="1"/>
    <xf numFmtId="167" fontId="271" fillId="89" borderId="1" xfId="0" applyNumberFormat="1" applyFont="1" applyFill="1" applyBorder="1"/>
    <xf numFmtId="1" fontId="295" fillId="89" borderId="1" xfId="0" applyNumberFormat="1" applyFont="1" applyFill="1" applyBorder="1"/>
    <xf numFmtId="169" fontId="271" fillId="89" borderId="1" xfId="0" applyNumberFormat="1" applyFont="1" applyFill="1" applyBorder="1"/>
    <xf numFmtId="168" fontId="271" fillId="89" borderId="1" xfId="0" applyNumberFormat="1" applyFont="1" applyFill="1" applyBorder="1"/>
    <xf numFmtId="0" fontId="271" fillId="89" borderId="1" xfId="0" applyFont="1" applyFill="1" applyBorder="1"/>
    <xf numFmtId="0" fontId="295" fillId="89" borderId="0" xfId="0" applyFont="1" applyFill="1"/>
    <xf numFmtId="172" fontId="271" fillId="89" borderId="0" xfId="0" applyNumberFormat="1" applyFont="1" applyFill="1"/>
    <xf numFmtId="0" fontId="270" fillId="89" borderId="0" xfId="0" applyFont="1" applyFill="1"/>
    <xf numFmtId="9" fontId="270" fillId="89" borderId="0" xfId="0" applyNumberFormat="1" applyFont="1" applyFill="1"/>
    <xf numFmtId="168" fontId="270" fillId="89" borderId="0" xfId="0" applyNumberFormat="1" applyFont="1" applyFill="1"/>
    <xf numFmtId="0" fontId="27" fillId="0" borderId="0" xfId="0" applyFont="1"/>
    <xf numFmtId="1" fontId="27" fillId="0" borderId="0" xfId="0" applyNumberFormat="1" applyFont="1"/>
    <xf numFmtId="0" fontId="271" fillId="0" borderId="0" xfId="0" applyFont="1" applyAlignment="1">
      <alignment horizontal="left" indent="1"/>
    </xf>
    <xf numFmtId="172" fontId="293" fillId="0" borderId="0" xfId="0" applyNumberFormat="1" applyFont="1"/>
    <xf numFmtId="0" fontId="293" fillId="0" borderId="0" xfId="0" applyFont="1"/>
    <xf numFmtId="172" fontId="270" fillId="0" borderId="11" xfId="0" applyNumberFormat="1" applyFont="1" applyBorder="1"/>
    <xf numFmtId="9" fontId="271" fillId="4" borderId="0" xfId="0" applyNumberFormat="1" applyFont="1" applyFill="1"/>
    <xf numFmtId="9" fontId="293" fillId="0" borderId="0" xfId="0" applyNumberFormat="1" applyFont="1"/>
    <xf numFmtId="173" fontId="293" fillId="0" borderId="0" xfId="0" applyNumberFormat="1" applyFont="1"/>
    <xf numFmtId="3" fontId="300" fillId="0" borderId="0" xfId="0" applyNumberFormat="1" applyFont="1"/>
    <xf numFmtId="173" fontId="300" fillId="0" borderId="0" xfId="0" applyNumberFormat="1" applyFont="1"/>
    <xf numFmtId="172" fontId="270" fillId="0" borderId="0" xfId="0" applyNumberFormat="1" applyFont="1"/>
    <xf numFmtId="0" fontId="12" fillId="8" borderId="0" xfId="0" applyFont="1" applyFill="1"/>
    <xf numFmtId="0" fontId="27" fillId="8" borderId="0" xfId="0" applyFont="1" applyFill="1"/>
    <xf numFmtId="1" fontId="27" fillId="8" borderId="0" xfId="0" applyNumberFormat="1" applyFont="1" applyFill="1"/>
    <xf numFmtId="1" fontId="12" fillId="8" borderId="0" xfId="0" applyNumberFormat="1" applyFont="1" applyFill="1"/>
    <xf numFmtId="9" fontId="12" fillId="8" borderId="0" xfId="0" applyNumberFormat="1" applyFont="1" applyFill="1"/>
    <xf numFmtId="0" fontId="298" fillId="0" borderId="0" xfId="1" applyFont="1"/>
    <xf numFmtId="43" fontId="298" fillId="0" borderId="0" xfId="1" applyNumberFormat="1" applyFont="1"/>
    <xf numFmtId="0" fontId="289" fillId="0" borderId="2" xfId="2" applyFont="1" applyBorder="1"/>
    <xf numFmtId="17" fontId="289" fillId="0" borderId="2" xfId="2" applyNumberFormat="1" applyFont="1" applyBorder="1"/>
    <xf numFmtId="0" fontId="289" fillId="0" borderId="0" xfId="2" applyFont="1"/>
    <xf numFmtId="167" fontId="298" fillId="0" borderId="0" xfId="2" applyNumberFormat="1" applyFont="1"/>
    <xf numFmtId="168" fontId="289" fillId="0" borderId="0" xfId="2" applyNumberFormat="1" applyFont="1"/>
    <xf numFmtId="0" fontId="298" fillId="0" borderId="0" xfId="2" applyFont="1"/>
    <xf numFmtId="9" fontId="298" fillId="0" borderId="0" xfId="2" applyNumberFormat="1" applyFont="1"/>
    <xf numFmtId="168" fontId="298" fillId="4" borderId="0" xfId="2" applyNumberFormat="1" applyFont="1" applyFill="1"/>
    <xf numFmtId="168" fontId="298" fillId="0" borderId="0" xfId="2" applyNumberFormat="1" applyFont="1"/>
    <xf numFmtId="168" fontId="298" fillId="0" borderId="0" xfId="1" applyNumberFormat="1" applyFont="1"/>
    <xf numFmtId="168" fontId="280" fillId="0" borderId="0" xfId="2" applyNumberFormat="1" applyFont="1"/>
    <xf numFmtId="169" fontId="298" fillId="0" borderId="0" xfId="2" applyNumberFormat="1" applyFont="1"/>
    <xf numFmtId="169" fontId="298" fillId="4" borderId="0" xfId="2" applyNumberFormat="1" applyFont="1" applyFill="1"/>
    <xf numFmtId="43" fontId="298" fillId="0" borderId="0" xfId="3" applyFont="1" applyBorder="1"/>
    <xf numFmtId="43" fontId="298" fillId="0" borderId="0" xfId="2" applyNumberFormat="1" applyFont="1"/>
    <xf numFmtId="0" fontId="296" fillId="14" borderId="0" xfId="2" applyFont="1" applyFill="1"/>
    <xf numFmtId="43" fontId="297" fillId="14" borderId="0" xfId="3" applyFont="1" applyFill="1" applyBorder="1"/>
    <xf numFmtId="0" fontId="297" fillId="14" borderId="0" xfId="1" applyFont="1" applyFill="1"/>
    <xf numFmtId="167" fontId="298" fillId="0" borderId="0" xfId="3" applyNumberFormat="1" applyFont="1" applyBorder="1"/>
    <xf numFmtId="9" fontId="298" fillId="0" borderId="0" xfId="1" applyNumberFormat="1" applyFont="1"/>
    <xf numFmtId="17" fontId="289" fillId="0" borderId="0" xfId="2" applyNumberFormat="1" applyFont="1"/>
    <xf numFmtId="168" fontId="280" fillId="4" borderId="0" xfId="2" applyNumberFormat="1" applyFont="1" applyFill="1"/>
    <xf numFmtId="168" fontId="289" fillId="0" borderId="2" xfId="2" applyNumberFormat="1" applyFont="1" applyBorder="1"/>
    <xf numFmtId="168" fontId="289" fillId="4" borderId="2" xfId="2" applyNumberFormat="1" applyFont="1" applyFill="1" applyBorder="1"/>
    <xf numFmtId="167" fontId="298" fillId="0" borderId="0" xfId="1" applyNumberFormat="1" applyFont="1"/>
    <xf numFmtId="9" fontId="301" fillId="0" borderId="0" xfId="2" applyNumberFormat="1" applyFont="1" applyAlignment="1">
      <alignment horizontal="right"/>
    </xf>
    <xf numFmtId="9" fontId="298" fillId="0" borderId="0" xfId="3" applyNumberFormat="1" applyFont="1" applyBorder="1"/>
    <xf numFmtId="167" fontId="289" fillId="0" borderId="2" xfId="1" applyNumberFormat="1" applyFont="1" applyBorder="1"/>
    <xf numFmtId="0" fontId="298" fillId="0" borderId="1" xfId="2" applyFont="1" applyBorder="1"/>
    <xf numFmtId="167" fontId="298" fillId="0" borderId="1" xfId="2" applyNumberFormat="1" applyFont="1" applyBorder="1"/>
    <xf numFmtId="168" fontId="298" fillId="0" borderId="1" xfId="2" applyNumberFormat="1" applyFont="1" applyBorder="1"/>
    <xf numFmtId="167" fontId="289" fillId="0" borderId="2" xfId="2" applyNumberFormat="1" applyFont="1" applyBorder="1"/>
    <xf numFmtId="0" fontId="298" fillId="0" borderId="1" xfId="1" applyFont="1" applyBorder="1"/>
    <xf numFmtId="167" fontId="298" fillId="0" borderId="1" xfId="1" applyNumberFormat="1" applyFont="1" applyBorder="1"/>
    <xf numFmtId="168" fontId="298" fillId="4" borderId="1" xfId="2" applyNumberFormat="1" applyFont="1" applyFill="1" applyBorder="1"/>
    <xf numFmtId="168" fontId="280" fillId="0" borderId="1" xfId="2" applyNumberFormat="1" applyFont="1" applyBorder="1"/>
    <xf numFmtId="0" fontId="301" fillId="0" borderId="0" xfId="2" applyFont="1"/>
    <xf numFmtId="167" fontId="301" fillId="0" borderId="0" xfId="2" applyNumberFormat="1" applyFont="1"/>
    <xf numFmtId="175" fontId="270" fillId="0" borderId="0" xfId="0" applyNumberFormat="1" applyFont="1"/>
    <xf numFmtId="175" fontId="271" fillId="0" borderId="0" xfId="0" applyNumberFormat="1" applyFont="1"/>
    <xf numFmtId="168" fontId="289" fillId="4" borderId="0" xfId="2" applyNumberFormat="1" applyFont="1" applyFill="1"/>
    <xf numFmtId="171" fontId="270" fillId="0" borderId="0" xfId="0" applyNumberFormat="1" applyFont="1"/>
    <xf numFmtId="184" fontId="298" fillId="0" borderId="0" xfId="2" applyNumberFormat="1" applyFont="1"/>
    <xf numFmtId="168" fontId="298" fillId="3" borderId="0" xfId="3" applyNumberFormat="1" applyFont="1" applyFill="1"/>
    <xf numFmtId="168" fontId="298" fillId="0" borderId="0" xfId="3" applyNumberFormat="1" applyFont="1"/>
    <xf numFmtId="168" fontId="298" fillId="4" borderId="0" xfId="3" applyNumberFormat="1" applyFont="1" applyFill="1"/>
    <xf numFmtId="169" fontId="298" fillId="0" borderId="0" xfId="3" applyNumberFormat="1" applyFont="1"/>
    <xf numFmtId="9" fontId="298" fillId="0" borderId="0" xfId="3" applyNumberFormat="1" applyFont="1"/>
    <xf numFmtId="9" fontId="298" fillId="3" borderId="0" xfId="2" applyNumberFormat="1" applyFont="1" applyFill="1"/>
    <xf numFmtId="168" fontId="289" fillId="3" borderId="0" xfId="3" applyNumberFormat="1" applyFont="1" applyFill="1"/>
    <xf numFmtId="168" fontId="298" fillId="5" borderId="0" xfId="3" applyNumberFormat="1" applyFont="1" applyFill="1"/>
    <xf numFmtId="168" fontId="298" fillId="0" borderId="0" xfId="3" applyNumberFormat="1" applyFont="1" applyFill="1"/>
    <xf numFmtId="170" fontId="298" fillId="0" borderId="0" xfId="2" applyNumberFormat="1" applyFont="1"/>
    <xf numFmtId="1" fontId="298" fillId="0" borderId="0" xfId="2" applyNumberFormat="1" applyFont="1"/>
    <xf numFmtId="167" fontId="298" fillId="0" borderId="0" xfId="4" applyNumberFormat="1" applyFont="1" applyFill="1"/>
    <xf numFmtId="167" fontId="298" fillId="3" borderId="0" xfId="4" applyNumberFormat="1" applyFont="1" applyFill="1"/>
    <xf numFmtId="168" fontId="298" fillId="0" borderId="1" xfId="3" applyNumberFormat="1" applyFont="1" applyFill="1" applyBorder="1"/>
    <xf numFmtId="0" fontId="298" fillId="0" borderId="0" xfId="2" quotePrefix="1" applyFont="1"/>
    <xf numFmtId="168" fontId="280" fillId="0" borderId="0" xfId="3" applyNumberFormat="1" applyFont="1" applyFill="1"/>
    <xf numFmtId="168" fontId="298" fillId="3" borderId="0" xfId="3" applyNumberFormat="1" applyFont="1" applyFill="1" applyBorder="1"/>
    <xf numFmtId="1" fontId="298" fillId="4" borderId="0" xfId="2" applyNumberFormat="1" applyFont="1" applyFill="1"/>
    <xf numFmtId="171" fontId="271" fillId="0" borderId="0" xfId="0" applyNumberFormat="1" applyFont="1"/>
    <xf numFmtId="0" fontId="298" fillId="4" borderId="0" xfId="2" applyFont="1" applyFill="1"/>
    <xf numFmtId="0" fontId="280" fillId="0" borderId="0" xfId="2" applyFont="1"/>
    <xf numFmtId="171" fontId="298" fillId="0" borderId="0" xfId="2" applyNumberFormat="1" applyFont="1"/>
    <xf numFmtId="175" fontId="271" fillId="0" borderId="1" xfId="0" applyNumberFormat="1" applyFont="1" applyBorder="1"/>
    <xf numFmtId="175" fontId="298" fillId="0" borderId="0" xfId="2" applyNumberFormat="1" applyFont="1"/>
    <xf numFmtId="9" fontId="298" fillId="4" borderId="0" xfId="2" applyNumberFormat="1" applyFont="1" applyFill="1"/>
    <xf numFmtId="9" fontId="280" fillId="0" borderId="0" xfId="2" applyNumberFormat="1" applyFont="1"/>
    <xf numFmtId="167" fontId="298" fillId="3" borderId="0" xfId="2" applyNumberFormat="1" applyFont="1" applyFill="1"/>
    <xf numFmtId="168" fontId="298" fillId="3" borderId="0" xfId="2" applyNumberFormat="1" applyFont="1" applyFill="1"/>
    <xf numFmtId="168" fontId="298" fillId="0" borderId="1" xfId="3" applyNumberFormat="1" applyFont="1" applyBorder="1"/>
    <xf numFmtId="43" fontId="298" fillId="4" borderId="0" xfId="2" applyNumberFormat="1" applyFont="1" applyFill="1"/>
    <xf numFmtId="169" fontId="280" fillId="0" borderId="0" xfId="2" applyNumberFormat="1" applyFont="1"/>
    <xf numFmtId="168" fontId="302" fillId="0" borderId="0" xfId="3" applyNumberFormat="1" applyFont="1" applyFill="1"/>
    <xf numFmtId="0" fontId="289" fillId="4" borderId="0" xfId="2" applyFont="1" applyFill="1"/>
    <xf numFmtId="3" fontId="289" fillId="4" borderId="0" xfId="2" applyNumberFormat="1" applyFont="1" applyFill="1"/>
    <xf numFmtId="0" fontId="289" fillId="0" borderId="1" xfId="2" applyFont="1" applyBorder="1"/>
    <xf numFmtId="1" fontId="298" fillId="0" borderId="1" xfId="2" applyNumberFormat="1" applyFont="1" applyBorder="1"/>
    <xf numFmtId="43" fontId="298" fillId="0" borderId="0" xfId="3" applyFont="1"/>
    <xf numFmtId="167" fontId="298" fillId="0" borderId="0" xfId="3" applyNumberFormat="1" applyFont="1" applyFill="1"/>
    <xf numFmtId="43" fontId="298" fillId="3" borderId="0" xfId="3" applyFont="1" applyFill="1"/>
    <xf numFmtId="43" fontId="298" fillId="0" borderId="0" xfId="3" applyFont="1" applyFill="1"/>
    <xf numFmtId="9" fontId="298" fillId="0" borderId="0" xfId="3" applyNumberFormat="1" applyFont="1" applyFill="1"/>
    <xf numFmtId="9" fontId="298" fillId="3" borderId="0" xfId="3" applyNumberFormat="1" applyFont="1" applyFill="1"/>
    <xf numFmtId="171" fontId="298" fillId="4" borderId="0" xfId="2" applyNumberFormat="1" applyFont="1" applyFill="1"/>
    <xf numFmtId="171" fontId="298" fillId="0" borderId="1" xfId="2" applyNumberFormat="1" applyFont="1" applyBorder="1"/>
    <xf numFmtId="0" fontId="289" fillId="0" borderId="11" xfId="2" applyFont="1" applyBorder="1"/>
    <xf numFmtId="171" fontId="289" fillId="0" borderId="11" xfId="2" applyNumberFormat="1" applyFont="1" applyBorder="1"/>
    <xf numFmtId="171" fontId="289" fillId="4" borderId="11" xfId="2" applyNumberFormat="1" applyFont="1" applyFill="1" applyBorder="1"/>
    <xf numFmtId="171" fontId="298" fillId="0" borderId="0" xfId="1" applyNumberFormat="1" applyFont="1"/>
    <xf numFmtId="0" fontId="298" fillId="0" borderId="11" xfId="2" applyFont="1" applyBorder="1"/>
    <xf numFmtId="171" fontId="298" fillId="0" borderId="11" xfId="2" applyNumberFormat="1" applyFont="1" applyBorder="1"/>
    <xf numFmtId="10" fontId="289" fillId="0" borderId="0" xfId="1" applyNumberFormat="1" applyFont="1"/>
    <xf numFmtId="167" fontId="298" fillId="4" borderId="0" xfId="2" applyNumberFormat="1" applyFont="1" applyFill="1"/>
    <xf numFmtId="171" fontId="289" fillId="0" borderId="0" xfId="2" applyNumberFormat="1" applyFont="1"/>
    <xf numFmtId="167" fontId="280" fillId="0" borderId="0" xfId="2" applyNumberFormat="1" applyFont="1"/>
    <xf numFmtId="167" fontId="298" fillId="4" borderId="0" xfId="1" applyNumberFormat="1" applyFont="1" applyFill="1"/>
    <xf numFmtId="167" fontId="280" fillId="0" borderId="0" xfId="1" applyNumberFormat="1" applyFont="1"/>
    <xf numFmtId="10" fontId="298" fillId="0" borderId="0" xfId="1" applyNumberFormat="1" applyFont="1"/>
    <xf numFmtId="180" fontId="298" fillId="0" borderId="0" xfId="1" applyNumberFormat="1" applyFont="1"/>
    <xf numFmtId="180" fontId="280" fillId="0" borderId="0" xfId="1" applyNumberFormat="1" applyFont="1"/>
    <xf numFmtId="167" fontId="280" fillId="4" borderId="0" xfId="1" applyNumberFormat="1" applyFont="1" applyFill="1"/>
    <xf numFmtId="167" fontId="298" fillId="0" borderId="11" xfId="2" applyNumberFormat="1" applyFont="1" applyBorder="1"/>
    <xf numFmtId="0" fontId="298" fillId="0" borderId="0" xfId="1541" applyFont="1"/>
    <xf numFmtId="0" fontId="270" fillId="0" borderId="1" xfId="1541" applyFont="1" applyBorder="1"/>
    <xf numFmtId="0" fontId="270" fillId="0" borderId="1" xfId="1541" applyFont="1" applyBorder="1" applyAlignment="1">
      <alignment horizontal="right"/>
    </xf>
    <xf numFmtId="0" fontId="271" fillId="0" borderId="0" xfId="1541" applyFont="1" applyAlignment="1">
      <alignment horizontal="right"/>
    </xf>
    <xf numFmtId="0" fontId="271" fillId="61" borderId="0" xfId="1541" applyFont="1" applyFill="1"/>
    <xf numFmtId="173" fontId="271" fillId="61" borderId="0" xfId="1541" applyNumberFormat="1" applyFont="1" applyFill="1"/>
    <xf numFmtId="0" fontId="271" fillId="0" borderId="0" xfId="1541" applyFont="1"/>
    <xf numFmtId="172" fontId="271" fillId="61" borderId="0" xfId="1541" applyNumberFormat="1" applyFont="1" applyFill="1"/>
    <xf numFmtId="3" fontId="271" fillId="0" borderId="0" xfId="1541" applyNumberFormat="1" applyFont="1"/>
    <xf numFmtId="172" fontId="271" fillId="0" borderId="0" xfId="1541" applyNumberFormat="1" applyFont="1"/>
    <xf numFmtId="3" fontId="271" fillId="61" borderId="0" xfId="1541" applyNumberFormat="1" applyFont="1" applyFill="1"/>
    <xf numFmtId="167" fontId="271" fillId="61" borderId="0" xfId="1541" applyNumberFormat="1" applyFont="1" applyFill="1"/>
    <xf numFmtId="0" fontId="271" fillId="0" borderId="1" xfId="1541" applyFont="1" applyBorder="1"/>
    <xf numFmtId="3" fontId="271" fillId="0" borderId="1" xfId="1541" applyNumberFormat="1" applyFont="1" applyBorder="1"/>
    <xf numFmtId="167" fontId="271" fillId="0" borderId="0" xfId="1541" applyNumberFormat="1" applyFont="1"/>
    <xf numFmtId="0" fontId="282" fillId="61" borderId="0" xfId="1541" applyFont="1" applyFill="1"/>
    <xf numFmtId="0" fontId="270" fillId="61" borderId="0" xfId="1541" applyFont="1" applyFill="1"/>
    <xf numFmtId="0" fontId="271" fillId="61" borderId="1" xfId="1541" quotePrefix="1" applyFont="1" applyFill="1" applyBorder="1"/>
    <xf numFmtId="3" fontId="271" fillId="61" borderId="1" xfId="1541" applyNumberFormat="1" applyFont="1" applyFill="1" applyBorder="1"/>
    <xf numFmtId="167" fontId="271" fillId="61" borderId="1" xfId="1541" applyNumberFormat="1" applyFont="1" applyFill="1" applyBorder="1"/>
    <xf numFmtId="167" fontId="271" fillId="0" borderId="1" xfId="1541" applyNumberFormat="1" applyFont="1" applyBorder="1"/>
    <xf numFmtId="0" fontId="271" fillId="0" borderId="0" xfId="1541" quotePrefix="1" applyFont="1"/>
    <xf numFmtId="0" fontId="271" fillId="61" borderId="0" xfId="1541" quotePrefix="1" applyFont="1" applyFill="1"/>
    <xf numFmtId="0" fontId="270" fillId="0" borderId="0" xfId="1541" applyFont="1"/>
    <xf numFmtId="184" fontId="271" fillId="0" borderId="0" xfId="1541" applyNumberFormat="1" applyFont="1"/>
    <xf numFmtId="0" fontId="271" fillId="0" borderId="1" xfId="1541" quotePrefix="1" applyFont="1" applyBorder="1"/>
    <xf numFmtId="0" fontId="271" fillId="0" borderId="11" xfId="0" applyFont="1" applyBorder="1"/>
    <xf numFmtId="3" fontId="270" fillId="0" borderId="11" xfId="0" applyNumberFormat="1" applyFont="1" applyBorder="1"/>
    <xf numFmtId="3" fontId="171" fillId="4" borderId="0" xfId="0" applyNumberFormat="1" applyFont="1" applyFill="1"/>
    <xf numFmtId="173" fontId="271" fillId="0" borderId="0" xfId="0" applyNumberFormat="1" applyFont="1"/>
    <xf numFmtId="173" fontId="270" fillId="0" borderId="11" xfId="0" applyNumberFormat="1" applyFont="1" applyBorder="1"/>
    <xf numFmtId="173" fontId="271" fillId="4" borderId="0" xfId="0" applyNumberFormat="1" applyFont="1" applyFill="1"/>
    <xf numFmtId="172" fontId="271" fillId="4" borderId="0" xfId="0" applyNumberFormat="1" applyFont="1" applyFill="1"/>
    <xf numFmtId="0" fontId="167" fillId="0" borderId="0" xfId="0" applyFont="1"/>
    <xf numFmtId="167" fontId="293" fillId="0" borderId="0" xfId="1741" applyNumberFormat="1" applyFont="1"/>
    <xf numFmtId="172" fontId="0" fillId="0" borderId="11" xfId="0" applyNumberFormat="1" applyBorder="1"/>
    <xf numFmtId="0" fontId="303" fillId="0" borderId="0" xfId="0" applyFont="1"/>
    <xf numFmtId="0" fontId="304" fillId="0" borderId="0" xfId="0" applyFont="1"/>
    <xf numFmtId="1" fontId="293" fillId="0" borderId="0" xfId="0" applyNumberFormat="1" applyFont="1"/>
    <xf numFmtId="0" fontId="272" fillId="0" borderId="83" xfId="6" applyFont="1" applyBorder="1" applyAlignment="1">
      <alignment horizontal="right"/>
    </xf>
    <xf numFmtId="0" fontId="272" fillId="0" borderId="28" xfId="6" applyFont="1" applyBorder="1" applyAlignment="1">
      <alignment horizontal="right"/>
    </xf>
    <xf numFmtId="3" fontId="273" fillId="90" borderId="91" xfId="6" applyNumberFormat="1" applyFont="1" applyFill="1" applyBorder="1"/>
    <xf numFmtId="3" fontId="273" fillId="0" borderId="28" xfId="6" applyNumberFormat="1" applyFont="1" applyBorder="1"/>
    <xf numFmtId="167" fontId="273" fillId="0" borderId="28" xfId="1741" applyNumberFormat="1" applyFont="1" applyFill="1" applyBorder="1"/>
    <xf numFmtId="3" fontId="273" fillId="90" borderId="59" xfId="6" applyNumberFormat="1" applyFont="1" applyFill="1" applyBorder="1"/>
    <xf numFmtId="167" fontId="273" fillId="90" borderId="59" xfId="6" applyNumberFormat="1" applyFont="1" applyFill="1" applyBorder="1"/>
    <xf numFmtId="3" fontId="273" fillId="61" borderId="28" xfId="6" applyNumberFormat="1" applyFont="1" applyFill="1" applyBorder="1"/>
    <xf numFmtId="167" fontId="273" fillId="61" borderId="28" xfId="6" applyNumberFormat="1" applyFont="1" applyFill="1" applyBorder="1"/>
    <xf numFmtId="167" fontId="273" fillId="0" borderId="28" xfId="6" applyNumberFormat="1" applyFont="1" applyBorder="1"/>
    <xf numFmtId="3" fontId="273" fillId="90" borderId="28" xfId="6" applyNumberFormat="1" applyFont="1" applyFill="1" applyBorder="1"/>
    <xf numFmtId="167" fontId="273" fillId="90" borderId="28" xfId="6" applyNumberFormat="1" applyFont="1" applyFill="1" applyBorder="1"/>
    <xf numFmtId="3" fontId="272" fillId="0" borderId="91" xfId="6" applyNumberFormat="1" applyFont="1" applyBorder="1"/>
    <xf numFmtId="167" fontId="272" fillId="0" borderId="91" xfId="6" applyNumberFormat="1" applyFont="1" applyBorder="1"/>
    <xf numFmtId="3" fontId="273" fillId="0" borderId="59" xfId="6" applyNumberFormat="1" applyFont="1" applyBorder="1"/>
    <xf numFmtId="167" fontId="273" fillId="0" borderId="59" xfId="1741" applyNumberFormat="1" applyFont="1" applyFill="1" applyBorder="1"/>
    <xf numFmtId="3" fontId="272" fillId="90" borderId="91" xfId="6" applyNumberFormat="1" applyFont="1" applyFill="1" applyBorder="1"/>
    <xf numFmtId="167" fontId="272" fillId="90" borderId="91" xfId="6" applyNumberFormat="1" applyFont="1" applyFill="1" applyBorder="1"/>
    <xf numFmtId="9" fontId="273" fillId="0" borderId="28" xfId="6" applyNumberFormat="1" applyFont="1" applyBorder="1"/>
    <xf numFmtId="3" fontId="272" fillId="90" borderId="60" xfId="6" applyNumberFormat="1" applyFont="1" applyFill="1" applyBorder="1"/>
    <xf numFmtId="9" fontId="272" fillId="90" borderId="60" xfId="6" applyNumberFormat="1" applyFont="1" applyFill="1" applyBorder="1"/>
    <xf numFmtId="0" fontId="272" fillId="0" borderId="59" xfId="0" applyFont="1" applyBorder="1" applyAlignment="1">
      <alignment horizontal="right"/>
    </xf>
    <xf numFmtId="168" fontId="289" fillId="0" borderId="1" xfId="2" applyNumberFormat="1" applyFont="1" applyBorder="1"/>
    <xf numFmtId="168" fontId="298" fillId="3" borderId="1" xfId="2" applyNumberFormat="1" applyFont="1" applyFill="1" applyBorder="1"/>
    <xf numFmtId="1" fontId="13" fillId="0" borderId="0" xfId="0" applyNumberFormat="1" applyFont="1"/>
    <xf numFmtId="0" fontId="13" fillId="0" borderId="0" xfId="0" applyFont="1" applyAlignment="1">
      <alignment horizontal="right"/>
    </xf>
    <xf numFmtId="0" fontId="13" fillId="0" borderId="1" xfId="0" applyFont="1" applyBorder="1" applyAlignment="1">
      <alignment horizontal="right"/>
    </xf>
    <xf numFmtId="0" fontId="29" fillId="0" borderId="0" xfId="0" applyFont="1"/>
    <xf numFmtId="172" fontId="270" fillId="89" borderId="0" xfId="0" applyNumberFormat="1" applyFont="1" applyFill="1"/>
    <xf numFmtId="0" fontId="26" fillId="53" borderId="0" xfId="14" applyFont="1" applyFill="1" applyAlignment="1">
      <alignment horizontal="center"/>
    </xf>
    <xf numFmtId="0" fontId="7" fillId="0" borderId="0" xfId="14" applyFont="1" applyAlignment="1">
      <alignment horizontal="center"/>
    </xf>
    <xf numFmtId="168" fontId="6" fillId="0" borderId="0" xfId="3" applyNumberFormat="1" applyFont="1" applyFill="1"/>
    <xf numFmtId="0" fontId="305" fillId="88" borderId="0" xfId="2101" applyFill="1"/>
    <xf numFmtId="168" fontId="270" fillId="0" borderId="0" xfId="0" applyNumberFormat="1" applyFont="1"/>
    <xf numFmtId="3" fontId="271" fillId="61" borderId="22" xfId="1541" applyNumberFormat="1" applyFont="1" applyFill="1" applyBorder="1"/>
    <xf numFmtId="3" fontId="271" fillId="61" borderId="2" xfId="1541" applyNumberFormat="1" applyFont="1" applyFill="1" applyBorder="1"/>
    <xf numFmtId="3" fontId="271" fillId="61" borderId="23" xfId="1541" applyNumberFormat="1" applyFont="1" applyFill="1" applyBorder="1"/>
    <xf numFmtId="2" fontId="271" fillId="0" borderId="0" xfId="1541" applyNumberFormat="1" applyFont="1"/>
    <xf numFmtId="184" fontId="271" fillId="61" borderId="0" xfId="1541" applyNumberFormat="1" applyFont="1" applyFill="1"/>
    <xf numFmtId="184" fontId="271" fillId="0" borderId="1" xfId="1541" applyNumberFormat="1" applyFont="1" applyBorder="1"/>
    <xf numFmtId="167" fontId="271" fillId="0" borderId="1" xfId="1741" applyNumberFormat="1" applyFont="1" applyFill="1" applyBorder="1"/>
    <xf numFmtId="315" fontId="271" fillId="0" borderId="0" xfId="1541" applyNumberFormat="1" applyFont="1"/>
    <xf numFmtId="0" fontId="270" fillId="0" borderId="0" xfId="0" applyFont="1" applyAlignment="1">
      <alignment horizontal="center"/>
    </xf>
    <xf numFmtId="0" fontId="14" fillId="0" borderId="0" xfId="0" applyFont="1" applyAlignment="1">
      <alignment horizontal="center"/>
    </xf>
    <xf numFmtId="0" fontId="14" fillId="0" borderId="11" xfId="0" applyFont="1" applyBorder="1" applyAlignment="1">
      <alignment horizontal="center"/>
    </xf>
    <xf numFmtId="0" fontId="14" fillId="0" borderId="6" xfId="0" applyFont="1" applyBorder="1" applyAlignment="1">
      <alignment horizontal="center"/>
    </xf>
    <xf numFmtId="0" fontId="14" fillId="0" borderId="5" xfId="0" applyFont="1" applyBorder="1" applyAlignment="1">
      <alignment horizontal="right"/>
    </xf>
    <xf numFmtId="0" fontId="14" fillId="0" borderId="6" xfId="0" applyFont="1" applyBorder="1" applyAlignment="1">
      <alignment horizontal="right"/>
    </xf>
    <xf numFmtId="219" fontId="267" fillId="9" borderId="0" xfId="2099" applyNumberFormat="1" applyFont="1" applyFill="1"/>
  </cellXfs>
  <cellStyles count="2102">
    <cellStyle name="-" xfId="16" xr:uid="{00000000-0005-0000-0000-000000000000}"/>
    <cellStyle name=" 1" xfId="17" xr:uid="{00000000-0005-0000-0000-000001000000}"/>
    <cellStyle name="_x000a_386grabber=M" xfId="1768" xr:uid="{F94AD647-E4BE-4CA9-AAE8-883AEFBCD780}"/>
    <cellStyle name="$0" xfId="18" xr:uid="{00000000-0005-0000-0000-000002000000}"/>
    <cellStyle name="$0.0" xfId="19" xr:uid="{00000000-0005-0000-0000-000003000000}"/>
    <cellStyle name="$0.00" xfId="20" xr:uid="{00000000-0005-0000-0000-000004000000}"/>
    <cellStyle name="%" xfId="2" xr:uid="{00000000-0005-0000-0000-000005000000}"/>
    <cellStyle name="% 2" xfId="5" xr:uid="{00000000-0005-0000-0000-000006000000}"/>
    <cellStyle name="% 2 2" xfId="21" xr:uid="{00000000-0005-0000-0000-000007000000}"/>
    <cellStyle name="% 2 3" xfId="12" xr:uid="{00000000-0005-0000-0000-000008000000}"/>
    <cellStyle name="% 2 4" xfId="1769" xr:uid="{780AB933-5A7B-402F-A7F3-CDB085789CF0}"/>
    <cellStyle name="% 3" xfId="14" xr:uid="{00000000-0005-0000-0000-000009000000}"/>
    <cellStyle name="% 3 2" xfId="22" xr:uid="{00000000-0005-0000-0000-00000A000000}"/>
    <cellStyle name="% 3 3" xfId="1770" xr:uid="{0E3244C4-4007-40F0-9698-6C83F46A5675}"/>
    <cellStyle name="% 4" xfId="23" xr:uid="{00000000-0005-0000-0000-00000B000000}"/>
    <cellStyle name="% 5" xfId="24" xr:uid="{00000000-0005-0000-0000-00000C000000}"/>
    <cellStyle name="% 6" xfId="9" xr:uid="{00000000-0005-0000-0000-00000D000000}"/>
    <cellStyle name="%_Analyst Template_Q2_2012" xfId="25" xr:uid="{00000000-0005-0000-0000-00000E000000}"/>
    <cellStyle name="%_Analyst Template_Q4_2011 (2)" xfId="26" xr:uid="{00000000-0005-0000-0000-00000F000000}"/>
    <cellStyle name="%_Dividend-EFCF" xfId="27" xr:uid="{00000000-0005-0000-0000-000010000000}"/>
    <cellStyle name="%_Millicom_rollforward" xfId="1771" xr:uid="{F6B92779-242A-4110-ACE0-1B37E1CAB0CC}"/>
    <cellStyle name="%_MTN WIP 1" xfId="1772" xr:uid="{B507637F-B6D2-4B66-8310-5E4E86403B11}"/>
    <cellStyle name="%_Pedro" xfId="28" xr:uid="{00000000-0005-0000-0000-000011000000}"/>
    <cellStyle name="%_Pedro 2" xfId="29" xr:uid="{00000000-0005-0000-0000-000012000000}"/>
    <cellStyle name="%_VIP_WIP" xfId="1773" xr:uid="{8DFD1AB1-0F7D-4BA1-A385-ECB4FC946CD0}"/>
    <cellStyle name="%_Vodacom WIP" xfId="1774" xr:uid="{3CDA1FB7-AD54-4D8E-BDBF-AFB9C812F69E}"/>
    <cellStyle name="%_Wierless-Fixed split" xfId="30" xr:uid="{00000000-0005-0000-0000-000013000000}"/>
    <cellStyle name="%0" xfId="31" xr:uid="{00000000-0005-0000-0000-000014000000}"/>
    <cellStyle name="%0.0" xfId="32" xr:uid="{00000000-0005-0000-0000-000015000000}"/>
    <cellStyle name="******************************************" xfId="33" xr:uid="{00000000-0005-0000-0000-000016000000}"/>
    <cellStyle name="??_iij_base_bs(2" xfId="34" xr:uid="{00000000-0005-0000-0000-000017000000}"/>
    <cellStyle name="?Q\?1@" xfId="35" xr:uid="{00000000-0005-0000-0000-000018000000}"/>
    <cellStyle name="_%(SignOnly)" xfId="36" xr:uid="{00000000-0005-0000-0000-000019000000}"/>
    <cellStyle name="_%(SignSpaceOnly)" xfId="37" xr:uid="{00000000-0005-0000-0000-00001A000000}"/>
    <cellStyle name="_Albania_Model_wip" xfId="38" xr:uid="{00000000-0005-0000-0000-00001B000000}"/>
    <cellStyle name="_Analysts consensus Q306 External final" xfId="39" xr:uid="{00000000-0005-0000-0000-00001C000000}"/>
    <cellStyle name="_BarStats" xfId="40" xr:uid="{00000000-0005-0000-0000-00001D000000}"/>
    <cellStyle name="_Beatrice" xfId="41" xr:uid="{00000000-0005-0000-0000-00001E000000}"/>
    <cellStyle name="_Belgacom_19Jan07" xfId="42" xr:uid="{00000000-0005-0000-0000-00001F000000}"/>
    <cellStyle name="_Belgium model BCAP post 3Q09 WIP" xfId="43" xr:uid="{00000000-0005-0000-0000-000020000000}"/>
    <cellStyle name="_Belgium Model New Template" xfId="44" xr:uid="{00000000-0005-0000-0000-000021000000}"/>
    <cellStyle name="_Comma" xfId="45" xr:uid="{00000000-0005-0000-0000-000022000000}"/>
    <cellStyle name="_Comma 2" xfId="1775" xr:uid="{F49CE8B0-FD4D-4F47-8F89-CF60DA06D363}"/>
    <cellStyle name="_Comma_3G Models" xfId="46" xr:uid="{00000000-0005-0000-0000-000023000000}"/>
    <cellStyle name="_Comma_bls roic" xfId="47" xr:uid="{00000000-0005-0000-0000-000024000000}"/>
    <cellStyle name="_Comma_FT-6June2001" xfId="48" xr:uid="{00000000-0005-0000-0000-000025000000}"/>
    <cellStyle name="_Comma_Orange-Mar01" xfId="49" xr:uid="{00000000-0005-0000-0000-000026000000}"/>
    <cellStyle name="_Comma_Orange-May01" xfId="50" xr:uid="{00000000-0005-0000-0000-000027000000}"/>
    <cellStyle name="_Comma_Telefonica Moviles" xfId="51" xr:uid="{00000000-0005-0000-0000-000028000000}"/>
    <cellStyle name="_Comma_TelenorInitiation-11Jan01" xfId="52" xr:uid="{00000000-0005-0000-0000-000029000000}"/>
    <cellStyle name="_Comma_TelenorWIPFeb01" xfId="53" xr:uid="{00000000-0005-0000-0000-00002A000000}"/>
    <cellStyle name="_Comma_t-mobile Sep 2003" xfId="54" xr:uid="{00000000-0005-0000-0000-00002B000000}"/>
    <cellStyle name="_comps" xfId="55" xr:uid="{00000000-0005-0000-0000-00002C000000}"/>
    <cellStyle name="_Comps102104" xfId="56" xr:uid="{00000000-0005-0000-0000-00002D000000}"/>
    <cellStyle name="_CPW_WIP" xfId="57" xr:uid="{00000000-0005-0000-0000-00002E000000}"/>
    <cellStyle name="_Currency" xfId="58" xr:uid="{00000000-0005-0000-0000-00002F000000}"/>
    <cellStyle name="_Currency 2" xfId="1776" xr:uid="{6DEFA204-C447-44B8-8644-CEFCCF7D8A87}"/>
    <cellStyle name="_Currency_3G Models" xfId="59" xr:uid="{00000000-0005-0000-0000-000030000000}"/>
    <cellStyle name="_Currency_BLS" xfId="60" xr:uid="{00000000-0005-0000-0000-000031000000}"/>
    <cellStyle name="_Currency_bls roic" xfId="61" xr:uid="{00000000-0005-0000-0000-000032000000}"/>
    <cellStyle name="_Currency_Book1" xfId="62" xr:uid="{00000000-0005-0000-0000-000033000000}"/>
    <cellStyle name="_Currency_Book1_3G Models" xfId="63" xr:uid="{00000000-0005-0000-0000-000034000000}"/>
    <cellStyle name="_Currency_Book1_FT-6June2001" xfId="64" xr:uid="{00000000-0005-0000-0000-000035000000}"/>
    <cellStyle name="_Currency_Book1_Jazztel model 16DP3-Exhibits" xfId="65" xr:uid="{00000000-0005-0000-0000-000036000000}"/>
    <cellStyle name="_Currency_Book1_Jazztel model 16DP3-Exhibits_3G Models" xfId="66" xr:uid="{00000000-0005-0000-0000-000037000000}"/>
    <cellStyle name="_Currency_Book1_Jazztel model 16DP3-Exhibits_Orange-Mar01" xfId="67" xr:uid="{00000000-0005-0000-0000-000038000000}"/>
    <cellStyle name="_Currency_Book1_Jazztel model 16DP3-Exhibits_Orange-May01" xfId="68" xr:uid="{00000000-0005-0000-0000-000039000000}"/>
    <cellStyle name="_Currency_Book1_Jazztel model 16DP3-Exhibits_Orange-May01_FT-6June2001" xfId="69" xr:uid="{00000000-0005-0000-0000-00003A000000}"/>
    <cellStyle name="_Currency_Book1_Jazztel model 16DP3-Exhibits_Orange-May01_Telefonica Moviles" xfId="70" xr:uid="{00000000-0005-0000-0000-00003B000000}"/>
    <cellStyle name="_Currency_Book1_Jazztel model 16DP3-Exhibits_T_MOBIL2" xfId="71" xr:uid="{00000000-0005-0000-0000-00003C000000}"/>
    <cellStyle name="_Currency_Book1_Jazztel model 16DP3-Exhibits_T_MOBIL2_Orange-May01" xfId="72" xr:uid="{00000000-0005-0000-0000-00003D000000}"/>
    <cellStyle name="_Currency_Book1_Jazztel model 16DP3-Exhibits_TelenorInitiation-11Jan01" xfId="73" xr:uid="{00000000-0005-0000-0000-00003E000000}"/>
    <cellStyle name="_Currency_Book1_Jazztel model 16DP3-Exhibits_TelenorWIPFeb01" xfId="74" xr:uid="{00000000-0005-0000-0000-00003F000000}"/>
    <cellStyle name="_Currency_Book1_Jazztel model 18DP-exhibits" xfId="75" xr:uid="{00000000-0005-0000-0000-000040000000}"/>
    <cellStyle name="_Currency_Book1_Jazztel model 18DP-exhibits_3G Models" xfId="76" xr:uid="{00000000-0005-0000-0000-000041000000}"/>
    <cellStyle name="_Currency_Book1_Orange-May01" xfId="77" xr:uid="{00000000-0005-0000-0000-000042000000}"/>
    <cellStyle name="_Currency_Book1_Telefonica Moviles" xfId="78" xr:uid="{00000000-0005-0000-0000-000043000000}"/>
    <cellStyle name="_Currency_Book2" xfId="79" xr:uid="{00000000-0005-0000-0000-000044000000}"/>
    <cellStyle name="_Currency_Book2_3G Models" xfId="80" xr:uid="{00000000-0005-0000-0000-000045000000}"/>
    <cellStyle name="_Currency_Book2_FT-6June2001" xfId="81" xr:uid="{00000000-0005-0000-0000-000046000000}"/>
    <cellStyle name="_Currency_Book2_Jazztel model 16DP3-Exhibits" xfId="82" xr:uid="{00000000-0005-0000-0000-000047000000}"/>
    <cellStyle name="_Currency_Book2_Jazztel model 16DP3-Exhibits_3G Models" xfId="83" xr:uid="{00000000-0005-0000-0000-000048000000}"/>
    <cellStyle name="_Currency_Book2_Jazztel model 16DP3-Exhibits_Orange-Mar01" xfId="84" xr:uid="{00000000-0005-0000-0000-000049000000}"/>
    <cellStyle name="_Currency_Book2_Jazztel model 16DP3-Exhibits_Orange-May01" xfId="85" xr:uid="{00000000-0005-0000-0000-00004A000000}"/>
    <cellStyle name="_Currency_Book2_Jazztel model 16DP3-Exhibits_Orange-May01_FT-6June2001" xfId="86" xr:uid="{00000000-0005-0000-0000-00004B000000}"/>
    <cellStyle name="_Currency_Book2_Jazztel model 16DP3-Exhibits_Orange-May01_Telefonica Moviles" xfId="87" xr:uid="{00000000-0005-0000-0000-00004C000000}"/>
    <cellStyle name="_Currency_Book2_Jazztel model 16DP3-Exhibits_T_MOBIL2" xfId="88" xr:uid="{00000000-0005-0000-0000-00004D000000}"/>
    <cellStyle name="_Currency_Book2_Jazztel model 16DP3-Exhibits_T_MOBIL2_Orange-May01" xfId="89" xr:uid="{00000000-0005-0000-0000-00004E000000}"/>
    <cellStyle name="_Currency_Book2_Jazztel model 16DP3-Exhibits_TelenorInitiation-11Jan01" xfId="90" xr:uid="{00000000-0005-0000-0000-00004F000000}"/>
    <cellStyle name="_Currency_Book2_Jazztel model 16DP3-Exhibits_TelenorWIPFeb01" xfId="91" xr:uid="{00000000-0005-0000-0000-000050000000}"/>
    <cellStyle name="_Currency_Book2_Jazztel model 18DP-exhibits" xfId="92" xr:uid="{00000000-0005-0000-0000-000051000000}"/>
    <cellStyle name="_Currency_Book2_Jazztel model 18DP-exhibits_3G Models" xfId="93" xr:uid="{00000000-0005-0000-0000-000052000000}"/>
    <cellStyle name="_Currency_Book2_Orange-May01" xfId="94" xr:uid="{00000000-0005-0000-0000-000053000000}"/>
    <cellStyle name="_Currency_Book2_Telefonica Moviles" xfId="95" xr:uid="{00000000-0005-0000-0000-000054000000}"/>
    <cellStyle name="_Currency_FT-6June2001" xfId="96" xr:uid="{00000000-0005-0000-0000-000055000000}"/>
    <cellStyle name="_Currency_Jazztel model 15-exhibits" xfId="97" xr:uid="{00000000-0005-0000-0000-000056000000}"/>
    <cellStyle name="_Currency_Jazztel model 15-exhibits bis" xfId="98" xr:uid="{00000000-0005-0000-0000-000057000000}"/>
    <cellStyle name="_Currency_Jazztel model 15-exhibits bis_3G Models" xfId="99" xr:uid="{00000000-0005-0000-0000-000058000000}"/>
    <cellStyle name="_Currency_Jazztel model 15-exhibits bis_Orange-Mar01" xfId="100" xr:uid="{00000000-0005-0000-0000-000059000000}"/>
    <cellStyle name="_Currency_Jazztel model 15-exhibits bis_Orange-May01" xfId="101" xr:uid="{00000000-0005-0000-0000-00005A000000}"/>
    <cellStyle name="_Currency_Jazztel model 15-exhibits bis_Orange-May01_FT-6June2001" xfId="102" xr:uid="{00000000-0005-0000-0000-00005B000000}"/>
    <cellStyle name="_Currency_Jazztel model 15-exhibits bis_Orange-May01_Telefonica Moviles" xfId="103" xr:uid="{00000000-0005-0000-0000-00005C000000}"/>
    <cellStyle name="_Currency_Jazztel model 15-exhibits bis_T_MOBIL2" xfId="104" xr:uid="{00000000-0005-0000-0000-00005D000000}"/>
    <cellStyle name="_Currency_Jazztel model 15-exhibits bis_T_MOBIL2_Orange-May01" xfId="105" xr:uid="{00000000-0005-0000-0000-00005E000000}"/>
    <cellStyle name="_Currency_Jazztel model 15-exhibits bis_TelenorInitiation-11Jan01" xfId="106" xr:uid="{00000000-0005-0000-0000-00005F000000}"/>
    <cellStyle name="_Currency_Jazztel model 15-exhibits bis_TelenorWIPFeb01" xfId="107" xr:uid="{00000000-0005-0000-0000-000060000000}"/>
    <cellStyle name="_Currency_Jazztel model 15-exhibits_3G Models" xfId="108" xr:uid="{00000000-0005-0000-0000-000061000000}"/>
    <cellStyle name="_Currency_Jazztel model 15-exhibits_FT-6June2001" xfId="109" xr:uid="{00000000-0005-0000-0000-000062000000}"/>
    <cellStyle name="_Currency_Jazztel model 15-exhibits_Jazztel model 16DP3-Exhibits" xfId="110" xr:uid="{00000000-0005-0000-0000-000063000000}"/>
    <cellStyle name="_Currency_Jazztel model 15-exhibits_Jazztel model 16DP3-Exhibits_3G Models" xfId="111" xr:uid="{00000000-0005-0000-0000-000064000000}"/>
    <cellStyle name="_Currency_Jazztel model 15-exhibits_Jazztel model 16DP3-Exhibits_Orange-Mar01" xfId="112" xr:uid="{00000000-0005-0000-0000-000065000000}"/>
    <cellStyle name="_Currency_Jazztel model 15-exhibits_Jazztel model 16DP3-Exhibits_Orange-May01" xfId="113" xr:uid="{00000000-0005-0000-0000-000066000000}"/>
    <cellStyle name="_Currency_Jazztel model 15-exhibits_Jazztel model 16DP3-Exhibits_Orange-May01_FT-6June2001" xfId="114" xr:uid="{00000000-0005-0000-0000-000067000000}"/>
    <cellStyle name="_Currency_Jazztel model 15-exhibits_Jazztel model 16DP3-Exhibits_Orange-May01_Telefonica Moviles" xfId="115" xr:uid="{00000000-0005-0000-0000-000068000000}"/>
    <cellStyle name="_Currency_Jazztel model 15-exhibits_Jazztel model 16DP3-Exhibits_T_MOBIL2" xfId="116" xr:uid="{00000000-0005-0000-0000-000069000000}"/>
    <cellStyle name="_Currency_Jazztel model 15-exhibits_Jazztel model 16DP3-Exhibits_T_MOBIL2_Orange-May01" xfId="117" xr:uid="{00000000-0005-0000-0000-00006A000000}"/>
    <cellStyle name="_Currency_Jazztel model 15-exhibits_Jazztel model 16DP3-Exhibits_TelenorInitiation-11Jan01" xfId="118" xr:uid="{00000000-0005-0000-0000-00006B000000}"/>
    <cellStyle name="_Currency_Jazztel model 15-exhibits_Jazztel model 16DP3-Exhibits_TelenorWIPFeb01" xfId="119" xr:uid="{00000000-0005-0000-0000-00006C000000}"/>
    <cellStyle name="_Currency_Jazztel model 15-exhibits_Jazztel model 18DP-exhibits" xfId="120" xr:uid="{00000000-0005-0000-0000-00006D000000}"/>
    <cellStyle name="_Currency_Jazztel model 15-exhibits_Jazztel model 18DP-exhibits_3G Models" xfId="121" xr:uid="{00000000-0005-0000-0000-00006E000000}"/>
    <cellStyle name="_Currency_Jazztel model 15-exhibits_Orange-May01" xfId="122" xr:uid="{00000000-0005-0000-0000-00006F000000}"/>
    <cellStyle name="_Currency_Jazztel model 15-exhibits_Telefonica Moviles" xfId="123" xr:uid="{00000000-0005-0000-0000-000070000000}"/>
    <cellStyle name="_Currency_Jazztel model 15-exhibits-Friso2" xfId="124" xr:uid="{00000000-0005-0000-0000-000071000000}"/>
    <cellStyle name="_Currency_Jazztel model 15-exhibits-Friso2_3G Models" xfId="125" xr:uid="{00000000-0005-0000-0000-000072000000}"/>
    <cellStyle name="_Currency_Jazztel model 15-exhibits-Friso2_FT-6June2001" xfId="126" xr:uid="{00000000-0005-0000-0000-000073000000}"/>
    <cellStyle name="_Currency_Jazztel model 15-exhibits-Friso2_Jazztel model 16DP3-Exhibits" xfId="127" xr:uid="{00000000-0005-0000-0000-000074000000}"/>
    <cellStyle name="_Currency_Jazztel model 15-exhibits-Friso2_Jazztel model 16DP3-Exhibits_3G Models" xfId="128" xr:uid="{00000000-0005-0000-0000-000075000000}"/>
    <cellStyle name="_Currency_Jazztel model 15-exhibits-Friso2_Jazztel model 16DP3-Exhibits_Orange-Mar01" xfId="129" xr:uid="{00000000-0005-0000-0000-000076000000}"/>
    <cellStyle name="_Currency_Jazztel model 15-exhibits-Friso2_Jazztel model 16DP3-Exhibits_Orange-May01" xfId="130" xr:uid="{00000000-0005-0000-0000-000077000000}"/>
    <cellStyle name="_Currency_Jazztel model 15-exhibits-Friso2_Jazztel model 16DP3-Exhibits_Orange-May01_FT-6June2001" xfId="131" xr:uid="{00000000-0005-0000-0000-000078000000}"/>
    <cellStyle name="_Currency_Jazztel model 15-exhibits-Friso2_Jazztel model 16DP3-Exhibits_Orange-May01_Telefonica Moviles" xfId="132" xr:uid="{00000000-0005-0000-0000-000079000000}"/>
    <cellStyle name="_Currency_Jazztel model 15-exhibits-Friso2_Jazztel model 16DP3-Exhibits_T_MOBIL2" xfId="133" xr:uid="{00000000-0005-0000-0000-00007A000000}"/>
    <cellStyle name="_Currency_Jazztel model 15-exhibits-Friso2_Jazztel model 16DP3-Exhibits_T_MOBIL2_Orange-May01" xfId="134" xr:uid="{00000000-0005-0000-0000-00007B000000}"/>
    <cellStyle name="_Currency_Jazztel model 15-exhibits-Friso2_Jazztel model 16DP3-Exhibits_TelenorInitiation-11Jan01" xfId="135" xr:uid="{00000000-0005-0000-0000-00007C000000}"/>
    <cellStyle name="_Currency_Jazztel model 15-exhibits-Friso2_Jazztel model 16DP3-Exhibits_TelenorWIPFeb01" xfId="136" xr:uid="{00000000-0005-0000-0000-00007D000000}"/>
    <cellStyle name="_Currency_Jazztel model 15-exhibits-Friso2_Jazztel model 18DP-exhibits" xfId="137" xr:uid="{00000000-0005-0000-0000-00007E000000}"/>
    <cellStyle name="_Currency_Jazztel model 15-exhibits-Friso2_Jazztel model 18DP-exhibits_3G Models" xfId="138" xr:uid="{00000000-0005-0000-0000-00007F000000}"/>
    <cellStyle name="_Currency_Jazztel model 15-exhibits-Friso2_Orange-May01" xfId="139" xr:uid="{00000000-0005-0000-0000-000080000000}"/>
    <cellStyle name="_Currency_Jazztel model 15-exhibits-Friso2_Telefonica Moviles" xfId="140" xr:uid="{00000000-0005-0000-0000-000081000000}"/>
    <cellStyle name="_Currency_Orange-Mar01" xfId="141" xr:uid="{00000000-0005-0000-0000-000082000000}"/>
    <cellStyle name="_Currency_Orange-May01" xfId="142" xr:uid="{00000000-0005-0000-0000-000083000000}"/>
    <cellStyle name="_Currency_Telefonica Moviles" xfId="143" xr:uid="{00000000-0005-0000-0000-000084000000}"/>
    <cellStyle name="_Currency_TelenorInitiation-11Jan01" xfId="144" xr:uid="{00000000-0005-0000-0000-000085000000}"/>
    <cellStyle name="_Currency_TelenorWIPFeb01" xfId="145" xr:uid="{00000000-0005-0000-0000-000086000000}"/>
    <cellStyle name="_Currency_t-mobile Sep 2003" xfId="146" xr:uid="{00000000-0005-0000-0000-000087000000}"/>
    <cellStyle name="_CurrencySpace" xfId="147" xr:uid="{00000000-0005-0000-0000-000088000000}"/>
    <cellStyle name="_CurrencySpace 2" xfId="1777" xr:uid="{84235D9F-D95E-4597-AFBB-1FC5D1E5AD1E}"/>
    <cellStyle name="_CurrencySpace_bls roic" xfId="148" xr:uid="{00000000-0005-0000-0000-000089000000}"/>
    <cellStyle name="_CurrencySpace_t-mobile Sep 2003" xfId="149" xr:uid="{00000000-0005-0000-0000-00008A000000}"/>
    <cellStyle name="_CW BCAP" xfId="150" xr:uid="{00000000-0005-0000-0000-00008B000000}"/>
    <cellStyle name="_Dividend-EFCF" xfId="151" xr:uid="{00000000-0005-0000-0000-00008C000000}"/>
    <cellStyle name="_Dollar" xfId="152" xr:uid="{00000000-0005-0000-0000-00008D000000}"/>
    <cellStyle name="_Dollar_3G Models" xfId="153" xr:uid="{00000000-0005-0000-0000-00008E000000}"/>
    <cellStyle name="_Dollar_FT-6June2001" xfId="154" xr:uid="{00000000-0005-0000-0000-00008F000000}"/>
    <cellStyle name="_Dollar_Jazztel model 16DP3-Exhibits" xfId="155" xr:uid="{00000000-0005-0000-0000-000090000000}"/>
    <cellStyle name="_Dollar_Jazztel model 16DP3-Exhibits_3G Models" xfId="156" xr:uid="{00000000-0005-0000-0000-000091000000}"/>
    <cellStyle name="_Dollar_Jazztel model 16DP3-Exhibits_FT-6June2001" xfId="157" xr:uid="{00000000-0005-0000-0000-000092000000}"/>
    <cellStyle name="_Dollar_Jazztel model 16DP3-Exhibits_FT-6June2001_1" xfId="158" xr:uid="{00000000-0005-0000-0000-000093000000}"/>
    <cellStyle name="_Dollar_Jazztel model 16DP3-Exhibits_FT-6June2001_1_Telefonica Moviles" xfId="159" xr:uid="{00000000-0005-0000-0000-000094000000}"/>
    <cellStyle name="_Dollar_Jazztel model 18DP-exhibits" xfId="160" xr:uid="{00000000-0005-0000-0000-000095000000}"/>
    <cellStyle name="_Dollar_Jazztel model 18DP-exhibits_3G Models" xfId="161" xr:uid="{00000000-0005-0000-0000-000096000000}"/>
    <cellStyle name="_Dollar_Jazztel model 18DP-exhibits_Orange-Mar01" xfId="162" xr:uid="{00000000-0005-0000-0000-000097000000}"/>
    <cellStyle name="_Dollar_Jazztel model 18DP-exhibits_Orange-May01" xfId="163" xr:uid="{00000000-0005-0000-0000-000098000000}"/>
    <cellStyle name="_Dollar_Jazztel model 18DP-exhibits_T_MOBIL2" xfId="164" xr:uid="{00000000-0005-0000-0000-000099000000}"/>
    <cellStyle name="_Dollar_Jazztel model 18DP-exhibits_T_MOBIL2_FT-6June2001" xfId="165" xr:uid="{00000000-0005-0000-0000-00009A000000}"/>
    <cellStyle name="_Dollar_Jazztel model 18DP-exhibits_T_MOBIL2_Orange-May01" xfId="166" xr:uid="{00000000-0005-0000-0000-00009B000000}"/>
    <cellStyle name="_Dollar_Jazztel model 18DP-exhibits_T_MOBIL2_Orange-May01_Telefonica Moviles" xfId="167" xr:uid="{00000000-0005-0000-0000-00009C000000}"/>
    <cellStyle name="_Dollar_Jazztel model 18DP-exhibits_T_MOBIL2_Orange-May01_Telefonica Moviles_1" xfId="168" xr:uid="{00000000-0005-0000-0000-00009D000000}"/>
    <cellStyle name="_Dollar_Jazztel model 18DP-exhibits_T_MOBIL2_Telefonica Moviles" xfId="169" xr:uid="{00000000-0005-0000-0000-00009E000000}"/>
    <cellStyle name="_Dollar_Jazztel model 18DP-exhibits_TelenorInitiation-11Jan01" xfId="170" xr:uid="{00000000-0005-0000-0000-00009F000000}"/>
    <cellStyle name="_Dollar_Jazztel model 18DP-exhibits_TelenorWIPFeb01" xfId="171" xr:uid="{00000000-0005-0000-0000-0000A0000000}"/>
    <cellStyle name="_Dollar_Orange-May01" xfId="172" xr:uid="{00000000-0005-0000-0000-0000A1000000}"/>
    <cellStyle name="_Dollar_Telefonica Moviles" xfId="173" xr:uid="{00000000-0005-0000-0000-0000A2000000}"/>
    <cellStyle name="_EU Telecoms_DataPage1" xfId="174" xr:uid="{00000000-0005-0000-0000-0000A3000000}"/>
    <cellStyle name="_Euro" xfId="175" xr:uid="{00000000-0005-0000-0000-0000A4000000}"/>
    <cellStyle name="_Forecasts Analysts" xfId="176" xr:uid="{00000000-0005-0000-0000-0000A5000000}"/>
    <cellStyle name="_Heading" xfId="177" xr:uid="{00000000-0005-0000-0000-0000A6000000}"/>
    <cellStyle name="_Heading_bls roic" xfId="178" xr:uid="{00000000-0005-0000-0000-0000A7000000}"/>
    <cellStyle name="_Heading_Broadband Comps" xfId="179" xr:uid="{00000000-0005-0000-0000-0000A8000000}"/>
    <cellStyle name="_Heading_Q" xfId="180" xr:uid="{00000000-0005-0000-0000-0000A9000000}"/>
    <cellStyle name="_Heading_q - new guidance" xfId="181" xr:uid="{00000000-0005-0000-0000-0000AA000000}"/>
    <cellStyle name="_Heading_q - valuation" xfId="182" xr:uid="{00000000-0005-0000-0000-0000AB000000}"/>
    <cellStyle name="_Highlight" xfId="183" xr:uid="{00000000-0005-0000-0000-0000AC000000}"/>
    <cellStyle name="_Innsamling" xfId="1778" xr:uid="{31822225-816A-4116-B464-844BEB85A4C4}"/>
    <cellStyle name="_Italy" xfId="184" xr:uid="{00000000-0005-0000-0000-0000AD000000}"/>
    <cellStyle name="_Jazz model 28 Oct 09" xfId="185" xr:uid="{00000000-0005-0000-0000-0000AE000000}"/>
    <cellStyle name="_JP Morgan" xfId="1779" xr:uid="{4CE4B49B-51B4-48A7-9DDF-185B7BE99CB5}"/>
    <cellStyle name="_LBOs" xfId="186" xr:uid="{00000000-0005-0000-0000-0000AF000000}"/>
    <cellStyle name="_Mal for innhenting av estimater Q4- 2002" xfId="1780" xr:uid="{6A32D828-A8C7-4E96-8BC1-ECA31B6775BD}"/>
    <cellStyle name="_Millicom_current" xfId="2098" xr:uid="{DB2A49E8-7E1D-4056-8C4B-E1052A6EF50B}"/>
    <cellStyle name="_Multiple" xfId="187" xr:uid="{00000000-0005-0000-0000-0000B0000000}"/>
    <cellStyle name="_Multiple 2" xfId="1781" xr:uid="{7AE18AA6-5DE7-43AF-B22E-7D3DDF6C07C8}"/>
    <cellStyle name="_Multiple_3G Models" xfId="188" xr:uid="{00000000-0005-0000-0000-0000B1000000}"/>
    <cellStyle name="_Multiple_bls roic" xfId="189" xr:uid="{00000000-0005-0000-0000-0000B2000000}"/>
    <cellStyle name="_Multiple_Book1" xfId="190" xr:uid="{00000000-0005-0000-0000-0000B3000000}"/>
    <cellStyle name="_Multiple_Book1_3G Models" xfId="191" xr:uid="{00000000-0005-0000-0000-0000B4000000}"/>
    <cellStyle name="_Multiple_Book1_Jazztel model 16DP3-Exhibits" xfId="192" xr:uid="{00000000-0005-0000-0000-0000B5000000}"/>
    <cellStyle name="_Multiple_Book1_Jazztel model 16DP3-Exhibits_3G Models" xfId="193" xr:uid="{00000000-0005-0000-0000-0000B6000000}"/>
    <cellStyle name="_Multiple_Book1_Jazztel model 16DP3-Exhibits_FT-6June2001" xfId="194" xr:uid="{00000000-0005-0000-0000-0000B7000000}"/>
    <cellStyle name="_Multiple_Book1_Jazztel model 16DP3-Exhibits_FT-6June2001_1" xfId="195" xr:uid="{00000000-0005-0000-0000-0000B8000000}"/>
    <cellStyle name="_Multiple_Book1_Jazztel model 16DP3-Exhibits_FT-6June2001_1_Telefonica Moviles" xfId="196" xr:uid="{00000000-0005-0000-0000-0000B9000000}"/>
    <cellStyle name="_Multiple_Book1_Jazztel model 18DP-exhibits" xfId="197" xr:uid="{00000000-0005-0000-0000-0000BA000000}"/>
    <cellStyle name="_Multiple_Book1_Jazztel model 18DP-exhibits_FT-6June2001" xfId="198" xr:uid="{00000000-0005-0000-0000-0000BB000000}"/>
    <cellStyle name="_Multiple_Book1_Jazztel model 18DP-exhibits_Orange-Mar01" xfId="199" xr:uid="{00000000-0005-0000-0000-0000BC000000}"/>
    <cellStyle name="_Multiple_Book1_Jazztel model 18DP-exhibits_Orange-May01" xfId="200" xr:uid="{00000000-0005-0000-0000-0000BD000000}"/>
    <cellStyle name="_Multiple_Book1_Jazztel model 18DP-exhibits_T_MOBIL2" xfId="201" xr:uid="{00000000-0005-0000-0000-0000BE000000}"/>
    <cellStyle name="_Multiple_Book1_Jazztel model 18DP-exhibits_T_MOBIL2_FT-6June2001" xfId="202" xr:uid="{00000000-0005-0000-0000-0000BF000000}"/>
    <cellStyle name="_Multiple_Book1_Jazztel model 18DP-exhibits_T_MOBIL2_FT-6June2001_1" xfId="203" xr:uid="{00000000-0005-0000-0000-0000C0000000}"/>
    <cellStyle name="_Multiple_Book1_Jazztel model 18DP-exhibits_T_MOBIL2_Orange-May01" xfId="204" xr:uid="{00000000-0005-0000-0000-0000C1000000}"/>
    <cellStyle name="_Multiple_Book1_Jazztel model 18DP-exhibits_T_MOBIL2_Telefonica Moviles" xfId="205" xr:uid="{00000000-0005-0000-0000-0000C2000000}"/>
    <cellStyle name="_Multiple_Book1_Jazztel model 18DP-exhibits_Telefonica Moviles" xfId="206" xr:uid="{00000000-0005-0000-0000-0000C3000000}"/>
    <cellStyle name="_Multiple_Book1_Jazztel model 18DP-exhibits_TelenorInitiation-11Jan01" xfId="207" xr:uid="{00000000-0005-0000-0000-0000C4000000}"/>
    <cellStyle name="_Multiple_Book1_Jazztel model 18DP-exhibits_TelenorWIPFeb01" xfId="208" xr:uid="{00000000-0005-0000-0000-0000C5000000}"/>
    <cellStyle name="_Multiple_Book1_Jazztel model 18DP-exhibits_Telia-April01(new structure)" xfId="209" xr:uid="{00000000-0005-0000-0000-0000C6000000}"/>
    <cellStyle name="_Multiple_Book1_Jazztel model 18DP-exhibits_Telia-April01(new structure)_FT-6June2001" xfId="210" xr:uid="{00000000-0005-0000-0000-0000C7000000}"/>
    <cellStyle name="_Multiple_Book1_Jazztel model 18DP-exhibits_Telia-April01(new structure)_FT-6June2001_Telefonica Moviles" xfId="211" xr:uid="{00000000-0005-0000-0000-0000C8000000}"/>
    <cellStyle name="_Multiple_Book1_Jazztel model 18DP-exhibits_Telia-April01(new structure)_Telefonica Moviles" xfId="212" xr:uid="{00000000-0005-0000-0000-0000C9000000}"/>
    <cellStyle name="_Multiple_Book1_Jazztel1" xfId="213" xr:uid="{00000000-0005-0000-0000-0000CA000000}"/>
    <cellStyle name="_Multiple_Book1_Orange-Mar01" xfId="214" xr:uid="{00000000-0005-0000-0000-0000CB000000}"/>
    <cellStyle name="_Multiple_Book1_Orange-Mar01_FT-6June2001" xfId="215" xr:uid="{00000000-0005-0000-0000-0000CC000000}"/>
    <cellStyle name="_Multiple_Book1_Orange-Mar01_Telefonica Moviles" xfId="216" xr:uid="{00000000-0005-0000-0000-0000CD000000}"/>
    <cellStyle name="_Multiple_Book1_Orange-Mar01_Telefonica Moviles_1" xfId="217" xr:uid="{00000000-0005-0000-0000-0000CE000000}"/>
    <cellStyle name="_Multiple_Book1_Orange-May01" xfId="218" xr:uid="{00000000-0005-0000-0000-0000CF000000}"/>
    <cellStyle name="_Multiple_Book1_Orange-May01_FT-6June2001" xfId="219" xr:uid="{00000000-0005-0000-0000-0000D0000000}"/>
    <cellStyle name="_Multiple_Book1_Orange-May01_FT-6June2001_Telefonica Moviles" xfId="220" xr:uid="{00000000-0005-0000-0000-0000D1000000}"/>
    <cellStyle name="_Multiple_Book1_Orange-May01_Telefonica Moviles" xfId="221" xr:uid="{00000000-0005-0000-0000-0000D2000000}"/>
    <cellStyle name="_Multiple_Book1_T_MOBIL2" xfId="222" xr:uid="{00000000-0005-0000-0000-0000D3000000}"/>
    <cellStyle name="_Multiple_Book1_TelenorInitiation-11Jan01" xfId="223" xr:uid="{00000000-0005-0000-0000-0000D4000000}"/>
    <cellStyle name="_Multiple_Book1_TelenorInitiation-11Jan01_FT-6June2001" xfId="224" xr:uid="{00000000-0005-0000-0000-0000D5000000}"/>
    <cellStyle name="_Multiple_Book1_TelenorInitiation-11Jan01_Telefonica Moviles" xfId="225" xr:uid="{00000000-0005-0000-0000-0000D6000000}"/>
    <cellStyle name="_Multiple_Book1_TelenorInitiation-11Jan01_Telefonica Moviles_1" xfId="226" xr:uid="{00000000-0005-0000-0000-0000D7000000}"/>
    <cellStyle name="_Multiple_Book1_TelenorWIPFeb01" xfId="227" xr:uid="{00000000-0005-0000-0000-0000D8000000}"/>
    <cellStyle name="_Multiple_Book1_TelenorWIPFeb01_FT-6June2001" xfId="228" xr:uid="{00000000-0005-0000-0000-0000D9000000}"/>
    <cellStyle name="_Multiple_Book1_TelenorWIPFeb01_Telefonica Moviles" xfId="229" xr:uid="{00000000-0005-0000-0000-0000DA000000}"/>
    <cellStyle name="_Multiple_Book1_TelenorWIPFeb01_Telefonica Moviles_1" xfId="230" xr:uid="{00000000-0005-0000-0000-0000DB000000}"/>
    <cellStyle name="_Multiple_Book1_Telia-April01(new structure)" xfId="231" xr:uid="{00000000-0005-0000-0000-0000DC000000}"/>
    <cellStyle name="_Multiple_Book11" xfId="232" xr:uid="{00000000-0005-0000-0000-0000DD000000}"/>
    <cellStyle name="_Multiple_Book11_3G Models" xfId="233" xr:uid="{00000000-0005-0000-0000-0000DE000000}"/>
    <cellStyle name="_Multiple_Book11_Jazztel model 16DP3-Exhibits" xfId="234" xr:uid="{00000000-0005-0000-0000-0000DF000000}"/>
    <cellStyle name="_Multiple_Book11_Jazztel model 16DP3-Exhibits_3G Models" xfId="235" xr:uid="{00000000-0005-0000-0000-0000E0000000}"/>
    <cellStyle name="_Multiple_Book11_Jazztel model 16DP3-Exhibits_FT-6June2001" xfId="236" xr:uid="{00000000-0005-0000-0000-0000E1000000}"/>
    <cellStyle name="_Multiple_Book11_Jazztel model 16DP3-Exhibits_FT-6June2001_1" xfId="237" xr:uid="{00000000-0005-0000-0000-0000E2000000}"/>
    <cellStyle name="_Multiple_Book11_Jazztel model 16DP3-Exhibits_FT-6June2001_1_Telefonica Moviles" xfId="238" xr:uid="{00000000-0005-0000-0000-0000E3000000}"/>
    <cellStyle name="_Multiple_Book11_Jazztel model 18DP-exhibits" xfId="239" xr:uid="{00000000-0005-0000-0000-0000E4000000}"/>
    <cellStyle name="_Multiple_Book11_Jazztel model 18DP-exhibits_FT-6June2001" xfId="240" xr:uid="{00000000-0005-0000-0000-0000E5000000}"/>
    <cellStyle name="_Multiple_Book11_Jazztel model 18DP-exhibits_Orange-Mar01" xfId="241" xr:uid="{00000000-0005-0000-0000-0000E6000000}"/>
    <cellStyle name="_Multiple_Book11_Jazztel model 18DP-exhibits_Orange-May01" xfId="242" xr:uid="{00000000-0005-0000-0000-0000E7000000}"/>
    <cellStyle name="_Multiple_Book11_Jazztel model 18DP-exhibits_T_MOBIL2" xfId="243" xr:uid="{00000000-0005-0000-0000-0000E8000000}"/>
    <cellStyle name="_Multiple_Book11_Jazztel model 18DP-exhibits_T_MOBIL2_FT-6June2001" xfId="244" xr:uid="{00000000-0005-0000-0000-0000E9000000}"/>
    <cellStyle name="_Multiple_Book11_Jazztel model 18DP-exhibits_T_MOBIL2_FT-6June2001_1" xfId="245" xr:uid="{00000000-0005-0000-0000-0000EA000000}"/>
    <cellStyle name="_Multiple_Book11_Jazztel model 18DP-exhibits_T_MOBIL2_Orange-May01" xfId="246" xr:uid="{00000000-0005-0000-0000-0000EB000000}"/>
    <cellStyle name="_Multiple_Book11_Jazztel model 18DP-exhibits_T_MOBIL2_Telefonica Moviles" xfId="247" xr:uid="{00000000-0005-0000-0000-0000EC000000}"/>
    <cellStyle name="_Multiple_Book11_Jazztel model 18DP-exhibits_Telefonica Moviles" xfId="248" xr:uid="{00000000-0005-0000-0000-0000ED000000}"/>
    <cellStyle name="_Multiple_Book11_Jazztel model 18DP-exhibits_TelenorInitiation-11Jan01" xfId="249" xr:uid="{00000000-0005-0000-0000-0000EE000000}"/>
    <cellStyle name="_Multiple_Book11_Jazztel model 18DP-exhibits_TelenorWIPFeb01" xfId="250" xr:uid="{00000000-0005-0000-0000-0000EF000000}"/>
    <cellStyle name="_Multiple_Book11_Jazztel model 18DP-exhibits_Telia-April01(new structure)" xfId="251" xr:uid="{00000000-0005-0000-0000-0000F0000000}"/>
    <cellStyle name="_Multiple_Book11_Jazztel model 18DP-exhibits_Telia-April01(new structure)_FT-6June2001" xfId="252" xr:uid="{00000000-0005-0000-0000-0000F1000000}"/>
    <cellStyle name="_Multiple_Book11_Jazztel model 18DP-exhibits_Telia-April01(new structure)_FT-6June2001_Telefonica Moviles" xfId="253" xr:uid="{00000000-0005-0000-0000-0000F2000000}"/>
    <cellStyle name="_Multiple_Book11_Jazztel model 18DP-exhibits_Telia-April01(new structure)_Telefonica Moviles" xfId="254" xr:uid="{00000000-0005-0000-0000-0000F3000000}"/>
    <cellStyle name="_Multiple_Book11_Jazztel1" xfId="255" xr:uid="{00000000-0005-0000-0000-0000F4000000}"/>
    <cellStyle name="_Multiple_Book11_Orange-Mar01" xfId="256" xr:uid="{00000000-0005-0000-0000-0000F5000000}"/>
    <cellStyle name="_Multiple_Book11_Orange-Mar01_FT-6June2001" xfId="257" xr:uid="{00000000-0005-0000-0000-0000F6000000}"/>
    <cellStyle name="_Multiple_Book11_Orange-Mar01_Telefonica Moviles" xfId="258" xr:uid="{00000000-0005-0000-0000-0000F7000000}"/>
    <cellStyle name="_Multiple_Book11_Orange-Mar01_Telefonica Moviles_1" xfId="259" xr:uid="{00000000-0005-0000-0000-0000F8000000}"/>
    <cellStyle name="_Multiple_Book11_Orange-May01" xfId="260" xr:uid="{00000000-0005-0000-0000-0000F9000000}"/>
    <cellStyle name="_Multiple_Book11_Orange-May01_FT-6June2001" xfId="261" xr:uid="{00000000-0005-0000-0000-0000FA000000}"/>
    <cellStyle name="_Multiple_Book11_Orange-May01_FT-6June2001_Telefonica Moviles" xfId="262" xr:uid="{00000000-0005-0000-0000-0000FB000000}"/>
    <cellStyle name="_Multiple_Book11_Orange-May01_Telefonica Moviles" xfId="263" xr:uid="{00000000-0005-0000-0000-0000FC000000}"/>
    <cellStyle name="_Multiple_Book11_T_MOBIL2" xfId="264" xr:uid="{00000000-0005-0000-0000-0000FD000000}"/>
    <cellStyle name="_Multiple_Book11_TelenorInitiation-11Jan01" xfId="265" xr:uid="{00000000-0005-0000-0000-0000FE000000}"/>
    <cellStyle name="_Multiple_Book11_TelenorInitiation-11Jan01_FT-6June2001" xfId="266" xr:uid="{00000000-0005-0000-0000-0000FF000000}"/>
    <cellStyle name="_Multiple_Book11_TelenorInitiation-11Jan01_Telefonica Moviles" xfId="267" xr:uid="{00000000-0005-0000-0000-000000010000}"/>
    <cellStyle name="_Multiple_Book11_TelenorInitiation-11Jan01_Telefonica Moviles_1" xfId="268" xr:uid="{00000000-0005-0000-0000-000001010000}"/>
    <cellStyle name="_Multiple_Book11_TelenorWIPFeb01" xfId="269" xr:uid="{00000000-0005-0000-0000-000002010000}"/>
    <cellStyle name="_Multiple_Book11_TelenorWIPFeb01_FT-6June2001" xfId="270" xr:uid="{00000000-0005-0000-0000-000003010000}"/>
    <cellStyle name="_Multiple_Book11_TelenorWIPFeb01_Telefonica Moviles" xfId="271" xr:uid="{00000000-0005-0000-0000-000004010000}"/>
    <cellStyle name="_Multiple_Book11_TelenorWIPFeb01_Telefonica Moviles_1" xfId="272" xr:uid="{00000000-0005-0000-0000-000005010000}"/>
    <cellStyle name="_Multiple_Book11_Telia-April01(new structure)" xfId="273" xr:uid="{00000000-0005-0000-0000-000006010000}"/>
    <cellStyle name="_Multiple_Book12" xfId="274" xr:uid="{00000000-0005-0000-0000-000007010000}"/>
    <cellStyle name="_Multiple_Book12_3G Models" xfId="275" xr:uid="{00000000-0005-0000-0000-000008010000}"/>
    <cellStyle name="_Multiple_Book12_Jazztel model 16DP3-Exhibits" xfId="276" xr:uid="{00000000-0005-0000-0000-000009010000}"/>
    <cellStyle name="_Multiple_Book12_Jazztel model 16DP3-Exhibits_3G Models" xfId="277" xr:uid="{00000000-0005-0000-0000-00000A010000}"/>
    <cellStyle name="_Multiple_Book12_Jazztel model 16DP3-Exhibits_FT-6June2001" xfId="278" xr:uid="{00000000-0005-0000-0000-00000B010000}"/>
    <cellStyle name="_Multiple_Book12_Jazztel model 16DP3-Exhibits_FT-6June2001_1" xfId="279" xr:uid="{00000000-0005-0000-0000-00000C010000}"/>
    <cellStyle name="_Multiple_Book12_Jazztel model 16DP3-Exhibits_FT-6June2001_1_Telefonica Moviles" xfId="280" xr:uid="{00000000-0005-0000-0000-00000D010000}"/>
    <cellStyle name="_Multiple_Book12_Jazztel model 18DP-exhibits" xfId="281" xr:uid="{00000000-0005-0000-0000-00000E010000}"/>
    <cellStyle name="_Multiple_Book12_Jazztel model 18DP-exhibits_FT-6June2001" xfId="282" xr:uid="{00000000-0005-0000-0000-00000F010000}"/>
    <cellStyle name="_Multiple_Book12_Jazztel model 18DP-exhibits_Orange-Mar01" xfId="283" xr:uid="{00000000-0005-0000-0000-000010010000}"/>
    <cellStyle name="_Multiple_Book12_Jazztel model 18DP-exhibits_Orange-May01" xfId="284" xr:uid="{00000000-0005-0000-0000-000011010000}"/>
    <cellStyle name="_Multiple_Book12_Jazztel model 18DP-exhibits_T_MOBIL2" xfId="285" xr:uid="{00000000-0005-0000-0000-000012010000}"/>
    <cellStyle name="_Multiple_Book12_Jazztel model 18DP-exhibits_T_MOBIL2_FT-6June2001" xfId="286" xr:uid="{00000000-0005-0000-0000-000013010000}"/>
    <cellStyle name="_Multiple_Book12_Jazztel model 18DP-exhibits_T_MOBIL2_FT-6June2001_1" xfId="287" xr:uid="{00000000-0005-0000-0000-000014010000}"/>
    <cellStyle name="_Multiple_Book12_Jazztel model 18DP-exhibits_T_MOBIL2_Orange-May01" xfId="288" xr:uid="{00000000-0005-0000-0000-000015010000}"/>
    <cellStyle name="_Multiple_Book12_Jazztel model 18DP-exhibits_T_MOBIL2_Telefonica Moviles" xfId="289" xr:uid="{00000000-0005-0000-0000-000016010000}"/>
    <cellStyle name="_Multiple_Book12_Jazztel model 18DP-exhibits_Telefonica Moviles" xfId="290" xr:uid="{00000000-0005-0000-0000-000017010000}"/>
    <cellStyle name="_Multiple_Book12_Jazztel model 18DP-exhibits_TelenorInitiation-11Jan01" xfId="291" xr:uid="{00000000-0005-0000-0000-000018010000}"/>
    <cellStyle name="_Multiple_Book12_Jazztel model 18DP-exhibits_TelenorWIPFeb01" xfId="292" xr:uid="{00000000-0005-0000-0000-000019010000}"/>
    <cellStyle name="_Multiple_Book12_Jazztel model 18DP-exhibits_Telia-April01(new structure)" xfId="293" xr:uid="{00000000-0005-0000-0000-00001A010000}"/>
    <cellStyle name="_Multiple_Book12_Jazztel model 18DP-exhibits_Telia-April01(new structure)_FT-6June2001" xfId="294" xr:uid="{00000000-0005-0000-0000-00001B010000}"/>
    <cellStyle name="_Multiple_Book12_Jazztel model 18DP-exhibits_Telia-April01(new structure)_FT-6June2001_Telefonica Moviles" xfId="295" xr:uid="{00000000-0005-0000-0000-00001C010000}"/>
    <cellStyle name="_Multiple_Book12_Jazztel model 18DP-exhibits_Telia-April01(new structure)_Telefonica Moviles" xfId="296" xr:uid="{00000000-0005-0000-0000-00001D010000}"/>
    <cellStyle name="_Multiple_Book12_Jazztel1" xfId="297" xr:uid="{00000000-0005-0000-0000-00001E010000}"/>
    <cellStyle name="_Multiple_Book12_Orange-Mar01" xfId="298" xr:uid="{00000000-0005-0000-0000-00001F010000}"/>
    <cellStyle name="_Multiple_Book12_Orange-Mar01_FT-6June2001" xfId="299" xr:uid="{00000000-0005-0000-0000-000020010000}"/>
    <cellStyle name="_Multiple_Book12_Orange-Mar01_Telefonica Moviles" xfId="300" xr:uid="{00000000-0005-0000-0000-000021010000}"/>
    <cellStyle name="_Multiple_Book12_Orange-Mar01_Telefonica Moviles_1" xfId="301" xr:uid="{00000000-0005-0000-0000-000022010000}"/>
    <cellStyle name="_Multiple_Book12_Orange-May01" xfId="302" xr:uid="{00000000-0005-0000-0000-000023010000}"/>
    <cellStyle name="_Multiple_Book12_Orange-May01_FT-6June2001" xfId="303" xr:uid="{00000000-0005-0000-0000-000024010000}"/>
    <cellStyle name="_Multiple_Book12_Orange-May01_FT-6June2001_Telefonica Moviles" xfId="304" xr:uid="{00000000-0005-0000-0000-000025010000}"/>
    <cellStyle name="_Multiple_Book12_Orange-May01_Telefonica Moviles" xfId="305" xr:uid="{00000000-0005-0000-0000-000026010000}"/>
    <cellStyle name="_Multiple_Book12_T_MOBIL2" xfId="306" xr:uid="{00000000-0005-0000-0000-000027010000}"/>
    <cellStyle name="_Multiple_Book12_TelenorInitiation-11Jan01" xfId="307" xr:uid="{00000000-0005-0000-0000-000028010000}"/>
    <cellStyle name="_Multiple_Book12_TelenorInitiation-11Jan01_FT-6June2001" xfId="308" xr:uid="{00000000-0005-0000-0000-000029010000}"/>
    <cellStyle name="_Multiple_Book12_TelenorInitiation-11Jan01_Telefonica Moviles" xfId="309" xr:uid="{00000000-0005-0000-0000-00002A010000}"/>
    <cellStyle name="_Multiple_Book12_TelenorInitiation-11Jan01_Telefonica Moviles_1" xfId="310" xr:uid="{00000000-0005-0000-0000-00002B010000}"/>
    <cellStyle name="_Multiple_Book12_TelenorWIPFeb01" xfId="311" xr:uid="{00000000-0005-0000-0000-00002C010000}"/>
    <cellStyle name="_Multiple_Book12_TelenorWIPFeb01_FT-6June2001" xfId="312" xr:uid="{00000000-0005-0000-0000-00002D010000}"/>
    <cellStyle name="_Multiple_Book12_TelenorWIPFeb01_Telefonica Moviles" xfId="313" xr:uid="{00000000-0005-0000-0000-00002E010000}"/>
    <cellStyle name="_Multiple_Book12_TelenorWIPFeb01_Telefonica Moviles_1" xfId="314" xr:uid="{00000000-0005-0000-0000-00002F010000}"/>
    <cellStyle name="_Multiple_Book12_Telia-April01(new structure)" xfId="315" xr:uid="{00000000-0005-0000-0000-000030010000}"/>
    <cellStyle name="_Multiple_DCF Summary pages" xfId="316" xr:uid="{00000000-0005-0000-0000-000031010000}"/>
    <cellStyle name="_Multiple_DCF Summary pages_3G Models" xfId="317" xr:uid="{00000000-0005-0000-0000-000032010000}"/>
    <cellStyle name="_Multiple_DCF Summary pages_Jazztel model 16DP3-Exhibits" xfId="318" xr:uid="{00000000-0005-0000-0000-000033010000}"/>
    <cellStyle name="_Multiple_DCF Summary pages_Jazztel model 16DP3-Exhibits_3G Models" xfId="319" xr:uid="{00000000-0005-0000-0000-000034010000}"/>
    <cellStyle name="_Multiple_DCF Summary pages_Jazztel model 16DP3-Exhibits_FT-6June2001" xfId="320" xr:uid="{00000000-0005-0000-0000-000035010000}"/>
    <cellStyle name="_Multiple_DCF Summary pages_Jazztel model 16DP3-Exhibits_FT-6June2001_1" xfId="321" xr:uid="{00000000-0005-0000-0000-000036010000}"/>
    <cellStyle name="_Multiple_DCF Summary pages_Jazztel model 16DP3-Exhibits_FT-6June2001_1_Telefonica Moviles" xfId="322" xr:uid="{00000000-0005-0000-0000-000037010000}"/>
    <cellStyle name="_Multiple_DCF Summary pages_Jazztel model 18DP-exhibits" xfId="323" xr:uid="{00000000-0005-0000-0000-000038010000}"/>
    <cellStyle name="_Multiple_DCF Summary pages_Jazztel model 18DP-exhibits_FT-6June2001" xfId="324" xr:uid="{00000000-0005-0000-0000-000039010000}"/>
    <cellStyle name="_Multiple_DCF Summary pages_Jazztel model 18DP-exhibits_Orange-Mar01" xfId="325" xr:uid="{00000000-0005-0000-0000-00003A010000}"/>
    <cellStyle name="_Multiple_DCF Summary pages_Jazztel model 18DP-exhibits_Orange-May01" xfId="326" xr:uid="{00000000-0005-0000-0000-00003B010000}"/>
    <cellStyle name="_Multiple_DCF Summary pages_Jazztel model 18DP-exhibits_T_MOBIL2" xfId="327" xr:uid="{00000000-0005-0000-0000-00003C010000}"/>
    <cellStyle name="_Multiple_DCF Summary pages_Jazztel model 18DP-exhibits_T_MOBIL2_FT-6June2001" xfId="328" xr:uid="{00000000-0005-0000-0000-00003D010000}"/>
    <cellStyle name="_Multiple_DCF Summary pages_Jazztel model 18DP-exhibits_T_MOBIL2_FT-6June2001_1" xfId="329" xr:uid="{00000000-0005-0000-0000-00003E010000}"/>
    <cellStyle name="_Multiple_DCF Summary pages_Jazztel model 18DP-exhibits_T_MOBIL2_Orange-May01" xfId="330" xr:uid="{00000000-0005-0000-0000-00003F010000}"/>
    <cellStyle name="_Multiple_DCF Summary pages_Jazztel model 18DP-exhibits_T_MOBIL2_Telefonica Moviles" xfId="331" xr:uid="{00000000-0005-0000-0000-000040010000}"/>
    <cellStyle name="_Multiple_DCF Summary pages_Jazztel model 18DP-exhibits_Telefonica Moviles" xfId="332" xr:uid="{00000000-0005-0000-0000-000041010000}"/>
    <cellStyle name="_Multiple_DCF Summary pages_Jazztel model 18DP-exhibits_TelenorInitiation-11Jan01" xfId="333" xr:uid="{00000000-0005-0000-0000-000042010000}"/>
    <cellStyle name="_Multiple_DCF Summary pages_Jazztel model 18DP-exhibits_TelenorWIPFeb01" xfId="334" xr:uid="{00000000-0005-0000-0000-000043010000}"/>
    <cellStyle name="_Multiple_DCF Summary pages_Jazztel model 18DP-exhibits_Telia-April01(new structure)" xfId="335" xr:uid="{00000000-0005-0000-0000-000044010000}"/>
    <cellStyle name="_Multiple_DCF Summary pages_Jazztel model 18DP-exhibits_Telia-April01(new structure)_FT-6June2001" xfId="336" xr:uid="{00000000-0005-0000-0000-000045010000}"/>
    <cellStyle name="_Multiple_DCF Summary pages_Jazztel model 18DP-exhibits_Telia-April01(new structure)_FT-6June2001_Telefonica Moviles" xfId="337" xr:uid="{00000000-0005-0000-0000-000046010000}"/>
    <cellStyle name="_Multiple_DCF Summary pages_Jazztel model 18DP-exhibits_Telia-April01(new structure)_Telefonica Moviles" xfId="338" xr:uid="{00000000-0005-0000-0000-000047010000}"/>
    <cellStyle name="_Multiple_DCF Summary pages_Jazztel1" xfId="339" xr:uid="{00000000-0005-0000-0000-000048010000}"/>
    <cellStyle name="_Multiple_DCF Summary pages_Orange-Mar01" xfId="340" xr:uid="{00000000-0005-0000-0000-000049010000}"/>
    <cellStyle name="_Multiple_DCF Summary pages_Orange-Mar01_FT-6June2001" xfId="341" xr:uid="{00000000-0005-0000-0000-00004A010000}"/>
    <cellStyle name="_Multiple_DCF Summary pages_Orange-Mar01_Telefonica Moviles" xfId="342" xr:uid="{00000000-0005-0000-0000-00004B010000}"/>
    <cellStyle name="_Multiple_DCF Summary pages_Orange-Mar01_Telefonica Moviles_1" xfId="343" xr:uid="{00000000-0005-0000-0000-00004C010000}"/>
    <cellStyle name="_Multiple_DCF Summary pages_Orange-May01" xfId="344" xr:uid="{00000000-0005-0000-0000-00004D010000}"/>
    <cellStyle name="_Multiple_DCF Summary pages_Orange-May01_FT-6June2001" xfId="345" xr:uid="{00000000-0005-0000-0000-00004E010000}"/>
    <cellStyle name="_Multiple_DCF Summary pages_Orange-May01_FT-6June2001_Telefonica Moviles" xfId="346" xr:uid="{00000000-0005-0000-0000-00004F010000}"/>
    <cellStyle name="_Multiple_DCF Summary pages_Orange-May01_Telefonica Moviles" xfId="347" xr:uid="{00000000-0005-0000-0000-000050010000}"/>
    <cellStyle name="_Multiple_DCF Summary pages_T_MOBIL2" xfId="348" xr:uid="{00000000-0005-0000-0000-000051010000}"/>
    <cellStyle name="_Multiple_DCF Summary pages_TelenorInitiation-11Jan01" xfId="349" xr:uid="{00000000-0005-0000-0000-000052010000}"/>
    <cellStyle name="_Multiple_DCF Summary pages_TelenorInitiation-11Jan01_FT-6June2001" xfId="350" xr:uid="{00000000-0005-0000-0000-000053010000}"/>
    <cellStyle name="_Multiple_DCF Summary pages_TelenorInitiation-11Jan01_Telefonica Moviles" xfId="351" xr:uid="{00000000-0005-0000-0000-000054010000}"/>
    <cellStyle name="_Multiple_DCF Summary pages_TelenorInitiation-11Jan01_Telefonica Moviles_1" xfId="352" xr:uid="{00000000-0005-0000-0000-000055010000}"/>
    <cellStyle name="_Multiple_DCF Summary pages_TelenorWIPFeb01" xfId="353" xr:uid="{00000000-0005-0000-0000-000056010000}"/>
    <cellStyle name="_Multiple_DCF Summary pages_TelenorWIPFeb01_FT-6June2001" xfId="354" xr:uid="{00000000-0005-0000-0000-000057010000}"/>
    <cellStyle name="_Multiple_DCF Summary pages_TelenorWIPFeb01_Telefonica Moviles" xfId="355" xr:uid="{00000000-0005-0000-0000-000058010000}"/>
    <cellStyle name="_Multiple_DCF Summary pages_TelenorWIPFeb01_Telefonica Moviles_1" xfId="356" xr:uid="{00000000-0005-0000-0000-000059010000}"/>
    <cellStyle name="_Multiple_DCF Summary pages_Telia-April01(new structure)" xfId="357" xr:uid="{00000000-0005-0000-0000-00005A010000}"/>
    <cellStyle name="_Multiple_FT-6June2001" xfId="358" xr:uid="{00000000-0005-0000-0000-00005B010000}"/>
    <cellStyle name="_Multiple_Jazztel model 15-exhibits" xfId="359" xr:uid="{00000000-0005-0000-0000-00005C010000}"/>
    <cellStyle name="_Multiple_Jazztel model 15-exhibits bis" xfId="360" xr:uid="{00000000-0005-0000-0000-00005D010000}"/>
    <cellStyle name="_Multiple_Jazztel model 15-exhibits bis_3G Models" xfId="361" xr:uid="{00000000-0005-0000-0000-00005E010000}"/>
    <cellStyle name="_Multiple_Jazztel model 15-exhibits bis_FT-6June2001" xfId="362" xr:uid="{00000000-0005-0000-0000-00005F010000}"/>
    <cellStyle name="_Multiple_Jazztel model 15-exhibits bis_FT-6June2001_1" xfId="363" xr:uid="{00000000-0005-0000-0000-000060010000}"/>
    <cellStyle name="_Multiple_Jazztel model 15-exhibits bis_FT-6June2001_1_Telefonica Moviles" xfId="364" xr:uid="{00000000-0005-0000-0000-000061010000}"/>
    <cellStyle name="_Multiple_Jazztel model 15-exhibits_3G Models" xfId="365" xr:uid="{00000000-0005-0000-0000-000062010000}"/>
    <cellStyle name="_Multiple_Jazztel model 15-exhibits_Jazztel model 16DP3-Exhibits" xfId="366" xr:uid="{00000000-0005-0000-0000-000063010000}"/>
    <cellStyle name="_Multiple_Jazztel model 15-exhibits_Jazztel model 16DP3-Exhibits_3G Models" xfId="367" xr:uid="{00000000-0005-0000-0000-000064010000}"/>
    <cellStyle name="_Multiple_Jazztel model 15-exhibits_Jazztel model 16DP3-Exhibits_FT-6June2001" xfId="368" xr:uid="{00000000-0005-0000-0000-000065010000}"/>
    <cellStyle name="_Multiple_Jazztel model 15-exhibits_Jazztel model 16DP3-Exhibits_FT-6June2001_1" xfId="369" xr:uid="{00000000-0005-0000-0000-000066010000}"/>
    <cellStyle name="_Multiple_Jazztel model 15-exhibits_Jazztel model 16DP3-Exhibits_FT-6June2001_1_Telefonica Moviles" xfId="370" xr:uid="{00000000-0005-0000-0000-000067010000}"/>
    <cellStyle name="_Multiple_Jazztel model 15-exhibits_Jazztel model 18DP-exhibits" xfId="371" xr:uid="{00000000-0005-0000-0000-000068010000}"/>
    <cellStyle name="_Multiple_Jazztel model 15-exhibits_Jazztel model 18DP-exhibits_FT-6June2001" xfId="372" xr:uid="{00000000-0005-0000-0000-000069010000}"/>
    <cellStyle name="_Multiple_Jazztel model 15-exhibits_Jazztel model 18DP-exhibits_Orange-Mar01" xfId="373" xr:uid="{00000000-0005-0000-0000-00006A010000}"/>
    <cellStyle name="_Multiple_Jazztel model 15-exhibits_Jazztel model 18DP-exhibits_Orange-May01" xfId="374" xr:uid="{00000000-0005-0000-0000-00006B010000}"/>
    <cellStyle name="_Multiple_Jazztel model 15-exhibits_Jazztel model 18DP-exhibits_T_MOBIL2" xfId="375" xr:uid="{00000000-0005-0000-0000-00006C010000}"/>
    <cellStyle name="_Multiple_Jazztel model 15-exhibits_Jazztel model 18DP-exhibits_T_MOBIL2_FT-6June2001" xfId="376" xr:uid="{00000000-0005-0000-0000-00006D010000}"/>
    <cellStyle name="_Multiple_Jazztel model 15-exhibits_Jazztel model 18DP-exhibits_T_MOBIL2_FT-6June2001_1" xfId="377" xr:uid="{00000000-0005-0000-0000-00006E010000}"/>
    <cellStyle name="_Multiple_Jazztel model 15-exhibits_Jazztel model 18DP-exhibits_T_MOBIL2_Orange-May01" xfId="378" xr:uid="{00000000-0005-0000-0000-00006F010000}"/>
    <cellStyle name="_Multiple_Jazztel model 15-exhibits_Jazztel model 18DP-exhibits_T_MOBIL2_Telefonica Moviles" xfId="379" xr:uid="{00000000-0005-0000-0000-000070010000}"/>
    <cellStyle name="_Multiple_Jazztel model 15-exhibits_Jazztel model 18DP-exhibits_Telefonica Moviles" xfId="380" xr:uid="{00000000-0005-0000-0000-000071010000}"/>
    <cellStyle name="_Multiple_Jazztel model 15-exhibits_Jazztel model 18DP-exhibits_TelenorInitiation-11Jan01" xfId="381" xr:uid="{00000000-0005-0000-0000-000072010000}"/>
    <cellStyle name="_Multiple_Jazztel model 15-exhibits_Jazztel model 18DP-exhibits_TelenorWIPFeb01" xfId="382" xr:uid="{00000000-0005-0000-0000-000073010000}"/>
    <cellStyle name="_Multiple_Jazztel model 15-exhibits_Jazztel model 18DP-exhibits_Telia-April01(new structure)" xfId="383" xr:uid="{00000000-0005-0000-0000-000074010000}"/>
    <cellStyle name="_Multiple_Jazztel model 15-exhibits_Jazztel model 18DP-exhibits_Telia-April01(new structure)_FT-6June2001" xfId="384" xr:uid="{00000000-0005-0000-0000-000075010000}"/>
    <cellStyle name="_Multiple_Jazztel model 15-exhibits_Jazztel model 18DP-exhibits_Telia-April01(new structure)_FT-6June2001_Telefonica Moviles" xfId="385" xr:uid="{00000000-0005-0000-0000-000076010000}"/>
    <cellStyle name="_Multiple_Jazztel model 15-exhibits_Jazztel model 18DP-exhibits_Telia-April01(new structure)_Telefonica Moviles" xfId="386" xr:uid="{00000000-0005-0000-0000-000077010000}"/>
    <cellStyle name="_Multiple_Jazztel model 15-exhibits_Jazztel1" xfId="387" xr:uid="{00000000-0005-0000-0000-000078010000}"/>
    <cellStyle name="_Multiple_Jazztel model 15-exhibits_Orange-Mar01" xfId="388" xr:uid="{00000000-0005-0000-0000-000079010000}"/>
    <cellStyle name="_Multiple_Jazztel model 15-exhibits_Orange-Mar01_FT-6June2001" xfId="389" xr:uid="{00000000-0005-0000-0000-00007A010000}"/>
    <cellStyle name="_Multiple_Jazztel model 15-exhibits_Orange-Mar01_Telefonica Moviles" xfId="390" xr:uid="{00000000-0005-0000-0000-00007B010000}"/>
    <cellStyle name="_Multiple_Jazztel model 15-exhibits_Orange-Mar01_Telefonica Moviles_1" xfId="391" xr:uid="{00000000-0005-0000-0000-00007C010000}"/>
    <cellStyle name="_Multiple_Jazztel model 15-exhibits_Orange-May01" xfId="392" xr:uid="{00000000-0005-0000-0000-00007D010000}"/>
    <cellStyle name="_Multiple_Jazztel model 15-exhibits_Orange-May01_FT-6June2001" xfId="393" xr:uid="{00000000-0005-0000-0000-00007E010000}"/>
    <cellStyle name="_Multiple_Jazztel model 15-exhibits_Orange-May01_FT-6June2001_Telefonica Moviles" xfId="394" xr:uid="{00000000-0005-0000-0000-00007F010000}"/>
    <cellStyle name="_Multiple_Jazztel model 15-exhibits_Orange-May01_Telefonica Moviles" xfId="395" xr:uid="{00000000-0005-0000-0000-000080010000}"/>
    <cellStyle name="_Multiple_Jazztel model 15-exhibits_T_MOBIL2" xfId="396" xr:uid="{00000000-0005-0000-0000-000081010000}"/>
    <cellStyle name="_Multiple_Jazztel model 15-exhibits_TelenorInitiation-11Jan01" xfId="397" xr:uid="{00000000-0005-0000-0000-000082010000}"/>
    <cellStyle name="_Multiple_Jazztel model 15-exhibits_TelenorInitiation-11Jan01_FT-6June2001" xfId="398" xr:uid="{00000000-0005-0000-0000-000083010000}"/>
    <cellStyle name="_Multiple_Jazztel model 15-exhibits_TelenorInitiation-11Jan01_Telefonica Moviles" xfId="399" xr:uid="{00000000-0005-0000-0000-000084010000}"/>
    <cellStyle name="_Multiple_Jazztel model 15-exhibits_TelenorInitiation-11Jan01_Telefonica Moviles_1" xfId="400" xr:uid="{00000000-0005-0000-0000-000085010000}"/>
    <cellStyle name="_Multiple_Jazztel model 15-exhibits_TelenorWIPFeb01" xfId="401" xr:uid="{00000000-0005-0000-0000-000086010000}"/>
    <cellStyle name="_Multiple_Jazztel model 15-exhibits_TelenorWIPFeb01_FT-6June2001" xfId="402" xr:uid="{00000000-0005-0000-0000-000087010000}"/>
    <cellStyle name="_Multiple_Jazztel model 15-exhibits_TelenorWIPFeb01_Telefonica Moviles" xfId="403" xr:uid="{00000000-0005-0000-0000-000088010000}"/>
    <cellStyle name="_Multiple_Jazztel model 15-exhibits_TelenorWIPFeb01_Telefonica Moviles_1" xfId="404" xr:uid="{00000000-0005-0000-0000-000089010000}"/>
    <cellStyle name="_Multiple_Jazztel model 15-exhibits_Telia-April01(new structure)" xfId="405" xr:uid="{00000000-0005-0000-0000-00008A010000}"/>
    <cellStyle name="_Multiple_Jazztel model 15-exhibits-Friso2" xfId="406" xr:uid="{00000000-0005-0000-0000-00008B010000}"/>
    <cellStyle name="_Multiple_Jazztel model 15-exhibits-Friso2_3G Models" xfId="407" xr:uid="{00000000-0005-0000-0000-00008C010000}"/>
    <cellStyle name="_Multiple_Jazztel model 15-exhibits-Friso2_Jazztel model 16DP3-Exhibits" xfId="408" xr:uid="{00000000-0005-0000-0000-00008D010000}"/>
    <cellStyle name="_Multiple_Jazztel model 15-exhibits-Friso2_Jazztel model 16DP3-Exhibits_3G Models" xfId="409" xr:uid="{00000000-0005-0000-0000-00008E010000}"/>
    <cellStyle name="_Multiple_Jazztel model 15-exhibits-Friso2_Jazztel model 16DP3-Exhibits_FT-6June2001" xfId="410" xr:uid="{00000000-0005-0000-0000-00008F010000}"/>
    <cellStyle name="_Multiple_Jazztel model 15-exhibits-Friso2_Jazztel model 16DP3-Exhibits_FT-6June2001_1" xfId="411" xr:uid="{00000000-0005-0000-0000-000090010000}"/>
    <cellStyle name="_Multiple_Jazztel model 15-exhibits-Friso2_Jazztel model 16DP3-Exhibits_FT-6June2001_1_Telefonica Moviles" xfId="412" xr:uid="{00000000-0005-0000-0000-000091010000}"/>
    <cellStyle name="_Multiple_Jazztel model 15-exhibits-Friso2_Jazztel model 18DP-exhibits" xfId="413" xr:uid="{00000000-0005-0000-0000-000092010000}"/>
    <cellStyle name="_Multiple_Jazztel model 15-exhibits-Friso2_Jazztel model 18DP-exhibits_FT-6June2001" xfId="414" xr:uid="{00000000-0005-0000-0000-000093010000}"/>
    <cellStyle name="_Multiple_Jazztel model 15-exhibits-Friso2_Jazztel model 18DP-exhibits_Orange-Mar01" xfId="415" xr:uid="{00000000-0005-0000-0000-000094010000}"/>
    <cellStyle name="_Multiple_Jazztel model 15-exhibits-Friso2_Jazztel model 18DP-exhibits_Orange-May01" xfId="416" xr:uid="{00000000-0005-0000-0000-000095010000}"/>
    <cellStyle name="_Multiple_Jazztel model 15-exhibits-Friso2_Jazztel model 18DP-exhibits_T_MOBIL2" xfId="417" xr:uid="{00000000-0005-0000-0000-000096010000}"/>
    <cellStyle name="_Multiple_Jazztel model 15-exhibits-Friso2_Jazztel model 18DP-exhibits_T_MOBIL2_FT-6June2001" xfId="418" xr:uid="{00000000-0005-0000-0000-000097010000}"/>
    <cellStyle name="_Multiple_Jazztel model 15-exhibits-Friso2_Jazztel model 18DP-exhibits_T_MOBIL2_FT-6June2001_1" xfId="419" xr:uid="{00000000-0005-0000-0000-000098010000}"/>
    <cellStyle name="_Multiple_Jazztel model 15-exhibits-Friso2_Jazztel model 18DP-exhibits_T_MOBIL2_Orange-May01" xfId="420" xr:uid="{00000000-0005-0000-0000-000099010000}"/>
    <cellStyle name="_Multiple_Jazztel model 15-exhibits-Friso2_Jazztel model 18DP-exhibits_T_MOBIL2_Telefonica Moviles" xfId="421" xr:uid="{00000000-0005-0000-0000-00009A010000}"/>
    <cellStyle name="_Multiple_Jazztel model 15-exhibits-Friso2_Jazztel model 18DP-exhibits_Telefonica Moviles" xfId="422" xr:uid="{00000000-0005-0000-0000-00009B010000}"/>
    <cellStyle name="_Multiple_Jazztel model 15-exhibits-Friso2_Jazztel model 18DP-exhibits_TelenorInitiation-11Jan01" xfId="423" xr:uid="{00000000-0005-0000-0000-00009C010000}"/>
    <cellStyle name="_Multiple_Jazztel model 15-exhibits-Friso2_Jazztel model 18DP-exhibits_TelenorWIPFeb01" xfId="424" xr:uid="{00000000-0005-0000-0000-00009D010000}"/>
    <cellStyle name="_Multiple_Jazztel model 15-exhibits-Friso2_Jazztel model 18DP-exhibits_Telia-April01(new structure)" xfId="425" xr:uid="{00000000-0005-0000-0000-00009E010000}"/>
    <cellStyle name="_Multiple_Jazztel model 15-exhibits-Friso2_Jazztel model 18DP-exhibits_Telia-April01(new structure)_FT-6June2001" xfId="426" xr:uid="{00000000-0005-0000-0000-00009F010000}"/>
    <cellStyle name="_Multiple_Jazztel model 15-exhibits-Friso2_Jazztel model 18DP-exhibits_Telia-April01(new structure)_FT-6June2001_Telefonica Moviles" xfId="427" xr:uid="{00000000-0005-0000-0000-0000A0010000}"/>
    <cellStyle name="_Multiple_Jazztel model 15-exhibits-Friso2_Jazztel model 18DP-exhibits_Telia-April01(new structure)_Telefonica Moviles" xfId="428" xr:uid="{00000000-0005-0000-0000-0000A1010000}"/>
    <cellStyle name="_Multiple_Jazztel model 15-exhibits-Friso2_Jazztel1" xfId="429" xr:uid="{00000000-0005-0000-0000-0000A2010000}"/>
    <cellStyle name="_Multiple_Jazztel model 15-exhibits-Friso2_Orange-Mar01" xfId="430" xr:uid="{00000000-0005-0000-0000-0000A3010000}"/>
    <cellStyle name="_Multiple_Jazztel model 15-exhibits-Friso2_Orange-Mar01_FT-6June2001" xfId="431" xr:uid="{00000000-0005-0000-0000-0000A4010000}"/>
    <cellStyle name="_Multiple_Jazztel model 15-exhibits-Friso2_Orange-Mar01_Telefonica Moviles" xfId="432" xr:uid="{00000000-0005-0000-0000-0000A5010000}"/>
    <cellStyle name="_Multiple_Jazztel model 15-exhibits-Friso2_Orange-Mar01_Telefonica Moviles_1" xfId="433" xr:uid="{00000000-0005-0000-0000-0000A6010000}"/>
    <cellStyle name="_Multiple_Jazztel model 15-exhibits-Friso2_Orange-May01" xfId="434" xr:uid="{00000000-0005-0000-0000-0000A7010000}"/>
    <cellStyle name="_Multiple_Jazztel model 15-exhibits-Friso2_Orange-May01_FT-6June2001" xfId="435" xr:uid="{00000000-0005-0000-0000-0000A8010000}"/>
    <cellStyle name="_Multiple_Jazztel model 15-exhibits-Friso2_Orange-May01_FT-6June2001_Telefonica Moviles" xfId="436" xr:uid="{00000000-0005-0000-0000-0000A9010000}"/>
    <cellStyle name="_Multiple_Jazztel model 15-exhibits-Friso2_Orange-May01_Telefonica Moviles" xfId="437" xr:uid="{00000000-0005-0000-0000-0000AA010000}"/>
    <cellStyle name="_Multiple_Jazztel model 15-exhibits-Friso2_T_MOBIL2" xfId="438" xr:uid="{00000000-0005-0000-0000-0000AB010000}"/>
    <cellStyle name="_Multiple_Jazztel model 15-exhibits-Friso2_TelenorInitiation-11Jan01" xfId="439" xr:uid="{00000000-0005-0000-0000-0000AC010000}"/>
    <cellStyle name="_Multiple_Jazztel model 15-exhibits-Friso2_TelenorInitiation-11Jan01_FT-6June2001" xfId="440" xr:uid="{00000000-0005-0000-0000-0000AD010000}"/>
    <cellStyle name="_Multiple_Jazztel model 15-exhibits-Friso2_TelenorInitiation-11Jan01_Telefonica Moviles" xfId="441" xr:uid="{00000000-0005-0000-0000-0000AE010000}"/>
    <cellStyle name="_Multiple_Jazztel model 15-exhibits-Friso2_TelenorInitiation-11Jan01_Telefonica Moviles_1" xfId="442" xr:uid="{00000000-0005-0000-0000-0000AF010000}"/>
    <cellStyle name="_Multiple_Jazztel model 15-exhibits-Friso2_TelenorWIPFeb01" xfId="443" xr:uid="{00000000-0005-0000-0000-0000B0010000}"/>
    <cellStyle name="_Multiple_Jazztel model 15-exhibits-Friso2_TelenorWIPFeb01_FT-6June2001" xfId="444" xr:uid="{00000000-0005-0000-0000-0000B1010000}"/>
    <cellStyle name="_Multiple_Jazztel model 15-exhibits-Friso2_TelenorWIPFeb01_Telefonica Moviles" xfId="445" xr:uid="{00000000-0005-0000-0000-0000B2010000}"/>
    <cellStyle name="_Multiple_Jazztel model 15-exhibits-Friso2_TelenorWIPFeb01_Telefonica Moviles_1" xfId="446" xr:uid="{00000000-0005-0000-0000-0000B3010000}"/>
    <cellStyle name="_Multiple_Jazztel model 15-exhibits-Friso2_Telia-April01(new structure)" xfId="447" xr:uid="{00000000-0005-0000-0000-0000B4010000}"/>
    <cellStyle name="_Multiple_Jazztel model 16DP2-Exhibits" xfId="448" xr:uid="{00000000-0005-0000-0000-0000B5010000}"/>
    <cellStyle name="_Multiple_Jazztel model 16DP2-Exhibits_3G Models" xfId="449" xr:uid="{00000000-0005-0000-0000-0000B6010000}"/>
    <cellStyle name="_Multiple_Jazztel model 16DP2-Exhibits_FT-6June2001" xfId="450" xr:uid="{00000000-0005-0000-0000-0000B7010000}"/>
    <cellStyle name="_Multiple_Jazztel model 16DP2-Exhibits_Orange-Mar01" xfId="451" xr:uid="{00000000-0005-0000-0000-0000B8010000}"/>
    <cellStyle name="_Multiple_Jazztel model 16DP2-Exhibits_Orange-May01" xfId="452" xr:uid="{00000000-0005-0000-0000-0000B9010000}"/>
    <cellStyle name="_Multiple_Jazztel model 16DP2-Exhibits_T_MOBIL2" xfId="453" xr:uid="{00000000-0005-0000-0000-0000BA010000}"/>
    <cellStyle name="_Multiple_Jazztel model 16DP2-Exhibits_Telefonica Moviles" xfId="454" xr:uid="{00000000-0005-0000-0000-0000BB010000}"/>
    <cellStyle name="_Multiple_Jazztel model 16DP2-Exhibits_TelenorInitiation-11Jan01" xfId="455" xr:uid="{00000000-0005-0000-0000-0000BC010000}"/>
    <cellStyle name="_Multiple_Jazztel model 16DP2-Exhibits_TelenorWIPFeb01" xfId="456" xr:uid="{00000000-0005-0000-0000-0000BD010000}"/>
    <cellStyle name="_Multiple_Jazztel model 16DP3-Exhibits" xfId="457" xr:uid="{00000000-0005-0000-0000-0000BE010000}"/>
    <cellStyle name="_Multiple_Jazztel model 16DP3-Exhibits_3G Models" xfId="458" xr:uid="{00000000-0005-0000-0000-0000BF010000}"/>
    <cellStyle name="_Multiple_Jazztel model 16DP3-Exhibits_FT-6June2001" xfId="459" xr:uid="{00000000-0005-0000-0000-0000C0010000}"/>
    <cellStyle name="_Multiple_Jazztel model 16DP3-Exhibits_Orange-Mar01" xfId="460" xr:uid="{00000000-0005-0000-0000-0000C1010000}"/>
    <cellStyle name="_Multiple_Jazztel model 16DP3-Exhibits_Orange-May01" xfId="461" xr:uid="{00000000-0005-0000-0000-0000C2010000}"/>
    <cellStyle name="_Multiple_Jazztel model 16DP3-Exhibits_T_MOBIL2" xfId="462" xr:uid="{00000000-0005-0000-0000-0000C3010000}"/>
    <cellStyle name="_Multiple_Jazztel model 16DP3-Exhibits_Telefonica Moviles" xfId="463" xr:uid="{00000000-0005-0000-0000-0000C4010000}"/>
    <cellStyle name="_Multiple_Jazztel model 16DP3-Exhibits_TelenorInitiation-11Jan01" xfId="464" xr:uid="{00000000-0005-0000-0000-0000C5010000}"/>
    <cellStyle name="_Multiple_Jazztel model 16DP3-Exhibits_TelenorWIPFeb01" xfId="465" xr:uid="{00000000-0005-0000-0000-0000C6010000}"/>
    <cellStyle name="_Multiple_Orange-Mar01" xfId="466" xr:uid="{00000000-0005-0000-0000-0000C7010000}"/>
    <cellStyle name="_Multiple_Orange-May01" xfId="467" xr:uid="{00000000-0005-0000-0000-0000C8010000}"/>
    <cellStyle name="_Multiple_T_MOBIL2" xfId="468" xr:uid="{00000000-0005-0000-0000-0000C9010000}"/>
    <cellStyle name="_Multiple_Telefonica Moviles" xfId="469" xr:uid="{00000000-0005-0000-0000-0000CA010000}"/>
    <cellStyle name="_Multiple_TelenorInitiation-11Jan01" xfId="470" xr:uid="{00000000-0005-0000-0000-0000CB010000}"/>
    <cellStyle name="_Multiple_TelenorWIPFeb01" xfId="471" xr:uid="{00000000-0005-0000-0000-0000CC010000}"/>
    <cellStyle name="_Multiple_t-mobile Sep 2003" xfId="472" xr:uid="{00000000-0005-0000-0000-0000CD010000}"/>
    <cellStyle name="_MultipleSpace" xfId="473" xr:uid="{00000000-0005-0000-0000-0000CE010000}"/>
    <cellStyle name="_MultipleSpace 2" xfId="1782" xr:uid="{B210DC24-91F0-4E01-8AB5-509210FC5B35}"/>
    <cellStyle name="_MultipleSpace_3G Models" xfId="474" xr:uid="{00000000-0005-0000-0000-0000CF010000}"/>
    <cellStyle name="_MultipleSpace_bls roic" xfId="475" xr:uid="{00000000-0005-0000-0000-0000D0010000}"/>
    <cellStyle name="_MultipleSpace_Book1" xfId="476" xr:uid="{00000000-0005-0000-0000-0000D1010000}"/>
    <cellStyle name="_MultipleSpace_Book1_Jazztel" xfId="477" xr:uid="{00000000-0005-0000-0000-0000D2010000}"/>
    <cellStyle name="_MultipleSpace_Book1_Jazztel model 16DP3-Exhibits" xfId="478" xr:uid="{00000000-0005-0000-0000-0000D3010000}"/>
    <cellStyle name="_MultipleSpace_Book1_Jazztel model 16DP3-Exhibits_Orange-Mar01" xfId="479" xr:uid="{00000000-0005-0000-0000-0000D4010000}"/>
    <cellStyle name="_MultipleSpace_Book1_Jazztel model 16DP3-Exhibits_Orange-May01" xfId="480" xr:uid="{00000000-0005-0000-0000-0000D5010000}"/>
    <cellStyle name="_MultipleSpace_Book1_Jazztel model 16DP3-Exhibits_TelenorInitiation-11Jan01" xfId="481" xr:uid="{00000000-0005-0000-0000-0000D6010000}"/>
    <cellStyle name="_MultipleSpace_Book1_Jazztel model 16DP3-Exhibits_TelenorWIPFeb01" xfId="482" xr:uid="{00000000-0005-0000-0000-0000D7010000}"/>
    <cellStyle name="_MultipleSpace_Book1_Jazztel model 18DP-exhibits" xfId="483" xr:uid="{00000000-0005-0000-0000-0000D8010000}"/>
    <cellStyle name="_MultipleSpace_Book1_Jazztel model 18DP-exhibits_FT-6June2001" xfId="484" xr:uid="{00000000-0005-0000-0000-0000D9010000}"/>
    <cellStyle name="_MultipleSpace_Book1_Jazztel model 18DP-exhibits_Orange-Mar01" xfId="485" xr:uid="{00000000-0005-0000-0000-0000DA010000}"/>
    <cellStyle name="_MultipleSpace_Book1_Jazztel model 18DP-exhibits_Orange-May01" xfId="486" xr:uid="{00000000-0005-0000-0000-0000DB010000}"/>
    <cellStyle name="_MultipleSpace_Book1_Jazztel model 18DP-exhibits_T_MOBIL2" xfId="487" xr:uid="{00000000-0005-0000-0000-0000DC010000}"/>
    <cellStyle name="_MultipleSpace_Book1_Jazztel model 18DP-exhibits_T_MOBIL2_FT-6June2001" xfId="488" xr:uid="{00000000-0005-0000-0000-0000DD010000}"/>
    <cellStyle name="_MultipleSpace_Book1_Jazztel model 18DP-exhibits_T_MOBIL2_Orange-May01" xfId="489" xr:uid="{00000000-0005-0000-0000-0000DE010000}"/>
    <cellStyle name="_MultipleSpace_Book1_Jazztel model 18DP-exhibits_T_MOBIL2_Telefonica Moviles" xfId="490" xr:uid="{00000000-0005-0000-0000-0000DF010000}"/>
    <cellStyle name="_MultipleSpace_Book1_Jazztel model 18DP-exhibits_Telefonica Moviles" xfId="491" xr:uid="{00000000-0005-0000-0000-0000E0010000}"/>
    <cellStyle name="_MultipleSpace_Book1_Jazztel model 18DP-exhibits_TelenorInitiation-11Jan01" xfId="492" xr:uid="{00000000-0005-0000-0000-0000E1010000}"/>
    <cellStyle name="_MultipleSpace_Book1_Jazztel model 18DP-exhibits_TelenorWIPFeb01" xfId="493" xr:uid="{00000000-0005-0000-0000-0000E2010000}"/>
    <cellStyle name="_MultipleSpace_Book1_Jazztel model 18DP-exhibits_Telia-April01(new structure)" xfId="494" xr:uid="{00000000-0005-0000-0000-0000E3010000}"/>
    <cellStyle name="_MultipleSpace_Book1_Jazztel1" xfId="495" xr:uid="{00000000-0005-0000-0000-0000E4010000}"/>
    <cellStyle name="_MultipleSpace_Book1_Jazztel1_Orange-Mar01" xfId="496" xr:uid="{00000000-0005-0000-0000-0000E5010000}"/>
    <cellStyle name="_MultipleSpace_Book1_Jazztel1_Orange-Mar01_FT-6June2001" xfId="497" xr:uid="{00000000-0005-0000-0000-0000E6010000}"/>
    <cellStyle name="_MultipleSpace_Book1_Jazztel1_Orange-Mar01_Telefonica Group August 12 2002" xfId="498" xr:uid="{00000000-0005-0000-0000-0000E7010000}"/>
    <cellStyle name="_MultipleSpace_Book1_Jazztel1_Orange-Mar01_Telefonica Group Jan 02" xfId="499" xr:uid="{00000000-0005-0000-0000-0000E8010000}"/>
    <cellStyle name="_MultipleSpace_Book1_Jazztel1_Orange-Mar01_Telefonica Moviles" xfId="500" xr:uid="{00000000-0005-0000-0000-0000E9010000}"/>
    <cellStyle name="_MultipleSpace_Book1_Jazztel1_Orange-Mar01_Telefonica Moviles_1" xfId="501" xr:uid="{00000000-0005-0000-0000-0000EA010000}"/>
    <cellStyle name="_MultipleSpace_Book1_Jazztel1_Orange-May01" xfId="502" xr:uid="{00000000-0005-0000-0000-0000EB010000}"/>
    <cellStyle name="_MultipleSpace_Book1_Jazztel1_Orange-May01_FT-6June2001" xfId="503" xr:uid="{00000000-0005-0000-0000-0000EC010000}"/>
    <cellStyle name="_MultipleSpace_Book1_Jazztel1_Orange-May01_FT-6June2001_Telefonica Moviles" xfId="504" xr:uid="{00000000-0005-0000-0000-0000ED010000}"/>
    <cellStyle name="_MultipleSpace_Book1_Jazztel1_Orange-May01_Telefonica Moviles" xfId="505" xr:uid="{00000000-0005-0000-0000-0000EE010000}"/>
    <cellStyle name="_MultipleSpace_Book1_Jazztel1_TelenorInitiation-11Jan01" xfId="506" xr:uid="{00000000-0005-0000-0000-0000EF010000}"/>
    <cellStyle name="_MultipleSpace_Book1_Jazztel1_TelenorInitiation-11Jan01_FT-6June2001" xfId="507" xr:uid="{00000000-0005-0000-0000-0000F0010000}"/>
    <cellStyle name="_MultipleSpace_Book1_Jazztel1_TelenorInitiation-11Jan01_Telefonica Group August 12 2002" xfId="508" xr:uid="{00000000-0005-0000-0000-0000F1010000}"/>
    <cellStyle name="_MultipleSpace_Book1_Jazztel1_TelenorInitiation-11Jan01_Telefonica Group Jan 02" xfId="509" xr:uid="{00000000-0005-0000-0000-0000F2010000}"/>
    <cellStyle name="_MultipleSpace_Book1_Jazztel1_TelenorInitiation-11Jan01_Telefonica Moviles" xfId="510" xr:uid="{00000000-0005-0000-0000-0000F3010000}"/>
    <cellStyle name="_MultipleSpace_Book1_Jazztel1_TelenorInitiation-11Jan01_Telefonica Moviles_1" xfId="511" xr:uid="{00000000-0005-0000-0000-0000F4010000}"/>
    <cellStyle name="_MultipleSpace_Book1_Jazztel1_TelenorWIPFeb01" xfId="512" xr:uid="{00000000-0005-0000-0000-0000F5010000}"/>
    <cellStyle name="_MultipleSpace_Book1_Jazztel1_TelenorWIPFeb01_FT-6June2001" xfId="513" xr:uid="{00000000-0005-0000-0000-0000F6010000}"/>
    <cellStyle name="_MultipleSpace_Book1_Jazztel1_TelenorWIPFeb01_Telefonica Group August 12 2002" xfId="514" xr:uid="{00000000-0005-0000-0000-0000F7010000}"/>
    <cellStyle name="_MultipleSpace_Book1_Jazztel1_TelenorWIPFeb01_Telefonica Group Jan 02" xfId="515" xr:uid="{00000000-0005-0000-0000-0000F8010000}"/>
    <cellStyle name="_MultipleSpace_Book1_Jazztel1_TelenorWIPFeb01_Telefonica Moviles" xfId="516" xr:uid="{00000000-0005-0000-0000-0000F9010000}"/>
    <cellStyle name="_MultipleSpace_Book1_Jazztel1_TelenorWIPFeb01_Telefonica Moviles_1" xfId="517" xr:uid="{00000000-0005-0000-0000-0000FA010000}"/>
    <cellStyle name="_MultipleSpace_Book11" xfId="518" xr:uid="{00000000-0005-0000-0000-0000FB010000}"/>
    <cellStyle name="_MultipleSpace_Book11_Jazztel" xfId="519" xr:uid="{00000000-0005-0000-0000-0000FC010000}"/>
    <cellStyle name="_MultipleSpace_Book11_Jazztel model 16DP3-Exhibits" xfId="520" xr:uid="{00000000-0005-0000-0000-0000FD010000}"/>
    <cellStyle name="_MultipleSpace_Book11_Jazztel model 16DP3-Exhibits_Orange-Mar01" xfId="521" xr:uid="{00000000-0005-0000-0000-0000FE010000}"/>
    <cellStyle name="_MultipleSpace_Book11_Jazztel model 16DP3-Exhibits_Orange-May01" xfId="522" xr:uid="{00000000-0005-0000-0000-0000FF010000}"/>
    <cellStyle name="_MultipleSpace_Book11_Jazztel model 16DP3-Exhibits_TelenorInitiation-11Jan01" xfId="523" xr:uid="{00000000-0005-0000-0000-000000020000}"/>
    <cellStyle name="_MultipleSpace_Book11_Jazztel model 16DP3-Exhibits_TelenorWIPFeb01" xfId="524" xr:uid="{00000000-0005-0000-0000-000001020000}"/>
    <cellStyle name="_MultipleSpace_Book11_Jazztel model 18DP-exhibits" xfId="525" xr:uid="{00000000-0005-0000-0000-000002020000}"/>
    <cellStyle name="_MultipleSpace_Book11_Jazztel model 18DP-exhibits_FT-6June2001" xfId="526" xr:uid="{00000000-0005-0000-0000-000003020000}"/>
    <cellStyle name="_MultipleSpace_Book11_Jazztel model 18DP-exhibits_Orange-Mar01" xfId="527" xr:uid="{00000000-0005-0000-0000-000004020000}"/>
    <cellStyle name="_MultipleSpace_Book11_Jazztel model 18DP-exhibits_Orange-May01" xfId="528" xr:uid="{00000000-0005-0000-0000-000005020000}"/>
    <cellStyle name="_MultipleSpace_Book11_Jazztel model 18DP-exhibits_T_MOBIL2" xfId="529" xr:uid="{00000000-0005-0000-0000-000006020000}"/>
    <cellStyle name="_MultipleSpace_Book11_Jazztel model 18DP-exhibits_T_MOBIL2_FT-6June2001" xfId="530" xr:uid="{00000000-0005-0000-0000-000007020000}"/>
    <cellStyle name="_MultipleSpace_Book11_Jazztel model 18DP-exhibits_T_MOBIL2_Orange-May01" xfId="531" xr:uid="{00000000-0005-0000-0000-000008020000}"/>
    <cellStyle name="_MultipleSpace_Book11_Jazztel model 18DP-exhibits_T_MOBIL2_Telefonica Moviles" xfId="532" xr:uid="{00000000-0005-0000-0000-000009020000}"/>
    <cellStyle name="_MultipleSpace_Book11_Jazztel model 18DP-exhibits_Telefonica Moviles" xfId="533" xr:uid="{00000000-0005-0000-0000-00000A020000}"/>
    <cellStyle name="_MultipleSpace_Book11_Jazztel model 18DP-exhibits_TelenorInitiation-11Jan01" xfId="534" xr:uid="{00000000-0005-0000-0000-00000B020000}"/>
    <cellStyle name="_MultipleSpace_Book11_Jazztel model 18DP-exhibits_TelenorWIPFeb01" xfId="535" xr:uid="{00000000-0005-0000-0000-00000C020000}"/>
    <cellStyle name="_MultipleSpace_Book11_Jazztel model 18DP-exhibits_Telia-April01(new structure)" xfId="536" xr:uid="{00000000-0005-0000-0000-00000D020000}"/>
    <cellStyle name="_MultipleSpace_Book11_Jazztel1" xfId="537" xr:uid="{00000000-0005-0000-0000-00000E020000}"/>
    <cellStyle name="_MultipleSpace_Book11_Jazztel1_Orange-Mar01" xfId="538" xr:uid="{00000000-0005-0000-0000-00000F020000}"/>
    <cellStyle name="_MultipleSpace_Book11_Jazztel1_Orange-Mar01_FT-6June2001" xfId="539" xr:uid="{00000000-0005-0000-0000-000010020000}"/>
    <cellStyle name="_MultipleSpace_Book11_Jazztel1_Orange-Mar01_Telefonica Group August 12 2002" xfId="540" xr:uid="{00000000-0005-0000-0000-000011020000}"/>
    <cellStyle name="_MultipleSpace_Book11_Jazztel1_Orange-Mar01_Telefonica Group Jan 02" xfId="541" xr:uid="{00000000-0005-0000-0000-000012020000}"/>
    <cellStyle name="_MultipleSpace_Book11_Jazztel1_Orange-Mar01_Telefonica Moviles" xfId="542" xr:uid="{00000000-0005-0000-0000-000013020000}"/>
    <cellStyle name="_MultipleSpace_Book11_Jazztel1_Orange-Mar01_Telefonica Moviles_1" xfId="543" xr:uid="{00000000-0005-0000-0000-000014020000}"/>
    <cellStyle name="_MultipleSpace_Book11_Jazztel1_Orange-May01" xfId="544" xr:uid="{00000000-0005-0000-0000-000015020000}"/>
    <cellStyle name="_MultipleSpace_Book11_Jazztel1_Orange-May01_FT-6June2001" xfId="545" xr:uid="{00000000-0005-0000-0000-000016020000}"/>
    <cellStyle name="_MultipleSpace_Book11_Jazztel1_Orange-May01_FT-6June2001_Telefonica Moviles" xfId="546" xr:uid="{00000000-0005-0000-0000-000017020000}"/>
    <cellStyle name="_MultipleSpace_Book11_Jazztel1_Orange-May01_Telefonica Moviles" xfId="547" xr:uid="{00000000-0005-0000-0000-000018020000}"/>
    <cellStyle name="_MultipleSpace_Book11_Jazztel1_TelenorInitiation-11Jan01" xfId="548" xr:uid="{00000000-0005-0000-0000-000019020000}"/>
    <cellStyle name="_MultipleSpace_Book11_Jazztel1_TelenorInitiation-11Jan01_FT-6June2001" xfId="549" xr:uid="{00000000-0005-0000-0000-00001A020000}"/>
    <cellStyle name="_MultipleSpace_Book11_Jazztel1_TelenorInitiation-11Jan01_Telefonica Group August 12 2002" xfId="550" xr:uid="{00000000-0005-0000-0000-00001B020000}"/>
    <cellStyle name="_MultipleSpace_Book11_Jazztel1_TelenorInitiation-11Jan01_Telefonica Group Jan 02" xfId="551" xr:uid="{00000000-0005-0000-0000-00001C020000}"/>
    <cellStyle name="_MultipleSpace_Book11_Jazztel1_TelenorInitiation-11Jan01_Telefonica Moviles" xfId="552" xr:uid="{00000000-0005-0000-0000-00001D020000}"/>
    <cellStyle name="_MultipleSpace_Book11_Jazztel1_TelenorInitiation-11Jan01_Telefonica Moviles_1" xfId="553" xr:uid="{00000000-0005-0000-0000-00001E020000}"/>
    <cellStyle name="_MultipleSpace_Book11_Jazztel1_TelenorWIPFeb01" xfId="554" xr:uid="{00000000-0005-0000-0000-00001F020000}"/>
    <cellStyle name="_MultipleSpace_Book11_Jazztel1_TelenorWIPFeb01_FT-6June2001" xfId="555" xr:uid="{00000000-0005-0000-0000-000020020000}"/>
    <cellStyle name="_MultipleSpace_Book11_Jazztel1_TelenorWIPFeb01_Telefonica Group August 12 2002" xfId="556" xr:uid="{00000000-0005-0000-0000-000021020000}"/>
    <cellStyle name="_MultipleSpace_Book11_Jazztel1_TelenorWIPFeb01_Telefonica Group Jan 02" xfId="557" xr:uid="{00000000-0005-0000-0000-000022020000}"/>
    <cellStyle name="_MultipleSpace_Book11_Jazztel1_TelenorWIPFeb01_Telefonica Moviles" xfId="558" xr:uid="{00000000-0005-0000-0000-000023020000}"/>
    <cellStyle name="_MultipleSpace_Book11_Jazztel1_TelenorWIPFeb01_Telefonica Moviles_1" xfId="559" xr:uid="{00000000-0005-0000-0000-000024020000}"/>
    <cellStyle name="_MultipleSpace_Book12" xfId="560" xr:uid="{00000000-0005-0000-0000-000025020000}"/>
    <cellStyle name="_MultipleSpace_Book12_Jazztel" xfId="561" xr:uid="{00000000-0005-0000-0000-000026020000}"/>
    <cellStyle name="_MultipleSpace_Book12_Jazztel model 16DP3-Exhibits" xfId="562" xr:uid="{00000000-0005-0000-0000-000027020000}"/>
    <cellStyle name="_MultipleSpace_Book12_Jazztel model 16DP3-Exhibits_Orange-Mar01" xfId="563" xr:uid="{00000000-0005-0000-0000-000028020000}"/>
    <cellStyle name="_MultipleSpace_Book12_Jazztel model 16DP3-Exhibits_Orange-May01" xfId="564" xr:uid="{00000000-0005-0000-0000-000029020000}"/>
    <cellStyle name="_MultipleSpace_Book12_Jazztel model 16DP3-Exhibits_TelenorInitiation-11Jan01" xfId="565" xr:uid="{00000000-0005-0000-0000-00002A020000}"/>
    <cellStyle name="_MultipleSpace_Book12_Jazztel model 16DP3-Exhibits_TelenorWIPFeb01" xfId="566" xr:uid="{00000000-0005-0000-0000-00002B020000}"/>
    <cellStyle name="_MultipleSpace_Book12_Jazztel model 18DP-exhibits" xfId="567" xr:uid="{00000000-0005-0000-0000-00002C020000}"/>
    <cellStyle name="_MultipleSpace_Book12_Jazztel model 18DP-exhibits_FT-6June2001" xfId="568" xr:uid="{00000000-0005-0000-0000-00002D020000}"/>
    <cellStyle name="_MultipleSpace_Book12_Jazztel model 18DP-exhibits_Orange-Mar01" xfId="569" xr:uid="{00000000-0005-0000-0000-00002E020000}"/>
    <cellStyle name="_MultipleSpace_Book12_Jazztel model 18DP-exhibits_Orange-May01" xfId="570" xr:uid="{00000000-0005-0000-0000-00002F020000}"/>
    <cellStyle name="_MultipleSpace_Book12_Jazztel model 18DP-exhibits_T_MOBIL2" xfId="571" xr:uid="{00000000-0005-0000-0000-000030020000}"/>
    <cellStyle name="_MultipleSpace_Book12_Jazztel model 18DP-exhibits_T_MOBIL2_FT-6June2001" xfId="572" xr:uid="{00000000-0005-0000-0000-000031020000}"/>
    <cellStyle name="_MultipleSpace_Book12_Jazztel model 18DP-exhibits_T_MOBIL2_Orange-May01" xfId="573" xr:uid="{00000000-0005-0000-0000-000032020000}"/>
    <cellStyle name="_MultipleSpace_Book12_Jazztel model 18DP-exhibits_T_MOBIL2_Telefonica Moviles" xfId="574" xr:uid="{00000000-0005-0000-0000-000033020000}"/>
    <cellStyle name="_MultipleSpace_Book12_Jazztel model 18DP-exhibits_Telefonica Moviles" xfId="575" xr:uid="{00000000-0005-0000-0000-000034020000}"/>
    <cellStyle name="_MultipleSpace_Book12_Jazztel model 18DP-exhibits_TelenorInitiation-11Jan01" xfId="576" xr:uid="{00000000-0005-0000-0000-000035020000}"/>
    <cellStyle name="_MultipleSpace_Book12_Jazztel model 18DP-exhibits_TelenorWIPFeb01" xfId="577" xr:uid="{00000000-0005-0000-0000-000036020000}"/>
    <cellStyle name="_MultipleSpace_Book12_Jazztel model 18DP-exhibits_Telia-April01(new structure)" xfId="578" xr:uid="{00000000-0005-0000-0000-000037020000}"/>
    <cellStyle name="_MultipleSpace_Book12_Jazztel1" xfId="579" xr:uid="{00000000-0005-0000-0000-000038020000}"/>
    <cellStyle name="_MultipleSpace_Book12_Jazztel1_Orange-Mar01" xfId="580" xr:uid="{00000000-0005-0000-0000-000039020000}"/>
    <cellStyle name="_MultipleSpace_Book12_Jazztel1_Orange-Mar01_FT-6June2001" xfId="581" xr:uid="{00000000-0005-0000-0000-00003A020000}"/>
    <cellStyle name="_MultipleSpace_Book12_Jazztel1_Orange-Mar01_Telefonica Group August 12 2002" xfId="582" xr:uid="{00000000-0005-0000-0000-00003B020000}"/>
    <cellStyle name="_MultipleSpace_Book12_Jazztel1_Orange-Mar01_Telefonica Group Jan 02" xfId="583" xr:uid="{00000000-0005-0000-0000-00003C020000}"/>
    <cellStyle name="_MultipleSpace_Book12_Jazztel1_Orange-Mar01_Telefonica Moviles" xfId="584" xr:uid="{00000000-0005-0000-0000-00003D020000}"/>
    <cellStyle name="_MultipleSpace_Book12_Jazztel1_Orange-Mar01_Telefonica Moviles_1" xfId="585" xr:uid="{00000000-0005-0000-0000-00003E020000}"/>
    <cellStyle name="_MultipleSpace_Book12_Jazztel1_Orange-May01" xfId="586" xr:uid="{00000000-0005-0000-0000-00003F020000}"/>
    <cellStyle name="_MultipleSpace_Book12_Jazztel1_Orange-May01_FT-6June2001" xfId="587" xr:uid="{00000000-0005-0000-0000-000040020000}"/>
    <cellStyle name="_MultipleSpace_Book12_Jazztel1_Orange-May01_FT-6June2001_Telefonica Moviles" xfId="588" xr:uid="{00000000-0005-0000-0000-000041020000}"/>
    <cellStyle name="_MultipleSpace_Book12_Jazztel1_Orange-May01_Telefonica Moviles" xfId="589" xr:uid="{00000000-0005-0000-0000-000042020000}"/>
    <cellStyle name="_MultipleSpace_Book12_Jazztel1_TelenorInitiation-11Jan01" xfId="590" xr:uid="{00000000-0005-0000-0000-000043020000}"/>
    <cellStyle name="_MultipleSpace_Book12_Jazztel1_TelenorInitiation-11Jan01_FT-6June2001" xfId="591" xr:uid="{00000000-0005-0000-0000-000044020000}"/>
    <cellStyle name="_MultipleSpace_Book12_Jazztel1_TelenorInitiation-11Jan01_Telefonica Group August 12 2002" xfId="592" xr:uid="{00000000-0005-0000-0000-000045020000}"/>
    <cellStyle name="_MultipleSpace_Book12_Jazztel1_TelenorInitiation-11Jan01_Telefonica Group Jan 02" xfId="593" xr:uid="{00000000-0005-0000-0000-000046020000}"/>
    <cellStyle name="_MultipleSpace_Book12_Jazztel1_TelenorInitiation-11Jan01_Telefonica Moviles" xfId="594" xr:uid="{00000000-0005-0000-0000-000047020000}"/>
    <cellStyle name="_MultipleSpace_Book12_Jazztel1_TelenorInitiation-11Jan01_Telefonica Moviles_1" xfId="595" xr:uid="{00000000-0005-0000-0000-000048020000}"/>
    <cellStyle name="_MultipleSpace_Book12_Jazztel1_TelenorWIPFeb01" xfId="596" xr:uid="{00000000-0005-0000-0000-000049020000}"/>
    <cellStyle name="_MultipleSpace_Book12_Jazztel1_TelenorWIPFeb01_FT-6June2001" xfId="597" xr:uid="{00000000-0005-0000-0000-00004A020000}"/>
    <cellStyle name="_MultipleSpace_Book12_Jazztel1_TelenorWIPFeb01_Telefonica Group August 12 2002" xfId="598" xr:uid="{00000000-0005-0000-0000-00004B020000}"/>
    <cellStyle name="_MultipleSpace_Book12_Jazztel1_TelenorWIPFeb01_Telefonica Group Jan 02" xfId="599" xr:uid="{00000000-0005-0000-0000-00004C020000}"/>
    <cellStyle name="_MultipleSpace_Book12_Jazztel1_TelenorWIPFeb01_Telefonica Moviles" xfId="600" xr:uid="{00000000-0005-0000-0000-00004D020000}"/>
    <cellStyle name="_MultipleSpace_Book12_Jazztel1_TelenorWIPFeb01_Telefonica Moviles_1" xfId="601" xr:uid="{00000000-0005-0000-0000-00004E020000}"/>
    <cellStyle name="_MultipleSpace_DCF Summary pages" xfId="602" xr:uid="{00000000-0005-0000-0000-00004F020000}"/>
    <cellStyle name="_MultipleSpace_DCF Summary pages_Jazztel" xfId="603" xr:uid="{00000000-0005-0000-0000-000050020000}"/>
    <cellStyle name="_MultipleSpace_DCF Summary pages_Jazztel model 16DP3-Exhibits" xfId="604" xr:uid="{00000000-0005-0000-0000-000051020000}"/>
    <cellStyle name="_MultipleSpace_DCF Summary pages_Jazztel model 16DP3-Exhibits_Orange-Mar01" xfId="605" xr:uid="{00000000-0005-0000-0000-000052020000}"/>
    <cellStyle name="_MultipleSpace_DCF Summary pages_Jazztel model 16DP3-Exhibits_Orange-May01" xfId="606" xr:uid="{00000000-0005-0000-0000-000053020000}"/>
    <cellStyle name="_MultipleSpace_DCF Summary pages_Jazztel model 16DP3-Exhibits_TelenorInitiation-11Jan01" xfId="607" xr:uid="{00000000-0005-0000-0000-000054020000}"/>
    <cellStyle name="_MultipleSpace_DCF Summary pages_Jazztel model 16DP3-Exhibits_TelenorWIPFeb01" xfId="608" xr:uid="{00000000-0005-0000-0000-000055020000}"/>
    <cellStyle name="_MultipleSpace_DCF Summary pages_Jazztel model 18DP-exhibits" xfId="609" xr:uid="{00000000-0005-0000-0000-000056020000}"/>
    <cellStyle name="_MultipleSpace_DCF Summary pages_Jazztel model 18DP-exhibits_FT-6June2001" xfId="610" xr:uid="{00000000-0005-0000-0000-000057020000}"/>
    <cellStyle name="_MultipleSpace_DCF Summary pages_Jazztel model 18DP-exhibits_Orange-Mar01" xfId="611" xr:uid="{00000000-0005-0000-0000-000058020000}"/>
    <cellStyle name="_MultipleSpace_DCF Summary pages_Jazztel model 18DP-exhibits_Orange-May01" xfId="612" xr:uid="{00000000-0005-0000-0000-000059020000}"/>
    <cellStyle name="_MultipleSpace_DCF Summary pages_Jazztel model 18DP-exhibits_T_MOBIL2" xfId="613" xr:uid="{00000000-0005-0000-0000-00005A020000}"/>
    <cellStyle name="_MultipleSpace_DCF Summary pages_Jazztel model 18DP-exhibits_T_MOBIL2_FT-6June2001" xfId="614" xr:uid="{00000000-0005-0000-0000-00005B020000}"/>
    <cellStyle name="_MultipleSpace_DCF Summary pages_Jazztel model 18DP-exhibits_T_MOBIL2_Orange-May01" xfId="615" xr:uid="{00000000-0005-0000-0000-00005C020000}"/>
    <cellStyle name="_MultipleSpace_DCF Summary pages_Jazztel model 18DP-exhibits_T_MOBIL2_Telefonica Moviles" xfId="616" xr:uid="{00000000-0005-0000-0000-00005D020000}"/>
    <cellStyle name="_MultipleSpace_DCF Summary pages_Jazztel model 18DP-exhibits_Telefonica Moviles" xfId="617" xr:uid="{00000000-0005-0000-0000-00005E020000}"/>
    <cellStyle name="_MultipleSpace_DCF Summary pages_Jazztel model 18DP-exhibits_TelenorInitiation-11Jan01" xfId="618" xr:uid="{00000000-0005-0000-0000-00005F020000}"/>
    <cellStyle name="_MultipleSpace_DCF Summary pages_Jazztel model 18DP-exhibits_TelenorWIPFeb01" xfId="619" xr:uid="{00000000-0005-0000-0000-000060020000}"/>
    <cellStyle name="_MultipleSpace_DCF Summary pages_Jazztel model 18DP-exhibits_Telia-April01(new structure)" xfId="620" xr:uid="{00000000-0005-0000-0000-000061020000}"/>
    <cellStyle name="_MultipleSpace_DCF Summary pages_Jazztel1" xfId="621" xr:uid="{00000000-0005-0000-0000-000062020000}"/>
    <cellStyle name="_MultipleSpace_DCF Summary pages_Jazztel1_Orange-Mar01" xfId="622" xr:uid="{00000000-0005-0000-0000-000063020000}"/>
    <cellStyle name="_MultipleSpace_DCF Summary pages_Jazztel1_Orange-Mar01_FT-6June2001" xfId="623" xr:uid="{00000000-0005-0000-0000-000064020000}"/>
    <cellStyle name="_MultipleSpace_DCF Summary pages_Jazztel1_Orange-Mar01_Telefonica Group August 12 2002" xfId="624" xr:uid="{00000000-0005-0000-0000-000065020000}"/>
    <cellStyle name="_MultipleSpace_DCF Summary pages_Jazztel1_Orange-Mar01_Telefonica Group Jan 02" xfId="625" xr:uid="{00000000-0005-0000-0000-000066020000}"/>
    <cellStyle name="_MultipleSpace_DCF Summary pages_Jazztel1_Orange-Mar01_Telefonica Moviles" xfId="626" xr:uid="{00000000-0005-0000-0000-000067020000}"/>
    <cellStyle name="_MultipleSpace_DCF Summary pages_Jazztel1_Orange-Mar01_Telefonica Moviles_1" xfId="627" xr:uid="{00000000-0005-0000-0000-000068020000}"/>
    <cellStyle name="_MultipleSpace_DCF Summary pages_Jazztel1_Orange-May01" xfId="628" xr:uid="{00000000-0005-0000-0000-000069020000}"/>
    <cellStyle name="_MultipleSpace_DCF Summary pages_Jazztel1_Orange-May01_FT-6June2001" xfId="629" xr:uid="{00000000-0005-0000-0000-00006A020000}"/>
    <cellStyle name="_MultipleSpace_DCF Summary pages_Jazztel1_Orange-May01_FT-6June2001_Telefonica Moviles" xfId="630" xr:uid="{00000000-0005-0000-0000-00006B020000}"/>
    <cellStyle name="_MultipleSpace_DCF Summary pages_Jazztel1_Orange-May01_Telefonica Moviles" xfId="631" xr:uid="{00000000-0005-0000-0000-00006C020000}"/>
    <cellStyle name="_MultipleSpace_DCF Summary pages_Jazztel1_TelenorInitiation-11Jan01" xfId="632" xr:uid="{00000000-0005-0000-0000-00006D020000}"/>
    <cellStyle name="_MultipleSpace_DCF Summary pages_Jazztel1_TelenorInitiation-11Jan01_FT-6June2001" xfId="633" xr:uid="{00000000-0005-0000-0000-00006E020000}"/>
    <cellStyle name="_MultipleSpace_DCF Summary pages_Jazztel1_TelenorInitiation-11Jan01_Telefonica Group August 12 2002" xfId="634" xr:uid="{00000000-0005-0000-0000-00006F020000}"/>
    <cellStyle name="_MultipleSpace_DCF Summary pages_Jazztel1_TelenorInitiation-11Jan01_Telefonica Group Jan 02" xfId="635" xr:uid="{00000000-0005-0000-0000-000070020000}"/>
    <cellStyle name="_MultipleSpace_DCF Summary pages_Jazztel1_TelenorInitiation-11Jan01_Telefonica Moviles" xfId="636" xr:uid="{00000000-0005-0000-0000-000071020000}"/>
    <cellStyle name="_MultipleSpace_DCF Summary pages_Jazztel1_TelenorInitiation-11Jan01_Telefonica Moviles_1" xfId="637" xr:uid="{00000000-0005-0000-0000-000072020000}"/>
    <cellStyle name="_MultipleSpace_DCF Summary pages_Jazztel1_TelenorWIPFeb01" xfId="638" xr:uid="{00000000-0005-0000-0000-000073020000}"/>
    <cellStyle name="_MultipleSpace_DCF Summary pages_Jazztel1_TelenorWIPFeb01_FT-6June2001" xfId="639" xr:uid="{00000000-0005-0000-0000-000074020000}"/>
    <cellStyle name="_MultipleSpace_DCF Summary pages_Jazztel1_TelenorWIPFeb01_Telefonica Group August 12 2002" xfId="640" xr:uid="{00000000-0005-0000-0000-000075020000}"/>
    <cellStyle name="_MultipleSpace_DCF Summary pages_Jazztel1_TelenorWIPFeb01_Telefonica Group Jan 02" xfId="641" xr:uid="{00000000-0005-0000-0000-000076020000}"/>
    <cellStyle name="_MultipleSpace_DCF Summary pages_Jazztel1_TelenorWIPFeb01_Telefonica Moviles" xfId="642" xr:uid="{00000000-0005-0000-0000-000077020000}"/>
    <cellStyle name="_MultipleSpace_DCF Summary pages_Jazztel1_TelenorWIPFeb01_Telefonica Moviles_1" xfId="643" xr:uid="{00000000-0005-0000-0000-000078020000}"/>
    <cellStyle name="_MultipleSpace_FT-6June2001" xfId="644" xr:uid="{00000000-0005-0000-0000-000079020000}"/>
    <cellStyle name="_MultipleSpace_FT-6June2001_Telefonica Moviles" xfId="645" xr:uid="{00000000-0005-0000-0000-00007A020000}"/>
    <cellStyle name="_MultipleSpace_Jazztel model 15-exhibits" xfId="646" xr:uid="{00000000-0005-0000-0000-00007B020000}"/>
    <cellStyle name="_MultipleSpace_Jazztel model 15-exhibits bis" xfId="647" xr:uid="{00000000-0005-0000-0000-00007C020000}"/>
    <cellStyle name="_MultipleSpace_Jazztel model 15-exhibits bis_Orange-Mar01" xfId="648" xr:uid="{00000000-0005-0000-0000-00007D020000}"/>
    <cellStyle name="_MultipleSpace_Jazztel model 15-exhibits bis_Orange-May01" xfId="649" xr:uid="{00000000-0005-0000-0000-00007E020000}"/>
    <cellStyle name="_MultipleSpace_Jazztel model 15-exhibits bis_TelenorInitiation-11Jan01" xfId="650" xr:uid="{00000000-0005-0000-0000-00007F020000}"/>
    <cellStyle name="_MultipleSpace_Jazztel model 15-exhibits bis_TelenorWIPFeb01" xfId="651" xr:uid="{00000000-0005-0000-0000-000080020000}"/>
    <cellStyle name="_MultipleSpace_Jazztel model 15-exhibits_Jazztel" xfId="652" xr:uid="{00000000-0005-0000-0000-000081020000}"/>
    <cellStyle name="_MultipleSpace_Jazztel model 15-exhibits_Jazztel model 16DP3-Exhibits" xfId="653" xr:uid="{00000000-0005-0000-0000-000082020000}"/>
    <cellStyle name="_MultipleSpace_Jazztel model 15-exhibits_Jazztel model 16DP3-Exhibits_Orange-Mar01" xfId="654" xr:uid="{00000000-0005-0000-0000-000083020000}"/>
    <cellStyle name="_MultipleSpace_Jazztel model 15-exhibits_Jazztel model 16DP3-Exhibits_Orange-May01" xfId="655" xr:uid="{00000000-0005-0000-0000-000084020000}"/>
    <cellStyle name="_MultipleSpace_Jazztel model 15-exhibits_Jazztel model 16DP3-Exhibits_TelenorInitiation-11Jan01" xfId="656" xr:uid="{00000000-0005-0000-0000-000085020000}"/>
    <cellStyle name="_MultipleSpace_Jazztel model 15-exhibits_Jazztel model 16DP3-Exhibits_TelenorWIPFeb01" xfId="657" xr:uid="{00000000-0005-0000-0000-000086020000}"/>
    <cellStyle name="_MultipleSpace_Jazztel model 15-exhibits_Jazztel model 18DP-exhibits" xfId="658" xr:uid="{00000000-0005-0000-0000-000087020000}"/>
    <cellStyle name="_MultipleSpace_Jazztel model 15-exhibits_Jazztel model 18DP-exhibits_FT-6June2001" xfId="659" xr:uid="{00000000-0005-0000-0000-000088020000}"/>
    <cellStyle name="_MultipleSpace_Jazztel model 15-exhibits_Jazztel model 18DP-exhibits_Orange-Mar01" xfId="660" xr:uid="{00000000-0005-0000-0000-000089020000}"/>
    <cellStyle name="_MultipleSpace_Jazztel model 15-exhibits_Jazztel model 18DP-exhibits_Orange-May01" xfId="661" xr:uid="{00000000-0005-0000-0000-00008A020000}"/>
    <cellStyle name="_MultipleSpace_Jazztel model 15-exhibits_Jazztel model 18DP-exhibits_T_MOBIL2" xfId="662" xr:uid="{00000000-0005-0000-0000-00008B020000}"/>
    <cellStyle name="_MultipleSpace_Jazztel model 15-exhibits_Jazztel model 18DP-exhibits_T_MOBIL2_FT-6June2001" xfId="663" xr:uid="{00000000-0005-0000-0000-00008C020000}"/>
    <cellStyle name="_MultipleSpace_Jazztel model 15-exhibits_Jazztel model 18DP-exhibits_T_MOBIL2_Orange-May01" xfId="664" xr:uid="{00000000-0005-0000-0000-00008D020000}"/>
    <cellStyle name="_MultipleSpace_Jazztel model 15-exhibits_Jazztel model 18DP-exhibits_T_MOBIL2_Telefonica Moviles" xfId="665" xr:uid="{00000000-0005-0000-0000-00008E020000}"/>
    <cellStyle name="_MultipleSpace_Jazztel model 15-exhibits_Jazztel model 18DP-exhibits_Telefonica Moviles" xfId="666" xr:uid="{00000000-0005-0000-0000-00008F020000}"/>
    <cellStyle name="_MultipleSpace_Jazztel model 15-exhibits_Jazztel model 18DP-exhibits_TelenorInitiation-11Jan01" xfId="667" xr:uid="{00000000-0005-0000-0000-000090020000}"/>
    <cellStyle name="_MultipleSpace_Jazztel model 15-exhibits_Jazztel model 18DP-exhibits_TelenorWIPFeb01" xfId="668" xr:uid="{00000000-0005-0000-0000-000091020000}"/>
    <cellStyle name="_MultipleSpace_Jazztel model 15-exhibits_Jazztel model 18DP-exhibits_Telia-April01(new structure)" xfId="669" xr:uid="{00000000-0005-0000-0000-000092020000}"/>
    <cellStyle name="_MultipleSpace_Jazztel model 15-exhibits_Jazztel1" xfId="670" xr:uid="{00000000-0005-0000-0000-000093020000}"/>
    <cellStyle name="_MultipleSpace_Jazztel model 15-exhibits_Jazztel1_Orange-Mar01" xfId="671" xr:uid="{00000000-0005-0000-0000-000094020000}"/>
    <cellStyle name="_MultipleSpace_Jazztel model 15-exhibits_Jazztel1_Orange-Mar01_FT-6June2001" xfId="672" xr:uid="{00000000-0005-0000-0000-000095020000}"/>
    <cellStyle name="_MultipleSpace_Jazztel model 15-exhibits_Jazztel1_Orange-Mar01_Telefonica Group August 12 2002" xfId="673" xr:uid="{00000000-0005-0000-0000-000096020000}"/>
    <cellStyle name="_MultipleSpace_Jazztel model 15-exhibits_Jazztel1_Orange-Mar01_Telefonica Group Jan 02" xfId="674" xr:uid="{00000000-0005-0000-0000-000097020000}"/>
    <cellStyle name="_MultipleSpace_Jazztel model 15-exhibits_Jazztel1_Orange-Mar01_Telefonica Moviles" xfId="675" xr:uid="{00000000-0005-0000-0000-000098020000}"/>
    <cellStyle name="_MultipleSpace_Jazztel model 15-exhibits_Jazztel1_Orange-Mar01_Telefonica Moviles_1" xfId="676" xr:uid="{00000000-0005-0000-0000-000099020000}"/>
    <cellStyle name="_MultipleSpace_Jazztel model 15-exhibits_Jazztel1_Orange-May01" xfId="677" xr:uid="{00000000-0005-0000-0000-00009A020000}"/>
    <cellStyle name="_MultipleSpace_Jazztel model 15-exhibits_Jazztel1_Orange-May01_FT-6June2001" xfId="678" xr:uid="{00000000-0005-0000-0000-00009B020000}"/>
    <cellStyle name="_MultipleSpace_Jazztel model 15-exhibits_Jazztel1_Orange-May01_FT-6June2001_Telefonica Moviles" xfId="679" xr:uid="{00000000-0005-0000-0000-00009C020000}"/>
    <cellStyle name="_MultipleSpace_Jazztel model 15-exhibits_Jazztel1_Orange-May01_Telefonica Moviles" xfId="680" xr:uid="{00000000-0005-0000-0000-00009D020000}"/>
    <cellStyle name="_MultipleSpace_Jazztel model 15-exhibits_Jazztel1_TelenorInitiation-11Jan01" xfId="681" xr:uid="{00000000-0005-0000-0000-00009E020000}"/>
    <cellStyle name="_MultipleSpace_Jazztel model 15-exhibits_Jazztel1_TelenorInitiation-11Jan01_FT-6June2001" xfId="682" xr:uid="{00000000-0005-0000-0000-00009F020000}"/>
    <cellStyle name="_MultipleSpace_Jazztel model 15-exhibits_Jazztel1_TelenorInitiation-11Jan01_Telefonica Group August 12 2002" xfId="683" xr:uid="{00000000-0005-0000-0000-0000A0020000}"/>
    <cellStyle name="_MultipleSpace_Jazztel model 15-exhibits_Jazztel1_TelenorInitiation-11Jan01_Telefonica Group Jan 02" xfId="684" xr:uid="{00000000-0005-0000-0000-0000A1020000}"/>
    <cellStyle name="_MultipleSpace_Jazztel model 15-exhibits_Jazztel1_TelenorInitiation-11Jan01_Telefonica Moviles" xfId="685" xr:uid="{00000000-0005-0000-0000-0000A2020000}"/>
    <cellStyle name="_MultipleSpace_Jazztel model 15-exhibits_Jazztel1_TelenorInitiation-11Jan01_Telefonica Moviles_1" xfId="686" xr:uid="{00000000-0005-0000-0000-0000A3020000}"/>
    <cellStyle name="_MultipleSpace_Jazztel model 15-exhibits_Jazztel1_TelenorWIPFeb01" xfId="687" xr:uid="{00000000-0005-0000-0000-0000A4020000}"/>
    <cellStyle name="_MultipleSpace_Jazztel model 15-exhibits_Jazztel1_TelenorWIPFeb01_FT-6June2001" xfId="688" xr:uid="{00000000-0005-0000-0000-0000A5020000}"/>
    <cellStyle name="_MultipleSpace_Jazztel model 15-exhibits_Jazztel1_TelenorWIPFeb01_Telefonica Group August 12 2002" xfId="689" xr:uid="{00000000-0005-0000-0000-0000A6020000}"/>
    <cellStyle name="_MultipleSpace_Jazztel model 15-exhibits_Jazztel1_TelenorWIPFeb01_Telefonica Group Jan 02" xfId="690" xr:uid="{00000000-0005-0000-0000-0000A7020000}"/>
    <cellStyle name="_MultipleSpace_Jazztel model 15-exhibits_Jazztel1_TelenorWIPFeb01_Telefonica Moviles" xfId="691" xr:uid="{00000000-0005-0000-0000-0000A8020000}"/>
    <cellStyle name="_MultipleSpace_Jazztel model 15-exhibits_Jazztel1_TelenorWIPFeb01_Telefonica Moviles_1" xfId="692" xr:uid="{00000000-0005-0000-0000-0000A9020000}"/>
    <cellStyle name="_MultipleSpace_Jazztel model 15-exhibits-Friso2" xfId="693" xr:uid="{00000000-0005-0000-0000-0000AA020000}"/>
    <cellStyle name="_MultipleSpace_Jazztel model 15-exhibits-Friso2_Jazztel" xfId="694" xr:uid="{00000000-0005-0000-0000-0000AB020000}"/>
    <cellStyle name="_MultipleSpace_Jazztel model 15-exhibits-Friso2_Jazztel model 16DP3-Exhibits" xfId="695" xr:uid="{00000000-0005-0000-0000-0000AC020000}"/>
    <cellStyle name="_MultipleSpace_Jazztel model 15-exhibits-Friso2_Jazztel model 16DP3-Exhibits_Orange-Mar01" xfId="696" xr:uid="{00000000-0005-0000-0000-0000AD020000}"/>
    <cellStyle name="_MultipleSpace_Jazztel model 15-exhibits-Friso2_Jazztel model 16DP3-Exhibits_Orange-May01" xfId="697" xr:uid="{00000000-0005-0000-0000-0000AE020000}"/>
    <cellStyle name="_MultipleSpace_Jazztel model 15-exhibits-Friso2_Jazztel model 16DP3-Exhibits_TelenorInitiation-11Jan01" xfId="698" xr:uid="{00000000-0005-0000-0000-0000AF020000}"/>
    <cellStyle name="_MultipleSpace_Jazztel model 15-exhibits-Friso2_Jazztel model 16DP3-Exhibits_TelenorWIPFeb01" xfId="699" xr:uid="{00000000-0005-0000-0000-0000B0020000}"/>
    <cellStyle name="_MultipleSpace_Jazztel model 15-exhibits-Friso2_Jazztel model 18DP-exhibits" xfId="700" xr:uid="{00000000-0005-0000-0000-0000B1020000}"/>
    <cellStyle name="_MultipleSpace_Jazztel model 15-exhibits-Friso2_Jazztel model 18DP-exhibits_FT-6June2001" xfId="701" xr:uid="{00000000-0005-0000-0000-0000B2020000}"/>
    <cellStyle name="_MultipleSpace_Jazztel model 15-exhibits-Friso2_Jazztel model 18DP-exhibits_Orange-Mar01" xfId="702" xr:uid="{00000000-0005-0000-0000-0000B3020000}"/>
    <cellStyle name="_MultipleSpace_Jazztel model 15-exhibits-Friso2_Jazztel model 18DP-exhibits_Orange-May01" xfId="703" xr:uid="{00000000-0005-0000-0000-0000B4020000}"/>
    <cellStyle name="_MultipleSpace_Jazztel model 15-exhibits-Friso2_Jazztel model 18DP-exhibits_T_MOBIL2" xfId="704" xr:uid="{00000000-0005-0000-0000-0000B5020000}"/>
    <cellStyle name="_MultipleSpace_Jazztel model 15-exhibits-Friso2_Jazztel model 18DP-exhibits_T_MOBIL2_FT-6June2001" xfId="705" xr:uid="{00000000-0005-0000-0000-0000B6020000}"/>
    <cellStyle name="_MultipleSpace_Jazztel model 15-exhibits-Friso2_Jazztel model 18DP-exhibits_T_MOBIL2_Orange-May01" xfId="706" xr:uid="{00000000-0005-0000-0000-0000B7020000}"/>
    <cellStyle name="_MultipleSpace_Jazztel model 15-exhibits-Friso2_Jazztel model 18DP-exhibits_T_MOBIL2_Telefonica Moviles" xfId="707" xr:uid="{00000000-0005-0000-0000-0000B8020000}"/>
    <cellStyle name="_MultipleSpace_Jazztel model 15-exhibits-Friso2_Jazztel model 18DP-exhibits_Telefonica Moviles" xfId="708" xr:uid="{00000000-0005-0000-0000-0000B9020000}"/>
    <cellStyle name="_MultipleSpace_Jazztel model 15-exhibits-Friso2_Jazztel model 18DP-exhibits_TelenorInitiation-11Jan01" xfId="709" xr:uid="{00000000-0005-0000-0000-0000BA020000}"/>
    <cellStyle name="_MultipleSpace_Jazztel model 15-exhibits-Friso2_Jazztel model 18DP-exhibits_TelenorWIPFeb01" xfId="710" xr:uid="{00000000-0005-0000-0000-0000BB020000}"/>
    <cellStyle name="_MultipleSpace_Jazztel model 15-exhibits-Friso2_Jazztel model 18DP-exhibits_Telia-April01(new structure)" xfId="711" xr:uid="{00000000-0005-0000-0000-0000BC020000}"/>
    <cellStyle name="_MultipleSpace_Jazztel model 15-exhibits-Friso2_Jazztel1" xfId="712" xr:uid="{00000000-0005-0000-0000-0000BD020000}"/>
    <cellStyle name="_MultipleSpace_Jazztel model 15-exhibits-Friso2_Jazztel1_Orange-Mar01" xfId="713" xr:uid="{00000000-0005-0000-0000-0000BE020000}"/>
    <cellStyle name="_MultipleSpace_Jazztel model 15-exhibits-Friso2_Jazztel1_Orange-Mar01_FT-6June2001" xfId="714" xr:uid="{00000000-0005-0000-0000-0000BF020000}"/>
    <cellStyle name="_MultipleSpace_Jazztel model 15-exhibits-Friso2_Jazztel1_Orange-Mar01_Telefonica Group August 12 2002" xfId="715" xr:uid="{00000000-0005-0000-0000-0000C0020000}"/>
    <cellStyle name="_MultipleSpace_Jazztel model 15-exhibits-Friso2_Jazztel1_Orange-Mar01_Telefonica Group Jan 02" xfId="716" xr:uid="{00000000-0005-0000-0000-0000C1020000}"/>
    <cellStyle name="_MultipleSpace_Jazztel model 15-exhibits-Friso2_Jazztel1_Orange-Mar01_Telefonica Moviles" xfId="717" xr:uid="{00000000-0005-0000-0000-0000C2020000}"/>
    <cellStyle name="_MultipleSpace_Jazztel model 15-exhibits-Friso2_Jazztel1_Orange-Mar01_Telefonica Moviles_1" xfId="718" xr:uid="{00000000-0005-0000-0000-0000C3020000}"/>
    <cellStyle name="_MultipleSpace_Jazztel model 15-exhibits-Friso2_Jazztel1_Orange-May01" xfId="719" xr:uid="{00000000-0005-0000-0000-0000C4020000}"/>
    <cellStyle name="_MultipleSpace_Jazztel model 15-exhibits-Friso2_Jazztel1_Orange-May01_FT-6June2001" xfId="720" xr:uid="{00000000-0005-0000-0000-0000C5020000}"/>
    <cellStyle name="_MultipleSpace_Jazztel model 15-exhibits-Friso2_Jazztel1_Orange-May01_FT-6June2001_Telefonica Moviles" xfId="721" xr:uid="{00000000-0005-0000-0000-0000C6020000}"/>
    <cellStyle name="_MultipleSpace_Jazztel model 15-exhibits-Friso2_Jazztel1_Orange-May01_Telefonica Moviles" xfId="722" xr:uid="{00000000-0005-0000-0000-0000C7020000}"/>
    <cellStyle name="_MultipleSpace_Jazztel model 15-exhibits-Friso2_Jazztel1_TelenorInitiation-11Jan01" xfId="723" xr:uid="{00000000-0005-0000-0000-0000C8020000}"/>
    <cellStyle name="_MultipleSpace_Jazztel model 15-exhibits-Friso2_Jazztel1_TelenorInitiation-11Jan01_FT-6June2001" xfId="724" xr:uid="{00000000-0005-0000-0000-0000C9020000}"/>
    <cellStyle name="_MultipleSpace_Jazztel model 15-exhibits-Friso2_Jazztel1_TelenorInitiation-11Jan01_Telefonica Group August 12 2002" xfId="725" xr:uid="{00000000-0005-0000-0000-0000CA020000}"/>
    <cellStyle name="_MultipleSpace_Jazztel model 15-exhibits-Friso2_Jazztel1_TelenorInitiation-11Jan01_Telefonica Group Jan 02" xfId="726" xr:uid="{00000000-0005-0000-0000-0000CB020000}"/>
    <cellStyle name="_MultipleSpace_Jazztel model 15-exhibits-Friso2_Jazztel1_TelenorInitiation-11Jan01_Telefonica Moviles" xfId="727" xr:uid="{00000000-0005-0000-0000-0000CC020000}"/>
    <cellStyle name="_MultipleSpace_Jazztel model 15-exhibits-Friso2_Jazztel1_TelenorInitiation-11Jan01_Telefonica Moviles_1" xfId="728" xr:uid="{00000000-0005-0000-0000-0000CD020000}"/>
    <cellStyle name="_MultipleSpace_Jazztel model 15-exhibits-Friso2_Jazztel1_TelenorWIPFeb01" xfId="729" xr:uid="{00000000-0005-0000-0000-0000CE020000}"/>
    <cellStyle name="_MultipleSpace_Jazztel model 15-exhibits-Friso2_Jazztel1_TelenorWIPFeb01_FT-6June2001" xfId="730" xr:uid="{00000000-0005-0000-0000-0000CF020000}"/>
    <cellStyle name="_MultipleSpace_Jazztel model 15-exhibits-Friso2_Jazztel1_TelenorWIPFeb01_Telefonica Group August 12 2002" xfId="731" xr:uid="{00000000-0005-0000-0000-0000D0020000}"/>
    <cellStyle name="_MultipleSpace_Jazztel model 15-exhibits-Friso2_Jazztel1_TelenorWIPFeb01_Telefonica Group Jan 02" xfId="732" xr:uid="{00000000-0005-0000-0000-0000D1020000}"/>
    <cellStyle name="_MultipleSpace_Jazztel model 15-exhibits-Friso2_Jazztel1_TelenorWIPFeb01_Telefonica Moviles" xfId="733" xr:uid="{00000000-0005-0000-0000-0000D2020000}"/>
    <cellStyle name="_MultipleSpace_Jazztel model 15-exhibits-Friso2_Jazztel1_TelenorWIPFeb01_Telefonica Moviles_1" xfId="734" xr:uid="{00000000-0005-0000-0000-0000D3020000}"/>
    <cellStyle name="_MultipleSpace_Jazztel model 16DP2-Exhibits" xfId="735" xr:uid="{00000000-0005-0000-0000-0000D4020000}"/>
    <cellStyle name="_MultipleSpace_Jazztel model 16DP2-Exhibits_3G Models" xfId="736" xr:uid="{00000000-0005-0000-0000-0000D5020000}"/>
    <cellStyle name="_MultipleSpace_Jazztel model 16DP2-Exhibits_FT-6June2001" xfId="737" xr:uid="{00000000-0005-0000-0000-0000D6020000}"/>
    <cellStyle name="_MultipleSpace_Jazztel model 16DP2-Exhibits_FT-6June2001_Telefonica Moviles" xfId="738" xr:uid="{00000000-0005-0000-0000-0000D7020000}"/>
    <cellStyle name="_MultipleSpace_Jazztel model 16DP2-Exhibits_Orange-Mar01" xfId="739" xr:uid="{00000000-0005-0000-0000-0000D8020000}"/>
    <cellStyle name="_MultipleSpace_Jazztel model 16DP2-Exhibits_Orange-Mar01_Telefonica Moviles" xfId="740" xr:uid="{00000000-0005-0000-0000-0000D9020000}"/>
    <cellStyle name="_MultipleSpace_Jazztel model 16DP2-Exhibits_Orange-May01" xfId="741" xr:uid="{00000000-0005-0000-0000-0000DA020000}"/>
    <cellStyle name="_MultipleSpace_Jazztel model 16DP2-Exhibits_Orange-May01_Telefonica Moviles" xfId="742" xr:uid="{00000000-0005-0000-0000-0000DB020000}"/>
    <cellStyle name="_MultipleSpace_Jazztel model 16DP2-Exhibits_Orange-May01_Telefonica Moviles_1" xfId="743" xr:uid="{00000000-0005-0000-0000-0000DC020000}"/>
    <cellStyle name="_MultipleSpace_Jazztel model 16DP2-Exhibits_Telefonica Moviles" xfId="744" xr:uid="{00000000-0005-0000-0000-0000DD020000}"/>
    <cellStyle name="_MultipleSpace_Jazztel model 16DP2-Exhibits_TelenorInitiation-11Jan01" xfId="745" xr:uid="{00000000-0005-0000-0000-0000DE020000}"/>
    <cellStyle name="_MultipleSpace_Jazztel model 16DP2-Exhibits_TelenorInitiation-11Jan01_Telefonica Moviles" xfId="746" xr:uid="{00000000-0005-0000-0000-0000DF020000}"/>
    <cellStyle name="_MultipleSpace_Jazztel model 16DP2-Exhibits_TelenorWIPFeb01" xfId="747" xr:uid="{00000000-0005-0000-0000-0000E0020000}"/>
    <cellStyle name="_MultipleSpace_Jazztel model 16DP2-Exhibits_TelenorWIPFeb01_Telefonica Moviles" xfId="748" xr:uid="{00000000-0005-0000-0000-0000E1020000}"/>
    <cellStyle name="_MultipleSpace_Jazztel model 16DP3-Exhibits" xfId="749" xr:uid="{00000000-0005-0000-0000-0000E2020000}"/>
    <cellStyle name="_MultipleSpace_Jazztel model 16DP3-Exhibits_3G Models" xfId="750" xr:uid="{00000000-0005-0000-0000-0000E3020000}"/>
    <cellStyle name="_MultipleSpace_Jazztel model 16DP3-Exhibits_FT-6June2001" xfId="751" xr:uid="{00000000-0005-0000-0000-0000E4020000}"/>
    <cellStyle name="_MultipleSpace_Jazztel model 16DP3-Exhibits_FT-6June2001_Telefonica Moviles" xfId="752" xr:uid="{00000000-0005-0000-0000-0000E5020000}"/>
    <cellStyle name="_MultipleSpace_Jazztel model 16DP3-Exhibits_Orange-Mar01" xfId="753" xr:uid="{00000000-0005-0000-0000-0000E6020000}"/>
    <cellStyle name="_MultipleSpace_Jazztel model 16DP3-Exhibits_Orange-Mar01_Telefonica Moviles" xfId="754" xr:uid="{00000000-0005-0000-0000-0000E7020000}"/>
    <cellStyle name="_MultipleSpace_Jazztel model 16DP3-Exhibits_Orange-May01" xfId="755" xr:uid="{00000000-0005-0000-0000-0000E8020000}"/>
    <cellStyle name="_MultipleSpace_Jazztel model 16DP3-Exhibits_Orange-May01_Telefonica Moviles" xfId="756" xr:uid="{00000000-0005-0000-0000-0000E9020000}"/>
    <cellStyle name="_MultipleSpace_Jazztel model 16DP3-Exhibits_Orange-May01_Telefonica Moviles_1" xfId="757" xr:uid="{00000000-0005-0000-0000-0000EA020000}"/>
    <cellStyle name="_MultipleSpace_Jazztel model 16DP3-Exhibits_Telefonica Moviles" xfId="758" xr:uid="{00000000-0005-0000-0000-0000EB020000}"/>
    <cellStyle name="_MultipleSpace_Jazztel model 16DP3-Exhibits_TelenorInitiation-11Jan01" xfId="759" xr:uid="{00000000-0005-0000-0000-0000EC020000}"/>
    <cellStyle name="_MultipleSpace_Jazztel model 16DP3-Exhibits_TelenorInitiation-11Jan01_Telefonica Moviles" xfId="760" xr:uid="{00000000-0005-0000-0000-0000ED020000}"/>
    <cellStyle name="_MultipleSpace_Jazztel model 16DP3-Exhibits_TelenorWIPFeb01" xfId="761" xr:uid="{00000000-0005-0000-0000-0000EE020000}"/>
    <cellStyle name="_MultipleSpace_Jazztel model 16DP3-Exhibits_TelenorWIPFeb01_Telefonica Moviles" xfId="762" xr:uid="{00000000-0005-0000-0000-0000EF020000}"/>
    <cellStyle name="_MultipleSpace_Orange-Mar01" xfId="763" xr:uid="{00000000-0005-0000-0000-0000F0020000}"/>
    <cellStyle name="_MultipleSpace_Orange-Mar01_Telefonica Moviles" xfId="764" xr:uid="{00000000-0005-0000-0000-0000F1020000}"/>
    <cellStyle name="_MultipleSpace_Orange-May01" xfId="765" xr:uid="{00000000-0005-0000-0000-0000F2020000}"/>
    <cellStyle name="_MultipleSpace_Orange-May01_Telefonica Moviles" xfId="766" xr:uid="{00000000-0005-0000-0000-0000F3020000}"/>
    <cellStyle name="_MultipleSpace_Orange-May01_Telefonica Moviles_1" xfId="767" xr:uid="{00000000-0005-0000-0000-0000F4020000}"/>
    <cellStyle name="_MultipleSpace_Telefonica Moviles" xfId="768" xr:uid="{00000000-0005-0000-0000-0000F5020000}"/>
    <cellStyle name="_MultipleSpace_TelenorInitiation-11Jan01" xfId="769" xr:uid="{00000000-0005-0000-0000-0000F6020000}"/>
    <cellStyle name="_MultipleSpace_TelenorInitiation-11Jan01_Telefonica Moviles" xfId="770" xr:uid="{00000000-0005-0000-0000-0000F7020000}"/>
    <cellStyle name="_MultipleSpace_TelenorWIPFeb01" xfId="771" xr:uid="{00000000-0005-0000-0000-0000F8020000}"/>
    <cellStyle name="_MultipleSpace_TelenorWIPFeb01_Telefonica Moviles" xfId="772" xr:uid="{00000000-0005-0000-0000-0000F9020000}"/>
    <cellStyle name="_MultipleSpace_t-mobile Sep 2003" xfId="773" xr:uid="{00000000-0005-0000-0000-0000FA020000}"/>
    <cellStyle name="_Nordic Summary WIP" xfId="774" xr:uid="{00000000-0005-0000-0000-0000FB020000}"/>
    <cellStyle name="_Percent" xfId="775" xr:uid="{00000000-0005-0000-0000-0000FC020000}"/>
    <cellStyle name="_Percent 2" xfId="1783" xr:uid="{A6F66857-B719-4ED2-8E07-8D5E500F1EEE}"/>
    <cellStyle name="_Percent_3G Models" xfId="776" xr:uid="{00000000-0005-0000-0000-0000FD020000}"/>
    <cellStyle name="_Percent_Book1" xfId="777" xr:uid="{00000000-0005-0000-0000-0000FE020000}"/>
    <cellStyle name="_Percent_Book1_3G Models" xfId="778" xr:uid="{00000000-0005-0000-0000-0000FF020000}"/>
    <cellStyle name="_Percent_Book1_Jazztel model 16DP3-Exhibits" xfId="779" xr:uid="{00000000-0005-0000-0000-000000030000}"/>
    <cellStyle name="_Percent_Book1_Jazztel model 16DP3-Exhibits_3G Models" xfId="780" xr:uid="{00000000-0005-0000-0000-000001030000}"/>
    <cellStyle name="_Percent_Book1_Jazztel model 16DP3-Exhibits_Orange-Mar01" xfId="781" xr:uid="{00000000-0005-0000-0000-000002030000}"/>
    <cellStyle name="_Percent_Book1_Jazztel model 16DP3-Exhibits_Orange-May01" xfId="782" xr:uid="{00000000-0005-0000-0000-000003030000}"/>
    <cellStyle name="_Percent_Book1_Jazztel model 16DP3-Exhibits_T_MOBIL2" xfId="783" xr:uid="{00000000-0005-0000-0000-000004030000}"/>
    <cellStyle name="_Percent_Book1_Jazztel model 16DP3-Exhibits_T_MOBIL2_FT-6June2001" xfId="784" xr:uid="{00000000-0005-0000-0000-000005030000}"/>
    <cellStyle name="_Percent_Book1_Jazztel model 16DP3-Exhibits_T_MOBIL2_Orange-May01" xfId="785" xr:uid="{00000000-0005-0000-0000-000006030000}"/>
    <cellStyle name="_Percent_Book1_Jazztel model 16DP3-Exhibits_T_MOBIL2_Telefonica Moviles" xfId="786" xr:uid="{00000000-0005-0000-0000-000007030000}"/>
    <cellStyle name="_Percent_Book1_Jazztel model 16DP3-Exhibits_TelenorInitiation-11Jan01" xfId="787" xr:uid="{00000000-0005-0000-0000-000008030000}"/>
    <cellStyle name="_Percent_Book1_Jazztel model 16DP3-Exhibits_TelenorWIPFeb01" xfId="788" xr:uid="{00000000-0005-0000-0000-000009030000}"/>
    <cellStyle name="_Percent_Book1_Jazztel model 18DP-exhibits" xfId="789" xr:uid="{00000000-0005-0000-0000-00000A030000}"/>
    <cellStyle name="_Percent_Book1_Jazztel model 18DP-exhibits_3G Models" xfId="790" xr:uid="{00000000-0005-0000-0000-00000B030000}"/>
    <cellStyle name="_Percent_Book1_Telefonica Moviles" xfId="791" xr:uid="{00000000-0005-0000-0000-00000C030000}"/>
    <cellStyle name="_Percent_Book11" xfId="792" xr:uid="{00000000-0005-0000-0000-00000D030000}"/>
    <cellStyle name="_Percent_Book11_3G Models" xfId="793" xr:uid="{00000000-0005-0000-0000-00000E030000}"/>
    <cellStyle name="_Percent_Book11_Jazztel model 16DP3-Exhibits" xfId="794" xr:uid="{00000000-0005-0000-0000-00000F030000}"/>
    <cellStyle name="_Percent_Book11_Jazztel model 16DP3-Exhibits_3G Models" xfId="795" xr:uid="{00000000-0005-0000-0000-000010030000}"/>
    <cellStyle name="_Percent_Book11_Jazztel model 16DP3-Exhibits_Orange-Mar01" xfId="796" xr:uid="{00000000-0005-0000-0000-000011030000}"/>
    <cellStyle name="_Percent_Book11_Jazztel model 16DP3-Exhibits_Orange-May01" xfId="797" xr:uid="{00000000-0005-0000-0000-000012030000}"/>
    <cellStyle name="_Percent_Book11_Jazztel model 16DP3-Exhibits_T_MOBIL2" xfId="798" xr:uid="{00000000-0005-0000-0000-000013030000}"/>
    <cellStyle name="_Percent_Book11_Jazztel model 16DP3-Exhibits_T_MOBIL2_FT-6June2001" xfId="799" xr:uid="{00000000-0005-0000-0000-000014030000}"/>
    <cellStyle name="_Percent_Book11_Jazztel model 16DP3-Exhibits_T_MOBIL2_Orange-May01" xfId="800" xr:uid="{00000000-0005-0000-0000-000015030000}"/>
    <cellStyle name="_Percent_Book11_Jazztel model 16DP3-Exhibits_T_MOBIL2_Telefonica Moviles" xfId="801" xr:uid="{00000000-0005-0000-0000-000016030000}"/>
    <cellStyle name="_Percent_Book11_Jazztel model 16DP3-Exhibits_TelenorInitiation-11Jan01" xfId="802" xr:uid="{00000000-0005-0000-0000-000017030000}"/>
    <cellStyle name="_Percent_Book11_Jazztel model 16DP3-Exhibits_TelenorWIPFeb01" xfId="803" xr:uid="{00000000-0005-0000-0000-000018030000}"/>
    <cellStyle name="_Percent_Book11_Jazztel model 18DP-exhibits" xfId="804" xr:uid="{00000000-0005-0000-0000-000019030000}"/>
    <cellStyle name="_Percent_Book11_Jazztel model 18DP-exhibits_3G Models" xfId="805" xr:uid="{00000000-0005-0000-0000-00001A030000}"/>
    <cellStyle name="_Percent_Book11_Telefonica Moviles" xfId="806" xr:uid="{00000000-0005-0000-0000-00001B030000}"/>
    <cellStyle name="_Percent_Book12" xfId="807" xr:uid="{00000000-0005-0000-0000-00001C030000}"/>
    <cellStyle name="_Percent_Book12_3G Models" xfId="808" xr:uid="{00000000-0005-0000-0000-00001D030000}"/>
    <cellStyle name="_Percent_Book12_Jazztel model 16DP3-Exhibits" xfId="809" xr:uid="{00000000-0005-0000-0000-00001E030000}"/>
    <cellStyle name="_Percent_Book12_Jazztel model 16DP3-Exhibits_3G Models" xfId="810" xr:uid="{00000000-0005-0000-0000-00001F030000}"/>
    <cellStyle name="_Percent_Book12_Jazztel model 16DP3-Exhibits_Orange-Mar01" xfId="811" xr:uid="{00000000-0005-0000-0000-000020030000}"/>
    <cellStyle name="_Percent_Book12_Jazztel model 16DP3-Exhibits_Orange-May01" xfId="812" xr:uid="{00000000-0005-0000-0000-000021030000}"/>
    <cellStyle name="_Percent_Book12_Jazztel model 16DP3-Exhibits_T_MOBIL2" xfId="813" xr:uid="{00000000-0005-0000-0000-000022030000}"/>
    <cellStyle name="_Percent_Book12_Jazztel model 16DP3-Exhibits_T_MOBIL2_FT-6June2001" xfId="814" xr:uid="{00000000-0005-0000-0000-000023030000}"/>
    <cellStyle name="_Percent_Book12_Jazztel model 16DP3-Exhibits_T_MOBIL2_Orange-May01" xfId="815" xr:uid="{00000000-0005-0000-0000-000024030000}"/>
    <cellStyle name="_Percent_Book12_Jazztel model 16DP3-Exhibits_T_MOBIL2_Telefonica Moviles" xfId="816" xr:uid="{00000000-0005-0000-0000-000025030000}"/>
    <cellStyle name="_Percent_Book12_Jazztel model 16DP3-Exhibits_TelenorInitiation-11Jan01" xfId="817" xr:uid="{00000000-0005-0000-0000-000026030000}"/>
    <cellStyle name="_Percent_Book12_Jazztel model 16DP3-Exhibits_TelenorWIPFeb01" xfId="818" xr:uid="{00000000-0005-0000-0000-000027030000}"/>
    <cellStyle name="_Percent_Book12_Jazztel model 18DP-exhibits" xfId="819" xr:uid="{00000000-0005-0000-0000-000028030000}"/>
    <cellStyle name="_Percent_Book12_Jazztel model 18DP-exhibits_3G Models" xfId="820" xr:uid="{00000000-0005-0000-0000-000029030000}"/>
    <cellStyle name="_Percent_Book12_Telefonica Moviles" xfId="821" xr:uid="{00000000-0005-0000-0000-00002A030000}"/>
    <cellStyle name="_Percent_DCF Summary pages" xfId="822" xr:uid="{00000000-0005-0000-0000-00002B030000}"/>
    <cellStyle name="_Percent_DCF Summary pages_3G Models" xfId="823" xr:uid="{00000000-0005-0000-0000-00002C030000}"/>
    <cellStyle name="_Percent_DCF Summary pages_Jazztel model 16DP3-Exhibits" xfId="824" xr:uid="{00000000-0005-0000-0000-00002D030000}"/>
    <cellStyle name="_Percent_DCF Summary pages_Jazztel model 16DP3-Exhibits_3G Models" xfId="825" xr:uid="{00000000-0005-0000-0000-00002E030000}"/>
    <cellStyle name="_Percent_DCF Summary pages_Jazztel model 16DP3-Exhibits_Orange-Mar01" xfId="826" xr:uid="{00000000-0005-0000-0000-00002F030000}"/>
    <cellStyle name="_Percent_DCF Summary pages_Jazztel model 16DP3-Exhibits_Orange-May01" xfId="827" xr:uid="{00000000-0005-0000-0000-000030030000}"/>
    <cellStyle name="_Percent_DCF Summary pages_Jazztel model 16DP3-Exhibits_T_MOBIL2" xfId="828" xr:uid="{00000000-0005-0000-0000-000031030000}"/>
    <cellStyle name="_Percent_DCF Summary pages_Jazztel model 16DP3-Exhibits_T_MOBIL2_FT-6June2001" xfId="829" xr:uid="{00000000-0005-0000-0000-000032030000}"/>
    <cellStyle name="_Percent_DCF Summary pages_Jazztel model 16DP3-Exhibits_T_MOBIL2_Orange-May01" xfId="830" xr:uid="{00000000-0005-0000-0000-000033030000}"/>
    <cellStyle name="_Percent_DCF Summary pages_Jazztel model 16DP3-Exhibits_T_MOBIL2_Telefonica Moviles" xfId="831" xr:uid="{00000000-0005-0000-0000-000034030000}"/>
    <cellStyle name="_Percent_DCF Summary pages_Jazztel model 16DP3-Exhibits_TelenorInitiation-11Jan01" xfId="832" xr:uid="{00000000-0005-0000-0000-000035030000}"/>
    <cellStyle name="_Percent_DCF Summary pages_Jazztel model 16DP3-Exhibits_TelenorWIPFeb01" xfId="833" xr:uid="{00000000-0005-0000-0000-000036030000}"/>
    <cellStyle name="_Percent_DCF Summary pages_Jazztel model 18DP-exhibits" xfId="834" xr:uid="{00000000-0005-0000-0000-000037030000}"/>
    <cellStyle name="_Percent_DCF Summary pages_Jazztel model 18DP-exhibits_3G Models" xfId="835" xr:uid="{00000000-0005-0000-0000-000038030000}"/>
    <cellStyle name="_Percent_DCF Summary pages_Telefonica Moviles" xfId="836" xr:uid="{00000000-0005-0000-0000-000039030000}"/>
    <cellStyle name="_Percent_Jazztel model 15-exhibits" xfId="837" xr:uid="{00000000-0005-0000-0000-00003A030000}"/>
    <cellStyle name="_Percent_Jazztel model 15-exhibits bis" xfId="838" xr:uid="{00000000-0005-0000-0000-00003B030000}"/>
    <cellStyle name="_Percent_Jazztel model 15-exhibits bis_3G Models" xfId="839" xr:uid="{00000000-0005-0000-0000-00003C030000}"/>
    <cellStyle name="_Percent_Jazztel model 15-exhibits bis_Orange-Mar01" xfId="840" xr:uid="{00000000-0005-0000-0000-00003D030000}"/>
    <cellStyle name="_Percent_Jazztel model 15-exhibits bis_Orange-May01" xfId="841" xr:uid="{00000000-0005-0000-0000-00003E030000}"/>
    <cellStyle name="_Percent_Jazztel model 15-exhibits bis_T_MOBIL2" xfId="842" xr:uid="{00000000-0005-0000-0000-00003F030000}"/>
    <cellStyle name="_Percent_Jazztel model 15-exhibits bis_T_MOBIL2_FT-6June2001" xfId="843" xr:uid="{00000000-0005-0000-0000-000040030000}"/>
    <cellStyle name="_Percent_Jazztel model 15-exhibits bis_T_MOBIL2_Orange-May01" xfId="844" xr:uid="{00000000-0005-0000-0000-000041030000}"/>
    <cellStyle name="_Percent_Jazztel model 15-exhibits bis_T_MOBIL2_Telefonica Moviles" xfId="845" xr:uid="{00000000-0005-0000-0000-000042030000}"/>
    <cellStyle name="_Percent_Jazztel model 15-exhibits bis_TelenorInitiation-11Jan01" xfId="846" xr:uid="{00000000-0005-0000-0000-000043030000}"/>
    <cellStyle name="_Percent_Jazztel model 15-exhibits bis_TelenorWIPFeb01" xfId="847" xr:uid="{00000000-0005-0000-0000-000044030000}"/>
    <cellStyle name="_Percent_Jazztel model 15-exhibits_3G Models" xfId="848" xr:uid="{00000000-0005-0000-0000-000045030000}"/>
    <cellStyle name="_Percent_Jazztel model 15-exhibits_Jazztel model 16DP3-Exhibits" xfId="849" xr:uid="{00000000-0005-0000-0000-000046030000}"/>
    <cellStyle name="_Percent_Jazztel model 15-exhibits_Jazztel model 16DP3-Exhibits_3G Models" xfId="850" xr:uid="{00000000-0005-0000-0000-000047030000}"/>
    <cellStyle name="_Percent_Jazztel model 15-exhibits_Jazztel model 16DP3-Exhibits_Orange-Mar01" xfId="851" xr:uid="{00000000-0005-0000-0000-000048030000}"/>
    <cellStyle name="_Percent_Jazztel model 15-exhibits_Jazztel model 16DP3-Exhibits_Orange-May01" xfId="852" xr:uid="{00000000-0005-0000-0000-000049030000}"/>
    <cellStyle name="_Percent_Jazztel model 15-exhibits_Jazztel model 16DP3-Exhibits_T_MOBIL2" xfId="853" xr:uid="{00000000-0005-0000-0000-00004A030000}"/>
    <cellStyle name="_Percent_Jazztel model 15-exhibits_Jazztel model 16DP3-Exhibits_T_MOBIL2_FT-6June2001" xfId="854" xr:uid="{00000000-0005-0000-0000-00004B030000}"/>
    <cellStyle name="_Percent_Jazztel model 15-exhibits_Jazztel model 16DP3-Exhibits_T_MOBIL2_Orange-May01" xfId="855" xr:uid="{00000000-0005-0000-0000-00004C030000}"/>
    <cellStyle name="_Percent_Jazztel model 15-exhibits_Jazztel model 16DP3-Exhibits_T_MOBIL2_Telefonica Moviles" xfId="856" xr:uid="{00000000-0005-0000-0000-00004D030000}"/>
    <cellStyle name="_Percent_Jazztel model 15-exhibits_Jazztel model 16DP3-Exhibits_TelenorInitiation-11Jan01" xfId="857" xr:uid="{00000000-0005-0000-0000-00004E030000}"/>
    <cellStyle name="_Percent_Jazztel model 15-exhibits_Jazztel model 16DP3-Exhibits_TelenorWIPFeb01" xfId="858" xr:uid="{00000000-0005-0000-0000-00004F030000}"/>
    <cellStyle name="_Percent_Jazztel model 15-exhibits_Jazztel model 18DP-exhibits" xfId="859" xr:uid="{00000000-0005-0000-0000-000050030000}"/>
    <cellStyle name="_Percent_Jazztel model 15-exhibits_Jazztel model 18DP-exhibits_3G Models" xfId="860" xr:uid="{00000000-0005-0000-0000-000051030000}"/>
    <cellStyle name="_Percent_Jazztel model 15-exhibits_Telefonica Moviles" xfId="861" xr:uid="{00000000-0005-0000-0000-000052030000}"/>
    <cellStyle name="_Percent_Jazztel model 15-exhibits-Friso2" xfId="862" xr:uid="{00000000-0005-0000-0000-000053030000}"/>
    <cellStyle name="_Percent_Jazztel model 15-exhibits-Friso2_3G Models" xfId="863" xr:uid="{00000000-0005-0000-0000-000054030000}"/>
    <cellStyle name="_Percent_Jazztel model 15-exhibits-Friso2_Jazztel model 16DP3-Exhibits" xfId="864" xr:uid="{00000000-0005-0000-0000-000055030000}"/>
    <cellStyle name="_Percent_Jazztel model 15-exhibits-Friso2_Jazztel model 16DP3-Exhibits_3G Models" xfId="865" xr:uid="{00000000-0005-0000-0000-000056030000}"/>
    <cellStyle name="_Percent_Jazztel model 15-exhibits-Friso2_Jazztel model 16DP3-Exhibits_Orange-Mar01" xfId="866" xr:uid="{00000000-0005-0000-0000-000057030000}"/>
    <cellStyle name="_Percent_Jazztel model 15-exhibits-Friso2_Jazztel model 16DP3-Exhibits_Orange-May01" xfId="867" xr:uid="{00000000-0005-0000-0000-000058030000}"/>
    <cellStyle name="_Percent_Jazztel model 15-exhibits-Friso2_Jazztel model 16DP3-Exhibits_T_MOBIL2" xfId="868" xr:uid="{00000000-0005-0000-0000-000059030000}"/>
    <cellStyle name="_Percent_Jazztel model 15-exhibits-Friso2_Jazztel model 16DP3-Exhibits_T_MOBIL2_FT-6June2001" xfId="869" xr:uid="{00000000-0005-0000-0000-00005A030000}"/>
    <cellStyle name="_Percent_Jazztel model 15-exhibits-Friso2_Jazztel model 16DP3-Exhibits_T_MOBIL2_Orange-May01" xfId="870" xr:uid="{00000000-0005-0000-0000-00005B030000}"/>
    <cellStyle name="_Percent_Jazztel model 15-exhibits-Friso2_Jazztel model 16DP3-Exhibits_T_MOBIL2_Telefonica Moviles" xfId="871" xr:uid="{00000000-0005-0000-0000-00005C030000}"/>
    <cellStyle name="_Percent_Jazztel model 15-exhibits-Friso2_Jazztel model 16DP3-Exhibits_TelenorInitiation-11Jan01" xfId="872" xr:uid="{00000000-0005-0000-0000-00005D030000}"/>
    <cellStyle name="_Percent_Jazztel model 15-exhibits-Friso2_Jazztel model 16DP3-Exhibits_TelenorWIPFeb01" xfId="873" xr:uid="{00000000-0005-0000-0000-00005E030000}"/>
    <cellStyle name="_Percent_Jazztel model 15-exhibits-Friso2_Jazztel model 18DP-exhibits" xfId="874" xr:uid="{00000000-0005-0000-0000-00005F030000}"/>
    <cellStyle name="_Percent_Jazztel model 15-exhibits-Friso2_Jazztel model 18DP-exhibits_3G Models" xfId="875" xr:uid="{00000000-0005-0000-0000-000060030000}"/>
    <cellStyle name="_Percent_Jazztel model 15-exhibits-Friso2_Telefonica Moviles" xfId="876" xr:uid="{00000000-0005-0000-0000-000061030000}"/>
    <cellStyle name="_Percent_Jazztel model 16DP2-Exhibits" xfId="877" xr:uid="{00000000-0005-0000-0000-000062030000}"/>
    <cellStyle name="_Percent_Jazztel model 16DP2-Exhibits_3G Models" xfId="878" xr:uid="{00000000-0005-0000-0000-000063030000}"/>
    <cellStyle name="_Percent_Jazztel model 16DP3-Exhibits" xfId="879" xr:uid="{00000000-0005-0000-0000-000064030000}"/>
    <cellStyle name="_Percent_Jazztel model 16DP3-Exhibits_3G Models" xfId="880" xr:uid="{00000000-0005-0000-0000-000065030000}"/>
    <cellStyle name="_Percent_t-mobile Sep 2003" xfId="881" xr:uid="{00000000-0005-0000-0000-000066030000}"/>
    <cellStyle name="_PercentSpace" xfId="882" xr:uid="{00000000-0005-0000-0000-000067030000}"/>
    <cellStyle name="_PercentSpace 2" xfId="1784" xr:uid="{CF0864E6-F6D8-4475-B9CB-DE3E1E15ACE4}"/>
    <cellStyle name="_PercentSpace_3G Models" xfId="883" xr:uid="{00000000-0005-0000-0000-000068030000}"/>
    <cellStyle name="_PercentSpace_Book1" xfId="884" xr:uid="{00000000-0005-0000-0000-000069030000}"/>
    <cellStyle name="_PercentSpace_Book1_3G Models" xfId="885" xr:uid="{00000000-0005-0000-0000-00006A030000}"/>
    <cellStyle name="_PercentSpace_Book1_FT-6June2001" xfId="886" xr:uid="{00000000-0005-0000-0000-00006B030000}"/>
    <cellStyle name="_PercentSpace_Book1_Jazztel model 16DP3-Exhibits" xfId="887" xr:uid="{00000000-0005-0000-0000-00006C030000}"/>
    <cellStyle name="_PercentSpace_Book1_Jazztel model 16DP3-Exhibits_FT-6June2001" xfId="888" xr:uid="{00000000-0005-0000-0000-00006D030000}"/>
    <cellStyle name="_PercentSpace_Book1_Jazztel model 16DP3-Exhibits_FT-6June2001_Telefonica Moviles" xfId="889" xr:uid="{00000000-0005-0000-0000-00006E030000}"/>
    <cellStyle name="_PercentSpace_Book1_Jazztel model 16DP3-Exhibits_Orange-Mar01" xfId="890" xr:uid="{00000000-0005-0000-0000-00006F030000}"/>
    <cellStyle name="_PercentSpace_Book1_Jazztel model 16DP3-Exhibits_Orange-May01" xfId="891" xr:uid="{00000000-0005-0000-0000-000070030000}"/>
    <cellStyle name="_PercentSpace_Book1_Jazztel model 16DP3-Exhibits_T_MOBIL2" xfId="892" xr:uid="{00000000-0005-0000-0000-000071030000}"/>
    <cellStyle name="_PercentSpace_Book1_Jazztel model 16DP3-Exhibits_T_MOBIL2_FT-6June2001" xfId="893" xr:uid="{00000000-0005-0000-0000-000072030000}"/>
    <cellStyle name="_PercentSpace_Book1_Jazztel model 16DP3-Exhibits_T_MOBIL2_FT-6June2001_1" xfId="894" xr:uid="{00000000-0005-0000-0000-000073030000}"/>
    <cellStyle name="_PercentSpace_Book1_Jazztel model 16DP3-Exhibits_T_MOBIL2_FT-6June2001_1_Telefonica Moviles" xfId="895" xr:uid="{00000000-0005-0000-0000-000074030000}"/>
    <cellStyle name="_PercentSpace_Book1_Jazztel model 16DP3-Exhibits_T_MOBIL2_Orange-May01" xfId="896" xr:uid="{00000000-0005-0000-0000-000075030000}"/>
    <cellStyle name="_PercentSpace_Book1_Jazztel model 16DP3-Exhibits_T_MOBIL2_Telefonica Moviles" xfId="897" xr:uid="{00000000-0005-0000-0000-000076030000}"/>
    <cellStyle name="_PercentSpace_Book1_Jazztel model 16DP3-Exhibits_Telefonica Moviles" xfId="898" xr:uid="{00000000-0005-0000-0000-000077030000}"/>
    <cellStyle name="_PercentSpace_Book1_Jazztel model 16DP3-Exhibits_TelenorInitiation-11Jan01" xfId="899" xr:uid="{00000000-0005-0000-0000-000078030000}"/>
    <cellStyle name="_PercentSpace_Book1_Jazztel model 16DP3-Exhibits_TelenorWIPFeb01" xfId="900" xr:uid="{00000000-0005-0000-0000-000079030000}"/>
    <cellStyle name="_PercentSpace_Book1_Jazztel model 18DP-exhibits" xfId="901" xr:uid="{00000000-0005-0000-0000-00007A030000}"/>
    <cellStyle name="_PercentSpace_Book1_Jazztel model 18DP-exhibits_3G Models" xfId="902" xr:uid="{00000000-0005-0000-0000-00007B030000}"/>
    <cellStyle name="_PercentSpace_Book1_Orange-May01" xfId="903" xr:uid="{00000000-0005-0000-0000-00007C030000}"/>
    <cellStyle name="_PercentSpace_Book1_Telefonica Moviles" xfId="904" xr:uid="{00000000-0005-0000-0000-00007D030000}"/>
    <cellStyle name="_PercentSpace_Book11" xfId="905" xr:uid="{00000000-0005-0000-0000-00007E030000}"/>
    <cellStyle name="_PercentSpace_Book11_3G Models" xfId="906" xr:uid="{00000000-0005-0000-0000-00007F030000}"/>
    <cellStyle name="_PercentSpace_Book11_FT-6June2001" xfId="907" xr:uid="{00000000-0005-0000-0000-000080030000}"/>
    <cellStyle name="_PercentSpace_Book11_Jazztel model 16DP3-Exhibits" xfId="908" xr:uid="{00000000-0005-0000-0000-000081030000}"/>
    <cellStyle name="_PercentSpace_Book11_Jazztel model 16DP3-Exhibits_FT-6June2001" xfId="909" xr:uid="{00000000-0005-0000-0000-000082030000}"/>
    <cellStyle name="_PercentSpace_Book11_Jazztel model 16DP3-Exhibits_FT-6June2001_Telefonica Moviles" xfId="910" xr:uid="{00000000-0005-0000-0000-000083030000}"/>
    <cellStyle name="_PercentSpace_Book11_Jazztel model 16DP3-Exhibits_Orange-Mar01" xfId="911" xr:uid="{00000000-0005-0000-0000-000084030000}"/>
    <cellStyle name="_PercentSpace_Book11_Jazztel model 16DP3-Exhibits_Orange-May01" xfId="912" xr:uid="{00000000-0005-0000-0000-000085030000}"/>
    <cellStyle name="_PercentSpace_Book11_Jazztel model 16DP3-Exhibits_T_MOBIL2" xfId="913" xr:uid="{00000000-0005-0000-0000-000086030000}"/>
    <cellStyle name="_PercentSpace_Book11_Jazztel model 16DP3-Exhibits_T_MOBIL2_FT-6June2001" xfId="914" xr:uid="{00000000-0005-0000-0000-000087030000}"/>
    <cellStyle name="_PercentSpace_Book11_Jazztel model 16DP3-Exhibits_T_MOBIL2_FT-6June2001_1" xfId="915" xr:uid="{00000000-0005-0000-0000-000088030000}"/>
    <cellStyle name="_PercentSpace_Book11_Jazztel model 16DP3-Exhibits_T_MOBIL2_FT-6June2001_1_Telefonica Moviles" xfId="916" xr:uid="{00000000-0005-0000-0000-000089030000}"/>
    <cellStyle name="_PercentSpace_Book11_Jazztel model 16DP3-Exhibits_T_MOBIL2_Orange-May01" xfId="917" xr:uid="{00000000-0005-0000-0000-00008A030000}"/>
    <cellStyle name="_PercentSpace_Book11_Jazztel model 16DP3-Exhibits_T_MOBIL2_Telefonica Moviles" xfId="918" xr:uid="{00000000-0005-0000-0000-00008B030000}"/>
    <cellStyle name="_PercentSpace_Book11_Jazztel model 16DP3-Exhibits_Telefonica Moviles" xfId="919" xr:uid="{00000000-0005-0000-0000-00008C030000}"/>
    <cellStyle name="_PercentSpace_Book11_Jazztel model 16DP3-Exhibits_TelenorInitiation-11Jan01" xfId="920" xr:uid="{00000000-0005-0000-0000-00008D030000}"/>
    <cellStyle name="_PercentSpace_Book11_Jazztel model 16DP3-Exhibits_TelenorWIPFeb01" xfId="921" xr:uid="{00000000-0005-0000-0000-00008E030000}"/>
    <cellStyle name="_PercentSpace_Book11_Jazztel model 18DP-exhibits" xfId="922" xr:uid="{00000000-0005-0000-0000-00008F030000}"/>
    <cellStyle name="_PercentSpace_Book11_Jazztel model 18DP-exhibits_3G Models" xfId="923" xr:uid="{00000000-0005-0000-0000-000090030000}"/>
    <cellStyle name="_PercentSpace_Book11_Orange-May01" xfId="924" xr:uid="{00000000-0005-0000-0000-000091030000}"/>
    <cellStyle name="_PercentSpace_Book11_Telefonica Moviles" xfId="925" xr:uid="{00000000-0005-0000-0000-000092030000}"/>
    <cellStyle name="_PercentSpace_Book12" xfId="926" xr:uid="{00000000-0005-0000-0000-000093030000}"/>
    <cellStyle name="_PercentSpace_Book12_3G Models" xfId="927" xr:uid="{00000000-0005-0000-0000-000094030000}"/>
    <cellStyle name="_PercentSpace_Book12_FT-6June2001" xfId="928" xr:uid="{00000000-0005-0000-0000-000095030000}"/>
    <cellStyle name="_PercentSpace_Book12_Jazztel model 16DP3-Exhibits" xfId="929" xr:uid="{00000000-0005-0000-0000-000096030000}"/>
    <cellStyle name="_PercentSpace_Book12_Jazztel model 16DP3-Exhibits_FT-6June2001" xfId="930" xr:uid="{00000000-0005-0000-0000-000097030000}"/>
    <cellStyle name="_PercentSpace_Book12_Jazztel model 16DP3-Exhibits_FT-6June2001_Telefonica Moviles" xfId="931" xr:uid="{00000000-0005-0000-0000-000098030000}"/>
    <cellStyle name="_PercentSpace_Book12_Jazztel model 16DP3-Exhibits_Orange-Mar01" xfId="932" xr:uid="{00000000-0005-0000-0000-000099030000}"/>
    <cellStyle name="_PercentSpace_Book12_Jazztel model 16DP3-Exhibits_Orange-May01" xfId="933" xr:uid="{00000000-0005-0000-0000-00009A030000}"/>
    <cellStyle name="_PercentSpace_Book12_Jazztel model 16DP3-Exhibits_T_MOBIL2" xfId="934" xr:uid="{00000000-0005-0000-0000-00009B030000}"/>
    <cellStyle name="_PercentSpace_Book12_Jazztel model 16DP3-Exhibits_T_MOBIL2_FT-6June2001" xfId="935" xr:uid="{00000000-0005-0000-0000-00009C030000}"/>
    <cellStyle name="_PercentSpace_Book12_Jazztel model 16DP3-Exhibits_T_MOBIL2_FT-6June2001_1" xfId="936" xr:uid="{00000000-0005-0000-0000-00009D030000}"/>
    <cellStyle name="_PercentSpace_Book12_Jazztel model 16DP3-Exhibits_T_MOBIL2_FT-6June2001_1_Telefonica Moviles" xfId="937" xr:uid="{00000000-0005-0000-0000-00009E030000}"/>
    <cellStyle name="_PercentSpace_Book12_Jazztel model 16DP3-Exhibits_T_MOBIL2_Orange-May01" xfId="938" xr:uid="{00000000-0005-0000-0000-00009F030000}"/>
    <cellStyle name="_PercentSpace_Book12_Jazztel model 16DP3-Exhibits_T_MOBIL2_Telefonica Moviles" xfId="939" xr:uid="{00000000-0005-0000-0000-0000A0030000}"/>
    <cellStyle name="_PercentSpace_Book12_Jazztel model 16DP3-Exhibits_Telefonica Moviles" xfId="940" xr:uid="{00000000-0005-0000-0000-0000A1030000}"/>
    <cellStyle name="_PercentSpace_Book12_Jazztel model 16DP3-Exhibits_TelenorInitiation-11Jan01" xfId="941" xr:uid="{00000000-0005-0000-0000-0000A2030000}"/>
    <cellStyle name="_PercentSpace_Book12_Jazztel model 16DP3-Exhibits_TelenorWIPFeb01" xfId="942" xr:uid="{00000000-0005-0000-0000-0000A3030000}"/>
    <cellStyle name="_PercentSpace_Book12_Jazztel model 18DP-exhibits" xfId="943" xr:uid="{00000000-0005-0000-0000-0000A4030000}"/>
    <cellStyle name="_PercentSpace_Book12_Jazztel model 18DP-exhibits_3G Models" xfId="944" xr:uid="{00000000-0005-0000-0000-0000A5030000}"/>
    <cellStyle name="_PercentSpace_Book12_Orange-May01" xfId="945" xr:uid="{00000000-0005-0000-0000-0000A6030000}"/>
    <cellStyle name="_PercentSpace_Book12_Telefonica Moviles" xfId="946" xr:uid="{00000000-0005-0000-0000-0000A7030000}"/>
    <cellStyle name="_PercentSpace_DCF Summary pages" xfId="947" xr:uid="{00000000-0005-0000-0000-0000A8030000}"/>
    <cellStyle name="_PercentSpace_DCF Summary pages_3G Models" xfId="948" xr:uid="{00000000-0005-0000-0000-0000A9030000}"/>
    <cellStyle name="_PercentSpace_DCF Summary pages_FT-6June2001" xfId="949" xr:uid="{00000000-0005-0000-0000-0000AA030000}"/>
    <cellStyle name="_PercentSpace_DCF Summary pages_Jazztel model 16DP3-Exhibits" xfId="950" xr:uid="{00000000-0005-0000-0000-0000AB030000}"/>
    <cellStyle name="_PercentSpace_DCF Summary pages_Jazztel model 16DP3-Exhibits_FT-6June2001" xfId="951" xr:uid="{00000000-0005-0000-0000-0000AC030000}"/>
    <cellStyle name="_PercentSpace_DCF Summary pages_Jazztel model 16DP3-Exhibits_FT-6June2001_Telefonica Moviles" xfId="952" xr:uid="{00000000-0005-0000-0000-0000AD030000}"/>
    <cellStyle name="_PercentSpace_DCF Summary pages_Jazztel model 16DP3-Exhibits_Orange-Mar01" xfId="953" xr:uid="{00000000-0005-0000-0000-0000AE030000}"/>
    <cellStyle name="_PercentSpace_DCF Summary pages_Jazztel model 16DP3-Exhibits_Orange-May01" xfId="954" xr:uid="{00000000-0005-0000-0000-0000AF030000}"/>
    <cellStyle name="_PercentSpace_DCF Summary pages_Jazztel model 16DP3-Exhibits_T_MOBIL2" xfId="955" xr:uid="{00000000-0005-0000-0000-0000B0030000}"/>
    <cellStyle name="_PercentSpace_DCF Summary pages_Jazztel model 16DP3-Exhibits_T_MOBIL2_FT-6June2001" xfId="956" xr:uid="{00000000-0005-0000-0000-0000B1030000}"/>
    <cellStyle name="_PercentSpace_DCF Summary pages_Jazztel model 16DP3-Exhibits_T_MOBIL2_FT-6June2001_1" xfId="957" xr:uid="{00000000-0005-0000-0000-0000B2030000}"/>
    <cellStyle name="_PercentSpace_DCF Summary pages_Jazztel model 16DP3-Exhibits_T_MOBIL2_FT-6June2001_1_Telefonica Moviles" xfId="958" xr:uid="{00000000-0005-0000-0000-0000B3030000}"/>
    <cellStyle name="_PercentSpace_DCF Summary pages_Jazztel model 16DP3-Exhibits_T_MOBIL2_Orange-May01" xfId="959" xr:uid="{00000000-0005-0000-0000-0000B4030000}"/>
    <cellStyle name="_PercentSpace_DCF Summary pages_Jazztel model 16DP3-Exhibits_T_MOBIL2_Telefonica Moviles" xfId="960" xr:uid="{00000000-0005-0000-0000-0000B5030000}"/>
    <cellStyle name="_PercentSpace_DCF Summary pages_Jazztel model 16DP3-Exhibits_Telefonica Moviles" xfId="961" xr:uid="{00000000-0005-0000-0000-0000B6030000}"/>
    <cellStyle name="_PercentSpace_DCF Summary pages_Jazztel model 16DP3-Exhibits_TelenorInitiation-11Jan01" xfId="962" xr:uid="{00000000-0005-0000-0000-0000B7030000}"/>
    <cellStyle name="_PercentSpace_DCF Summary pages_Jazztel model 16DP3-Exhibits_TelenorWIPFeb01" xfId="963" xr:uid="{00000000-0005-0000-0000-0000B8030000}"/>
    <cellStyle name="_PercentSpace_DCF Summary pages_Jazztel model 18DP-exhibits" xfId="964" xr:uid="{00000000-0005-0000-0000-0000B9030000}"/>
    <cellStyle name="_PercentSpace_DCF Summary pages_Jazztel model 18DP-exhibits_3G Models" xfId="965" xr:uid="{00000000-0005-0000-0000-0000BA030000}"/>
    <cellStyle name="_PercentSpace_DCF Summary pages_Orange-May01" xfId="966" xr:uid="{00000000-0005-0000-0000-0000BB030000}"/>
    <cellStyle name="_PercentSpace_DCF Summary pages_Telefonica Moviles" xfId="967" xr:uid="{00000000-0005-0000-0000-0000BC030000}"/>
    <cellStyle name="_PercentSpace_Jazztel model 15-exhibits" xfId="968" xr:uid="{00000000-0005-0000-0000-0000BD030000}"/>
    <cellStyle name="_PercentSpace_Jazztel model 15-exhibits bis" xfId="969" xr:uid="{00000000-0005-0000-0000-0000BE030000}"/>
    <cellStyle name="_PercentSpace_Jazztel model 15-exhibits bis_FT-6June2001" xfId="970" xr:uid="{00000000-0005-0000-0000-0000BF030000}"/>
    <cellStyle name="_PercentSpace_Jazztel model 15-exhibits bis_FT-6June2001_Telefonica Moviles" xfId="971" xr:uid="{00000000-0005-0000-0000-0000C0030000}"/>
    <cellStyle name="_PercentSpace_Jazztel model 15-exhibits bis_Orange-Mar01" xfId="972" xr:uid="{00000000-0005-0000-0000-0000C1030000}"/>
    <cellStyle name="_PercentSpace_Jazztel model 15-exhibits bis_Orange-May01" xfId="973" xr:uid="{00000000-0005-0000-0000-0000C2030000}"/>
    <cellStyle name="_PercentSpace_Jazztel model 15-exhibits bis_T_MOBIL2" xfId="974" xr:uid="{00000000-0005-0000-0000-0000C3030000}"/>
    <cellStyle name="_PercentSpace_Jazztel model 15-exhibits bis_T_MOBIL2_FT-6June2001" xfId="975" xr:uid="{00000000-0005-0000-0000-0000C4030000}"/>
    <cellStyle name="_PercentSpace_Jazztel model 15-exhibits bis_T_MOBIL2_FT-6June2001_1" xfId="976" xr:uid="{00000000-0005-0000-0000-0000C5030000}"/>
    <cellStyle name="_PercentSpace_Jazztel model 15-exhibits bis_T_MOBIL2_FT-6June2001_1_Telefonica Moviles" xfId="977" xr:uid="{00000000-0005-0000-0000-0000C6030000}"/>
    <cellStyle name="_PercentSpace_Jazztel model 15-exhibits bis_T_MOBIL2_Orange-May01" xfId="978" xr:uid="{00000000-0005-0000-0000-0000C7030000}"/>
    <cellStyle name="_PercentSpace_Jazztel model 15-exhibits bis_T_MOBIL2_Telefonica Moviles" xfId="979" xr:uid="{00000000-0005-0000-0000-0000C8030000}"/>
    <cellStyle name="_PercentSpace_Jazztel model 15-exhibits bis_Telefonica Moviles" xfId="980" xr:uid="{00000000-0005-0000-0000-0000C9030000}"/>
    <cellStyle name="_PercentSpace_Jazztel model 15-exhibits bis_TelenorInitiation-11Jan01" xfId="981" xr:uid="{00000000-0005-0000-0000-0000CA030000}"/>
    <cellStyle name="_PercentSpace_Jazztel model 15-exhibits bis_TelenorWIPFeb01" xfId="982" xr:uid="{00000000-0005-0000-0000-0000CB030000}"/>
    <cellStyle name="_PercentSpace_Jazztel model 15-exhibits_3G Models" xfId="983" xr:uid="{00000000-0005-0000-0000-0000CC030000}"/>
    <cellStyle name="_PercentSpace_Jazztel model 15-exhibits_FT-6June2001" xfId="984" xr:uid="{00000000-0005-0000-0000-0000CD030000}"/>
    <cellStyle name="_PercentSpace_Jazztel model 15-exhibits_Jazztel model 16DP3-Exhibits" xfId="985" xr:uid="{00000000-0005-0000-0000-0000CE030000}"/>
    <cellStyle name="_PercentSpace_Jazztel model 15-exhibits_Jazztel model 16DP3-Exhibits_FT-6June2001" xfId="986" xr:uid="{00000000-0005-0000-0000-0000CF030000}"/>
    <cellStyle name="_PercentSpace_Jazztel model 15-exhibits_Jazztel model 16DP3-Exhibits_FT-6June2001_Telefonica Moviles" xfId="987" xr:uid="{00000000-0005-0000-0000-0000D0030000}"/>
    <cellStyle name="_PercentSpace_Jazztel model 15-exhibits_Jazztel model 16DP3-Exhibits_Orange-Mar01" xfId="988" xr:uid="{00000000-0005-0000-0000-0000D1030000}"/>
    <cellStyle name="_PercentSpace_Jazztel model 15-exhibits_Jazztel model 16DP3-Exhibits_Orange-May01" xfId="989" xr:uid="{00000000-0005-0000-0000-0000D2030000}"/>
    <cellStyle name="_PercentSpace_Jazztel model 15-exhibits_Jazztel model 16DP3-Exhibits_T_MOBIL2" xfId="990" xr:uid="{00000000-0005-0000-0000-0000D3030000}"/>
    <cellStyle name="_PercentSpace_Jazztel model 15-exhibits_Jazztel model 16DP3-Exhibits_T_MOBIL2_FT-6June2001" xfId="991" xr:uid="{00000000-0005-0000-0000-0000D4030000}"/>
    <cellStyle name="_PercentSpace_Jazztel model 15-exhibits_Jazztel model 16DP3-Exhibits_T_MOBIL2_FT-6June2001_1" xfId="992" xr:uid="{00000000-0005-0000-0000-0000D5030000}"/>
    <cellStyle name="_PercentSpace_Jazztel model 15-exhibits_Jazztel model 16DP3-Exhibits_T_MOBIL2_FT-6June2001_1_Telefonica Moviles" xfId="993" xr:uid="{00000000-0005-0000-0000-0000D6030000}"/>
    <cellStyle name="_PercentSpace_Jazztel model 15-exhibits_Jazztel model 16DP3-Exhibits_T_MOBIL2_Orange-May01" xfId="994" xr:uid="{00000000-0005-0000-0000-0000D7030000}"/>
    <cellStyle name="_PercentSpace_Jazztel model 15-exhibits_Jazztel model 16DP3-Exhibits_T_MOBIL2_Telefonica Moviles" xfId="995" xr:uid="{00000000-0005-0000-0000-0000D8030000}"/>
    <cellStyle name="_PercentSpace_Jazztel model 15-exhibits_Jazztel model 16DP3-Exhibits_Telefonica Moviles" xfId="996" xr:uid="{00000000-0005-0000-0000-0000D9030000}"/>
    <cellStyle name="_PercentSpace_Jazztel model 15-exhibits_Jazztel model 16DP3-Exhibits_TelenorInitiation-11Jan01" xfId="997" xr:uid="{00000000-0005-0000-0000-0000DA030000}"/>
    <cellStyle name="_PercentSpace_Jazztel model 15-exhibits_Jazztel model 16DP3-Exhibits_TelenorWIPFeb01" xfId="998" xr:uid="{00000000-0005-0000-0000-0000DB030000}"/>
    <cellStyle name="_PercentSpace_Jazztel model 15-exhibits_Jazztel model 18DP-exhibits" xfId="999" xr:uid="{00000000-0005-0000-0000-0000DC030000}"/>
    <cellStyle name="_PercentSpace_Jazztel model 15-exhibits_Jazztel model 18DP-exhibits_3G Models" xfId="1000" xr:uid="{00000000-0005-0000-0000-0000DD030000}"/>
    <cellStyle name="_PercentSpace_Jazztel model 15-exhibits_Orange-May01" xfId="1001" xr:uid="{00000000-0005-0000-0000-0000DE030000}"/>
    <cellStyle name="_PercentSpace_Jazztel model 15-exhibits_Telefonica Moviles" xfId="1002" xr:uid="{00000000-0005-0000-0000-0000DF030000}"/>
    <cellStyle name="_PercentSpace_Jazztel model 15-exhibits-Friso2" xfId="1003" xr:uid="{00000000-0005-0000-0000-0000E0030000}"/>
    <cellStyle name="_PercentSpace_Jazztel model 15-exhibits-Friso2_3G Models" xfId="1004" xr:uid="{00000000-0005-0000-0000-0000E1030000}"/>
    <cellStyle name="_PercentSpace_Jazztel model 15-exhibits-Friso2_FT-6June2001" xfId="1005" xr:uid="{00000000-0005-0000-0000-0000E2030000}"/>
    <cellStyle name="_PercentSpace_Jazztel model 15-exhibits-Friso2_Jazztel model 16DP3-Exhibits" xfId="1006" xr:uid="{00000000-0005-0000-0000-0000E3030000}"/>
    <cellStyle name="_PercentSpace_Jazztel model 15-exhibits-Friso2_Jazztel model 16DP3-Exhibits_FT-6June2001" xfId="1007" xr:uid="{00000000-0005-0000-0000-0000E4030000}"/>
    <cellStyle name="_PercentSpace_Jazztel model 15-exhibits-Friso2_Jazztel model 16DP3-Exhibits_FT-6June2001_Telefonica Moviles" xfId="1008" xr:uid="{00000000-0005-0000-0000-0000E5030000}"/>
    <cellStyle name="_PercentSpace_Jazztel model 15-exhibits-Friso2_Jazztel model 16DP3-Exhibits_Orange-Mar01" xfId="1009" xr:uid="{00000000-0005-0000-0000-0000E6030000}"/>
    <cellStyle name="_PercentSpace_Jazztel model 15-exhibits-Friso2_Jazztel model 16DP3-Exhibits_Orange-May01" xfId="1010" xr:uid="{00000000-0005-0000-0000-0000E7030000}"/>
    <cellStyle name="_PercentSpace_Jazztel model 15-exhibits-Friso2_Jazztel model 16DP3-Exhibits_T_MOBIL2" xfId="1011" xr:uid="{00000000-0005-0000-0000-0000E8030000}"/>
    <cellStyle name="_PercentSpace_Jazztel model 15-exhibits-Friso2_Jazztel model 16DP3-Exhibits_T_MOBIL2_FT-6June2001" xfId="1012" xr:uid="{00000000-0005-0000-0000-0000E9030000}"/>
    <cellStyle name="_PercentSpace_Jazztel model 15-exhibits-Friso2_Jazztel model 16DP3-Exhibits_T_MOBIL2_FT-6June2001_1" xfId="1013" xr:uid="{00000000-0005-0000-0000-0000EA030000}"/>
    <cellStyle name="_PercentSpace_Jazztel model 15-exhibits-Friso2_Jazztel model 16DP3-Exhibits_T_MOBIL2_FT-6June2001_1_Telefonica Moviles" xfId="1014" xr:uid="{00000000-0005-0000-0000-0000EB030000}"/>
    <cellStyle name="_PercentSpace_Jazztel model 15-exhibits-Friso2_Jazztel model 16DP3-Exhibits_T_MOBIL2_Orange-May01" xfId="1015" xr:uid="{00000000-0005-0000-0000-0000EC030000}"/>
    <cellStyle name="_PercentSpace_Jazztel model 15-exhibits-Friso2_Jazztel model 16DP3-Exhibits_T_MOBIL2_Telefonica Moviles" xfId="1016" xr:uid="{00000000-0005-0000-0000-0000ED030000}"/>
    <cellStyle name="_PercentSpace_Jazztel model 15-exhibits-Friso2_Jazztel model 16DP3-Exhibits_Telefonica Moviles" xfId="1017" xr:uid="{00000000-0005-0000-0000-0000EE030000}"/>
    <cellStyle name="_PercentSpace_Jazztel model 15-exhibits-Friso2_Jazztel model 16DP3-Exhibits_TelenorInitiation-11Jan01" xfId="1018" xr:uid="{00000000-0005-0000-0000-0000EF030000}"/>
    <cellStyle name="_PercentSpace_Jazztel model 15-exhibits-Friso2_Jazztel model 16DP3-Exhibits_TelenorWIPFeb01" xfId="1019" xr:uid="{00000000-0005-0000-0000-0000F0030000}"/>
    <cellStyle name="_PercentSpace_Jazztel model 15-exhibits-Friso2_Jazztel model 18DP-exhibits" xfId="1020" xr:uid="{00000000-0005-0000-0000-0000F1030000}"/>
    <cellStyle name="_PercentSpace_Jazztel model 15-exhibits-Friso2_Jazztel model 18DP-exhibits_3G Models" xfId="1021" xr:uid="{00000000-0005-0000-0000-0000F2030000}"/>
    <cellStyle name="_PercentSpace_Jazztel model 15-exhibits-Friso2_Orange-May01" xfId="1022" xr:uid="{00000000-0005-0000-0000-0000F3030000}"/>
    <cellStyle name="_PercentSpace_Jazztel model 15-exhibits-Friso2_Telefonica Moviles" xfId="1023" xr:uid="{00000000-0005-0000-0000-0000F4030000}"/>
    <cellStyle name="_PercentSpace_Jazztel model 16DP2-Exhibits" xfId="1024" xr:uid="{00000000-0005-0000-0000-0000F5030000}"/>
    <cellStyle name="_PercentSpace_Jazztel model 16DP2-Exhibits_3G Models" xfId="1025" xr:uid="{00000000-0005-0000-0000-0000F6030000}"/>
    <cellStyle name="_PercentSpace_Jazztel model 16DP3-Exhibits" xfId="1026" xr:uid="{00000000-0005-0000-0000-0000F7030000}"/>
    <cellStyle name="_PercentSpace_Jazztel model 16DP3-Exhibits_3G Models" xfId="1027" xr:uid="{00000000-0005-0000-0000-0000F8030000}"/>
    <cellStyle name="_PercentSpace_t-mobile Sep 2003" xfId="1028" xr:uid="{00000000-0005-0000-0000-0000F9030000}"/>
    <cellStyle name="_request forecasts analysts Q104 final" xfId="1029" xr:uid="{00000000-0005-0000-0000-0000FA030000}"/>
    <cellStyle name="_Request forecasts analysts Q106" xfId="1030" xr:uid="{00000000-0005-0000-0000-0000FB030000}"/>
    <cellStyle name="_Request forecasts analysts Q205 (2)" xfId="1031" xr:uid="{00000000-0005-0000-0000-0000FC030000}"/>
    <cellStyle name="_request forecasts analysts Q304 final" xfId="1032" xr:uid="{00000000-0005-0000-0000-0000FD030000}"/>
    <cellStyle name="_Request forecasts analysts Q305" xfId="1033" xr:uid="{00000000-0005-0000-0000-0000FE030000}"/>
    <cellStyle name="_Special items" xfId="1034" xr:uid="{00000000-0005-0000-0000-0000FF030000}"/>
    <cellStyle name="_SubHeading" xfId="1035" xr:uid="{00000000-0005-0000-0000-000000040000}"/>
    <cellStyle name="_SubHeading_bls roic" xfId="1036" xr:uid="{00000000-0005-0000-0000-000001040000}"/>
    <cellStyle name="_SubHeading_Broadband Comps" xfId="1037" xr:uid="{00000000-0005-0000-0000-000002040000}"/>
    <cellStyle name="_SubHeading_Q" xfId="1038" xr:uid="{00000000-0005-0000-0000-000003040000}"/>
    <cellStyle name="_SubHeading_q - new guidance" xfId="1039" xr:uid="{00000000-0005-0000-0000-000004040000}"/>
    <cellStyle name="_SubHeading_q - valuation" xfId="1040" xr:uid="{00000000-0005-0000-0000-000005040000}"/>
    <cellStyle name="_Table" xfId="1041" xr:uid="{00000000-0005-0000-0000-000006040000}"/>
    <cellStyle name="_Table_bls roic" xfId="1042" xr:uid="{00000000-0005-0000-0000-000007040000}"/>
    <cellStyle name="_Table_Broadband Comps" xfId="1043" xr:uid="{00000000-0005-0000-0000-000008040000}"/>
    <cellStyle name="_Table_Q" xfId="1044" xr:uid="{00000000-0005-0000-0000-000009040000}"/>
    <cellStyle name="_Table_q - new guidance" xfId="1045" xr:uid="{00000000-0005-0000-0000-00000A040000}"/>
    <cellStyle name="_Table_q - valuation" xfId="1046" xr:uid="{00000000-0005-0000-0000-00000B040000}"/>
    <cellStyle name="_TableHead" xfId="1047" xr:uid="{00000000-0005-0000-0000-00000C040000}"/>
    <cellStyle name="_TableHead_bls roic" xfId="1048" xr:uid="{00000000-0005-0000-0000-00000D040000}"/>
    <cellStyle name="_TableHead_Broadband Comps" xfId="1049" xr:uid="{00000000-0005-0000-0000-00000E040000}"/>
    <cellStyle name="_TableHead_Q" xfId="1050" xr:uid="{00000000-0005-0000-0000-00000F040000}"/>
    <cellStyle name="_TableHead_q - new guidance" xfId="1051" xr:uid="{00000000-0005-0000-0000-000010040000}"/>
    <cellStyle name="_TableHead_q - valuation" xfId="1052" xr:uid="{00000000-0005-0000-0000-000011040000}"/>
    <cellStyle name="_TableRowBorder" xfId="1053" xr:uid="{00000000-0005-0000-0000-000012040000}"/>
    <cellStyle name="_TableRowHead" xfId="1054" xr:uid="{00000000-0005-0000-0000-000013040000}"/>
    <cellStyle name="_TableRowHead_bls roic" xfId="1055" xr:uid="{00000000-0005-0000-0000-000014040000}"/>
    <cellStyle name="_TableRowHead_Broadband Comps" xfId="1056" xr:uid="{00000000-0005-0000-0000-000015040000}"/>
    <cellStyle name="_TableRowHead_Q" xfId="1057" xr:uid="{00000000-0005-0000-0000-000016040000}"/>
    <cellStyle name="_TableRowHead_q - new guidance" xfId="1058" xr:uid="{00000000-0005-0000-0000-000017040000}"/>
    <cellStyle name="_TableRowHead_q - valuation" xfId="1059" xr:uid="{00000000-0005-0000-0000-000018040000}"/>
    <cellStyle name="_TableSuperHead" xfId="1060" xr:uid="{00000000-0005-0000-0000-000019040000}"/>
    <cellStyle name="_TableSuperHead_bls roic" xfId="1061" xr:uid="{00000000-0005-0000-0000-00001A040000}"/>
    <cellStyle name="_TableSuperHead_Broadband Comps" xfId="1062" xr:uid="{00000000-0005-0000-0000-00001B040000}"/>
    <cellStyle name="_TableSuperHead_Q" xfId="1063" xr:uid="{00000000-0005-0000-0000-00001C040000}"/>
    <cellStyle name="_TableSuperHead_q - new guidance" xfId="1064" xr:uid="{00000000-0005-0000-0000-00001D040000}"/>
    <cellStyle name="_TableSuperHead_q - valuation" xfId="1065" xr:uid="{00000000-0005-0000-0000-00001E040000}"/>
    <cellStyle name="_Telenet" xfId="1066" xr:uid="{00000000-0005-0000-0000-00001F040000}"/>
    <cellStyle name="_traffic analysis" xfId="1067" xr:uid="{00000000-0005-0000-0000-000020040000}"/>
    <cellStyle name="_update request Mobistar figures (2)" xfId="1068" xr:uid="{00000000-0005-0000-0000-000021040000}"/>
    <cellStyle name="_Vodacom WIP" xfId="1785" xr:uid="{4AE82ABB-8F71-4AAE-AD0C-BD11038E6341}"/>
    <cellStyle name="_Wierless-Fixed split" xfId="1069" xr:uid="{00000000-0005-0000-0000-000022040000}"/>
    <cellStyle name="’Ê‰Ý [0.00]_GE 3 MINIMUM" xfId="1070" xr:uid="{00000000-0005-0000-0000-000023040000}"/>
    <cellStyle name="’Ê‰Ý_GE 3 MINIMUM" xfId="1071" xr:uid="{00000000-0005-0000-0000-000024040000}"/>
    <cellStyle name="£ BP" xfId="1072" xr:uid="{00000000-0005-0000-0000-000025040000}"/>
    <cellStyle name="¤@¯ë_Sheet1 (2)" xfId="1786" xr:uid="{E16B7883-5E37-4F76-8D39-305A0B839BBF}"/>
    <cellStyle name="¥ JY" xfId="1073" xr:uid="{00000000-0005-0000-0000-000026040000}"/>
    <cellStyle name="=C:\WINNT\SYSTEM32\COMMAND.COM" xfId="1744" xr:uid="{B22D9B50-AA7D-4B59-85A1-D83143B54739}"/>
    <cellStyle name="=C:\WINNT35\SYSTEM32\COMMAND.COM" xfId="1074" xr:uid="{00000000-0005-0000-0000-000027040000}"/>
    <cellStyle name="=C:\WINNT35\SYSTEM32\COMMAND.COM 2" xfId="1787" xr:uid="{16D59450-FF90-4935-8BE0-FDE5A2AA76FB}"/>
    <cellStyle name="§Q\òm1@À" xfId="1788" xr:uid="{8A1F53BC-CE68-4B75-95FF-DDBEC08BEAD1}"/>
    <cellStyle name="•W€_GE 3 MINIMUM" xfId="1075" xr:uid="{00000000-0005-0000-0000-000028040000}"/>
    <cellStyle name="•W_GE 3 MINIMUM" xfId="1076" xr:uid="{00000000-0005-0000-0000-000029040000}"/>
    <cellStyle name="‰p•¶" xfId="1077" xr:uid="{00000000-0005-0000-0000-00002A040000}"/>
    <cellStyle name="0" xfId="1078" xr:uid="{00000000-0005-0000-0000-00002B040000}"/>
    <cellStyle name="0%" xfId="1079" xr:uid="{00000000-0005-0000-0000-00002C040000}"/>
    <cellStyle name="0,0_x000d__x000a_NA_x000d__x000a_" xfId="1080" xr:uid="{00000000-0005-0000-0000-00002D040000}"/>
    <cellStyle name="0,0_x000d__x000a_NA_x000d__x000a_ 2" xfId="1081" xr:uid="{00000000-0005-0000-0000-00002E040000}"/>
    <cellStyle name="0,0_x000d__x000a_NA_x000d__x000a_ 2 2" xfId="1082" xr:uid="{00000000-0005-0000-0000-00002F040000}"/>
    <cellStyle name="0,0_x000d__x000a_NA_x000d__x000a_ 3" xfId="1083" xr:uid="{00000000-0005-0000-0000-000030040000}"/>
    <cellStyle name="0.0" xfId="1084" xr:uid="{00000000-0005-0000-0000-000031040000}"/>
    <cellStyle name="0.0%" xfId="1085" xr:uid="{00000000-0005-0000-0000-000032040000}"/>
    <cellStyle name="0.00" xfId="1086" xr:uid="{00000000-0005-0000-0000-000033040000}"/>
    <cellStyle name="0.00%" xfId="1087" xr:uid="{00000000-0005-0000-0000-000034040000}"/>
    <cellStyle name="000" xfId="1088" xr:uid="{00000000-0005-0000-0000-000035040000}"/>
    <cellStyle name="000 PN" xfId="1089" xr:uid="{00000000-0005-0000-0000-000036040000}"/>
    <cellStyle name="1 decimal" xfId="1090" xr:uid="{00000000-0005-0000-0000-000037040000}"/>
    <cellStyle name="2 decimal" xfId="1091" xr:uid="{00000000-0005-0000-0000-000038040000}"/>
    <cellStyle name="20% - Accent1 2" xfId="2056" xr:uid="{0A0EFA92-1E9F-49FF-BE2F-255435A3F219}"/>
    <cellStyle name="20% - Accent2 2" xfId="2057" xr:uid="{BE9A0250-BB8A-47B0-9CEC-2D6A596BC40B}"/>
    <cellStyle name="20% - Accent3 2" xfId="2058" xr:uid="{E4A05CC9-829C-4962-A0E6-DF91FD4996E7}"/>
    <cellStyle name="20% - Accent4 2" xfId="2059" xr:uid="{A34A21F3-3F44-4861-94C0-EFF55AD9A241}"/>
    <cellStyle name="20% - Accent5 2" xfId="2060" xr:uid="{315B5252-A201-4E92-AA5E-9905D630352F}"/>
    <cellStyle name="20% - Accent6 2" xfId="2061" xr:uid="{DBEF47A0-7B10-41A7-A655-1C47C96885C3}"/>
    <cellStyle name="227.2" xfId="1092" xr:uid="{00000000-0005-0000-0000-000039040000}"/>
    <cellStyle name="3f1o [0]_J-Hwang242" xfId="1789" xr:uid="{139E5B30-E219-4CCF-841D-4A32786A4900}"/>
    <cellStyle name="3f1o_J-Hwang2an" xfId="1790" xr:uid="{F8EC64E6-6B85-4EEC-B13C-F625D5B352BC}"/>
    <cellStyle name="40% - Accent1 2" xfId="2062" xr:uid="{1E997580-6975-4A0D-A642-0173983457F0}"/>
    <cellStyle name="40% - Accent2 2" xfId="2063" xr:uid="{A506BAD9-953E-41C5-BFF3-940BB126F76D}"/>
    <cellStyle name="40% - Accent3 2" xfId="2064" xr:uid="{96580B5E-B3DF-47E9-BAAC-FD7F3C7C8373}"/>
    <cellStyle name="40% - Accent4 2" xfId="2065" xr:uid="{86F8629D-FD6E-4BD9-A1D6-EF58FE44B747}"/>
    <cellStyle name="40% - Accent5 2" xfId="2066" xr:uid="{0E2CFF54-C7B7-479A-B401-DC09F56BA2BD}"/>
    <cellStyle name="40% - Accent6 2" xfId="2067" xr:uid="{9AD637A6-E2A6-4251-B7F8-CE63851B23A1}"/>
    <cellStyle name="60% - Accent1 2" xfId="2068" xr:uid="{383DA216-3510-48B0-AB7C-748E1C9C0B09}"/>
    <cellStyle name="60% - Accent2 2" xfId="2069" xr:uid="{FDCE5249-6491-450A-B90D-9703C9DAEDF9}"/>
    <cellStyle name="60% - Accent3 2" xfId="2070" xr:uid="{C05ADFAA-DA3E-4FFF-AF59-4BA820A2EDF6}"/>
    <cellStyle name="60% - Accent4 2" xfId="2071" xr:uid="{85555E95-9250-407D-B82B-3C95B95DDB25}"/>
    <cellStyle name="60% - Accent5 2" xfId="2072" xr:uid="{7312DA3D-37D1-4B6F-AB26-BE0DB25A50CC}"/>
    <cellStyle name="60% - Accent6 2" xfId="2073" xr:uid="{84AFBBC3-119F-4EF5-870A-661AA1BABBF9}"/>
    <cellStyle name="600 PN" xfId="1093" xr:uid="{00000000-0005-0000-0000-00003A040000}"/>
    <cellStyle name="6mal" xfId="1791" xr:uid="{9F45077A-1692-45FE-ADD1-93E00C06D5F6}"/>
    <cellStyle name="700 PN" xfId="1094" xr:uid="{00000000-0005-0000-0000-00003B040000}"/>
    <cellStyle name="752131" xfId="1095" xr:uid="{00000000-0005-0000-0000-00003C040000}"/>
    <cellStyle name="A_Block Space" xfId="1096" xr:uid="{00000000-0005-0000-0000-00003D040000}"/>
    <cellStyle name="A_BlueLine" xfId="1097" xr:uid="{00000000-0005-0000-0000-00003E040000}"/>
    <cellStyle name="A_Do not Change" xfId="1098" xr:uid="{00000000-0005-0000-0000-00003F040000}"/>
    <cellStyle name="A_Estimate" xfId="1099" xr:uid="{00000000-0005-0000-0000-000040040000}"/>
    <cellStyle name="A_Memo" xfId="1100" xr:uid="{00000000-0005-0000-0000-000041040000}"/>
    <cellStyle name="A_Normal" xfId="1101" xr:uid="{00000000-0005-0000-0000-000042040000}"/>
    <cellStyle name="A_Normal Forecast" xfId="1102" xr:uid="{00000000-0005-0000-0000-000043040000}"/>
    <cellStyle name="A_Normal Historical" xfId="1103" xr:uid="{00000000-0005-0000-0000-000044040000}"/>
    <cellStyle name="A_Rate_Data" xfId="1104" xr:uid="{00000000-0005-0000-0000-000045040000}"/>
    <cellStyle name="A_Rate_Data Historical" xfId="1105" xr:uid="{00000000-0005-0000-0000-000046040000}"/>
    <cellStyle name="A_Rate_Title" xfId="1106" xr:uid="{00000000-0005-0000-0000-000047040000}"/>
    <cellStyle name="A_Simple Title" xfId="1107" xr:uid="{00000000-0005-0000-0000-000048040000}"/>
    <cellStyle name="A_Sum" xfId="1108" xr:uid="{00000000-0005-0000-0000-000049040000}"/>
    <cellStyle name="A_SUM_Row Major" xfId="1109" xr:uid="{00000000-0005-0000-0000-00004A040000}"/>
    <cellStyle name="A_SUM_Row Minor" xfId="1110" xr:uid="{00000000-0005-0000-0000-00004B040000}"/>
    <cellStyle name="A_Title" xfId="1111" xr:uid="{00000000-0005-0000-0000-00004C040000}"/>
    <cellStyle name="A_YearHeadings" xfId="1112" xr:uid="{00000000-0005-0000-0000-00004D040000}"/>
    <cellStyle name="aaa" xfId="1792" xr:uid="{0127D2B1-89BA-42EF-AFCC-7090EC68338C}"/>
    <cellStyle name="Accent1 2" xfId="2079" xr:uid="{D0460327-FA44-44A9-AE06-C4A2FBAF90B6}"/>
    <cellStyle name="Accent2 2" xfId="2080" xr:uid="{F2754017-945D-4E3A-8EC1-7314794BF906}"/>
    <cellStyle name="Accent3 2" xfId="2081" xr:uid="{514BFA60-E372-4245-8CE2-B34EEFCE1903}"/>
    <cellStyle name="Accent4 2" xfId="2082" xr:uid="{BE7B3B76-9A32-4BFE-8F96-C5E2B4A7D67A}"/>
    <cellStyle name="Accent5 2" xfId="2083" xr:uid="{7955B978-5C1F-45F0-907B-12B10C4345B5}"/>
    <cellStyle name="Accent6 2" xfId="2084" xr:uid="{31A57A60-2D0F-455B-A1CB-7BE05908C90F}"/>
    <cellStyle name="Acquisition" xfId="1793" xr:uid="{4D1F4A61-F42B-4AA7-8722-A584F4C9DC27}"/>
    <cellStyle name="Actual header" xfId="1113" xr:uid="{00000000-0005-0000-0000-00004E040000}"/>
    <cellStyle name="Admin" xfId="1114" xr:uid="{00000000-0005-0000-0000-00004F040000}"/>
    <cellStyle name="ÅëÈ­ [0]_TestResults" xfId="1794" xr:uid="{F399C52F-3984-4C26-A37B-74965E492B9A}"/>
    <cellStyle name="ÅëÈ­_TestResults" xfId="1795" xr:uid="{07C469ED-931D-4804-B733-38693E4F1F1F}"/>
    <cellStyle name="AFE" xfId="1115" xr:uid="{00000000-0005-0000-0000-000050040000}"/>
    <cellStyle name="AFE 2" xfId="1116" xr:uid="{00000000-0005-0000-0000-000051040000}"/>
    <cellStyle name="AFE 3" xfId="1745" xr:uid="{259A1C7C-D06D-42CF-974C-00A981FE17C3}"/>
    <cellStyle name="ANALYST" xfId="1796" xr:uid="{9F095EA5-871C-44D8-A8F8-38769B3DC71C}"/>
    <cellStyle name="Année" xfId="1117" xr:uid="{00000000-0005-0000-0000-000052040000}"/>
    <cellStyle name="Année (e)" xfId="1118" xr:uid="{00000000-0005-0000-0000-000053040000}"/>
    <cellStyle name="Año" xfId="1119" xr:uid="{00000000-0005-0000-0000-000054040000}"/>
    <cellStyle name="args.style" xfId="1797" xr:uid="{D13E9A43-A956-4EB2-AEB8-364A41D37561}"/>
    <cellStyle name="Arial 10" xfId="1798" xr:uid="{DDEAEC8C-137D-41AE-BBE5-9DC8374480DF}"/>
    <cellStyle name="Arial 12" xfId="1799" xr:uid="{0890BB35-CC24-4C18-A9AF-6A0C4CBE80FE}"/>
    <cellStyle name="As_Reported" xfId="1120" xr:uid="{00000000-0005-0000-0000-000055040000}"/>
    <cellStyle name="Assumption" xfId="1121" xr:uid="{00000000-0005-0000-0000-000056040000}"/>
    <cellStyle name="Assumptions" xfId="1800" xr:uid="{B5DD183E-8AB1-4CB3-97C7-2955B7030DA8}"/>
    <cellStyle name="ÄÞ¸¶ [0]_TestResults" xfId="1801" xr:uid="{7EA3BCC6-E9CE-4349-9A10-6A6D5A56D0DA}"/>
    <cellStyle name="ÄÞ¸¶_TestResults" xfId="1802" xr:uid="{99521080-65BA-435F-BC84-14798C31149D}"/>
    <cellStyle name="auf tausender" xfId="1803" xr:uid="{9513A761-4A81-405C-95F4-D3641223E80C}"/>
    <cellStyle name="Availability" xfId="1122" xr:uid="{00000000-0005-0000-0000-000057040000}"/>
    <cellStyle name="Availability 2" xfId="1804" xr:uid="{CE529AB9-150C-4E9F-96CD-44817A98661B}"/>
    <cellStyle name="b" xfId="1123" xr:uid="{00000000-0005-0000-0000-000058040000}"/>
    <cellStyle name="Bad 2" xfId="2086" xr:uid="{10E20E2C-C938-4F9F-B382-DB4E8F2BD0D1}"/>
    <cellStyle name="BalanceSheet" xfId="1805" xr:uid="{F10C4584-D3DB-4402-9A59-999CA2C54F0A}"/>
    <cellStyle name="BlackTitle" xfId="1806" xr:uid="{0033708B-EAE0-4552-87A9-D757532D45E3}"/>
    <cellStyle name="Blank" xfId="1807" xr:uid="{4B62B611-7DBE-4930-9E69-1B67DCF02845}"/>
    <cellStyle name="block" xfId="1808" xr:uid="{CB48F8F2-DD03-4287-BEE7-9D727547F7C3}"/>
    <cellStyle name="Blue" xfId="1124" xr:uid="{00000000-0005-0000-0000-000059040000}"/>
    <cellStyle name="Blue 2" xfId="1809" xr:uid="{81FFEA28-E6C3-4392-8D69-552BBBCE120F}"/>
    <cellStyle name="Blue heading" xfId="1125" xr:uid="{00000000-0005-0000-0000-00005A040000}"/>
    <cellStyle name="blue shading" xfId="1126" xr:uid="{00000000-0005-0000-0000-00005B040000}"/>
    <cellStyle name="Bold" xfId="1127" xr:uid="{00000000-0005-0000-0000-00005C040000}"/>
    <cellStyle name="Bold/Border" xfId="1128" xr:uid="{00000000-0005-0000-0000-00005D040000}"/>
    <cellStyle name="Border Years" xfId="1129" xr:uid="{00000000-0005-0000-0000-00005E040000}"/>
    <cellStyle name="British Pound" xfId="1810" xr:uid="{4E72C2F2-C501-4107-9037-B5B5FC65576C}"/>
    <cellStyle name="Bullet" xfId="1130" xr:uid="{00000000-0005-0000-0000-00005F040000}"/>
    <cellStyle name="c" xfId="1131" xr:uid="{00000000-0005-0000-0000-000060040000}"/>
    <cellStyle name="c_Agnesi (2)" xfId="1132" xr:uid="{00000000-0005-0000-0000-000061040000}"/>
    <cellStyle name="c_Agnesi (2)_New Model Germany_WIP_MATT" xfId="1133" xr:uid="{00000000-0005-0000-0000-000062040000}"/>
    <cellStyle name="c_Cases (2)" xfId="1134" xr:uid="{00000000-0005-0000-0000-000063040000}"/>
    <cellStyle name="c_Cases (2)_New Model Germany_WIP_MATT" xfId="1135" xr:uid="{00000000-0005-0000-0000-000064040000}"/>
    <cellStyle name="c_Consolidated_Bal Sheets (2)" xfId="1136" xr:uid="{00000000-0005-0000-0000-000065040000}"/>
    <cellStyle name="c_Consolidated_Bal Sheets (2)_New Model Germany_WIP_MATT" xfId="1137" xr:uid="{00000000-0005-0000-0000-000066040000}"/>
    <cellStyle name="c_Consolidated_Earnings (2)" xfId="1138" xr:uid="{00000000-0005-0000-0000-000067040000}"/>
    <cellStyle name="c_Consolidated_Earnings (2)_New Model Germany_WIP_MATT" xfId="1139" xr:uid="{00000000-0005-0000-0000-000068040000}"/>
    <cellStyle name="c_Consolidated_Schedules (2)" xfId="1140" xr:uid="{00000000-0005-0000-0000-000069040000}"/>
    <cellStyle name="c_Consolidated_Schedules (2)_New Model Germany_WIP_MATT" xfId="1141" xr:uid="{00000000-0005-0000-0000-00006A040000}"/>
    <cellStyle name="c_Earnings (2)" xfId="1142" xr:uid="{00000000-0005-0000-0000-00006B040000}"/>
    <cellStyle name="c_Earnings (2)_New Model Germany_WIP_MATT" xfId="1143" xr:uid="{00000000-0005-0000-0000-00006C040000}"/>
    <cellStyle name="c_LMA (2)" xfId="1144" xr:uid="{00000000-0005-0000-0000-00006D040000}"/>
    <cellStyle name="c_LMA (2)_New Model Germany_WIP_MATT" xfId="1145" xr:uid="{00000000-0005-0000-0000-00006E040000}"/>
    <cellStyle name="c_mer-mod15" xfId="1146" xr:uid="{00000000-0005-0000-0000-00006F040000}"/>
    <cellStyle name="c_mer-mod15_Albania_Model_wip" xfId="1147" xr:uid="{00000000-0005-0000-0000-000070040000}"/>
    <cellStyle name="c_mer-mod15_BT" xfId="1148" xr:uid="{00000000-0005-0000-0000-000071040000}"/>
    <cellStyle name="c_mer-mod15_BT Opt Exp" xfId="1149" xr:uid="{00000000-0005-0000-0000-000072040000}"/>
    <cellStyle name="c_mer-mod15_BT Template" xfId="1150" xr:uid="{00000000-0005-0000-0000-000073040000}"/>
    <cellStyle name="c_mer-mod15_Italy" xfId="1151" xr:uid="{00000000-0005-0000-0000-000074040000}"/>
    <cellStyle name="c_mer-mod15_UK model New Template(restored16)" xfId="1152" xr:uid="{00000000-0005-0000-0000-000075040000}"/>
    <cellStyle name="c_mer-mod15_UK Subs" xfId="1153" xr:uid="{00000000-0005-0000-0000-000076040000}"/>
    <cellStyle name="c_New Model Germany_WIP_MATT" xfId="1154" xr:uid="{00000000-0005-0000-0000-000077040000}"/>
    <cellStyle name="c_OMNI_BalSheets (2)" xfId="1155" xr:uid="{00000000-0005-0000-0000-000078040000}"/>
    <cellStyle name="c_OMNI_BalSheets (2)_New Model Germany_WIP_MATT" xfId="1156" xr:uid="{00000000-0005-0000-0000-000079040000}"/>
    <cellStyle name="c_OMNI_Earnings (2)" xfId="1157" xr:uid="{00000000-0005-0000-0000-00007A040000}"/>
    <cellStyle name="c_OMNI_Earnings (2)_New Model Germany_WIP_MATT" xfId="1158" xr:uid="{00000000-0005-0000-0000-00007B040000}"/>
    <cellStyle name="c_Omni_Schedules (2)" xfId="1159" xr:uid="{00000000-0005-0000-0000-00007C040000}"/>
    <cellStyle name="c_Omni_Schedules (2)_New Model Germany_WIP_MATT" xfId="1160" xr:uid="{00000000-0005-0000-0000-00007D040000}"/>
    <cellStyle name="c_PFMA Cap (2)" xfId="1161" xr:uid="{00000000-0005-0000-0000-00007E040000}"/>
    <cellStyle name="c_PFMA Cap (2)_New Model Germany_WIP_MATT" xfId="1162" xr:uid="{00000000-0005-0000-0000-00007F040000}"/>
    <cellStyle name="c_PFMA Credit (2)" xfId="1163" xr:uid="{00000000-0005-0000-0000-000080040000}"/>
    <cellStyle name="c_PFMA Credit (2)_New Model Germany_WIP_MATT" xfId="1164" xr:uid="{00000000-0005-0000-0000-000081040000}"/>
    <cellStyle name="c_Print macros" xfId="1165" xr:uid="{00000000-0005-0000-0000-000082040000}"/>
    <cellStyle name="c_Print macros_New Model Germany_WIP_MATT" xfId="1166" xr:uid="{00000000-0005-0000-0000-000083040000}"/>
    <cellStyle name="c_PWS (2)" xfId="1167" xr:uid="{00000000-0005-0000-0000-000084040000}"/>
    <cellStyle name="c_PWS (2)_New Model Germany_WIP_MATT" xfId="1168" xr:uid="{00000000-0005-0000-0000-000085040000}"/>
    <cellStyle name="c_Standalone (2)" xfId="1169" xr:uid="{00000000-0005-0000-0000-000086040000}"/>
    <cellStyle name="c_Standalone (2)_New Model Germany_WIP_MATT" xfId="1170" xr:uid="{00000000-0005-0000-0000-000087040000}"/>
    <cellStyle name="Ç¥ÁØ_TestResults" xfId="1811" xr:uid="{C218002F-699B-49C2-83DC-B59F389F4166}"/>
    <cellStyle name="Calc Currency (0)" xfId="1171" xr:uid="{00000000-0005-0000-0000-000088040000}"/>
    <cellStyle name="Calc Currency (2)" xfId="1172" xr:uid="{00000000-0005-0000-0000-000089040000}"/>
    <cellStyle name="Calc Percent (0)" xfId="1173" xr:uid="{00000000-0005-0000-0000-00008A040000}"/>
    <cellStyle name="Calc Percent (1)" xfId="1174" xr:uid="{00000000-0005-0000-0000-00008B040000}"/>
    <cellStyle name="Calc Percent (2)" xfId="1175" xr:uid="{00000000-0005-0000-0000-00008C040000}"/>
    <cellStyle name="Calc Units (0)" xfId="1176" xr:uid="{00000000-0005-0000-0000-00008D040000}"/>
    <cellStyle name="Calc Units (1)" xfId="1177" xr:uid="{00000000-0005-0000-0000-00008E040000}"/>
    <cellStyle name="Calc Units (2)" xfId="1178" xr:uid="{00000000-0005-0000-0000-00008F040000}"/>
    <cellStyle name="Calcul" xfId="1179" xr:uid="{00000000-0005-0000-0000-000090040000}"/>
    <cellStyle name="Calculation 2" xfId="2075" xr:uid="{22D2576C-4B0E-464F-AD7B-3A4D20C3709D}"/>
    <cellStyle name="Case" xfId="1180" xr:uid="{00000000-0005-0000-0000-000091040000}"/>
    <cellStyle name="CashFlow" xfId="1812" xr:uid="{5A3A286A-6287-4EB9-BC9C-0ACCB5089CF7}"/>
    <cellStyle name="category" xfId="1813" xr:uid="{951A791D-48F7-46DA-B772-65D1B21B593D}"/>
    <cellStyle name="CATV Total" xfId="1181" xr:uid="{00000000-0005-0000-0000-000092040000}"/>
    <cellStyle name="Changeable" xfId="1182" xr:uid="{00000000-0005-0000-0000-000093040000}"/>
    <cellStyle name="Chart Fonts" xfId="1183" xr:uid="{00000000-0005-0000-0000-000094040000}"/>
    <cellStyle name="Check Cell 2" xfId="2076" xr:uid="{05DD8EAA-D6DB-4D38-A39C-C1ED09A5C8A4}"/>
    <cellStyle name="Checksum" xfId="1184" xr:uid="{00000000-0005-0000-0000-000095040000}"/>
    <cellStyle name="Colhead_left" xfId="1185" xr:uid="{00000000-0005-0000-0000-000096040000}"/>
    <cellStyle name="ColHeading" xfId="1186" xr:uid="{00000000-0005-0000-0000-000097040000}"/>
    <cellStyle name="colheadleft" xfId="1187" xr:uid="{00000000-0005-0000-0000-000098040000}"/>
    <cellStyle name="colheadright" xfId="1188" xr:uid="{00000000-0005-0000-0000-000099040000}"/>
    <cellStyle name="Column Heading" xfId="1189" xr:uid="{00000000-0005-0000-0000-00009A040000}"/>
    <cellStyle name="Column Heading (No Wrap)" xfId="1190" xr:uid="{00000000-0005-0000-0000-00009B040000}"/>
    <cellStyle name="Column Heading_SHEET" xfId="1191" xr:uid="{00000000-0005-0000-0000-00009C040000}"/>
    <cellStyle name="Column label" xfId="1192" xr:uid="{00000000-0005-0000-0000-00009D040000}"/>
    <cellStyle name="Column label (left aligned)" xfId="1193" xr:uid="{00000000-0005-0000-0000-00009E040000}"/>
    <cellStyle name="Column label (left aligned) 2" xfId="1815" xr:uid="{F05A310C-4FEF-40A6-B59D-0A6509DB30E8}"/>
    <cellStyle name="Column label (no wrap)" xfId="1194" xr:uid="{00000000-0005-0000-0000-00009F040000}"/>
    <cellStyle name="Column label (no wrap) 2" xfId="1816" xr:uid="{2430EF7D-4EF9-4FBD-99C0-9E9A1703B87E}"/>
    <cellStyle name="Column label (not bold)" xfId="1195" xr:uid="{00000000-0005-0000-0000-0000A0040000}"/>
    <cellStyle name="Column label (not bold) 2" xfId="1817" xr:uid="{959AE2F1-FA3B-48C4-ADA9-1C059A6F96EA}"/>
    <cellStyle name="Column label 2" xfId="1814" xr:uid="{77565B24-4ABC-4F6E-BAC4-9E127CE26A1B}"/>
    <cellStyle name="Column label_KBW model current jan 06" xfId="1196" xr:uid="{00000000-0005-0000-0000-0000A1040000}"/>
    <cellStyle name="Column Total" xfId="1197" xr:uid="{00000000-0005-0000-0000-0000A2040000}"/>
    <cellStyle name="Comma" xfId="1742" builtinId="3"/>
    <cellStyle name="comma - number" xfId="1198" xr:uid="{00000000-0005-0000-0000-0000A3040000}"/>
    <cellStyle name="comma - number 2" xfId="1818" xr:uid="{415CADC7-D6F0-4ECC-82BB-752A49C3BBD0}"/>
    <cellStyle name="Comma [00]" xfId="1199" xr:uid="{00000000-0005-0000-0000-0000A4040000}"/>
    <cellStyle name="Comma [1]" xfId="1200" xr:uid="{00000000-0005-0000-0000-0000A5040000}"/>
    <cellStyle name="Comma [1] (000's)" xfId="1201" xr:uid="{00000000-0005-0000-0000-0000A6040000}"/>
    <cellStyle name="Comma [1] (MM's)" xfId="1202" xr:uid="{00000000-0005-0000-0000-0000A7040000}"/>
    <cellStyle name="Comma [1]_Albania_Model_wip" xfId="1203" xr:uid="{00000000-0005-0000-0000-0000A8040000}"/>
    <cellStyle name="Comma [2]" xfId="1204" xr:uid="{00000000-0005-0000-0000-0000A9040000}"/>
    <cellStyle name="Comma [2] 2" xfId="1819" xr:uid="{0F1B3BCF-360D-43D0-A082-4B333F251F4A}"/>
    <cellStyle name="Comma 0" xfId="1205" xr:uid="{00000000-0005-0000-0000-0000AA040000}"/>
    <cellStyle name="Comma 0 2" xfId="1206" xr:uid="{00000000-0005-0000-0000-0000AB040000}"/>
    <cellStyle name="Comma 0 3" xfId="1820" xr:uid="{58FE08E8-9A24-405F-AC72-2FC4DE84B20C}"/>
    <cellStyle name="Comma 10" xfId="1207" xr:uid="{00000000-0005-0000-0000-0000AC040000}"/>
    <cellStyle name="Comma 11" xfId="1208" xr:uid="{00000000-0005-0000-0000-0000AD040000}"/>
    <cellStyle name="Comma 12" xfId="1209" xr:uid="{00000000-0005-0000-0000-0000AE040000}"/>
    <cellStyle name="Comma 13" xfId="1210" xr:uid="{00000000-0005-0000-0000-0000AF040000}"/>
    <cellStyle name="Comma 14" xfId="1211" xr:uid="{00000000-0005-0000-0000-0000B0040000}"/>
    <cellStyle name="Comma 15" xfId="1212" xr:uid="{00000000-0005-0000-0000-0000B1040000}"/>
    <cellStyle name="Comma 16" xfId="1763" xr:uid="{E6972D49-9A78-4181-AA5D-B6ED0D8EC381}"/>
    <cellStyle name="Comma 2" xfId="3" xr:uid="{00000000-0005-0000-0000-0000B2040000}"/>
    <cellStyle name="Comma 2 2" xfId="1213" xr:uid="{00000000-0005-0000-0000-0000B3040000}"/>
    <cellStyle name="Comma 2 3" xfId="1214" xr:uid="{00000000-0005-0000-0000-0000B4040000}"/>
    <cellStyle name="Comma 2 4" xfId="1215" xr:uid="{00000000-0005-0000-0000-0000B5040000}"/>
    <cellStyle name="Comma 2 5" xfId="1740" xr:uid="{00000000-0005-0000-0000-0000B6040000}"/>
    <cellStyle name="Comma 2 6" xfId="1765" xr:uid="{6072E377-6AFB-456F-963E-70A2D3022BB9}"/>
    <cellStyle name="Comma 3" xfId="8" xr:uid="{00000000-0005-0000-0000-0000B7040000}"/>
    <cellStyle name="Comma 3 2" xfId="1216" xr:uid="{00000000-0005-0000-0000-0000B8040000}"/>
    <cellStyle name="Comma 3 3" xfId="1821" xr:uid="{F6490F32-A696-438A-B650-7B3FBFCD7826}"/>
    <cellStyle name="Comma 3 4" xfId="2100" xr:uid="{44F59B02-DC3F-43F6-BD2F-3C02B48A7437}"/>
    <cellStyle name="Comma 4" xfId="1217" xr:uid="{00000000-0005-0000-0000-0000B9040000}"/>
    <cellStyle name="Comma 4 2" xfId="2087" xr:uid="{B1B136D3-345F-4013-8E6E-EC64785566EA}"/>
    <cellStyle name="Comma 5" xfId="1218" xr:uid="{00000000-0005-0000-0000-0000BA040000}"/>
    <cellStyle name="Comma 6" xfId="1219" xr:uid="{00000000-0005-0000-0000-0000BB040000}"/>
    <cellStyle name="Comma 7" xfId="1220" xr:uid="{00000000-0005-0000-0000-0000BC040000}"/>
    <cellStyle name="Comma 8" xfId="1221" xr:uid="{00000000-0005-0000-0000-0000BD040000}"/>
    <cellStyle name="Comma 9" xfId="1222" xr:uid="{00000000-0005-0000-0000-0000BE040000}"/>
    <cellStyle name="Comma(1)" xfId="1822" xr:uid="{F807E9BB-E5C4-438F-A15F-74FC483E6AC9}"/>
    <cellStyle name="Comma, 1 dec" xfId="1823" xr:uid="{2E30C313-8F92-4E4F-B2E5-3F90E31E5FA2}"/>
    <cellStyle name="Comma, 1dec" xfId="1223" xr:uid="{00000000-0005-0000-0000-0000BF040000}"/>
    <cellStyle name="Comma.1" xfId="1224" xr:uid="{00000000-0005-0000-0000-0000C0040000}"/>
    <cellStyle name="Comma.2" xfId="1225" xr:uid="{00000000-0005-0000-0000-0000C1040000}"/>
    <cellStyle name="Comma0" xfId="1824" xr:uid="{E58918FB-EF61-40E5-B771-DFE4F76D93AF}"/>
    <cellStyle name="Comma0 - Modelo1" xfId="1226" xr:uid="{00000000-0005-0000-0000-0000C2040000}"/>
    <cellStyle name="Comma0 - Style1" xfId="1227" xr:uid="{00000000-0005-0000-0000-0000C3040000}"/>
    <cellStyle name="Comma1 - Modelo2" xfId="1228" xr:uid="{00000000-0005-0000-0000-0000C4040000}"/>
    <cellStyle name="Comma1 - Style2" xfId="1229" xr:uid="{00000000-0005-0000-0000-0000C5040000}"/>
    <cellStyle name="Company" xfId="1230" xr:uid="{00000000-0005-0000-0000-0000C6040000}"/>
    <cellStyle name="Company name" xfId="1231" xr:uid="{00000000-0005-0000-0000-0000C7040000}"/>
    <cellStyle name="Copied" xfId="1232" xr:uid="{00000000-0005-0000-0000-0000C8040000}"/>
    <cellStyle name="Cover Date" xfId="1825" xr:uid="{DF53255D-CAEB-450C-97CE-51176C508932}"/>
    <cellStyle name="Cover Subtitle" xfId="1826" xr:uid="{40FB467C-FC6C-41E7-81FD-51BE711C719C}"/>
    <cellStyle name="Cover Title" xfId="1827" xr:uid="{6DD1D365-8D33-4476-92AE-5126729CAA31}"/>
    <cellStyle name="Cuadro 1" xfId="1233" xr:uid="{00000000-0005-0000-0000-0000C9040000}"/>
    <cellStyle name="CurRatio" xfId="1234" xr:uid="{00000000-0005-0000-0000-0000CA040000}"/>
    <cellStyle name="CurRatio 2" xfId="1828" xr:uid="{7C0DB237-CE4C-47FB-BD5A-C310FEDD16E1}"/>
    <cellStyle name="Currency - Euro" xfId="1235" xr:uid="{00000000-0005-0000-0000-0000CB040000}"/>
    <cellStyle name="Currency (2dp)" xfId="1236" xr:uid="{00000000-0005-0000-0000-0000CC040000}"/>
    <cellStyle name="Currency [0] - Euro" xfId="1237" xr:uid="{00000000-0005-0000-0000-0000CD040000}"/>
    <cellStyle name="Currency [0] - Euro 2" xfId="1238" xr:uid="{00000000-0005-0000-0000-0000CE040000}"/>
    <cellStyle name="Currency [0] - Euro 3" xfId="1239" xr:uid="{00000000-0005-0000-0000-0000CF040000}"/>
    <cellStyle name="Currency [00]" xfId="1240" xr:uid="{00000000-0005-0000-0000-0000D0040000}"/>
    <cellStyle name="Currency [1]" xfId="1829" xr:uid="{9AD451A8-E3D3-4A49-902D-56FF9C363EF0}"/>
    <cellStyle name="Currency [2]" xfId="1241" xr:uid="{00000000-0005-0000-0000-0000D1040000}"/>
    <cellStyle name="Currency [2] 2" xfId="1746" xr:uid="{9CB5882F-58BB-4E0E-B132-1E3D0B559727}"/>
    <cellStyle name="Currency 0" xfId="1242" xr:uid="{00000000-0005-0000-0000-0000D2040000}"/>
    <cellStyle name="Currency 0 2" xfId="1243" xr:uid="{00000000-0005-0000-0000-0000D3040000}"/>
    <cellStyle name="Currency 0 3" xfId="1830" xr:uid="{B0DCD6FD-7322-4159-B0B3-51A0CEC78E1C}"/>
    <cellStyle name="Currency 2" xfId="1244" xr:uid="{00000000-0005-0000-0000-0000D4040000}"/>
    <cellStyle name="Currency 2 2" xfId="1245" xr:uid="{00000000-0005-0000-0000-0000D5040000}"/>
    <cellStyle name="Currency 2 3" xfId="1831" xr:uid="{8A7691E0-F289-4578-B645-E3AEBD8805F2}"/>
    <cellStyle name="Currency Dollar" xfId="1246" xr:uid="{00000000-0005-0000-0000-0000D6040000}"/>
    <cellStyle name="Currency Dollar (2dp)" xfId="1247" xr:uid="{00000000-0005-0000-0000-0000D7040000}"/>
    <cellStyle name="Currency EUR" xfId="1248" xr:uid="{00000000-0005-0000-0000-0000D8040000}"/>
    <cellStyle name="Currency EUR (2dp)" xfId="1249" xr:uid="{00000000-0005-0000-0000-0000D9040000}"/>
    <cellStyle name="Currency Euro" xfId="1250" xr:uid="{00000000-0005-0000-0000-0000DA040000}"/>
    <cellStyle name="Currency Euro (2dp)" xfId="1251" xr:uid="{00000000-0005-0000-0000-0000DB040000}"/>
    <cellStyle name="Currency GBP" xfId="1252" xr:uid="{00000000-0005-0000-0000-0000DC040000}"/>
    <cellStyle name="Currency GBP (2dp)" xfId="1253" xr:uid="{00000000-0005-0000-0000-0000DD040000}"/>
    <cellStyle name="Currency Pound" xfId="1254" xr:uid="{00000000-0005-0000-0000-0000DE040000}"/>
    <cellStyle name="Currency Pound (2dp)" xfId="1255" xr:uid="{00000000-0005-0000-0000-0000DF040000}"/>
    <cellStyle name="Currency USD" xfId="1256" xr:uid="{00000000-0005-0000-0000-0000E0040000}"/>
    <cellStyle name="Currency USD (2dp)" xfId="1257" xr:uid="{00000000-0005-0000-0000-0000E1040000}"/>
    <cellStyle name="Currency.1" xfId="1258" xr:uid="{00000000-0005-0000-0000-0000E2040000}"/>
    <cellStyle name="Currency.2" xfId="1259" xr:uid="{00000000-0005-0000-0000-0000E3040000}"/>
    <cellStyle name="Currency0" xfId="1832" xr:uid="{1F14383C-6835-4168-B41E-629AB6DB7C05}"/>
    <cellStyle name="CustomStyle1" xfId="1747" xr:uid="{2F590013-ABCE-4298-982B-CDEDEFAF35E9}"/>
    <cellStyle name="CustomStyle10" xfId="1748" xr:uid="{F620C966-83A8-43AF-BF97-EE7498CB47AC}"/>
    <cellStyle name="CustomStyle15" xfId="1749" xr:uid="{EFADE69D-EB95-4CDE-BA6C-9FC09ABFF83A}"/>
    <cellStyle name="d" xfId="1260" xr:uid="{00000000-0005-0000-0000-0000E4040000}"/>
    <cellStyle name="d_CMP-S-10" xfId="1261" xr:uid="{00000000-0005-0000-0000-0000E5040000}"/>
    <cellStyle name="Dash" xfId="1262" xr:uid="{00000000-0005-0000-0000-0000E6040000}"/>
    <cellStyle name="Data" xfId="1263" xr:uid="{00000000-0005-0000-0000-0000E7040000}"/>
    <cellStyle name="Date" xfId="1264" xr:uid="{00000000-0005-0000-0000-0000E8040000}"/>
    <cellStyle name="Date (Month)" xfId="1265" xr:uid="{00000000-0005-0000-0000-0000E9040000}"/>
    <cellStyle name="Date (Year)" xfId="1266" xr:uid="{00000000-0005-0000-0000-0000EA040000}"/>
    <cellStyle name="Date [d-mmm-yy]" xfId="1833" xr:uid="{91B78D79-4BEC-484C-A19B-0A159FD9B21C}"/>
    <cellStyle name="Date [mm-d-yy]" xfId="1834" xr:uid="{F3A1B55F-F2D9-4F70-959D-692BD9532EFC}"/>
    <cellStyle name="Date [mm-d-yyyy]" xfId="1835" xr:uid="{AA337F13-03D8-41B1-B64A-7B479ED701D7}"/>
    <cellStyle name="Date [mmm-d-yyyy]" xfId="1836" xr:uid="{C79BAC6D-7263-413D-BA65-723C4ADC505F}"/>
    <cellStyle name="Date [mmm-yy]" xfId="1837" xr:uid="{9584942A-82C3-471E-B7E6-3F293C557B3A}"/>
    <cellStyle name="Date [mmm-yyyy]" xfId="1838" xr:uid="{D72731E5-2700-4C38-81A2-4DD832E7B684}"/>
    <cellStyle name="Date 10" xfId="1267" xr:uid="{00000000-0005-0000-0000-0000EB040000}"/>
    <cellStyle name="Date 11" xfId="1268" xr:uid="{00000000-0005-0000-0000-0000EC040000}"/>
    <cellStyle name="Date 12" xfId="1269" xr:uid="{00000000-0005-0000-0000-0000ED040000}"/>
    <cellStyle name="Date 13" xfId="1270" xr:uid="{00000000-0005-0000-0000-0000EE040000}"/>
    <cellStyle name="Date 14" xfId="1271" xr:uid="{00000000-0005-0000-0000-0000EF040000}"/>
    <cellStyle name="Date 15" xfId="1272" xr:uid="{00000000-0005-0000-0000-0000F0040000}"/>
    <cellStyle name="Date 16" xfId="1273" xr:uid="{00000000-0005-0000-0000-0000F1040000}"/>
    <cellStyle name="Date 17" xfId="1274" xr:uid="{00000000-0005-0000-0000-0000F2040000}"/>
    <cellStyle name="Date 18" xfId="1275" xr:uid="{00000000-0005-0000-0000-0000F3040000}"/>
    <cellStyle name="Date 19" xfId="1276" xr:uid="{00000000-0005-0000-0000-0000F4040000}"/>
    <cellStyle name="Date 2" xfId="1277" xr:uid="{00000000-0005-0000-0000-0000F5040000}"/>
    <cellStyle name="Date 20" xfId="1278" xr:uid="{00000000-0005-0000-0000-0000F6040000}"/>
    <cellStyle name="Date 21" xfId="1279" xr:uid="{00000000-0005-0000-0000-0000F7040000}"/>
    <cellStyle name="Date 22" xfId="1280" xr:uid="{00000000-0005-0000-0000-0000F8040000}"/>
    <cellStyle name="Date 23" xfId="1750" xr:uid="{87E627A1-C7B0-47F0-B523-9DC692406B19}"/>
    <cellStyle name="Date 3" xfId="1281" xr:uid="{00000000-0005-0000-0000-0000F9040000}"/>
    <cellStyle name="Date 4" xfId="1282" xr:uid="{00000000-0005-0000-0000-0000FA040000}"/>
    <cellStyle name="Date 5" xfId="1283" xr:uid="{00000000-0005-0000-0000-0000FB040000}"/>
    <cellStyle name="Date 6" xfId="1284" xr:uid="{00000000-0005-0000-0000-0000FC040000}"/>
    <cellStyle name="Date 7" xfId="1285" xr:uid="{00000000-0005-0000-0000-0000FD040000}"/>
    <cellStyle name="Date 8" xfId="1286" xr:uid="{00000000-0005-0000-0000-0000FE040000}"/>
    <cellStyle name="Date 9" xfId="1287" xr:uid="{00000000-0005-0000-0000-0000FF040000}"/>
    <cellStyle name="Date Aligned" xfId="1288" xr:uid="{00000000-0005-0000-0000-000000050000}"/>
    <cellStyle name="Date Aligned 2" xfId="1289" xr:uid="{00000000-0005-0000-0000-000001050000}"/>
    <cellStyle name="Date Aligned 3" xfId="1839" xr:uid="{DAFF1709-3025-43DB-99C9-43BF84E300B6}"/>
    <cellStyle name="Date Short" xfId="1290" xr:uid="{00000000-0005-0000-0000-000002050000}"/>
    <cellStyle name="Date_BT2" xfId="1291" xr:uid="{00000000-0005-0000-0000-000003050000}"/>
    <cellStyle name="Date2" xfId="1292" xr:uid="{00000000-0005-0000-0000-000004050000}"/>
    <cellStyle name="Date2 2" xfId="1840" xr:uid="{6D68FCE3-0BB4-4B65-964B-FEEECDC097A9}"/>
    <cellStyle name="Dates" xfId="1841" xr:uid="{D907DEBB-D912-4F3A-970B-9BE29581D019}"/>
    <cellStyle name="DateYear" xfId="1842" xr:uid="{41B028A3-B197-4B1F-82A3-76643A36B265}"/>
    <cellStyle name="dd" xfId="1293" xr:uid="{00000000-0005-0000-0000-000005050000}"/>
    <cellStyle name="ddd" xfId="1294" xr:uid="{00000000-0005-0000-0000-000006050000}"/>
    <cellStyle name="Definition" xfId="1295" xr:uid="{00000000-0005-0000-0000-000007050000}"/>
    <cellStyle name="Déprotégée" xfId="1296" xr:uid="{00000000-0005-0000-0000-000008050000}"/>
    <cellStyle name="Devise" xfId="1297" xr:uid="{00000000-0005-0000-0000-000009050000}"/>
    <cellStyle name="Dezimal (0.0)" xfId="1298" xr:uid="{00000000-0005-0000-0000-00000A050000}"/>
    <cellStyle name="Dezimal (0.0) 2" xfId="1843" xr:uid="{B7FF439F-74CB-4D8B-AC82-6462139095C9}"/>
    <cellStyle name="Dia" xfId="1299" xr:uid="{00000000-0005-0000-0000-00000B050000}"/>
    <cellStyle name="Diseño" xfId="1751" xr:uid="{3F671CAF-4EB9-4346-BCB2-F62A801F67DE}"/>
    <cellStyle name="Dollar" xfId="1300" xr:uid="{00000000-0005-0000-0000-00000C050000}"/>
    <cellStyle name="Dollar 2" xfId="1844" xr:uid="{33FAA89B-88C7-42EA-B37D-BA96C50D52CF}"/>
    <cellStyle name="Dollars" xfId="1301" xr:uid="{00000000-0005-0000-0000-00000D050000}"/>
    <cellStyle name="dollars 2" xfId="1845" xr:uid="{1326A29D-D4BE-44D9-95BB-819F53551F7D}"/>
    <cellStyle name="DollarWhole" xfId="1846" xr:uid="{B8FCA5FC-143F-4CC7-8D49-8EF31A609FB5}"/>
    <cellStyle name="Dotted Line" xfId="1302" xr:uid="{00000000-0005-0000-0000-00000E050000}"/>
    <cellStyle name="Dotted Line 2" xfId="1303" xr:uid="{00000000-0005-0000-0000-00000F050000}"/>
    <cellStyle name="Dotted Line 3" xfId="1847" xr:uid="{0E3059C1-B6FF-45FF-A778-E0C54853C713}"/>
    <cellStyle name="Double Accounting" xfId="1848" xr:uid="{F4E943BE-AB12-4394-986F-6E08471570CF}"/>
    <cellStyle name="dr" xfId="1304" xr:uid="{00000000-0005-0000-0000-000010050000}"/>
    <cellStyle name="Driver" xfId="1305" xr:uid="{00000000-0005-0000-0000-000011050000}"/>
    <cellStyle name="Driver 2" xfId="1849" xr:uid="{175C12C3-CA08-45A7-836B-4B3E4A297435}"/>
    <cellStyle name="Driver Lable" xfId="1850" xr:uid="{391AB946-FF22-41E0-B1C1-E3723356165C}"/>
    <cellStyle name="drivers" xfId="1851" xr:uid="{50384515-8F5F-4AA0-99A9-78C621BD9629}"/>
    <cellStyle name="ds" xfId="1306" xr:uid="{00000000-0005-0000-0000-000012050000}"/>
    <cellStyle name="Encabez1" xfId="1307" xr:uid="{00000000-0005-0000-0000-000013050000}"/>
    <cellStyle name="Encabez2" xfId="1308" xr:uid="{00000000-0005-0000-0000-000014050000}"/>
    <cellStyle name="Enter Currency (0)" xfId="1309" xr:uid="{00000000-0005-0000-0000-000015050000}"/>
    <cellStyle name="Enter Currency (2)" xfId="1310" xr:uid="{00000000-0005-0000-0000-000016050000}"/>
    <cellStyle name="Enter Units (0)" xfId="1311" xr:uid="{00000000-0005-0000-0000-000017050000}"/>
    <cellStyle name="Enter Units (1)" xfId="1312" xr:uid="{00000000-0005-0000-0000-000018050000}"/>
    <cellStyle name="Enter Units (2)" xfId="1313" xr:uid="{00000000-0005-0000-0000-000019050000}"/>
    <cellStyle name="Entered" xfId="1314" xr:uid="{00000000-0005-0000-0000-00001A050000}"/>
    <cellStyle name="Entités" xfId="1315" xr:uid="{00000000-0005-0000-0000-00001B050000}"/>
    <cellStyle name="EPS" xfId="1852" xr:uid="{B1CB8F80-2A09-475F-877B-797FC194FF8C}"/>
    <cellStyle name="EPSActual" xfId="1853" xr:uid="{241CA110-465D-4508-AC17-74E4AAC043B6}"/>
    <cellStyle name="EPSEstimate" xfId="1854" xr:uid="{E557DF16-B1BA-41A2-8E18-C867DE2B22ED}"/>
    <cellStyle name="Est - $" xfId="1855" xr:uid="{43B8B7C7-704A-4A62-A947-C085C438A847}"/>
    <cellStyle name="Est - %" xfId="1856" xr:uid="{3E155767-3239-445C-87DD-8032AEC4150A}"/>
    <cellStyle name="Est 0,000.0" xfId="1857" xr:uid="{6E083E6E-62C3-474C-8E79-666EBB8282BA}"/>
    <cellStyle name="Estilo 1" xfId="1752" xr:uid="{4741C43C-A3CA-4071-B2D9-72933BE7DD34}"/>
    <cellStyle name="estimate" xfId="1316" xr:uid="{00000000-0005-0000-0000-00001C050000}"/>
    <cellStyle name="Euro" xfId="1317" xr:uid="{00000000-0005-0000-0000-00001D050000}"/>
    <cellStyle name="Euro 2" xfId="1858" xr:uid="{BD469B95-F187-4D64-A36D-08E8E5F57861}"/>
    <cellStyle name="Euro 3" xfId="1753" xr:uid="{595B9644-C24B-419C-9334-749E38ACA7CB}"/>
    <cellStyle name="Explanatory Text 2" xfId="2092" xr:uid="{4F63BE24-8DEC-4ABC-8682-9F835B835C05}"/>
    <cellStyle name="f" xfId="1318" xr:uid="{00000000-0005-0000-0000-00001E050000}"/>
    <cellStyle name="f_BASE VIVO 311203 - Val II" xfId="1319" xr:uid="{00000000-0005-0000-0000-00001F050000}"/>
    <cellStyle name="f_Brasilcel mar05 FINAL v0904" xfId="1320" xr:uid="{00000000-0005-0000-0000-000020050000}"/>
    <cellStyle name="f_Concessão Licença" xfId="1321" xr:uid="{00000000-0005-0000-0000-000021050000}"/>
    <cellStyle name="f_leasing TCO dez.03 a set.04 V.T-gestiona FEV.05 (ESTIMATIVA)" xfId="1322" xr:uid="{00000000-0005-0000-0000-000022050000}"/>
    <cellStyle name="f_Minoritários 0604 da v. ALEJANDRO final II" xfId="1323" xr:uid="{00000000-0005-0000-0000-000023050000}"/>
    <cellStyle name="f_Minoritários 0604 da v. ALEJANDRO final III" xfId="1324" xr:uid="{00000000-0005-0000-0000-000024050000}"/>
    <cellStyle name="f_Minoritários Brasilcel mar 05" xfId="1325" xr:uid="{00000000-0005-0000-0000-000025050000}"/>
    <cellStyle name="f_Mod.proposto Espanha Brasilcel dez.03 IV" xfId="1326" xr:uid="{00000000-0005-0000-0000-000026050000}"/>
    <cellStyle name="f_Planilha TCP Holding IAS set.04 - após revisão espanha" xfId="1327" xr:uid="{00000000-0005-0000-0000-000027050000}"/>
    <cellStyle name="f_Planilha TCP Holding IAS set.04 - após revisão espanha I" xfId="1328" xr:uid="{00000000-0005-0000-0000-000028050000}"/>
    <cellStyle name="f_Recon. GT  set.04 após revisão Espanha" xfId="1329" xr:uid="{00000000-0005-0000-0000-000029050000}"/>
    <cellStyle name="f_Recon. GT  set.04 após revisão Espanha I" xfId="1330" xr:uid="{00000000-0005-0000-0000-00002A050000}"/>
    <cellStyle name="f_Recon. set.04 TCO após revisão Spanish I" xfId="1331" xr:uid="{00000000-0005-0000-0000-00002B050000}"/>
    <cellStyle name="f_Template IAS TCP - março.04 após rev.Esp." xfId="1332" xr:uid="{00000000-0005-0000-0000-00002C050000}"/>
    <cellStyle name="f_Template IAS TCP - março.04 após rev.Esp.1" xfId="1333" xr:uid="{00000000-0005-0000-0000-00002D050000}"/>
    <cellStyle name="f_Template IAS TCP Consol. set.04" xfId="1334" xr:uid="{00000000-0005-0000-0000-00002E050000}"/>
    <cellStyle name="f_Template IAS TCP Consol. set.04 após rev.Esp." xfId="1335" xr:uid="{00000000-0005-0000-0000-00002F050000}"/>
    <cellStyle name="f_Template IAS TCP Consol. set.041" xfId="1336" xr:uid="{00000000-0005-0000-0000-000030050000}"/>
    <cellStyle name="f_Template IAS TCP Consol. set.042" xfId="1337" xr:uid="{00000000-0005-0000-0000-000031050000}"/>
    <cellStyle name="f_Template TC set.04 após revisão espanha" xfId="1338" xr:uid="{00000000-0005-0000-0000-000032050000}"/>
    <cellStyle name="f_Template TC set.04 após revisão espanha I" xfId="1339" xr:uid="{00000000-0005-0000-0000-000033050000}"/>
    <cellStyle name="f_Template TCP MAR 05" xfId="1340" xr:uid="{00000000-0005-0000-0000-000034050000}"/>
    <cellStyle name="f_Templates IAS TCP - junho.04 c. e_sif" xfId="1341" xr:uid="{00000000-0005-0000-0000-000035050000}"/>
    <cellStyle name="f_Templates IAS TCP - junho.04 c. e_sif reclassif. 14.09" xfId="1342" xr:uid="{00000000-0005-0000-0000-000036050000}"/>
    <cellStyle name="f_Templates IAS TCP jun.04 Consol.após rev.espanha" xfId="1343" xr:uid="{00000000-0005-0000-0000-000037050000}"/>
    <cellStyle name="f_Templates IAS TCP jun.04 Consol.após rev.espanha1" xfId="1344" xr:uid="{00000000-0005-0000-0000-000038050000}"/>
    <cellStyle name="f_Worksheet in (C)   IAS Dezembro_03" xfId="1345" xr:uid="{00000000-0005-0000-0000-000039050000}"/>
    <cellStyle name="f_Worksheet in (C) 2241 IAS Dezembro_03" xfId="1346" xr:uid="{00000000-0005-0000-0000-00003A050000}"/>
    <cellStyle name="f_Worksheet in (C) 2441-1 Resumo Ajustes" xfId="1347" xr:uid="{00000000-0005-0000-0000-00003B050000}"/>
    <cellStyle name="f_Worksheet in 2241 IAS Dezembro_03" xfId="1348" xr:uid="{00000000-0005-0000-0000-00003C050000}"/>
    <cellStyle name="f_Worksheet in 2242 IAS JUNHO 2004" xfId="1349" xr:uid="{00000000-0005-0000-0000-00003D050000}"/>
    <cellStyle name="F2" xfId="1350" xr:uid="{00000000-0005-0000-0000-00003E050000}"/>
    <cellStyle name="F3" xfId="1351" xr:uid="{00000000-0005-0000-0000-00003F050000}"/>
    <cellStyle name="F4" xfId="1352" xr:uid="{00000000-0005-0000-0000-000040050000}"/>
    <cellStyle name="F5" xfId="1353" xr:uid="{00000000-0005-0000-0000-000041050000}"/>
    <cellStyle name="F6" xfId="1354" xr:uid="{00000000-0005-0000-0000-000042050000}"/>
    <cellStyle name="F7" xfId="1355" xr:uid="{00000000-0005-0000-0000-000043050000}"/>
    <cellStyle name="F8" xfId="1356" xr:uid="{00000000-0005-0000-0000-000044050000}"/>
    <cellStyle name="fact_Feuil1 (8)" xfId="1859" xr:uid="{C4A6FA2A-2FA8-48EB-87B2-B1B429D50E54}"/>
    <cellStyle name="Fail" xfId="1860" xr:uid="{C47A6652-4A47-48AF-BCFF-927B591094EF}"/>
    <cellStyle name="ff" xfId="1357" xr:uid="{00000000-0005-0000-0000-000045050000}"/>
    <cellStyle name="fff" xfId="1358" xr:uid="{00000000-0005-0000-0000-000046050000}"/>
    <cellStyle name="Fijo" xfId="1359" xr:uid="{00000000-0005-0000-0000-000047050000}"/>
    <cellStyle name="Financiero" xfId="1360" xr:uid="{00000000-0005-0000-0000-000048050000}"/>
    <cellStyle name="FiscalPeriod" xfId="1861" xr:uid="{D20531D8-B8E0-4756-93E5-EAD97FE072C3}"/>
    <cellStyle name="Fixed" xfId="1361" xr:uid="{00000000-0005-0000-0000-000049050000}"/>
    <cellStyle name="Fixed [0]" xfId="1863" xr:uid="{A1CA7FEA-5858-4E41-B635-5768497CBD1B}"/>
    <cellStyle name="Fixed 2" xfId="1862" xr:uid="{3A92B8B3-78A7-4658-9E2A-41825D38A448}"/>
    <cellStyle name="Fixo" xfId="1362" xr:uid="{00000000-0005-0000-0000-00004A050000}"/>
    <cellStyle name="fn" xfId="1363" xr:uid="{00000000-0005-0000-0000-00004B050000}"/>
    <cellStyle name="fo]_x000d__x000a_UserName=Murat Zelef_x000d__x000a_UserCompany=Bumerang_x000d__x000a__x000d__x000a_[File Paths]_x000d__x000a_WorkingDirectory=C:\EQUIS\DLWIN_x000d__x000a_DownLoader=C" xfId="1864" xr:uid="{48405E7B-47E8-45FA-AB07-A2680A179F64}"/>
    <cellStyle name="Följde hyperlänken" xfId="1865" xr:uid="{514FAE0C-20F3-4DC0-AFB1-2AB4A2BC7005}"/>
    <cellStyle name="Font" xfId="1364" xr:uid="{00000000-0005-0000-0000-00004C050000}"/>
    <cellStyle name="Footer SBILogo1" xfId="1866" xr:uid="{701FC9CD-3855-4F31-A7A6-9A102A20E80B}"/>
    <cellStyle name="Footer SBILogo2" xfId="1867" xr:uid="{38069C7D-75A1-407D-B638-55FBC8084834}"/>
    <cellStyle name="Footnote" xfId="1365" xr:uid="{00000000-0005-0000-0000-00004D050000}"/>
    <cellStyle name="Footnote 2" xfId="1366" xr:uid="{00000000-0005-0000-0000-00004E050000}"/>
    <cellStyle name="Footnote 3" xfId="1868" xr:uid="{A2630762-8A31-402E-BCA5-BB0ABE2BB568}"/>
    <cellStyle name="Footnote Reference" xfId="1869" xr:uid="{1E384B21-DCAF-4A40-827D-B5146D6E7803}"/>
    <cellStyle name="Footnote_Innsamling" xfId="1870" xr:uid="{80A7C68B-8CD7-4DDD-9981-86D138BD80EE}"/>
    <cellStyle name="front page small" xfId="1367" xr:uid="{00000000-0005-0000-0000-00004F050000}"/>
    <cellStyle name="front page small 2" xfId="1368" xr:uid="{00000000-0005-0000-0000-000050050000}"/>
    <cellStyle name="General" xfId="1871" xr:uid="{CE527542-97B3-4483-A64F-6338B25B01A3}"/>
    <cellStyle name="Good 2" xfId="2074" xr:uid="{1B367218-D736-44E7-B9B5-1D33269C1061}"/>
    <cellStyle name="Grey" xfId="1369" xr:uid="{00000000-0005-0000-0000-000051050000}"/>
    <cellStyle name="Grey 2" xfId="1872" xr:uid="{578E73C1-10DA-4B80-8E8F-84F48A31054F}"/>
    <cellStyle name="GrowthRate" xfId="1873" xr:uid="{68A4D23E-56DD-4F44-A554-9709E343AD5A}"/>
    <cellStyle name="GrowthSeq" xfId="1874" xr:uid="{D4022C0D-5DA1-4A51-9261-0D5DB072334F}"/>
    <cellStyle name="GWN Table Body" xfId="1370" xr:uid="{00000000-0005-0000-0000-000052050000}"/>
    <cellStyle name="GWN Table Header" xfId="1371" xr:uid="{00000000-0005-0000-0000-000053050000}"/>
    <cellStyle name="GWN Table Left Header" xfId="1372" xr:uid="{00000000-0005-0000-0000-000054050000}"/>
    <cellStyle name="GWN Table Note" xfId="1373" xr:uid="{00000000-0005-0000-0000-000055050000}"/>
    <cellStyle name="GWN Table Title" xfId="1374" xr:uid="{00000000-0005-0000-0000-000056050000}"/>
    <cellStyle name="h" xfId="1375" xr:uid="{00000000-0005-0000-0000-000057050000}"/>
    <cellStyle name="H0" xfId="1376" xr:uid="{00000000-0005-0000-0000-000058050000}"/>
    <cellStyle name="H1" xfId="1377" xr:uid="{00000000-0005-0000-0000-000059050000}"/>
    <cellStyle name="h1 2" xfId="1378" xr:uid="{00000000-0005-0000-0000-00005A050000}"/>
    <cellStyle name="H2" xfId="1379" xr:uid="{00000000-0005-0000-0000-00005B050000}"/>
    <cellStyle name="h2 2" xfId="1380" xr:uid="{00000000-0005-0000-0000-00005C050000}"/>
    <cellStyle name="H3" xfId="1381" xr:uid="{00000000-0005-0000-0000-00005D050000}"/>
    <cellStyle name="H4" xfId="1382" xr:uid="{00000000-0005-0000-0000-00005E050000}"/>
    <cellStyle name="haeding 2" xfId="1875" xr:uid="{62A57BEF-BD61-4BFE-9972-A7C6E05BD6A8}"/>
    <cellStyle name="Hard" xfId="1876" xr:uid="{DE02B49E-12E5-4C07-8440-8E2B707A9260}"/>
    <cellStyle name="Hard input" xfId="1383" xr:uid="{00000000-0005-0000-0000-00005F050000}"/>
    <cellStyle name="hard no." xfId="1877" xr:uid="{05818F24-EA3B-4393-A365-96F6579AC152}"/>
    <cellStyle name="Hard Percent" xfId="1384" xr:uid="{00000000-0005-0000-0000-000060050000}"/>
    <cellStyle name="Hard Percent 2" xfId="1385" xr:uid="{00000000-0005-0000-0000-000061050000}"/>
    <cellStyle name="Hard Percent 3" xfId="1878" xr:uid="{04D395C7-6B99-488A-BC5D-8609D0C846E4}"/>
    <cellStyle name="head1" xfId="1386" xr:uid="{00000000-0005-0000-0000-000062050000}"/>
    <cellStyle name="head2" xfId="1387" xr:uid="{00000000-0005-0000-0000-000063050000}"/>
    <cellStyle name="head2 2" xfId="1879" xr:uid="{24CF83B7-92A4-4A7B-AE64-C85687AD2C87}"/>
    <cellStyle name="Header" xfId="1388" xr:uid="{00000000-0005-0000-0000-000064050000}"/>
    <cellStyle name="Header 2" xfId="1389" xr:uid="{00000000-0005-0000-0000-000065050000}"/>
    <cellStyle name="Header 3" xfId="1880" xr:uid="{2E43964E-EC42-4030-9534-D8BC87E007E9}"/>
    <cellStyle name="Header Draft Stamp" xfId="1881" xr:uid="{2E240A3B-4F73-4B26-8579-6098386BFCAD}"/>
    <cellStyle name="Header_Innsamling" xfId="1882" xr:uid="{4B8E796F-F16D-417C-81B7-ECD4C2EFC9B5}"/>
    <cellStyle name="Header1" xfId="1390" xr:uid="{00000000-0005-0000-0000-000066050000}"/>
    <cellStyle name="Header2" xfId="1391" xr:uid="{00000000-0005-0000-0000-000067050000}"/>
    <cellStyle name="Heading" xfId="1392" xr:uid="{00000000-0005-0000-0000-000068050000}"/>
    <cellStyle name="Heading 1 2" xfId="1754" xr:uid="{BFA27A35-E1C5-4C5B-9FA2-B46F7100045A}"/>
    <cellStyle name="Heading 1 3" xfId="2094" xr:uid="{300EEE5F-5462-490E-9C05-B1577F9ABEF2}"/>
    <cellStyle name="Heading 1 Above" xfId="1884" xr:uid="{0781A7D4-C94F-4D1F-B398-3D5843D76312}"/>
    <cellStyle name="Heading 1+" xfId="1885" xr:uid="{7D7CDC14-8547-4451-BB21-5103BD4F3AD7}"/>
    <cellStyle name="Heading 2 2" xfId="1755" xr:uid="{B98B185D-55A6-4E76-BC9B-1C937051E2A1}"/>
    <cellStyle name="Heading 2 3" xfId="2095" xr:uid="{EB197DA0-2E70-47B9-9128-FEC1D6865AF6}"/>
    <cellStyle name="Heading 2 Below" xfId="1886" xr:uid="{06337ADB-D7A7-43C3-862B-4A8AAB787269}"/>
    <cellStyle name="Heading 2+" xfId="1887" xr:uid="{48E5B56F-EBD8-4664-B2EF-7AC16E697F9D}"/>
    <cellStyle name="Heading 3 2" xfId="1756" xr:uid="{5BA48DD9-036A-4172-99CB-88EABB1ED1F0}"/>
    <cellStyle name="Heading 3 3" xfId="2096" xr:uid="{796AAA5D-E417-4CCB-9F15-6CC368EEE9ED}"/>
    <cellStyle name="Heading 3+" xfId="1888" xr:uid="{B400C43F-1C5D-4D17-BF34-1DC83AF805F4}"/>
    <cellStyle name="Heading 4 2" xfId="2078" xr:uid="{CAFCD460-E71D-4609-B3B7-08DAD7DACD84}"/>
    <cellStyle name="Heading 5" xfId="1889" xr:uid="{4E51380B-B296-4A8B-A63C-3795F15DBE4F}"/>
    <cellStyle name="Heading 6" xfId="1883" xr:uid="{EF0548C5-1130-4DF2-A7CC-111EE219A2A4}"/>
    <cellStyle name="hh" xfId="1393" xr:uid="{00000000-0005-0000-0000-000069050000}"/>
    <cellStyle name="Hidden" xfId="1890" xr:uid="{571F6127-1B87-473E-A85A-3AD82C5EBCD6}"/>
    <cellStyle name="Highlight" xfId="1394" xr:uid="{00000000-0005-0000-0000-00006A050000}"/>
    <cellStyle name="Hipervínculo" xfId="1395" xr:uid="{00000000-0005-0000-0000-00006B050000}"/>
    <cellStyle name="Hipervínculo visitado" xfId="1396" xr:uid="{00000000-0005-0000-0000-00006C050000}"/>
    <cellStyle name="Hist inmatning" xfId="1891" xr:uid="{BB75CC38-4B23-4158-9982-E0FBE199132F}"/>
    <cellStyle name="hj" xfId="1397" xr:uid="{00000000-0005-0000-0000-00006D050000}"/>
    <cellStyle name="Hyperlänk" xfId="1892" xr:uid="{19BFF606-2BA2-4F64-98F7-E82D9F879124}"/>
    <cellStyle name="Hyperlink" xfId="2101" builtinId="8"/>
    <cellStyle name="Hyperlink 2" xfId="1398" xr:uid="{00000000-0005-0000-0000-00006E050000}"/>
    <cellStyle name="Hyperlink 2 2" xfId="1893" xr:uid="{F0D3CD75-81CF-49AA-ABE8-A1F314043F08}"/>
    <cellStyle name="Hyperlink black" xfId="1399" xr:uid="{00000000-0005-0000-0000-00006F050000}"/>
    <cellStyle name="Hyperlink seguido" xfId="1400" xr:uid="{00000000-0005-0000-0000-000070050000}"/>
    <cellStyle name="i" xfId="1401" xr:uid="{00000000-0005-0000-0000-000071050000}"/>
    <cellStyle name="i0" xfId="1402" xr:uid="{00000000-0005-0000-0000-000072050000}"/>
    <cellStyle name="i1" xfId="1403" xr:uid="{00000000-0005-0000-0000-000073050000}"/>
    <cellStyle name="i2" xfId="1404" xr:uid="{00000000-0005-0000-0000-000074050000}"/>
    <cellStyle name="i3" xfId="1405" xr:uid="{00000000-0005-0000-0000-000075050000}"/>
    <cellStyle name="i4" xfId="1406" xr:uid="{00000000-0005-0000-0000-000076050000}"/>
    <cellStyle name="i5" xfId="1407" xr:uid="{00000000-0005-0000-0000-000077050000}"/>
    <cellStyle name="IncomeStatement" xfId="1894" xr:uid="{503C9C85-0876-4968-944B-630A724AB781}"/>
    <cellStyle name="InLink" xfId="1408" xr:uid="{00000000-0005-0000-0000-000078050000}"/>
    <cellStyle name="InLink 2" xfId="1895" xr:uid="{29DD0282-D439-43E8-9285-97E1CEA58C09}"/>
    <cellStyle name="Input %" xfId="1409" xr:uid="{00000000-0005-0000-0000-000079050000}"/>
    <cellStyle name="Input [yellow]" xfId="1410" xr:uid="{00000000-0005-0000-0000-00007A050000}"/>
    <cellStyle name="Input 0" xfId="1411" xr:uid="{00000000-0005-0000-0000-00007B050000}"/>
    <cellStyle name="Input 0,0" xfId="1412" xr:uid="{00000000-0005-0000-0000-00007C050000}"/>
    <cellStyle name="Input 0_Analise PDD 2003 " xfId="1413" xr:uid="{00000000-0005-0000-0000-00007D050000}"/>
    <cellStyle name="Input 2" xfId="2085" xr:uid="{2776CEAF-3161-4FDE-B52D-FB77D34BE817}"/>
    <cellStyle name="Input calculation" xfId="1414" xr:uid="{00000000-0005-0000-0000-00007E050000}"/>
    <cellStyle name="Input Cell" xfId="1415" xr:uid="{00000000-0005-0000-0000-00007F050000}"/>
    <cellStyle name="Input Cells" xfId="1896" xr:uid="{F27985D5-8872-4EED-9F3A-939D0127B4E0}"/>
    <cellStyle name="Input Currency" xfId="1897" xr:uid="{C48156B8-4627-45CF-86EF-AE268CDBB891}"/>
    <cellStyle name="Input data" xfId="1416" xr:uid="{00000000-0005-0000-0000-000080050000}"/>
    <cellStyle name="Input Date" xfId="1898" xr:uid="{EE7F0E51-6C3F-4C5B-8491-96980616BF1F}"/>
    <cellStyle name="Input estimate" xfId="1417" xr:uid="{00000000-0005-0000-0000-000081050000}"/>
    <cellStyle name="Input Fixed [0]" xfId="1899" xr:uid="{E6C4FE77-87B9-4543-B016-DBC7AA5F6B0F}"/>
    <cellStyle name="Input link" xfId="1418" xr:uid="{00000000-0005-0000-0000-000082050000}"/>
    <cellStyle name="Input link (different workbook)" xfId="1419" xr:uid="{00000000-0005-0000-0000-000083050000}"/>
    <cellStyle name="Input Link_Copy of ESA5 ForecastScaling" xfId="1420" xr:uid="{00000000-0005-0000-0000-000084050000}"/>
    <cellStyle name="Input Normal" xfId="1900" xr:uid="{937C47EE-35A3-474F-9150-5624244021C1}"/>
    <cellStyle name="Input parameter" xfId="1421" xr:uid="{00000000-0005-0000-0000-000085050000}"/>
    <cellStyle name="input percent" xfId="1422" xr:uid="{00000000-0005-0000-0000-000086050000}"/>
    <cellStyle name="Input Percent [2]" xfId="1902" xr:uid="{4AF6935E-6775-462D-98D7-686AC9B969F9}"/>
    <cellStyle name="Input Percent 2" xfId="1901" xr:uid="{CBD905F1-57EB-4A3F-A0F2-89843AF90503}"/>
    <cellStyle name="Input Percent_Book1" xfId="1903" xr:uid="{34F7EF1A-DB0B-46AA-8AC6-3ECF60FAC1EF}"/>
    <cellStyle name="Input Titles" xfId="1904" xr:uid="{AD168A23-8B36-494B-854A-40BBCB8704CC}"/>
    <cellStyle name="Input%" xfId="1423" xr:uid="{00000000-0005-0000-0000-000087050000}"/>
    <cellStyle name="Input0dec" xfId="1905" xr:uid="{8249A2DE-B0F1-4B8C-A2CE-20A4D7F0465F}"/>
    <cellStyle name="Input2" xfId="1424" xr:uid="{00000000-0005-0000-0000-000088050000}"/>
    <cellStyle name="Input2dec" xfId="1906" xr:uid="{7E34C7C4-FF7D-43E9-B135-58825BA040EB}"/>
    <cellStyle name="InputBlueFont" xfId="1425" xr:uid="{00000000-0005-0000-0000-000089050000}"/>
    <cellStyle name="InputBlueFont 2" xfId="1426" xr:uid="{00000000-0005-0000-0000-00008A050000}"/>
    <cellStyle name="InputBlueFont 3" xfId="1907" xr:uid="{26325CE4-15F6-4953-A514-9E8B12627EA3}"/>
    <cellStyle name="InputDate" xfId="1427" xr:uid="{00000000-0005-0000-0000-00008B050000}"/>
    <cellStyle name="InputDecimal" xfId="1428" xr:uid="{00000000-0005-0000-0000-00008C050000}"/>
    <cellStyle name="InputValue" xfId="1429" xr:uid="{00000000-0005-0000-0000-00008D050000}"/>
    <cellStyle name="Integer" xfId="1430" xr:uid="{00000000-0005-0000-0000-00008E050000}"/>
    <cellStyle name="italic" xfId="1431" xr:uid="{00000000-0005-0000-0000-00008F050000}"/>
    <cellStyle name="Item" xfId="1432" xr:uid="{00000000-0005-0000-0000-000090050000}"/>
    <cellStyle name="Item 2" xfId="1908" xr:uid="{85190BA3-3AFC-4EAB-A99D-6FC89CBA9BCF}"/>
    <cellStyle name="Items_Optional" xfId="1433" xr:uid="{00000000-0005-0000-0000-000091050000}"/>
    <cellStyle name="ItemTypeClass" xfId="1434" xr:uid="{00000000-0005-0000-0000-000092050000}"/>
    <cellStyle name="James" xfId="1435" xr:uid="{00000000-0005-0000-0000-000093050000}"/>
    <cellStyle name="Joe" xfId="1436" xr:uid="{00000000-0005-0000-0000-000094050000}"/>
    <cellStyle name="kopregel" xfId="1909" xr:uid="{0B1C7250-990F-4F47-8621-F47E18D0CD6F}"/>
    <cellStyle name="KP_Normal" xfId="1437" xr:uid="{00000000-0005-0000-0000-000095050000}"/>
    <cellStyle name="KPMG Heading 1" xfId="1438" xr:uid="{00000000-0005-0000-0000-000096050000}"/>
    <cellStyle name="KPMG Heading 2" xfId="1439" xr:uid="{00000000-0005-0000-0000-000097050000}"/>
    <cellStyle name="KPMG Heading 3" xfId="1440" xr:uid="{00000000-0005-0000-0000-000098050000}"/>
    <cellStyle name="KPMG Heading 4" xfId="1441" xr:uid="{00000000-0005-0000-0000-000099050000}"/>
    <cellStyle name="KPMG Normal" xfId="1442" xr:uid="{00000000-0005-0000-0000-00009A050000}"/>
    <cellStyle name="KPMG Normal Text" xfId="1443" xr:uid="{00000000-0005-0000-0000-00009B050000}"/>
    <cellStyle name="lev1" xfId="1444" xr:uid="{00000000-0005-0000-0000-00009C050000}"/>
    <cellStyle name="lev2" xfId="1445" xr:uid="{00000000-0005-0000-0000-00009D050000}"/>
    <cellStyle name="lev3" xfId="1446" xr:uid="{00000000-0005-0000-0000-00009E050000}"/>
    <cellStyle name="lev4" xfId="1447" xr:uid="{00000000-0005-0000-0000-00009F050000}"/>
    <cellStyle name="Libellés" xfId="1448" xr:uid="{00000000-0005-0000-0000-0000A0050000}"/>
    <cellStyle name="Link" xfId="1449" xr:uid="{00000000-0005-0000-0000-0000A1050000}"/>
    <cellStyle name="Link Currency (0)" xfId="1450" xr:uid="{00000000-0005-0000-0000-0000A2050000}"/>
    <cellStyle name="Link Currency (2)" xfId="1451" xr:uid="{00000000-0005-0000-0000-0000A3050000}"/>
    <cellStyle name="Link Units (0)" xfId="1452" xr:uid="{00000000-0005-0000-0000-0000A4050000}"/>
    <cellStyle name="Link Units (1)" xfId="1453" xr:uid="{00000000-0005-0000-0000-0000A5050000}"/>
    <cellStyle name="Link Units (2)" xfId="1454" xr:uid="{00000000-0005-0000-0000-0000A6050000}"/>
    <cellStyle name="Linked" xfId="1910" xr:uid="{A868AE5E-B93A-4A77-AD02-B473F42BA61D}"/>
    <cellStyle name="Linked Cell 2" xfId="2077" xr:uid="{10FA552A-046E-4DF6-8159-25D8C2A25D01}"/>
    <cellStyle name="Linked Cells" xfId="1911" xr:uid="{C609030F-92BF-4E24-8C66-9E415C5B433D}"/>
    <cellStyle name="Locked" xfId="1912" xr:uid="{E0E6F290-B334-432D-BD12-AAE45609429D}"/>
    <cellStyle name="Lookup_target" xfId="1455" xr:uid="{00000000-0005-0000-0000-0000A7050000}"/>
    <cellStyle name="m" xfId="1456" xr:uid="{00000000-0005-0000-0000-0000A8050000}"/>
    <cellStyle name="m2" xfId="1457" xr:uid="{00000000-0005-0000-0000-0000A9050000}"/>
    <cellStyle name="Main Title" xfId="1458" xr:uid="{00000000-0005-0000-0000-0000AA050000}"/>
    <cellStyle name="margenta-f" xfId="1913" xr:uid="{EE1B677B-81D3-49FD-82DC-FE05BB44232D}"/>
    <cellStyle name="Margin" xfId="1459" xr:uid="{00000000-0005-0000-0000-0000AB050000}"/>
    <cellStyle name="Margins" xfId="1914" xr:uid="{7C0EFE3A-ADE9-400D-9872-380E4F8286D7}"/>
    <cellStyle name="MetricLabel" xfId="1915" xr:uid="{0E250F0F-76E8-4392-B1A2-4A53CF22185B}"/>
    <cellStyle name="MetricLabelBlue" xfId="1916" xr:uid="{35DE7D10-7EF6-4681-B78F-0C9E5C6B4D0A}"/>
    <cellStyle name="MetricValue" xfId="1917" xr:uid="{9D616E12-B3B1-4F2B-AE4D-7F1E85146287}"/>
    <cellStyle name="Migliaia (0)" xfId="1460" xr:uid="{00000000-0005-0000-0000-0000AC050000}"/>
    <cellStyle name="Migliaia_Foglio1" xfId="1461" xr:uid="{00000000-0005-0000-0000-0000AD050000}"/>
    <cellStyle name="Millares [0]_10 AVERIAS MASIVAS + ANT" xfId="1462" xr:uid="{00000000-0005-0000-0000-0000AE050000}"/>
    <cellStyle name="Millares_10 AVERIAS MASIVAS + ANT" xfId="1463" xr:uid="{00000000-0005-0000-0000-0000AF050000}"/>
    <cellStyle name="Milliers [0]_Aimants permanents" xfId="1464" xr:uid="{00000000-0005-0000-0000-0000B0050000}"/>
    <cellStyle name="Milliers [00]" xfId="1465" xr:uid="{00000000-0005-0000-0000-0000B1050000}"/>
    <cellStyle name="Milliers_~3252872" xfId="1466" xr:uid="{00000000-0005-0000-0000-0000B2050000}"/>
    <cellStyle name="mine" xfId="1467" xr:uid="{00000000-0005-0000-0000-0000B3050000}"/>
    <cellStyle name="Model" xfId="1918" xr:uid="{36C2A713-54F4-44BE-8C3C-E1FF057C4F1A}"/>
    <cellStyle name="Moeda [0]_Intx SMS Vivo x Outras Operadoras" xfId="1757" xr:uid="{9AED5ED3-2BFF-4640-AA0D-35F5ECC10542}"/>
    <cellStyle name="Moeda_Intx SMS Vivo x Outras Operadoras" xfId="1758" xr:uid="{3C3AD396-A829-4CAB-BD93-19EDB857709B}"/>
    <cellStyle name="Moneda [0]_10 AVERIAS MASIVAS + ANT" xfId="1468" xr:uid="{00000000-0005-0000-0000-0000B4050000}"/>
    <cellStyle name="Moneda_10 AVERIAS MASIVAS + ANT" xfId="1469" xr:uid="{00000000-0005-0000-0000-0000B5050000}"/>
    <cellStyle name="Monétaire [0]_Aimants permanents" xfId="1470" xr:uid="{00000000-0005-0000-0000-0000B6050000}"/>
    <cellStyle name="Monetaire [0]_laroux" xfId="1471" xr:uid="{00000000-0005-0000-0000-0000B7050000}"/>
    <cellStyle name="Monétaire [0]_laroux" xfId="1472" xr:uid="{00000000-0005-0000-0000-0000B8050000}"/>
    <cellStyle name="Monetaire [0]_laroux_1" xfId="1473" xr:uid="{00000000-0005-0000-0000-0000B9050000}"/>
    <cellStyle name="Monétaire [0]_laroux_1" xfId="1474" xr:uid="{00000000-0005-0000-0000-0000BA050000}"/>
    <cellStyle name="Monetaire [0]_laroux_2" xfId="1475" xr:uid="{00000000-0005-0000-0000-0000BB050000}"/>
    <cellStyle name="Monétaire [0]_laroux_2" xfId="1476" xr:uid="{00000000-0005-0000-0000-0000BC050000}"/>
    <cellStyle name="Monétaire [00]" xfId="1477" xr:uid="{00000000-0005-0000-0000-0000BD050000}"/>
    <cellStyle name="Monétaire_Aimants permanents" xfId="1478" xr:uid="{00000000-0005-0000-0000-0000BE050000}"/>
    <cellStyle name="Monetaire_laroux" xfId="1479" xr:uid="{00000000-0005-0000-0000-0000BF050000}"/>
    <cellStyle name="Monétaire_laroux" xfId="1480" xr:uid="{00000000-0005-0000-0000-0000C0050000}"/>
    <cellStyle name="Monetaire_laroux_1" xfId="1481" xr:uid="{00000000-0005-0000-0000-0000C1050000}"/>
    <cellStyle name="Monétaire_laroux_1" xfId="1482" xr:uid="{00000000-0005-0000-0000-0000C2050000}"/>
    <cellStyle name="Monetaire_laroux_2" xfId="1483" xr:uid="{00000000-0005-0000-0000-0000C3050000}"/>
    <cellStyle name="Monétaire_laroux_2" xfId="1484" xr:uid="{00000000-0005-0000-0000-0000C4050000}"/>
    <cellStyle name="Monetario" xfId="1485" xr:uid="{00000000-0005-0000-0000-0000C5050000}"/>
    <cellStyle name="MSprotect" xfId="1486" xr:uid="{00000000-0005-0000-0000-0000C6050000}"/>
    <cellStyle name="Multiple" xfId="1487" xr:uid="{00000000-0005-0000-0000-0000C7050000}"/>
    <cellStyle name="Multiple 2" xfId="1488" xr:uid="{00000000-0005-0000-0000-0000C8050000}"/>
    <cellStyle name="Multiple 3" xfId="1919" xr:uid="{270C5EEC-7AEA-4F57-9CEB-9E9AA8C908EB}"/>
    <cellStyle name="NA is zero" xfId="1920" xr:uid="{E8D087AE-52A7-4F0A-840D-8B1369A8B423}"/>
    <cellStyle name="Name" xfId="1489" xr:uid="{00000000-0005-0000-0000-0000C9050000}"/>
    <cellStyle name="neg0.0" xfId="1490" xr:uid="{00000000-0005-0000-0000-0000CA050000}"/>
    <cellStyle name="neg0.0 2" xfId="1921" xr:uid="{64D4CD7B-6E45-4189-9907-C838CB3876F1}"/>
    <cellStyle name="Neutral 2" xfId="2088" xr:uid="{31331721-FD7F-468D-A63D-3BCB8EE60708}"/>
    <cellStyle name="no dec" xfId="1491" xr:uid="{00000000-0005-0000-0000-0000CB050000}"/>
    <cellStyle name="Normal" xfId="0" builtinId="0"/>
    <cellStyle name="Normal - Style1" xfId="1492" xr:uid="{00000000-0005-0000-0000-0000CD050000}"/>
    <cellStyle name="Normal - Style1 2" xfId="1493" xr:uid="{00000000-0005-0000-0000-0000CE050000}"/>
    <cellStyle name="Normal (no,)" xfId="1759" xr:uid="{FFB1018D-E2AC-4616-87D3-8A7AE0E64727}"/>
    <cellStyle name="Normal [0]" xfId="1922" xr:uid="{4BB37EB5-6F35-4580-96EE-C61CD1198F25}"/>
    <cellStyle name="Normal [1]" xfId="1923" xr:uid="{798B48C0-0907-4D1E-9427-0A2A23CDACEF}"/>
    <cellStyle name="Normal [2]" xfId="1924" xr:uid="{62D91550-EE14-46D5-A9A2-F3072894B4B2}"/>
    <cellStyle name="Normal [3]" xfId="1925" xr:uid="{C05695D2-A70B-4967-883A-86C39AEE6DB9}"/>
    <cellStyle name="Normal 1" xfId="1766" xr:uid="{A496B76F-A553-496A-B1F8-7FC38AE0AE3A}"/>
    <cellStyle name="Normal 10" xfId="1494" xr:uid="{00000000-0005-0000-0000-0000CF050000}"/>
    <cellStyle name="Normal 11" xfId="1495" xr:uid="{00000000-0005-0000-0000-0000D0050000}"/>
    <cellStyle name="Normal 12" xfId="1496" xr:uid="{00000000-0005-0000-0000-0000D1050000}"/>
    <cellStyle name="Normal 13" xfId="1497" xr:uid="{00000000-0005-0000-0000-0000D2050000}"/>
    <cellStyle name="Normal 14" xfId="1498" xr:uid="{00000000-0005-0000-0000-0000D3050000}"/>
    <cellStyle name="Normal 15" xfId="1499" xr:uid="{00000000-0005-0000-0000-0000D4050000}"/>
    <cellStyle name="Normal 16" xfId="1500" xr:uid="{00000000-0005-0000-0000-0000D5050000}"/>
    <cellStyle name="Normal 17" xfId="1501" xr:uid="{00000000-0005-0000-0000-0000D6050000}"/>
    <cellStyle name="Normal 18" xfId="1502" xr:uid="{00000000-0005-0000-0000-0000D7050000}"/>
    <cellStyle name="Normal 19" xfId="1503" xr:uid="{00000000-0005-0000-0000-0000D8050000}"/>
    <cellStyle name="Normal 2" xfId="1" xr:uid="{00000000-0005-0000-0000-0000D9050000}"/>
    <cellStyle name="Normal 2 2" xfId="13" xr:uid="{00000000-0005-0000-0000-0000DA050000}"/>
    <cellStyle name="Normal 2 3" xfId="1504" xr:uid="{00000000-0005-0000-0000-0000DB050000}"/>
    <cellStyle name="Normal 2 4" xfId="1505" xr:uid="{00000000-0005-0000-0000-0000DC050000}"/>
    <cellStyle name="Normal 2 5" xfId="1506" xr:uid="{00000000-0005-0000-0000-0000DD050000}"/>
    <cellStyle name="Normal 2 6" xfId="1507" xr:uid="{00000000-0005-0000-0000-0000DE050000}"/>
    <cellStyle name="Normal 2 7" xfId="1508" xr:uid="{00000000-0005-0000-0000-0000DF050000}"/>
    <cellStyle name="Normal 2_Analyst Template_Q2_2012" xfId="1509" xr:uid="{00000000-0005-0000-0000-0000E0050000}"/>
    <cellStyle name="Normal 20" xfId="1510" xr:uid="{00000000-0005-0000-0000-0000E1050000}"/>
    <cellStyle name="Normal 21" xfId="1511" xr:uid="{00000000-0005-0000-0000-0000E2050000}"/>
    <cellStyle name="Normal 22" xfId="1512" xr:uid="{00000000-0005-0000-0000-0000E3050000}"/>
    <cellStyle name="Normal 23" xfId="1513" xr:uid="{00000000-0005-0000-0000-0000E4050000}"/>
    <cellStyle name="Normal 24" xfId="1514" xr:uid="{00000000-0005-0000-0000-0000E5050000}"/>
    <cellStyle name="Normal 25" xfId="1515" xr:uid="{00000000-0005-0000-0000-0000E6050000}"/>
    <cellStyle name="Normal 26" xfId="1516" xr:uid="{00000000-0005-0000-0000-0000E7050000}"/>
    <cellStyle name="Normal 27" xfId="1517" xr:uid="{00000000-0005-0000-0000-0000E8050000}"/>
    <cellStyle name="Normal 28" xfId="1518" xr:uid="{00000000-0005-0000-0000-0000E9050000}"/>
    <cellStyle name="Normal 29" xfId="1519" xr:uid="{00000000-0005-0000-0000-0000EA050000}"/>
    <cellStyle name="Normal 3" xfId="6" xr:uid="{00000000-0005-0000-0000-0000EB050000}"/>
    <cellStyle name="Normal 3 2" xfId="1520" xr:uid="{00000000-0005-0000-0000-0000EC050000}"/>
    <cellStyle name="Normal 3 3" xfId="1521" xr:uid="{00000000-0005-0000-0000-0000ED050000}"/>
    <cellStyle name="Normal 3 4" xfId="2055" xr:uid="{0ED959E1-61D6-4DD4-A83C-F269F45266B1}"/>
    <cellStyle name="Normal 30" xfId="1522" xr:uid="{00000000-0005-0000-0000-0000EE050000}"/>
    <cellStyle name="Normal 31" xfId="1523" xr:uid="{00000000-0005-0000-0000-0000EF050000}"/>
    <cellStyle name="Normal 32" xfId="1524" xr:uid="{00000000-0005-0000-0000-0000F0050000}"/>
    <cellStyle name="Normal 33" xfId="1525" xr:uid="{00000000-0005-0000-0000-0000F1050000}"/>
    <cellStyle name="Normal 34" xfId="1526" xr:uid="{00000000-0005-0000-0000-0000F2050000}"/>
    <cellStyle name="Normal 35" xfId="1527" xr:uid="{00000000-0005-0000-0000-0000F3050000}"/>
    <cellStyle name="Normal 36" xfId="1528" xr:uid="{00000000-0005-0000-0000-0000F4050000}"/>
    <cellStyle name="Normal 37" xfId="1529" xr:uid="{00000000-0005-0000-0000-0000F5050000}"/>
    <cellStyle name="Normal 38" xfId="1530" xr:uid="{00000000-0005-0000-0000-0000F6050000}"/>
    <cellStyle name="Normal 39" xfId="1531" xr:uid="{00000000-0005-0000-0000-0000F7050000}"/>
    <cellStyle name="Normal 4" xfId="1532" xr:uid="{00000000-0005-0000-0000-0000F8050000}"/>
    <cellStyle name="Normal 4 2" xfId="1533" xr:uid="{00000000-0005-0000-0000-0000F9050000}"/>
    <cellStyle name="Normal 4 3" xfId="1534" xr:uid="{00000000-0005-0000-0000-0000FA050000}"/>
    <cellStyle name="Normal 4 4" xfId="1535" xr:uid="{00000000-0005-0000-0000-0000FB050000}"/>
    <cellStyle name="Normal 4 5" xfId="2099" xr:uid="{2666D3B0-0DCB-4893-881B-400520BF1A47}"/>
    <cellStyle name="Normal 40" xfId="1536" xr:uid="{00000000-0005-0000-0000-0000FC050000}"/>
    <cellStyle name="Normal 41" xfId="1537" xr:uid="{00000000-0005-0000-0000-0000FD050000}"/>
    <cellStyle name="Normal 42" xfId="1538" xr:uid="{00000000-0005-0000-0000-0000FE050000}"/>
    <cellStyle name="Normal 43" xfId="1539" xr:uid="{00000000-0005-0000-0000-0000FF050000}"/>
    <cellStyle name="Normal 44" xfId="1540" xr:uid="{00000000-0005-0000-0000-000000060000}"/>
    <cellStyle name="Normal 45" xfId="11" xr:uid="{00000000-0005-0000-0000-000001060000}"/>
    <cellStyle name="Normal 46" xfId="10" xr:uid="{00000000-0005-0000-0000-000002060000}"/>
    <cellStyle name="Normal 47" xfId="15" xr:uid="{00000000-0005-0000-0000-000003060000}"/>
    <cellStyle name="Normal 48" xfId="1743" xr:uid="{F79E1808-AFBE-45DF-8B5B-C276189A58F7}"/>
    <cellStyle name="Normal 5" xfId="1541" xr:uid="{00000000-0005-0000-0000-000004060000}"/>
    <cellStyle name="Normal 6" xfId="1542" xr:uid="{00000000-0005-0000-0000-000005060000}"/>
    <cellStyle name="Normal 7" xfId="1543" xr:uid="{00000000-0005-0000-0000-000006060000}"/>
    <cellStyle name="Normal 8" xfId="1544" xr:uid="{00000000-0005-0000-0000-000007060000}"/>
    <cellStyle name="Normal 9" xfId="1545" xr:uid="{00000000-0005-0000-0000-000008060000}"/>
    <cellStyle name="Normal bold" xfId="1546" xr:uid="{00000000-0005-0000-0000-000009060000}"/>
    <cellStyle name="Normal Bold 2" xfId="1926" xr:uid="{263726A1-D9A1-4B0C-BB35-325E58592C6C}"/>
    <cellStyle name="Normal Cells" xfId="1547" xr:uid="{00000000-0005-0000-0000-00000A060000}"/>
    <cellStyle name="Normal Italic" xfId="1548" xr:uid="{00000000-0005-0000-0000-00000B060000}"/>
    <cellStyle name="Normal Italics" xfId="1549" xr:uid="{00000000-0005-0000-0000-00000C060000}"/>
    <cellStyle name="Normal Pct" xfId="1927" xr:uid="{E9F654B7-EE67-4A7E-8008-E25683E6EBD7}"/>
    <cellStyle name="Normal_bt debt model" xfId="1550" xr:uid="{00000000-0005-0000-0000-00000D060000}"/>
    <cellStyle name="Normal_BT3" xfId="1551" xr:uid="{00000000-0005-0000-0000-00000E060000}"/>
    <cellStyle name="Normal_thus6" xfId="1552" xr:uid="{00000000-0005-0000-0000-000011060000}"/>
    <cellStyle name="Normal_upc model wip v10" xfId="1553" xr:uid="{00000000-0005-0000-0000-000012060000}"/>
    <cellStyle name="NormalE" xfId="1928" xr:uid="{E0A2B28A-2D48-4AC4-98EC-F8EBA4582980}"/>
    <cellStyle name="NormalGB" xfId="1929" xr:uid="{4FD1B101-15CE-41C8-8CB3-DC6320FBF086}"/>
    <cellStyle name="NormalMultiple" xfId="1930" xr:uid="{60C8E3F5-1E26-48EC-AFAC-1AE37FCE3251}"/>
    <cellStyle name="NOT" xfId="1931" xr:uid="{E57FFACB-09AF-4785-A13D-E6B0F9718953}"/>
    <cellStyle name="Note 2" xfId="1554" xr:uid="{00000000-0005-0000-0000-000014060000}"/>
    <cellStyle name="Note 2 2" xfId="2089" xr:uid="{0FCB8949-ABA0-49CD-809C-D4AE0DFDA5F6}"/>
    <cellStyle name="Notes" xfId="1555" xr:uid="{00000000-0005-0000-0000-000015060000}"/>
    <cellStyle name="NPPESalesPct" xfId="1932" xr:uid="{952A7075-0E93-46D5-B644-814A1EE0D169}"/>
    <cellStyle name="Number" xfId="1556" xr:uid="{00000000-0005-0000-0000-000016060000}"/>
    <cellStyle name="Number (2dp)" xfId="1557" xr:uid="{00000000-0005-0000-0000-000017060000}"/>
    <cellStyle name="Number_Copy of ESA5 ForecastScaling" xfId="1558" xr:uid="{00000000-0005-0000-0000-000018060000}"/>
    <cellStyle name="NWI%S" xfId="1933" xr:uid="{1E3851C4-0150-46E5-837E-133D239AC6C0}"/>
    <cellStyle name="Œ…‹æØ‚è [0.00]_GE 3 MINIMUM" xfId="1934" xr:uid="{B423571B-85F4-4C4F-9233-6103109BD847}"/>
    <cellStyle name="Œ…‹æØ‚è_GE 3 MINIMUM" xfId="1935" xr:uid="{BA5C54D7-1213-407D-A533-D1087F42DB0B}"/>
    <cellStyle name="oft Excel]_x000d__x000a_Comment=The open=/f lines load custom functions into the Paste Function list._x000d__x000a_Maximized=3_x000d__x000a_AutoFormat=" xfId="1559" xr:uid="{00000000-0005-0000-0000-000019060000}"/>
    <cellStyle name="Ombrée" xfId="1560" xr:uid="{00000000-0005-0000-0000-00001A060000}"/>
    <cellStyle name="Onedec" xfId="1936" xr:uid="{A18BBEC4-1CB6-4FD8-8CB8-D10EF01A7D13}"/>
    <cellStyle name="Option" xfId="1937" xr:uid="{B05F04B3-7784-4F64-9E50-7D1DFEF5455B}"/>
    <cellStyle name="Output 2" xfId="2090" xr:uid="{EED34F99-5507-4460-99FA-8E630B3D4158}"/>
    <cellStyle name="Page Number" xfId="1561" xr:uid="{00000000-0005-0000-0000-00001B060000}"/>
    <cellStyle name="Page Number 2" xfId="1938" xr:uid="{C4A18AD4-AC67-4230-BC7F-D3B5E92DF177}"/>
    <cellStyle name="Pass" xfId="1939" xr:uid="{E8CA4E5D-6C79-410A-B3BD-FD85F2031FBF}"/>
    <cellStyle name="PB Table Heading" xfId="1940" xr:uid="{389822B5-5631-463E-A6F5-2C00F1AFFFF7}"/>
    <cellStyle name="PB Table Highlight1" xfId="1941" xr:uid="{A70A113B-D529-4490-A279-6387AC86570D}"/>
    <cellStyle name="PB Table Highlight2" xfId="1942" xr:uid="{BEC1DACA-0B59-4431-AEFF-B99CB2945AD8}"/>
    <cellStyle name="PB Table Highlight3" xfId="1943" xr:uid="{084C83F9-6BAD-48AF-AA24-6EEBD8698342}"/>
    <cellStyle name="PB Table Standard Row" xfId="1944" xr:uid="{ABA619E8-12D8-4624-B0EF-5DAFFF6C7283}"/>
    <cellStyle name="PB Table Subtotal Row" xfId="1945" xr:uid="{6CE6BBB1-540D-4CA3-8DE4-8A7BABB88834}"/>
    <cellStyle name="PB Table Total Row" xfId="1946" xr:uid="{2D729284-AFC0-478B-B106-4DAA33F68733}"/>
    <cellStyle name="pb_page_heading_LS" xfId="1562" xr:uid="{00000000-0005-0000-0000-00001C060000}"/>
    <cellStyle name="pc1" xfId="1947" xr:uid="{00206634-FA3F-4640-8E1C-79D551BD3BA1}"/>
    <cellStyle name="PctLine" xfId="1948" xr:uid="{B63AF94C-A496-44BA-BEA3-063F96672844}"/>
    <cellStyle name="per.style" xfId="1949" xr:uid="{6CA83C2D-08B0-4A10-BD29-A3C6EFB6146A}"/>
    <cellStyle name="Percent" xfId="1741" builtinId="5"/>
    <cellStyle name="Percent (0)" xfId="1563" xr:uid="{00000000-0005-0000-0000-00001E060000}"/>
    <cellStyle name="Percent (0.0)" xfId="1760" xr:uid="{7191E721-2F75-4867-8A88-3500102E9219}"/>
    <cellStyle name="Percent (0.00)" xfId="1761" xr:uid="{F032977D-F9AC-4193-8374-3C701C0E40CC}"/>
    <cellStyle name="Percent [0]" xfId="1950" xr:uid="{41178960-6E84-4D02-862D-E6AA85B68AF7}"/>
    <cellStyle name="Percent [1]" xfId="1951" xr:uid="{F5519E38-1CF2-43FA-845E-3214D456D790}"/>
    <cellStyle name="Percent [2]" xfId="1564" xr:uid="{00000000-0005-0000-0000-00001F060000}"/>
    <cellStyle name="Percent [2] 2" xfId="1952" xr:uid="{1C162EBC-B58F-49F1-B034-13C53BA594EC}"/>
    <cellStyle name="Percent 0" xfId="1953" xr:uid="{07B03871-FE26-4F2F-B3D9-7A2E7EAA997B}"/>
    <cellStyle name="Percent 0.00" xfId="1954" xr:uid="{CAA43B38-CE66-4954-8C53-D2C87A59B3DA}"/>
    <cellStyle name="Percent 0_3q" xfId="1955" xr:uid="{FC496FD6-F790-4937-96F9-022971ADFA60}"/>
    <cellStyle name="Percent 10" xfId="1565" xr:uid="{00000000-0005-0000-0000-000020060000}"/>
    <cellStyle name="Percent 11" xfId="1566" xr:uid="{00000000-0005-0000-0000-000021060000}"/>
    <cellStyle name="Percent 12" xfId="1567" xr:uid="{00000000-0005-0000-0000-000022060000}"/>
    <cellStyle name="Percent 13" xfId="1568" xr:uid="{00000000-0005-0000-0000-000023060000}"/>
    <cellStyle name="Percent 14" xfId="1569" xr:uid="{00000000-0005-0000-0000-000024060000}"/>
    <cellStyle name="Percent 14 2" xfId="1570" xr:uid="{00000000-0005-0000-0000-000025060000}"/>
    <cellStyle name="Percent 15" xfId="1571" xr:uid="{00000000-0005-0000-0000-000026060000}"/>
    <cellStyle name="Percent 16" xfId="1572" xr:uid="{00000000-0005-0000-0000-000027060000}"/>
    <cellStyle name="Percent 2" xfId="4" xr:uid="{00000000-0005-0000-0000-000028060000}"/>
    <cellStyle name="Percent 2 2" xfId="1573" xr:uid="{00000000-0005-0000-0000-000029060000}"/>
    <cellStyle name="Percent 2 3" xfId="1574" xr:uid="{00000000-0005-0000-0000-00002A060000}"/>
    <cellStyle name="Percent 2 4" xfId="1575" xr:uid="{00000000-0005-0000-0000-00002B060000}"/>
    <cellStyle name="Percent 2 5" xfId="1576" xr:uid="{00000000-0005-0000-0000-00002C060000}"/>
    <cellStyle name="Percent 2 6" xfId="1577" xr:uid="{00000000-0005-0000-0000-00002D060000}"/>
    <cellStyle name="Percent 2 7" xfId="1578" xr:uid="{00000000-0005-0000-0000-00002E060000}"/>
    <cellStyle name="Percent 3" xfId="7" xr:uid="{00000000-0005-0000-0000-00002F060000}"/>
    <cellStyle name="Percent 3 2" xfId="1579" xr:uid="{00000000-0005-0000-0000-000030060000}"/>
    <cellStyle name="Percent 3 3" xfId="1580" xr:uid="{00000000-0005-0000-0000-000031060000}"/>
    <cellStyle name="Percent 4" xfId="1581" xr:uid="{00000000-0005-0000-0000-000032060000}"/>
    <cellStyle name="Percent 4 2" xfId="1582" xr:uid="{00000000-0005-0000-0000-000033060000}"/>
    <cellStyle name="Percent 5" xfId="1583" xr:uid="{00000000-0005-0000-0000-000034060000}"/>
    <cellStyle name="Percent 5 2" xfId="1584" xr:uid="{00000000-0005-0000-0000-000035060000}"/>
    <cellStyle name="Percent 5 3" xfId="1585" xr:uid="{00000000-0005-0000-0000-000036060000}"/>
    <cellStyle name="Percent 6" xfId="1586" xr:uid="{00000000-0005-0000-0000-000037060000}"/>
    <cellStyle name="Percent 7" xfId="1587" xr:uid="{00000000-0005-0000-0000-000038060000}"/>
    <cellStyle name="Percent 8" xfId="1588" xr:uid="{00000000-0005-0000-0000-000039060000}"/>
    <cellStyle name="Percent 9" xfId="1589" xr:uid="{00000000-0005-0000-0000-00003A060000}"/>
    <cellStyle name="Percent.1" xfId="1590" xr:uid="{00000000-0005-0000-0000-00003B060000}"/>
    <cellStyle name="Percent.2" xfId="1591" xr:uid="{00000000-0005-0000-0000-00003C060000}"/>
    <cellStyle name="Percentage" xfId="1592" xr:uid="{00000000-0005-0000-0000-00003D060000}"/>
    <cellStyle name="Percentage (2dp)" xfId="1593" xr:uid="{00000000-0005-0000-0000-00003E060000}"/>
    <cellStyle name="Percentage_Copy of ESA5 ForecastScaling" xfId="1594" xr:uid="{00000000-0005-0000-0000-00003F060000}"/>
    <cellStyle name="PercentChange" xfId="1595" xr:uid="{00000000-0005-0000-0000-000040060000}"/>
    <cellStyle name="PercentChange 2" xfId="1956" xr:uid="{F7A31996-DF46-4F49-96F1-CEADE51FAE9D}"/>
    <cellStyle name="PercentPresentation" xfId="1957" xr:uid="{B5BCF87A-4B3E-4743-968F-310AE9258CB9}"/>
    <cellStyle name="PercentSales" xfId="1958" xr:uid="{47185686-A429-47F6-8A1D-8D73B00907E0}"/>
    <cellStyle name="Percentual" xfId="1596" xr:uid="{00000000-0005-0000-0000-000041060000}"/>
    <cellStyle name="PerShare" xfId="1959" xr:uid="{5299A2BA-3325-460A-B7C4-2F1AFD3D0340}"/>
    <cellStyle name="Ponto" xfId="1597" xr:uid="{00000000-0005-0000-0000-000042060000}"/>
    <cellStyle name="POPS" xfId="1960" xr:uid="{B9F0090D-CCB0-48E6-9040-9F9E7847C6D3}"/>
    <cellStyle name="Porcentaje" xfId="1598" xr:uid="{00000000-0005-0000-0000-000043060000}"/>
    <cellStyle name="Porcentual_Modelo_19-06" xfId="1599" xr:uid="{00000000-0005-0000-0000-000044060000}"/>
    <cellStyle name="Pourcentage [0]" xfId="1600" xr:uid="{00000000-0005-0000-0000-000045060000}"/>
    <cellStyle name="Pourcentage [00]" xfId="1601" xr:uid="{00000000-0005-0000-0000-000046060000}"/>
    <cellStyle name="Pourcentage_BASCULER" xfId="1602" xr:uid="{00000000-0005-0000-0000-000047060000}"/>
    <cellStyle name="Presentation" xfId="1961" xr:uid="{0845E0BF-53C0-4DE8-A023-5A5A6F12D84B}"/>
    <cellStyle name="PresentationZero" xfId="1962" xr:uid="{49FAF528-9A2B-4306-BDBF-7B34221C35C5}"/>
    <cellStyle name="Price" xfId="1963" xr:uid="{08AF704A-3567-46CE-B41F-6CBD8B672A90}"/>
    <cellStyle name="Protected" xfId="1603" xr:uid="{00000000-0005-0000-0000-000048060000}"/>
    <cellStyle name="PSChar" xfId="1604" xr:uid="{00000000-0005-0000-0000-000049060000}"/>
    <cellStyle name="Pub percent" xfId="1605" xr:uid="{00000000-0005-0000-0000-00004A060000}"/>
    <cellStyle name="r" xfId="1964" xr:uid="{B75DF598-4F55-4BFC-B94B-3D6DDEAF9952}"/>
    <cellStyle name="r_Canal Digital" xfId="1965" xr:uid="{796D6E63-A7D6-4336-9C2E-596C46EC2422}"/>
    <cellStyle name="r_Canal Digital_Deutsche" xfId="1966" xr:uid="{CAFD9258-A94E-45F2-B297-63B8D8FBD5DA}"/>
    <cellStyle name="r_Canal Digital_Fixed" xfId="1967" xr:uid="{F6684393-7DAD-4EC2-9314-39158216B276}"/>
    <cellStyle name="r_Canal Digital_Fixed_Deutsche" xfId="1968" xr:uid="{DEDC1CE9-0CF6-492E-B7BA-596972322050}"/>
    <cellStyle name="r_Canal Digital_Fixed_Innsamling" xfId="1969" xr:uid="{72D9D61B-6D83-45C7-AE5D-6ECD6C5BC06C}"/>
    <cellStyle name="r_Canal Digital_Group" xfId="1970" xr:uid="{723826D0-63ED-4E90-ADC0-A38402C6E252}"/>
    <cellStyle name="r_Canal Digital_Group_Deutsche" xfId="1971" xr:uid="{68A1248D-6EE9-4B33-90E6-DED1684F4C41}"/>
    <cellStyle name="r_Canal Digital_Group_Innsamling" xfId="1972" xr:uid="{76243630-00DE-4480-A43E-04F2991717D2}"/>
    <cellStyle name="r_Canal Digital_Innsamling" xfId="1973" xr:uid="{23ACF49A-EA17-499B-9938-930D503B5B1D}"/>
    <cellStyle name="r_Canal Digital_Mobile" xfId="1974" xr:uid="{6E27BB5B-D67E-44F7-8E0C-66FDF0875093}"/>
    <cellStyle name="r_Canal Digital_Mobile_Deutsche" xfId="1975" xr:uid="{0EA8DD30-2035-4309-B156-D42BA1A7A8C0}"/>
    <cellStyle name="r_Canal Digital_Mobile_Innsamling" xfId="1976" xr:uid="{16B8F692-036B-49A7-BD19-5B53C9BB1038}"/>
    <cellStyle name="r_Canal Digital_Special items" xfId="1977" xr:uid="{96BA1D00-5B35-4AD9-AF98-3B8AE5D6C8B8}"/>
    <cellStyle name="r_Canal Digital_Special items_Deutsche" xfId="1978" xr:uid="{BAB1F2E0-F992-4186-BA9F-9653404CF5A8}"/>
    <cellStyle name="r_Canal Digital_Special items_Innsamling" xfId="1979" xr:uid="{303973D4-F68E-4D79-8C47-6C410AC08094}"/>
    <cellStyle name="r_tel" xfId="1980" xr:uid="{D062DE4D-BD1F-4BB1-9895-74C6D63D1CA5}"/>
    <cellStyle name="r_tel.xls Chart 680" xfId="1981" xr:uid="{E647F93F-10E9-4701-82C6-9E34085977F3}"/>
    <cellStyle name="r_Telenor" xfId="1982" xr:uid="{5B635205-41D7-4AFA-B9AD-EDE5D9A9CC26}"/>
    <cellStyle name="Rating header" xfId="1606" xr:uid="{00000000-0005-0000-0000-00004B060000}"/>
    <cellStyle name="RatioX" xfId="1607" xr:uid="{00000000-0005-0000-0000-00004C060000}"/>
    <cellStyle name="RatioX 2" xfId="1983" xr:uid="{2284760A-C215-426C-8232-DFAC4D749F08}"/>
    <cellStyle name="Red font" xfId="1984" xr:uid="{BDB00615-A26C-4413-B01D-6223812E2D9D}"/>
    <cellStyle name="Report" xfId="1985" xr:uid="{EEDB9B5F-E9B4-49AA-960B-88BAC9F28E4A}"/>
    <cellStyle name="Right" xfId="1986" xr:uid="{A4F2CEBB-DDFA-4156-94DD-E9E58D8D231F}"/>
    <cellStyle name="RM" xfId="1608" xr:uid="{00000000-0005-0000-0000-00004D060000}"/>
    <cellStyle name="Rmess" xfId="1609" xr:uid="{00000000-0005-0000-0000-00004E060000}"/>
    <cellStyle name="Rnumber" xfId="1610" xr:uid="{00000000-0005-0000-0000-00004F060000}"/>
    <cellStyle name="Rnumber 0d" xfId="1611" xr:uid="{00000000-0005-0000-0000-000050060000}"/>
    <cellStyle name="Rnumber_eurosubs10" xfId="1612" xr:uid="{00000000-0005-0000-0000-000051060000}"/>
    <cellStyle name="robs" xfId="1613" xr:uid="{00000000-0005-0000-0000-000052060000}"/>
    <cellStyle name="Row and Column Total" xfId="1614" xr:uid="{00000000-0005-0000-0000-000053060000}"/>
    <cellStyle name="Row Heading" xfId="1615" xr:uid="{00000000-0005-0000-0000-000054060000}"/>
    <cellStyle name="Row Heading (No Wrap)" xfId="1616" xr:uid="{00000000-0005-0000-0000-000055060000}"/>
    <cellStyle name="Row Ignore" xfId="1617" xr:uid="{00000000-0005-0000-0000-000056060000}"/>
    <cellStyle name="Row Ignore 2" xfId="1987" xr:uid="{D6AEF2B4-785C-4A87-8670-A96CCD945529}"/>
    <cellStyle name="row ignroe" xfId="1618" xr:uid="{00000000-0005-0000-0000-000057060000}"/>
    <cellStyle name="Row label" xfId="1619" xr:uid="{00000000-0005-0000-0000-000058060000}"/>
    <cellStyle name="Row label (indent)" xfId="1620" xr:uid="{00000000-0005-0000-0000-000059060000}"/>
    <cellStyle name="Row Normal Indent" xfId="1621" xr:uid="{00000000-0005-0000-0000-00005A060000}"/>
    <cellStyle name="Row Sub Total" xfId="1622" xr:uid="{00000000-0005-0000-0000-00005B060000}"/>
    <cellStyle name="Row Sub total 2" xfId="1988" xr:uid="{897B7CE4-2FFA-4020-A361-109596F13461}"/>
    <cellStyle name="Row Title 1" xfId="1623" xr:uid="{00000000-0005-0000-0000-00005C060000}"/>
    <cellStyle name="Row Title 1 2" xfId="1989" xr:uid="{0FD905FC-8D9F-4569-8B0F-A218E89E9B8F}"/>
    <cellStyle name="Row Title 2" xfId="1624" xr:uid="{00000000-0005-0000-0000-00005D060000}"/>
    <cellStyle name="Row Title 2 2" xfId="1990" xr:uid="{38D04E0B-F8C1-4684-B799-4D9D9707D6C3}"/>
    <cellStyle name="Row Title 3" xfId="1625" xr:uid="{00000000-0005-0000-0000-00005E060000}"/>
    <cellStyle name="Row Title 3 2" xfId="1991" xr:uid="{93903748-C7E6-47C4-8006-F22BF46886E7}"/>
    <cellStyle name="Row Title 4" xfId="1626" xr:uid="{00000000-0005-0000-0000-00005F060000}"/>
    <cellStyle name="Row Title 4 Indent" xfId="1627" xr:uid="{00000000-0005-0000-0000-000060060000}"/>
    <cellStyle name="Row Total" xfId="1628" xr:uid="{00000000-0005-0000-0000-000061060000}"/>
    <cellStyle name="Row Total 2" xfId="1629" xr:uid="{00000000-0005-0000-0000-000062060000}"/>
    <cellStyle name="s]_x000d__x000a_spooler=yes_x000d__x000a_load=C:\VSHLD\VSHWIN.EXE L:\SAP\SAPGUI\SAPLPD.EXE_x000d__x000a_run=l:\office43\msoffice.exe_x000d__x000a_Beep=yes_x000d__x000a_NullPort=No" xfId="1630" xr:uid="{00000000-0005-0000-0000-000063060000}"/>
    <cellStyle name="Saisie" xfId="1631" xr:uid="{00000000-0005-0000-0000-000064060000}"/>
    <cellStyle name="Salomon Logo" xfId="1992" xr:uid="{8453050F-0A75-47CF-A873-C3EC7011394C}"/>
    <cellStyle name="SAPBEXaggData" xfId="1632" xr:uid="{00000000-0005-0000-0000-000065060000}"/>
    <cellStyle name="SAPBEXaggDataEmph" xfId="1633" xr:uid="{00000000-0005-0000-0000-000066060000}"/>
    <cellStyle name="SAPBEXaggItem" xfId="1634" xr:uid="{00000000-0005-0000-0000-000067060000}"/>
    <cellStyle name="SAPBEXaggItemX" xfId="1635" xr:uid="{00000000-0005-0000-0000-000068060000}"/>
    <cellStyle name="SAPBEXchaText" xfId="1636" xr:uid="{00000000-0005-0000-0000-000069060000}"/>
    <cellStyle name="SAPBEXexcBad7" xfId="1637" xr:uid="{00000000-0005-0000-0000-00006A060000}"/>
    <cellStyle name="SAPBEXexcBad8" xfId="1638" xr:uid="{00000000-0005-0000-0000-00006B060000}"/>
    <cellStyle name="SAPBEXexcBad9" xfId="1639" xr:uid="{00000000-0005-0000-0000-00006C060000}"/>
    <cellStyle name="SAPBEXexcCritical4" xfId="1640" xr:uid="{00000000-0005-0000-0000-00006D060000}"/>
    <cellStyle name="SAPBEXexcCritical5" xfId="1641" xr:uid="{00000000-0005-0000-0000-00006E060000}"/>
    <cellStyle name="SAPBEXexcCritical6" xfId="1642" xr:uid="{00000000-0005-0000-0000-00006F060000}"/>
    <cellStyle name="SAPBEXexcGood1" xfId="1643" xr:uid="{00000000-0005-0000-0000-000070060000}"/>
    <cellStyle name="SAPBEXexcGood2" xfId="1644" xr:uid="{00000000-0005-0000-0000-000071060000}"/>
    <cellStyle name="SAPBEXexcGood3" xfId="1645" xr:uid="{00000000-0005-0000-0000-000072060000}"/>
    <cellStyle name="SAPBEXfilterDrill" xfId="1646" xr:uid="{00000000-0005-0000-0000-000073060000}"/>
    <cellStyle name="SAPBEXfilterItem" xfId="1647" xr:uid="{00000000-0005-0000-0000-000074060000}"/>
    <cellStyle name="SAPBEXfilterText" xfId="1648" xr:uid="{00000000-0005-0000-0000-000075060000}"/>
    <cellStyle name="SAPBEXformats" xfId="1649" xr:uid="{00000000-0005-0000-0000-000076060000}"/>
    <cellStyle name="SAPBEXheaderItem" xfId="1650" xr:uid="{00000000-0005-0000-0000-000077060000}"/>
    <cellStyle name="SAPBEXheaderText" xfId="1651" xr:uid="{00000000-0005-0000-0000-000078060000}"/>
    <cellStyle name="SAPBEXHLevel0" xfId="1652" xr:uid="{00000000-0005-0000-0000-000079060000}"/>
    <cellStyle name="SAPBEXHLevel0X" xfId="1653" xr:uid="{00000000-0005-0000-0000-00007A060000}"/>
    <cellStyle name="SAPBEXHLevel1" xfId="1654" xr:uid="{00000000-0005-0000-0000-00007B060000}"/>
    <cellStyle name="SAPBEXHLevel1X" xfId="1655" xr:uid="{00000000-0005-0000-0000-00007C060000}"/>
    <cellStyle name="SAPBEXHLevel2" xfId="1656" xr:uid="{00000000-0005-0000-0000-00007D060000}"/>
    <cellStyle name="SAPBEXHLevel2X" xfId="1657" xr:uid="{00000000-0005-0000-0000-00007E060000}"/>
    <cellStyle name="SAPBEXHLevel3" xfId="1658" xr:uid="{00000000-0005-0000-0000-00007F060000}"/>
    <cellStyle name="SAPBEXHLevel3X" xfId="1659" xr:uid="{00000000-0005-0000-0000-000080060000}"/>
    <cellStyle name="SAPBEXresData" xfId="1660" xr:uid="{00000000-0005-0000-0000-000081060000}"/>
    <cellStyle name="SAPBEXresDataEmph" xfId="1661" xr:uid="{00000000-0005-0000-0000-000082060000}"/>
    <cellStyle name="SAPBEXresItem" xfId="1662" xr:uid="{00000000-0005-0000-0000-000083060000}"/>
    <cellStyle name="SAPBEXresItemX" xfId="1663" xr:uid="{00000000-0005-0000-0000-000084060000}"/>
    <cellStyle name="SAPBEXstdData" xfId="1664" xr:uid="{00000000-0005-0000-0000-000085060000}"/>
    <cellStyle name="SAPBEXstdDataEmph" xfId="1665" xr:uid="{00000000-0005-0000-0000-000086060000}"/>
    <cellStyle name="SAPBEXstdItem" xfId="1666" xr:uid="{00000000-0005-0000-0000-000087060000}"/>
    <cellStyle name="SAPBEXstdItemX" xfId="1667" xr:uid="{00000000-0005-0000-0000-000088060000}"/>
    <cellStyle name="SAPBEXtitle" xfId="1668" xr:uid="{00000000-0005-0000-0000-000089060000}"/>
    <cellStyle name="SAPBEXundefined" xfId="1669" xr:uid="{00000000-0005-0000-0000-00008A060000}"/>
    <cellStyle name="ScripFactor" xfId="1670" xr:uid="{00000000-0005-0000-0000-00008B060000}"/>
    <cellStyle name="ScripFactor 2" xfId="1993" xr:uid="{26803E4F-3219-4F1D-B11E-AC3135156993}"/>
    <cellStyle name="Section name" xfId="1671" xr:uid="{00000000-0005-0000-0000-00008C060000}"/>
    <cellStyle name="Section Title" xfId="1672" xr:uid="{00000000-0005-0000-0000-00008D060000}"/>
    <cellStyle name="SectionHeading" xfId="1673" xr:uid="{00000000-0005-0000-0000-00008E060000}"/>
    <cellStyle name="Separador de milhares [0]_Intx SMS Vivo x Outras Operadoras" xfId="1762" xr:uid="{7FE9CCCF-68F4-40C6-BACE-AEC064588518}"/>
    <cellStyle name="Separador de milhares_Balancete_TSD_2003" xfId="1674" xr:uid="{00000000-0005-0000-0000-00008F060000}"/>
    <cellStyle name="Separador de milhar㳥s_gerencial 99 Telesp Celular.xls Gráfico 1" xfId="1675" xr:uid="{00000000-0005-0000-0000-000090060000}"/>
    <cellStyle name="Shares" xfId="1994" xr:uid="{BA11B94C-8F03-47E8-95B5-AD267094BF88}"/>
    <cellStyle name="Single Accounting" xfId="1995" xr:uid="{DDF9B963-9041-44F1-ABA6-7DEFFABEF848}"/>
    <cellStyle name="Small Number" xfId="1676" xr:uid="{00000000-0005-0000-0000-000091060000}"/>
    <cellStyle name="Small Percentage" xfId="1677" xr:uid="{00000000-0005-0000-0000-000092060000}"/>
    <cellStyle name="Sous titre" xfId="1678" xr:uid="{00000000-0005-0000-0000-000093060000}"/>
    <cellStyle name="Spreadsheet title" xfId="1679" xr:uid="{00000000-0005-0000-0000-000094060000}"/>
    <cellStyle name="Standaard_KPN" xfId="1996" xr:uid="{1AA1BEE2-4225-4AB7-8973-8DC4A98A06B7}"/>
    <cellStyle name="Standard" xfId="1680" xr:uid="{00000000-0005-0000-0000-000096060000}"/>
    <cellStyle name="Strange" xfId="1997" xr:uid="{A0DDD26A-6ED1-4797-AEF8-2EB18427C540}"/>
    <cellStyle name="STYL1 - Style1" xfId="1998" xr:uid="{7342F411-CEF8-4FB7-83DD-33AF45B86FF1}"/>
    <cellStyle name="Style 1" xfId="1681" xr:uid="{00000000-0005-0000-0000-000097060000}"/>
    <cellStyle name="Style 1 2" xfId="1682" xr:uid="{00000000-0005-0000-0000-000098060000}"/>
    <cellStyle name="Style 1 2 2" xfId="1767" xr:uid="{6D387D45-6198-49C2-858B-369B1A0DE74C}"/>
    <cellStyle name="Style 1 3" xfId="1683" xr:uid="{00000000-0005-0000-0000-000099060000}"/>
    <cellStyle name="Style 1 4" xfId="1764" xr:uid="{B1957F81-6F40-4517-ADAB-C9795ECD5257}"/>
    <cellStyle name="Style 10" xfId="1684" xr:uid="{00000000-0005-0000-0000-00009A060000}"/>
    <cellStyle name="Style 11" xfId="1685" xr:uid="{00000000-0005-0000-0000-00009B060000}"/>
    <cellStyle name="Style 2" xfId="1686" xr:uid="{00000000-0005-0000-0000-00009C060000}"/>
    <cellStyle name="Style 3" xfId="1687" xr:uid="{00000000-0005-0000-0000-00009D060000}"/>
    <cellStyle name="Style 4" xfId="1688" xr:uid="{00000000-0005-0000-0000-00009E060000}"/>
    <cellStyle name="Style 5" xfId="1689" xr:uid="{00000000-0005-0000-0000-00009F060000}"/>
    <cellStyle name="Style 6" xfId="1690" xr:uid="{00000000-0005-0000-0000-0000A0060000}"/>
    <cellStyle name="Style 7" xfId="1691" xr:uid="{00000000-0005-0000-0000-0000A1060000}"/>
    <cellStyle name="Style 8" xfId="1692" xr:uid="{00000000-0005-0000-0000-0000A2060000}"/>
    <cellStyle name="Style 9" xfId="1693" xr:uid="{00000000-0005-0000-0000-0000A3060000}"/>
    <cellStyle name="Style D" xfId="1694" xr:uid="{00000000-0005-0000-0000-0000A4060000}"/>
    <cellStyle name="Style D green" xfId="1695" xr:uid="{00000000-0005-0000-0000-0000A5060000}"/>
    <cellStyle name="Style E" xfId="1696" xr:uid="{00000000-0005-0000-0000-0000A6060000}"/>
    <cellStyle name="Subhead" xfId="1999" xr:uid="{8A942F0B-B845-4C5F-995E-0841B7B4C8CE}"/>
    <cellStyle name="Sub-titulo" xfId="1697" xr:uid="{00000000-0005-0000-0000-0000A7060000}"/>
    <cellStyle name="Sub-titulo 2" xfId="1698" xr:uid="{00000000-0005-0000-0000-0000A8060000}"/>
    <cellStyle name="Sub-titulo_Analise PDD 2003 " xfId="1699" xr:uid="{00000000-0005-0000-0000-0000A9060000}"/>
    <cellStyle name="Subtotal" xfId="1700" xr:uid="{00000000-0005-0000-0000-0000AA060000}"/>
    <cellStyle name="Sub-total" xfId="1701" xr:uid="{00000000-0005-0000-0000-0000AB060000}"/>
    <cellStyle name="Sub-total row" xfId="1702" xr:uid="{00000000-0005-0000-0000-0000AC060000}"/>
    <cellStyle name="Subtotal_Informe Orcamento 2002" xfId="1703" xr:uid="{00000000-0005-0000-0000-0000AD060000}"/>
    <cellStyle name="Table" xfId="2000" xr:uid="{47FB819D-C8DE-4A36-984C-BE0211F83E1A}"/>
    <cellStyle name="Table finish row" xfId="1704" xr:uid="{00000000-0005-0000-0000-0000AE060000}"/>
    <cellStyle name="Table Head" xfId="1705" xr:uid="{00000000-0005-0000-0000-0000AF060000}"/>
    <cellStyle name="Table Head 2" xfId="2001" xr:uid="{595552BD-D548-45DB-9FD8-038105F216E9}"/>
    <cellStyle name="Table Head Aligned" xfId="1706" xr:uid="{00000000-0005-0000-0000-0000B0060000}"/>
    <cellStyle name="Table Head Aligned 2" xfId="2002" xr:uid="{35767211-E01B-4C1E-9D12-0827231FBC89}"/>
    <cellStyle name="Table Head Blue" xfId="1707" xr:uid="{00000000-0005-0000-0000-0000B1060000}"/>
    <cellStyle name="Table Head Blue 2" xfId="2003" xr:uid="{36C7E4C4-81DC-493B-800A-9878118907B3}"/>
    <cellStyle name="Table Head Green" xfId="1708" xr:uid="{00000000-0005-0000-0000-0000B2060000}"/>
    <cellStyle name="Table Head Green 2" xfId="2004" xr:uid="{0EFC311F-728E-450F-936B-B6E2F31DB964}"/>
    <cellStyle name="Table Head_base_case_model" xfId="1709" xr:uid="{00000000-0005-0000-0000-0000B3060000}"/>
    <cellStyle name="table numbers 1" xfId="1710" xr:uid="{00000000-0005-0000-0000-0000B4060000}"/>
    <cellStyle name="table numbers 1 2" xfId="1711" xr:uid="{00000000-0005-0000-0000-0000B5060000}"/>
    <cellStyle name="Table numbers 2" xfId="1712" xr:uid="{00000000-0005-0000-0000-0000B6060000}"/>
    <cellStyle name="Table numbers 2 2" xfId="1713" xr:uid="{00000000-0005-0000-0000-0000B7060000}"/>
    <cellStyle name="Table shading" xfId="1714" xr:uid="{00000000-0005-0000-0000-0000B8060000}"/>
    <cellStyle name="Table Source" xfId="2005" xr:uid="{844694C9-9C4A-48FC-864F-8582EC0E6FE1}"/>
    <cellStyle name="Table sub head" xfId="1715" xr:uid="{00000000-0005-0000-0000-0000B9060000}"/>
    <cellStyle name="Table Text" xfId="2006" xr:uid="{8C7D6036-C99E-4D83-B26C-D4B0D6CD8F54}"/>
    <cellStyle name="Table Title" xfId="1716" xr:uid="{00000000-0005-0000-0000-0000BA060000}"/>
    <cellStyle name="Table Title 2" xfId="2007" xr:uid="{B633F361-8871-4C0E-9350-4F634FB11205}"/>
    <cellStyle name="Table unfinish row" xfId="1717" xr:uid="{00000000-0005-0000-0000-0000BB060000}"/>
    <cellStyle name="Table Units" xfId="1718" xr:uid="{00000000-0005-0000-0000-0000BC060000}"/>
    <cellStyle name="Table Units 2" xfId="2008" xr:uid="{A4931677-4D66-44CF-91C5-EB814CCABD89}"/>
    <cellStyle name="Table unshading" xfId="1719" xr:uid="{00000000-0005-0000-0000-0000BD060000}"/>
    <cellStyle name="TableBorder" xfId="1720" xr:uid="{00000000-0005-0000-0000-0000BE060000}"/>
    <cellStyle name="TableFootnotes" xfId="2009" xr:uid="{48F6A61C-C7F5-478F-9782-3CC42E02F18F}"/>
    <cellStyle name="TableTitleFormat" xfId="2010" xr:uid="{B9F89796-C99C-4686-A926-EC3527517F39}"/>
    <cellStyle name="Test [green]" xfId="2011" xr:uid="{23B0879F-37FF-4879-883E-69E2D639D6CC}"/>
    <cellStyle name="test a style" xfId="1721" xr:uid="{00000000-0005-0000-0000-0000BF060000}"/>
    <cellStyle name="Text" xfId="1722" xr:uid="{00000000-0005-0000-0000-0000C0060000}"/>
    <cellStyle name="Text 1" xfId="2012" xr:uid="{BE9B7656-F63B-4DB9-8468-1A4D31A0D0E6}"/>
    <cellStyle name="Text 2" xfId="2013" xr:uid="{803601A0-36DC-45A2-9E8C-2028B4CEE9D7}"/>
    <cellStyle name="Text Head 1" xfId="2014" xr:uid="{B718BFC0-BA70-4291-B51B-82750CA1B6AD}"/>
    <cellStyle name="Text Head 2" xfId="2015" xr:uid="{4DC54190-896E-43E9-8C8A-B675411806EA}"/>
    <cellStyle name="Text Indent 1" xfId="2016" xr:uid="{975FBA07-0E2E-47CC-9EA2-C417D6553361}"/>
    <cellStyle name="Text Indent 2" xfId="2017" xr:uid="{FEE4D2FA-823A-42DD-AA58-C3922A481879}"/>
    <cellStyle name="TFCF" xfId="2018" xr:uid="{AF57EEE5-2DE8-4E0E-8F97-26FE8F6B306D}"/>
    <cellStyle name="Time Strip" xfId="2019" xr:uid="{88C93A04-D2C6-414A-96DE-92E694611041}"/>
    <cellStyle name="times" xfId="2020" xr:uid="{47B54C15-52F6-4281-ACFC-B32EBFE87AEE}"/>
    <cellStyle name="Times 10" xfId="2021" xr:uid="{01041731-B486-4573-BAC2-758CF0DEA1B2}"/>
    <cellStyle name="Times 12" xfId="2022" xr:uid="{B1CC07BD-6E8B-41BB-BC94-59DB03035E30}"/>
    <cellStyle name="times_Deutsche" xfId="2023" xr:uid="{063FF391-9B36-4DC4-B3F1-F9BE7B38B4BC}"/>
    <cellStyle name="Title 2" xfId="2093" xr:uid="{71FED52C-9D5F-4B6F-8E5A-53300C3F3FB6}"/>
    <cellStyle name="Title Heading" xfId="1723" xr:uid="{00000000-0005-0000-0000-0000C1060000}"/>
    <cellStyle name="Title II" xfId="2024" xr:uid="{52EF96BC-2E3F-4B39-AC45-513CC0CF4EDA}"/>
    <cellStyle name="title1" xfId="2025" xr:uid="{F9C0893C-00EA-41DC-A980-44E8B2F34F93}"/>
    <cellStyle name="Title2" xfId="2026" xr:uid="{2619A25B-9C13-4D64-B708-57EC2C821BB2}"/>
    <cellStyle name="TitleII" xfId="2027" xr:uid="{B7F5DF91-DB28-4752-87B0-EF63BD76B620}"/>
    <cellStyle name="Titles" xfId="1724" xr:uid="{00000000-0005-0000-0000-0000C2060000}"/>
    <cellStyle name="Titre" xfId="1725" xr:uid="{00000000-0005-0000-0000-0000C3060000}"/>
    <cellStyle name="Título 1" xfId="1726" xr:uid="{00000000-0005-0000-0000-0000C4060000}"/>
    <cellStyle name="Título 2" xfId="1727" xr:uid="{00000000-0005-0000-0000-0000C5060000}"/>
    <cellStyle name="Titulo1" xfId="1728" xr:uid="{00000000-0005-0000-0000-0000C6060000}"/>
    <cellStyle name="Titulo2" xfId="1729" xr:uid="{00000000-0005-0000-0000-0000C7060000}"/>
    <cellStyle name="Titulo-Seccion" xfId="1730" xr:uid="{00000000-0005-0000-0000-0000C8060000}"/>
    <cellStyle name="TOC 1" xfId="2028" xr:uid="{12A85C9F-CF93-41AA-B876-C4B6FAB54413}"/>
    <cellStyle name="TOC 2" xfId="2029" xr:uid="{0B4DF719-4E53-4534-BD50-5955CAF9C722}"/>
    <cellStyle name="tom" xfId="2030" xr:uid="{ACAE516E-00FD-4966-BEDC-5CFCD2412EEE}"/>
    <cellStyle name="Topline" xfId="2031" xr:uid="{7ED28885-B47E-4162-B175-051636DDB282}"/>
    <cellStyle name="Total 2" xfId="2097" xr:uid="{3AF599E8-3D60-4688-AE5C-719F10EE1239}"/>
    <cellStyle name="Total row" xfId="1731" xr:uid="{00000000-0005-0000-0000-0000C9060000}"/>
    <cellStyle name="Total row 2" xfId="2032" xr:uid="{BD186DF8-EAD4-4010-9D92-E6BF12DB6BA6}"/>
    <cellStyle name="Tusenskille_Korrigeringer for å nettoføre VØT" xfId="2033" xr:uid="{B39D395D-3BF4-4B53-9315-138E71BD979D}"/>
    <cellStyle name="Tusental (0)_1998-Q2" xfId="2034" xr:uid="{085BF2E1-8698-4338-B66B-10FA0F0EC88C}"/>
    <cellStyle name="Tusental_1998-Q4-NORGE" xfId="2035" xr:uid="{AC17791C-48AA-4DA9-A119-5B863E279515}"/>
    <cellStyle name="ul" xfId="2036" xr:uid="{101AB022-2FA2-47D8-8FDF-9566F6DBA447}"/>
    <cellStyle name="Unhighlight" xfId="1732" xr:uid="{00000000-0005-0000-0000-0000CA060000}"/>
    <cellStyle name="Unit" xfId="2037" xr:uid="{03066982-8FBF-4025-ADE0-DF91D994E9B9}"/>
    <cellStyle name="units" xfId="2038" xr:uid="{FD856859-C3B9-44EC-A4D2-22826D4F04AC}"/>
    <cellStyle name="Untotal row" xfId="1733" xr:uid="{00000000-0005-0000-0000-0000CB060000}"/>
    <cellStyle name="Upload Only" xfId="2039" xr:uid="{B14EABB6-44FD-4600-B8A9-39885AF841EE}"/>
    <cellStyle name="Valuta (0)" xfId="1734" xr:uid="{00000000-0005-0000-0000-0000CC060000}"/>
    <cellStyle name="Warning Text 2" xfId="2091" xr:uid="{EE11318F-5649-4A21-B765-29882BD9D206}"/>
    <cellStyle name="web_ normal" xfId="2040" xr:uid="{82C4EE8A-DAB0-41CF-B1EE-2A1643035D89}"/>
    <cellStyle name="White" xfId="2041" xr:uid="{6DBDE061-BEFA-448A-8A91-4C619CDF7B2F}"/>
    <cellStyle name="WhitePattern1" xfId="1735" xr:uid="{00000000-0005-0000-0000-0000CD060000}"/>
    <cellStyle name="WholeNumber" xfId="2042" xr:uid="{476CBBAB-3374-459B-91B1-6A6BFD74731B}"/>
    <cellStyle name="WP Header" xfId="1736" xr:uid="{00000000-0005-0000-0000-0000CE060000}"/>
    <cellStyle name="Year" xfId="1737" xr:uid="{00000000-0005-0000-0000-0000CF060000}"/>
    <cellStyle name="Year 2" xfId="2043" xr:uid="{8E52098E-0FE1-487C-A562-D5FBDF7803A3}"/>
    <cellStyle name="Yen" xfId="2044" xr:uid="{86469C6E-FB81-4CE6-91DC-67B1679827E4}"/>
    <cellStyle name="Βασικό_cosmote us gaap 30.12.2000TEST1" xfId="1738" xr:uid="{00000000-0005-0000-0000-0000D0060000}"/>
    <cellStyle name="똿뗦먛귟 [0.00]_PRODUCT DETAIL Q1_x0013_" xfId="2045" xr:uid="{20C769EF-EBCF-49E8-AA53-2557ED94A197}"/>
    <cellStyle name="똿뗦먛귟_PRODUCT DETAIL Q1TAIL" xfId="2046" xr:uid="{74BD5E08-E707-4639-9431-F438F3F130B5}"/>
    <cellStyle name="믅됞 [0.00]_PRODUCT DETAIL Q1Q3" xfId="2047" xr:uid="{ED5EE110-07BB-4789-B3A2-62A82A85E8C4}"/>
    <cellStyle name="믅됞_PRODUCT DETAIL Q1TA" xfId="2048" xr:uid="{D18EBBDA-1331-40B0-8399-E6908191C2C3}"/>
    <cellStyle name="뷭?_BOOKSHIP_상세일정 (2) (2) " xfId="2049" xr:uid="{CCF2E95B-BAA0-404F-8037-0D747CB1E16D}"/>
    <cellStyle name="콤마 [0]_97년도 프로젝트 현황 (2)OMMENTS_총무" xfId="2050" xr:uid="{770FFE54-0860-4902-BEF4-2B9E373E75FA}"/>
    <cellStyle name="콤마_97년도 프로젝트 현황 (2) (2)OMMENT" xfId="2051" xr:uid="{FC19C192-2F60-434B-9372-BAA06A7906C1}"/>
    <cellStyle name="통화 [0]_97년도 프로젝트 현황 (2)OMMENT" xfId="2052" xr:uid="{6264D617-A3C4-45E6-AE0E-D10E40F4D754}"/>
    <cellStyle name="통화_97년도 프로젝트 현황 (2) (2)OMMENT" xfId="2053" xr:uid="{DE1EB589-C9ED-4C37-A99D-8974DB4D3592}"/>
    <cellStyle name="표준_97년 프로젝트 현황) (2) (2)" xfId="2054" xr:uid="{B26A9041-B346-4441-BE43-257E516E3457}"/>
    <cellStyle name="標準_Financial Analysis_BP-Monthly(Final)_BP-ver.2.0_991204(Heavy_PP)" xfId="1739" xr:uid="{00000000-0005-0000-0000-0000D2060000}"/>
  </cellStyles>
  <dxfs count="36">
    <dxf>
      <font>
        <b val="0"/>
        <i val="0"/>
        <strike val="0"/>
        <condense val="0"/>
        <extend val="0"/>
        <outline val="0"/>
        <shadow val="0"/>
        <u val="none"/>
        <vertAlign val="baseline"/>
        <sz val="10"/>
        <color theme="1"/>
        <name val="Roboto"/>
        <scheme val="none"/>
      </font>
      <numFmt numFmtId="10" formatCode="&quot;£&quot;#,##0;[Red]\-&quot;£&quot;#,##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0" formatCode="&quot;£&quot;#,##0;[Red]\-&quot;£&quot;#,##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0" formatCode="General"/>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0" formatCode="General"/>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numFmt numFmtId="1" formatCode="0"/>
      <fill>
        <patternFill patternType="none">
          <fgColor indexed="64"/>
          <bgColor indexed="65"/>
        </patternFill>
      </fill>
    </dxf>
    <dxf>
      <font>
        <b val="0"/>
        <i val="0"/>
        <strike val="0"/>
        <condense val="0"/>
        <extend val="0"/>
        <outline val="0"/>
        <shadow val="0"/>
        <u val="none"/>
        <vertAlign val="baseline"/>
        <sz val="10"/>
        <color theme="1"/>
        <name val="Roboto"/>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theme="1"/>
        <name val="Roboto"/>
        <scheme val="none"/>
      </font>
      <numFmt numFmtId="10" formatCode="&quot;£&quot;#,##0;[Red]\-&quot;£&quot;#,##0"/>
      <fill>
        <patternFill patternType="none">
          <fgColor indexed="64"/>
          <bgColor indexed="65"/>
        </patternFill>
      </fill>
    </dxf>
    <dxf>
      <font>
        <b/>
        <i val="0"/>
        <strike val="0"/>
        <condense val="0"/>
        <extend val="0"/>
        <outline val="0"/>
        <shadow val="0"/>
        <u val="none"/>
        <vertAlign val="baseline"/>
        <sz val="10"/>
        <color theme="1"/>
        <name val="Roboto"/>
        <scheme val="none"/>
      </font>
      <numFmt numFmtId="10" formatCode="&quot;£&quot;#,##0;[Red]\-&quot;£&quot;#,##0"/>
      <fill>
        <patternFill patternType="none">
          <fgColor indexed="64"/>
          <bgColor indexed="65"/>
        </patternFill>
      </fill>
      <alignment horizontal="right" vertical="bottom" textRotation="0" wrapText="0" indent="0" justifyLastLine="0" shrinkToFit="0" readingOrder="0"/>
    </dxf>
  </dxfs>
  <tableStyles count="0" defaultTableStyle="TableStyleMedium2" defaultPivotStyle="PivotStyleLight16"/>
  <colors>
    <mruColors>
      <color rgb="FF0000FF"/>
      <color rgb="FF799098"/>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7.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8.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9.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0.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1.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2.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3.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4.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5.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6.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7.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8.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9.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50.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1.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9.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0.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4.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5.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6.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7.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8.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9.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0.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1.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72.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3.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4.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5.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6.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7.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8.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9.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80.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1.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2.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3.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4.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5.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6.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7.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8.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9.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90.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1.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2.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3.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4.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5.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6.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7.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8.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9.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00.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01.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02.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4.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5.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6.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7.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8.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9.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10.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11.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12.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11.xml"/><Relationship Id="rId1" Type="http://schemas.microsoft.com/office/2011/relationships/chartStyle" Target="style111.xml"/></Relationships>
</file>

<file path=xl/charts/_rels/chart11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2.xml"/><Relationship Id="rId1" Type="http://schemas.microsoft.com/office/2011/relationships/chartStyle" Target="style112.xml"/></Relationships>
</file>

<file path=xl/charts/_rels/chart116.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4.xml"/><Relationship Id="rId1" Type="http://schemas.microsoft.com/office/2011/relationships/chartStyle" Target="style114.xml"/></Relationships>
</file>

<file path=xl/charts/_rels/chart128.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29.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30.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31.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32.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33.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34.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35.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36.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37.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38.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39.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40.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41.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42.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43.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44.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45.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46.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47.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48.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49.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50.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51.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52.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53.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Base Case</c:v>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Valuation!$L$4:$P$4</c:f>
              <c:numCache>
                <c:formatCode>0</c:formatCode>
                <c:ptCount val="5"/>
                <c:pt idx="0">
                  <c:v>2021</c:v>
                </c:pt>
                <c:pt idx="1">
                  <c:v>2022</c:v>
                </c:pt>
                <c:pt idx="2">
                  <c:v>2023</c:v>
                </c:pt>
                <c:pt idx="3">
                  <c:v>2024</c:v>
                </c:pt>
                <c:pt idx="4">
                  <c:v>2025</c:v>
                </c:pt>
              </c:numCache>
            </c:numRef>
          </c:cat>
          <c:val>
            <c:numRef>
              <c:f>Valuation!$L$34:$P$34</c:f>
              <c:numCache>
                <c:formatCode>0.0%</c:formatCode>
                <c:ptCount val="5"/>
                <c:pt idx="0">
                  <c:v>0.12789950350923468</c:v>
                </c:pt>
                <c:pt idx="1">
                  <c:v>0.12808789409035087</c:v>
                </c:pt>
                <c:pt idx="2">
                  <c:v>0.14152705537515448</c:v>
                </c:pt>
                <c:pt idx="3">
                  <c:v>1.3109245240959095E-2</c:v>
                </c:pt>
                <c:pt idx="4">
                  <c:v>0.32848796267046121</c:v>
                </c:pt>
              </c:numCache>
            </c:numRef>
          </c:val>
          <c:smooth val="0"/>
          <c:extLst>
            <c:ext xmlns:c16="http://schemas.microsoft.com/office/drawing/2014/chart" uri="{C3380CC4-5D6E-409C-BE32-E72D297353CC}">
              <c16:uniqueId val="{00000000-2A1A-4108-90D3-6954A890C56D}"/>
            </c:ext>
          </c:extLst>
        </c:ser>
        <c:ser>
          <c:idx val="1"/>
          <c:order val="1"/>
          <c:tx>
            <c:v>Adj for stock compensation</c:v>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Valuation!$L$4:$P$4</c:f>
              <c:numCache>
                <c:formatCode>0</c:formatCode>
                <c:ptCount val="5"/>
                <c:pt idx="0">
                  <c:v>2021</c:v>
                </c:pt>
                <c:pt idx="1">
                  <c:v>2022</c:v>
                </c:pt>
                <c:pt idx="2">
                  <c:v>2023</c:v>
                </c:pt>
                <c:pt idx="3">
                  <c:v>2024</c:v>
                </c:pt>
                <c:pt idx="4">
                  <c:v>2025</c:v>
                </c:pt>
              </c:numCache>
            </c:numRef>
          </c:cat>
          <c:val>
            <c:numRef>
              <c:f>Valuation!$L$43:$P$43</c:f>
              <c:numCache>
                <c:formatCode>0.0%</c:formatCode>
                <c:ptCount val="5"/>
                <c:pt idx="0">
                  <c:v>5.1196175482965234E-2</c:v>
                </c:pt>
                <c:pt idx="1">
                  <c:v>6.2424567538318938E-2</c:v>
                </c:pt>
                <c:pt idx="2">
                  <c:v>7.6495534444874558E-2</c:v>
                </c:pt>
                <c:pt idx="3">
                  <c:v>-4.551728375445617E-2</c:v>
                </c:pt>
                <c:pt idx="4">
                  <c:v>0.25132898231650719</c:v>
                </c:pt>
              </c:numCache>
            </c:numRef>
          </c:val>
          <c:smooth val="0"/>
          <c:extLst>
            <c:ext xmlns:c16="http://schemas.microsoft.com/office/drawing/2014/chart" uri="{C3380CC4-5D6E-409C-BE32-E72D297353CC}">
              <c16:uniqueId val="{00000002-2A1A-4108-90D3-6954A890C56D}"/>
            </c:ext>
          </c:extLst>
        </c:ser>
        <c:dLbls>
          <c:showLegendKey val="0"/>
          <c:showVal val="0"/>
          <c:showCatName val="0"/>
          <c:showSerName val="0"/>
          <c:showPercent val="0"/>
          <c:showBubbleSize val="0"/>
        </c:dLbls>
        <c:smooth val="0"/>
        <c:axId val="1283795920"/>
        <c:axId val="1283794256"/>
      </c:lineChart>
      <c:catAx>
        <c:axId val="1283795920"/>
        <c:scaling>
          <c:orientation val="minMax"/>
        </c:scaling>
        <c:delete val="0"/>
        <c:axPos val="b"/>
        <c:numFmt formatCode="General" sourceLinked="0"/>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83794256"/>
        <c:crosses val="autoZero"/>
        <c:auto val="1"/>
        <c:lblAlgn val="ctr"/>
        <c:lblOffset val="100"/>
        <c:noMultiLvlLbl val="1"/>
      </c:catAx>
      <c:valAx>
        <c:axId val="1283794256"/>
        <c:scaling>
          <c:orientation val="minMax"/>
        </c:scaling>
        <c:delete val="1"/>
        <c:axPos val="l"/>
        <c:numFmt formatCode="0.0%" sourceLinked="1"/>
        <c:majorTickMark val="out"/>
        <c:minorTickMark val="none"/>
        <c:tickLblPos val="nextTo"/>
        <c:crossAx val="128379592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'New quarts'!$B$746</c:f>
              <c:strCache>
                <c:ptCount val="1"/>
                <c:pt idx="0">
                  <c:v>CWC</c:v>
                </c:pt>
              </c:strCache>
            </c:strRef>
          </c:tx>
          <c:spPr>
            <a:solidFill>
              <a:srgbClr val="000080"/>
            </a:solidFill>
            <a:ln w="25400">
              <a:noFill/>
            </a:ln>
            <a:effectLst/>
          </c:spPr>
          <c:invertIfNegative val="0"/>
          <c:cat>
            <c:multiLvlStrRef>
              <c:f>'New quarts'!$C$745:$G$745</c:f>
            </c:multiLvlStrRef>
          </c:cat>
          <c:val>
            <c:numRef>
              <c:f>'New quarts'!$C$746:$G$746</c:f>
            </c:numRef>
          </c:val>
          <c:extLst>
            <c:ext xmlns:c16="http://schemas.microsoft.com/office/drawing/2014/chart" uri="{C3380CC4-5D6E-409C-BE32-E72D297353CC}">
              <c16:uniqueId val="{00000000-F705-4814-B227-2FCBE4D372A4}"/>
            </c:ext>
          </c:extLst>
        </c:ser>
        <c:ser>
          <c:idx val="1"/>
          <c:order val="1"/>
          <c:tx>
            <c:strRef>
              <c:f>'New quarts'!$B$747</c:f>
              <c:strCache>
                <c:ptCount val="1"/>
                <c:pt idx="0">
                  <c:v>Digicel</c:v>
                </c:pt>
              </c:strCache>
            </c:strRef>
          </c:tx>
          <c:spPr>
            <a:solidFill>
              <a:srgbClr val="9999FF"/>
            </a:solidFill>
            <a:ln w="25400">
              <a:noFill/>
            </a:ln>
            <a:effectLst/>
          </c:spPr>
          <c:invertIfNegative val="0"/>
          <c:cat>
            <c:multiLvlStrRef>
              <c:f>'New quarts'!$C$745:$G$745</c:f>
            </c:multiLvlStrRef>
          </c:cat>
          <c:val>
            <c:numRef>
              <c:f>'New quarts'!$C$747:$G$747</c:f>
            </c:numRef>
          </c:val>
          <c:extLst>
            <c:ext xmlns:c16="http://schemas.microsoft.com/office/drawing/2014/chart" uri="{C3380CC4-5D6E-409C-BE32-E72D297353CC}">
              <c16:uniqueId val="{00000001-F705-4814-B227-2FCBE4D372A4}"/>
            </c:ext>
          </c:extLst>
        </c:ser>
        <c:dLbls>
          <c:showLegendKey val="0"/>
          <c:showVal val="0"/>
          <c:showCatName val="0"/>
          <c:showSerName val="0"/>
          <c:showPercent val="0"/>
          <c:showBubbleSize val="0"/>
        </c:dLbls>
        <c:gapWidth val="219"/>
        <c:overlap val="-27"/>
        <c:axId val="770451728"/>
        <c:axId val="567221472"/>
      </c:barChart>
      <c:catAx>
        <c:axId val="77045172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67221472"/>
        <c:crosses val="autoZero"/>
        <c:auto val="1"/>
        <c:lblAlgn val="ctr"/>
        <c:lblOffset val="100"/>
        <c:noMultiLvlLbl val="0"/>
      </c:catAx>
      <c:valAx>
        <c:axId val="5672214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0451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'New quarts'!$B$750</c:f>
              <c:strCache>
                <c:ptCount val="1"/>
                <c:pt idx="0">
                  <c:v>CWC</c:v>
                </c:pt>
              </c:strCache>
            </c:strRef>
          </c:tx>
          <c:spPr>
            <a:solidFill>
              <a:srgbClr val="000080"/>
            </a:solidFill>
            <a:ln w="25400">
              <a:noFill/>
            </a:ln>
            <a:effectLst/>
          </c:spPr>
          <c:invertIfNegative val="0"/>
          <c:cat>
            <c:multiLvlStrRef>
              <c:f>'New quarts'!$D$745:$G$745</c:f>
            </c:multiLvlStrRef>
          </c:cat>
          <c:val>
            <c:numRef>
              <c:f>'New quarts'!$D$750:$G$750</c:f>
            </c:numRef>
          </c:val>
          <c:extLst>
            <c:ext xmlns:c16="http://schemas.microsoft.com/office/drawing/2014/chart" uri="{C3380CC4-5D6E-409C-BE32-E72D297353CC}">
              <c16:uniqueId val="{00000000-20AE-46FE-9DD2-5538C6D32461}"/>
            </c:ext>
          </c:extLst>
        </c:ser>
        <c:ser>
          <c:idx val="1"/>
          <c:order val="1"/>
          <c:tx>
            <c:strRef>
              <c:f>'New quarts'!$B$751</c:f>
              <c:strCache>
                <c:ptCount val="1"/>
                <c:pt idx="0">
                  <c:v>Digicel</c:v>
                </c:pt>
              </c:strCache>
            </c:strRef>
          </c:tx>
          <c:spPr>
            <a:solidFill>
              <a:srgbClr val="9999FF"/>
            </a:solidFill>
            <a:ln w="25400">
              <a:noFill/>
            </a:ln>
            <a:effectLst/>
          </c:spPr>
          <c:invertIfNegative val="0"/>
          <c:cat>
            <c:multiLvlStrRef>
              <c:f>'New quarts'!$D$745:$G$745</c:f>
            </c:multiLvlStrRef>
          </c:cat>
          <c:val>
            <c:numRef>
              <c:f>'New quarts'!$D$751:$G$751</c:f>
            </c:numRef>
          </c:val>
          <c:extLst>
            <c:ext xmlns:c16="http://schemas.microsoft.com/office/drawing/2014/chart" uri="{C3380CC4-5D6E-409C-BE32-E72D297353CC}">
              <c16:uniqueId val="{00000001-20AE-46FE-9DD2-5538C6D32461}"/>
            </c:ext>
          </c:extLst>
        </c:ser>
        <c:dLbls>
          <c:showLegendKey val="0"/>
          <c:showVal val="0"/>
          <c:showCatName val="0"/>
          <c:showSerName val="0"/>
          <c:showPercent val="0"/>
          <c:showBubbleSize val="0"/>
        </c:dLbls>
        <c:gapWidth val="219"/>
        <c:overlap val="-27"/>
        <c:axId val="770451728"/>
        <c:axId val="567221472"/>
      </c:barChart>
      <c:catAx>
        <c:axId val="77045172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67221472"/>
        <c:crosses val="autoZero"/>
        <c:auto val="1"/>
        <c:lblAlgn val="ctr"/>
        <c:lblOffset val="100"/>
        <c:noMultiLvlLbl val="0"/>
      </c:catAx>
      <c:valAx>
        <c:axId val="5672214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0451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'New quarts'!$B$110</c:f>
              <c:strCache>
                <c:ptCount val="1"/>
                <c:pt idx="0">
                  <c:v>Video</c:v>
                </c:pt>
              </c:strCache>
            </c:strRef>
          </c:tx>
          <c:spPr>
            <a:solidFill>
              <a:srgbClr val="000080"/>
            </a:solidFill>
            <a:ln w="25400">
              <a:noFill/>
            </a:ln>
            <a:effectLst/>
          </c:spPr>
          <c:invertIfNegative val="0"/>
          <c:val>
            <c:numRef>
              <c:f>'New quarts'!$G$110:$O$110</c:f>
            </c:numRef>
          </c:val>
          <c:extLst>
            <c:ext xmlns:c15="http://schemas.microsoft.com/office/drawing/2012/chart" uri="{02D57815-91ED-43cb-92C2-25804820EDAC}">
              <c15:filteredCategoryTitle>
                <c15:cat>
                  <c:multiLvlStrRef>
                    <c:extLst>
                      <c:ext uri="{02D57815-91ED-43cb-92C2-25804820EDAC}">
                        <c15:formulaRef>
                          <c15:sqref>'New quarts'!$G$109:$O$109</c15:sqref>
                        </c15:formulaRef>
                      </c:ext>
                    </c:extLst>
                  </c:multiLvlStrRef>
                </c15:cat>
              </c15:filteredCategoryTitle>
            </c:ext>
            <c:ext xmlns:c16="http://schemas.microsoft.com/office/drawing/2014/chart" uri="{C3380CC4-5D6E-409C-BE32-E72D297353CC}">
              <c16:uniqueId val="{00000000-F91A-4471-86B9-8BB0D67A3A33}"/>
            </c:ext>
          </c:extLst>
        </c:ser>
        <c:ser>
          <c:idx val="1"/>
          <c:order val="1"/>
          <c:tx>
            <c:strRef>
              <c:f>'New quarts'!$B$111</c:f>
              <c:strCache>
                <c:ptCount val="1"/>
                <c:pt idx="0">
                  <c:v>BB</c:v>
                </c:pt>
              </c:strCache>
            </c:strRef>
          </c:tx>
          <c:spPr>
            <a:solidFill>
              <a:srgbClr val="9999FF"/>
            </a:solidFill>
            <a:ln w="25400">
              <a:noFill/>
            </a:ln>
            <a:effectLst/>
          </c:spPr>
          <c:invertIfNegative val="0"/>
          <c:val>
            <c:numRef>
              <c:f>'New quarts'!$G$111:$O$111</c:f>
            </c:numRef>
          </c:val>
          <c:extLst>
            <c:ext xmlns:c15="http://schemas.microsoft.com/office/drawing/2012/chart" uri="{02D57815-91ED-43cb-92C2-25804820EDAC}">
              <c15:filteredCategoryTitle>
                <c15:cat>
                  <c:multiLvlStrRef>
                    <c:extLst>
                      <c:ext uri="{02D57815-91ED-43cb-92C2-25804820EDAC}">
                        <c15:formulaRef>
                          <c15:sqref>'New quarts'!$G$109:$O$109</c15:sqref>
                        </c15:formulaRef>
                      </c:ext>
                    </c:extLst>
                  </c:multiLvlStrRef>
                </c15:cat>
              </c15:filteredCategoryTitle>
            </c:ext>
            <c:ext xmlns:c16="http://schemas.microsoft.com/office/drawing/2014/chart" uri="{C3380CC4-5D6E-409C-BE32-E72D297353CC}">
              <c16:uniqueId val="{00000001-F91A-4471-86B9-8BB0D67A3A33}"/>
            </c:ext>
          </c:extLst>
        </c:ser>
        <c:ser>
          <c:idx val="2"/>
          <c:order val="2"/>
          <c:tx>
            <c:strRef>
              <c:f>'New quarts'!$B$112</c:f>
              <c:strCache>
                <c:ptCount val="1"/>
                <c:pt idx="0">
                  <c:v>Voice</c:v>
                </c:pt>
              </c:strCache>
            </c:strRef>
          </c:tx>
          <c:spPr>
            <a:solidFill>
              <a:srgbClr val="3366FF"/>
            </a:solidFill>
            <a:ln w="25400">
              <a:noFill/>
            </a:ln>
            <a:effectLst/>
          </c:spPr>
          <c:invertIfNegative val="0"/>
          <c:val>
            <c:numRef>
              <c:f>'New quarts'!$G$112:$O$112</c:f>
            </c:numRef>
          </c:val>
          <c:extLst>
            <c:ext xmlns:c15="http://schemas.microsoft.com/office/drawing/2012/chart" uri="{02D57815-91ED-43cb-92C2-25804820EDAC}">
              <c15:filteredCategoryTitle>
                <c15:cat>
                  <c:multiLvlStrRef>
                    <c:extLst>
                      <c:ext uri="{02D57815-91ED-43cb-92C2-25804820EDAC}">
                        <c15:formulaRef>
                          <c15:sqref>'New quarts'!$G$109:$O$109</c15:sqref>
                        </c15:formulaRef>
                      </c:ext>
                    </c:extLst>
                  </c:multiLvlStrRef>
                </c15:cat>
              </c15:filteredCategoryTitle>
            </c:ext>
            <c:ext xmlns:c16="http://schemas.microsoft.com/office/drawing/2014/chart" uri="{C3380CC4-5D6E-409C-BE32-E72D297353CC}">
              <c16:uniqueId val="{00000002-F91A-4471-86B9-8BB0D67A3A33}"/>
            </c:ext>
          </c:extLst>
        </c:ser>
        <c:dLbls>
          <c:showLegendKey val="0"/>
          <c:showVal val="0"/>
          <c:showCatName val="0"/>
          <c:showSerName val="0"/>
          <c:showPercent val="0"/>
          <c:showBubbleSize val="0"/>
        </c:dLbls>
        <c:gapWidth val="150"/>
        <c:overlap val="100"/>
        <c:axId val="650696480"/>
        <c:axId val="790452912"/>
      </c:barChart>
      <c:catAx>
        <c:axId val="6506964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90452912"/>
        <c:crosses val="autoZero"/>
        <c:auto val="1"/>
        <c:lblAlgn val="ctr"/>
        <c:lblOffset val="100"/>
        <c:noMultiLvlLbl val="0"/>
      </c:catAx>
      <c:valAx>
        <c:axId val="790452912"/>
        <c:scaling>
          <c:orientation val="minMax"/>
          <c:max val="140"/>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CLP bn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069648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'New quarts'!$BJ$116</c:f>
              <c:strCache>
                <c:ptCount val="1"/>
                <c:pt idx="0">
                  <c:v>Total revenue</c:v>
                </c:pt>
              </c:strCache>
            </c:strRef>
          </c:tx>
          <c:spPr>
            <a:solidFill>
              <a:srgbClr val="000080"/>
            </a:solidFill>
            <a:ln w="25400">
              <a:noFill/>
            </a:ln>
            <a:effectLst/>
          </c:spPr>
          <c:invertIfNegative val="0"/>
          <c:val>
            <c:numRef>
              <c:f>'New quarts'!$BK$116:$BO$116</c:f>
            </c:numRef>
          </c:val>
          <c:extLst>
            <c:ext xmlns:c15="http://schemas.microsoft.com/office/drawing/2012/chart" uri="{02D57815-91ED-43cb-92C2-25804820EDAC}">
              <c15:filteredCategoryTitle>
                <c15:cat>
                  <c:multiLvlStrRef>
                    <c:extLst>
                      <c:ext uri="{02D57815-91ED-43cb-92C2-25804820EDAC}">
                        <c15:formulaRef>
                          <c15:sqref>'New quarts'!$BK$109:$BO$109</c15:sqref>
                        </c15:formulaRef>
                      </c:ext>
                    </c:extLst>
                  </c:multiLvlStrRef>
                </c15:cat>
              </c15:filteredCategoryTitle>
            </c:ext>
            <c:ext xmlns:c16="http://schemas.microsoft.com/office/drawing/2014/chart" uri="{C3380CC4-5D6E-409C-BE32-E72D297353CC}">
              <c16:uniqueId val="{00000000-F681-456B-BF0F-8E8B3D3210E3}"/>
            </c:ext>
          </c:extLst>
        </c:ser>
        <c:ser>
          <c:idx val="1"/>
          <c:order val="1"/>
          <c:tx>
            <c:strRef>
              <c:f>'New quarts'!$BJ$117</c:f>
              <c:strCache>
                <c:ptCount val="1"/>
                <c:pt idx="0">
                  <c:v>Service revenue</c:v>
                </c:pt>
              </c:strCache>
            </c:strRef>
          </c:tx>
          <c:spPr>
            <a:solidFill>
              <a:srgbClr val="9999FF"/>
            </a:solidFill>
            <a:ln w="25400">
              <a:noFill/>
            </a:ln>
            <a:effectLst/>
          </c:spPr>
          <c:invertIfNegative val="0"/>
          <c:val>
            <c:numRef>
              <c:f>'New quarts'!$BK$117:$BO$117</c:f>
            </c:numRef>
          </c:val>
          <c:extLst>
            <c:ext xmlns:c15="http://schemas.microsoft.com/office/drawing/2012/chart" uri="{02D57815-91ED-43cb-92C2-25804820EDAC}">
              <c15:filteredCategoryTitle>
                <c15:cat>
                  <c:multiLvlStrRef>
                    <c:extLst>
                      <c:ext uri="{02D57815-91ED-43cb-92C2-25804820EDAC}">
                        <c15:formulaRef>
                          <c15:sqref>'New quarts'!$BK$109:$BO$109</c15:sqref>
                        </c15:formulaRef>
                      </c:ext>
                    </c:extLst>
                  </c:multiLvlStrRef>
                </c15:cat>
              </c15:filteredCategoryTitle>
            </c:ext>
            <c:ext xmlns:c16="http://schemas.microsoft.com/office/drawing/2014/chart" uri="{C3380CC4-5D6E-409C-BE32-E72D297353CC}">
              <c16:uniqueId val="{00000001-F681-456B-BF0F-8E8B3D3210E3}"/>
            </c:ext>
          </c:extLst>
        </c:ser>
        <c:dLbls>
          <c:showLegendKey val="0"/>
          <c:showVal val="0"/>
          <c:showCatName val="0"/>
          <c:showSerName val="0"/>
          <c:showPercent val="0"/>
          <c:showBubbleSize val="0"/>
        </c:dLbls>
        <c:gapWidth val="219"/>
        <c:overlap val="-27"/>
        <c:axId val="630986160"/>
        <c:axId val="790498272"/>
      </c:barChart>
      <c:catAx>
        <c:axId val="6309861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90498272"/>
        <c:crosses val="autoZero"/>
        <c:auto val="1"/>
        <c:lblAlgn val="ctr"/>
        <c:lblOffset val="100"/>
        <c:noMultiLvlLbl val="0"/>
      </c:catAx>
      <c:valAx>
        <c:axId val="790498272"/>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09861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0226365010657"/>
          <c:y val="2.4024500604335641E-2"/>
          <c:w val="0.68715827838111443"/>
          <c:h val="0.76660736297531329"/>
        </c:manualLayout>
      </c:layout>
      <c:barChart>
        <c:barDir val="col"/>
        <c:grouping val="clustered"/>
        <c:varyColors val="0"/>
        <c:ser>
          <c:idx val="0"/>
          <c:order val="0"/>
          <c:tx>
            <c:strRef>
              <c:f>'New quarts'!$B$1025</c:f>
              <c:strCache>
                <c:ptCount val="1"/>
                <c:pt idx="0">
                  <c:v>Res fixed</c:v>
                </c:pt>
              </c:strCache>
            </c:strRef>
          </c:tx>
          <c:spPr>
            <a:solidFill>
              <a:srgbClr val="000080"/>
            </a:solidFill>
            <a:ln w="25400">
              <a:noFill/>
            </a:ln>
            <a:effectLst/>
          </c:spPr>
          <c:invertIfNegative val="0"/>
          <c:cat>
            <c:multiLvlStrRef>
              <c:f>'New quarts'!$D$984:$H$984</c:f>
            </c:multiLvlStrRef>
          </c:cat>
          <c:val>
            <c:numRef>
              <c:f>'New quarts'!$D$1025:$H$1025</c:f>
            </c:numRef>
          </c:val>
          <c:extLst>
            <c:ext xmlns:c16="http://schemas.microsoft.com/office/drawing/2014/chart" uri="{C3380CC4-5D6E-409C-BE32-E72D297353CC}">
              <c16:uniqueId val="{00000000-87C0-4C60-953B-1E96A2B825B2}"/>
            </c:ext>
          </c:extLst>
        </c:ser>
        <c:ser>
          <c:idx val="1"/>
          <c:order val="1"/>
          <c:tx>
            <c:strRef>
              <c:f>'New quarts'!$B$1027</c:f>
              <c:strCache>
                <c:ptCount val="1"/>
                <c:pt idx="0">
                  <c:v>Fixed B2B</c:v>
                </c:pt>
              </c:strCache>
            </c:strRef>
          </c:tx>
          <c:spPr>
            <a:solidFill>
              <a:srgbClr val="9999FF"/>
            </a:solidFill>
            <a:ln w="25400">
              <a:noFill/>
            </a:ln>
            <a:effectLst/>
          </c:spPr>
          <c:invertIfNegative val="0"/>
          <c:cat>
            <c:multiLvlStrRef>
              <c:f>'New quarts'!$D$984:$H$984</c:f>
            </c:multiLvlStrRef>
          </c:cat>
          <c:val>
            <c:numRef>
              <c:f>'New quarts'!$D$1027:$H$1027</c:f>
            </c:numRef>
          </c:val>
          <c:extLst>
            <c:ext xmlns:c16="http://schemas.microsoft.com/office/drawing/2014/chart" uri="{C3380CC4-5D6E-409C-BE32-E72D297353CC}">
              <c16:uniqueId val="{00000001-87C0-4C60-953B-1E96A2B825B2}"/>
            </c:ext>
          </c:extLst>
        </c:ser>
        <c:ser>
          <c:idx val="2"/>
          <c:order val="2"/>
          <c:tx>
            <c:strRef>
              <c:f>'New quarts'!$B$1026</c:f>
              <c:strCache>
                <c:ptCount val="1"/>
                <c:pt idx="0">
                  <c:v>Res wireless</c:v>
                </c:pt>
              </c:strCache>
            </c:strRef>
          </c:tx>
          <c:spPr>
            <a:solidFill>
              <a:srgbClr val="3366FF"/>
            </a:solidFill>
            <a:ln w="25400">
              <a:noFill/>
            </a:ln>
            <a:effectLst/>
          </c:spPr>
          <c:invertIfNegative val="0"/>
          <c:cat>
            <c:multiLvlStrRef>
              <c:f>'New quarts'!$D$984:$H$984</c:f>
            </c:multiLvlStrRef>
          </c:cat>
          <c:val>
            <c:numRef>
              <c:f>'New quarts'!$D$1026:$H$1026</c:f>
            </c:numRef>
          </c:val>
          <c:extLst>
            <c:ext xmlns:c16="http://schemas.microsoft.com/office/drawing/2014/chart" uri="{C3380CC4-5D6E-409C-BE32-E72D297353CC}">
              <c16:uniqueId val="{00000002-87C0-4C60-953B-1E96A2B825B2}"/>
            </c:ext>
          </c:extLst>
        </c:ser>
        <c:dLbls>
          <c:showLegendKey val="0"/>
          <c:showVal val="0"/>
          <c:showCatName val="0"/>
          <c:showSerName val="0"/>
          <c:showPercent val="0"/>
          <c:showBubbleSize val="0"/>
        </c:dLbls>
        <c:gapWidth val="219"/>
        <c:overlap val="-27"/>
        <c:axId val="1619415808"/>
        <c:axId val="1615570080"/>
      </c:barChart>
      <c:lineChart>
        <c:grouping val="standard"/>
        <c:varyColors val="0"/>
        <c:ser>
          <c:idx val="3"/>
          <c:order val="3"/>
          <c:tx>
            <c:v>Total</c:v>
          </c:tx>
          <c:spPr>
            <a:ln w="25400" cap="rnd">
              <a:solidFill>
                <a:srgbClr val="000080"/>
              </a:solidFill>
              <a:prstDash val="lgDash"/>
              <a:round/>
            </a:ln>
            <a:effectLst/>
          </c:spPr>
          <c:marker>
            <c:symbol val="none"/>
          </c:marker>
          <c:val>
            <c:numRef>
              <c:f>'New quarts'!$D$1029:$H$1029</c:f>
            </c:numRef>
          </c:val>
          <c:smooth val="0"/>
          <c:extLst>
            <c:ext xmlns:c16="http://schemas.microsoft.com/office/drawing/2014/chart" uri="{C3380CC4-5D6E-409C-BE32-E72D297353CC}">
              <c16:uniqueId val="{00000003-87C0-4C60-953B-1E96A2B825B2}"/>
            </c:ext>
          </c:extLst>
        </c:ser>
        <c:dLbls>
          <c:showLegendKey val="0"/>
          <c:showVal val="0"/>
          <c:showCatName val="0"/>
          <c:showSerName val="0"/>
          <c:showPercent val="0"/>
          <c:showBubbleSize val="0"/>
        </c:dLbls>
        <c:marker val="1"/>
        <c:smooth val="0"/>
        <c:axId val="1619414208"/>
        <c:axId val="1615561344"/>
      </c:lineChart>
      <c:catAx>
        <c:axId val="161941580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5570080"/>
        <c:crosses val="autoZero"/>
        <c:auto val="1"/>
        <c:lblAlgn val="ctr"/>
        <c:lblOffset val="100"/>
        <c:noMultiLvlLbl val="0"/>
      </c:catAx>
      <c:valAx>
        <c:axId val="161557008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9415808"/>
        <c:crosses val="autoZero"/>
        <c:crossBetween val="between"/>
      </c:valAx>
      <c:valAx>
        <c:axId val="1615561344"/>
        <c:scaling>
          <c:orientation val="minMax"/>
        </c:scaling>
        <c:delete val="0"/>
        <c:axPos val="r"/>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9414208"/>
        <c:crosses val="max"/>
        <c:crossBetween val="between"/>
      </c:valAx>
      <c:catAx>
        <c:axId val="1619414208"/>
        <c:scaling>
          <c:orientation val="minMax"/>
        </c:scaling>
        <c:delete val="1"/>
        <c:axPos val="b"/>
        <c:majorTickMark val="out"/>
        <c:minorTickMark val="none"/>
        <c:tickLblPos val="nextTo"/>
        <c:crossAx val="1615561344"/>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430226365010657"/>
          <c:y val="2.4024500604335641E-2"/>
          <c:w val="0.68715827838111443"/>
          <c:h val="0.76660736297531329"/>
        </c:manualLayout>
      </c:layout>
      <c:barChart>
        <c:barDir val="col"/>
        <c:grouping val="clustered"/>
        <c:varyColors val="0"/>
        <c:ser>
          <c:idx val="0"/>
          <c:order val="0"/>
          <c:tx>
            <c:strRef>
              <c:f>'New quarts'!$B$1032</c:f>
              <c:strCache>
                <c:ptCount val="1"/>
                <c:pt idx="0">
                  <c:v>Res fixed</c:v>
                </c:pt>
              </c:strCache>
            </c:strRef>
          </c:tx>
          <c:spPr>
            <a:solidFill>
              <a:srgbClr val="000080"/>
            </a:solidFill>
            <a:ln w="25400">
              <a:noFill/>
            </a:ln>
            <a:effectLst/>
          </c:spPr>
          <c:invertIfNegative val="0"/>
          <c:cat>
            <c:multiLvlStrRef>
              <c:f>'New quarts'!$D$984:$H$984</c:f>
            </c:multiLvlStrRef>
          </c:cat>
          <c:val>
            <c:numRef>
              <c:f>'New quarts'!$D$1032:$H$1032</c:f>
            </c:numRef>
          </c:val>
          <c:extLst>
            <c:ext xmlns:c16="http://schemas.microsoft.com/office/drawing/2014/chart" uri="{C3380CC4-5D6E-409C-BE32-E72D297353CC}">
              <c16:uniqueId val="{00000000-F007-4394-A061-FFFDFF42B6AA}"/>
            </c:ext>
          </c:extLst>
        </c:ser>
        <c:ser>
          <c:idx val="1"/>
          <c:order val="1"/>
          <c:tx>
            <c:strRef>
              <c:f>'New quarts'!$B$1034</c:f>
              <c:strCache>
                <c:ptCount val="1"/>
                <c:pt idx="0">
                  <c:v>B2B</c:v>
                </c:pt>
              </c:strCache>
            </c:strRef>
          </c:tx>
          <c:spPr>
            <a:solidFill>
              <a:srgbClr val="9999FF"/>
            </a:solidFill>
            <a:ln w="25400">
              <a:noFill/>
            </a:ln>
            <a:effectLst/>
          </c:spPr>
          <c:invertIfNegative val="0"/>
          <c:cat>
            <c:multiLvlStrRef>
              <c:f>'New quarts'!$D$984:$H$984</c:f>
            </c:multiLvlStrRef>
          </c:cat>
          <c:val>
            <c:numRef>
              <c:f>'New quarts'!$D$1034:$H$1034</c:f>
            </c:numRef>
          </c:val>
          <c:extLst>
            <c:ext xmlns:c16="http://schemas.microsoft.com/office/drawing/2014/chart" uri="{C3380CC4-5D6E-409C-BE32-E72D297353CC}">
              <c16:uniqueId val="{00000001-F007-4394-A061-FFFDFF42B6AA}"/>
            </c:ext>
          </c:extLst>
        </c:ser>
        <c:ser>
          <c:idx val="2"/>
          <c:order val="2"/>
          <c:tx>
            <c:strRef>
              <c:f>'New quarts'!$B$1033</c:f>
              <c:strCache>
                <c:ptCount val="1"/>
                <c:pt idx="0">
                  <c:v>Res wireless</c:v>
                </c:pt>
              </c:strCache>
            </c:strRef>
          </c:tx>
          <c:spPr>
            <a:solidFill>
              <a:srgbClr val="3366FF"/>
            </a:solidFill>
            <a:ln w="25400">
              <a:noFill/>
            </a:ln>
            <a:effectLst/>
          </c:spPr>
          <c:invertIfNegative val="0"/>
          <c:cat>
            <c:multiLvlStrRef>
              <c:f>'New quarts'!$D$984:$H$984</c:f>
            </c:multiLvlStrRef>
          </c:cat>
          <c:val>
            <c:numRef>
              <c:f>'New quarts'!$D$1033:$H$1033</c:f>
            </c:numRef>
          </c:val>
          <c:extLst>
            <c:ext xmlns:c16="http://schemas.microsoft.com/office/drawing/2014/chart" uri="{C3380CC4-5D6E-409C-BE32-E72D297353CC}">
              <c16:uniqueId val="{00000002-F007-4394-A061-FFFDFF42B6AA}"/>
            </c:ext>
          </c:extLst>
        </c:ser>
        <c:dLbls>
          <c:showLegendKey val="0"/>
          <c:showVal val="0"/>
          <c:showCatName val="0"/>
          <c:showSerName val="0"/>
          <c:showPercent val="0"/>
          <c:showBubbleSize val="0"/>
        </c:dLbls>
        <c:gapWidth val="219"/>
        <c:overlap val="-27"/>
        <c:axId val="1619415808"/>
        <c:axId val="1615570080"/>
      </c:barChart>
      <c:lineChart>
        <c:grouping val="standard"/>
        <c:varyColors val="0"/>
        <c:ser>
          <c:idx val="3"/>
          <c:order val="3"/>
          <c:tx>
            <c:strRef>
              <c:f>'New quarts'!$B$1036</c:f>
              <c:strCache>
                <c:ptCount val="1"/>
                <c:pt idx="0">
                  <c:v>Total</c:v>
                </c:pt>
              </c:strCache>
            </c:strRef>
          </c:tx>
          <c:spPr>
            <a:ln w="25400" cap="rnd">
              <a:solidFill>
                <a:srgbClr val="000080"/>
              </a:solidFill>
              <a:prstDash val="lgDash"/>
              <a:round/>
            </a:ln>
            <a:effectLst/>
          </c:spPr>
          <c:marker>
            <c:symbol val="none"/>
          </c:marker>
          <c:val>
            <c:numRef>
              <c:f>'New quarts'!$D$1036:$H$1036</c:f>
            </c:numRef>
          </c:val>
          <c:smooth val="0"/>
          <c:extLst>
            <c:ext xmlns:c16="http://schemas.microsoft.com/office/drawing/2014/chart" uri="{C3380CC4-5D6E-409C-BE32-E72D297353CC}">
              <c16:uniqueId val="{00000003-F007-4394-A061-FFFDFF42B6AA}"/>
            </c:ext>
          </c:extLst>
        </c:ser>
        <c:dLbls>
          <c:showLegendKey val="0"/>
          <c:showVal val="0"/>
          <c:showCatName val="0"/>
          <c:showSerName val="0"/>
          <c:showPercent val="0"/>
          <c:showBubbleSize val="0"/>
        </c:dLbls>
        <c:marker val="1"/>
        <c:smooth val="0"/>
        <c:axId val="1619414208"/>
        <c:axId val="1615561344"/>
      </c:lineChart>
      <c:catAx>
        <c:axId val="161941580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5570080"/>
        <c:crosses val="autoZero"/>
        <c:auto val="1"/>
        <c:lblAlgn val="ctr"/>
        <c:lblOffset val="100"/>
        <c:noMultiLvlLbl val="0"/>
      </c:catAx>
      <c:valAx>
        <c:axId val="161557008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9415808"/>
        <c:crosses val="autoZero"/>
        <c:crossBetween val="between"/>
      </c:valAx>
      <c:valAx>
        <c:axId val="1615561344"/>
        <c:scaling>
          <c:orientation val="minMax"/>
        </c:scaling>
        <c:delete val="0"/>
        <c:axPos val="r"/>
        <c:numFmt formatCode="0.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9414208"/>
        <c:crosses val="max"/>
        <c:crossBetween val="between"/>
      </c:valAx>
      <c:catAx>
        <c:axId val="1619414208"/>
        <c:scaling>
          <c:orientation val="minMax"/>
        </c:scaling>
        <c:delete val="1"/>
        <c:axPos val="b"/>
        <c:majorTickMark val="out"/>
        <c:minorTickMark val="none"/>
        <c:tickLblPos val="nextTo"/>
        <c:crossAx val="1615561344"/>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59AF-4B09-AF37-0E117899979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59AF-4B09-AF37-0E117899979E}"/>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59AF-4B09-AF37-0E117899979E}"/>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59AF-4B09-AF37-0E117899979E}"/>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'New quarts'!$AV$92:$AV$95</c:f>
            </c:multiLvlStrRef>
          </c:cat>
          <c:val>
            <c:numRef>
              <c:f>'New quarts'!$BI$92:$BI$95</c:f>
            </c:numRef>
          </c:val>
          <c:extLst>
            <c:ext xmlns:c16="http://schemas.microsoft.com/office/drawing/2014/chart" uri="{C3380CC4-5D6E-409C-BE32-E72D297353CC}">
              <c16:uniqueId val="{00000008-59AF-4B09-AF37-0E117899979E}"/>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'New quarts'!$B$110</c:f>
              <c:strCache>
                <c:ptCount val="1"/>
                <c:pt idx="0">
                  <c:v>Video</c:v>
                </c:pt>
              </c:strCache>
            </c:strRef>
          </c:tx>
          <c:spPr>
            <a:ln w="25400" cap="rnd">
              <a:solidFill>
                <a:srgbClr val="333399"/>
              </a:solidFill>
              <a:prstDash val="solid"/>
              <a:round/>
            </a:ln>
            <a:effectLst/>
          </c:spPr>
          <c:marker>
            <c:symbol val="none"/>
          </c:marker>
          <c:val>
            <c:numRef>
              <c:f>'New quarts'!$BW$110:$CC$110</c:f>
            </c:numRef>
          </c:val>
          <c:smooth val="0"/>
          <c:extLst>
            <c:ext xmlns:c15="http://schemas.microsoft.com/office/drawing/2012/chart" uri="{02D57815-91ED-43cb-92C2-25804820EDAC}">
              <c15:filteredCategoryTitle>
                <c15:cat>
                  <c:multiLvlStrRef>
                    <c:extLst>
                      <c:ext uri="{02D57815-91ED-43cb-92C2-25804820EDAC}">
                        <c15:formulaRef>
                          <c15:sqref>'New quarts'!$BW$109:$CC$109</c15:sqref>
                        </c15:formulaRef>
                      </c:ext>
                    </c:extLst>
                  </c:multiLvlStrRef>
                </c15:cat>
              </c15:filteredCategoryTitle>
            </c:ext>
            <c:ext xmlns:c16="http://schemas.microsoft.com/office/drawing/2014/chart" uri="{C3380CC4-5D6E-409C-BE32-E72D297353CC}">
              <c16:uniqueId val="{00000000-3EAE-4C54-8D0F-8C2399DA161E}"/>
            </c:ext>
          </c:extLst>
        </c:ser>
        <c:ser>
          <c:idx val="1"/>
          <c:order val="1"/>
          <c:tx>
            <c:strRef>
              <c:f>'New quarts'!$B$111</c:f>
              <c:strCache>
                <c:ptCount val="1"/>
                <c:pt idx="0">
                  <c:v>BB</c:v>
                </c:pt>
              </c:strCache>
            </c:strRef>
          </c:tx>
          <c:spPr>
            <a:ln w="25400" cap="rnd">
              <a:solidFill>
                <a:srgbClr val="99CCFF"/>
              </a:solidFill>
              <a:prstDash val="solid"/>
              <a:round/>
            </a:ln>
            <a:effectLst/>
          </c:spPr>
          <c:marker>
            <c:symbol val="none"/>
          </c:marker>
          <c:val>
            <c:numRef>
              <c:f>'New quarts'!$BW$111:$CC$111</c:f>
            </c:numRef>
          </c:val>
          <c:smooth val="0"/>
          <c:extLst>
            <c:ext xmlns:c15="http://schemas.microsoft.com/office/drawing/2012/chart" uri="{02D57815-91ED-43cb-92C2-25804820EDAC}">
              <c15:filteredCategoryTitle>
                <c15:cat>
                  <c:multiLvlStrRef>
                    <c:extLst>
                      <c:ext uri="{02D57815-91ED-43cb-92C2-25804820EDAC}">
                        <c15:formulaRef>
                          <c15:sqref>'New quarts'!$BW$109:$CC$109</c15:sqref>
                        </c15:formulaRef>
                      </c:ext>
                    </c:extLst>
                  </c:multiLvlStrRef>
                </c15:cat>
              </c15:filteredCategoryTitle>
            </c:ext>
            <c:ext xmlns:c16="http://schemas.microsoft.com/office/drawing/2014/chart" uri="{C3380CC4-5D6E-409C-BE32-E72D297353CC}">
              <c16:uniqueId val="{00000001-3EAE-4C54-8D0F-8C2399DA161E}"/>
            </c:ext>
          </c:extLst>
        </c:ser>
        <c:ser>
          <c:idx val="2"/>
          <c:order val="2"/>
          <c:tx>
            <c:strRef>
              <c:f>'New quarts'!$B$112</c:f>
              <c:strCache>
                <c:ptCount val="1"/>
                <c:pt idx="0">
                  <c:v>Voice</c:v>
                </c:pt>
              </c:strCache>
            </c:strRef>
          </c:tx>
          <c:spPr>
            <a:ln w="25400" cap="rnd">
              <a:solidFill>
                <a:srgbClr val="333399"/>
              </a:solidFill>
              <a:prstDash val="lgDash"/>
              <a:round/>
            </a:ln>
            <a:effectLst/>
          </c:spPr>
          <c:marker>
            <c:symbol val="none"/>
          </c:marker>
          <c:val>
            <c:numRef>
              <c:f>'New quarts'!$BW$112:$CC$112</c:f>
            </c:numRef>
          </c:val>
          <c:smooth val="0"/>
          <c:extLst>
            <c:ext xmlns:c15="http://schemas.microsoft.com/office/drawing/2012/chart" uri="{02D57815-91ED-43cb-92C2-25804820EDAC}">
              <c15:filteredCategoryTitle>
                <c15:cat>
                  <c:multiLvlStrRef>
                    <c:extLst>
                      <c:ext uri="{02D57815-91ED-43cb-92C2-25804820EDAC}">
                        <c15:formulaRef>
                          <c15:sqref>'New quarts'!$BW$109:$CC$109</c15:sqref>
                        </c15:formulaRef>
                      </c:ext>
                    </c:extLst>
                  </c:multiLvlStrRef>
                </c15:cat>
              </c15:filteredCategoryTitle>
            </c:ext>
            <c:ext xmlns:c16="http://schemas.microsoft.com/office/drawing/2014/chart" uri="{C3380CC4-5D6E-409C-BE32-E72D297353CC}">
              <c16:uniqueId val="{00000002-3EAE-4C54-8D0F-8C2399DA161E}"/>
            </c:ext>
          </c:extLst>
        </c:ser>
        <c:ser>
          <c:idx val="3"/>
          <c:order val="3"/>
          <c:tx>
            <c:v>Group</c:v>
          </c:tx>
          <c:spPr>
            <a:ln w="25400" cap="rnd">
              <a:solidFill>
                <a:srgbClr val="FF0000"/>
              </a:solidFill>
              <a:prstDash val="solid"/>
              <a:round/>
            </a:ln>
            <a:effectLst/>
          </c:spPr>
          <c:marker>
            <c:symbol val="none"/>
          </c:marker>
          <c:val>
            <c:numRef>
              <c:f>'New quarts'!$BW$116:$CC$116</c:f>
            </c:numRef>
          </c:val>
          <c:smooth val="0"/>
          <c:extLst>
            <c:ext xmlns:c15="http://schemas.microsoft.com/office/drawing/2012/chart" uri="{02D57815-91ED-43cb-92C2-25804820EDAC}">
              <c15:filteredCategoryTitle>
                <c15:cat>
                  <c:multiLvlStrRef>
                    <c:extLst>
                      <c:ext uri="{02D57815-91ED-43cb-92C2-25804820EDAC}">
                        <c15:formulaRef>
                          <c15:sqref>'New quarts'!$BW$109:$CC$109</c15:sqref>
                        </c15:formulaRef>
                      </c:ext>
                    </c:extLst>
                  </c:multiLvlStrRef>
                </c15:cat>
              </c15:filteredCategoryTitle>
            </c:ext>
            <c:ext xmlns:c16="http://schemas.microsoft.com/office/drawing/2014/chart" uri="{C3380CC4-5D6E-409C-BE32-E72D297353CC}">
              <c16:uniqueId val="{00000003-3EAE-4C54-8D0F-8C2399DA161E}"/>
            </c:ext>
          </c:extLst>
        </c:ser>
        <c:ser>
          <c:idx val="4"/>
          <c:order val="4"/>
          <c:tx>
            <c:v>EBITDA</c:v>
          </c:tx>
          <c:spPr>
            <a:ln w="28575" cap="rnd">
              <a:solidFill>
                <a:srgbClr val="FF0000"/>
              </a:solidFill>
              <a:prstDash val="sysDash"/>
              <a:round/>
            </a:ln>
            <a:effectLst/>
          </c:spPr>
          <c:marker>
            <c:symbol val="none"/>
          </c:marker>
          <c:val>
            <c:numRef>
              <c:f>'New quarts'!$BW$120:$CC$120</c:f>
            </c:numRef>
          </c:val>
          <c:smooth val="0"/>
          <c:extLst>
            <c:ext xmlns:c15="http://schemas.microsoft.com/office/drawing/2012/chart" uri="{02D57815-91ED-43cb-92C2-25804820EDAC}">
              <c15:filteredCategoryTitle>
                <c15:cat>
                  <c:multiLvlStrRef>
                    <c:extLst>
                      <c:ext uri="{02D57815-91ED-43cb-92C2-25804820EDAC}">
                        <c15:formulaRef>
                          <c15:sqref>'New quarts'!$BW$109:$CC$109</c15:sqref>
                        </c15:formulaRef>
                      </c:ext>
                    </c:extLst>
                  </c:multiLvlStrRef>
                </c15:cat>
              </c15:filteredCategoryTitle>
            </c:ext>
            <c:ext xmlns:c16="http://schemas.microsoft.com/office/drawing/2014/chart" uri="{C3380CC4-5D6E-409C-BE32-E72D297353CC}">
              <c16:uniqueId val="{00000004-3EAE-4C54-8D0F-8C2399DA161E}"/>
            </c:ext>
          </c:extLst>
        </c:ser>
        <c:dLbls>
          <c:showLegendKey val="0"/>
          <c:showVal val="0"/>
          <c:showCatName val="0"/>
          <c:showSerName val="0"/>
          <c:showPercent val="0"/>
          <c:showBubbleSize val="0"/>
        </c:dLbls>
        <c:marker val="1"/>
        <c:smooth val="0"/>
        <c:axId val="935296792"/>
        <c:axId val="935299088"/>
      </c:lineChart>
      <c:catAx>
        <c:axId val="93529679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5299088"/>
        <c:crosses val="autoZero"/>
        <c:auto val="1"/>
        <c:lblAlgn val="ctr"/>
        <c:lblOffset val="100"/>
        <c:noMultiLvlLbl val="0"/>
      </c:catAx>
      <c:valAx>
        <c:axId val="93529908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529679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4"/>
            <c:invertIfNegative val="0"/>
            <c:bubble3D val="0"/>
            <c:extLst>
              <c:ext xmlns:c16="http://schemas.microsoft.com/office/drawing/2014/chart" uri="{C3380CC4-5D6E-409C-BE32-E72D297353CC}">
                <c16:uniqueId val="{00000001-FAE0-4963-83BD-B742F0A6672F}"/>
              </c:ext>
            </c:extLst>
          </c:dPt>
          <c:dPt>
            <c:idx val="7"/>
            <c:invertIfNegative val="0"/>
            <c:bubble3D val="0"/>
            <c:extLst>
              <c:ext xmlns:c16="http://schemas.microsoft.com/office/drawing/2014/chart" uri="{C3380CC4-5D6E-409C-BE32-E72D297353CC}">
                <c16:uniqueId val="{00000002-FAE0-4963-83BD-B742F0A6672F}"/>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'New quarts'!$AV$149:$AV$157</c:f>
            </c:multiLvlStrRef>
          </c:cat>
          <c:val>
            <c:numRef>
              <c:f>'New quarts'!$BJ$149:$BJ$157</c:f>
            </c:numRef>
          </c:val>
          <c:extLst>
            <c:ext xmlns:c16="http://schemas.microsoft.com/office/drawing/2014/chart" uri="{C3380CC4-5D6E-409C-BE32-E72D297353CC}">
              <c16:uniqueId val="{00000000-D69F-4DC4-A871-5DFC72F88A9D}"/>
            </c:ext>
          </c:extLst>
        </c:ser>
        <c:dLbls>
          <c:showLegendKey val="0"/>
          <c:showVal val="0"/>
          <c:showCatName val="0"/>
          <c:showSerName val="0"/>
          <c:showPercent val="0"/>
          <c:showBubbleSize val="0"/>
        </c:dLbls>
        <c:gapWidth val="219"/>
        <c:overlap val="-27"/>
        <c:axId val="697825320"/>
        <c:axId val="780912672"/>
      </c:barChart>
      <c:catAx>
        <c:axId val="6978253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80912672"/>
        <c:crosses val="autoZero"/>
        <c:auto val="1"/>
        <c:lblAlgn val="ctr"/>
        <c:lblOffset val="100"/>
        <c:noMultiLvlLbl val="0"/>
      </c:catAx>
      <c:valAx>
        <c:axId val="780912672"/>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9782532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000080"/>
            </a:solidFill>
            <a:ln w="25400">
              <a:noFill/>
            </a:ln>
            <a:effectLst/>
          </c:spPr>
          <c:invertIfNegative val="0"/>
          <c:cat>
            <c:multiLvlStrRef>
              <c:f>'New quarts'!$BL$149:$BL$156</c:f>
            </c:multiLvlStrRef>
          </c:cat>
          <c:val>
            <c:numRef>
              <c:f>'New quarts'!$BM$149:$BM$156</c:f>
            </c:numRef>
          </c:val>
          <c:extLst>
            <c:ext xmlns:c16="http://schemas.microsoft.com/office/drawing/2014/chart" uri="{C3380CC4-5D6E-409C-BE32-E72D297353CC}">
              <c16:uniqueId val="{00000000-F78A-440D-85D0-002D83D9C207}"/>
            </c:ext>
          </c:extLst>
        </c:ser>
        <c:ser>
          <c:idx val="1"/>
          <c:order val="1"/>
          <c:spPr>
            <a:solidFill>
              <a:srgbClr val="9999FF"/>
            </a:solidFill>
            <a:ln w="25400">
              <a:noFill/>
            </a:ln>
            <a:effectLst/>
          </c:spPr>
          <c:invertIfNegative val="0"/>
          <c:cat>
            <c:multiLvlStrRef>
              <c:f>'New quarts'!$BL$149:$BL$156</c:f>
            </c:multiLvlStrRef>
          </c:cat>
          <c:val>
            <c:numRef>
              <c:f>'New quarts'!$BN$149:$BN$156</c:f>
            </c:numRef>
          </c:val>
          <c:extLst>
            <c:ext xmlns:c16="http://schemas.microsoft.com/office/drawing/2014/chart" uri="{C3380CC4-5D6E-409C-BE32-E72D297353CC}">
              <c16:uniqueId val="{00000001-F78A-440D-85D0-002D83D9C207}"/>
            </c:ext>
          </c:extLst>
        </c:ser>
        <c:ser>
          <c:idx val="2"/>
          <c:order val="2"/>
          <c:spPr>
            <a:solidFill>
              <a:srgbClr val="3366FF"/>
            </a:solidFill>
            <a:ln w="25400">
              <a:noFill/>
            </a:ln>
            <a:effectLst/>
          </c:spPr>
          <c:invertIfNegative val="0"/>
          <c:cat>
            <c:multiLvlStrRef>
              <c:f>'New quarts'!$BL$149:$BL$156</c:f>
            </c:multiLvlStrRef>
          </c:cat>
          <c:val>
            <c:numRef>
              <c:f>'New quarts'!$BO$149:$BO$156</c:f>
            </c:numRef>
          </c:val>
          <c:extLst>
            <c:ext xmlns:c16="http://schemas.microsoft.com/office/drawing/2014/chart" uri="{C3380CC4-5D6E-409C-BE32-E72D297353CC}">
              <c16:uniqueId val="{00000002-F78A-440D-85D0-002D83D9C207}"/>
            </c:ext>
          </c:extLst>
        </c:ser>
        <c:ser>
          <c:idx val="3"/>
          <c:order val="3"/>
          <c:spPr>
            <a:solidFill>
              <a:srgbClr val="CCCCFF"/>
            </a:solidFill>
            <a:ln w="25400">
              <a:noFill/>
            </a:ln>
            <a:effectLst/>
          </c:spPr>
          <c:invertIfNegative val="0"/>
          <c:dPt>
            <c:idx val="4"/>
            <c:invertIfNegative val="0"/>
            <c:bubble3D val="0"/>
            <c:spPr>
              <a:solidFill>
                <a:srgbClr val="FF0000"/>
              </a:solidFill>
              <a:ln w="25400">
                <a:noFill/>
              </a:ln>
              <a:effectLst/>
            </c:spPr>
            <c:extLst>
              <c:ext xmlns:c16="http://schemas.microsoft.com/office/drawing/2014/chart" uri="{C3380CC4-5D6E-409C-BE32-E72D297353CC}">
                <c16:uniqueId val="{00000007-F78A-440D-85D0-002D83D9C207}"/>
              </c:ext>
            </c:extLst>
          </c:dPt>
          <c:dPt>
            <c:idx val="6"/>
            <c:invertIfNegative val="0"/>
            <c:bubble3D val="0"/>
            <c:spPr>
              <a:solidFill>
                <a:srgbClr val="FF0000"/>
              </a:solidFill>
              <a:ln w="25400">
                <a:noFill/>
              </a:ln>
              <a:effectLst/>
            </c:spPr>
            <c:extLst>
              <c:ext xmlns:c16="http://schemas.microsoft.com/office/drawing/2014/chart" uri="{C3380CC4-5D6E-409C-BE32-E72D297353CC}">
                <c16:uniqueId val="{00000008-F78A-440D-85D0-002D83D9C207}"/>
              </c:ext>
            </c:extLst>
          </c:dPt>
          <c:cat>
            <c:multiLvlStrRef>
              <c:f>'New quarts'!$BL$149:$BL$156</c:f>
            </c:multiLvlStrRef>
          </c:cat>
          <c:val>
            <c:numRef>
              <c:f>'New quarts'!$BP$149:$BP$156</c:f>
            </c:numRef>
          </c:val>
          <c:extLst>
            <c:ext xmlns:c16="http://schemas.microsoft.com/office/drawing/2014/chart" uri="{C3380CC4-5D6E-409C-BE32-E72D297353CC}">
              <c16:uniqueId val="{00000004-F78A-440D-85D0-002D83D9C207}"/>
            </c:ext>
          </c:extLst>
        </c:ser>
        <c:dLbls>
          <c:showLegendKey val="0"/>
          <c:showVal val="0"/>
          <c:showCatName val="0"/>
          <c:showSerName val="0"/>
          <c:showPercent val="0"/>
          <c:showBubbleSize val="0"/>
        </c:dLbls>
        <c:gapWidth val="150"/>
        <c:overlap val="100"/>
        <c:axId val="770857992"/>
        <c:axId val="770858976"/>
      </c:barChart>
      <c:catAx>
        <c:axId val="77085799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0858976"/>
        <c:crosses val="autoZero"/>
        <c:auto val="1"/>
        <c:lblAlgn val="ctr"/>
        <c:lblOffset val="100"/>
        <c:noMultiLvlLbl val="0"/>
      </c:catAx>
      <c:valAx>
        <c:axId val="770858976"/>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08579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'New quarts'!$B$1067</c:f>
              <c:strCache>
                <c:ptCount val="1"/>
                <c:pt idx="0">
                  <c:v>Total res fixed</c:v>
                </c:pt>
              </c:strCache>
            </c:strRef>
          </c:tx>
          <c:spPr>
            <a:solidFill>
              <a:srgbClr val="000080"/>
            </a:solidFill>
            <a:ln w="25400">
              <a:noFill/>
            </a:ln>
            <a:effectLst/>
          </c:spPr>
          <c:invertIfNegative val="0"/>
          <c:cat>
            <c:multiLvlStrRef>
              <c:f>'New quarts'!$H$1066:$L$1066</c:f>
            </c:multiLvlStrRef>
          </c:cat>
          <c:val>
            <c:numRef>
              <c:f>'New quarts'!$H$1067:$L$1067</c:f>
            </c:numRef>
          </c:val>
          <c:extLst>
            <c:ext xmlns:c16="http://schemas.microsoft.com/office/drawing/2014/chart" uri="{C3380CC4-5D6E-409C-BE32-E72D297353CC}">
              <c16:uniqueId val="{00000000-3B5C-4316-B1A1-E548314AF9BF}"/>
            </c:ext>
          </c:extLst>
        </c:ser>
        <c:ser>
          <c:idx val="1"/>
          <c:order val="1"/>
          <c:tx>
            <c:strRef>
              <c:f>'New quarts'!$B$1068</c:f>
              <c:strCache>
                <c:ptCount val="1"/>
                <c:pt idx="0">
                  <c:v>Total mobile</c:v>
                </c:pt>
              </c:strCache>
            </c:strRef>
          </c:tx>
          <c:spPr>
            <a:solidFill>
              <a:srgbClr val="9999FF"/>
            </a:solidFill>
            <a:ln w="25400">
              <a:noFill/>
            </a:ln>
            <a:effectLst/>
          </c:spPr>
          <c:invertIfNegative val="0"/>
          <c:cat>
            <c:multiLvlStrRef>
              <c:f>'New quarts'!$H$1066:$L$1066</c:f>
            </c:multiLvlStrRef>
          </c:cat>
          <c:val>
            <c:numRef>
              <c:f>'New quarts'!$H$1068:$L$1068</c:f>
            </c:numRef>
          </c:val>
          <c:extLst>
            <c:ext xmlns:c16="http://schemas.microsoft.com/office/drawing/2014/chart" uri="{C3380CC4-5D6E-409C-BE32-E72D297353CC}">
              <c16:uniqueId val="{00000001-3B5C-4316-B1A1-E548314AF9BF}"/>
            </c:ext>
          </c:extLst>
        </c:ser>
        <c:ser>
          <c:idx val="2"/>
          <c:order val="2"/>
          <c:tx>
            <c:strRef>
              <c:f>'New quarts'!$B$1069</c:f>
              <c:strCache>
                <c:ptCount val="1"/>
                <c:pt idx="0">
                  <c:v>Total B2B</c:v>
                </c:pt>
              </c:strCache>
            </c:strRef>
          </c:tx>
          <c:spPr>
            <a:solidFill>
              <a:srgbClr val="3366FF"/>
            </a:solidFill>
            <a:ln w="25400">
              <a:noFill/>
            </a:ln>
            <a:effectLst/>
          </c:spPr>
          <c:invertIfNegative val="0"/>
          <c:cat>
            <c:multiLvlStrRef>
              <c:f>'New quarts'!$H$1066:$L$1066</c:f>
            </c:multiLvlStrRef>
          </c:cat>
          <c:val>
            <c:numRef>
              <c:f>'New quarts'!$H$1069:$L$1069</c:f>
            </c:numRef>
          </c:val>
          <c:extLst>
            <c:ext xmlns:c16="http://schemas.microsoft.com/office/drawing/2014/chart" uri="{C3380CC4-5D6E-409C-BE32-E72D297353CC}">
              <c16:uniqueId val="{00000002-3B5C-4316-B1A1-E548314AF9BF}"/>
            </c:ext>
          </c:extLst>
        </c:ser>
        <c:ser>
          <c:idx val="3"/>
          <c:order val="3"/>
          <c:tx>
            <c:strRef>
              <c:f>'New quarts'!$B$1070</c:f>
              <c:strCache>
                <c:ptCount val="1"/>
                <c:pt idx="0">
                  <c:v>Total CWC</c:v>
                </c:pt>
              </c:strCache>
            </c:strRef>
          </c:tx>
          <c:spPr>
            <a:solidFill>
              <a:srgbClr val="CCCCFF"/>
            </a:solidFill>
            <a:ln w="25400">
              <a:noFill/>
            </a:ln>
            <a:effectLst/>
          </c:spPr>
          <c:invertIfNegative val="0"/>
          <c:cat>
            <c:multiLvlStrRef>
              <c:f>'New quarts'!$H$1066:$L$1066</c:f>
            </c:multiLvlStrRef>
          </c:cat>
          <c:val>
            <c:numRef>
              <c:f>'New quarts'!$H$1070:$L$1070</c:f>
            </c:numRef>
          </c:val>
          <c:extLst>
            <c:ext xmlns:c16="http://schemas.microsoft.com/office/drawing/2014/chart" uri="{C3380CC4-5D6E-409C-BE32-E72D297353CC}">
              <c16:uniqueId val="{00000003-3B5C-4316-B1A1-E548314AF9BF}"/>
            </c:ext>
          </c:extLst>
        </c:ser>
        <c:dLbls>
          <c:showLegendKey val="0"/>
          <c:showVal val="0"/>
          <c:showCatName val="0"/>
          <c:showSerName val="0"/>
          <c:showPercent val="0"/>
          <c:showBubbleSize val="0"/>
        </c:dLbls>
        <c:gapWidth val="219"/>
        <c:overlap val="-27"/>
        <c:axId val="915483984"/>
        <c:axId val="915484312"/>
      </c:barChart>
      <c:catAx>
        <c:axId val="915483984"/>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panose="020B0603020202020204" pitchFamily="34" charset="0"/>
                <a:ea typeface="Trebuchet MS"/>
                <a:cs typeface="Trebuchet MS"/>
              </a:defRPr>
            </a:pPr>
            <a:endParaRPr lang="en-US"/>
          </a:p>
        </c:txPr>
        <c:crossAx val="915484312"/>
        <c:crosses val="autoZero"/>
        <c:auto val="1"/>
        <c:lblAlgn val="ctr"/>
        <c:lblOffset val="100"/>
        <c:noMultiLvlLbl val="0"/>
      </c:catAx>
      <c:valAx>
        <c:axId val="915484312"/>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panose="020B0603020202020204" pitchFamily="34" charset="0"/>
                    <a:ea typeface="Trebuchet MS"/>
                    <a:cs typeface="Trebuchet MS"/>
                  </a:defRPr>
                </a:pPr>
                <a:r>
                  <a:rPr lang="en-GB"/>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panose="020B0603020202020204" pitchFamily="34" charset="0"/>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panose="020B0603020202020204" pitchFamily="34" charset="0"/>
                <a:ea typeface="Trebuchet MS"/>
                <a:cs typeface="Trebuchet MS"/>
              </a:defRPr>
            </a:pPr>
            <a:endParaRPr lang="en-US"/>
          </a:p>
        </c:txPr>
        <c:crossAx val="91548398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panose="020B0603020202020204" pitchFamily="34" charset="0"/>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panose="020B0603020202020204" pitchFamily="34" charset="0"/>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Snaps!$B$115</c:f>
              <c:strCache>
                <c:ptCount val="1"/>
                <c:pt idx="0">
                  <c:v>Group</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Snaps!$K$103:$P$103</c:f>
              <c:strCache>
                <c:ptCount val="6"/>
                <c:pt idx="0">
                  <c:v>Q1 21</c:v>
                </c:pt>
                <c:pt idx="1">
                  <c:v>Q2 21</c:v>
                </c:pt>
                <c:pt idx="2">
                  <c:v>Q3 21</c:v>
                </c:pt>
                <c:pt idx="3">
                  <c:v>Q4 21</c:v>
                </c:pt>
                <c:pt idx="4">
                  <c:v>Q1 22</c:v>
                </c:pt>
                <c:pt idx="5">
                  <c:v>Q2 22</c:v>
                </c:pt>
              </c:strCache>
            </c:strRef>
          </c:cat>
          <c:val>
            <c:numRef>
              <c:f>Snaps!$K$115:$P$115</c:f>
              <c:numCache>
                <c:formatCode>0.0%</c:formatCode>
                <c:ptCount val="6"/>
                <c:pt idx="0">
                  <c:v>0</c:v>
                </c:pt>
                <c:pt idx="1">
                  <c:v>0.08</c:v>
                </c:pt>
                <c:pt idx="2">
                  <c:v>0.03</c:v>
                </c:pt>
                <c:pt idx="3">
                  <c:v>0.06</c:v>
                </c:pt>
                <c:pt idx="4">
                  <c:v>0.01</c:v>
                </c:pt>
                <c:pt idx="5">
                  <c:v>0.01</c:v>
                </c:pt>
              </c:numCache>
            </c:numRef>
          </c:val>
          <c:smooth val="0"/>
          <c:extLst>
            <c:ext xmlns:c16="http://schemas.microsoft.com/office/drawing/2014/chart" uri="{C3380CC4-5D6E-409C-BE32-E72D297353CC}">
              <c16:uniqueId val="{00000000-C9A1-4DDA-AB07-143C9CED8312}"/>
            </c:ext>
          </c:extLst>
        </c:ser>
        <c:ser>
          <c:idx val="1"/>
          <c:order val="1"/>
          <c:tx>
            <c:strRef>
              <c:f>Snaps!$B$117</c:f>
              <c:strCache>
                <c:ptCount val="1"/>
                <c:pt idx="0">
                  <c:v>ex-Chile</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Snaps!$K$103:$P$103</c:f>
              <c:strCache>
                <c:ptCount val="6"/>
                <c:pt idx="0">
                  <c:v>Q1 21</c:v>
                </c:pt>
                <c:pt idx="1">
                  <c:v>Q2 21</c:v>
                </c:pt>
                <c:pt idx="2">
                  <c:v>Q3 21</c:v>
                </c:pt>
                <c:pt idx="3">
                  <c:v>Q4 21</c:v>
                </c:pt>
                <c:pt idx="4">
                  <c:v>Q1 22</c:v>
                </c:pt>
                <c:pt idx="5">
                  <c:v>Q2 22</c:v>
                </c:pt>
              </c:strCache>
            </c:strRef>
          </c:cat>
          <c:val>
            <c:numRef>
              <c:f>Snaps!$K$117:$P$117</c:f>
              <c:numCache>
                <c:formatCode>0.0%</c:formatCode>
                <c:ptCount val="6"/>
                <c:pt idx="0">
                  <c:v>2.0023500238059249E-2</c:v>
                </c:pt>
                <c:pt idx="1">
                  <c:v>9.4304656599795589E-2</c:v>
                </c:pt>
                <c:pt idx="2">
                  <c:v>4.2372831115486814E-2</c:v>
                </c:pt>
                <c:pt idx="3">
                  <c:v>7.4594491517483638E-2</c:v>
                </c:pt>
                <c:pt idx="4">
                  <c:v>2.5110820877683682E-2</c:v>
                </c:pt>
                <c:pt idx="5">
                  <c:v>3.3613405875746745E-2</c:v>
                </c:pt>
              </c:numCache>
            </c:numRef>
          </c:val>
          <c:smooth val="0"/>
          <c:extLst>
            <c:ext xmlns:c16="http://schemas.microsoft.com/office/drawing/2014/chart" uri="{C3380CC4-5D6E-409C-BE32-E72D297353CC}">
              <c16:uniqueId val="{00000001-C9A1-4DDA-AB07-143C9CED8312}"/>
            </c:ext>
          </c:extLst>
        </c:ser>
        <c:dLbls>
          <c:showLegendKey val="0"/>
          <c:showVal val="0"/>
          <c:showCatName val="0"/>
          <c:showSerName val="0"/>
          <c:showPercent val="0"/>
          <c:showBubbleSize val="0"/>
        </c:dLbls>
        <c:smooth val="0"/>
        <c:axId val="1754894688"/>
        <c:axId val="1754901760"/>
      </c:lineChart>
      <c:catAx>
        <c:axId val="175489468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754901760"/>
        <c:crosses val="autoZero"/>
        <c:auto val="1"/>
        <c:lblAlgn val="ctr"/>
        <c:lblOffset val="100"/>
        <c:noMultiLvlLbl val="0"/>
      </c:catAx>
      <c:valAx>
        <c:axId val="1754901760"/>
        <c:scaling>
          <c:orientation val="minMax"/>
        </c:scaling>
        <c:delete val="1"/>
        <c:axPos val="l"/>
        <c:numFmt formatCode="0.0%" sourceLinked="1"/>
        <c:majorTickMark val="out"/>
        <c:minorTickMark val="none"/>
        <c:tickLblPos val="nextTo"/>
        <c:crossAx val="17548946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Snaps!$B$139</c:f>
              <c:strCache>
                <c:ptCount val="1"/>
                <c:pt idx="0">
                  <c:v>Group</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Snaps!$K$103:$P$103</c:f>
              <c:strCache>
                <c:ptCount val="6"/>
                <c:pt idx="0">
                  <c:v>Q1 21</c:v>
                </c:pt>
                <c:pt idx="1">
                  <c:v>Q2 21</c:v>
                </c:pt>
                <c:pt idx="2">
                  <c:v>Q3 21</c:v>
                </c:pt>
                <c:pt idx="3">
                  <c:v>Q4 21</c:v>
                </c:pt>
                <c:pt idx="4">
                  <c:v>Q1 22</c:v>
                </c:pt>
                <c:pt idx="5">
                  <c:v>Q2 22</c:v>
                </c:pt>
              </c:strCache>
            </c:strRef>
          </c:cat>
          <c:val>
            <c:numRef>
              <c:f>Snaps!$K$139:$P$139</c:f>
              <c:numCache>
                <c:formatCode>0.0%</c:formatCode>
                <c:ptCount val="6"/>
                <c:pt idx="0">
                  <c:v>0.1</c:v>
                </c:pt>
                <c:pt idx="1">
                  <c:v>0.1</c:v>
                </c:pt>
                <c:pt idx="2">
                  <c:v>0</c:v>
                </c:pt>
                <c:pt idx="3">
                  <c:v>0.03</c:v>
                </c:pt>
                <c:pt idx="4">
                  <c:v>-0.02</c:v>
                </c:pt>
                <c:pt idx="5">
                  <c:v>-0.02</c:v>
                </c:pt>
              </c:numCache>
            </c:numRef>
          </c:val>
          <c:smooth val="0"/>
          <c:extLst>
            <c:ext xmlns:c16="http://schemas.microsoft.com/office/drawing/2014/chart" uri="{C3380CC4-5D6E-409C-BE32-E72D297353CC}">
              <c16:uniqueId val="{00000000-1BCD-495C-BB3B-653389630004}"/>
            </c:ext>
          </c:extLst>
        </c:ser>
        <c:ser>
          <c:idx val="1"/>
          <c:order val="1"/>
          <c:tx>
            <c:strRef>
              <c:f>Snaps!$B$142</c:f>
              <c:strCache>
                <c:ptCount val="1"/>
                <c:pt idx="0">
                  <c:v>ex-Chile</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Snaps!$K$103:$P$103</c:f>
              <c:strCache>
                <c:ptCount val="6"/>
                <c:pt idx="0">
                  <c:v>Q1 21</c:v>
                </c:pt>
                <c:pt idx="1">
                  <c:v>Q2 21</c:v>
                </c:pt>
                <c:pt idx="2">
                  <c:v>Q3 21</c:v>
                </c:pt>
                <c:pt idx="3">
                  <c:v>Q4 21</c:v>
                </c:pt>
                <c:pt idx="4">
                  <c:v>Q1 22</c:v>
                </c:pt>
                <c:pt idx="5">
                  <c:v>Q2 22</c:v>
                </c:pt>
              </c:strCache>
            </c:strRef>
          </c:cat>
          <c:val>
            <c:numRef>
              <c:f>Snaps!$K$142:$P$142</c:f>
              <c:numCache>
                <c:formatCode>0.0%</c:formatCode>
                <c:ptCount val="6"/>
                <c:pt idx="0">
                  <c:v>0.15008962558406516</c:v>
                </c:pt>
                <c:pt idx="1">
                  <c:v>0.14527363822265218</c:v>
                </c:pt>
                <c:pt idx="2">
                  <c:v>4.0909509079366385E-2</c:v>
                </c:pt>
                <c:pt idx="3">
                  <c:v>6.1276094544956763E-2</c:v>
                </c:pt>
                <c:pt idx="4">
                  <c:v>2.9147358057397026E-2</c:v>
                </c:pt>
                <c:pt idx="5">
                  <c:v>2.436026764807309E-2</c:v>
                </c:pt>
              </c:numCache>
            </c:numRef>
          </c:val>
          <c:smooth val="0"/>
          <c:extLst>
            <c:ext xmlns:c16="http://schemas.microsoft.com/office/drawing/2014/chart" uri="{C3380CC4-5D6E-409C-BE32-E72D297353CC}">
              <c16:uniqueId val="{00000001-1BCD-495C-BB3B-653389630004}"/>
            </c:ext>
          </c:extLst>
        </c:ser>
        <c:dLbls>
          <c:showLegendKey val="0"/>
          <c:showVal val="0"/>
          <c:showCatName val="0"/>
          <c:showSerName val="0"/>
          <c:showPercent val="0"/>
          <c:showBubbleSize val="0"/>
        </c:dLbls>
        <c:smooth val="0"/>
        <c:axId val="1754894688"/>
        <c:axId val="1754901760"/>
      </c:lineChart>
      <c:catAx>
        <c:axId val="1754894688"/>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754901760"/>
        <c:crosses val="autoZero"/>
        <c:auto val="1"/>
        <c:lblAlgn val="ctr"/>
        <c:lblOffset val="100"/>
        <c:noMultiLvlLbl val="0"/>
      </c:catAx>
      <c:valAx>
        <c:axId val="1754901760"/>
        <c:scaling>
          <c:orientation val="minMax"/>
        </c:scaling>
        <c:delete val="1"/>
        <c:axPos val="l"/>
        <c:numFmt formatCode="0.0%" sourceLinked="1"/>
        <c:majorTickMark val="out"/>
        <c:minorTickMark val="none"/>
        <c:tickLblPos val="nextTo"/>
        <c:crossAx val="17548946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Snaps!$H$185:$N$185</c:f>
              <c:strCache>
                <c:ptCount val="7"/>
                <c:pt idx="0">
                  <c:v>Q1 21</c:v>
                </c:pt>
                <c:pt idx="1">
                  <c:v>Q2 21</c:v>
                </c:pt>
                <c:pt idx="2">
                  <c:v>Q3 21</c:v>
                </c:pt>
                <c:pt idx="3">
                  <c:v>Q4 21</c:v>
                </c:pt>
                <c:pt idx="4">
                  <c:v>Q1 22</c:v>
                </c:pt>
                <c:pt idx="5">
                  <c:v>Q2 22</c:v>
                </c:pt>
                <c:pt idx="6">
                  <c:v>Q3 22</c:v>
                </c:pt>
              </c:strCache>
            </c:strRef>
          </c:cat>
          <c:val>
            <c:numRef>
              <c:f>Snaps!$H$188:$N$188</c:f>
              <c:numCache>
                <c:formatCode>0.0</c:formatCode>
                <c:ptCount val="7"/>
                <c:pt idx="0">
                  <c:v>38.010408000130504</c:v>
                </c:pt>
                <c:pt idx="1">
                  <c:v>40.278727491778184</c:v>
                </c:pt>
                <c:pt idx="2">
                  <c:v>39.66705683443881</c:v>
                </c:pt>
                <c:pt idx="4">
                  <c:v>37.52610441767068</c:v>
                </c:pt>
                <c:pt idx="5">
                  <c:v>37.391526288922918</c:v>
                </c:pt>
                <c:pt idx="6">
                  <c:v>35.119301403824601</c:v>
                </c:pt>
              </c:numCache>
            </c:numRef>
          </c:val>
          <c:extLst>
            <c:ext xmlns:c16="http://schemas.microsoft.com/office/drawing/2014/chart" uri="{C3380CC4-5D6E-409C-BE32-E72D297353CC}">
              <c16:uniqueId val="{00000000-9C32-44E3-8D9F-91835F45ABBD}"/>
            </c:ext>
          </c:extLst>
        </c:ser>
        <c:dLbls>
          <c:showLegendKey val="0"/>
          <c:showVal val="0"/>
          <c:showCatName val="0"/>
          <c:showSerName val="0"/>
          <c:showPercent val="0"/>
          <c:showBubbleSize val="0"/>
        </c:dLbls>
        <c:gapWidth val="30"/>
        <c:overlap val="-27"/>
        <c:axId val="2025370656"/>
        <c:axId val="2025371072"/>
      </c:barChart>
      <c:catAx>
        <c:axId val="202537065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025371072"/>
        <c:crosses val="autoZero"/>
        <c:auto val="1"/>
        <c:lblAlgn val="ctr"/>
        <c:lblOffset val="100"/>
        <c:noMultiLvlLbl val="0"/>
      </c:catAx>
      <c:valAx>
        <c:axId val="2025371072"/>
        <c:scaling>
          <c:orientation val="minMax"/>
        </c:scaling>
        <c:delete val="1"/>
        <c:axPos val="l"/>
        <c:numFmt formatCode="0.0" sourceLinked="1"/>
        <c:majorTickMark val="out"/>
        <c:minorTickMark val="none"/>
        <c:tickLblPos val="nextTo"/>
        <c:crossAx val="20253706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Snaps!$L$185:$N$185</c:f>
              <c:strCache>
                <c:ptCount val="3"/>
                <c:pt idx="0">
                  <c:v>Q1 22</c:v>
                </c:pt>
                <c:pt idx="1">
                  <c:v>Q2 22</c:v>
                </c:pt>
                <c:pt idx="2">
                  <c:v>Q3 22</c:v>
                </c:pt>
              </c:strCache>
            </c:strRef>
          </c:cat>
          <c:val>
            <c:numRef>
              <c:f>Snaps!$L$189:$N$189</c:f>
              <c:numCache>
                <c:formatCode>0%</c:formatCode>
                <c:ptCount val="3"/>
                <c:pt idx="0">
                  <c:v>-1.2741341330989142E-2</c:v>
                </c:pt>
                <c:pt idx="1">
                  <c:v>-7.1680546597322592E-2</c:v>
                </c:pt>
                <c:pt idx="2">
                  <c:v>-0.11464816887210705</c:v>
                </c:pt>
              </c:numCache>
            </c:numRef>
          </c:val>
          <c:smooth val="0"/>
          <c:extLst>
            <c:ext xmlns:c16="http://schemas.microsoft.com/office/drawing/2014/chart" uri="{C3380CC4-5D6E-409C-BE32-E72D297353CC}">
              <c16:uniqueId val="{00000000-75B3-4B15-AE9C-2403892BE6C0}"/>
            </c:ext>
          </c:extLst>
        </c:ser>
        <c:dLbls>
          <c:showLegendKey val="0"/>
          <c:showVal val="0"/>
          <c:showCatName val="0"/>
          <c:showSerName val="0"/>
          <c:showPercent val="0"/>
          <c:showBubbleSize val="0"/>
        </c:dLbls>
        <c:smooth val="0"/>
        <c:axId val="1685441280"/>
        <c:axId val="1685444608"/>
      </c:lineChart>
      <c:catAx>
        <c:axId val="1685441280"/>
        <c:scaling>
          <c:orientation val="minMax"/>
        </c:scaling>
        <c:delete val="0"/>
        <c:axPos val="b"/>
        <c:numFmt formatCode="General" sourceLinked="1"/>
        <c:majorTickMark val="out"/>
        <c:minorTickMark val="none"/>
        <c:tickLblPos val="high"/>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85444608"/>
        <c:crosses val="autoZero"/>
        <c:auto val="1"/>
        <c:lblAlgn val="ctr"/>
        <c:lblOffset val="100"/>
        <c:noMultiLvlLbl val="0"/>
      </c:catAx>
      <c:valAx>
        <c:axId val="1685444608"/>
        <c:scaling>
          <c:orientation val="minMax"/>
        </c:scaling>
        <c:delete val="1"/>
        <c:axPos val="l"/>
        <c:numFmt formatCode="0%" sourceLinked="1"/>
        <c:majorTickMark val="out"/>
        <c:minorTickMark val="none"/>
        <c:tickLblPos val="nextTo"/>
        <c:crossAx val="168544128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Snaps!$C$232:$N$232</c:f>
              <c:strCache>
                <c:ptCount val="12"/>
                <c:pt idx="0">
                  <c:v>Q1 21</c:v>
                </c:pt>
                <c:pt idx="1">
                  <c:v>Q2 21</c:v>
                </c:pt>
                <c:pt idx="2">
                  <c:v>Q3 21</c:v>
                </c:pt>
                <c:pt idx="3">
                  <c:v>Q4 21</c:v>
                </c:pt>
                <c:pt idx="4">
                  <c:v>Q1 22</c:v>
                </c:pt>
                <c:pt idx="5">
                  <c:v>Q2 22</c:v>
                </c:pt>
                <c:pt idx="6">
                  <c:v>Q3 22</c:v>
                </c:pt>
                <c:pt idx="7">
                  <c:v>Q4 22</c:v>
                </c:pt>
                <c:pt idx="8">
                  <c:v>Q1 23</c:v>
                </c:pt>
                <c:pt idx="9">
                  <c:v>#REF!</c:v>
                </c:pt>
                <c:pt idx="10">
                  <c:v>#REF!</c:v>
                </c:pt>
                <c:pt idx="11">
                  <c:v>#REF!</c:v>
                </c:pt>
              </c:strCache>
            </c:strRef>
          </c:cat>
          <c:val>
            <c:numRef>
              <c:f>Snaps!$C$233:$N$233</c:f>
              <c:numCache>
                <c:formatCode>0</c:formatCode>
                <c:ptCount val="12"/>
                <c:pt idx="0">
                  <c:v>116.5</c:v>
                </c:pt>
                <c:pt idx="1">
                  <c:v>123.7</c:v>
                </c:pt>
                <c:pt idx="2">
                  <c:v>122</c:v>
                </c:pt>
                <c:pt idx="3">
                  <c:v>118.60000000000002</c:v>
                </c:pt>
                <c:pt idx="4">
                  <c:v>116.8</c:v>
                </c:pt>
                <c:pt idx="5">
                  <c:v>117.2</c:v>
                </c:pt>
                <c:pt idx="6">
                  <c:v>111.2</c:v>
                </c:pt>
                <c:pt idx="7">
                  <c:v>102.8</c:v>
                </c:pt>
                <c:pt idx="8">
                  <c:v>103.7</c:v>
                </c:pt>
                <c:pt idx="9">
                  <c:v>0</c:v>
                </c:pt>
                <c:pt idx="10">
                  <c:v>0</c:v>
                </c:pt>
                <c:pt idx="11">
                  <c:v>0</c:v>
                </c:pt>
              </c:numCache>
            </c:numRef>
          </c:val>
          <c:extLst>
            <c:ext xmlns:c16="http://schemas.microsoft.com/office/drawing/2014/chart" uri="{C3380CC4-5D6E-409C-BE32-E72D297353CC}">
              <c16:uniqueId val="{00000000-D136-4217-9FA8-08EFACB47364}"/>
            </c:ext>
          </c:extLst>
        </c:ser>
        <c:dLbls>
          <c:showLegendKey val="0"/>
          <c:showVal val="0"/>
          <c:showCatName val="0"/>
          <c:showSerName val="0"/>
          <c:showPercent val="0"/>
          <c:showBubbleSize val="0"/>
        </c:dLbls>
        <c:gapWidth val="30"/>
        <c:overlap val="-27"/>
        <c:axId val="1486654351"/>
        <c:axId val="1486655311"/>
      </c:barChart>
      <c:catAx>
        <c:axId val="148665435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86655311"/>
        <c:crosses val="autoZero"/>
        <c:auto val="1"/>
        <c:lblAlgn val="ctr"/>
        <c:lblOffset val="100"/>
        <c:noMultiLvlLbl val="0"/>
      </c:catAx>
      <c:valAx>
        <c:axId val="1486655311"/>
        <c:scaling>
          <c:orientation val="minMax"/>
        </c:scaling>
        <c:delete val="1"/>
        <c:axPos val="l"/>
        <c:numFmt formatCode="0" sourceLinked="1"/>
        <c:majorTickMark val="out"/>
        <c:minorTickMark val="none"/>
        <c:tickLblPos val="nextTo"/>
        <c:crossAx val="148665435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Snaps!$B$254</c:f>
              <c:strCache>
                <c:ptCount val="1"/>
                <c:pt idx="0">
                  <c:v>Post-paid</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Snaps!$E$253:$L$253</c:f>
              <c:strCache>
                <c:ptCount val="8"/>
                <c:pt idx="0">
                  <c:v>Q2 21</c:v>
                </c:pt>
                <c:pt idx="1">
                  <c:v>Q3 21</c:v>
                </c:pt>
                <c:pt idx="2">
                  <c:v>Q4 21</c:v>
                </c:pt>
                <c:pt idx="3">
                  <c:v>Q1 22</c:v>
                </c:pt>
                <c:pt idx="4">
                  <c:v>Q2 22</c:v>
                </c:pt>
                <c:pt idx="5">
                  <c:v>Q3 22</c:v>
                </c:pt>
                <c:pt idx="6">
                  <c:v>Q4 22</c:v>
                </c:pt>
                <c:pt idx="7">
                  <c:v>Q1 23</c:v>
                </c:pt>
              </c:strCache>
            </c:strRef>
          </c:cat>
          <c:val>
            <c:numRef>
              <c:f>Snaps!$E$254:$L$254</c:f>
              <c:numCache>
                <c:formatCode>0</c:formatCode>
                <c:ptCount val="8"/>
                <c:pt idx="0">
                  <c:v>797.5</c:v>
                </c:pt>
                <c:pt idx="1">
                  <c:v>811.5</c:v>
                </c:pt>
                <c:pt idx="2">
                  <c:v>822.5</c:v>
                </c:pt>
                <c:pt idx="3">
                  <c:v>861.1</c:v>
                </c:pt>
                <c:pt idx="4">
                  <c:v>877.5</c:v>
                </c:pt>
                <c:pt idx="5">
                  <c:v>886.3</c:v>
                </c:pt>
                <c:pt idx="6">
                  <c:v>903.3</c:v>
                </c:pt>
                <c:pt idx="7">
                  <c:v>904.7</c:v>
                </c:pt>
              </c:numCache>
            </c:numRef>
          </c:val>
          <c:extLst>
            <c:ext xmlns:c16="http://schemas.microsoft.com/office/drawing/2014/chart" uri="{C3380CC4-5D6E-409C-BE32-E72D297353CC}">
              <c16:uniqueId val="{00000000-6428-4871-B468-C5FD808E77FA}"/>
            </c:ext>
          </c:extLst>
        </c:ser>
        <c:ser>
          <c:idx val="1"/>
          <c:order val="1"/>
          <c:tx>
            <c:strRef>
              <c:f>Snaps!$B$255</c:f>
              <c:strCache>
                <c:ptCount val="1"/>
                <c:pt idx="0">
                  <c:v>Pre-paid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Snaps!$E$253:$L$253</c:f>
              <c:strCache>
                <c:ptCount val="8"/>
                <c:pt idx="0">
                  <c:v>Q2 21</c:v>
                </c:pt>
                <c:pt idx="1">
                  <c:v>Q3 21</c:v>
                </c:pt>
                <c:pt idx="2">
                  <c:v>Q4 21</c:v>
                </c:pt>
                <c:pt idx="3">
                  <c:v>Q1 22</c:v>
                </c:pt>
                <c:pt idx="4">
                  <c:v>Q2 22</c:v>
                </c:pt>
                <c:pt idx="5">
                  <c:v>Q3 22</c:v>
                </c:pt>
                <c:pt idx="6">
                  <c:v>Q4 22</c:v>
                </c:pt>
                <c:pt idx="7">
                  <c:v>Q1 23</c:v>
                </c:pt>
              </c:strCache>
            </c:strRef>
          </c:cat>
          <c:val>
            <c:numRef>
              <c:f>Snaps!$E$255:$L$255</c:f>
              <c:numCache>
                <c:formatCode>0</c:formatCode>
                <c:ptCount val="8"/>
                <c:pt idx="0">
                  <c:v>229.2</c:v>
                </c:pt>
                <c:pt idx="1">
                  <c:v>212.2</c:v>
                </c:pt>
                <c:pt idx="2">
                  <c:v>199.9</c:v>
                </c:pt>
                <c:pt idx="3">
                  <c:v>191.5</c:v>
                </c:pt>
                <c:pt idx="4">
                  <c:v>159.5</c:v>
                </c:pt>
                <c:pt idx="5">
                  <c:v>187.6</c:v>
                </c:pt>
                <c:pt idx="6">
                  <c:v>182.3</c:v>
                </c:pt>
                <c:pt idx="7">
                  <c:v>166.6</c:v>
                </c:pt>
              </c:numCache>
            </c:numRef>
          </c:val>
          <c:extLst>
            <c:ext xmlns:c16="http://schemas.microsoft.com/office/drawing/2014/chart" uri="{C3380CC4-5D6E-409C-BE32-E72D297353CC}">
              <c16:uniqueId val="{00000001-6428-4871-B468-C5FD808E77FA}"/>
            </c:ext>
          </c:extLst>
        </c:ser>
        <c:dLbls>
          <c:showLegendKey val="0"/>
          <c:showVal val="0"/>
          <c:showCatName val="0"/>
          <c:showSerName val="0"/>
          <c:showPercent val="0"/>
          <c:showBubbleSize val="0"/>
        </c:dLbls>
        <c:gapWidth val="30"/>
        <c:overlap val="-27"/>
        <c:axId val="556632048"/>
        <c:axId val="1103390911"/>
      </c:barChart>
      <c:catAx>
        <c:axId val="55663204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103390911"/>
        <c:crosses val="autoZero"/>
        <c:auto val="1"/>
        <c:lblAlgn val="ctr"/>
        <c:lblOffset val="100"/>
        <c:noMultiLvlLbl val="0"/>
      </c:catAx>
      <c:valAx>
        <c:axId val="1103390911"/>
        <c:scaling>
          <c:orientation val="minMax"/>
        </c:scaling>
        <c:delete val="1"/>
        <c:axPos val="l"/>
        <c:numFmt formatCode="0" sourceLinked="1"/>
        <c:majorTickMark val="out"/>
        <c:minorTickMark val="none"/>
        <c:tickLblPos val="nextTo"/>
        <c:crossAx val="55663204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Snaps!$B$258</c:f>
              <c:strCache>
                <c:ptCount val="1"/>
                <c:pt idx="0">
                  <c:v>Fixed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Snaps!$D$257:$L$257</c:f>
              <c:strCache>
                <c:ptCount val="9"/>
                <c:pt idx="0">
                  <c:v>Q1 21</c:v>
                </c:pt>
                <c:pt idx="1">
                  <c:v>Q2 21</c:v>
                </c:pt>
                <c:pt idx="2">
                  <c:v>Q3 21</c:v>
                </c:pt>
                <c:pt idx="3">
                  <c:v>Q4 21</c:v>
                </c:pt>
                <c:pt idx="4">
                  <c:v>Q1 22</c:v>
                </c:pt>
                <c:pt idx="5">
                  <c:v>Q2 22</c:v>
                </c:pt>
                <c:pt idx="6">
                  <c:v>Q3 22</c:v>
                </c:pt>
                <c:pt idx="7">
                  <c:v>Q4 22</c:v>
                </c:pt>
                <c:pt idx="8">
                  <c:v>Q1 23</c:v>
                </c:pt>
              </c:strCache>
            </c:strRef>
          </c:cat>
          <c:val>
            <c:numRef>
              <c:f>Snaps!$D$258:$L$258</c:f>
              <c:numCache>
                <c:formatCode>0</c:formatCode>
                <c:ptCount val="9"/>
                <c:pt idx="0">
                  <c:v>111.2</c:v>
                </c:pt>
                <c:pt idx="1">
                  <c:v>114.4</c:v>
                </c:pt>
                <c:pt idx="2">
                  <c:v>115.6</c:v>
                </c:pt>
                <c:pt idx="3">
                  <c:v>116.30000000000001</c:v>
                </c:pt>
                <c:pt idx="4">
                  <c:v>121.3</c:v>
                </c:pt>
                <c:pt idx="5">
                  <c:v>121.1</c:v>
                </c:pt>
                <c:pt idx="6">
                  <c:v>116.7</c:v>
                </c:pt>
                <c:pt idx="7">
                  <c:v>120.29999999999997</c:v>
                </c:pt>
                <c:pt idx="8">
                  <c:v>122.7</c:v>
                </c:pt>
              </c:numCache>
            </c:numRef>
          </c:val>
          <c:extLst>
            <c:ext xmlns:c16="http://schemas.microsoft.com/office/drawing/2014/chart" uri="{C3380CC4-5D6E-409C-BE32-E72D297353CC}">
              <c16:uniqueId val="{00000000-B76E-4716-A6E0-D63E3F2959D5}"/>
            </c:ext>
          </c:extLst>
        </c:ser>
        <c:dLbls>
          <c:showLegendKey val="0"/>
          <c:showVal val="0"/>
          <c:showCatName val="0"/>
          <c:showSerName val="0"/>
          <c:showPercent val="0"/>
          <c:showBubbleSize val="0"/>
        </c:dLbls>
        <c:gapWidth val="30"/>
        <c:overlap val="-27"/>
        <c:axId val="556633008"/>
        <c:axId val="556634448"/>
      </c:barChart>
      <c:catAx>
        <c:axId val="55663300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556634448"/>
        <c:crosses val="autoZero"/>
        <c:auto val="1"/>
        <c:lblAlgn val="ctr"/>
        <c:lblOffset val="100"/>
        <c:noMultiLvlLbl val="0"/>
      </c:catAx>
      <c:valAx>
        <c:axId val="556634448"/>
        <c:scaling>
          <c:orientation val="minMax"/>
        </c:scaling>
        <c:delete val="1"/>
        <c:axPos val="l"/>
        <c:numFmt formatCode="0" sourceLinked="1"/>
        <c:majorTickMark val="out"/>
        <c:minorTickMark val="none"/>
        <c:tickLblPos val="nextTo"/>
        <c:crossAx val="5566330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Snaps!$B$260</c:f>
              <c:strCache>
                <c:ptCount val="1"/>
                <c:pt idx="0">
                  <c:v>Fixed RGUs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Snaps!$D$257:$L$257</c:f>
              <c:strCache>
                <c:ptCount val="9"/>
                <c:pt idx="0">
                  <c:v>Q1 21</c:v>
                </c:pt>
                <c:pt idx="1">
                  <c:v>Q2 21</c:v>
                </c:pt>
                <c:pt idx="2">
                  <c:v>Q3 21</c:v>
                </c:pt>
                <c:pt idx="3">
                  <c:v>Q4 21</c:v>
                </c:pt>
                <c:pt idx="4">
                  <c:v>Q1 22</c:v>
                </c:pt>
                <c:pt idx="5">
                  <c:v>Q2 22</c:v>
                </c:pt>
                <c:pt idx="6">
                  <c:v>Q3 22</c:v>
                </c:pt>
                <c:pt idx="7">
                  <c:v>Q4 22</c:v>
                </c:pt>
                <c:pt idx="8">
                  <c:v>Q1 23</c:v>
                </c:pt>
              </c:strCache>
            </c:strRef>
          </c:cat>
          <c:val>
            <c:numRef>
              <c:f>Snaps!$D$260:$L$260</c:f>
              <c:numCache>
                <c:formatCode>0.00</c:formatCode>
                <c:ptCount val="9"/>
                <c:pt idx="0">
                  <c:v>1.8894982734105221</c:v>
                </c:pt>
                <c:pt idx="1">
                  <c:v>1.8718049547778215</c:v>
                </c:pt>
                <c:pt idx="2">
                  <c:v>1.8683701122725513</c:v>
                </c:pt>
                <c:pt idx="3">
                  <c:v>1.8772334293948125</c:v>
                </c:pt>
                <c:pt idx="4">
                  <c:v>1.8668910076649843</c:v>
                </c:pt>
                <c:pt idx="5">
                  <c:v>1.8497523390203632</c:v>
                </c:pt>
                <c:pt idx="6">
                  <c:v>1.8437387224828579</c:v>
                </c:pt>
                <c:pt idx="7">
                  <c:v>1.8584648884050077</c:v>
                </c:pt>
                <c:pt idx="8">
                  <c:v>1.8203097500879974</c:v>
                </c:pt>
              </c:numCache>
            </c:numRef>
          </c:val>
          <c:extLst>
            <c:ext xmlns:c16="http://schemas.microsoft.com/office/drawing/2014/chart" uri="{C3380CC4-5D6E-409C-BE32-E72D297353CC}">
              <c16:uniqueId val="{00000000-868F-4484-B057-CD51F56D480B}"/>
            </c:ext>
          </c:extLst>
        </c:ser>
        <c:dLbls>
          <c:showLegendKey val="0"/>
          <c:showVal val="0"/>
          <c:showCatName val="0"/>
          <c:showSerName val="0"/>
          <c:showPercent val="0"/>
          <c:showBubbleSize val="0"/>
        </c:dLbls>
        <c:gapWidth val="30"/>
        <c:overlap val="-27"/>
        <c:axId val="556633008"/>
        <c:axId val="556634448"/>
      </c:barChart>
      <c:catAx>
        <c:axId val="55663300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556634448"/>
        <c:crosses val="autoZero"/>
        <c:auto val="1"/>
        <c:lblAlgn val="ctr"/>
        <c:lblOffset val="100"/>
        <c:noMultiLvlLbl val="0"/>
      </c:catAx>
      <c:valAx>
        <c:axId val="556634448"/>
        <c:scaling>
          <c:orientation val="minMax"/>
        </c:scaling>
        <c:delete val="1"/>
        <c:axPos val="l"/>
        <c:numFmt formatCode="0.00" sourceLinked="1"/>
        <c:majorTickMark val="out"/>
        <c:minorTickMark val="none"/>
        <c:tickLblPos val="nextTo"/>
        <c:crossAx val="5566330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Snaps!$B$280</c:f>
              <c:strCache>
                <c:ptCount val="1"/>
                <c:pt idx="0">
                  <c:v>Synergies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Snaps!$C$279:$H$279</c:f>
              <c:numCache>
                <c:formatCode>General</c:formatCode>
                <c:ptCount val="6"/>
                <c:pt idx="0">
                  <c:v>2020</c:v>
                </c:pt>
                <c:pt idx="1">
                  <c:v>2021</c:v>
                </c:pt>
                <c:pt idx="2">
                  <c:v>2022</c:v>
                </c:pt>
                <c:pt idx="3">
                  <c:v>2023</c:v>
                </c:pt>
                <c:pt idx="4">
                  <c:v>2024</c:v>
                </c:pt>
                <c:pt idx="5">
                  <c:v>2025</c:v>
                </c:pt>
              </c:numCache>
            </c:numRef>
          </c:cat>
          <c:val>
            <c:numRef>
              <c:f>Snaps!$C$280:$H$280</c:f>
              <c:numCache>
                <c:formatCode>0</c:formatCode>
                <c:ptCount val="6"/>
                <c:pt idx="0">
                  <c:v>0</c:v>
                </c:pt>
                <c:pt idx="1">
                  <c:v>0</c:v>
                </c:pt>
                <c:pt idx="2">
                  <c:v>0</c:v>
                </c:pt>
                <c:pt idx="3">
                  <c:v>10</c:v>
                </c:pt>
                <c:pt idx="4">
                  <c:v>40</c:v>
                </c:pt>
                <c:pt idx="5">
                  <c:v>70</c:v>
                </c:pt>
              </c:numCache>
            </c:numRef>
          </c:val>
          <c:extLst>
            <c:ext xmlns:c16="http://schemas.microsoft.com/office/drawing/2014/chart" uri="{C3380CC4-5D6E-409C-BE32-E72D297353CC}">
              <c16:uniqueId val="{00000000-1CF5-4B2B-B8CC-D3EDF2AE07B9}"/>
            </c:ext>
          </c:extLst>
        </c:ser>
        <c:ser>
          <c:idx val="1"/>
          <c:order val="1"/>
          <c:tx>
            <c:strRef>
              <c:f>Snaps!$B$281</c:f>
              <c:strCache>
                <c:ptCount val="1"/>
                <c:pt idx="0">
                  <c:v>Integration costs</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Snaps!$C$279:$H$279</c:f>
              <c:numCache>
                <c:formatCode>General</c:formatCode>
                <c:ptCount val="6"/>
                <c:pt idx="0">
                  <c:v>2020</c:v>
                </c:pt>
                <c:pt idx="1">
                  <c:v>2021</c:v>
                </c:pt>
                <c:pt idx="2">
                  <c:v>2022</c:v>
                </c:pt>
                <c:pt idx="3">
                  <c:v>2023</c:v>
                </c:pt>
                <c:pt idx="4">
                  <c:v>2024</c:v>
                </c:pt>
                <c:pt idx="5">
                  <c:v>2025</c:v>
                </c:pt>
              </c:numCache>
            </c:numRef>
          </c:cat>
          <c:val>
            <c:numRef>
              <c:f>Snaps!$C$281:$H$281</c:f>
              <c:numCache>
                <c:formatCode>0</c:formatCode>
                <c:ptCount val="6"/>
                <c:pt idx="0">
                  <c:v>0</c:v>
                </c:pt>
                <c:pt idx="1">
                  <c:v>-12</c:v>
                </c:pt>
                <c:pt idx="2">
                  <c:v>-15</c:v>
                </c:pt>
                <c:pt idx="3">
                  <c:v>-25</c:v>
                </c:pt>
                <c:pt idx="4">
                  <c:v>-23</c:v>
                </c:pt>
                <c:pt idx="5">
                  <c:v>0</c:v>
                </c:pt>
              </c:numCache>
            </c:numRef>
          </c:val>
          <c:extLst>
            <c:ext xmlns:c16="http://schemas.microsoft.com/office/drawing/2014/chart" uri="{C3380CC4-5D6E-409C-BE32-E72D297353CC}">
              <c16:uniqueId val="{00000001-1CF5-4B2B-B8CC-D3EDF2AE07B9}"/>
            </c:ext>
          </c:extLst>
        </c:ser>
        <c:dLbls>
          <c:showLegendKey val="0"/>
          <c:showVal val="0"/>
          <c:showCatName val="0"/>
          <c:showSerName val="0"/>
          <c:showPercent val="0"/>
          <c:showBubbleSize val="0"/>
        </c:dLbls>
        <c:gapWidth val="30"/>
        <c:overlap val="-27"/>
        <c:axId val="609662816"/>
        <c:axId val="609663776"/>
      </c:barChart>
      <c:catAx>
        <c:axId val="60966281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09663776"/>
        <c:crosses val="autoZero"/>
        <c:auto val="1"/>
        <c:lblAlgn val="ctr"/>
        <c:lblOffset val="100"/>
        <c:noMultiLvlLbl val="0"/>
      </c:catAx>
      <c:valAx>
        <c:axId val="609663776"/>
        <c:scaling>
          <c:orientation val="minMax"/>
        </c:scaling>
        <c:delete val="1"/>
        <c:axPos val="l"/>
        <c:numFmt formatCode="0" sourceLinked="1"/>
        <c:majorTickMark val="out"/>
        <c:minorTickMark val="none"/>
        <c:tickLblPos val="nextTo"/>
        <c:crossAx val="6096628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Snaps!$B$313</c:f>
              <c:strCache>
                <c:ptCount val="1"/>
                <c:pt idx="0">
                  <c:v>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Snaps!$D$312:$H$312</c:f>
              <c:numCache>
                <c:formatCode>General</c:formatCode>
                <c:ptCount val="5"/>
                <c:pt idx="0">
                  <c:v>2021</c:v>
                </c:pt>
                <c:pt idx="1">
                  <c:v>2022</c:v>
                </c:pt>
                <c:pt idx="2">
                  <c:v>2023</c:v>
                </c:pt>
                <c:pt idx="3">
                  <c:v>2024</c:v>
                </c:pt>
                <c:pt idx="4">
                  <c:v>2025</c:v>
                </c:pt>
              </c:numCache>
            </c:numRef>
          </c:cat>
          <c:val>
            <c:numRef>
              <c:f>Snaps!$D$313:$H$313</c:f>
              <c:numCache>
                <c:formatCode>0</c:formatCode>
                <c:ptCount val="5"/>
                <c:pt idx="0">
                  <c:v>585.90000000000009</c:v>
                </c:pt>
                <c:pt idx="1">
                  <c:v>544.80000000000007</c:v>
                </c:pt>
                <c:pt idx="2">
                  <c:v>485.5</c:v>
                </c:pt>
                <c:pt idx="3">
                  <c:v>323.91267200000004</c:v>
                </c:pt>
                <c:pt idx="4">
                  <c:v>481.47579900720001</c:v>
                </c:pt>
              </c:numCache>
            </c:numRef>
          </c:val>
          <c:extLst>
            <c:ext xmlns:c16="http://schemas.microsoft.com/office/drawing/2014/chart" uri="{C3380CC4-5D6E-409C-BE32-E72D297353CC}">
              <c16:uniqueId val="{00000000-99FA-4223-99A0-0A7CF16C48AF}"/>
            </c:ext>
          </c:extLst>
        </c:ser>
        <c:ser>
          <c:idx val="1"/>
          <c:order val="1"/>
          <c:tx>
            <c:strRef>
              <c:f>Snaps!$B$314</c:f>
              <c:strCache>
                <c:ptCount val="1"/>
                <c:pt idx="0">
                  <c:v>FCF</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Snaps!$D$312:$H$312</c:f>
              <c:numCache>
                <c:formatCode>General</c:formatCode>
                <c:ptCount val="5"/>
                <c:pt idx="0">
                  <c:v>2021</c:v>
                </c:pt>
                <c:pt idx="1">
                  <c:v>2022</c:v>
                </c:pt>
                <c:pt idx="2">
                  <c:v>2023</c:v>
                </c:pt>
                <c:pt idx="3">
                  <c:v>2024</c:v>
                </c:pt>
                <c:pt idx="4">
                  <c:v>2025</c:v>
                </c:pt>
              </c:numCache>
            </c:numRef>
          </c:cat>
          <c:val>
            <c:numRef>
              <c:f>Snaps!$D$314:$H$314</c:f>
              <c:numCache>
                <c:formatCode>#,##0</c:formatCode>
                <c:ptCount val="5"/>
                <c:pt idx="0">
                  <c:v>197.00000000000009</c:v>
                </c:pt>
                <c:pt idx="1">
                  <c:v>116.70000000000007</c:v>
                </c:pt>
                <c:pt idx="2">
                  <c:v>48</c:v>
                </c:pt>
                <c:pt idx="3">
                  <c:v>-167.47334599999999</c:v>
                </c:pt>
                <c:pt idx="4">
                  <c:v>-24.197285820368478</c:v>
                </c:pt>
              </c:numCache>
            </c:numRef>
          </c:val>
          <c:extLst>
            <c:ext xmlns:c16="http://schemas.microsoft.com/office/drawing/2014/chart" uri="{C3380CC4-5D6E-409C-BE32-E72D297353CC}">
              <c16:uniqueId val="{00000001-99FA-4223-99A0-0A7CF16C48AF}"/>
            </c:ext>
          </c:extLst>
        </c:ser>
        <c:dLbls>
          <c:showLegendKey val="0"/>
          <c:showVal val="0"/>
          <c:showCatName val="0"/>
          <c:showSerName val="0"/>
          <c:showPercent val="0"/>
          <c:showBubbleSize val="0"/>
        </c:dLbls>
        <c:gapWidth val="30"/>
        <c:overlap val="-27"/>
        <c:axId val="617959392"/>
        <c:axId val="617959872"/>
      </c:barChart>
      <c:catAx>
        <c:axId val="61795939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17959872"/>
        <c:crosses val="autoZero"/>
        <c:auto val="1"/>
        <c:lblAlgn val="ctr"/>
        <c:lblOffset val="100"/>
        <c:noMultiLvlLbl val="0"/>
      </c:catAx>
      <c:valAx>
        <c:axId val="617959872"/>
        <c:scaling>
          <c:orientation val="minMax"/>
        </c:scaling>
        <c:delete val="1"/>
        <c:axPos val="l"/>
        <c:numFmt formatCode="0" sourceLinked="1"/>
        <c:majorTickMark val="out"/>
        <c:minorTickMark val="none"/>
        <c:tickLblPos val="nextTo"/>
        <c:crossAx val="61795939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Snaps!$B$301</c:f>
              <c:strCache>
                <c:ptCount val="1"/>
                <c:pt idx="0">
                  <c:v>Synergies</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Snaps!$C$279:$H$279</c:f>
              <c:numCache>
                <c:formatCode>General</c:formatCode>
                <c:ptCount val="6"/>
                <c:pt idx="0">
                  <c:v>2020</c:v>
                </c:pt>
                <c:pt idx="1">
                  <c:v>2021</c:v>
                </c:pt>
                <c:pt idx="2">
                  <c:v>2022</c:v>
                </c:pt>
                <c:pt idx="3">
                  <c:v>2023</c:v>
                </c:pt>
                <c:pt idx="4">
                  <c:v>2024</c:v>
                </c:pt>
                <c:pt idx="5">
                  <c:v>2025</c:v>
                </c:pt>
              </c:numCache>
            </c:numRef>
          </c:cat>
          <c:val>
            <c:numRef>
              <c:f>Snaps!$C$301:$H$301</c:f>
              <c:numCache>
                <c:formatCode>0</c:formatCode>
                <c:ptCount val="6"/>
                <c:pt idx="0">
                  <c:v>0</c:v>
                </c:pt>
                <c:pt idx="1">
                  <c:v>0</c:v>
                </c:pt>
                <c:pt idx="2">
                  <c:v>0</c:v>
                </c:pt>
                <c:pt idx="3">
                  <c:v>17</c:v>
                </c:pt>
                <c:pt idx="4">
                  <c:v>50</c:v>
                </c:pt>
                <c:pt idx="5">
                  <c:v>70</c:v>
                </c:pt>
              </c:numCache>
            </c:numRef>
          </c:val>
          <c:extLst>
            <c:ext xmlns:c16="http://schemas.microsoft.com/office/drawing/2014/chart" uri="{C3380CC4-5D6E-409C-BE32-E72D297353CC}">
              <c16:uniqueId val="{00000000-1E69-4114-A12C-263E45847AB1}"/>
            </c:ext>
          </c:extLst>
        </c:ser>
        <c:ser>
          <c:idx val="1"/>
          <c:order val="1"/>
          <c:tx>
            <c:strRef>
              <c:f>Snaps!$B$302</c:f>
              <c:strCache>
                <c:ptCount val="1"/>
                <c:pt idx="0">
                  <c:v>Integration costs</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Snaps!$C$279:$H$279</c:f>
              <c:numCache>
                <c:formatCode>General</c:formatCode>
                <c:ptCount val="6"/>
                <c:pt idx="0">
                  <c:v>2020</c:v>
                </c:pt>
                <c:pt idx="1">
                  <c:v>2021</c:v>
                </c:pt>
                <c:pt idx="2">
                  <c:v>2022</c:v>
                </c:pt>
                <c:pt idx="3">
                  <c:v>2023</c:v>
                </c:pt>
                <c:pt idx="4">
                  <c:v>2024</c:v>
                </c:pt>
                <c:pt idx="5">
                  <c:v>2025</c:v>
                </c:pt>
              </c:numCache>
            </c:numRef>
          </c:cat>
          <c:val>
            <c:numRef>
              <c:f>Snaps!$C$302:$H$302</c:f>
              <c:numCache>
                <c:formatCode>0</c:formatCode>
                <c:ptCount val="6"/>
                <c:pt idx="0">
                  <c:v>0</c:v>
                </c:pt>
                <c:pt idx="1">
                  <c:v>0</c:v>
                </c:pt>
                <c:pt idx="2">
                  <c:v>5</c:v>
                </c:pt>
                <c:pt idx="3">
                  <c:v>10</c:v>
                </c:pt>
                <c:pt idx="4">
                  <c:v>0</c:v>
                </c:pt>
                <c:pt idx="5">
                  <c:v>0</c:v>
                </c:pt>
              </c:numCache>
            </c:numRef>
          </c:val>
          <c:extLst>
            <c:ext xmlns:c16="http://schemas.microsoft.com/office/drawing/2014/chart" uri="{C3380CC4-5D6E-409C-BE32-E72D297353CC}">
              <c16:uniqueId val="{00000001-1E69-4114-A12C-263E45847AB1}"/>
            </c:ext>
          </c:extLst>
        </c:ser>
        <c:dLbls>
          <c:showLegendKey val="0"/>
          <c:showVal val="0"/>
          <c:showCatName val="0"/>
          <c:showSerName val="0"/>
          <c:showPercent val="0"/>
          <c:showBubbleSize val="0"/>
        </c:dLbls>
        <c:gapWidth val="30"/>
        <c:overlap val="-27"/>
        <c:axId val="609662816"/>
        <c:axId val="609663776"/>
      </c:barChart>
      <c:catAx>
        <c:axId val="60966281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09663776"/>
        <c:crosses val="autoZero"/>
        <c:auto val="1"/>
        <c:lblAlgn val="ctr"/>
        <c:lblOffset val="100"/>
        <c:noMultiLvlLbl val="0"/>
      </c:catAx>
      <c:valAx>
        <c:axId val="609663776"/>
        <c:scaling>
          <c:orientation val="minMax"/>
        </c:scaling>
        <c:delete val="1"/>
        <c:axPos val="l"/>
        <c:numFmt formatCode="0" sourceLinked="1"/>
        <c:majorTickMark val="out"/>
        <c:minorTickMark val="none"/>
        <c:tickLblPos val="nextTo"/>
        <c:crossAx val="6096628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Snaps!$B$336</c:f>
              <c:strCache>
                <c:ptCount val="1"/>
                <c:pt idx="0">
                  <c:v>EBITDA</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Snaps!$D$335:$H$335</c:f>
              <c:numCache>
                <c:formatCode>General</c:formatCode>
                <c:ptCount val="5"/>
                <c:pt idx="0">
                  <c:v>2022</c:v>
                </c:pt>
                <c:pt idx="1">
                  <c:v>2023</c:v>
                </c:pt>
                <c:pt idx="2">
                  <c:v>2024</c:v>
                </c:pt>
                <c:pt idx="3">
                  <c:v>2025</c:v>
                </c:pt>
                <c:pt idx="4">
                  <c:v>2026</c:v>
                </c:pt>
              </c:numCache>
            </c:numRef>
          </c:cat>
          <c:val>
            <c:numRef>
              <c:f>Snaps!$D$336:$H$336</c:f>
              <c:numCache>
                <c:formatCode>#,##0</c:formatCode>
                <c:ptCount val="5"/>
                <c:pt idx="0">
                  <c:v>186.80077850000001</c:v>
                </c:pt>
                <c:pt idx="1">
                  <c:v>227.7</c:v>
                </c:pt>
                <c:pt idx="2">
                  <c:v>254.67856820343255</c:v>
                </c:pt>
                <c:pt idx="3">
                  <c:v>274.23517452315855</c:v>
                </c:pt>
                <c:pt idx="4">
                  <c:v>286.70567466441219</c:v>
                </c:pt>
              </c:numCache>
            </c:numRef>
          </c:val>
          <c:extLst>
            <c:ext xmlns:c16="http://schemas.microsoft.com/office/drawing/2014/chart" uri="{C3380CC4-5D6E-409C-BE32-E72D297353CC}">
              <c16:uniqueId val="{00000000-1B7B-4A3B-82FE-C30E0B7CEE4A}"/>
            </c:ext>
          </c:extLst>
        </c:ser>
        <c:ser>
          <c:idx val="1"/>
          <c:order val="1"/>
          <c:tx>
            <c:strRef>
              <c:f>Snaps!$B$337</c:f>
              <c:strCache>
                <c:ptCount val="1"/>
                <c:pt idx="0">
                  <c:v>OpFCF</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Snaps!$D$335:$H$335</c:f>
              <c:numCache>
                <c:formatCode>General</c:formatCode>
                <c:ptCount val="5"/>
                <c:pt idx="0">
                  <c:v>2022</c:v>
                </c:pt>
                <c:pt idx="1">
                  <c:v>2023</c:v>
                </c:pt>
                <c:pt idx="2">
                  <c:v>2024</c:v>
                </c:pt>
                <c:pt idx="3">
                  <c:v>2025</c:v>
                </c:pt>
                <c:pt idx="4">
                  <c:v>2026</c:v>
                </c:pt>
              </c:numCache>
            </c:numRef>
          </c:cat>
          <c:val>
            <c:numRef>
              <c:f>Snaps!$D$337:$H$337</c:f>
              <c:numCache>
                <c:formatCode>#,##0</c:formatCode>
                <c:ptCount val="5"/>
                <c:pt idx="0">
                  <c:v>98.010120499999999</c:v>
                </c:pt>
                <c:pt idx="1">
                  <c:v>110.69999999999999</c:v>
                </c:pt>
                <c:pt idx="2">
                  <c:v>143.69465750131991</c:v>
                </c:pt>
                <c:pt idx="3">
                  <c:v>170.20881578834428</c:v>
                </c:pt>
                <c:pt idx="4">
                  <c:v>180.38524245416602</c:v>
                </c:pt>
              </c:numCache>
            </c:numRef>
          </c:val>
          <c:extLst>
            <c:ext xmlns:c16="http://schemas.microsoft.com/office/drawing/2014/chart" uri="{C3380CC4-5D6E-409C-BE32-E72D297353CC}">
              <c16:uniqueId val="{00000001-1B7B-4A3B-82FE-C30E0B7CEE4A}"/>
            </c:ext>
          </c:extLst>
        </c:ser>
        <c:dLbls>
          <c:showLegendKey val="0"/>
          <c:showVal val="0"/>
          <c:showCatName val="0"/>
          <c:showSerName val="0"/>
          <c:showPercent val="0"/>
          <c:showBubbleSize val="0"/>
        </c:dLbls>
        <c:gapWidth val="30"/>
        <c:overlap val="-27"/>
        <c:axId val="617959392"/>
        <c:axId val="617959872"/>
      </c:barChart>
      <c:catAx>
        <c:axId val="61795939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17959872"/>
        <c:crosses val="autoZero"/>
        <c:auto val="1"/>
        <c:lblAlgn val="ctr"/>
        <c:lblOffset val="100"/>
        <c:noMultiLvlLbl val="0"/>
      </c:catAx>
      <c:valAx>
        <c:axId val="617959872"/>
        <c:scaling>
          <c:orientation val="minMax"/>
        </c:scaling>
        <c:delete val="1"/>
        <c:axPos val="l"/>
        <c:numFmt formatCode="#,##0" sourceLinked="1"/>
        <c:majorTickMark val="out"/>
        <c:minorTickMark val="none"/>
        <c:tickLblPos val="nextTo"/>
        <c:crossAx val="61795939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4466316710411"/>
          <c:y val="4.7619047619047616E-2"/>
          <c:w val="0.85599978127734033"/>
          <c:h val="0.53746565770187815"/>
        </c:manualLayout>
      </c:layout>
      <c:lineChart>
        <c:grouping val="standard"/>
        <c:varyColors val="0"/>
        <c:ser>
          <c:idx val="0"/>
          <c:order val="0"/>
          <c:tx>
            <c:strRef>
              <c:f>Analysis!$B$97</c:f>
              <c:strCache>
                <c:ptCount val="1"/>
                <c:pt idx="0">
                  <c:v>CWC-Columbus guidance</c:v>
                </c:pt>
              </c:strCache>
            </c:strRef>
          </c:tx>
          <c:spPr>
            <a:ln w="25400">
              <a:solidFill>
                <a:srgbClr val="FF0000"/>
              </a:solidFill>
              <a:prstDash val="solid"/>
            </a:ln>
            <a:effectLst/>
          </c:spPr>
          <c:marker>
            <c:symbol val="diamond"/>
            <c:size val="8"/>
            <c:spPr>
              <a:solidFill>
                <a:srgbClr val="FF0000"/>
              </a:solidFill>
              <a:ln>
                <a:solidFill>
                  <a:srgbClr val="333399"/>
                </a:solidFill>
                <a:prstDash val="solid"/>
              </a:ln>
            </c:spPr>
          </c:marker>
          <c:cat>
            <c:numRef>
              <c:f>Analysis!$C$96:$H$96</c:f>
              <c:numCache>
                <c:formatCode>General</c:formatCode>
                <c:ptCount val="6"/>
                <c:pt idx="0">
                  <c:v>2013</c:v>
                </c:pt>
                <c:pt idx="1">
                  <c:v>2014</c:v>
                </c:pt>
                <c:pt idx="2">
                  <c:v>2015</c:v>
                </c:pt>
                <c:pt idx="3">
                  <c:v>2016</c:v>
                </c:pt>
                <c:pt idx="4">
                  <c:v>2017</c:v>
                </c:pt>
                <c:pt idx="5">
                  <c:v>2018</c:v>
                </c:pt>
              </c:numCache>
            </c:numRef>
          </c:cat>
          <c:val>
            <c:numRef>
              <c:f>Analysis!$C$97:$H$97</c:f>
              <c:numCache>
                <c:formatCode>0.0%</c:formatCode>
                <c:ptCount val="6"/>
                <c:pt idx="4">
                  <c:v>0.14000000000000001</c:v>
                </c:pt>
              </c:numCache>
            </c:numRef>
          </c:val>
          <c:smooth val="0"/>
          <c:extLst>
            <c:ext xmlns:c16="http://schemas.microsoft.com/office/drawing/2014/chart" uri="{C3380CC4-5D6E-409C-BE32-E72D297353CC}">
              <c16:uniqueId val="{00000000-6720-4C45-B7F0-3309F7068A44}"/>
            </c:ext>
          </c:extLst>
        </c:ser>
        <c:ser>
          <c:idx val="1"/>
          <c:order val="1"/>
          <c:tx>
            <c:strRef>
              <c:f>Analysis!$B$98</c:f>
              <c:strCache>
                <c:ptCount val="1"/>
                <c:pt idx="0">
                  <c:v>CWC-Columbus consensus</c:v>
                </c:pt>
              </c:strCache>
            </c:strRef>
          </c:tx>
          <c:spPr>
            <a:ln w="25400">
              <a:solidFill>
                <a:srgbClr val="99CCFF"/>
              </a:solidFill>
              <a:prstDash val="solid"/>
            </a:ln>
            <a:effectLst/>
          </c:spPr>
          <c:marker>
            <c:symbol val="none"/>
          </c:marker>
          <c:cat>
            <c:numRef>
              <c:f>Analysis!$C$96:$H$96</c:f>
              <c:numCache>
                <c:formatCode>General</c:formatCode>
                <c:ptCount val="6"/>
                <c:pt idx="0">
                  <c:v>2013</c:v>
                </c:pt>
                <c:pt idx="1">
                  <c:v>2014</c:v>
                </c:pt>
                <c:pt idx="2">
                  <c:v>2015</c:v>
                </c:pt>
                <c:pt idx="3">
                  <c:v>2016</c:v>
                </c:pt>
                <c:pt idx="4">
                  <c:v>2017</c:v>
                </c:pt>
                <c:pt idx="5">
                  <c:v>2018</c:v>
                </c:pt>
              </c:numCache>
            </c:numRef>
          </c:cat>
          <c:val>
            <c:numRef>
              <c:f>Analysis!$C$98:$H$98</c:f>
              <c:numCache>
                <c:formatCode>0.0%</c:formatCode>
                <c:ptCount val="6"/>
                <c:pt idx="0">
                  <c:v>0</c:v>
                </c:pt>
                <c:pt idx="1">
                  <c:v>0</c:v>
                </c:pt>
                <c:pt idx="2">
                  <c:v>0.21</c:v>
                </c:pt>
                <c:pt idx="3">
                  <c:v>0.17</c:v>
                </c:pt>
                <c:pt idx="4">
                  <c:v>0.15</c:v>
                </c:pt>
                <c:pt idx="5">
                  <c:v>0.15</c:v>
                </c:pt>
              </c:numCache>
            </c:numRef>
          </c:val>
          <c:smooth val="0"/>
          <c:extLst>
            <c:ext xmlns:c16="http://schemas.microsoft.com/office/drawing/2014/chart" uri="{C3380CC4-5D6E-409C-BE32-E72D297353CC}">
              <c16:uniqueId val="{00000001-6720-4C45-B7F0-3309F7068A44}"/>
            </c:ext>
          </c:extLst>
        </c:ser>
        <c:ser>
          <c:idx val="2"/>
          <c:order val="2"/>
          <c:tx>
            <c:strRef>
              <c:f>Analysis!$B$99</c:f>
              <c:strCache>
                <c:ptCount val="1"/>
                <c:pt idx="0">
                  <c:v>CWC-Columbus (NSR)</c:v>
                </c:pt>
              </c:strCache>
            </c:strRef>
          </c:tx>
          <c:spPr>
            <a:ln w="25400">
              <a:solidFill>
                <a:srgbClr val="333399"/>
              </a:solidFill>
              <a:prstDash val="lgDash"/>
            </a:ln>
            <a:effectLst/>
          </c:spPr>
          <c:marker>
            <c:symbol val="none"/>
          </c:marker>
          <c:cat>
            <c:numRef>
              <c:f>Analysis!$C$96:$H$96</c:f>
              <c:numCache>
                <c:formatCode>General</c:formatCode>
                <c:ptCount val="6"/>
                <c:pt idx="0">
                  <c:v>2013</c:v>
                </c:pt>
                <c:pt idx="1">
                  <c:v>2014</c:v>
                </c:pt>
                <c:pt idx="2">
                  <c:v>2015</c:v>
                </c:pt>
                <c:pt idx="3">
                  <c:v>2016</c:v>
                </c:pt>
                <c:pt idx="4">
                  <c:v>2017</c:v>
                </c:pt>
                <c:pt idx="5">
                  <c:v>2018</c:v>
                </c:pt>
              </c:numCache>
            </c:numRef>
          </c:cat>
          <c:val>
            <c:numRef>
              <c:f>Analysis!$C$99:$H$99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6720-4C45-B7F0-3309F7068A44}"/>
            </c:ext>
          </c:extLst>
        </c:ser>
        <c:ser>
          <c:idx val="3"/>
          <c:order val="3"/>
          <c:tx>
            <c:strRef>
              <c:f>Analysis!$B$100</c:f>
              <c:strCache>
                <c:ptCount val="1"/>
                <c:pt idx="0">
                  <c:v>LiLAC (Chile/PR)</c:v>
                </c:pt>
              </c:strCache>
            </c:strRef>
          </c:tx>
          <c:spPr>
            <a:ln w="25400">
              <a:solidFill>
                <a:srgbClr val="99CCFF"/>
              </a:solidFill>
              <a:prstDash val="lgDash"/>
            </a:ln>
            <a:effectLst/>
          </c:spPr>
          <c:marker>
            <c:symbol val="none"/>
          </c:marker>
          <c:cat>
            <c:numRef>
              <c:f>Analysis!$C$96:$H$96</c:f>
              <c:numCache>
                <c:formatCode>General</c:formatCode>
                <c:ptCount val="6"/>
                <c:pt idx="0">
                  <c:v>2013</c:v>
                </c:pt>
                <c:pt idx="1">
                  <c:v>2014</c:v>
                </c:pt>
                <c:pt idx="2">
                  <c:v>2015</c:v>
                </c:pt>
                <c:pt idx="3">
                  <c:v>2016</c:v>
                </c:pt>
                <c:pt idx="4">
                  <c:v>2017</c:v>
                </c:pt>
                <c:pt idx="5">
                  <c:v>2018</c:v>
                </c:pt>
              </c:numCache>
            </c:numRef>
          </c:cat>
          <c:val>
            <c:numRef>
              <c:f>Analysis!$C$100:$H$100</c:f>
              <c:numCache>
                <c:formatCode>0.0%</c:formatCode>
                <c:ptCount val="6"/>
                <c:pt idx="0">
                  <c:v>0.21273738038510059</c:v>
                </c:pt>
                <c:pt idx="1">
                  <c:v>0.18541968561739239</c:v>
                </c:pt>
                <c:pt idx="2">
                  <c:v>0.22370143457156977</c:v>
                </c:pt>
                <c:pt idx="3">
                  <c:v>0.27067578131432651</c:v>
                </c:pt>
                <c:pt idx="4">
                  <c:v>0.27561756980255292</c:v>
                </c:pt>
                <c:pt idx="5">
                  <c:v>0.21286872796958176</c:v>
                </c:pt>
              </c:numCache>
            </c:numRef>
          </c:val>
          <c:smooth val="0"/>
          <c:extLst>
            <c:ext xmlns:c16="http://schemas.microsoft.com/office/drawing/2014/chart" uri="{C3380CC4-5D6E-409C-BE32-E72D297353CC}">
              <c16:uniqueId val="{00000003-6720-4C45-B7F0-3309F7068A44}"/>
            </c:ext>
          </c:extLst>
        </c:ser>
        <c:ser>
          <c:idx val="4"/>
          <c:order val="4"/>
          <c:tx>
            <c:strRef>
              <c:f>Analysis!$B$101</c:f>
              <c:strCache>
                <c:ptCount val="1"/>
                <c:pt idx="0">
                  <c:v>UK</c:v>
                </c:pt>
              </c:strCache>
            </c:strRef>
          </c:tx>
          <c:spPr>
            <a:ln w="25400">
              <a:solidFill>
                <a:srgbClr val="333399"/>
              </a:solidFill>
              <a:prstDash val="sysDash"/>
            </a:ln>
            <a:effectLst/>
          </c:spPr>
          <c:marker>
            <c:symbol val="none"/>
          </c:marker>
          <c:cat>
            <c:numRef>
              <c:f>Analysis!$C$96:$H$96</c:f>
              <c:numCache>
                <c:formatCode>General</c:formatCode>
                <c:ptCount val="6"/>
                <c:pt idx="0">
                  <c:v>2013</c:v>
                </c:pt>
                <c:pt idx="1">
                  <c:v>2014</c:v>
                </c:pt>
                <c:pt idx="2">
                  <c:v>2015</c:v>
                </c:pt>
                <c:pt idx="3">
                  <c:v>2016</c:v>
                </c:pt>
                <c:pt idx="4">
                  <c:v>2017</c:v>
                </c:pt>
                <c:pt idx="5">
                  <c:v>2018</c:v>
                </c:pt>
              </c:numCache>
            </c:numRef>
          </c:cat>
          <c:val>
            <c:numRef>
              <c:f>Analysis!$C$101:$H$101</c:f>
              <c:numCache>
                <c:formatCode>0.0%</c:formatCode>
                <c:ptCount val="6"/>
                <c:pt idx="0">
                  <c:v>0.21056208135132509</c:v>
                </c:pt>
                <c:pt idx="1">
                  <c:v>0.20644487684495277</c:v>
                </c:pt>
                <c:pt idx="2">
                  <c:v>0.25355557965252379</c:v>
                </c:pt>
                <c:pt idx="3">
                  <c:v>0.31005442062617644</c:v>
                </c:pt>
                <c:pt idx="4">
                  <c:v>0.3108510188796223</c:v>
                </c:pt>
                <c:pt idx="5">
                  <c:v>0.30611459919559536</c:v>
                </c:pt>
              </c:numCache>
            </c:numRef>
          </c:val>
          <c:smooth val="0"/>
          <c:extLst>
            <c:ext xmlns:c16="http://schemas.microsoft.com/office/drawing/2014/chart" uri="{C3380CC4-5D6E-409C-BE32-E72D297353CC}">
              <c16:uniqueId val="{00000004-6720-4C45-B7F0-3309F7068A44}"/>
            </c:ext>
          </c:extLst>
        </c:ser>
        <c:ser>
          <c:idx val="5"/>
          <c:order val="5"/>
          <c:tx>
            <c:strRef>
              <c:f>Analysis!$B$102</c:f>
              <c:strCache>
                <c:ptCount val="1"/>
                <c:pt idx="0">
                  <c:v>Germany</c:v>
                </c:pt>
              </c:strCache>
            </c:strRef>
          </c:tx>
          <c:spPr>
            <a:ln w="25400">
              <a:solidFill>
                <a:srgbClr val="99CCFF"/>
              </a:solidFill>
              <a:prstDash val="sysDash"/>
            </a:ln>
            <a:effectLst/>
          </c:spPr>
          <c:marker>
            <c:symbol val="none"/>
          </c:marker>
          <c:cat>
            <c:numRef>
              <c:f>Analysis!$C$96:$H$96</c:f>
              <c:numCache>
                <c:formatCode>General</c:formatCode>
                <c:ptCount val="6"/>
                <c:pt idx="0">
                  <c:v>2013</c:v>
                </c:pt>
                <c:pt idx="1">
                  <c:v>2014</c:v>
                </c:pt>
                <c:pt idx="2">
                  <c:v>2015</c:v>
                </c:pt>
                <c:pt idx="3">
                  <c:v>2016</c:v>
                </c:pt>
                <c:pt idx="4">
                  <c:v>2017</c:v>
                </c:pt>
                <c:pt idx="5">
                  <c:v>2018</c:v>
                </c:pt>
              </c:numCache>
            </c:numRef>
          </c:cat>
          <c:val>
            <c:numRef>
              <c:f>Analysis!$C$102:$H$102</c:f>
              <c:numCache>
                <c:formatCode>0.0%</c:formatCode>
                <c:ptCount val="6"/>
                <c:pt idx="0">
                  <c:v>0.21754695444640448</c:v>
                </c:pt>
                <c:pt idx="1">
                  <c:v>0.20018513105329824</c:v>
                </c:pt>
                <c:pt idx="2">
                  <c:v>0.20178993935118431</c:v>
                </c:pt>
                <c:pt idx="3">
                  <c:v>0.19883586067367776</c:v>
                </c:pt>
                <c:pt idx="4">
                  <c:v>0.19643234856870703</c:v>
                </c:pt>
                <c:pt idx="5">
                  <c:v>0.19543632488294685</c:v>
                </c:pt>
              </c:numCache>
            </c:numRef>
          </c:val>
          <c:smooth val="0"/>
          <c:extLst>
            <c:ext xmlns:c16="http://schemas.microsoft.com/office/drawing/2014/chart" uri="{C3380CC4-5D6E-409C-BE32-E72D297353CC}">
              <c16:uniqueId val="{00000005-6720-4C45-B7F0-3309F7068A44}"/>
            </c:ext>
          </c:extLst>
        </c:ser>
        <c:ser>
          <c:idx val="6"/>
          <c:order val="6"/>
          <c:tx>
            <c:strRef>
              <c:f>Analysis!$B$103</c:f>
              <c:strCache>
                <c:ptCount val="1"/>
                <c:pt idx="0">
                  <c:v>Belgium</c:v>
                </c:pt>
              </c:strCache>
            </c:strRef>
          </c:tx>
          <c:spPr>
            <a:ln w="25400">
              <a:solidFill>
                <a:srgbClr val="333399"/>
              </a:solidFill>
              <a:prstDash val="lgDashDotDot"/>
            </a:ln>
            <a:effectLst/>
          </c:spPr>
          <c:marker>
            <c:symbol val="none"/>
          </c:marker>
          <c:cat>
            <c:numRef>
              <c:f>Analysis!$C$96:$H$96</c:f>
              <c:numCache>
                <c:formatCode>General</c:formatCode>
                <c:ptCount val="6"/>
                <c:pt idx="0">
                  <c:v>2013</c:v>
                </c:pt>
                <c:pt idx="1">
                  <c:v>2014</c:v>
                </c:pt>
                <c:pt idx="2">
                  <c:v>2015</c:v>
                </c:pt>
                <c:pt idx="3">
                  <c:v>2016</c:v>
                </c:pt>
                <c:pt idx="4">
                  <c:v>2017</c:v>
                </c:pt>
                <c:pt idx="5">
                  <c:v>2018</c:v>
                </c:pt>
              </c:numCache>
            </c:numRef>
          </c:cat>
          <c:val>
            <c:numRef>
              <c:f>Analysis!$C$103:$H$103</c:f>
              <c:numCache>
                <c:formatCode>0.0%</c:formatCode>
                <c:ptCount val="6"/>
                <c:pt idx="0">
                  <c:v>0.22683238895997077</c:v>
                </c:pt>
                <c:pt idx="1">
                  <c:v>0.22681740964208308</c:v>
                </c:pt>
                <c:pt idx="2">
                  <c:v>0.20147184228713572</c:v>
                </c:pt>
                <c:pt idx="3">
                  <c:v>0.19843765317257794</c:v>
                </c:pt>
                <c:pt idx="4">
                  <c:v>0.19558885882113874</c:v>
                </c:pt>
                <c:pt idx="5">
                  <c:v>0.19325295608024226</c:v>
                </c:pt>
              </c:numCache>
            </c:numRef>
          </c:val>
          <c:smooth val="0"/>
          <c:extLst>
            <c:ext xmlns:c16="http://schemas.microsoft.com/office/drawing/2014/chart" uri="{C3380CC4-5D6E-409C-BE32-E72D297353CC}">
              <c16:uniqueId val="{00000006-6720-4C45-B7F0-3309F7068A44}"/>
            </c:ext>
          </c:extLst>
        </c:ser>
        <c:ser>
          <c:idx val="7"/>
          <c:order val="7"/>
          <c:tx>
            <c:strRef>
              <c:f>Analysis!$B$104</c:f>
              <c:strCache>
                <c:ptCount val="1"/>
                <c:pt idx="0">
                  <c:v>Switzerland</c:v>
                </c:pt>
              </c:strCache>
            </c:strRef>
          </c:tx>
          <c:spPr>
            <a:ln w="25400">
              <a:solidFill>
                <a:srgbClr val="99CCFF"/>
              </a:solidFill>
              <a:prstDash val="lgDashDotDot"/>
            </a:ln>
            <a:effectLst/>
          </c:spPr>
          <c:marker>
            <c:symbol val="none"/>
          </c:marker>
          <c:cat>
            <c:numRef>
              <c:f>Analysis!$C$96:$H$96</c:f>
              <c:numCache>
                <c:formatCode>General</c:formatCode>
                <c:ptCount val="6"/>
                <c:pt idx="0">
                  <c:v>2013</c:v>
                </c:pt>
                <c:pt idx="1">
                  <c:v>2014</c:v>
                </c:pt>
                <c:pt idx="2">
                  <c:v>2015</c:v>
                </c:pt>
                <c:pt idx="3">
                  <c:v>2016</c:v>
                </c:pt>
                <c:pt idx="4">
                  <c:v>2017</c:v>
                </c:pt>
                <c:pt idx="5">
                  <c:v>2018</c:v>
                </c:pt>
              </c:numCache>
            </c:numRef>
          </c:cat>
          <c:val>
            <c:numRef>
              <c:f>Analysis!$C$104:$H$104</c:f>
              <c:numCache>
                <c:formatCode>0.0%</c:formatCode>
                <c:ptCount val="6"/>
                <c:pt idx="0">
                  <c:v>0.17346633416458854</c:v>
                </c:pt>
                <c:pt idx="1">
                  <c:v>0.17246633416458854</c:v>
                </c:pt>
                <c:pt idx="2">
                  <c:v>0.17146633416458854</c:v>
                </c:pt>
                <c:pt idx="3">
                  <c:v>0.17046633416458853</c:v>
                </c:pt>
                <c:pt idx="4">
                  <c:v>0.16946633416458853</c:v>
                </c:pt>
                <c:pt idx="5">
                  <c:v>0.16846633416458853</c:v>
                </c:pt>
              </c:numCache>
            </c:numRef>
          </c:val>
          <c:smooth val="0"/>
          <c:extLst>
            <c:ext xmlns:c16="http://schemas.microsoft.com/office/drawing/2014/chart" uri="{C3380CC4-5D6E-409C-BE32-E72D297353CC}">
              <c16:uniqueId val="{00000007-6720-4C45-B7F0-3309F7068A44}"/>
            </c:ext>
          </c:extLst>
        </c:ser>
        <c:dLbls>
          <c:showLegendKey val="0"/>
          <c:showVal val="0"/>
          <c:showCatName val="0"/>
          <c:showSerName val="0"/>
          <c:showPercent val="0"/>
          <c:showBubbleSize val="0"/>
        </c:dLbls>
        <c:marker val="1"/>
        <c:smooth val="0"/>
        <c:axId val="123985280"/>
        <c:axId val="123995264"/>
      </c:lineChart>
      <c:catAx>
        <c:axId val="123985280"/>
        <c:scaling>
          <c:orientation val="minMax"/>
        </c:scaling>
        <c:delete val="0"/>
        <c:axPos val="b"/>
        <c:numFmt formatCode="General" sourceLinked="1"/>
        <c:majorTickMark val="out"/>
        <c:minorTickMark val="none"/>
        <c:tickLblPos val="low"/>
        <c:crossAx val="123995264"/>
        <c:crosses val="autoZero"/>
        <c:auto val="1"/>
        <c:lblAlgn val="ctr"/>
        <c:lblOffset val="100"/>
        <c:noMultiLvlLbl val="0"/>
      </c:catAx>
      <c:valAx>
        <c:axId val="123995264"/>
        <c:scaling>
          <c:orientation val="minMax"/>
          <c:min val="0.1"/>
        </c:scaling>
        <c:delete val="0"/>
        <c:axPos val="l"/>
        <c:majorGridlines>
          <c:spPr>
            <a:ln w="3175">
              <a:solidFill>
                <a:srgbClr val="C0C0C0"/>
              </a:solidFill>
              <a:prstDash val="solid"/>
            </a:ln>
          </c:spPr>
        </c:majorGridlines>
        <c:numFmt formatCode="0.0%" sourceLinked="1"/>
        <c:majorTickMark val="out"/>
        <c:minorTickMark val="none"/>
        <c:tickLblPos val="nextTo"/>
        <c:crossAx val="123985280"/>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9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Analysis!$B$108</c:f>
              <c:strCache>
                <c:ptCount val="1"/>
                <c:pt idx="0">
                  <c:v>Survey 2005</c:v>
                </c:pt>
              </c:strCache>
            </c:strRef>
          </c:tx>
          <c:spPr>
            <a:ln w="25400">
              <a:solidFill>
                <a:srgbClr val="333399"/>
              </a:solidFill>
              <a:prstDash val="solid"/>
            </a:ln>
            <a:effectLst/>
          </c:spPr>
          <c:marker>
            <c:spPr>
              <a:solidFill>
                <a:srgbClr val="333399"/>
              </a:solidFill>
              <a:ln>
                <a:solidFill>
                  <a:srgbClr val="333399"/>
                </a:solidFill>
                <a:prstDash val="solid"/>
              </a:ln>
            </c:spPr>
          </c:marker>
          <c:dPt>
            <c:idx val="1"/>
            <c:marker>
              <c:symbol val="none"/>
            </c:marker>
            <c:bubble3D val="0"/>
            <c:extLst>
              <c:ext xmlns:c16="http://schemas.microsoft.com/office/drawing/2014/chart" uri="{C3380CC4-5D6E-409C-BE32-E72D297353CC}">
                <c16:uniqueId val="{00000000-1B79-4222-8AEC-95D1873FAD16}"/>
              </c:ext>
            </c:extLst>
          </c:dPt>
          <c:dPt>
            <c:idx val="3"/>
            <c:marker>
              <c:symbol val="none"/>
            </c:marker>
            <c:bubble3D val="0"/>
            <c:extLst>
              <c:ext xmlns:c16="http://schemas.microsoft.com/office/drawing/2014/chart" uri="{C3380CC4-5D6E-409C-BE32-E72D297353CC}">
                <c16:uniqueId val="{00000001-1B79-4222-8AEC-95D1873FAD16}"/>
              </c:ext>
            </c:extLst>
          </c:dPt>
          <c:cat>
            <c:numRef>
              <c:f>Analysis!$C$107:$O$107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Analysis!$C$108:$O$108</c:f>
              <c:numCache>
                <c:formatCode>0%</c:formatCode>
                <c:ptCount val="13"/>
                <c:pt idx="0">
                  <c:v>0.25</c:v>
                </c:pt>
                <c:pt idx="1">
                  <c:v>0.23499999999999999</c:v>
                </c:pt>
                <c:pt idx="2">
                  <c:v>0.22</c:v>
                </c:pt>
                <c:pt idx="3">
                  <c:v>0.185</c:v>
                </c:pt>
                <c:pt idx="4">
                  <c:v>0.15</c:v>
                </c:pt>
              </c:numCache>
            </c:numRef>
          </c:val>
          <c:smooth val="0"/>
          <c:extLst>
            <c:ext xmlns:c16="http://schemas.microsoft.com/office/drawing/2014/chart" uri="{C3380CC4-5D6E-409C-BE32-E72D297353CC}">
              <c16:uniqueId val="{00000002-1B79-4222-8AEC-95D1873FAD16}"/>
            </c:ext>
          </c:extLst>
        </c:ser>
        <c:ser>
          <c:idx val="1"/>
          <c:order val="1"/>
          <c:tx>
            <c:strRef>
              <c:f>Analysis!$B$109</c:f>
              <c:strCache>
                <c:ptCount val="1"/>
                <c:pt idx="0">
                  <c:v>Survey 2007</c:v>
                </c:pt>
              </c:strCache>
            </c:strRef>
          </c:tx>
          <c:spPr>
            <a:ln w="25400">
              <a:solidFill>
                <a:srgbClr val="99CCFF"/>
              </a:solidFill>
              <a:prstDash val="solid"/>
            </a:ln>
            <a:effectLst/>
          </c:spPr>
          <c:marker>
            <c:spPr>
              <a:solidFill>
                <a:srgbClr val="99CCFF"/>
              </a:solidFill>
              <a:ln>
                <a:solidFill>
                  <a:srgbClr val="99CCFF"/>
                </a:solidFill>
                <a:prstDash val="solid"/>
              </a:ln>
            </c:spPr>
          </c:marker>
          <c:dPt>
            <c:idx val="3"/>
            <c:marker>
              <c:symbol val="none"/>
            </c:marker>
            <c:bubble3D val="0"/>
            <c:extLst>
              <c:ext xmlns:c16="http://schemas.microsoft.com/office/drawing/2014/chart" uri="{C3380CC4-5D6E-409C-BE32-E72D297353CC}">
                <c16:uniqueId val="{00000003-1B79-4222-8AEC-95D1873FAD16}"/>
              </c:ext>
            </c:extLst>
          </c:dPt>
          <c:dPt>
            <c:idx val="5"/>
            <c:marker>
              <c:symbol val="none"/>
            </c:marker>
            <c:bubble3D val="0"/>
            <c:extLst>
              <c:ext xmlns:c16="http://schemas.microsoft.com/office/drawing/2014/chart" uri="{C3380CC4-5D6E-409C-BE32-E72D297353CC}">
                <c16:uniqueId val="{00000004-1B79-4222-8AEC-95D1873FAD16}"/>
              </c:ext>
            </c:extLst>
          </c:dPt>
          <c:cat>
            <c:numRef>
              <c:f>Analysis!$C$107:$O$107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Analysis!$C$109:$O$109</c:f>
              <c:numCache>
                <c:formatCode>0%</c:formatCode>
                <c:ptCount val="13"/>
                <c:pt idx="2">
                  <c:v>0.25</c:v>
                </c:pt>
                <c:pt idx="3">
                  <c:v>0.22999999999999998</c:v>
                </c:pt>
                <c:pt idx="4">
                  <c:v>0.21</c:v>
                </c:pt>
                <c:pt idx="5">
                  <c:v>0.18</c:v>
                </c:pt>
                <c:pt idx="6">
                  <c:v>0.15</c:v>
                </c:pt>
              </c:numCache>
            </c:numRef>
          </c:val>
          <c:smooth val="0"/>
          <c:extLst>
            <c:ext xmlns:c16="http://schemas.microsoft.com/office/drawing/2014/chart" uri="{C3380CC4-5D6E-409C-BE32-E72D297353CC}">
              <c16:uniqueId val="{00000005-1B79-4222-8AEC-95D1873FAD16}"/>
            </c:ext>
          </c:extLst>
        </c:ser>
        <c:ser>
          <c:idx val="2"/>
          <c:order val="2"/>
          <c:tx>
            <c:strRef>
              <c:f>Analysis!$B$110</c:f>
              <c:strCache>
                <c:ptCount val="1"/>
                <c:pt idx="0">
                  <c:v>Survey 2009</c:v>
                </c:pt>
              </c:strCache>
            </c:strRef>
          </c:tx>
          <c:spPr>
            <a:ln w="25400">
              <a:solidFill>
                <a:srgbClr val="333399"/>
              </a:solidFill>
              <a:prstDash val="lgDash"/>
            </a:ln>
            <a:effectLst/>
          </c:spPr>
          <c:marker>
            <c:spPr>
              <a:solidFill>
                <a:srgbClr val="333399"/>
              </a:solidFill>
              <a:ln>
                <a:solidFill>
                  <a:srgbClr val="333399"/>
                </a:solidFill>
                <a:prstDash val="solid"/>
              </a:ln>
            </c:spPr>
          </c:marker>
          <c:dPt>
            <c:idx val="5"/>
            <c:marker>
              <c:symbol val="none"/>
            </c:marker>
            <c:bubble3D val="0"/>
            <c:extLst>
              <c:ext xmlns:c16="http://schemas.microsoft.com/office/drawing/2014/chart" uri="{C3380CC4-5D6E-409C-BE32-E72D297353CC}">
                <c16:uniqueId val="{00000006-1B79-4222-8AEC-95D1873FAD16}"/>
              </c:ext>
            </c:extLst>
          </c:dPt>
          <c:dPt>
            <c:idx val="7"/>
            <c:marker>
              <c:symbol val="none"/>
            </c:marker>
            <c:bubble3D val="0"/>
            <c:extLst>
              <c:ext xmlns:c16="http://schemas.microsoft.com/office/drawing/2014/chart" uri="{C3380CC4-5D6E-409C-BE32-E72D297353CC}">
                <c16:uniqueId val="{00000007-1B79-4222-8AEC-95D1873FAD16}"/>
              </c:ext>
            </c:extLst>
          </c:dPt>
          <c:cat>
            <c:numRef>
              <c:f>Analysis!$C$107:$O$107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Analysis!$C$110:$O$110</c:f>
              <c:numCache>
                <c:formatCode>0%</c:formatCode>
                <c:ptCount val="13"/>
                <c:pt idx="4">
                  <c:v>0.24</c:v>
                </c:pt>
                <c:pt idx="5">
                  <c:v>0.22499999999999998</c:v>
                </c:pt>
                <c:pt idx="6">
                  <c:v>0.21</c:v>
                </c:pt>
                <c:pt idx="7">
                  <c:v>0.19</c:v>
                </c:pt>
                <c:pt idx="8">
                  <c:v>0.17</c:v>
                </c:pt>
              </c:numCache>
            </c:numRef>
          </c:val>
          <c:smooth val="0"/>
          <c:extLst>
            <c:ext xmlns:c16="http://schemas.microsoft.com/office/drawing/2014/chart" uri="{C3380CC4-5D6E-409C-BE32-E72D297353CC}">
              <c16:uniqueId val="{00000008-1B79-4222-8AEC-95D1873FAD16}"/>
            </c:ext>
          </c:extLst>
        </c:ser>
        <c:ser>
          <c:idx val="3"/>
          <c:order val="3"/>
          <c:tx>
            <c:strRef>
              <c:f>Analysis!$B$111</c:f>
              <c:strCache>
                <c:ptCount val="1"/>
                <c:pt idx="0">
                  <c:v>Survey 2011/12</c:v>
                </c:pt>
              </c:strCache>
            </c:strRef>
          </c:tx>
          <c:spPr>
            <a:ln w="25400">
              <a:solidFill>
                <a:srgbClr val="99CCFF"/>
              </a:solidFill>
              <a:prstDash val="lgDash"/>
            </a:ln>
            <a:effectLst/>
          </c:spPr>
          <c:marker>
            <c:spPr>
              <a:solidFill>
                <a:srgbClr val="99CCFF"/>
              </a:solidFill>
              <a:ln>
                <a:solidFill>
                  <a:srgbClr val="99CCFF"/>
                </a:solidFill>
                <a:prstDash val="solid"/>
              </a:ln>
            </c:spPr>
          </c:marker>
          <c:dPt>
            <c:idx val="7"/>
            <c:marker>
              <c:symbol val="none"/>
            </c:marker>
            <c:bubble3D val="0"/>
            <c:extLst>
              <c:ext xmlns:c16="http://schemas.microsoft.com/office/drawing/2014/chart" uri="{C3380CC4-5D6E-409C-BE32-E72D297353CC}">
                <c16:uniqueId val="{00000009-1B79-4222-8AEC-95D1873FAD16}"/>
              </c:ext>
            </c:extLst>
          </c:dPt>
          <c:dPt>
            <c:idx val="9"/>
            <c:marker>
              <c:symbol val="none"/>
            </c:marker>
            <c:bubble3D val="0"/>
            <c:extLst>
              <c:ext xmlns:c16="http://schemas.microsoft.com/office/drawing/2014/chart" uri="{C3380CC4-5D6E-409C-BE32-E72D297353CC}">
                <c16:uniqueId val="{0000000A-1B79-4222-8AEC-95D1873FAD16}"/>
              </c:ext>
            </c:extLst>
          </c:dPt>
          <c:cat>
            <c:numRef>
              <c:f>Analysis!$C$107:$O$107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Analysis!$C$111:$O$111</c:f>
              <c:numCache>
                <c:formatCode>0%</c:formatCode>
                <c:ptCount val="13"/>
                <c:pt idx="6">
                  <c:v>0.23</c:v>
                </c:pt>
                <c:pt idx="7">
                  <c:v>0.21500000000000002</c:v>
                </c:pt>
                <c:pt idx="8">
                  <c:v>0.2</c:v>
                </c:pt>
                <c:pt idx="9">
                  <c:v>0.19</c:v>
                </c:pt>
                <c:pt idx="10">
                  <c:v>0.18</c:v>
                </c:pt>
              </c:numCache>
            </c:numRef>
          </c:val>
          <c:smooth val="0"/>
          <c:extLst>
            <c:ext xmlns:c16="http://schemas.microsoft.com/office/drawing/2014/chart" uri="{C3380CC4-5D6E-409C-BE32-E72D297353CC}">
              <c16:uniqueId val="{0000000B-1B79-4222-8AEC-95D1873FAD16}"/>
            </c:ext>
          </c:extLst>
        </c:ser>
        <c:ser>
          <c:idx val="4"/>
          <c:order val="4"/>
          <c:tx>
            <c:strRef>
              <c:f>Analysis!$B$112</c:f>
              <c:strCache>
                <c:ptCount val="1"/>
                <c:pt idx="0">
                  <c:v>Survey 2014</c:v>
                </c:pt>
              </c:strCache>
            </c:strRef>
          </c:tx>
          <c:spPr>
            <a:ln w="25400">
              <a:solidFill>
                <a:srgbClr val="333399"/>
              </a:solidFill>
              <a:prstDash val="sysDash"/>
            </a:ln>
            <a:effectLst/>
          </c:spPr>
          <c:marker>
            <c:spPr>
              <a:solidFill>
                <a:srgbClr val="333399"/>
              </a:solidFill>
              <a:ln>
                <a:solidFill>
                  <a:srgbClr val="333399"/>
                </a:solidFill>
                <a:prstDash val="solid"/>
              </a:ln>
            </c:spPr>
          </c:marker>
          <c:dPt>
            <c:idx val="9"/>
            <c:marker>
              <c:symbol val="none"/>
            </c:marker>
            <c:bubble3D val="0"/>
            <c:extLst>
              <c:ext xmlns:c16="http://schemas.microsoft.com/office/drawing/2014/chart" uri="{C3380CC4-5D6E-409C-BE32-E72D297353CC}">
                <c16:uniqueId val="{0000000C-1B79-4222-8AEC-95D1873FAD16}"/>
              </c:ext>
            </c:extLst>
          </c:dPt>
          <c:dPt>
            <c:idx val="11"/>
            <c:marker>
              <c:symbol val="none"/>
            </c:marker>
            <c:bubble3D val="0"/>
            <c:extLst>
              <c:ext xmlns:c16="http://schemas.microsoft.com/office/drawing/2014/chart" uri="{C3380CC4-5D6E-409C-BE32-E72D297353CC}">
                <c16:uniqueId val="{0000000D-1B79-4222-8AEC-95D1873FAD16}"/>
              </c:ext>
            </c:extLst>
          </c:dPt>
          <c:cat>
            <c:numRef>
              <c:f>Analysis!$C$107:$O$107</c:f>
              <c:numCache>
                <c:formatCode>General</c:formatCod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numCache>
            </c:numRef>
          </c:cat>
          <c:val>
            <c:numRef>
              <c:f>Analysis!$C$112:$O$112</c:f>
              <c:numCache>
                <c:formatCode>0%</c:formatCode>
                <c:ptCount val="13"/>
                <c:pt idx="8">
                  <c:v>0.2</c:v>
                </c:pt>
                <c:pt idx="9">
                  <c:v>0.21000000000000002</c:v>
                </c:pt>
                <c:pt idx="10">
                  <c:v>0.22</c:v>
                </c:pt>
                <c:pt idx="11">
                  <c:v>0.20500000000000002</c:v>
                </c:pt>
                <c:pt idx="12">
                  <c:v>0.19</c:v>
                </c:pt>
              </c:numCache>
            </c:numRef>
          </c:val>
          <c:smooth val="0"/>
          <c:extLst>
            <c:ext xmlns:c16="http://schemas.microsoft.com/office/drawing/2014/chart" uri="{C3380CC4-5D6E-409C-BE32-E72D297353CC}">
              <c16:uniqueId val="{0000000E-1B79-4222-8AEC-95D1873FAD16}"/>
            </c:ext>
          </c:extLst>
        </c:ser>
        <c:dLbls>
          <c:showLegendKey val="0"/>
          <c:showVal val="0"/>
          <c:showCatName val="0"/>
          <c:showSerName val="0"/>
          <c:showPercent val="0"/>
          <c:showBubbleSize val="0"/>
        </c:dLbls>
        <c:marker val="1"/>
        <c:smooth val="0"/>
        <c:axId val="124040704"/>
        <c:axId val="124042624"/>
      </c:lineChart>
      <c:catAx>
        <c:axId val="124040704"/>
        <c:scaling>
          <c:orientation val="minMax"/>
        </c:scaling>
        <c:delete val="0"/>
        <c:axPos val="b"/>
        <c:numFmt formatCode="General" sourceLinked="1"/>
        <c:majorTickMark val="out"/>
        <c:minorTickMark val="none"/>
        <c:tickLblPos val="low"/>
        <c:crossAx val="124042624"/>
        <c:crosses val="autoZero"/>
        <c:auto val="1"/>
        <c:lblAlgn val="ctr"/>
        <c:lblOffset val="100"/>
        <c:noMultiLvlLbl val="0"/>
      </c:catAx>
      <c:valAx>
        <c:axId val="124042624"/>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crossAx val="12404070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9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4"/>
            <c:invertIfNegative val="0"/>
            <c:bubble3D val="0"/>
            <c:extLst>
              <c:ext xmlns:c16="http://schemas.microsoft.com/office/drawing/2014/chart" uri="{C3380CC4-5D6E-409C-BE32-E72D297353CC}">
                <c16:uniqueId val="{00000001-FE3B-49D4-892B-934FD3D75456}"/>
              </c:ext>
            </c:extLst>
          </c:dPt>
          <c:cat>
            <c:strRef>
              <c:f>Analysis!$B$673:$B$677</c:f>
              <c:strCache>
                <c:ptCount val="5"/>
                <c:pt idx="0">
                  <c:v>Mobile</c:v>
                </c:pt>
                <c:pt idx="1">
                  <c:v>BB</c:v>
                </c:pt>
                <c:pt idx="2">
                  <c:v>Video</c:v>
                </c:pt>
                <c:pt idx="3">
                  <c:v>Fixed voice</c:v>
                </c:pt>
                <c:pt idx="4">
                  <c:v>Total</c:v>
                </c:pt>
              </c:strCache>
            </c:strRef>
          </c:cat>
          <c:val>
            <c:numRef>
              <c:f>Analysis!$C$673:$C$677</c:f>
              <c:numCache>
                <c:formatCode>0%</c:formatCode>
                <c:ptCount val="5"/>
                <c:pt idx="0">
                  <c:v>1.3800398126309954E-2</c:v>
                </c:pt>
                <c:pt idx="1">
                  <c:v>9.9692831085212985E-2</c:v>
                </c:pt>
                <c:pt idx="2">
                  <c:v>2.3302601585499794E-2</c:v>
                </c:pt>
                <c:pt idx="3">
                  <c:v>-5.5655706527819149E-2</c:v>
                </c:pt>
                <c:pt idx="4">
                  <c:v>1.2520157090812889E-2</c:v>
                </c:pt>
              </c:numCache>
            </c:numRef>
          </c:val>
          <c:extLst>
            <c:ext xmlns:c16="http://schemas.microsoft.com/office/drawing/2014/chart" uri="{C3380CC4-5D6E-409C-BE32-E72D297353CC}">
              <c16:uniqueId val="{00000002-FE3B-49D4-892B-934FD3D75456}"/>
            </c:ext>
          </c:extLst>
        </c:ser>
        <c:dLbls>
          <c:showLegendKey val="0"/>
          <c:showVal val="0"/>
          <c:showCatName val="0"/>
          <c:showSerName val="0"/>
          <c:showPercent val="0"/>
          <c:showBubbleSize val="0"/>
        </c:dLbls>
        <c:gapWidth val="150"/>
        <c:axId val="124149760"/>
        <c:axId val="124151296"/>
      </c:barChart>
      <c:catAx>
        <c:axId val="124149760"/>
        <c:scaling>
          <c:orientation val="minMax"/>
        </c:scaling>
        <c:delete val="0"/>
        <c:axPos val="b"/>
        <c:numFmt formatCode="General" sourceLinked="0"/>
        <c:majorTickMark val="out"/>
        <c:minorTickMark val="none"/>
        <c:tickLblPos val="low"/>
        <c:crossAx val="124151296"/>
        <c:crosses val="autoZero"/>
        <c:auto val="1"/>
        <c:lblAlgn val="ctr"/>
        <c:lblOffset val="100"/>
        <c:noMultiLvlLbl val="0"/>
      </c:catAx>
      <c:valAx>
        <c:axId val="124151296"/>
        <c:scaling>
          <c:orientation val="minMax"/>
        </c:scaling>
        <c:delete val="0"/>
        <c:axPos val="l"/>
        <c:majorGridlines>
          <c:spPr>
            <a:ln w="3175">
              <a:solidFill>
                <a:srgbClr val="C0C0C0"/>
              </a:solidFill>
              <a:prstDash val="solid"/>
            </a:ln>
          </c:spPr>
        </c:majorGridlines>
        <c:title>
          <c:tx>
            <c:rich>
              <a:bodyPr rot="-5400000" vert="horz"/>
              <a:lstStyle/>
              <a:p>
                <a:pPr>
                  <a:defRPr/>
                </a:pPr>
                <a:r>
                  <a:rPr lang="en-US"/>
                  <a:t>y/y</a:t>
                </a:r>
              </a:p>
            </c:rich>
          </c:tx>
          <c:overlay val="0"/>
        </c:title>
        <c:numFmt formatCode="0%" sourceLinked="1"/>
        <c:majorTickMark val="out"/>
        <c:minorTickMark val="none"/>
        <c:tickLblPos val="nextTo"/>
        <c:crossAx val="124149760"/>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1236602684215"/>
          <c:y val="4.599555263925343E-2"/>
          <c:w val="0.60561443043783381"/>
          <c:h val="0.66086094062030132"/>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A447-4301-B1A5-FFA7CB5B064B}"/>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A447-4301-B1A5-FFA7CB5B064B}"/>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A447-4301-B1A5-FFA7CB5B064B}"/>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A447-4301-B1A5-FFA7CB5B064B}"/>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A447-4301-B1A5-FFA7CB5B064B}"/>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6-A447-4301-B1A5-FFA7CB5B064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Analysis!$G$724:$G$729</c:f>
              <c:strCache>
                <c:ptCount val="6"/>
                <c:pt idx="0">
                  <c:v>Mobile</c:v>
                </c:pt>
                <c:pt idx="1">
                  <c:v>Broadband</c:v>
                </c:pt>
                <c:pt idx="2">
                  <c:v>Video</c:v>
                </c:pt>
                <c:pt idx="3">
                  <c:v>Fixed voice</c:v>
                </c:pt>
                <c:pt idx="4">
                  <c:v>Networks</c:v>
                </c:pt>
                <c:pt idx="5">
                  <c:v>Equipment/other</c:v>
                </c:pt>
              </c:strCache>
            </c:strRef>
          </c:cat>
          <c:val>
            <c:numRef>
              <c:f>Analysis!$H$724:$H$729</c:f>
              <c:numCache>
                <c:formatCode>0%</c:formatCode>
                <c:ptCount val="6"/>
                <c:pt idx="0">
                  <c:v>0.22645547989688417</c:v>
                </c:pt>
                <c:pt idx="1">
                  <c:v>0.22088092905522791</c:v>
                </c:pt>
                <c:pt idx="2">
                  <c:v>0.20585504449590789</c:v>
                </c:pt>
                <c:pt idx="3">
                  <c:v>0.14288003612721231</c:v>
                </c:pt>
                <c:pt idx="4">
                  <c:v>0.11211066954173385</c:v>
                </c:pt>
                <c:pt idx="5">
                  <c:v>9.1817840883033866E-2</c:v>
                </c:pt>
              </c:numCache>
            </c:numRef>
          </c:val>
          <c:extLst>
            <c:ext xmlns:c16="http://schemas.microsoft.com/office/drawing/2014/chart" uri="{C3380CC4-5D6E-409C-BE32-E72D297353CC}">
              <c16:uniqueId val="{00000000-A447-4301-B1A5-FFA7CB5B064B}"/>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Analysis!$B$716</c:f>
              <c:strCache>
                <c:ptCount val="1"/>
                <c:pt idx="0">
                  <c:v>Mobile</c:v>
                </c:pt>
              </c:strCache>
            </c:strRef>
          </c:tx>
          <c:spPr>
            <a:ln w="25400" cap="rnd">
              <a:solidFill>
                <a:srgbClr val="333399"/>
              </a:solidFill>
              <a:prstDash val="solid"/>
              <a:round/>
            </a:ln>
            <a:effectLst/>
          </c:spPr>
          <c:marker>
            <c:symbol val="none"/>
          </c:marker>
          <c:cat>
            <c:numRef>
              <c:f>Analysis!$C$715:$F$715</c:f>
              <c:numCache>
                <c:formatCode>General</c:formatCode>
                <c:ptCount val="4"/>
                <c:pt idx="0">
                  <c:v>2016</c:v>
                </c:pt>
                <c:pt idx="1">
                  <c:v>2017</c:v>
                </c:pt>
                <c:pt idx="2">
                  <c:v>2018</c:v>
                </c:pt>
                <c:pt idx="3">
                  <c:v>2019</c:v>
                </c:pt>
              </c:numCache>
            </c:numRef>
          </c:cat>
          <c:val>
            <c:numRef>
              <c:f>Analysis!$C$716:$F$716</c:f>
              <c:numCache>
                <c:formatCode>0%</c:formatCode>
                <c:ptCount val="4"/>
                <c:pt idx="0">
                  <c:v>-2.42503509023132E-2</c:v>
                </c:pt>
                <c:pt idx="1">
                  <c:v>-9.2087869366612507E-2</c:v>
                </c:pt>
                <c:pt idx="2">
                  <c:v>-5.4529908182518794E-2</c:v>
                </c:pt>
                <c:pt idx="3">
                  <c:v>-2.0925597792595507E-2</c:v>
                </c:pt>
              </c:numCache>
            </c:numRef>
          </c:val>
          <c:smooth val="0"/>
          <c:extLst>
            <c:ext xmlns:c16="http://schemas.microsoft.com/office/drawing/2014/chart" uri="{C3380CC4-5D6E-409C-BE32-E72D297353CC}">
              <c16:uniqueId val="{00000000-33C0-4EC7-AF1E-6A2D049C2F0E}"/>
            </c:ext>
          </c:extLst>
        </c:ser>
        <c:ser>
          <c:idx val="1"/>
          <c:order val="1"/>
          <c:tx>
            <c:strRef>
              <c:f>Analysis!$B$717</c:f>
              <c:strCache>
                <c:ptCount val="1"/>
                <c:pt idx="0">
                  <c:v>BB</c:v>
                </c:pt>
              </c:strCache>
            </c:strRef>
          </c:tx>
          <c:spPr>
            <a:ln w="25400" cap="rnd">
              <a:solidFill>
                <a:srgbClr val="99CCFF"/>
              </a:solidFill>
              <a:prstDash val="solid"/>
              <a:round/>
            </a:ln>
            <a:effectLst/>
          </c:spPr>
          <c:marker>
            <c:symbol val="none"/>
          </c:marker>
          <c:cat>
            <c:numRef>
              <c:f>Analysis!$C$715:$F$715</c:f>
              <c:numCache>
                <c:formatCode>General</c:formatCode>
                <c:ptCount val="4"/>
                <c:pt idx="0">
                  <c:v>2016</c:v>
                </c:pt>
                <c:pt idx="1">
                  <c:v>2017</c:v>
                </c:pt>
                <c:pt idx="2">
                  <c:v>2018</c:v>
                </c:pt>
                <c:pt idx="3">
                  <c:v>2019</c:v>
                </c:pt>
              </c:numCache>
            </c:numRef>
          </c:cat>
          <c:val>
            <c:numRef>
              <c:f>Analysis!$C$717:$F$717</c:f>
              <c:numCache>
                <c:formatCode>0%</c:formatCode>
                <c:ptCount val="4"/>
                <c:pt idx="0">
                  <c:v>4.1255121105811421E-2</c:v>
                </c:pt>
                <c:pt idx="1">
                  <c:v>3.3810675265382173E-2</c:v>
                </c:pt>
                <c:pt idx="2">
                  <c:v>7.54670740642569E-2</c:v>
                </c:pt>
                <c:pt idx="3">
                  <c:v>6.6755360644170869E-2</c:v>
                </c:pt>
              </c:numCache>
            </c:numRef>
          </c:val>
          <c:smooth val="0"/>
          <c:extLst>
            <c:ext xmlns:c16="http://schemas.microsoft.com/office/drawing/2014/chart" uri="{C3380CC4-5D6E-409C-BE32-E72D297353CC}">
              <c16:uniqueId val="{00000001-33C0-4EC7-AF1E-6A2D049C2F0E}"/>
            </c:ext>
          </c:extLst>
        </c:ser>
        <c:ser>
          <c:idx val="2"/>
          <c:order val="2"/>
          <c:tx>
            <c:strRef>
              <c:f>Analysis!$B$718</c:f>
              <c:strCache>
                <c:ptCount val="1"/>
                <c:pt idx="0">
                  <c:v>TV</c:v>
                </c:pt>
              </c:strCache>
            </c:strRef>
          </c:tx>
          <c:spPr>
            <a:ln w="25400" cap="rnd">
              <a:solidFill>
                <a:srgbClr val="333399"/>
              </a:solidFill>
              <a:prstDash val="lgDash"/>
              <a:round/>
            </a:ln>
            <a:effectLst/>
          </c:spPr>
          <c:marker>
            <c:symbol val="none"/>
          </c:marker>
          <c:cat>
            <c:numRef>
              <c:f>Analysis!$C$715:$F$715</c:f>
              <c:numCache>
                <c:formatCode>General</c:formatCode>
                <c:ptCount val="4"/>
                <c:pt idx="0">
                  <c:v>2016</c:v>
                </c:pt>
                <c:pt idx="1">
                  <c:v>2017</c:v>
                </c:pt>
                <c:pt idx="2">
                  <c:v>2018</c:v>
                </c:pt>
                <c:pt idx="3">
                  <c:v>2019</c:v>
                </c:pt>
              </c:numCache>
            </c:numRef>
          </c:cat>
          <c:val>
            <c:numRef>
              <c:f>Analysis!$C$718:$F$718</c:f>
              <c:numCache>
                <c:formatCode>0%</c:formatCode>
                <c:ptCount val="4"/>
                <c:pt idx="0">
                  <c:v>-6.1155352712135569E-3</c:v>
                </c:pt>
                <c:pt idx="1">
                  <c:v>4.6709367467056895E-2</c:v>
                </c:pt>
                <c:pt idx="2">
                  <c:v>9.5510884038366051E-2</c:v>
                </c:pt>
                <c:pt idx="3">
                  <c:v>9.191010130586541E-2</c:v>
                </c:pt>
              </c:numCache>
            </c:numRef>
          </c:val>
          <c:smooth val="0"/>
          <c:extLst>
            <c:ext xmlns:c16="http://schemas.microsoft.com/office/drawing/2014/chart" uri="{C3380CC4-5D6E-409C-BE32-E72D297353CC}">
              <c16:uniqueId val="{00000002-33C0-4EC7-AF1E-6A2D049C2F0E}"/>
            </c:ext>
          </c:extLst>
        </c:ser>
        <c:ser>
          <c:idx val="3"/>
          <c:order val="3"/>
          <c:tx>
            <c:strRef>
              <c:f>Analysis!$B$719</c:f>
              <c:strCache>
                <c:ptCount val="1"/>
                <c:pt idx="0">
                  <c:v>Fixed voice</c:v>
                </c:pt>
              </c:strCache>
            </c:strRef>
          </c:tx>
          <c:spPr>
            <a:ln w="25400" cap="rnd">
              <a:solidFill>
                <a:srgbClr val="99CCFF"/>
              </a:solidFill>
              <a:prstDash val="lgDash"/>
              <a:round/>
            </a:ln>
            <a:effectLst/>
          </c:spPr>
          <c:marker>
            <c:symbol val="none"/>
          </c:marker>
          <c:cat>
            <c:numRef>
              <c:f>Analysis!$C$715:$F$715</c:f>
              <c:numCache>
                <c:formatCode>General</c:formatCode>
                <c:ptCount val="4"/>
                <c:pt idx="0">
                  <c:v>2016</c:v>
                </c:pt>
                <c:pt idx="1">
                  <c:v>2017</c:v>
                </c:pt>
                <c:pt idx="2">
                  <c:v>2018</c:v>
                </c:pt>
                <c:pt idx="3">
                  <c:v>2019</c:v>
                </c:pt>
              </c:numCache>
            </c:numRef>
          </c:cat>
          <c:val>
            <c:numRef>
              <c:f>Analysis!$C$719:$F$719</c:f>
              <c:numCache>
                <c:formatCode>0%</c:formatCode>
                <c:ptCount val="4"/>
                <c:pt idx="0">
                  <c:v>-7.4926548200406118E-2</c:v>
                </c:pt>
                <c:pt idx="1">
                  <c:v>-5.3048396364607564E-2</c:v>
                </c:pt>
                <c:pt idx="2">
                  <c:v>-4.3559133299155839E-2</c:v>
                </c:pt>
                <c:pt idx="3">
                  <c:v>-3.602484030253239E-2</c:v>
                </c:pt>
              </c:numCache>
            </c:numRef>
          </c:val>
          <c:smooth val="0"/>
          <c:extLst>
            <c:ext xmlns:c16="http://schemas.microsoft.com/office/drawing/2014/chart" uri="{C3380CC4-5D6E-409C-BE32-E72D297353CC}">
              <c16:uniqueId val="{00000003-33C0-4EC7-AF1E-6A2D049C2F0E}"/>
            </c:ext>
          </c:extLst>
        </c:ser>
        <c:ser>
          <c:idx val="4"/>
          <c:order val="4"/>
          <c:tx>
            <c:strRef>
              <c:f>Analysis!$B$720</c:f>
              <c:strCache>
                <c:ptCount val="1"/>
                <c:pt idx="0">
                  <c:v>Networks</c:v>
                </c:pt>
              </c:strCache>
            </c:strRef>
          </c:tx>
          <c:spPr>
            <a:ln w="25400" cap="rnd">
              <a:solidFill>
                <a:srgbClr val="333399"/>
              </a:solidFill>
              <a:prstDash val="sysDash"/>
              <a:round/>
            </a:ln>
            <a:effectLst/>
          </c:spPr>
          <c:marker>
            <c:symbol val="none"/>
          </c:marker>
          <c:cat>
            <c:numRef>
              <c:f>Analysis!$C$715:$F$715</c:f>
              <c:numCache>
                <c:formatCode>General</c:formatCode>
                <c:ptCount val="4"/>
                <c:pt idx="0">
                  <c:v>2016</c:v>
                </c:pt>
                <c:pt idx="1">
                  <c:v>2017</c:v>
                </c:pt>
                <c:pt idx="2">
                  <c:v>2018</c:v>
                </c:pt>
                <c:pt idx="3">
                  <c:v>2019</c:v>
                </c:pt>
              </c:numCache>
            </c:numRef>
          </c:cat>
          <c:val>
            <c:numRef>
              <c:f>Analysis!$C$720:$F$720</c:f>
              <c:numCache>
                <c:formatCode>0%</c:formatCode>
                <c:ptCount val="4"/>
                <c:pt idx="0">
                  <c:v>9.0874524714828819E-2</c:v>
                </c:pt>
                <c:pt idx="1">
                  <c:v>0.19762983617985386</c:v>
                </c:pt>
                <c:pt idx="2">
                  <c:v>1.8626309662397977E-2</c:v>
                </c:pt>
                <c:pt idx="3">
                  <c:v>0.06</c:v>
                </c:pt>
              </c:numCache>
            </c:numRef>
          </c:val>
          <c:smooth val="0"/>
          <c:extLst>
            <c:ext xmlns:c16="http://schemas.microsoft.com/office/drawing/2014/chart" uri="{C3380CC4-5D6E-409C-BE32-E72D297353CC}">
              <c16:uniqueId val="{00000004-33C0-4EC7-AF1E-6A2D049C2F0E}"/>
            </c:ext>
          </c:extLst>
        </c:ser>
        <c:dLbls>
          <c:showLegendKey val="0"/>
          <c:showVal val="0"/>
          <c:showCatName val="0"/>
          <c:showSerName val="0"/>
          <c:showPercent val="0"/>
          <c:showBubbleSize val="0"/>
        </c:dLbls>
        <c:smooth val="0"/>
        <c:axId val="124371328"/>
        <c:axId val="124372864"/>
      </c:lineChart>
      <c:catAx>
        <c:axId val="1243713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4372864"/>
        <c:crosses val="autoZero"/>
        <c:auto val="1"/>
        <c:lblAlgn val="ctr"/>
        <c:lblOffset val="100"/>
        <c:noMultiLvlLbl val="0"/>
      </c:catAx>
      <c:valAx>
        <c:axId val="12437286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43713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Analysis!$B$969</c:f>
              <c:strCache>
                <c:ptCount val="1"/>
                <c:pt idx="0">
                  <c:v>EFCF (NSR)</c:v>
                </c:pt>
              </c:strCache>
            </c:strRef>
          </c:tx>
          <c:spPr>
            <a:solidFill>
              <a:srgbClr val="000080"/>
            </a:solidFill>
            <a:ln w="25400">
              <a:noFill/>
            </a:ln>
            <a:effectLst/>
          </c:spPr>
          <c:invertIfNegative val="0"/>
          <c:cat>
            <c:numRef>
              <c:f>Analysis!$C$968:$F$968</c:f>
              <c:numCache>
                <c:formatCode>0</c:formatCode>
                <c:ptCount val="4"/>
                <c:pt idx="0" formatCode="General">
                  <c:v>2017</c:v>
                </c:pt>
                <c:pt idx="1">
                  <c:v>2018</c:v>
                </c:pt>
                <c:pt idx="2">
                  <c:v>2019</c:v>
                </c:pt>
                <c:pt idx="3">
                  <c:v>2020</c:v>
                </c:pt>
              </c:numCache>
            </c:numRef>
          </c:cat>
          <c:val>
            <c:numRef>
              <c:f>Analysis!$C$969:$F$969</c:f>
              <c:numCache>
                <c:formatCode>#,##0</c:formatCode>
                <c:ptCount val="4"/>
                <c:pt idx="0">
                  <c:v>93.865019728729806</c:v>
                </c:pt>
                <c:pt idx="1">
                  <c:v>78.306080118971721</c:v>
                </c:pt>
                <c:pt idx="2">
                  <c:v>142.40066666666672</c:v>
                </c:pt>
                <c:pt idx="3">
                  <c:v>196.00200000000001</c:v>
                </c:pt>
              </c:numCache>
            </c:numRef>
          </c:val>
          <c:extLst>
            <c:ext xmlns:c16="http://schemas.microsoft.com/office/drawing/2014/chart" uri="{C3380CC4-5D6E-409C-BE32-E72D297353CC}">
              <c16:uniqueId val="{00000000-D6E4-4D8E-9B20-514286DF71DD}"/>
            </c:ext>
          </c:extLst>
        </c:ser>
        <c:ser>
          <c:idx val="1"/>
          <c:order val="1"/>
          <c:tx>
            <c:strRef>
              <c:f>Analysis!$B$970</c:f>
              <c:strCache>
                <c:ptCount val="1"/>
                <c:pt idx="0">
                  <c:v>LBTY FCF (adj for mins)</c:v>
                </c:pt>
              </c:strCache>
            </c:strRef>
          </c:tx>
          <c:spPr>
            <a:solidFill>
              <a:srgbClr val="9999FF"/>
            </a:solidFill>
            <a:ln w="25400">
              <a:noFill/>
            </a:ln>
            <a:effectLst/>
          </c:spPr>
          <c:invertIfNegative val="0"/>
          <c:cat>
            <c:numRef>
              <c:f>Analysis!$C$968:$F$968</c:f>
              <c:numCache>
                <c:formatCode>0</c:formatCode>
                <c:ptCount val="4"/>
                <c:pt idx="0" formatCode="General">
                  <c:v>2017</c:v>
                </c:pt>
                <c:pt idx="1">
                  <c:v>2018</c:v>
                </c:pt>
                <c:pt idx="2">
                  <c:v>2019</c:v>
                </c:pt>
                <c:pt idx="3">
                  <c:v>2020</c:v>
                </c:pt>
              </c:numCache>
            </c:numRef>
          </c:cat>
          <c:val>
            <c:numRef>
              <c:f>Analysis!$C$970:$F$970</c:f>
              <c:numCache>
                <c:formatCode>#,##0</c:formatCode>
                <c:ptCount val="4"/>
                <c:pt idx="0">
                  <c:v>0</c:v>
                </c:pt>
                <c:pt idx="1">
                  <c:v>0</c:v>
                </c:pt>
                <c:pt idx="2">
                  <c:v>0</c:v>
                </c:pt>
                <c:pt idx="3">
                  <c:v>0</c:v>
                </c:pt>
              </c:numCache>
            </c:numRef>
          </c:val>
          <c:extLst>
            <c:ext xmlns:c16="http://schemas.microsoft.com/office/drawing/2014/chart" uri="{C3380CC4-5D6E-409C-BE32-E72D297353CC}">
              <c16:uniqueId val="{00000001-D6E4-4D8E-9B20-514286DF71DD}"/>
            </c:ext>
          </c:extLst>
        </c:ser>
        <c:dLbls>
          <c:showLegendKey val="0"/>
          <c:showVal val="0"/>
          <c:showCatName val="0"/>
          <c:showSerName val="0"/>
          <c:showPercent val="0"/>
          <c:showBubbleSize val="0"/>
        </c:dLbls>
        <c:gapWidth val="219"/>
        <c:overlap val="-27"/>
        <c:axId val="1090477072"/>
        <c:axId val="1242963888"/>
      </c:barChart>
      <c:catAx>
        <c:axId val="109047707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42963888"/>
        <c:crosses val="autoZero"/>
        <c:auto val="1"/>
        <c:lblAlgn val="ctr"/>
        <c:lblOffset val="100"/>
        <c:noMultiLvlLbl val="0"/>
      </c:catAx>
      <c:valAx>
        <c:axId val="1242963888"/>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9047707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Analysis!$B$973</c:f>
              <c:strCache>
                <c:ptCount val="1"/>
                <c:pt idx="0">
                  <c:v>EFCF (NSR) yield</c:v>
                </c:pt>
              </c:strCache>
            </c:strRef>
          </c:tx>
          <c:spPr>
            <a:ln w="25400" cap="rnd">
              <a:solidFill>
                <a:srgbClr val="333399"/>
              </a:solidFill>
              <a:prstDash val="solid"/>
              <a:round/>
            </a:ln>
            <a:effectLst/>
          </c:spPr>
          <c:marker>
            <c:symbol val="none"/>
          </c:marker>
          <c:cat>
            <c:numRef>
              <c:f>Analysis!$C$972:$F$972</c:f>
              <c:numCache>
                <c:formatCode>0</c:formatCode>
                <c:ptCount val="4"/>
                <c:pt idx="0" formatCode="General">
                  <c:v>2017</c:v>
                </c:pt>
                <c:pt idx="1">
                  <c:v>2018</c:v>
                </c:pt>
                <c:pt idx="2">
                  <c:v>2019</c:v>
                </c:pt>
                <c:pt idx="3">
                  <c:v>2020</c:v>
                </c:pt>
              </c:numCache>
            </c:numRef>
          </c:cat>
          <c:val>
            <c:numRef>
              <c:f>Analysis!$C$973:$F$973</c:f>
              <c:numCache>
                <c:formatCode>0%</c:formatCode>
                <c:ptCount val="4"/>
                <c:pt idx="0">
                  <c:v>8.0623047303144194E-2</c:v>
                </c:pt>
                <c:pt idx="1">
                  <c:v>6.3628075661779512E-2</c:v>
                </c:pt>
                <c:pt idx="2">
                  <c:v>0.11511001577474071</c:v>
                </c:pt>
                <c:pt idx="3">
                  <c:v>0.12422455514119626</c:v>
                </c:pt>
              </c:numCache>
            </c:numRef>
          </c:val>
          <c:smooth val="0"/>
          <c:extLst>
            <c:ext xmlns:c16="http://schemas.microsoft.com/office/drawing/2014/chart" uri="{C3380CC4-5D6E-409C-BE32-E72D297353CC}">
              <c16:uniqueId val="{00000000-B5A5-449E-B7FF-36F392B53D16}"/>
            </c:ext>
          </c:extLst>
        </c:ser>
        <c:ser>
          <c:idx val="1"/>
          <c:order val="1"/>
          <c:tx>
            <c:strRef>
              <c:f>Analysis!$B$974</c:f>
              <c:strCache>
                <c:ptCount val="1"/>
                <c:pt idx="0">
                  <c:v>LBTY FCF (adj for mins) yield</c:v>
                </c:pt>
              </c:strCache>
            </c:strRef>
          </c:tx>
          <c:spPr>
            <a:ln w="25400" cap="rnd">
              <a:solidFill>
                <a:srgbClr val="99CCFF"/>
              </a:solidFill>
              <a:prstDash val="solid"/>
              <a:round/>
            </a:ln>
            <a:effectLst/>
          </c:spPr>
          <c:marker>
            <c:symbol val="none"/>
          </c:marker>
          <c:cat>
            <c:numRef>
              <c:f>Analysis!$C$972:$F$972</c:f>
              <c:numCache>
                <c:formatCode>0</c:formatCode>
                <c:ptCount val="4"/>
                <c:pt idx="0" formatCode="General">
                  <c:v>2017</c:v>
                </c:pt>
                <c:pt idx="1">
                  <c:v>2018</c:v>
                </c:pt>
                <c:pt idx="2">
                  <c:v>2019</c:v>
                </c:pt>
                <c:pt idx="3">
                  <c:v>2020</c:v>
                </c:pt>
              </c:numCache>
            </c:numRef>
          </c:cat>
          <c:val>
            <c:numRef>
              <c:f>Analysis!$C$974:$F$974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1-B5A5-449E-B7FF-36F392B53D16}"/>
            </c:ext>
          </c:extLst>
        </c:ser>
        <c:dLbls>
          <c:showLegendKey val="0"/>
          <c:showVal val="0"/>
          <c:showCatName val="0"/>
          <c:showSerName val="0"/>
          <c:showPercent val="0"/>
          <c:showBubbleSize val="0"/>
        </c:dLbls>
        <c:smooth val="0"/>
        <c:axId val="1068230208"/>
        <c:axId val="1243001904"/>
      </c:lineChart>
      <c:catAx>
        <c:axId val="106823020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43001904"/>
        <c:crosses val="autoZero"/>
        <c:auto val="1"/>
        <c:lblAlgn val="ctr"/>
        <c:lblOffset val="100"/>
        <c:noMultiLvlLbl val="0"/>
      </c:catAx>
      <c:valAx>
        <c:axId val="124300190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68230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Analysis!$B$1068</c:f>
              <c:strCache>
                <c:ptCount val="1"/>
                <c:pt idx="0">
                  <c:v>Homes passed</c:v>
                </c:pt>
              </c:strCache>
            </c:strRef>
          </c:tx>
          <c:spPr>
            <a:ln w="25400" cap="rnd">
              <a:solidFill>
                <a:srgbClr val="333399"/>
              </a:solidFill>
              <a:prstDash val="solid"/>
              <a:round/>
            </a:ln>
            <a:effectLst/>
          </c:spPr>
          <c:marker>
            <c:symbol val="none"/>
          </c:marker>
          <c:cat>
            <c:numRef>
              <c:f>Analysis!$C$1067:$G$1067</c:f>
              <c:numCache>
                <c:formatCode>General</c:formatCode>
                <c:ptCount val="5"/>
                <c:pt idx="0">
                  <c:v>2016</c:v>
                </c:pt>
                <c:pt idx="1">
                  <c:v>2017</c:v>
                </c:pt>
                <c:pt idx="2">
                  <c:v>2018</c:v>
                </c:pt>
                <c:pt idx="3">
                  <c:v>2019</c:v>
                </c:pt>
                <c:pt idx="4">
                  <c:v>2020</c:v>
                </c:pt>
              </c:numCache>
            </c:numRef>
          </c:cat>
          <c:val>
            <c:numRef>
              <c:f>Analysis!$C$1068:$G$1068</c:f>
              <c:numCache>
                <c:formatCode>0.0%</c:formatCode>
                <c:ptCount val="5"/>
                <c:pt idx="0">
                  <c:v>5.0661440470357588E-2</c:v>
                </c:pt>
                <c:pt idx="1">
                  <c:v>5.5369023192190392E-2</c:v>
                </c:pt>
                <c:pt idx="2">
                  <c:v>3.6232951365363641E-2</c:v>
                </c:pt>
                <c:pt idx="3">
                  <c:v>1.1371066321744339E-2</c:v>
                </c:pt>
                <c:pt idx="4">
                  <c:v>1.1243218933580712E-2</c:v>
                </c:pt>
              </c:numCache>
            </c:numRef>
          </c:val>
          <c:smooth val="0"/>
          <c:extLst>
            <c:ext xmlns:c16="http://schemas.microsoft.com/office/drawing/2014/chart" uri="{C3380CC4-5D6E-409C-BE32-E72D297353CC}">
              <c16:uniqueId val="{00000000-A9C5-434E-9579-CC49D2F34226}"/>
            </c:ext>
          </c:extLst>
        </c:ser>
        <c:ser>
          <c:idx val="1"/>
          <c:order val="1"/>
          <c:tx>
            <c:strRef>
              <c:f>Analysis!$B$1069</c:f>
              <c:strCache>
                <c:ptCount val="1"/>
                <c:pt idx="0">
                  <c:v>Revenue</c:v>
                </c:pt>
              </c:strCache>
            </c:strRef>
          </c:tx>
          <c:spPr>
            <a:ln w="25400" cap="rnd">
              <a:solidFill>
                <a:srgbClr val="99CCFF"/>
              </a:solidFill>
              <a:prstDash val="solid"/>
              <a:round/>
            </a:ln>
            <a:effectLst/>
          </c:spPr>
          <c:marker>
            <c:symbol val="none"/>
          </c:marker>
          <c:cat>
            <c:numRef>
              <c:f>Analysis!$C$1067:$G$1067</c:f>
              <c:numCache>
                <c:formatCode>General</c:formatCode>
                <c:ptCount val="5"/>
                <c:pt idx="0">
                  <c:v>2016</c:v>
                </c:pt>
                <c:pt idx="1">
                  <c:v>2017</c:v>
                </c:pt>
                <c:pt idx="2">
                  <c:v>2018</c:v>
                </c:pt>
                <c:pt idx="3">
                  <c:v>2019</c:v>
                </c:pt>
                <c:pt idx="4">
                  <c:v>2020</c:v>
                </c:pt>
              </c:numCache>
            </c:numRef>
          </c:cat>
          <c:val>
            <c:numRef>
              <c:f>Analysis!$C$1069:$G$1069</c:f>
              <c:numCache>
                <c:formatCode>0.0%</c:formatCode>
                <c:ptCount val="5"/>
                <c:pt idx="0">
                  <c:v>6.045662100456628E-2</c:v>
                </c:pt>
                <c:pt idx="1">
                  <c:v>6.3727178780571769E-2</c:v>
                </c:pt>
                <c:pt idx="2">
                  <c:v>5.1324622733160519E-2</c:v>
                </c:pt>
                <c:pt idx="3">
                  <c:v>4.960902544407042E-2</c:v>
                </c:pt>
                <c:pt idx="4">
                  <c:v>4.5116119732044213E-2</c:v>
                </c:pt>
              </c:numCache>
            </c:numRef>
          </c:val>
          <c:smooth val="0"/>
          <c:extLst>
            <c:ext xmlns:c16="http://schemas.microsoft.com/office/drawing/2014/chart" uri="{C3380CC4-5D6E-409C-BE32-E72D297353CC}">
              <c16:uniqueId val="{00000001-A9C5-434E-9579-CC49D2F34226}"/>
            </c:ext>
          </c:extLst>
        </c:ser>
        <c:ser>
          <c:idx val="2"/>
          <c:order val="2"/>
          <c:tx>
            <c:strRef>
              <c:f>Analysis!$B$1070</c:f>
              <c:strCache>
                <c:ptCount val="1"/>
                <c:pt idx="0">
                  <c:v>EBITDA</c:v>
                </c:pt>
              </c:strCache>
            </c:strRef>
          </c:tx>
          <c:spPr>
            <a:ln w="25400" cap="rnd">
              <a:solidFill>
                <a:srgbClr val="333399"/>
              </a:solidFill>
              <a:prstDash val="lgDash"/>
              <a:round/>
            </a:ln>
            <a:effectLst/>
          </c:spPr>
          <c:marker>
            <c:symbol val="none"/>
          </c:marker>
          <c:cat>
            <c:numRef>
              <c:f>Analysis!$C$1067:$G$1067</c:f>
              <c:numCache>
                <c:formatCode>General</c:formatCode>
                <c:ptCount val="5"/>
                <c:pt idx="0">
                  <c:v>2016</c:v>
                </c:pt>
                <c:pt idx="1">
                  <c:v>2017</c:v>
                </c:pt>
                <c:pt idx="2">
                  <c:v>2018</c:v>
                </c:pt>
                <c:pt idx="3">
                  <c:v>2019</c:v>
                </c:pt>
                <c:pt idx="4">
                  <c:v>2020</c:v>
                </c:pt>
              </c:numCache>
            </c:numRef>
          </c:cat>
          <c:val>
            <c:numRef>
              <c:f>Analysis!$C$1070:$G$1070</c:f>
              <c:numCache>
                <c:formatCode>0.0%</c:formatCode>
                <c:ptCount val="5"/>
                <c:pt idx="0">
                  <c:v>6.9062062529164914E-2</c:v>
                </c:pt>
                <c:pt idx="1">
                  <c:v>8.3369707551287586E-2</c:v>
                </c:pt>
                <c:pt idx="2">
                  <c:v>5.1285144634509061E-2</c:v>
                </c:pt>
                <c:pt idx="3">
                  <c:v>5.2585449770488069E-2</c:v>
                </c:pt>
                <c:pt idx="4">
                  <c:v>4.9487740081432197E-2</c:v>
                </c:pt>
              </c:numCache>
            </c:numRef>
          </c:val>
          <c:smooth val="0"/>
          <c:extLst>
            <c:ext xmlns:c16="http://schemas.microsoft.com/office/drawing/2014/chart" uri="{C3380CC4-5D6E-409C-BE32-E72D297353CC}">
              <c16:uniqueId val="{00000002-A9C5-434E-9579-CC49D2F34226}"/>
            </c:ext>
          </c:extLst>
        </c:ser>
        <c:dLbls>
          <c:showLegendKey val="0"/>
          <c:showVal val="0"/>
          <c:showCatName val="0"/>
          <c:showSerName val="0"/>
          <c:showPercent val="0"/>
          <c:showBubbleSize val="0"/>
        </c:dLbls>
        <c:smooth val="0"/>
        <c:axId val="777028768"/>
        <c:axId val="677722176"/>
      </c:lineChart>
      <c:catAx>
        <c:axId val="77702876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77722176"/>
        <c:crosses val="autoZero"/>
        <c:auto val="1"/>
        <c:lblAlgn val="ctr"/>
        <c:lblOffset val="100"/>
        <c:noMultiLvlLbl val="0"/>
      </c:catAx>
      <c:valAx>
        <c:axId val="677722176"/>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70287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37019312512179"/>
          <c:y val="5.042567645124519E-2"/>
          <c:w val="0.64509576537250191"/>
          <c:h val="0.65684081873683864"/>
        </c:manualLayout>
      </c:layout>
      <c:lineChart>
        <c:grouping val="standard"/>
        <c:varyColors val="0"/>
        <c:ser>
          <c:idx val="1"/>
          <c:order val="1"/>
          <c:tx>
            <c:strRef>
              <c:f>Analysis!$B$1075</c:f>
              <c:strCache>
                <c:ptCount val="1"/>
                <c:pt idx="0">
                  <c:v>as % pre-synergy opex (LHS)</c:v>
                </c:pt>
              </c:strCache>
            </c:strRef>
          </c:tx>
          <c:spPr>
            <a:ln w="25400" cap="rnd">
              <a:solidFill>
                <a:srgbClr val="99CCFF"/>
              </a:solidFill>
              <a:prstDash val="solid"/>
              <a:round/>
            </a:ln>
            <a:effectLst/>
          </c:spPr>
          <c:marker>
            <c:symbol val="none"/>
          </c:marker>
          <c:cat>
            <c:numRef>
              <c:f>Analysis!$C$1073:$F$1073</c:f>
              <c:numCache>
                <c:formatCode>General</c:formatCode>
                <c:ptCount val="4"/>
                <c:pt idx="0">
                  <c:v>2017</c:v>
                </c:pt>
                <c:pt idx="1">
                  <c:v>2018</c:v>
                </c:pt>
                <c:pt idx="2">
                  <c:v>2019</c:v>
                </c:pt>
                <c:pt idx="3">
                  <c:v>2020</c:v>
                </c:pt>
              </c:numCache>
            </c:numRef>
          </c:cat>
          <c:val>
            <c:numRef>
              <c:f>Analysis!$C$1075:$F$1075</c:f>
              <c:numCache>
                <c:formatCode>0.0%</c:formatCode>
                <c:ptCount val="4"/>
                <c:pt idx="0">
                  <c:v>-1.1439677102773382E-2</c:v>
                </c:pt>
                <c:pt idx="1">
                  <c:v>-2.0625517934279622E-2</c:v>
                </c:pt>
                <c:pt idx="2">
                  <c:v>-2.385496183206107E-2</c:v>
                </c:pt>
                <c:pt idx="3">
                  <c:v>-1.8011387006689392E-2</c:v>
                </c:pt>
              </c:numCache>
            </c:numRef>
          </c:val>
          <c:smooth val="0"/>
          <c:extLst>
            <c:ext xmlns:c16="http://schemas.microsoft.com/office/drawing/2014/chart" uri="{C3380CC4-5D6E-409C-BE32-E72D297353CC}">
              <c16:uniqueId val="{00000001-EF90-47D2-9F11-7E80485B9468}"/>
            </c:ext>
          </c:extLst>
        </c:ser>
        <c:dLbls>
          <c:showLegendKey val="0"/>
          <c:showVal val="0"/>
          <c:showCatName val="0"/>
          <c:showSerName val="0"/>
          <c:showPercent val="0"/>
          <c:showBubbleSize val="0"/>
        </c:dLbls>
        <c:marker val="1"/>
        <c:smooth val="0"/>
        <c:axId val="575678032"/>
        <c:axId val="837658848"/>
      </c:lineChart>
      <c:lineChart>
        <c:grouping val="standard"/>
        <c:varyColors val="0"/>
        <c:ser>
          <c:idx val="0"/>
          <c:order val="0"/>
          <c:tx>
            <c:strRef>
              <c:f>Analysis!$B$1074</c:f>
              <c:strCache>
                <c:ptCount val="1"/>
                <c:pt idx="0">
                  <c:v>Synergies (absolute, US$ mn)</c:v>
                </c:pt>
              </c:strCache>
            </c:strRef>
          </c:tx>
          <c:spPr>
            <a:ln w="25400" cap="rnd">
              <a:solidFill>
                <a:srgbClr val="333399"/>
              </a:solidFill>
              <a:prstDash val="solid"/>
              <a:round/>
            </a:ln>
            <a:effectLst/>
          </c:spPr>
          <c:marker>
            <c:symbol val="none"/>
          </c:marker>
          <c:cat>
            <c:numRef>
              <c:f>Analysis!$C$1073:$F$1073</c:f>
              <c:numCache>
                <c:formatCode>General</c:formatCode>
                <c:ptCount val="4"/>
                <c:pt idx="0">
                  <c:v>2017</c:v>
                </c:pt>
                <c:pt idx="1">
                  <c:v>2018</c:v>
                </c:pt>
                <c:pt idx="2">
                  <c:v>2019</c:v>
                </c:pt>
                <c:pt idx="3">
                  <c:v>2020</c:v>
                </c:pt>
              </c:numCache>
            </c:numRef>
          </c:cat>
          <c:val>
            <c:numRef>
              <c:f>Analysis!$C$1074:$F$1074</c:f>
              <c:numCache>
                <c:formatCode>0</c:formatCode>
                <c:ptCount val="4"/>
                <c:pt idx="0">
                  <c:v>-25.1</c:v>
                </c:pt>
                <c:pt idx="1">
                  <c:v>-46.1</c:v>
                </c:pt>
                <c:pt idx="2">
                  <c:v>-55</c:v>
                </c:pt>
                <c:pt idx="3">
                  <c:v>-40.339393939394085</c:v>
                </c:pt>
              </c:numCache>
            </c:numRef>
          </c:val>
          <c:smooth val="0"/>
          <c:extLst>
            <c:ext xmlns:c16="http://schemas.microsoft.com/office/drawing/2014/chart" uri="{C3380CC4-5D6E-409C-BE32-E72D297353CC}">
              <c16:uniqueId val="{00000000-EF90-47D2-9F11-7E80485B9468}"/>
            </c:ext>
          </c:extLst>
        </c:ser>
        <c:dLbls>
          <c:showLegendKey val="0"/>
          <c:showVal val="0"/>
          <c:showCatName val="0"/>
          <c:showSerName val="0"/>
          <c:showPercent val="0"/>
          <c:showBubbleSize val="0"/>
        </c:dLbls>
        <c:marker val="1"/>
        <c:smooth val="0"/>
        <c:axId val="647802480"/>
        <c:axId val="790476240"/>
      </c:lineChart>
      <c:catAx>
        <c:axId val="57567803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7658848"/>
        <c:crosses val="autoZero"/>
        <c:auto val="1"/>
        <c:lblAlgn val="ctr"/>
        <c:lblOffset val="100"/>
        <c:noMultiLvlLbl val="0"/>
      </c:catAx>
      <c:valAx>
        <c:axId val="83765884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as % opex</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75678032"/>
        <c:crosses val="autoZero"/>
        <c:crossBetween val="between"/>
      </c:valAx>
      <c:valAx>
        <c:axId val="7904762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US$ mn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47802480"/>
        <c:crosses val="max"/>
        <c:crossBetween val="between"/>
      </c:valAx>
      <c:catAx>
        <c:axId val="647802480"/>
        <c:scaling>
          <c:orientation val="minMax"/>
        </c:scaling>
        <c:delete val="1"/>
        <c:axPos val="b"/>
        <c:numFmt formatCode="General" sourceLinked="1"/>
        <c:majorTickMark val="out"/>
        <c:minorTickMark val="none"/>
        <c:tickLblPos val="nextTo"/>
        <c:crossAx val="790476240"/>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71322645433506"/>
          <c:y val="5.042567645124519E-2"/>
          <c:w val="0.65446946611872081"/>
          <c:h val="0.65684081873683864"/>
        </c:manualLayout>
      </c:layout>
      <c:lineChart>
        <c:grouping val="standard"/>
        <c:varyColors val="0"/>
        <c:ser>
          <c:idx val="1"/>
          <c:order val="1"/>
          <c:tx>
            <c:strRef>
              <c:f>Analysis!$B$1078</c:f>
              <c:strCache>
                <c:ptCount val="1"/>
                <c:pt idx="0">
                  <c:v>as % pre-synergy capex (LHS)</c:v>
                </c:pt>
              </c:strCache>
            </c:strRef>
          </c:tx>
          <c:spPr>
            <a:ln w="25400" cap="rnd">
              <a:solidFill>
                <a:srgbClr val="99CCFF"/>
              </a:solidFill>
              <a:prstDash val="solid"/>
              <a:round/>
            </a:ln>
            <a:effectLst/>
          </c:spPr>
          <c:marker>
            <c:symbol val="none"/>
          </c:marker>
          <c:cat>
            <c:numRef>
              <c:f>Analysis!$C$1073:$F$1073</c:f>
              <c:numCache>
                <c:formatCode>General</c:formatCode>
                <c:ptCount val="4"/>
                <c:pt idx="0">
                  <c:v>2017</c:v>
                </c:pt>
                <c:pt idx="1">
                  <c:v>2018</c:v>
                </c:pt>
                <c:pt idx="2">
                  <c:v>2019</c:v>
                </c:pt>
                <c:pt idx="3">
                  <c:v>2020</c:v>
                </c:pt>
              </c:numCache>
            </c:numRef>
          </c:cat>
          <c:val>
            <c:numRef>
              <c:f>Analysis!$C$1078:$F$1078</c:f>
              <c:numCache>
                <c:formatCode>0.0%</c:formatCode>
                <c:ptCount val="4"/>
                <c:pt idx="0">
                  <c:v>2.5108398000616098E-2</c:v>
                </c:pt>
                <c:pt idx="1">
                  <c:v>4.9297510475720986E-2</c:v>
                </c:pt>
                <c:pt idx="2">
                  <c:v>8.7818341487893622E-2</c:v>
                </c:pt>
                <c:pt idx="3">
                  <c:v>9.9857346647646214E-2</c:v>
                </c:pt>
              </c:numCache>
            </c:numRef>
          </c:val>
          <c:smooth val="0"/>
          <c:extLst>
            <c:ext xmlns:c16="http://schemas.microsoft.com/office/drawing/2014/chart" uri="{C3380CC4-5D6E-409C-BE32-E72D297353CC}">
              <c16:uniqueId val="{00000000-8335-4A93-9A14-C129459743CE}"/>
            </c:ext>
          </c:extLst>
        </c:ser>
        <c:dLbls>
          <c:showLegendKey val="0"/>
          <c:showVal val="0"/>
          <c:showCatName val="0"/>
          <c:showSerName val="0"/>
          <c:showPercent val="0"/>
          <c:showBubbleSize val="0"/>
        </c:dLbls>
        <c:marker val="1"/>
        <c:smooth val="0"/>
        <c:axId val="575678032"/>
        <c:axId val="837658848"/>
      </c:lineChart>
      <c:lineChart>
        <c:grouping val="standard"/>
        <c:varyColors val="0"/>
        <c:ser>
          <c:idx val="0"/>
          <c:order val="0"/>
          <c:tx>
            <c:strRef>
              <c:f>Analysis!$B$1077</c:f>
              <c:strCache>
                <c:ptCount val="1"/>
                <c:pt idx="0">
                  <c:v>Synergies (absolute, US$ mn)</c:v>
                </c:pt>
              </c:strCache>
            </c:strRef>
          </c:tx>
          <c:spPr>
            <a:ln w="25400" cap="rnd">
              <a:solidFill>
                <a:srgbClr val="333399"/>
              </a:solidFill>
              <a:prstDash val="solid"/>
              <a:round/>
            </a:ln>
            <a:effectLst/>
          </c:spPr>
          <c:marker>
            <c:symbol val="none"/>
          </c:marker>
          <c:cat>
            <c:numRef>
              <c:f>Analysis!$C$1073:$F$1073</c:f>
              <c:numCache>
                <c:formatCode>General</c:formatCode>
                <c:ptCount val="4"/>
                <c:pt idx="0">
                  <c:v>2017</c:v>
                </c:pt>
                <c:pt idx="1">
                  <c:v>2018</c:v>
                </c:pt>
                <c:pt idx="2">
                  <c:v>2019</c:v>
                </c:pt>
                <c:pt idx="3">
                  <c:v>2020</c:v>
                </c:pt>
              </c:numCache>
            </c:numRef>
          </c:cat>
          <c:val>
            <c:numRef>
              <c:f>Analysis!$C$1077:$F$1077</c:f>
              <c:numCache>
                <c:formatCode>General</c:formatCode>
                <c:ptCount val="4"/>
                <c:pt idx="0">
                  <c:v>20</c:v>
                </c:pt>
                <c:pt idx="1">
                  <c:v>40</c:v>
                </c:pt>
                <c:pt idx="2">
                  <c:v>70</c:v>
                </c:pt>
                <c:pt idx="3">
                  <c:v>70</c:v>
                </c:pt>
              </c:numCache>
            </c:numRef>
          </c:val>
          <c:smooth val="0"/>
          <c:extLst>
            <c:ext xmlns:c16="http://schemas.microsoft.com/office/drawing/2014/chart" uri="{C3380CC4-5D6E-409C-BE32-E72D297353CC}">
              <c16:uniqueId val="{00000001-8335-4A93-9A14-C129459743CE}"/>
            </c:ext>
          </c:extLst>
        </c:ser>
        <c:dLbls>
          <c:showLegendKey val="0"/>
          <c:showVal val="0"/>
          <c:showCatName val="0"/>
          <c:showSerName val="0"/>
          <c:showPercent val="0"/>
          <c:showBubbleSize val="0"/>
        </c:dLbls>
        <c:marker val="1"/>
        <c:smooth val="0"/>
        <c:axId val="647802480"/>
        <c:axId val="790476240"/>
      </c:lineChart>
      <c:catAx>
        <c:axId val="57567803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7658848"/>
        <c:crosses val="autoZero"/>
        <c:auto val="1"/>
        <c:lblAlgn val="ctr"/>
        <c:lblOffset val="100"/>
        <c:noMultiLvlLbl val="0"/>
      </c:catAx>
      <c:valAx>
        <c:axId val="83765884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as % capex</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75678032"/>
        <c:crosses val="autoZero"/>
        <c:crossBetween val="between"/>
      </c:valAx>
      <c:valAx>
        <c:axId val="7904762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US$</a:t>
                </a:r>
                <a:r>
                  <a:rPr lang="en-GB" baseline="0"/>
                  <a:t> mn</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47802480"/>
        <c:crosses val="max"/>
        <c:crossBetween val="between"/>
      </c:valAx>
      <c:catAx>
        <c:axId val="647802480"/>
        <c:scaling>
          <c:orientation val="minMax"/>
        </c:scaling>
        <c:delete val="1"/>
        <c:axPos val="b"/>
        <c:numFmt formatCode="General" sourceLinked="1"/>
        <c:majorTickMark val="out"/>
        <c:minorTickMark val="none"/>
        <c:tickLblPos val="nextTo"/>
        <c:crossAx val="790476240"/>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Analysis!$C$1119:$G$1119</c:f>
              <c:numCache>
                <c:formatCode>General</c:formatCode>
                <c:ptCount val="5"/>
                <c:pt idx="0">
                  <c:v>2016</c:v>
                </c:pt>
                <c:pt idx="1">
                  <c:v>2017</c:v>
                </c:pt>
                <c:pt idx="2">
                  <c:v>2018</c:v>
                </c:pt>
                <c:pt idx="3">
                  <c:v>2019</c:v>
                </c:pt>
                <c:pt idx="4">
                  <c:v>2020</c:v>
                </c:pt>
              </c:numCache>
            </c:numRef>
          </c:cat>
          <c:val>
            <c:numRef>
              <c:f>Analysis!$C$1121:$G$1121</c:f>
              <c:numCache>
                <c:formatCode>0.0%</c:formatCode>
                <c:ptCount val="5"/>
                <c:pt idx="0">
                  <c:v>0</c:v>
                </c:pt>
                <c:pt idx="1">
                  <c:v>0.21653023144324121</c:v>
                </c:pt>
                <c:pt idx="2">
                  <c:v>0.20883828593058054</c:v>
                </c:pt>
                <c:pt idx="3">
                  <c:v>0.18802203201365361</c:v>
                </c:pt>
                <c:pt idx="4">
                  <c:v>0.16759628154050465</c:v>
                </c:pt>
              </c:numCache>
            </c:numRef>
          </c:val>
          <c:smooth val="0"/>
          <c:extLst>
            <c:ext xmlns:c16="http://schemas.microsoft.com/office/drawing/2014/chart" uri="{C3380CC4-5D6E-409C-BE32-E72D297353CC}">
              <c16:uniqueId val="{00000000-BA71-498E-A490-F17446DAA640}"/>
            </c:ext>
          </c:extLst>
        </c:ser>
        <c:dLbls>
          <c:showLegendKey val="0"/>
          <c:showVal val="0"/>
          <c:showCatName val="0"/>
          <c:showSerName val="0"/>
          <c:showPercent val="0"/>
          <c:showBubbleSize val="0"/>
        </c:dLbls>
        <c:smooth val="0"/>
        <c:axId val="360350600"/>
        <c:axId val="360357816"/>
      </c:lineChart>
      <c:catAx>
        <c:axId val="3603506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crossAx val="360357816"/>
        <c:crosses val="autoZero"/>
        <c:auto val="1"/>
        <c:lblAlgn val="ctr"/>
        <c:lblOffset val="100"/>
        <c:noMultiLvlLbl val="0"/>
      </c:catAx>
      <c:valAx>
        <c:axId val="3603578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crossAx val="360350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40107181313732"/>
          <c:y val="8.3032589676290458E-2"/>
          <c:w val="0.56092334727617454"/>
          <c:h val="0.5676009769612131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5504-4A14-98F0-CDB91D18F13B}"/>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5504-4A14-98F0-CDB91D18F13B}"/>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5504-4A14-98F0-CDB91D18F13B}"/>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5504-4A14-98F0-CDB91D18F13B}"/>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5504-4A14-98F0-CDB91D18F13B}"/>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6-5504-4A14-98F0-CDB91D18F13B}"/>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7-5504-4A14-98F0-CDB91D18F13B}"/>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8-5504-4A14-98F0-CDB91D18F13B}"/>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09-5504-4A14-98F0-CDB91D18F13B}"/>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0A-5504-4A14-98F0-CDB91D18F13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733-406A-B3A7-DFD2A37250A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Analysis!$B$1243:$B$1253</c:f>
              <c:strCache>
                <c:ptCount val="11"/>
                <c:pt idx="0">
                  <c:v>VTR</c:v>
                </c:pt>
                <c:pt idx="1">
                  <c:v>Panama</c:v>
                </c:pt>
                <c:pt idx="2">
                  <c:v>PR</c:v>
                </c:pt>
                <c:pt idx="3">
                  <c:v>Other Caribbean</c:v>
                </c:pt>
                <c:pt idx="4">
                  <c:v>Networks/LatAm</c:v>
                </c:pt>
                <c:pt idx="5">
                  <c:v>Jamaica</c:v>
                </c:pt>
                <c:pt idx="6">
                  <c:v>Bahamas</c:v>
                </c:pt>
                <c:pt idx="7">
                  <c:v>Trinidad &amp; Tobago</c:v>
                </c:pt>
                <c:pt idx="8">
                  <c:v>Barbados</c:v>
                </c:pt>
                <c:pt idx="9">
                  <c:v>Seychelles</c:v>
                </c:pt>
                <c:pt idx="10">
                  <c:v>Elims</c:v>
                </c:pt>
              </c:strCache>
            </c:strRef>
          </c:cat>
          <c:val>
            <c:numRef>
              <c:f>Analysis!$C$1243:$C$1253</c:f>
              <c:numCache>
                <c:formatCode>0</c:formatCode>
                <c:ptCount val="11"/>
                <c:pt idx="0">
                  <c:v>231.1</c:v>
                </c:pt>
                <c:pt idx="1">
                  <c:v>154.1</c:v>
                </c:pt>
                <c:pt idx="2">
                  <c:v>108.3</c:v>
                </c:pt>
                <c:pt idx="3">
                  <c:v>103.7</c:v>
                </c:pt>
                <c:pt idx="4">
                  <c:v>88.6</c:v>
                </c:pt>
                <c:pt idx="5">
                  <c:v>87.9</c:v>
                </c:pt>
                <c:pt idx="6">
                  <c:v>66.2</c:v>
                </c:pt>
                <c:pt idx="7">
                  <c:v>41.4</c:v>
                </c:pt>
                <c:pt idx="8">
                  <c:v>41.4</c:v>
                </c:pt>
                <c:pt idx="9">
                  <c:v>15</c:v>
                </c:pt>
                <c:pt idx="10">
                  <c:v>-17</c:v>
                </c:pt>
              </c:numCache>
            </c:numRef>
          </c:val>
          <c:extLst>
            <c:ext xmlns:c16="http://schemas.microsoft.com/office/drawing/2014/chart" uri="{C3380CC4-5D6E-409C-BE32-E72D297353CC}">
              <c16:uniqueId val="{00000000-5504-4A14-98F0-CDB91D18F13B}"/>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
          <c:y val="0.69692986293379988"/>
          <c:w val="0.98520997299212465"/>
          <c:h val="0.27529235928842227"/>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640107181313732"/>
          <c:y val="8.3032589676290458E-2"/>
          <c:w val="0.56092334727617454"/>
          <c:h val="0.5676009769612131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E58C-48EE-9BFA-0BEEE1C312D4}"/>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E58C-48EE-9BFA-0BEEE1C312D4}"/>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E58C-48EE-9BFA-0BEEE1C312D4}"/>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E58C-48EE-9BFA-0BEEE1C312D4}"/>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E58C-48EE-9BFA-0BEEE1C312D4}"/>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E58C-48EE-9BFA-0BEEE1C312D4}"/>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E58C-48EE-9BFA-0BEEE1C312D4}"/>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E58C-48EE-9BFA-0BEEE1C312D4}"/>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11-E58C-48EE-9BFA-0BEEE1C312D4}"/>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13-E58C-48EE-9BFA-0BEEE1C312D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58C-48EE-9BFA-0BEEE1C312D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Analysis!$B$1243:$B$1253</c:f>
              <c:strCache>
                <c:ptCount val="11"/>
                <c:pt idx="0">
                  <c:v>VTR</c:v>
                </c:pt>
                <c:pt idx="1">
                  <c:v>Panama</c:v>
                </c:pt>
                <c:pt idx="2">
                  <c:v>PR</c:v>
                </c:pt>
                <c:pt idx="3">
                  <c:v>Other Caribbean</c:v>
                </c:pt>
                <c:pt idx="4">
                  <c:v>Networks/LatAm</c:v>
                </c:pt>
                <c:pt idx="5">
                  <c:v>Jamaica</c:v>
                </c:pt>
                <c:pt idx="6">
                  <c:v>Bahamas</c:v>
                </c:pt>
                <c:pt idx="7">
                  <c:v>Trinidad &amp; Tobago</c:v>
                </c:pt>
                <c:pt idx="8">
                  <c:v>Barbados</c:v>
                </c:pt>
                <c:pt idx="9">
                  <c:v>Seychelles</c:v>
                </c:pt>
                <c:pt idx="10">
                  <c:v>Elims</c:v>
                </c:pt>
              </c:strCache>
            </c:strRef>
          </c:cat>
          <c:val>
            <c:numRef>
              <c:f>Analysis!$F$1243:$F$1253</c:f>
              <c:numCache>
                <c:formatCode>0</c:formatCode>
                <c:ptCount val="11"/>
                <c:pt idx="0">
                  <c:v>231.1</c:v>
                </c:pt>
                <c:pt idx="1">
                  <c:v>77.05</c:v>
                </c:pt>
                <c:pt idx="2">
                  <c:v>64.97999999999999</c:v>
                </c:pt>
                <c:pt idx="3">
                  <c:v>103.7</c:v>
                </c:pt>
                <c:pt idx="4">
                  <c:v>88.6</c:v>
                </c:pt>
                <c:pt idx="5">
                  <c:v>71.199000000000012</c:v>
                </c:pt>
                <c:pt idx="6">
                  <c:v>33.1</c:v>
                </c:pt>
                <c:pt idx="7">
                  <c:v>41.4</c:v>
                </c:pt>
                <c:pt idx="8">
                  <c:v>41.4</c:v>
                </c:pt>
                <c:pt idx="9">
                  <c:v>15</c:v>
                </c:pt>
                <c:pt idx="10">
                  <c:v>-17</c:v>
                </c:pt>
              </c:numCache>
            </c:numRef>
          </c:val>
          <c:extLst>
            <c:ext xmlns:c16="http://schemas.microsoft.com/office/drawing/2014/chart" uri="{C3380CC4-5D6E-409C-BE32-E72D297353CC}">
              <c16:uniqueId val="{00000016-E58C-48EE-9BFA-0BEEE1C312D4}"/>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0"/>
          <c:y val="0.69692986293379988"/>
          <c:w val="0.98520997299212465"/>
          <c:h val="0.27529235928842227"/>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Analysis!$B$1162</c:f>
              <c:strCache>
                <c:ptCount val="1"/>
                <c:pt idx="0">
                  <c:v>Net debt to EBITDA</c:v>
                </c:pt>
              </c:strCache>
            </c:strRef>
          </c:tx>
          <c:spPr>
            <a:ln w="25400" cap="rnd">
              <a:solidFill>
                <a:srgbClr val="333399"/>
              </a:solidFill>
              <a:prstDash val="solid"/>
              <a:round/>
            </a:ln>
            <a:effectLst/>
          </c:spPr>
          <c:marker>
            <c:symbol val="none"/>
          </c:marker>
          <c:cat>
            <c:numRef>
              <c:f>Analysis!$C$1161:$I$1161</c:f>
              <c:numCache>
                <c:formatCode>General</c:formatCode>
                <c:ptCount val="7"/>
                <c:pt idx="0">
                  <c:v>2016</c:v>
                </c:pt>
                <c:pt idx="1">
                  <c:v>2017</c:v>
                </c:pt>
                <c:pt idx="2">
                  <c:v>2018</c:v>
                </c:pt>
                <c:pt idx="3">
                  <c:v>2019</c:v>
                </c:pt>
                <c:pt idx="4">
                  <c:v>2020</c:v>
                </c:pt>
                <c:pt idx="5">
                  <c:v>2021</c:v>
                </c:pt>
                <c:pt idx="6">
                  <c:v>2022</c:v>
                </c:pt>
              </c:numCache>
            </c:numRef>
          </c:cat>
          <c:val>
            <c:numRef>
              <c:f>Analysis!$C$1162:$I$1162</c:f>
              <c:numCache>
                <c:formatCode>0.0</c:formatCode>
                <c:ptCount val="7"/>
                <c:pt idx="0">
                  <c:v>4.2701207243460768</c:v>
                </c:pt>
                <c:pt idx="1">
                  <c:v>6.8905606603935095</c:v>
                </c:pt>
                <c:pt idx="2">
                  <c:v>7.5199891770757521</c:v>
                </c:pt>
                <c:pt idx="3">
                  <c:v>4.9429482029189478</c:v>
                </c:pt>
                <c:pt idx="4">
                  <c:v>4.6657200689154452</c:v>
                </c:pt>
                <c:pt idx="5">
                  <c:v>4.2755780633867477</c:v>
                </c:pt>
                <c:pt idx="6">
                  <c:v>3.8137838688301802</c:v>
                </c:pt>
              </c:numCache>
            </c:numRef>
          </c:val>
          <c:smooth val="0"/>
          <c:extLst>
            <c:ext xmlns:c16="http://schemas.microsoft.com/office/drawing/2014/chart" uri="{C3380CC4-5D6E-409C-BE32-E72D297353CC}">
              <c16:uniqueId val="{00000000-A96F-494B-B3FE-2C0828212B50}"/>
            </c:ext>
          </c:extLst>
        </c:ser>
        <c:dLbls>
          <c:showLegendKey val="0"/>
          <c:showVal val="0"/>
          <c:showCatName val="0"/>
          <c:showSerName val="0"/>
          <c:showPercent val="0"/>
          <c:showBubbleSize val="0"/>
        </c:dLbls>
        <c:smooth val="0"/>
        <c:axId val="785062448"/>
        <c:axId val="779611808"/>
      </c:lineChart>
      <c:catAx>
        <c:axId val="78506244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79611808"/>
        <c:crosses val="autoZero"/>
        <c:auto val="1"/>
        <c:lblAlgn val="ctr"/>
        <c:lblOffset val="100"/>
        <c:noMultiLvlLbl val="0"/>
      </c:catAx>
      <c:valAx>
        <c:axId val="77961180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85062448"/>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rebuchet MS"/>
              <a:ea typeface="Trebuchet MS"/>
              <a:cs typeface="Trebuchet MS"/>
            </a:defRPr>
          </a:pPr>
          <a:endParaRPr lang="en-US"/>
        </a:p>
      </c:txPr>
    </c:title>
    <c:autoTitleDeleted val="0"/>
    <c:plotArea>
      <c:layout/>
      <c:lineChart>
        <c:grouping val="standard"/>
        <c:varyColors val="0"/>
        <c:ser>
          <c:idx val="0"/>
          <c:order val="0"/>
          <c:tx>
            <c:strRef>
              <c:f>Analysis!$F$1588</c:f>
              <c:strCache>
                <c:ptCount val="1"/>
                <c:pt idx="0">
                  <c:v> 3 Mar</c:v>
                </c:pt>
              </c:strCache>
            </c:strRef>
          </c:tx>
          <c:spPr>
            <a:ln w="25400" cap="rnd">
              <a:solidFill>
                <a:srgbClr val="333399"/>
              </a:solidFill>
              <a:prstDash val="solid"/>
              <a:round/>
            </a:ln>
            <a:effectLst/>
          </c:spPr>
          <c:marker>
            <c:symbol val="none"/>
          </c:marker>
          <c:val>
            <c:numRef>
              <c:f>Analysis!$F$1589:$F$1593</c:f>
              <c:numCache>
                <c:formatCode>0.0</c:formatCode>
                <c:ptCount val="5"/>
                <c:pt idx="0">
                  <c:v>7.3602236658212812</c:v>
                </c:pt>
                <c:pt idx="1">
                  <c:v>9.3458433543704622</c:v>
                </c:pt>
                <c:pt idx="2">
                  <c:v>7.2258202209448665</c:v>
                </c:pt>
                <c:pt idx="3">
                  <c:v>6.9</c:v>
                </c:pt>
                <c:pt idx="4">
                  <c:v>7</c:v>
                </c:pt>
              </c:numCache>
            </c:numRef>
          </c:val>
          <c:smooth val="0"/>
          <c:extLst>
            <c:ext xmlns:c16="http://schemas.microsoft.com/office/drawing/2014/chart" uri="{C3380CC4-5D6E-409C-BE32-E72D297353CC}">
              <c16:uniqueId val="{00000000-3F19-425E-BACC-B3C967EA4110}"/>
            </c:ext>
          </c:extLst>
        </c:ser>
        <c:ser>
          <c:idx val="1"/>
          <c:order val="1"/>
          <c:tx>
            <c:strRef>
              <c:f>Analysis!$G$1588</c:f>
              <c:strCache>
                <c:ptCount val="1"/>
                <c:pt idx="0">
                  <c:v> 6 April</c:v>
                </c:pt>
              </c:strCache>
            </c:strRef>
          </c:tx>
          <c:spPr>
            <a:ln w="25400" cap="rnd">
              <a:solidFill>
                <a:srgbClr val="99CCFF"/>
              </a:solidFill>
              <a:prstDash val="solid"/>
              <a:round/>
            </a:ln>
            <a:effectLst/>
          </c:spPr>
          <c:marker>
            <c:symbol val="none"/>
          </c:marker>
          <c:val>
            <c:numRef>
              <c:f>Analysis!$G$1589:$G$1593</c:f>
              <c:numCache>
                <c:formatCode>0.0</c:formatCode>
                <c:ptCount val="5"/>
                <c:pt idx="0">
                  <c:v>7.1064312427849456</c:v>
                </c:pt>
                <c:pt idx="1">
                  <c:v>8.9263655964015864</c:v>
                </c:pt>
                <c:pt idx="2">
                  <c:v>6.978519586512685</c:v>
                </c:pt>
                <c:pt idx="3">
                  <c:v>6.7</c:v>
                </c:pt>
                <c:pt idx="4" formatCode="General">
                  <c:v>6.8</c:v>
                </c:pt>
              </c:numCache>
            </c:numRef>
          </c:val>
          <c:smooth val="0"/>
          <c:extLst>
            <c:ext xmlns:c16="http://schemas.microsoft.com/office/drawing/2014/chart" uri="{C3380CC4-5D6E-409C-BE32-E72D297353CC}">
              <c16:uniqueId val="{00000001-3F19-425E-BACC-B3C967EA4110}"/>
            </c:ext>
          </c:extLst>
        </c:ser>
        <c:ser>
          <c:idx val="2"/>
          <c:order val="2"/>
          <c:tx>
            <c:strRef>
              <c:f>Analysis!$H$1588</c:f>
              <c:strCache>
                <c:ptCount val="1"/>
                <c:pt idx="0">
                  <c:v> 20 April</c:v>
                </c:pt>
              </c:strCache>
            </c:strRef>
          </c:tx>
          <c:spPr>
            <a:ln w="25400" cap="rnd">
              <a:solidFill>
                <a:srgbClr val="333399"/>
              </a:solidFill>
              <a:prstDash val="lgDash"/>
              <a:round/>
            </a:ln>
            <a:effectLst/>
          </c:spPr>
          <c:marker>
            <c:symbol val="none"/>
          </c:marker>
          <c:val>
            <c:numRef>
              <c:f>Analysis!$H$1589:$H$1593</c:f>
              <c:numCache>
                <c:formatCode>0.0</c:formatCode>
                <c:ptCount val="5"/>
                <c:pt idx="0">
                  <c:v>7.2313433733665695</c:v>
                </c:pt>
                <c:pt idx="1">
                  <c:v>9.0623543344115802</c:v>
                </c:pt>
                <c:pt idx="2">
                  <c:v>6.7574690546339387</c:v>
                </c:pt>
                <c:pt idx="3" formatCode="General">
                  <c:v>6.8</c:v>
                </c:pt>
                <c:pt idx="4" formatCode="General">
                  <c:v>7.5</c:v>
                </c:pt>
              </c:numCache>
            </c:numRef>
          </c:val>
          <c:smooth val="0"/>
          <c:extLst>
            <c:ext xmlns:c16="http://schemas.microsoft.com/office/drawing/2014/chart" uri="{C3380CC4-5D6E-409C-BE32-E72D297353CC}">
              <c16:uniqueId val="{00000002-3F19-425E-BACC-B3C967EA4110}"/>
            </c:ext>
          </c:extLst>
        </c:ser>
        <c:ser>
          <c:idx val="3"/>
          <c:order val="3"/>
          <c:tx>
            <c:strRef>
              <c:f>Analysis!$I$1588</c:f>
              <c:strCache>
                <c:ptCount val="1"/>
                <c:pt idx="0">
                  <c:v>4 May</c:v>
                </c:pt>
              </c:strCache>
            </c:strRef>
          </c:tx>
          <c:spPr>
            <a:ln w="25400" cap="rnd">
              <a:solidFill>
                <a:srgbClr val="99CCFF"/>
              </a:solidFill>
              <a:prstDash val="lgDash"/>
              <a:round/>
            </a:ln>
            <a:effectLst/>
          </c:spPr>
          <c:marker>
            <c:symbol val="none"/>
          </c:marker>
          <c:val>
            <c:numRef>
              <c:f>Analysis!$I$1589:$I$1593</c:f>
              <c:numCache>
                <c:formatCode>0.0</c:formatCode>
                <c:ptCount val="5"/>
                <c:pt idx="0">
                  <c:v>6.7910007593966846</c:v>
                </c:pt>
                <c:pt idx="1">
                  <c:v>8.4298738519250094</c:v>
                </c:pt>
                <c:pt idx="2">
                  <c:v>6.4060215192636969</c:v>
                </c:pt>
                <c:pt idx="3">
                  <c:v>6.8</c:v>
                </c:pt>
                <c:pt idx="4">
                  <c:v>7.3</c:v>
                </c:pt>
              </c:numCache>
            </c:numRef>
          </c:val>
          <c:smooth val="0"/>
          <c:extLst>
            <c:ext xmlns:c16="http://schemas.microsoft.com/office/drawing/2014/chart" uri="{C3380CC4-5D6E-409C-BE32-E72D297353CC}">
              <c16:uniqueId val="{00000003-3F19-425E-BACC-B3C967EA4110}"/>
            </c:ext>
          </c:extLst>
        </c:ser>
        <c:dLbls>
          <c:showLegendKey val="0"/>
          <c:showVal val="0"/>
          <c:showCatName val="0"/>
          <c:showSerName val="0"/>
          <c:showPercent val="0"/>
          <c:showBubbleSize val="0"/>
        </c:dLbls>
        <c:smooth val="0"/>
        <c:axId val="1078757264"/>
        <c:axId val="1078377168"/>
      </c:lineChart>
      <c:catAx>
        <c:axId val="1078757264"/>
        <c:scaling>
          <c:orientation val="minMax"/>
        </c:scaling>
        <c:delete val="0"/>
        <c:axPos val="b"/>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78377168"/>
        <c:crosses val="autoZero"/>
        <c:auto val="1"/>
        <c:lblAlgn val="ctr"/>
        <c:lblOffset val="100"/>
        <c:noMultiLvlLbl val="0"/>
      </c:catAx>
      <c:valAx>
        <c:axId val="107837716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7875726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Analysis!$B$1516</c:f>
              <c:strCache>
                <c:ptCount val="1"/>
                <c:pt idx="0">
                  <c:v>AMX Puerto Rico (ex insurance)</c:v>
                </c:pt>
              </c:strCache>
            </c:strRef>
          </c:tx>
          <c:spPr>
            <a:solidFill>
              <a:srgbClr val="000080"/>
            </a:solidFill>
            <a:ln w="25400">
              <a:noFill/>
            </a:ln>
            <a:effectLst/>
          </c:spPr>
          <c:invertIfNegative val="0"/>
          <c:cat>
            <c:strRef>
              <c:f>Analysis!$E$1515:$I$1515</c:f>
              <c:strCache>
                <c:ptCount val="5"/>
                <c:pt idx="0">
                  <c:v>Pre-hurricane</c:v>
                </c:pt>
                <c:pt idx="1">
                  <c:v>Q4 16</c:v>
                </c:pt>
                <c:pt idx="2">
                  <c:v>Q4 17</c:v>
                </c:pt>
                <c:pt idx="3">
                  <c:v>Q1 18 </c:v>
                </c:pt>
                <c:pt idx="4">
                  <c:v>Q2 18</c:v>
                </c:pt>
              </c:strCache>
            </c:strRef>
          </c:cat>
          <c:val>
            <c:numRef>
              <c:f>Analysis!$E$1516:$I$1516</c:f>
              <c:numCache>
                <c:formatCode>0</c:formatCode>
                <c:ptCount val="5"/>
                <c:pt idx="0">
                  <c:v>54</c:v>
                </c:pt>
                <c:pt idx="1">
                  <c:v>59.18938700823422</c:v>
                </c:pt>
                <c:pt idx="2">
                  <c:v>-7</c:v>
                </c:pt>
                <c:pt idx="3">
                  <c:v>-4.3999999999999986</c:v>
                </c:pt>
                <c:pt idx="4">
                  <c:v>-10</c:v>
                </c:pt>
              </c:numCache>
            </c:numRef>
          </c:val>
          <c:extLst>
            <c:ext xmlns:c16="http://schemas.microsoft.com/office/drawing/2014/chart" uri="{C3380CC4-5D6E-409C-BE32-E72D297353CC}">
              <c16:uniqueId val="{00000000-9CB2-4992-92F2-8BFFD6BC3620}"/>
            </c:ext>
          </c:extLst>
        </c:ser>
        <c:ser>
          <c:idx val="1"/>
          <c:order val="1"/>
          <c:tx>
            <c:strRef>
              <c:f>Analysis!$B$1517</c:f>
              <c:strCache>
                <c:ptCount val="1"/>
                <c:pt idx="0">
                  <c:v>LCPR</c:v>
                </c:pt>
              </c:strCache>
            </c:strRef>
          </c:tx>
          <c:spPr>
            <a:solidFill>
              <a:srgbClr val="9999FF"/>
            </a:solidFill>
            <a:ln w="25400">
              <a:noFill/>
            </a:ln>
            <a:effectLst/>
          </c:spPr>
          <c:invertIfNegative val="0"/>
          <c:cat>
            <c:strRef>
              <c:f>Analysis!$E$1515:$I$1515</c:f>
              <c:strCache>
                <c:ptCount val="5"/>
                <c:pt idx="0">
                  <c:v>Pre-hurricane</c:v>
                </c:pt>
                <c:pt idx="1">
                  <c:v>Q4 16</c:v>
                </c:pt>
                <c:pt idx="2">
                  <c:v>Q4 17</c:v>
                </c:pt>
                <c:pt idx="3">
                  <c:v>Q1 18 </c:v>
                </c:pt>
                <c:pt idx="4">
                  <c:v>Q2 18</c:v>
                </c:pt>
              </c:strCache>
            </c:strRef>
          </c:cat>
          <c:val>
            <c:numRef>
              <c:f>Analysis!$E$1517:$I$1517</c:f>
              <c:numCache>
                <c:formatCode>0</c:formatCode>
                <c:ptCount val="5"/>
                <c:pt idx="0">
                  <c:v>53.8</c:v>
                </c:pt>
                <c:pt idx="1">
                  <c:v>39.6</c:v>
                </c:pt>
                <c:pt idx="2">
                  <c:v>-12.1</c:v>
                </c:pt>
                <c:pt idx="3">
                  <c:v>18</c:v>
                </c:pt>
                <c:pt idx="4">
                  <c:v>35.700000000000003</c:v>
                </c:pt>
              </c:numCache>
            </c:numRef>
          </c:val>
          <c:extLst>
            <c:ext xmlns:c16="http://schemas.microsoft.com/office/drawing/2014/chart" uri="{C3380CC4-5D6E-409C-BE32-E72D297353CC}">
              <c16:uniqueId val="{00000001-9CB2-4992-92F2-8BFFD6BC3620}"/>
            </c:ext>
          </c:extLst>
        </c:ser>
        <c:ser>
          <c:idx val="2"/>
          <c:order val="2"/>
          <c:tx>
            <c:v>AMX</c:v>
          </c:tx>
          <c:spPr>
            <a:solidFill>
              <a:srgbClr val="3366FF"/>
            </a:solidFill>
            <a:ln w="25400">
              <a:noFill/>
            </a:ln>
            <a:effectLst/>
          </c:spPr>
          <c:invertIfNegative val="0"/>
          <c:val>
            <c:numRef>
              <c:f>Analysis!$F$1504:$J$1504</c:f>
              <c:numCache>
                <c:formatCode>General</c:formatCode>
                <c:ptCount val="5"/>
                <c:pt idx="0" formatCode="0">
                  <c:v>59.18938700823422</c:v>
                </c:pt>
                <c:pt idx="1">
                  <c:v>-7</c:v>
                </c:pt>
                <c:pt idx="2">
                  <c:v>23</c:v>
                </c:pt>
                <c:pt idx="3">
                  <c:v>31</c:v>
                </c:pt>
              </c:numCache>
            </c:numRef>
          </c:val>
          <c:extLst>
            <c:ext xmlns:c16="http://schemas.microsoft.com/office/drawing/2014/chart" uri="{C3380CC4-5D6E-409C-BE32-E72D297353CC}">
              <c16:uniqueId val="{00000001-7F5F-4449-AA1E-5C0DE523E87E}"/>
            </c:ext>
          </c:extLst>
        </c:ser>
        <c:dLbls>
          <c:showLegendKey val="0"/>
          <c:showVal val="0"/>
          <c:showCatName val="0"/>
          <c:showSerName val="0"/>
          <c:showPercent val="0"/>
          <c:showBubbleSize val="0"/>
        </c:dLbls>
        <c:gapWidth val="219"/>
        <c:overlap val="-27"/>
        <c:axId val="611904616"/>
        <c:axId val="611904944"/>
      </c:barChart>
      <c:catAx>
        <c:axId val="61190461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11904944"/>
        <c:crosses val="autoZero"/>
        <c:auto val="1"/>
        <c:lblAlgn val="ctr"/>
        <c:lblOffset val="100"/>
        <c:noMultiLvlLbl val="0"/>
      </c:catAx>
      <c:valAx>
        <c:axId val="61190494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119046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52561760810995"/>
          <c:y val="4.692262167469087E-2"/>
          <c:w val="0.47832092789625097"/>
          <c:h val="0.56292367231148832"/>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0A82-4492-908A-6B9F9B5CE8E9}"/>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0A82-4492-908A-6B9F9B5CE8E9}"/>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0A82-4492-908A-6B9F9B5CE8E9}"/>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0A82-4492-908A-6B9F9B5CE8E9}"/>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5-0A82-4492-908A-6B9F9B5CE8E9}"/>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6-0A82-4492-908A-6B9F9B5CE8E9}"/>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7-0A82-4492-908A-6B9F9B5CE8E9}"/>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8-0A82-4492-908A-6B9F9B5CE8E9}"/>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09-0A82-4492-908A-6B9F9B5CE8E9}"/>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0A-0A82-4492-908A-6B9F9B5CE8E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B20-404A-B634-ACAA6D8E8FC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B20-404A-B634-ACAA6D8E8FC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Analysis!$B$1626:$B$1637</c:f>
              <c:strCache>
                <c:ptCount val="12"/>
                <c:pt idx="0">
                  <c:v>Jamaica</c:v>
                </c:pt>
                <c:pt idx="1">
                  <c:v>Seychelles</c:v>
                </c:pt>
                <c:pt idx="2">
                  <c:v>Networks/LatAm</c:v>
                </c:pt>
                <c:pt idx="3">
                  <c:v>Ventures/other</c:v>
                </c:pt>
                <c:pt idx="4">
                  <c:v>Trinidad &amp; Tobago</c:v>
                </c:pt>
                <c:pt idx="5">
                  <c:v>Panama</c:v>
                </c:pt>
                <c:pt idx="6">
                  <c:v>Bahamas</c:v>
                </c:pt>
                <c:pt idx="7">
                  <c:v>Barbados</c:v>
                </c:pt>
                <c:pt idx="8">
                  <c:v>Chile</c:v>
                </c:pt>
                <c:pt idx="9">
                  <c:v>Puerto Rico</c:v>
                </c:pt>
                <c:pt idx="10">
                  <c:v>Costa Rica</c:v>
                </c:pt>
                <c:pt idx="11">
                  <c:v>Elims</c:v>
                </c:pt>
              </c:strCache>
            </c:strRef>
          </c:cat>
          <c:val>
            <c:numRef>
              <c:f>Analysis!$C$1626:$C$1637</c:f>
              <c:numCache>
                <c:formatCode>#,##0</c:formatCode>
                <c:ptCount val="12"/>
                <c:pt idx="0">
                  <c:v>383.6</c:v>
                </c:pt>
                <c:pt idx="1">
                  <c:v>50</c:v>
                </c:pt>
                <c:pt idx="2">
                  <c:v>346.4</c:v>
                </c:pt>
                <c:pt idx="3">
                  <c:v>503.79999999999995</c:v>
                </c:pt>
                <c:pt idx="4">
                  <c:v>161.30000000000001</c:v>
                </c:pt>
                <c:pt idx="5">
                  <c:v>580.4</c:v>
                </c:pt>
                <c:pt idx="6">
                  <c:v>207.3</c:v>
                </c:pt>
                <c:pt idx="7">
                  <c:v>150.19999999999999</c:v>
                </c:pt>
                <c:pt idx="8">
                  <c:v>941.1</c:v>
                </c:pt>
                <c:pt idx="9">
                  <c:v>410.3</c:v>
                </c:pt>
                <c:pt idx="10">
                  <c:v>132.69999999999999</c:v>
                </c:pt>
                <c:pt idx="11">
                  <c:v>-6</c:v>
                </c:pt>
              </c:numCache>
            </c:numRef>
          </c:val>
          <c:extLst>
            <c:ext xmlns:c16="http://schemas.microsoft.com/office/drawing/2014/chart" uri="{C3380CC4-5D6E-409C-BE32-E72D297353CC}">
              <c16:uniqueId val="{00000000-0A82-4492-908A-6B9F9B5CE8E9}"/>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5.7185545002054888E-2"/>
          <c:y val="0.67809738005845677"/>
          <c:w val="0.87113053107447824"/>
          <c:h val="0.29630846266443911"/>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52561760810995"/>
          <c:y val="4.692262167469087E-2"/>
          <c:w val="0.47832092789625097"/>
          <c:h val="0.56292367231148832"/>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A365-4829-92A0-991393A4C8A8}"/>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A365-4829-92A0-991393A4C8A8}"/>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A365-4829-92A0-991393A4C8A8}"/>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A365-4829-92A0-991393A4C8A8}"/>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A365-4829-92A0-991393A4C8A8}"/>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A365-4829-92A0-991393A4C8A8}"/>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A365-4829-92A0-991393A4C8A8}"/>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A365-4829-92A0-991393A4C8A8}"/>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11-A365-4829-92A0-991393A4C8A8}"/>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13-A365-4829-92A0-991393A4C8A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365-4829-92A0-991393A4C8A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365-4829-92A0-991393A4C8A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Analysis!$B$1640:$B$1649</c:f>
              <c:strCache>
                <c:ptCount val="10"/>
                <c:pt idx="0">
                  <c:v>El Salvador</c:v>
                </c:pt>
                <c:pt idx="1">
                  <c:v>Guatemala</c:v>
                </c:pt>
                <c:pt idx="2">
                  <c:v>Honduras</c:v>
                </c:pt>
                <c:pt idx="3">
                  <c:v>Panama</c:v>
                </c:pt>
                <c:pt idx="4">
                  <c:v>Costa Rica/Nicaragua</c:v>
                </c:pt>
                <c:pt idx="5">
                  <c:v>Bolivia</c:v>
                </c:pt>
                <c:pt idx="6">
                  <c:v>Colombia</c:v>
                </c:pt>
                <c:pt idx="7">
                  <c:v>Paraguay</c:v>
                </c:pt>
                <c:pt idx="8">
                  <c:v>Chad</c:v>
                </c:pt>
                <c:pt idx="9">
                  <c:v>Tanzania</c:v>
                </c:pt>
              </c:strCache>
            </c:strRef>
          </c:cat>
          <c:val>
            <c:numRef>
              <c:f>Analysis!$C$1640:$C$1649</c:f>
              <c:numCache>
                <c:formatCode>General</c:formatCode>
                <c:ptCount val="10"/>
              </c:numCache>
            </c:numRef>
          </c:val>
          <c:extLst>
            <c:ext xmlns:c16="http://schemas.microsoft.com/office/drawing/2014/chart" uri="{C3380CC4-5D6E-409C-BE32-E72D297353CC}">
              <c16:uniqueId val="{00000018-A365-4829-92A0-991393A4C8A8}"/>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5.7185545002054888E-2"/>
          <c:y val="0.67809738005845677"/>
          <c:w val="0.87113053107447824"/>
          <c:h val="0.29630846266443911"/>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Analysis!$B$1653</c:f>
              <c:strCache>
                <c:ptCount val="1"/>
                <c:pt idx="0">
                  <c:v>LLA</c:v>
                </c:pt>
              </c:strCache>
            </c:strRef>
          </c:tx>
          <c:spPr>
            <a:ln w="25400" cap="rnd">
              <a:solidFill>
                <a:srgbClr val="333399"/>
              </a:solidFill>
              <a:prstDash val="solid"/>
              <a:round/>
            </a:ln>
            <a:effectLst/>
          </c:spPr>
          <c:marker>
            <c:symbol val="none"/>
          </c:marker>
          <c:cat>
            <c:strRef>
              <c:f>Analysis!$C$1652:$J$1652</c:f>
              <c:strCache>
                <c:ptCount val="8"/>
                <c:pt idx="0">
                  <c:v>Q1 17</c:v>
                </c:pt>
                <c:pt idx="1">
                  <c:v>Q2 17</c:v>
                </c:pt>
                <c:pt idx="2">
                  <c:v>Q3 17</c:v>
                </c:pt>
                <c:pt idx="3">
                  <c:v>Q4 17</c:v>
                </c:pt>
                <c:pt idx="4">
                  <c:v>Q1 18</c:v>
                </c:pt>
                <c:pt idx="5">
                  <c:v>Q2 18</c:v>
                </c:pt>
                <c:pt idx="6">
                  <c:v>Q3 18</c:v>
                </c:pt>
                <c:pt idx="7">
                  <c:v>#REF!</c:v>
                </c:pt>
              </c:strCache>
            </c:strRef>
          </c:cat>
          <c:val>
            <c:numRef>
              <c:f>Analysis!$C$1653:$J$1653</c:f>
              <c:numCache>
                <c:formatCode>0.0\x</c:formatCode>
                <c:ptCount val="8"/>
                <c:pt idx="0">
                  <c:v>3.9533060186493363</c:v>
                </c:pt>
                <c:pt idx="1">
                  <c:v>3.884072022160665</c:v>
                </c:pt>
                <c:pt idx="2">
                  <c:v>4.1041782729805014</c:v>
                </c:pt>
                <c:pt idx="3">
                  <c:v>5.0751949813496102</c:v>
                </c:pt>
                <c:pt idx="4">
                  <c:v>4.4727112676056331</c:v>
                </c:pt>
                <c:pt idx="5">
                  <c:v>4.2389643463497464</c:v>
                </c:pt>
                <c:pt idx="6">
                  <c:v>4.181766704416761</c:v>
                </c:pt>
                <c:pt idx="7">
                  <c:v>0</c:v>
                </c:pt>
              </c:numCache>
            </c:numRef>
          </c:val>
          <c:smooth val="0"/>
          <c:extLst>
            <c:ext xmlns:c16="http://schemas.microsoft.com/office/drawing/2014/chart" uri="{C3380CC4-5D6E-409C-BE32-E72D297353CC}">
              <c16:uniqueId val="{00000000-EFA3-456A-97CE-D8933AF7C5A2}"/>
            </c:ext>
          </c:extLst>
        </c:ser>
        <c:ser>
          <c:idx val="1"/>
          <c:order val="1"/>
          <c:tx>
            <c:strRef>
              <c:f>Analysis!$B$1654</c:f>
              <c:strCache>
                <c:ptCount val="1"/>
                <c:pt idx="0">
                  <c:v>Millicom</c:v>
                </c:pt>
              </c:strCache>
            </c:strRef>
          </c:tx>
          <c:spPr>
            <a:ln w="25400" cap="rnd">
              <a:solidFill>
                <a:srgbClr val="99CCFF"/>
              </a:solidFill>
              <a:prstDash val="solid"/>
              <a:round/>
            </a:ln>
            <a:effectLst/>
          </c:spPr>
          <c:marker>
            <c:symbol val="none"/>
          </c:marker>
          <c:cat>
            <c:strRef>
              <c:f>Analysis!$C$1652:$J$1652</c:f>
              <c:strCache>
                <c:ptCount val="8"/>
                <c:pt idx="0">
                  <c:v>Q1 17</c:v>
                </c:pt>
                <c:pt idx="1">
                  <c:v>Q2 17</c:v>
                </c:pt>
                <c:pt idx="2">
                  <c:v>Q3 17</c:v>
                </c:pt>
                <c:pt idx="3">
                  <c:v>Q4 17</c:v>
                </c:pt>
                <c:pt idx="4">
                  <c:v>Q1 18</c:v>
                </c:pt>
                <c:pt idx="5">
                  <c:v>Q2 18</c:v>
                </c:pt>
                <c:pt idx="6">
                  <c:v>Q3 18</c:v>
                </c:pt>
                <c:pt idx="7">
                  <c:v>#REF!</c:v>
                </c:pt>
              </c:strCache>
            </c:strRef>
          </c:cat>
          <c:val>
            <c:numRef>
              <c:f>Analysis!$C$1654:$J$1654</c:f>
              <c:numCache>
                <c:formatCode>0.0\x</c:formatCode>
                <c:ptCount val="8"/>
                <c:pt idx="0">
                  <c:v>1.8842789863198026</c:v>
                </c:pt>
                <c:pt idx="1">
                  <c:v>1.9909543193125283</c:v>
                </c:pt>
                <c:pt idx="2">
                  <c:v>1.9551692589204026</c:v>
                </c:pt>
                <c:pt idx="3">
                  <c:v>1.8665749656121045</c:v>
                </c:pt>
                <c:pt idx="4">
                  <c:v>1.8695850433196535</c:v>
                </c:pt>
                <c:pt idx="5">
                  <c:v>1.7972911963882618</c:v>
                </c:pt>
                <c:pt idx="6">
                  <c:v>1.6909334524341224</c:v>
                </c:pt>
                <c:pt idx="7">
                  <c:v>2.2486409338806079</c:v>
                </c:pt>
              </c:numCache>
            </c:numRef>
          </c:val>
          <c:smooth val="0"/>
          <c:extLst>
            <c:ext xmlns:c16="http://schemas.microsoft.com/office/drawing/2014/chart" uri="{C3380CC4-5D6E-409C-BE32-E72D297353CC}">
              <c16:uniqueId val="{00000001-EFA3-456A-97CE-D8933AF7C5A2}"/>
            </c:ext>
          </c:extLst>
        </c:ser>
        <c:dLbls>
          <c:showLegendKey val="0"/>
          <c:showVal val="0"/>
          <c:showCatName val="0"/>
          <c:showSerName val="0"/>
          <c:showPercent val="0"/>
          <c:showBubbleSize val="0"/>
        </c:dLbls>
        <c:smooth val="0"/>
        <c:axId val="905071488"/>
        <c:axId val="525299328"/>
      </c:lineChart>
      <c:catAx>
        <c:axId val="90507148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25299328"/>
        <c:crosses val="autoZero"/>
        <c:auto val="1"/>
        <c:lblAlgn val="ctr"/>
        <c:lblOffset val="100"/>
        <c:noMultiLvlLbl val="0"/>
      </c:catAx>
      <c:valAx>
        <c:axId val="52529932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Net debt to EBITDA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0507148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Analysis!$B$1658</c:f>
              <c:strCache>
                <c:ptCount val="1"/>
                <c:pt idx="0">
                  <c:v>Millicom </c:v>
                </c:pt>
              </c:strCache>
            </c:strRef>
          </c:tx>
          <c:spPr>
            <a:solidFill>
              <a:srgbClr val="000080"/>
            </a:solidFill>
            <a:ln w="25400">
              <a:noFill/>
            </a:ln>
            <a:effectLst/>
          </c:spPr>
          <c:invertIfNegative val="0"/>
          <c:cat>
            <c:numRef>
              <c:f>Analysis!$C$1657:$E$1657</c:f>
              <c:numCache>
                <c:formatCode>General</c:formatCode>
                <c:ptCount val="3"/>
                <c:pt idx="0">
                  <c:v>0</c:v>
                </c:pt>
                <c:pt idx="1">
                  <c:v>0</c:v>
                </c:pt>
                <c:pt idx="2">
                  <c:v>0</c:v>
                </c:pt>
              </c:numCache>
            </c:numRef>
          </c:cat>
          <c:val>
            <c:numRef>
              <c:f>Analysis!$C$1658:$E$1658</c:f>
              <c:numCache>
                <c:formatCode>0.0%</c:formatCode>
                <c:ptCount val="3"/>
                <c:pt idx="0">
                  <c:v>6.068031773834226E-2</c:v>
                </c:pt>
                <c:pt idx="1">
                  <c:v>6.8904996630301002E-2</c:v>
                </c:pt>
                <c:pt idx="2">
                  <c:v>7.7630997282939526E-2</c:v>
                </c:pt>
              </c:numCache>
            </c:numRef>
          </c:val>
          <c:extLst>
            <c:ext xmlns:c16="http://schemas.microsoft.com/office/drawing/2014/chart" uri="{C3380CC4-5D6E-409C-BE32-E72D297353CC}">
              <c16:uniqueId val="{00000000-3298-41C0-8934-BD77899C0D77}"/>
            </c:ext>
          </c:extLst>
        </c:ser>
        <c:ser>
          <c:idx val="1"/>
          <c:order val="1"/>
          <c:tx>
            <c:strRef>
              <c:f>Analysis!$B$1659</c:f>
              <c:strCache>
                <c:ptCount val="1"/>
                <c:pt idx="0">
                  <c:v>LLA</c:v>
                </c:pt>
              </c:strCache>
            </c:strRef>
          </c:tx>
          <c:spPr>
            <a:solidFill>
              <a:srgbClr val="9999FF"/>
            </a:solidFill>
            <a:ln w="25400">
              <a:noFill/>
            </a:ln>
            <a:effectLst/>
          </c:spPr>
          <c:invertIfNegative val="0"/>
          <c:cat>
            <c:numRef>
              <c:f>Analysis!$C$1657:$E$1657</c:f>
              <c:numCache>
                <c:formatCode>General</c:formatCode>
                <c:ptCount val="3"/>
                <c:pt idx="0">
                  <c:v>0</c:v>
                </c:pt>
                <c:pt idx="1">
                  <c:v>0</c:v>
                </c:pt>
                <c:pt idx="2">
                  <c:v>0</c:v>
                </c:pt>
              </c:numCache>
            </c:numRef>
          </c:cat>
          <c:val>
            <c:numRef>
              <c:f>Analysis!$C$1659:$E$1659</c:f>
              <c:numCache>
                <c:formatCode>0.0%</c:formatCode>
                <c:ptCount val="3"/>
                <c:pt idx="0">
                  <c:v>6.3628075661779512E-2</c:v>
                </c:pt>
                <c:pt idx="1">
                  <c:v>0.11511001577474071</c:v>
                </c:pt>
                <c:pt idx="2">
                  <c:v>0.12422455514119626</c:v>
                </c:pt>
              </c:numCache>
            </c:numRef>
          </c:val>
          <c:extLst>
            <c:ext xmlns:c16="http://schemas.microsoft.com/office/drawing/2014/chart" uri="{C3380CC4-5D6E-409C-BE32-E72D297353CC}">
              <c16:uniqueId val="{00000001-3298-41C0-8934-BD77899C0D77}"/>
            </c:ext>
          </c:extLst>
        </c:ser>
        <c:dLbls>
          <c:showLegendKey val="0"/>
          <c:showVal val="0"/>
          <c:showCatName val="0"/>
          <c:showSerName val="0"/>
          <c:showPercent val="0"/>
          <c:showBubbleSize val="0"/>
        </c:dLbls>
        <c:gapWidth val="219"/>
        <c:overlap val="-27"/>
        <c:axId val="1057218032"/>
        <c:axId val="991590576"/>
      </c:barChart>
      <c:catAx>
        <c:axId val="105721803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91590576"/>
        <c:crosses val="autoZero"/>
        <c:auto val="1"/>
        <c:lblAlgn val="ctr"/>
        <c:lblOffset val="100"/>
        <c:noMultiLvlLbl val="0"/>
      </c:catAx>
      <c:valAx>
        <c:axId val="991590576"/>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5721803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Analysis!$B$304</c:f>
              <c:strCache>
                <c:ptCount val="1"/>
                <c:pt idx="0">
                  <c:v>Normalised EFCF</c:v>
                </c:pt>
              </c:strCache>
            </c:strRef>
          </c:tx>
          <c:spPr>
            <a:solidFill>
              <a:srgbClr val="000080"/>
            </a:solidFill>
            <a:ln w="25400">
              <a:noFill/>
            </a:ln>
            <a:effectLst/>
          </c:spPr>
          <c:invertIfNegative val="0"/>
          <c:cat>
            <c:numRef>
              <c:f>Analysis!$C$303:$F$303</c:f>
              <c:numCache>
                <c:formatCode>0</c:formatCode>
                <c:ptCount val="4"/>
                <c:pt idx="0">
                  <c:v>2018</c:v>
                </c:pt>
                <c:pt idx="1">
                  <c:v>2019</c:v>
                </c:pt>
                <c:pt idx="2">
                  <c:v>2020</c:v>
                </c:pt>
                <c:pt idx="3">
                  <c:v>2021</c:v>
                </c:pt>
              </c:numCache>
            </c:numRef>
          </c:cat>
          <c:val>
            <c:numRef>
              <c:f>Analysis!$C$304:$F$304</c:f>
              <c:numCache>
                <c:formatCode>0</c:formatCode>
                <c:ptCount val="4"/>
                <c:pt idx="0">
                  <c:v>0</c:v>
                </c:pt>
                <c:pt idx="1">
                  <c:v>0</c:v>
                </c:pt>
                <c:pt idx="2">
                  <c:v>0</c:v>
                </c:pt>
                <c:pt idx="3">
                  <c:v>0</c:v>
                </c:pt>
              </c:numCache>
            </c:numRef>
          </c:val>
          <c:extLst>
            <c:ext xmlns:c16="http://schemas.microsoft.com/office/drawing/2014/chart" uri="{C3380CC4-5D6E-409C-BE32-E72D297353CC}">
              <c16:uniqueId val="{00000000-47C6-4934-87AB-298EF843D975}"/>
            </c:ext>
          </c:extLst>
        </c:ser>
        <c:ser>
          <c:idx val="1"/>
          <c:order val="1"/>
          <c:tx>
            <c:strRef>
              <c:f>Analysis!$B$305</c:f>
              <c:strCache>
                <c:ptCount val="1"/>
                <c:pt idx="0">
                  <c:v>LBTY FCF</c:v>
                </c:pt>
              </c:strCache>
            </c:strRef>
          </c:tx>
          <c:spPr>
            <a:solidFill>
              <a:srgbClr val="9999FF"/>
            </a:solidFill>
            <a:ln w="25400">
              <a:noFill/>
            </a:ln>
            <a:effectLst/>
          </c:spPr>
          <c:invertIfNegative val="0"/>
          <c:cat>
            <c:numRef>
              <c:f>Analysis!$C$303:$F$303</c:f>
              <c:numCache>
                <c:formatCode>0</c:formatCode>
                <c:ptCount val="4"/>
                <c:pt idx="0">
                  <c:v>2018</c:v>
                </c:pt>
                <c:pt idx="1">
                  <c:v>2019</c:v>
                </c:pt>
                <c:pt idx="2">
                  <c:v>2020</c:v>
                </c:pt>
                <c:pt idx="3">
                  <c:v>2021</c:v>
                </c:pt>
              </c:numCache>
            </c:numRef>
          </c:cat>
          <c:val>
            <c:numRef>
              <c:f>Analysis!$C$305:$F$305</c:f>
              <c:numCache>
                <c:formatCode>0</c:formatCode>
                <c:ptCount val="4"/>
                <c:pt idx="0">
                  <c:v>19.400000000000091</c:v>
                </c:pt>
                <c:pt idx="1">
                  <c:v>223.30000000000018</c:v>
                </c:pt>
                <c:pt idx="2">
                  <c:v>145.80000000000024</c:v>
                </c:pt>
                <c:pt idx="3">
                  <c:v>199.80000000000007</c:v>
                </c:pt>
              </c:numCache>
            </c:numRef>
          </c:val>
          <c:extLst>
            <c:ext xmlns:c16="http://schemas.microsoft.com/office/drawing/2014/chart" uri="{C3380CC4-5D6E-409C-BE32-E72D297353CC}">
              <c16:uniqueId val="{00000001-47C6-4934-87AB-298EF843D975}"/>
            </c:ext>
          </c:extLst>
        </c:ser>
        <c:dLbls>
          <c:showLegendKey val="0"/>
          <c:showVal val="0"/>
          <c:showCatName val="0"/>
          <c:showSerName val="0"/>
          <c:showPercent val="0"/>
          <c:showBubbleSize val="0"/>
        </c:dLbls>
        <c:gapWidth val="219"/>
        <c:overlap val="-27"/>
        <c:axId val="639145312"/>
        <c:axId val="639111472"/>
      </c:barChart>
      <c:catAx>
        <c:axId val="639145312"/>
        <c:scaling>
          <c:orientation val="minMax"/>
        </c:scaling>
        <c:delete val="0"/>
        <c:axPos val="b"/>
        <c:numFmt formatCode="0"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9111472"/>
        <c:crosses val="autoZero"/>
        <c:auto val="1"/>
        <c:lblAlgn val="ctr"/>
        <c:lblOffset val="100"/>
        <c:noMultiLvlLbl val="0"/>
      </c:catAx>
      <c:valAx>
        <c:axId val="6391114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914531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Analysis!$B$307</c:f>
              <c:strCache>
                <c:ptCount val="1"/>
                <c:pt idx="0">
                  <c:v>EFCF yield</c:v>
                </c:pt>
              </c:strCache>
            </c:strRef>
          </c:tx>
          <c:spPr>
            <a:solidFill>
              <a:srgbClr val="000080"/>
            </a:solidFill>
            <a:ln w="25400">
              <a:noFill/>
            </a:ln>
            <a:effectLst/>
          </c:spPr>
          <c:invertIfNegative val="0"/>
          <c:cat>
            <c:numRef>
              <c:f>Analysis!$C$303:$F$303</c:f>
              <c:numCache>
                <c:formatCode>0</c:formatCode>
                <c:ptCount val="4"/>
                <c:pt idx="0">
                  <c:v>2018</c:v>
                </c:pt>
                <c:pt idx="1">
                  <c:v>2019</c:v>
                </c:pt>
                <c:pt idx="2">
                  <c:v>2020</c:v>
                </c:pt>
                <c:pt idx="3">
                  <c:v>2021</c:v>
                </c:pt>
              </c:numCache>
            </c:numRef>
          </c:cat>
          <c:val>
            <c:numRef>
              <c:f>Analysis!$C$307:$F$307</c:f>
              <c:numCache>
                <c:formatCode>0%</c:formatCode>
                <c:ptCount val="4"/>
                <c:pt idx="0">
                  <c:v>6.3628075661779512E-2</c:v>
                </c:pt>
                <c:pt idx="1">
                  <c:v>0.11511001577474071</c:v>
                </c:pt>
                <c:pt idx="2">
                  <c:v>0.12422455514119626</c:v>
                </c:pt>
                <c:pt idx="3">
                  <c:v>0.15618058407411345</c:v>
                </c:pt>
              </c:numCache>
            </c:numRef>
          </c:val>
          <c:extLst>
            <c:ext xmlns:c16="http://schemas.microsoft.com/office/drawing/2014/chart" uri="{C3380CC4-5D6E-409C-BE32-E72D297353CC}">
              <c16:uniqueId val="{00000000-431F-4F11-AE93-2F3ECAF9450C}"/>
            </c:ext>
          </c:extLst>
        </c:ser>
        <c:dLbls>
          <c:showLegendKey val="0"/>
          <c:showVal val="0"/>
          <c:showCatName val="0"/>
          <c:showSerName val="0"/>
          <c:showPercent val="0"/>
          <c:showBubbleSize val="0"/>
        </c:dLbls>
        <c:gapWidth val="219"/>
        <c:overlap val="-27"/>
        <c:axId val="639145312"/>
        <c:axId val="639111472"/>
      </c:barChart>
      <c:catAx>
        <c:axId val="639145312"/>
        <c:scaling>
          <c:orientation val="minMax"/>
        </c:scaling>
        <c:delete val="0"/>
        <c:axPos val="b"/>
        <c:numFmt formatCode="0"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9111472"/>
        <c:crosses val="autoZero"/>
        <c:auto val="1"/>
        <c:lblAlgn val="ctr"/>
        <c:lblOffset val="100"/>
        <c:noMultiLvlLbl val="0"/>
      </c:catAx>
      <c:valAx>
        <c:axId val="6391114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914531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6D4F-485B-AC8C-4ED44C0A7E7C}"/>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6D4F-485B-AC8C-4ED44C0A7E7C}"/>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6D4F-485B-AC8C-4ED44C0A7E7C}"/>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4-6D4F-485B-AC8C-4ED44C0A7E7C}"/>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Analysis!$B$2069:$B$2072</c:f>
              <c:strCache>
                <c:ptCount val="4"/>
                <c:pt idx="0">
                  <c:v>Residential cable</c:v>
                </c:pt>
                <c:pt idx="1">
                  <c:v>Fixed B2B </c:v>
                </c:pt>
                <c:pt idx="2">
                  <c:v>Res Wireless</c:v>
                </c:pt>
                <c:pt idx="3">
                  <c:v>Other</c:v>
                </c:pt>
              </c:strCache>
            </c:strRef>
          </c:cat>
          <c:val>
            <c:numRef>
              <c:f>Analysis!$G$2069:$G$2072</c:f>
              <c:numCache>
                <c:formatCode>0</c:formatCode>
                <c:ptCount val="4"/>
                <c:pt idx="0">
                  <c:v>454.75751752282167</c:v>
                </c:pt>
                <c:pt idx="1">
                  <c:v>235.02823482629077</c:v>
                </c:pt>
                <c:pt idx="2">
                  <c:v>150.72823482629076</c:v>
                </c:pt>
                <c:pt idx="3">
                  <c:v>59.899999999999949</c:v>
                </c:pt>
              </c:numCache>
            </c:numRef>
          </c:val>
          <c:extLst>
            <c:ext xmlns:c16="http://schemas.microsoft.com/office/drawing/2014/chart" uri="{C3380CC4-5D6E-409C-BE32-E72D297353CC}">
              <c16:uniqueId val="{00000000-6D4F-485B-AC8C-4ED44C0A7E7C}"/>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Analysis!$B$2119</c:f>
              <c:strCache>
                <c:ptCount val="1"/>
                <c:pt idx="0">
                  <c:v>Tigo</c:v>
                </c:pt>
              </c:strCache>
            </c:strRef>
          </c:tx>
          <c:spPr>
            <a:ln w="25400" cap="rnd">
              <a:solidFill>
                <a:srgbClr val="333399"/>
              </a:solidFill>
              <a:prstDash val="solid"/>
              <a:round/>
            </a:ln>
            <a:effectLst/>
          </c:spPr>
          <c:marker>
            <c:symbol val="none"/>
          </c:marker>
          <c:cat>
            <c:numRef>
              <c:f>Analysis!$C$2118:$J$2118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Analysis!$C$2119:$J$2119</c:f>
              <c:numCache>
                <c:formatCode>#,##0</c:formatCode>
                <c:ptCount val="8"/>
                <c:pt idx="0">
                  <c:v>1808</c:v>
                </c:pt>
                <c:pt idx="1">
                  <c:v>2243.3001986846039</c:v>
                </c:pt>
                <c:pt idx="2">
                  <c:v>2536.0790511901382</c:v>
                </c:pt>
                <c:pt idx="3">
                  <c:v>2840.8115161791193</c:v>
                </c:pt>
                <c:pt idx="4">
                  <c:v>3110.833201108901</c:v>
                </c:pt>
                <c:pt idx="5">
                  <c:v>3303.9002981853337</c:v>
                </c:pt>
                <c:pt idx="6">
                  <c:v>3497.9011340474153</c:v>
                </c:pt>
                <c:pt idx="7">
                  <c:v>3694.5841286410282</c:v>
                </c:pt>
              </c:numCache>
            </c:numRef>
          </c:val>
          <c:smooth val="0"/>
          <c:extLst>
            <c:ext xmlns:c16="http://schemas.microsoft.com/office/drawing/2014/chart" uri="{C3380CC4-5D6E-409C-BE32-E72D297353CC}">
              <c16:uniqueId val="{00000000-15F1-420F-AA35-6BEEEA0AC981}"/>
            </c:ext>
          </c:extLst>
        </c:ser>
        <c:ser>
          <c:idx val="1"/>
          <c:order val="1"/>
          <c:tx>
            <c:strRef>
              <c:f>Analysis!$B$2120</c:f>
              <c:strCache>
                <c:ptCount val="1"/>
                <c:pt idx="0">
                  <c:v>LiLAC</c:v>
                </c:pt>
              </c:strCache>
            </c:strRef>
          </c:tx>
          <c:spPr>
            <a:ln w="25400" cap="rnd">
              <a:solidFill>
                <a:srgbClr val="99CCFF"/>
              </a:solidFill>
              <a:prstDash val="solid"/>
              <a:round/>
            </a:ln>
            <a:effectLst/>
          </c:spPr>
          <c:marker>
            <c:symbol val="none"/>
          </c:marker>
          <c:cat>
            <c:numRef>
              <c:f>Analysis!$C$2118:$J$2118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Analysis!$C$2120:$J$2120</c:f>
              <c:numCache>
                <c:formatCode>#,##0</c:formatCode>
                <c:ptCount val="8"/>
                <c:pt idx="0">
                  <c:v>1682.1308267281247</c:v>
                </c:pt>
                <c:pt idx="1">
                  <c:v>1770.0004307254621</c:v>
                </c:pt>
                <c:pt idx="2">
                  <c:v>1708.7307575757575</c:v>
                </c:pt>
                <c:pt idx="3">
                  <c:v>1767.8489656706167</c:v>
                </c:pt>
                <c:pt idx="4">
                  <c:v>1656.8802652988134</c:v>
                </c:pt>
                <c:pt idx="5">
                  <c:v>1697.7824150418814</c:v>
                </c:pt>
                <c:pt idx="6">
                  <c:v>1730.8298345944615</c:v>
                </c:pt>
                <c:pt idx="7">
                  <c:v>1774.0076358593813</c:v>
                </c:pt>
              </c:numCache>
            </c:numRef>
          </c:val>
          <c:smooth val="0"/>
          <c:extLst>
            <c:ext xmlns:c16="http://schemas.microsoft.com/office/drawing/2014/chart" uri="{C3380CC4-5D6E-409C-BE32-E72D297353CC}">
              <c16:uniqueId val="{00000001-15F1-420F-AA35-6BEEEA0AC981}"/>
            </c:ext>
          </c:extLst>
        </c:ser>
        <c:ser>
          <c:idx val="2"/>
          <c:order val="2"/>
          <c:tx>
            <c:strRef>
              <c:f>Analysis!$B$2121</c:f>
              <c:strCache>
                <c:ptCount val="1"/>
                <c:pt idx="0">
                  <c:v>MEGA</c:v>
                </c:pt>
              </c:strCache>
            </c:strRef>
          </c:tx>
          <c:spPr>
            <a:ln w="25400" cap="rnd">
              <a:solidFill>
                <a:srgbClr val="333399"/>
              </a:solidFill>
              <a:prstDash val="lgDash"/>
              <a:round/>
            </a:ln>
            <a:effectLst/>
          </c:spPr>
          <c:marker>
            <c:symbol val="none"/>
          </c:marker>
          <c:cat>
            <c:numRef>
              <c:f>Analysis!$C$2118:$J$2118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Analysis!$C$2121:$J$2121</c:f>
              <c:numCache>
                <c:formatCode>#,##0</c:formatCode>
                <c:ptCount val="8"/>
                <c:pt idx="0">
                  <c:v>891.75374131538467</c:v>
                </c:pt>
                <c:pt idx="1">
                  <c:v>979.24080307561701</c:v>
                </c:pt>
                <c:pt idx="2">
                  <c:v>1064.8122761494958</c:v>
                </c:pt>
                <c:pt idx="3">
                  <c:v>1135.6516544345936</c:v>
                </c:pt>
                <c:pt idx="4">
                  <c:v>1211.9533086323445</c:v>
                </c:pt>
                <c:pt idx="5">
                  <c:v>1295.4541275055092</c:v>
                </c:pt>
                <c:pt idx="6">
                  <c:v>1389.8910297114066</c:v>
                </c:pt>
                <c:pt idx="7">
                  <c:v>1496.9598496929068</c:v>
                </c:pt>
              </c:numCache>
            </c:numRef>
          </c:val>
          <c:smooth val="0"/>
          <c:extLst>
            <c:ext xmlns:c16="http://schemas.microsoft.com/office/drawing/2014/chart" uri="{C3380CC4-5D6E-409C-BE32-E72D297353CC}">
              <c16:uniqueId val="{00000002-15F1-420F-AA35-6BEEEA0AC981}"/>
            </c:ext>
          </c:extLst>
        </c:ser>
        <c:ser>
          <c:idx val="3"/>
          <c:order val="3"/>
          <c:tx>
            <c:strRef>
              <c:f>Analysis!$B$2122</c:f>
              <c:strCache>
                <c:ptCount val="1"/>
                <c:pt idx="0">
                  <c:v>TV</c:v>
                </c:pt>
              </c:strCache>
            </c:strRef>
          </c:tx>
          <c:spPr>
            <a:ln w="25400" cap="rnd">
              <a:solidFill>
                <a:srgbClr val="99CCFF"/>
              </a:solidFill>
              <a:prstDash val="lgDash"/>
              <a:round/>
            </a:ln>
            <a:effectLst/>
          </c:spPr>
          <c:marker>
            <c:symbol val="none"/>
          </c:marker>
          <c:cat>
            <c:numRef>
              <c:f>Analysis!$C$2118:$J$2118</c:f>
              <c:numCache>
                <c:formatCode>General</c:formatCode>
                <c:ptCount val="8"/>
                <c:pt idx="0">
                  <c:v>2018</c:v>
                </c:pt>
                <c:pt idx="1">
                  <c:v>2019</c:v>
                </c:pt>
                <c:pt idx="2">
                  <c:v>2020</c:v>
                </c:pt>
                <c:pt idx="3">
                  <c:v>2021</c:v>
                </c:pt>
                <c:pt idx="4">
                  <c:v>2022</c:v>
                </c:pt>
                <c:pt idx="5">
                  <c:v>2023</c:v>
                </c:pt>
                <c:pt idx="6">
                  <c:v>2024</c:v>
                </c:pt>
                <c:pt idx="7">
                  <c:v>2025</c:v>
                </c:pt>
              </c:numCache>
            </c:numRef>
          </c:cat>
          <c:val>
            <c:numRef>
              <c:f>Analysis!$C$2122:$J$2122</c:f>
              <c:numCache>
                <c:formatCode>#,##0</c:formatCode>
                <c:ptCount val="8"/>
                <c:pt idx="0">
                  <c:v>1655.3743589743592</c:v>
                </c:pt>
                <c:pt idx="1">
                  <c:v>1895.4036410256413</c:v>
                </c:pt>
                <c:pt idx="2">
                  <c:v>2065.9899687179495</c:v>
                </c:pt>
                <c:pt idx="3">
                  <c:v>2231.2691662153857</c:v>
                </c:pt>
                <c:pt idx="4">
                  <c:v>2409.7706995126164</c:v>
                </c:pt>
                <c:pt idx="5">
                  <c:v>2602.552355473626</c:v>
                </c:pt>
                <c:pt idx="6">
                  <c:v>2810.7565439115165</c:v>
                </c:pt>
                <c:pt idx="7">
                  <c:v>3035.6170674244381</c:v>
                </c:pt>
              </c:numCache>
            </c:numRef>
          </c:val>
          <c:smooth val="0"/>
          <c:extLst>
            <c:ext xmlns:c16="http://schemas.microsoft.com/office/drawing/2014/chart" uri="{C3380CC4-5D6E-409C-BE32-E72D297353CC}">
              <c16:uniqueId val="{00000003-15F1-420F-AA35-6BEEEA0AC981}"/>
            </c:ext>
          </c:extLst>
        </c:ser>
        <c:dLbls>
          <c:showLegendKey val="0"/>
          <c:showVal val="0"/>
          <c:showCatName val="0"/>
          <c:showSerName val="0"/>
          <c:showPercent val="0"/>
          <c:showBubbleSize val="0"/>
        </c:dLbls>
        <c:smooth val="0"/>
        <c:axId val="712197840"/>
        <c:axId val="628006944"/>
      </c:lineChart>
      <c:catAx>
        <c:axId val="71219784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28006944"/>
        <c:crosses val="autoZero"/>
        <c:auto val="1"/>
        <c:lblAlgn val="ctr"/>
        <c:lblOffset val="100"/>
        <c:noMultiLvlLbl val="0"/>
      </c:catAx>
      <c:valAx>
        <c:axId val="62800694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1219784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Analysis!$B$1851</c:f>
              <c:strCache>
                <c:ptCount val="1"/>
                <c:pt idx="0">
                  <c:v>With a US$13bn buy-back</c:v>
                </c:pt>
              </c:strCache>
            </c:strRef>
          </c:tx>
          <c:spPr>
            <a:solidFill>
              <a:srgbClr val="000080"/>
            </a:solidFill>
            <a:ln w="25400">
              <a:noFill/>
            </a:ln>
            <a:effectLst/>
          </c:spPr>
          <c:invertIfNegative val="0"/>
          <c:cat>
            <c:numRef>
              <c:f>Analysis!$D$1789:$I$1789</c:f>
              <c:numCache>
                <c:formatCode>General</c:formatCode>
                <c:ptCount val="6"/>
                <c:pt idx="0">
                  <c:v>2019</c:v>
                </c:pt>
                <c:pt idx="1">
                  <c:v>2020</c:v>
                </c:pt>
                <c:pt idx="2">
                  <c:v>2021</c:v>
                </c:pt>
                <c:pt idx="3">
                  <c:v>2022</c:v>
                </c:pt>
                <c:pt idx="4">
                  <c:v>2023</c:v>
                </c:pt>
                <c:pt idx="5">
                  <c:v>2024</c:v>
                </c:pt>
              </c:numCache>
            </c:numRef>
          </c:cat>
          <c:val>
            <c:numRef>
              <c:f>Analysis!$C$1851:$E$1851</c:f>
              <c:numCache>
                <c:formatCode>0.0</c:formatCode>
                <c:ptCount val="3"/>
                <c:pt idx="0">
                  <c:v>1.4059193659774309</c:v>
                </c:pt>
                <c:pt idx="1">
                  <c:v>1.2386211628635073</c:v>
                </c:pt>
                <c:pt idx="2">
                  <c:v>2.9008714099509674</c:v>
                </c:pt>
              </c:numCache>
            </c:numRef>
          </c:val>
          <c:extLst>
            <c:ext xmlns:c16="http://schemas.microsoft.com/office/drawing/2014/chart" uri="{C3380CC4-5D6E-409C-BE32-E72D297353CC}">
              <c16:uniqueId val="{00000000-4612-4E49-9C6C-78CDF04EB5B7}"/>
            </c:ext>
          </c:extLst>
        </c:ser>
        <c:ser>
          <c:idx val="1"/>
          <c:order val="1"/>
          <c:tx>
            <c:strRef>
              <c:f>Analysis!$B$1852</c:f>
              <c:strCache>
                <c:ptCount val="1"/>
                <c:pt idx="0">
                  <c:v>No buy-back</c:v>
                </c:pt>
              </c:strCache>
            </c:strRef>
          </c:tx>
          <c:spPr>
            <a:solidFill>
              <a:srgbClr val="9999FF"/>
            </a:solidFill>
            <a:ln w="25400">
              <a:noFill/>
            </a:ln>
            <a:effectLst/>
          </c:spPr>
          <c:invertIfNegative val="0"/>
          <c:cat>
            <c:numRef>
              <c:f>Analysis!$D$1789:$I$1789</c:f>
              <c:numCache>
                <c:formatCode>General</c:formatCode>
                <c:ptCount val="6"/>
                <c:pt idx="0">
                  <c:v>2019</c:v>
                </c:pt>
                <c:pt idx="1">
                  <c:v>2020</c:v>
                </c:pt>
                <c:pt idx="2">
                  <c:v>2021</c:v>
                </c:pt>
                <c:pt idx="3">
                  <c:v>2022</c:v>
                </c:pt>
                <c:pt idx="4">
                  <c:v>2023</c:v>
                </c:pt>
                <c:pt idx="5">
                  <c:v>2024</c:v>
                </c:pt>
              </c:numCache>
            </c:numRef>
          </c:cat>
          <c:val>
            <c:numRef>
              <c:f>Analysis!$C$1852:$E$1852</c:f>
              <c:numCache>
                <c:formatCode>0.0</c:formatCode>
                <c:ptCount val="3"/>
                <c:pt idx="0">
                  <c:v>1.3193324483633213</c:v>
                </c:pt>
                <c:pt idx="1">
                  <c:v>1.6066775827282009</c:v>
                </c:pt>
                <c:pt idx="2">
                  <c:v>1.752932759857468</c:v>
                </c:pt>
              </c:numCache>
            </c:numRef>
          </c:val>
          <c:extLst>
            <c:ext xmlns:c16="http://schemas.microsoft.com/office/drawing/2014/chart" uri="{C3380CC4-5D6E-409C-BE32-E72D297353CC}">
              <c16:uniqueId val="{00000001-4612-4E49-9C6C-78CDF04EB5B7}"/>
            </c:ext>
          </c:extLst>
        </c:ser>
        <c:dLbls>
          <c:showLegendKey val="0"/>
          <c:showVal val="0"/>
          <c:showCatName val="0"/>
          <c:showSerName val="0"/>
          <c:showPercent val="0"/>
          <c:showBubbleSize val="0"/>
        </c:dLbls>
        <c:gapWidth val="219"/>
        <c:overlap val="-27"/>
        <c:axId val="1072967008"/>
        <c:axId val="1057284656"/>
      </c:barChart>
      <c:catAx>
        <c:axId val="10729670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57284656"/>
        <c:crosses val="autoZero"/>
        <c:auto val="1"/>
        <c:lblAlgn val="ctr"/>
        <c:lblOffset val="100"/>
        <c:noMultiLvlLbl val="0"/>
      </c:catAx>
      <c:valAx>
        <c:axId val="105728465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USD/share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729670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Analysis!$M$1883</c:f>
              <c:strCache>
                <c:ptCount val="1"/>
                <c:pt idx="0">
                  <c:v>LBTY Global (no buy back)</c:v>
                </c:pt>
              </c:strCache>
            </c:strRef>
          </c:tx>
          <c:spPr>
            <a:ln w="25400" cap="rnd">
              <a:solidFill>
                <a:srgbClr val="333399"/>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Analysis!$N$1883:$R$1883</c:f>
              <c:numCache>
                <c:formatCode>#,##0.00</c:formatCode>
                <c:ptCount val="5"/>
                <c:pt idx="0">
                  <c:v>1.6066775827282009</c:v>
                </c:pt>
                <c:pt idx="1">
                  <c:v>1.752932759857468</c:v>
                </c:pt>
                <c:pt idx="2">
                  <c:v>1.7942977863723457</c:v>
                </c:pt>
                <c:pt idx="3">
                  <c:v>1.8687745483682885</c:v>
                </c:pt>
                <c:pt idx="4">
                  <c:v>2.3232888044914621</c:v>
                </c:pt>
              </c:numCache>
            </c:numRef>
          </c:val>
          <c:smooth val="0"/>
          <c:extLst>
            <c:ext xmlns:c16="http://schemas.microsoft.com/office/drawing/2014/chart" uri="{C3380CC4-5D6E-409C-BE32-E72D297353CC}">
              <c16:uniqueId val="{00000000-17DA-421E-BC74-862AEA5A1F7F}"/>
            </c:ext>
          </c:extLst>
        </c:ser>
        <c:ser>
          <c:idx val="1"/>
          <c:order val="1"/>
          <c:tx>
            <c:strRef>
              <c:f>Analysis!$M$1884</c:f>
              <c:strCache>
                <c:ptCount val="1"/>
                <c:pt idx="0">
                  <c:v>LILA acquisition</c:v>
                </c:pt>
              </c:strCache>
            </c:strRef>
          </c:tx>
          <c:spPr>
            <a:ln w="25400" cap="rnd">
              <a:solidFill>
                <a:srgbClr val="99CCFF"/>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Analysis!$N$1884:$R$1884</c:f>
              <c:numCache>
                <c:formatCode>#,##0.00</c:formatCode>
                <c:ptCount val="5"/>
                <c:pt idx="0">
                  <c:v>1.6987319314075431</c:v>
                </c:pt>
                <c:pt idx="1">
                  <c:v>1.9126231511470058</c:v>
                </c:pt>
                <c:pt idx="2">
                  <c:v>1.9319390119294095</c:v>
                </c:pt>
                <c:pt idx="3">
                  <c:v>1.953970602730364</c:v>
                </c:pt>
                <c:pt idx="4">
                  <c:v>2.3180929168180633</c:v>
                </c:pt>
              </c:numCache>
            </c:numRef>
          </c:val>
          <c:smooth val="0"/>
          <c:extLst>
            <c:ext xmlns:c16="http://schemas.microsoft.com/office/drawing/2014/chart" uri="{C3380CC4-5D6E-409C-BE32-E72D297353CC}">
              <c16:uniqueId val="{00000001-17DA-421E-BC74-862AEA5A1F7F}"/>
            </c:ext>
          </c:extLst>
        </c:ser>
        <c:ser>
          <c:idx val="2"/>
          <c:order val="2"/>
          <c:tx>
            <c:strRef>
              <c:f>Analysis!$M$1887</c:f>
              <c:strCache>
                <c:ptCount val="1"/>
                <c:pt idx="0">
                  <c:v>LILA + Roll-up Millicom</c:v>
                </c:pt>
              </c:strCache>
            </c:strRef>
          </c:tx>
          <c:spPr>
            <a:ln w="25400" cap="rnd">
              <a:solidFill>
                <a:srgbClr val="333399"/>
              </a:solidFill>
              <a:prstDash val="lgDash"/>
              <a:round/>
            </a:ln>
            <a:effectLst/>
          </c:spPr>
          <c:marker>
            <c:symbol val="none"/>
          </c:marker>
          <c:val>
            <c:numRef>
              <c:f>Analysis!$N$1887:$R$1887</c:f>
              <c:numCache>
                <c:formatCode>#,##0.00</c:formatCode>
                <c:ptCount val="5"/>
                <c:pt idx="0">
                  <c:v>1.9049233403068666</c:v>
                </c:pt>
                <c:pt idx="1">
                  <c:v>2.1659120107636922</c:v>
                </c:pt>
                <c:pt idx="2">
                  <c:v>2.2766829431180065</c:v>
                </c:pt>
                <c:pt idx="3">
                  <c:v>2.3668365361502985</c:v>
                </c:pt>
                <c:pt idx="4">
                  <c:v>2.8170166150298535</c:v>
                </c:pt>
              </c:numCache>
            </c:numRef>
          </c:val>
          <c:smooth val="0"/>
          <c:extLst>
            <c:ext xmlns:c16="http://schemas.microsoft.com/office/drawing/2014/chart" uri="{C3380CC4-5D6E-409C-BE32-E72D297353CC}">
              <c16:uniqueId val="{00000000-C8D6-4949-ADC2-3C6C7E2E8D36}"/>
            </c:ext>
          </c:extLst>
        </c:ser>
        <c:ser>
          <c:idx val="3"/>
          <c:order val="3"/>
          <c:tx>
            <c:strRef>
              <c:f>Analysis!$M$1888</c:f>
              <c:strCache>
                <c:ptCount val="1"/>
                <c:pt idx="0">
                  <c:v>LBTY min TIGO bid (only)</c:v>
                </c:pt>
              </c:strCache>
            </c:strRef>
          </c:tx>
          <c:spPr>
            <a:ln w="25400" cap="rnd">
              <a:solidFill>
                <a:srgbClr val="99CCFF"/>
              </a:solidFill>
              <a:prstDash val="lgDash"/>
              <a:round/>
            </a:ln>
            <a:effectLst/>
          </c:spPr>
          <c:marker>
            <c:symbol val="none"/>
          </c:marker>
          <c:val>
            <c:numRef>
              <c:f>Analysis!$N$1888:$R$1888</c:f>
              <c:numCache>
                <c:formatCode>#,##0.00</c:formatCode>
                <c:ptCount val="5"/>
                <c:pt idx="0">
                  <c:v>1.6964002195994887</c:v>
                </c:pt>
                <c:pt idx="1">
                  <c:v>1.854607677450105</c:v>
                </c:pt>
                <c:pt idx="2">
                  <c:v>1.9191819578029108</c:v>
                </c:pt>
                <c:pt idx="3">
                  <c:v>2.0109465619552265</c:v>
                </c:pt>
                <c:pt idx="4">
                  <c:v>2.4873003560444094</c:v>
                </c:pt>
              </c:numCache>
            </c:numRef>
          </c:val>
          <c:smooth val="0"/>
          <c:extLst>
            <c:ext xmlns:c16="http://schemas.microsoft.com/office/drawing/2014/chart" uri="{C3380CC4-5D6E-409C-BE32-E72D297353CC}">
              <c16:uniqueId val="{00000001-C8D6-4949-ADC2-3C6C7E2E8D36}"/>
            </c:ext>
          </c:extLst>
        </c:ser>
        <c:dLbls>
          <c:showLegendKey val="0"/>
          <c:showVal val="0"/>
          <c:showCatName val="0"/>
          <c:showSerName val="0"/>
          <c:showPercent val="0"/>
          <c:showBubbleSize val="0"/>
        </c:dLbls>
        <c:smooth val="0"/>
        <c:axId val="681999920"/>
        <c:axId val="1025000048"/>
      </c:lineChart>
      <c:catAx>
        <c:axId val="68199992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000048"/>
        <c:crosses val="autoZero"/>
        <c:auto val="1"/>
        <c:lblAlgn val="ctr"/>
        <c:lblOffset val="100"/>
        <c:noMultiLvlLbl val="0"/>
      </c:catAx>
      <c:valAx>
        <c:axId val="102500004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 / share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199992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63864510172661"/>
          <c:y val="3.9639639639639637E-2"/>
          <c:w val="0.74619847459105482"/>
          <c:h val="0.59069733400755353"/>
        </c:manualLayout>
      </c:layout>
      <c:lineChart>
        <c:grouping val="standard"/>
        <c:varyColors val="0"/>
        <c:ser>
          <c:idx val="0"/>
          <c:order val="0"/>
          <c:tx>
            <c:strRef>
              <c:f>Analysis!$M$1892</c:f>
              <c:strCache>
                <c:ptCount val="1"/>
                <c:pt idx="0">
                  <c:v>LBTY Global (no buy back)</c:v>
                </c:pt>
              </c:strCache>
            </c:strRef>
          </c:tx>
          <c:spPr>
            <a:ln w="25400" cap="rnd">
              <a:solidFill>
                <a:srgbClr val="333399"/>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Analysis!$N$1892:$R$1892</c:f>
              <c:numCache>
                <c:formatCode>0.0\x</c:formatCode>
                <c:ptCount val="5"/>
                <c:pt idx="0">
                  <c:v>3.1638369872049985</c:v>
                </c:pt>
                <c:pt idx="1">
                  <c:v>2.9088097757884905</c:v>
                </c:pt>
                <c:pt idx="2">
                  <c:v>2.5534097188284202</c:v>
                </c:pt>
                <c:pt idx="3">
                  <c:v>2.1585296054869247</c:v>
                </c:pt>
                <c:pt idx="4">
                  <c:v>1.7383835587720926</c:v>
                </c:pt>
              </c:numCache>
            </c:numRef>
          </c:val>
          <c:smooth val="0"/>
          <c:extLst>
            <c:ext xmlns:c16="http://schemas.microsoft.com/office/drawing/2014/chart" uri="{C3380CC4-5D6E-409C-BE32-E72D297353CC}">
              <c16:uniqueId val="{00000000-F4CD-4905-A9DC-97EEDF4BE0A1}"/>
            </c:ext>
          </c:extLst>
        </c:ser>
        <c:ser>
          <c:idx val="1"/>
          <c:order val="1"/>
          <c:tx>
            <c:strRef>
              <c:f>Analysis!$M$1893</c:f>
              <c:strCache>
                <c:ptCount val="1"/>
                <c:pt idx="0">
                  <c:v>LILA acquisition</c:v>
                </c:pt>
              </c:strCache>
            </c:strRef>
          </c:tx>
          <c:spPr>
            <a:ln w="25400" cap="rnd">
              <a:solidFill>
                <a:srgbClr val="99CCFF"/>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Analysis!$N$1893:$R$1893</c:f>
              <c:numCache>
                <c:formatCode>0.0\x</c:formatCode>
                <c:ptCount val="5"/>
                <c:pt idx="0">
                  <c:v>4.2349234336850818</c:v>
                </c:pt>
                <c:pt idx="1">
                  <c:v>3.8805720522193523</c:v>
                </c:pt>
                <c:pt idx="2">
                  <c:v>3.4148953335084102</c:v>
                </c:pt>
                <c:pt idx="3">
                  <c:v>3.2583138938968106</c:v>
                </c:pt>
                <c:pt idx="4">
                  <c:v>2.988711779943853</c:v>
                </c:pt>
              </c:numCache>
            </c:numRef>
          </c:val>
          <c:smooth val="0"/>
          <c:extLst>
            <c:ext xmlns:c16="http://schemas.microsoft.com/office/drawing/2014/chart" uri="{C3380CC4-5D6E-409C-BE32-E72D297353CC}">
              <c16:uniqueId val="{00000001-F4CD-4905-A9DC-97EEDF4BE0A1}"/>
            </c:ext>
          </c:extLst>
        </c:ser>
        <c:ser>
          <c:idx val="2"/>
          <c:order val="2"/>
          <c:tx>
            <c:strRef>
              <c:f>Analysis!$M$1896</c:f>
              <c:strCache>
                <c:ptCount val="1"/>
                <c:pt idx="0">
                  <c:v>LILA + Roll-up Millicom</c:v>
                </c:pt>
              </c:strCache>
            </c:strRef>
          </c:tx>
          <c:spPr>
            <a:ln w="25400" cap="rnd">
              <a:solidFill>
                <a:srgbClr val="333399"/>
              </a:solidFill>
              <a:prstDash val="lgDash"/>
              <a:round/>
            </a:ln>
            <a:effectLst/>
          </c:spPr>
          <c:marker>
            <c:symbol val="none"/>
          </c:marker>
          <c:val>
            <c:numRef>
              <c:f>Analysis!$N$1896:$R$1896</c:f>
              <c:numCache>
                <c:formatCode>0.0\x</c:formatCode>
                <c:ptCount val="5"/>
                <c:pt idx="0">
                  <c:v>4.6482097554107913</c:v>
                </c:pt>
                <c:pt idx="1">
                  <c:v>4.3414562937529766</c:v>
                </c:pt>
                <c:pt idx="2">
                  <c:v>3.9767549840019387</c:v>
                </c:pt>
                <c:pt idx="3">
                  <c:v>3.8174965237916823</c:v>
                </c:pt>
                <c:pt idx="4">
                  <c:v>3.5845491484940628</c:v>
                </c:pt>
              </c:numCache>
            </c:numRef>
          </c:val>
          <c:smooth val="0"/>
          <c:extLst>
            <c:ext xmlns:c16="http://schemas.microsoft.com/office/drawing/2014/chart" uri="{C3380CC4-5D6E-409C-BE32-E72D297353CC}">
              <c16:uniqueId val="{00000000-E56B-4CC1-802B-50A953082475}"/>
            </c:ext>
          </c:extLst>
        </c:ser>
        <c:ser>
          <c:idx val="3"/>
          <c:order val="3"/>
          <c:tx>
            <c:strRef>
              <c:f>Analysis!$M$1897</c:f>
              <c:strCache>
                <c:ptCount val="1"/>
                <c:pt idx="0">
                  <c:v>LBTY min TIGO bid (only)</c:v>
                </c:pt>
              </c:strCache>
            </c:strRef>
          </c:tx>
          <c:spPr>
            <a:ln w="25400" cap="rnd">
              <a:solidFill>
                <a:srgbClr val="99CCFF"/>
              </a:solidFill>
              <a:prstDash val="lgDash"/>
              <a:round/>
            </a:ln>
            <a:effectLst/>
          </c:spPr>
          <c:marker>
            <c:symbol val="none"/>
          </c:marker>
          <c:val>
            <c:numRef>
              <c:f>Analysis!$N$1897:$R$1897</c:f>
              <c:numCache>
                <c:formatCode>0.0\x</c:formatCode>
                <c:ptCount val="5"/>
                <c:pt idx="0">
                  <c:v>3.4078932682613958</c:v>
                </c:pt>
                <c:pt idx="1">
                  <c:v>3.1550277585593953</c:v>
                </c:pt>
                <c:pt idx="2">
                  <c:v>2.8004296445979278</c:v>
                </c:pt>
                <c:pt idx="3">
                  <c:v>2.4048308676713543</c:v>
                </c:pt>
                <c:pt idx="4">
                  <c:v>1.9846516797461531</c:v>
                </c:pt>
              </c:numCache>
            </c:numRef>
          </c:val>
          <c:smooth val="0"/>
          <c:extLst>
            <c:ext xmlns:c16="http://schemas.microsoft.com/office/drawing/2014/chart" uri="{C3380CC4-5D6E-409C-BE32-E72D297353CC}">
              <c16:uniqueId val="{00000001-E56B-4CC1-802B-50A953082475}"/>
            </c:ext>
          </c:extLst>
        </c:ser>
        <c:dLbls>
          <c:showLegendKey val="0"/>
          <c:showVal val="0"/>
          <c:showCatName val="0"/>
          <c:showSerName val="0"/>
          <c:showPercent val="0"/>
          <c:showBubbleSize val="0"/>
        </c:dLbls>
        <c:smooth val="0"/>
        <c:axId val="681999920"/>
        <c:axId val="1025000048"/>
      </c:lineChart>
      <c:catAx>
        <c:axId val="68199992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000048"/>
        <c:crosses val="autoZero"/>
        <c:auto val="1"/>
        <c:lblAlgn val="ctr"/>
        <c:lblOffset val="100"/>
        <c:noMultiLvlLbl val="0"/>
      </c:catAx>
      <c:valAx>
        <c:axId val="102500004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Net debt / EBITDA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199992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Analysis!$M$1883</c:f>
              <c:strCache>
                <c:ptCount val="1"/>
                <c:pt idx="0">
                  <c:v>LBTY Global (no buy back)</c:v>
                </c:pt>
              </c:strCache>
            </c:strRef>
          </c:tx>
          <c:spPr>
            <a:ln w="25400" cap="rnd">
              <a:solidFill>
                <a:srgbClr val="333399"/>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Analysis!$N$1883:$R$1883</c:f>
              <c:numCache>
                <c:formatCode>#,##0.00</c:formatCode>
                <c:ptCount val="5"/>
                <c:pt idx="0">
                  <c:v>1.6066775827282009</c:v>
                </c:pt>
                <c:pt idx="1">
                  <c:v>1.752932759857468</c:v>
                </c:pt>
                <c:pt idx="2">
                  <c:v>1.7942977863723457</c:v>
                </c:pt>
                <c:pt idx="3">
                  <c:v>1.8687745483682885</c:v>
                </c:pt>
                <c:pt idx="4">
                  <c:v>2.3232888044914621</c:v>
                </c:pt>
              </c:numCache>
            </c:numRef>
          </c:val>
          <c:smooth val="0"/>
          <c:extLst>
            <c:ext xmlns:c16="http://schemas.microsoft.com/office/drawing/2014/chart" uri="{C3380CC4-5D6E-409C-BE32-E72D297353CC}">
              <c16:uniqueId val="{00000000-D1E1-45E1-A402-78C6ED4C2549}"/>
            </c:ext>
          </c:extLst>
        </c:ser>
        <c:ser>
          <c:idx val="1"/>
          <c:order val="1"/>
          <c:tx>
            <c:strRef>
              <c:f>Analysis!$M$1884</c:f>
              <c:strCache>
                <c:ptCount val="1"/>
                <c:pt idx="0">
                  <c:v>LILA acquisition</c:v>
                </c:pt>
              </c:strCache>
            </c:strRef>
          </c:tx>
          <c:spPr>
            <a:ln w="25400" cap="rnd">
              <a:solidFill>
                <a:srgbClr val="99CCFF"/>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Analysis!$N$1884:$R$1884</c:f>
              <c:numCache>
                <c:formatCode>#,##0.00</c:formatCode>
                <c:ptCount val="5"/>
                <c:pt idx="0">
                  <c:v>1.6987319314075431</c:v>
                </c:pt>
                <c:pt idx="1">
                  <c:v>1.9126231511470058</c:v>
                </c:pt>
                <c:pt idx="2">
                  <c:v>1.9319390119294095</c:v>
                </c:pt>
                <c:pt idx="3">
                  <c:v>1.953970602730364</c:v>
                </c:pt>
                <c:pt idx="4">
                  <c:v>2.3180929168180633</c:v>
                </c:pt>
              </c:numCache>
            </c:numRef>
          </c:val>
          <c:smooth val="0"/>
          <c:extLst>
            <c:ext xmlns:c16="http://schemas.microsoft.com/office/drawing/2014/chart" uri="{C3380CC4-5D6E-409C-BE32-E72D297353CC}">
              <c16:uniqueId val="{00000001-D1E1-45E1-A402-78C6ED4C2549}"/>
            </c:ext>
          </c:extLst>
        </c:ser>
        <c:ser>
          <c:idx val="3"/>
          <c:order val="2"/>
          <c:tx>
            <c:strRef>
              <c:f>Analysis!$M$1885</c:f>
              <c:strCache>
                <c:ptCount val="1"/>
                <c:pt idx="0">
                  <c:v>LILA and Cable acquisition</c:v>
                </c:pt>
              </c:strCache>
            </c:strRef>
          </c:tx>
          <c:spPr>
            <a:ln w="25400" cap="rnd">
              <a:solidFill>
                <a:srgbClr val="333399"/>
              </a:solidFill>
              <a:prstDash val="lgDash"/>
              <a:round/>
            </a:ln>
            <a:effectLst/>
          </c:spPr>
          <c:marker>
            <c:symbol val="none"/>
          </c:marker>
          <c:val>
            <c:numRef>
              <c:f>Analysis!$N$1885:$R$1885</c:f>
              <c:numCache>
                <c:formatCode>#,##0.00</c:formatCode>
                <c:ptCount val="5"/>
                <c:pt idx="0">
                  <c:v>1.6383976709614871</c:v>
                </c:pt>
                <c:pt idx="1">
                  <c:v>2.0269400451594217</c:v>
                </c:pt>
                <c:pt idx="2">
                  <c:v>2.2357175074931592</c:v>
                </c:pt>
                <c:pt idx="3">
                  <c:v>2.4460402730246642</c:v>
                </c:pt>
                <c:pt idx="4">
                  <c:v>3.017752313071886</c:v>
                </c:pt>
              </c:numCache>
            </c:numRef>
          </c:val>
          <c:smooth val="0"/>
          <c:extLst>
            <c:ext xmlns:c16="http://schemas.microsoft.com/office/drawing/2014/chart" uri="{C3380CC4-5D6E-409C-BE32-E72D297353CC}">
              <c16:uniqueId val="{00000003-D1E1-45E1-A402-78C6ED4C2549}"/>
            </c:ext>
          </c:extLst>
        </c:ser>
        <c:ser>
          <c:idx val="2"/>
          <c:order val="3"/>
          <c:tx>
            <c:strRef>
              <c:f>Analysis!$M$1886</c:f>
              <c:strCache>
                <c:ptCount val="1"/>
                <c:pt idx="0">
                  <c:v>LBTY minority TV bid</c:v>
                </c:pt>
              </c:strCache>
            </c:strRef>
          </c:tx>
          <c:spPr>
            <a:ln w="25400" cap="rnd">
              <a:solidFill>
                <a:srgbClr val="99CCFF"/>
              </a:solidFill>
              <a:prstDash val="lgDash"/>
              <a:round/>
            </a:ln>
            <a:effectLst/>
          </c:spPr>
          <c:marker>
            <c:symbol val="none"/>
          </c:marker>
          <c:val>
            <c:numRef>
              <c:f>Analysis!$N$1886:$R$1886</c:f>
              <c:numCache>
                <c:formatCode>#,##0.00</c:formatCode>
                <c:ptCount val="5"/>
                <c:pt idx="0">
                  <c:v>1.5853729346229408</c:v>
                </c:pt>
                <c:pt idx="1">
                  <c:v>1.7842961645766773</c:v>
                </c:pt>
                <c:pt idx="2">
                  <c:v>1.8727018938392821</c:v>
                </c:pt>
                <c:pt idx="3">
                  <c:v>1.9851881360816133</c:v>
                </c:pt>
                <c:pt idx="4">
                  <c:v>2.4411586696848291</c:v>
                </c:pt>
              </c:numCache>
            </c:numRef>
          </c:val>
          <c:smooth val="0"/>
          <c:extLst>
            <c:ext xmlns:c16="http://schemas.microsoft.com/office/drawing/2014/chart" uri="{C3380CC4-5D6E-409C-BE32-E72D297353CC}">
              <c16:uniqueId val="{00000002-D1E1-45E1-A402-78C6ED4C2549}"/>
            </c:ext>
          </c:extLst>
        </c:ser>
        <c:dLbls>
          <c:showLegendKey val="0"/>
          <c:showVal val="0"/>
          <c:showCatName val="0"/>
          <c:showSerName val="0"/>
          <c:showPercent val="0"/>
          <c:showBubbleSize val="0"/>
        </c:dLbls>
        <c:smooth val="0"/>
        <c:axId val="681999920"/>
        <c:axId val="1025000048"/>
      </c:lineChart>
      <c:catAx>
        <c:axId val="68199992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000048"/>
        <c:crosses val="autoZero"/>
        <c:auto val="1"/>
        <c:lblAlgn val="ctr"/>
        <c:lblOffset val="100"/>
        <c:noMultiLvlLbl val="0"/>
      </c:catAx>
      <c:valAx>
        <c:axId val="102500004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 / share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199992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63864510172661"/>
          <c:y val="3.9639639639639637E-2"/>
          <c:w val="0.74619847459105482"/>
          <c:h val="0.59069733400755353"/>
        </c:manualLayout>
      </c:layout>
      <c:lineChart>
        <c:grouping val="standard"/>
        <c:varyColors val="0"/>
        <c:ser>
          <c:idx val="0"/>
          <c:order val="0"/>
          <c:tx>
            <c:strRef>
              <c:f>Analysis!$M$1892</c:f>
              <c:strCache>
                <c:ptCount val="1"/>
                <c:pt idx="0">
                  <c:v>LBTY Global (no buy back)</c:v>
                </c:pt>
              </c:strCache>
            </c:strRef>
          </c:tx>
          <c:spPr>
            <a:ln w="25400" cap="rnd">
              <a:solidFill>
                <a:srgbClr val="333399"/>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Analysis!$N$1892:$R$1892</c:f>
              <c:numCache>
                <c:formatCode>0.0\x</c:formatCode>
                <c:ptCount val="5"/>
                <c:pt idx="0">
                  <c:v>3.1638369872049985</c:v>
                </c:pt>
                <c:pt idx="1">
                  <c:v>2.9088097757884905</c:v>
                </c:pt>
                <c:pt idx="2">
                  <c:v>2.5534097188284202</c:v>
                </c:pt>
                <c:pt idx="3">
                  <c:v>2.1585296054869247</c:v>
                </c:pt>
                <c:pt idx="4">
                  <c:v>1.7383835587720926</c:v>
                </c:pt>
              </c:numCache>
            </c:numRef>
          </c:val>
          <c:smooth val="0"/>
          <c:extLst>
            <c:ext xmlns:c16="http://schemas.microsoft.com/office/drawing/2014/chart" uri="{C3380CC4-5D6E-409C-BE32-E72D297353CC}">
              <c16:uniqueId val="{00000000-BAEF-422A-BCDD-A8DA622F7BF7}"/>
            </c:ext>
          </c:extLst>
        </c:ser>
        <c:ser>
          <c:idx val="1"/>
          <c:order val="1"/>
          <c:tx>
            <c:strRef>
              <c:f>Analysis!$M$1893</c:f>
              <c:strCache>
                <c:ptCount val="1"/>
                <c:pt idx="0">
                  <c:v>LILA acquisition</c:v>
                </c:pt>
              </c:strCache>
            </c:strRef>
          </c:tx>
          <c:spPr>
            <a:ln w="25400" cap="rnd">
              <a:solidFill>
                <a:srgbClr val="99CCFF"/>
              </a:solidFill>
              <a:prstDash val="solid"/>
              <a:round/>
            </a:ln>
            <a:effectLst/>
          </c:spPr>
          <c:marker>
            <c:symbol val="none"/>
          </c:marker>
          <c:cat>
            <c:numRef>
              <c:f>Analysis!$N$1882:$R$1882</c:f>
              <c:numCache>
                <c:formatCode>General</c:formatCode>
                <c:ptCount val="5"/>
                <c:pt idx="0">
                  <c:v>2020</c:v>
                </c:pt>
                <c:pt idx="1">
                  <c:v>2021</c:v>
                </c:pt>
                <c:pt idx="2">
                  <c:v>2022</c:v>
                </c:pt>
                <c:pt idx="3">
                  <c:v>2023</c:v>
                </c:pt>
                <c:pt idx="4">
                  <c:v>2024</c:v>
                </c:pt>
              </c:numCache>
            </c:numRef>
          </c:cat>
          <c:val>
            <c:numRef>
              <c:f>Analysis!$N$1893:$R$1893</c:f>
              <c:numCache>
                <c:formatCode>0.0\x</c:formatCode>
                <c:ptCount val="5"/>
                <c:pt idx="0">
                  <c:v>4.2349234336850818</c:v>
                </c:pt>
                <c:pt idx="1">
                  <c:v>3.8805720522193523</c:v>
                </c:pt>
                <c:pt idx="2">
                  <c:v>3.4148953335084102</c:v>
                </c:pt>
                <c:pt idx="3">
                  <c:v>3.2583138938968106</c:v>
                </c:pt>
                <c:pt idx="4">
                  <c:v>2.988711779943853</c:v>
                </c:pt>
              </c:numCache>
            </c:numRef>
          </c:val>
          <c:smooth val="0"/>
          <c:extLst>
            <c:ext xmlns:c16="http://schemas.microsoft.com/office/drawing/2014/chart" uri="{C3380CC4-5D6E-409C-BE32-E72D297353CC}">
              <c16:uniqueId val="{00000001-BAEF-422A-BCDD-A8DA622F7BF7}"/>
            </c:ext>
          </c:extLst>
        </c:ser>
        <c:ser>
          <c:idx val="2"/>
          <c:order val="2"/>
          <c:tx>
            <c:strRef>
              <c:f>Analysis!$M$1894</c:f>
              <c:strCache>
                <c:ptCount val="1"/>
                <c:pt idx="0">
                  <c:v>LILA and Cable acquisition</c:v>
                </c:pt>
              </c:strCache>
            </c:strRef>
          </c:tx>
          <c:spPr>
            <a:ln w="25400" cap="rnd">
              <a:solidFill>
                <a:srgbClr val="333399"/>
              </a:solidFill>
              <a:prstDash val="lgDash"/>
              <a:round/>
            </a:ln>
            <a:effectLst/>
          </c:spPr>
          <c:marker>
            <c:symbol val="none"/>
          </c:marker>
          <c:val>
            <c:numRef>
              <c:f>Analysis!$N$1894:$R$1894</c:f>
              <c:numCache>
                <c:formatCode>0.0\x</c:formatCode>
                <c:ptCount val="5"/>
                <c:pt idx="0">
                  <c:v>4.9892131448781241</c:v>
                </c:pt>
                <c:pt idx="1">
                  <c:v>4.6371747182328944</c:v>
                </c:pt>
                <c:pt idx="2">
                  <c:v>4.2322766759832744</c:v>
                </c:pt>
                <c:pt idx="3">
                  <c:v>4.0656202842255249</c:v>
                </c:pt>
                <c:pt idx="4">
                  <c:v>3.8195824131995439</c:v>
                </c:pt>
              </c:numCache>
            </c:numRef>
          </c:val>
          <c:smooth val="0"/>
          <c:extLst>
            <c:ext xmlns:c16="http://schemas.microsoft.com/office/drawing/2014/chart" uri="{C3380CC4-5D6E-409C-BE32-E72D297353CC}">
              <c16:uniqueId val="{00000002-BAEF-422A-BCDD-A8DA622F7BF7}"/>
            </c:ext>
          </c:extLst>
        </c:ser>
        <c:ser>
          <c:idx val="3"/>
          <c:order val="3"/>
          <c:tx>
            <c:strRef>
              <c:f>Analysis!$M$1895</c:f>
              <c:strCache>
                <c:ptCount val="1"/>
                <c:pt idx="0">
                  <c:v>LBTY minority TV bid</c:v>
                </c:pt>
              </c:strCache>
            </c:strRef>
          </c:tx>
          <c:spPr>
            <a:ln w="25400" cap="rnd">
              <a:solidFill>
                <a:srgbClr val="99CCFF"/>
              </a:solidFill>
              <a:prstDash val="lgDash"/>
              <a:round/>
            </a:ln>
            <a:effectLst/>
          </c:spPr>
          <c:marker>
            <c:symbol val="none"/>
          </c:marker>
          <c:val>
            <c:numRef>
              <c:f>Analysis!$N$1895:$R$1895</c:f>
              <c:numCache>
                <c:formatCode>0.0\x</c:formatCode>
                <c:ptCount val="5"/>
                <c:pt idx="0">
                  <c:v>3.5952000414384693</c:v>
                </c:pt>
                <c:pt idx="1">
                  <c:v>3.3439935809154653</c:v>
                </c:pt>
                <c:pt idx="2">
                  <c:v>2.9900109371016619</c:v>
                </c:pt>
                <c:pt idx="3">
                  <c:v>2.5938606047857413</c:v>
                </c:pt>
                <c:pt idx="4">
                  <c:v>2.1736559818537189</c:v>
                </c:pt>
              </c:numCache>
            </c:numRef>
          </c:val>
          <c:smooth val="0"/>
          <c:extLst>
            <c:ext xmlns:c16="http://schemas.microsoft.com/office/drawing/2014/chart" uri="{C3380CC4-5D6E-409C-BE32-E72D297353CC}">
              <c16:uniqueId val="{00000003-BAEF-422A-BCDD-A8DA622F7BF7}"/>
            </c:ext>
          </c:extLst>
        </c:ser>
        <c:dLbls>
          <c:showLegendKey val="0"/>
          <c:showVal val="0"/>
          <c:showCatName val="0"/>
          <c:showSerName val="0"/>
          <c:showPercent val="0"/>
          <c:showBubbleSize val="0"/>
        </c:dLbls>
        <c:smooth val="0"/>
        <c:axId val="681999920"/>
        <c:axId val="1025000048"/>
      </c:lineChart>
      <c:catAx>
        <c:axId val="68199992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000048"/>
        <c:crosses val="autoZero"/>
        <c:auto val="1"/>
        <c:lblAlgn val="ctr"/>
        <c:lblOffset val="100"/>
        <c:noMultiLvlLbl val="0"/>
      </c:catAx>
      <c:valAx>
        <c:axId val="102500004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Net debt / EBITDA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8199992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Analysis!$B$2471</c:f>
              <c:strCache>
                <c:ptCount val="1"/>
                <c:pt idx="0">
                  <c:v>EFCF per share (pre AT&amp;T)</c:v>
                </c:pt>
              </c:strCache>
            </c:strRef>
          </c:tx>
          <c:spPr>
            <a:solidFill>
              <a:srgbClr val="000080"/>
            </a:solidFill>
            <a:ln w="25400">
              <a:noFill/>
            </a:ln>
            <a:effectLst/>
          </c:spPr>
          <c:invertIfNegative val="0"/>
          <c:cat>
            <c:numRef>
              <c:f>Analysis!$C$2458:$F$2458</c:f>
              <c:numCache>
                <c:formatCode>General</c:formatCode>
                <c:ptCount val="4"/>
                <c:pt idx="0">
                  <c:v>2020</c:v>
                </c:pt>
                <c:pt idx="1">
                  <c:v>2021</c:v>
                </c:pt>
                <c:pt idx="2">
                  <c:v>2022</c:v>
                </c:pt>
                <c:pt idx="3">
                  <c:v>2023</c:v>
                </c:pt>
              </c:numCache>
            </c:numRef>
          </c:cat>
          <c:val>
            <c:numRef>
              <c:f>Analysis!$C$2471:$F$2471</c:f>
              <c:numCache>
                <c:formatCode>0.00</c:formatCode>
                <c:ptCount val="4"/>
                <c:pt idx="0">
                  <c:v>1.2408922407159033</c:v>
                </c:pt>
                <c:pt idx="1">
                  <c:v>1.2217974029790095</c:v>
                </c:pt>
                <c:pt idx="2">
                  <c:v>1.1482424938765634</c:v>
                </c:pt>
                <c:pt idx="3">
                  <c:v>0.94296107058507872</c:v>
                </c:pt>
              </c:numCache>
            </c:numRef>
          </c:val>
          <c:extLst>
            <c:ext xmlns:c16="http://schemas.microsoft.com/office/drawing/2014/chart" uri="{C3380CC4-5D6E-409C-BE32-E72D297353CC}">
              <c16:uniqueId val="{00000000-822E-40B3-B24C-92ABE8C6D292}"/>
            </c:ext>
          </c:extLst>
        </c:ser>
        <c:ser>
          <c:idx val="1"/>
          <c:order val="1"/>
          <c:tx>
            <c:strRef>
              <c:f>Analysis!$B$2472</c:f>
              <c:strCache>
                <c:ptCount val="1"/>
                <c:pt idx="0">
                  <c:v>EFCF per share - New</c:v>
                </c:pt>
              </c:strCache>
            </c:strRef>
          </c:tx>
          <c:spPr>
            <a:solidFill>
              <a:srgbClr val="9999FF"/>
            </a:solidFill>
            <a:ln w="25400">
              <a:noFill/>
            </a:ln>
            <a:effectLst/>
          </c:spPr>
          <c:invertIfNegative val="0"/>
          <c:cat>
            <c:numRef>
              <c:f>Analysis!$C$2458:$F$2458</c:f>
              <c:numCache>
                <c:formatCode>General</c:formatCode>
                <c:ptCount val="4"/>
                <c:pt idx="0">
                  <c:v>2020</c:v>
                </c:pt>
                <c:pt idx="1">
                  <c:v>2021</c:v>
                </c:pt>
                <c:pt idx="2">
                  <c:v>2022</c:v>
                </c:pt>
                <c:pt idx="3">
                  <c:v>2023</c:v>
                </c:pt>
              </c:numCache>
            </c:numRef>
          </c:cat>
          <c:val>
            <c:numRef>
              <c:f>Analysis!$C$2472:$F$2472</c:f>
              <c:numCache>
                <c:formatCode>0.00</c:formatCode>
                <c:ptCount val="4"/>
                <c:pt idx="0">
                  <c:v>1.0773839625338053</c:v>
                </c:pt>
                <c:pt idx="1">
                  <c:v>1.3411077479582318</c:v>
                </c:pt>
                <c:pt idx="2">
                  <c:v>1.2601415975902024</c:v>
                </c:pt>
                <c:pt idx="3">
                  <c:v>1.0662144631824271</c:v>
                </c:pt>
              </c:numCache>
            </c:numRef>
          </c:val>
          <c:extLst>
            <c:ext xmlns:c16="http://schemas.microsoft.com/office/drawing/2014/chart" uri="{C3380CC4-5D6E-409C-BE32-E72D297353CC}">
              <c16:uniqueId val="{00000001-822E-40B3-B24C-92ABE8C6D292}"/>
            </c:ext>
          </c:extLst>
        </c:ser>
        <c:dLbls>
          <c:showLegendKey val="0"/>
          <c:showVal val="0"/>
          <c:showCatName val="0"/>
          <c:showSerName val="0"/>
          <c:showPercent val="0"/>
          <c:showBubbleSize val="0"/>
        </c:dLbls>
        <c:gapWidth val="219"/>
        <c:overlap val="-27"/>
        <c:axId val="331186960"/>
        <c:axId val="396101136"/>
      </c:barChart>
      <c:catAx>
        <c:axId val="33118696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96101136"/>
        <c:crosses val="autoZero"/>
        <c:auto val="1"/>
        <c:lblAlgn val="ctr"/>
        <c:lblOffset val="100"/>
        <c:noMultiLvlLbl val="0"/>
      </c:catAx>
      <c:valAx>
        <c:axId val="39610113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 share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311869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Analysis!$B$2464</c:f>
              <c:strCache>
                <c:ptCount val="1"/>
                <c:pt idx="0">
                  <c:v>Net debt to EBITDA - Old</c:v>
                </c:pt>
              </c:strCache>
            </c:strRef>
          </c:tx>
          <c:spPr>
            <a:ln w="25400" cap="rnd">
              <a:solidFill>
                <a:srgbClr val="333399"/>
              </a:solidFill>
              <a:prstDash val="solid"/>
              <a:round/>
            </a:ln>
            <a:effectLst/>
          </c:spPr>
          <c:marker>
            <c:symbol val="none"/>
          </c:marker>
          <c:cat>
            <c:numRef>
              <c:f>Analysis!$C$2458:$F$2458</c:f>
              <c:numCache>
                <c:formatCode>General</c:formatCode>
                <c:ptCount val="4"/>
                <c:pt idx="0">
                  <c:v>2020</c:v>
                </c:pt>
                <c:pt idx="1">
                  <c:v>2021</c:v>
                </c:pt>
                <c:pt idx="2">
                  <c:v>2022</c:v>
                </c:pt>
                <c:pt idx="3">
                  <c:v>2023</c:v>
                </c:pt>
              </c:numCache>
            </c:numRef>
          </c:cat>
          <c:val>
            <c:numRef>
              <c:f>Analysis!$C$2464:$F$2464</c:f>
              <c:numCache>
                <c:formatCode>0.0\x</c:formatCode>
                <c:ptCount val="4"/>
                <c:pt idx="0">
                  <c:v>3.5257591174284908</c:v>
                </c:pt>
                <c:pt idx="1">
                  <c:v>3.2790930383923649</c:v>
                </c:pt>
                <c:pt idx="2">
                  <c:v>3.0471374490877383</c:v>
                </c:pt>
                <c:pt idx="3">
                  <c:v>2.8313210966843108</c:v>
                </c:pt>
              </c:numCache>
            </c:numRef>
          </c:val>
          <c:smooth val="0"/>
          <c:extLst>
            <c:ext xmlns:c16="http://schemas.microsoft.com/office/drawing/2014/chart" uri="{C3380CC4-5D6E-409C-BE32-E72D297353CC}">
              <c16:uniqueId val="{00000000-2C17-4337-94E1-647236040ECB}"/>
            </c:ext>
          </c:extLst>
        </c:ser>
        <c:ser>
          <c:idx val="1"/>
          <c:order val="1"/>
          <c:tx>
            <c:strRef>
              <c:f>Analysis!$B$2465</c:f>
              <c:strCache>
                <c:ptCount val="1"/>
                <c:pt idx="0">
                  <c:v>Net debt to EBITDA - New</c:v>
                </c:pt>
              </c:strCache>
            </c:strRef>
          </c:tx>
          <c:spPr>
            <a:ln w="25400" cap="rnd">
              <a:solidFill>
                <a:srgbClr val="99CCFF"/>
              </a:solidFill>
              <a:prstDash val="solid"/>
              <a:round/>
            </a:ln>
            <a:effectLst/>
          </c:spPr>
          <c:marker>
            <c:symbol val="none"/>
          </c:marker>
          <c:cat>
            <c:numRef>
              <c:f>Analysis!$C$2458:$F$2458</c:f>
              <c:numCache>
                <c:formatCode>General</c:formatCode>
                <c:ptCount val="4"/>
                <c:pt idx="0">
                  <c:v>2020</c:v>
                </c:pt>
                <c:pt idx="1">
                  <c:v>2021</c:v>
                </c:pt>
                <c:pt idx="2">
                  <c:v>2022</c:v>
                </c:pt>
                <c:pt idx="3">
                  <c:v>2023</c:v>
                </c:pt>
              </c:numCache>
            </c:numRef>
          </c:cat>
          <c:val>
            <c:numRef>
              <c:f>Analysis!$C$2465:$F$2465</c:f>
              <c:numCache>
                <c:formatCode>0.0\x</c:formatCode>
                <c:ptCount val="4"/>
                <c:pt idx="0">
                  <c:v>4.5001979970326556</c:v>
                </c:pt>
                <c:pt idx="1">
                  <c:v>4.594696058450463</c:v>
                </c:pt>
                <c:pt idx="2">
                  <c:v>3.8588882410312668</c:v>
                </c:pt>
                <c:pt idx="3">
                  <c:v>4.6221051910340414</c:v>
                </c:pt>
              </c:numCache>
            </c:numRef>
          </c:val>
          <c:smooth val="0"/>
          <c:extLst>
            <c:ext xmlns:c16="http://schemas.microsoft.com/office/drawing/2014/chart" uri="{C3380CC4-5D6E-409C-BE32-E72D297353CC}">
              <c16:uniqueId val="{00000001-2C17-4337-94E1-647236040ECB}"/>
            </c:ext>
          </c:extLst>
        </c:ser>
        <c:dLbls>
          <c:showLegendKey val="0"/>
          <c:showVal val="0"/>
          <c:showCatName val="0"/>
          <c:showSerName val="0"/>
          <c:showPercent val="0"/>
          <c:showBubbleSize val="0"/>
        </c:dLbls>
        <c:smooth val="0"/>
        <c:axId val="331186960"/>
        <c:axId val="396101136"/>
      </c:lineChart>
      <c:catAx>
        <c:axId val="331186960"/>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96101136"/>
        <c:crosses val="autoZero"/>
        <c:auto val="1"/>
        <c:lblAlgn val="ctr"/>
        <c:lblOffset val="100"/>
        <c:noMultiLvlLbl val="0"/>
      </c:catAx>
      <c:valAx>
        <c:axId val="39610113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Net debt to EBITDA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311869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13526670488524E-2"/>
          <c:y val="0.1908873165778614"/>
          <c:w val="0.83072203834140634"/>
          <c:h val="0.76883750913182636"/>
        </c:manualLayout>
      </c:layout>
      <c:barChart>
        <c:barDir val="col"/>
        <c:grouping val="clustered"/>
        <c:varyColors val="0"/>
        <c:ser>
          <c:idx val="0"/>
          <c:order val="0"/>
          <c:spPr>
            <a:solidFill>
              <a:srgbClr val="000080"/>
            </a:solidFill>
            <a:ln w="25400">
              <a:noFill/>
            </a:ln>
            <a:effectLst/>
          </c:spPr>
          <c:invertIfNegative val="0"/>
          <c:cat>
            <c:strRef>
              <c:f>Analysis!$Q$2658:$Q$2666</c:f>
              <c:strCache>
                <c:ptCount val="9"/>
                <c:pt idx="0">
                  <c:v>TIGO</c:v>
                </c:pt>
                <c:pt idx="1">
                  <c:v>Televisa</c:v>
                </c:pt>
                <c:pt idx="2">
                  <c:v>LiLAC</c:v>
                </c:pt>
                <c:pt idx="3">
                  <c:v>Oi</c:v>
                </c:pt>
                <c:pt idx="4">
                  <c:v>AMX</c:v>
                </c:pt>
                <c:pt idx="5">
                  <c:v>TIM</c:v>
                </c:pt>
                <c:pt idx="6">
                  <c:v>TEF Brasil</c:v>
                </c:pt>
                <c:pt idx="7">
                  <c:v>MEGA</c:v>
                </c:pt>
                <c:pt idx="8">
                  <c:v>Entel</c:v>
                </c:pt>
              </c:strCache>
            </c:strRef>
          </c:cat>
          <c:val>
            <c:numRef>
              <c:f>Analysis!$R$2658:$R$2666</c:f>
              <c:numCache>
                <c:formatCode>0%</c:formatCode>
                <c:ptCount val="9"/>
                <c:pt idx="0">
                  <c:v>-0.53387650085763294</c:v>
                </c:pt>
                <c:pt idx="1">
                  <c:v>-0.5</c:v>
                </c:pt>
                <c:pt idx="2">
                  <c:v>-0.4288235294117646</c:v>
                </c:pt>
                <c:pt idx="3">
                  <c:v>-0.40196078431372551</c:v>
                </c:pt>
                <c:pt idx="4">
                  <c:v>-0.27833333333333332</c:v>
                </c:pt>
                <c:pt idx="5">
                  <c:v>-0.23668639053254426</c:v>
                </c:pt>
                <c:pt idx="6">
                  <c:v>-9.829867674858217E-2</c:v>
                </c:pt>
                <c:pt idx="7">
                  <c:v>-7.9501385041551353E-2</c:v>
                </c:pt>
                <c:pt idx="8">
                  <c:v>-1.1627906976744207E-2</c:v>
                </c:pt>
              </c:numCache>
            </c:numRef>
          </c:val>
          <c:extLst>
            <c:ext xmlns:c16="http://schemas.microsoft.com/office/drawing/2014/chart" uri="{C3380CC4-5D6E-409C-BE32-E72D297353CC}">
              <c16:uniqueId val="{00000000-BCF1-4FC1-9788-8C17E4F826C9}"/>
            </c:ext>
          </c:extLst>
        </c:ser>
        <c:dLbls>
          <c:showLegendKey val="0"/>
          <c:showVal val="0"/>
          <c:showCatName val="0"/>
          <c:showSerName val="0"/>
          <c:showPercent val="0"/>
          <c:showBubbleSize val="0"/>
        </c:dLbls>
        <c:gapWidth val="219"/>
        <c:overlap val="-27"/>
        <c:axId val="1248651944"/>
        <c:axId val="1248652272"/>
      </c:barChart>
      <c:catAx>
        <c:axId val="1248651944"/>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48652272"/>
        <c:crosses val="autoZero"/>
        <c:auto val="1"/>
        <c:lblAlgn val="ctr"/>
        <c:lblOffset val="100"/>
        <c:noMultiLvlLbl val="0"/>
      </c:catAx>
      <c:valAx>
        <c:axId val="124865227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4865194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Analysis!$B$2683</c:f>
              <c:strCache>
                <c:ptCount val="1"/>
                <c:pt idx="0">
                  <c:v>Liberty LA</c:v>
                </c:pt>
              </c:strCache>
            </c:strRef>
          </c:tx>
          <c:spPr>
            <a:ln w="25400" cap="rnd">
              <a:solidFill>
                <a:srgbClr val="333399"/>
              </a:solidFill>
              <a:prstDash val="solid"/>
              <a:round/>
            </a:ln>
            <a:effectLst/>
          </c:spPr>
          <c:marker>
            <c:symbol val="none"/>
          </c:marker>
          <c:cat>
            <c:numRef>
              <c:f>Analysis!$C$2682:$H$2682</c:f>
              <c:numCache>
                <c:formatCode>General</c:formatCode>
                <c:ptCount val="6"/>
                <c:pt idx="0">
                  <c:v>2019</c:v>
                </c:pt>
                <c:pt idx="1">
                  <c:v>2020</c:v>
                </c:pt>
                <c:pt idx="2">
                  <c:v>2021</c:v>
                </c:pt>
                <c:pt idx="3">
                  <c:v>2022</c:v>
                </c:pt>
                <c:pt idx="4">
                  <c:v>2023</c:v>
                </c:pt>
                <c:pt idx="5">
                  <c:v>2024</c:v>
                </c:pt>
              </c:numCache>
            </c:numRef>
          </c:cat>
          <c:val>
            <c:numRef>
              <c:f>Analysis!$C$2683:$H$2683</c:f>
              <c:numCache>
                <c:formatCode>0.00</c:formatCode>
                <c:ptCount val="6"/>
                <c:pt idx="0">
                  <c:v>4.545697812076539</c:v>
                </c:pt>
                <c:pt idx="1">
                  <c:v>4.5001979970326556</c:v>
                </c:pt>
                <c:pt idx="2">
                  <c:v>4.594696058450463</c:v>
                </c:pt>
                <c:pt idx="3">
                  <c:v>3.8588882410312668</c:v>
                </c:pt>
                <c:pt idx="4">
                  <c:v>4.6221051910340414</c:v>
                </c:pt>
                <c:pt idx="5">
                  <c:v>5.1268574569664125</c:v>
                </c:pt>
              </c:numCache>
            </c:numRef>
          </c:val>
          <c:smooth val="0"/>
          <c:extLst>
            <c:ext xmlns:c16="http://schemas.microsoft.com/office/drawing/2014/chart" uri="{C3380CC4-5D6E-409C-BE32-E72D297353CC}">
              <c16:uniqueId val="{00000000-2B6F-4212-8B68-AE7E14E3FE01}"/>
            </c:ext>
          </c:extLst>
        </c:ser>
        <c:ser>
          <c:idx val="1"/>
          <c:order val="1"/>
          <c:tx>
            <c:strRef>
              <c:f>Analysis!$B$2684</c:f>
              <c:strCache>
                <c:ptCount val="1"/>
                <c:pt idx="0">
                  <c:v>Millicom</c:v>
                </c:pt>
              </c:strCache>
            </c:strRef>
          </c:tx>
          <c:spPr>
            <a:ln w="25400" cap="rnd">
              <a:solidFill>
                <a:srgbClr val="FF0000"/>
              </a:solidFill>
              <a:prstDash val="solid"/>
              <a:round/>
            </a:ln>
            <a:effectLst/>
          </c:spPr>
          <c:marker>
            <c:symbol val="none"/>
          </c:marker>
          <c:cat>
            <c:numRef>
              <c:f>Analysis!$C$2682:$H$2682</c:f>
              <c:numCache>
                <c:formatCode>General</c:formatCode>
                <c:ptCount val="6"/>
                <c:pt idx="0">
                  <c:v>2019</c:v>
                </c:pt>
                <c:pt idx="1">
                  <c:v>2020</c:v>
                </c:pt>
                <c:pt idx="2">
                  <c:v>2021</c:v>
                </c:pt>
                <c:pt idx="3">
                  <c:v>2022</c:v>
                </c:pt>
                <c:pt idx="4">
                  <c:v>2023</c:v>
                </c:pt>
                <c:pt idx="5">
                  <c:v>2024</c:v>
                </c:pt>
              </c:numCache>
            </c:numRef>
          </c:cat>
          <c:val>
            <c:numRef>
              <c:f>Analysis!$C$2684:$H$2684</c:f>
              <c:numCache>
                <c:formatCode>0.00</c:formatCode>
                <c:ptCount val="6"/>
                <c:pt idx="0">
                  <c:v>3.035115987103886</c:v>
                </c:pt>
                <c:pt idx="1">
                  <c:v>3.2038350867537928</c:v>
                </c:pt>
                <c:pt idx="2">
                  <c:v>3.0101518577156492</c:v>
                </c:pt>
                <c:pt idx="3">
                  <c:v>2.8152724217632099</c:v>
                </c:pt>
                <c:pt idx="4">
                  <c:v>2.5349764332795157</c:v>
                </c:pt>
                <c:pt idx="5">
                  <c:v>2.2365341747320717</c:v>
                </c:pt>
              </c:numCache>
            </c:numRef>
          </c:val>
          <c:smooth val="0"/>
          <c:extLst>
            <c:ext xmlns:c16="http://schemas.microsoft.com/office/drawing/2014/chart" uri="{C3380CC4-5D6E-409C-BE32-E72D297353CC}">
              <c16:uniqueId val="{00000001-2B6F-4212-8B68-AE7E14E3FE01}"/>
            </c:ext>
          </c:extLst>
        </c:ser>
        <c:ser>
          <c:idx val="2"/>
          <c:order val="2"/>
          <c:tx>
            <c:strRef>
              <c:f>Analysis!$B$2686</c:f>
              <c:strCache>
                <c:ptCount val="1"/>
                <c:pt idx="0">
                  <c:v>Entel</c:v>
                </c:pt>
              </c:strCache>
            </c:strRef>
          </c:tx>
          <c:spPr>
            <a:ln w="25400" cap="rnd">
              <a:solidFill>
                <a:srgbClr val="333399"/>
              </a:solidFill>
              <a:prstDash val="lgDash"/>
              <a:round/>
            </a:ln>
            <a:effectLst/>
          </c:spPr>
          <c:marker>
            <c:symbol val="none"/>
          </c:marker>
          <c:cat>
            <c:numRef>
              <c:f>Analysis!$C$2682:$H$2682</c:f>
              <c:numCache>
                <c:formatCode>General</c:formatCode>
                <c:ptCount val="6"/>
                <c:pt idx="0">
                  <c:v>2019</c:v>
                </c:pt>
                <c:pt idx="1">
                  <c:v>2020</c:v>
                </c:pt>
                <c:pt idx="2">
                  <c:v>2021</c:v>
                </c:pt>
                <c:pt idx="3">
                  <c:v>2022</c:v>
                </c:pt>
                <c:pt idx="4">
                  <c:v>2023</c:v>
                </c:pt>
                <c:pt idx="5">
                  <c:v>2024</c:v>
                </c:pt>
              </c:numCache>
            </c:numRef>
          </c:cat>
          <c:val>
            <c:numRef>
              <c:f>Analysis!$C$2686:$H$2686</c:f>
              <c:numCache>
                <c:formatCode>0.00</c:formatCode>
                <c:ptCount val="6"/>
                <c:pt idx="0">
                  <c:v>2.9874351265381289</c:v>
                </c:pt>
                <c:pt idx="1">
                  <c:v>2.7269505883785619</c:v>
                </c:pt>
                <c:pt idx="2">
                  <c:v>2.6768924294403269</c:v>
                </c:pt>
                <c:pt idx="3">
                  <c:v>2.5268474308886413</c:v>
                </c:pt>
                <c:pt idx="4">
                  <c:v>2.3923380035832262</c:v>
                </c:pt>
                <c:pt idx="5">
                  <c:v>2.3075037192836074</c:v>
                </c:pt>
              </c:numCache>
            </c:numRef>
          </c:val>
          <c:smooth val="0"/>
          <c:extLst>
            <c:ext xmlns:c16="http://schemas.microsoft.com/office/drawing/2014/chart" uri="{C3380CC4-5D6E-409C-BE32-E72D297353CC}">
              <c16:uniqueId val="{00000002-2B6F-4212-8B68-AE7E14E3FE01}"/>
            </c:ext>
          </c:extLst>
        </c:ser>
        <c:ser>
          <c:idx val="3"/>
          <c:order val="3"/>
          <c:tx>
            <c:strRef>
              <c:f>Analysis!$B$2687</c:f>
              <c:strCache>
                <c:ptCount val="1"/>
                <c:pt idx="0">
                  <c:v>Televisa</c:v>
                </c:pt>
              </c:strCache>
            </c:strRef>
          </c:tx>
          <c:spPr>
            <a:ln w="25400" cap="rnd">
              <a:solidFill>
                <a:srgbClr val="99CCFF"/>
              </a:solidFill>
              <a:prstDash val="lgDash"/>
              <a:round/>
            </a:ln>
            <a:effectLst/>
          </c:spPr>
          <c:marker>
            <c:symbol val="none"/>
          </c:marker>
          <c:cat>
            <c:numRef>
              <c:f>Analysis!$C$2682:$H$2682</c:f>
              <c:numCache>
                <c:formatCode>General</c:formatCode>
                <c:ptCount val="6"/>
                <c:pt idx="0">
                  <c:v>2019</c:v>
                </c:pt>
                <c:pt idx="1">
                  <c:v>2020</c:v>
                </c:pt>
                <c:pt idx="2">
                  <c:v>2021</c:v>
                </c:pt>
                <c:pt idx="3">
                  <c:v>2022</c:v>
                </c:pt>
                <c:pt idx="4">
                  <c:v>2023</c:v>
                </c:pt>
                <c:pt idx="5">
                  <c:v>2024</c:v>
                </c:pt>
              </c:numCache>
            </c:numRef>
          </c:cat>
          <c:val>
            <c:numRef>
              <c:f>Analysis!$C$2687:$H$2687</c:f>
              <c:numCache>
                <c:formatCode>0.00</c:formatCode>
                <c:ptCount val="6"/>
                <c:pt idx="0">
                  <c:v>2.452583985075135</c:v>
                </c:pt>
                <c:pt idx="1">
                  <c:v>2.3476154032121364</c:v>
                </c:pt>
                <c:pt idx="2">
                  <c:v>2.2759784363890287</c:v>
                </c:pt>
                <c:pt idx="3">
                  <c:v>2.0891533521775303</c:v>
                </c:pt>
                <c:pt idx="4">
                  <c:v>1.8937020104469813</c:v>
                </c:pt>
                <c:pt idx="5">
                  <c:v>1.6840842077617708</c:v>
                </c:pt>
              </c:numCache>
            </c:numRef>
          </c:val>
          <c:smooth val="0"/>
          <c:extLst>
            <c:ext xmlns:c16="http://schemas.microsoft.com/office/drawing/2014/chart" uri="{C3380CC4-5D6E-409C-BE32-E72D297353CC}">
              <c16:uniqueId val="{00000003-2B6F-4212-8B68-AE7E14E3FE01}"/>
            </c:ext>
          </c:extLst>
        </c:ser>
        <c:ser>
          <c:idx val="4"/>
          <c:order val="4"/>
          <c:tx>
            <c:strRef>
              <c:f>Analysis!$B$2685</c:f>
              <c:strCache>
                <c:ptCount val="1"/>
                <c:pt idx="0">
                  <c:v>Millicom with zero pay out</c:v>
                </c:pt>
              </c:strCache>
            </c:strRef>
          </c:tx>
          <c:spPr>
            <a:ln w="25400" cap="rnd">
              <a:solidFill>
                <a:srgbClr val="FF0000"/>
              </a:solidFill>
              <a:prstDash val="sysDash"/>
              <a:round/>
            </a:ln>
            <a:effectLst/>
          </c:spPr>
          <c:marker>
            <c:symbol val="none"/>
          </c:marker>
          <c:val>
            <c:numRef>
              <c:f>Analysis!$C$2685:$H$2685</c:f>
              <c:numCache>
                <c:formatCode>0.00</c:formatCode>
                <c:ptCount val="6"/>
                <c:pt idx="0">
                  <c:v>3.035115987103886</c:v>
                </c:pt>
                <c:pt idx="1">
                  <c:v>3.0859577471355881</c:v>
                </c:pt>
                <c:pt idx="2">
                  <c:v>2.7866331207361736</c:v>
                </c:pt>
                <c:pt idx="3">
                  <c:v>2.4952610058542422</c:v>
                </c:pt>
                <c:pt idx="4">
                  <c:v>2.1841815054961531</c:v>
                </c:pt>
                <c:pt idx="5">
                  <c:v>1.858341818353769</c:v>
                </c:pt>
              </c:numCache>
            </c:numRef>
          </c:val>
          <c:smooth val="0"/>
          <c:extLst>
            <c:ext xmlns:c16="http://schemas.microsoft.com/office/drawing/2014/chart" uri="{C3380CC4-5D6E-409C-BE32-E72D297353CC}">
              <c16:uniqueId val="{00000000-382A-4FCD-ACDA-4EB62DCDE2B0}"/>
            </c:ext>
          </c:extLst>
        </c:ser>
        <c:dLbls>
          <c:showLegendKey val="0"/>
          <c:showVal val="0"/>
          <c:showCatName val="0"/>
          <c:showSerName val="0"/>
          <c:showPercent val="0"/>
          <c:showBubbleSize val="0"/>
        </c:dLbls>
        <c:smooth val="0"/>
        <c:axId val="547512448"/>
        <c:axId val="547514088"/>
      </c:lineChart>
      <c:catAx>
        <c:axId val="54751244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47514088"/>
        <c:crosses val="autoZero"/>
        <c:auto val="1"/>
        <c:lblAlgn val="ctr"/>
        <c:lblOffset val="100"/>
        <c:noMultiLvlLbl val="0"/>
      </c:catAx>
      <c:valAx>
        <c:axId val="547514088"/>
        <c:scaling>
          <c:orientation val="minMax"/>
        </c:scaling>
        <c:delete val="0"/>
        <c:axPos val="l"/>
        <c:majorGridlines>
          <c:spPr>
            <a:ln w="3175" cap="flat" cmpd="sng" algn="ctr">
              <a:solidFill>
                <a:srgbClr val="C0C0C0"/>
              </a:solidFill>
              <a:prstDash val="solid"/>
              <a:round/>
            </a:ln>
            <a:effectLst/>
          </c:spPr>
        </c:majorGridlines>
        <c:numFmt formatCode="0.0\x"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4751244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Analysis!$V$2616:$V$2624</c:f>
              <c:strCache>
                <c:ptCount val="9"/>
                <c:pt idx="0">
                  <c:v>CWC</c:v>
                </c:pt>
                <c:pt idx="1">
                  <c:v>Oi</c:v>
                </c:pt>
                <c:pt idx="2">
                  <c:v>TEF Brasil</c:v>
                </c:pt>
                <c:pt idx="3">
                  <c:v>LiLA Group</c:v>
                </c:pt>
                <c:pt idx="4">
                  <c:v>MEGA</c:v>
                </c:pt>
                <c:pt idx="5">
                  <c:v>Entel</c:v>
                </c:pt>
                <c:pt idx="6">
                  <c:v>Millicom</c:v>
                </c:pt>
                <c:pt idx="7">
                  <c:v>TIM Brasil</c:v>
                </c:pt>
                <c:pt idx="8">
                  <c:v>Televisa</c:v>
                </c:pt>
              </c:strCache>
            </c:strRef>
          </c:cat>
          <c:val>
            <c:numRef>
              <c:f>Analysis!$W$2616:$W$2624</c:f>
              <c:numCache>
                <c:formatCode>0%</c:formatCode>
                <c:ptCount val="9"/>
                <c:pt idx="0">
                  <c:v>0.3760805707091901</c:v>
                </c:pt>
                <c:pt idx="1">
                  <c:v>0.27</c:v>
                </c:pt>
                <c:pt idx="2">
                  <c:v>0.25</c:v>
                </c:pt>
                <c:pt idx="3">
                  <c:v>0.2342423834071847</c:v>
                </c:pt>
                <c:pt idx="4">
                  <c:v>0.23</c:v>
                </c:pt>
                <c:pt idx="5">
                  <c:v>0.22</c:v>
                </c:pt>
                <c:pt idx="6">
                  <c:v>0.17168061163304921</c:v>
                </c:pt>
                <c:pt idx="7">
                  <c:v>0.1339999999999999</c:v>
                </c:pt>
                <c:pt idx="8">
                  <c:v>0.06</c:v>
                </c:pt>
              </c:numCache>
            </c:numRef>
          </c:val>
          <c:extLst>
            <c:ext xmlns:c16="http://schemas.microsoft.com/office/drawing/2014/chart" uri="{C3380CC4-5D6E-409C-BE32-E72D297353CC}">
              <c16:uniqueId val="{00000000-B50C-49AC-B6FF-DD4631013046}"/>
            </c:ext>
          </c:extLst>
        </c:ser>
        <c:dLbls>
          <c:showLegendKey val="0"/>
          <c:showVal val="0"/>
          <c:showCatName val="0"/>
          <c:showSerName val="0"/>
          <c:showPercent val="0"/>
          <c:showBubbleSize val="0"/>
        </c:dLbls>
        <c:gapWidth val="219"/>
        <c:overlap val="-27"/>
        <c:axId val="1041795064"/>
        <c:axId val="1041795392"/>
      </c:barChart>
      <c:catAx>
        <c:axId val="10417950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41795392"/>
        <c:crosses val="autoZero"/>
        <c:auto val="1"/>
        <c:lblAlgn val="ctr"/>
        <c:lblOffset val="100"/>
        <c:noMultiLvlLbl val="0"/>
      </c:catAx>
      <c:valAx>
        <c:axId val="104179539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4179506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Analysis!$C$2691</c:f>
              <c:strCache>
                <c:ptCount val="1"/>
                <c:pt idx="0">
                  <c:v>Cash</c:v>
                </c:pt>
              </c:strCache>
            </c:strRef>
          </c:tx>
          <c:spPr>
            <a:solidFill>
              <a:srgbClr val="000080"/>
            </a:solidFill>
            <a:ln w="25400">
              <a:noFill/>
            </a:ln>
            <a:effectLst/>
          </c:spPr>
          <c:invertIfNegative val="0"/>
          <c:cat>
            <c:strRef>
              <c:f>Analysis!$B$2692:$B$2701</c:f>
              <c:strCache>
                <c:ptCount val="10"/>
                <c:pt idx="0">
                  <c:v>Current</c:v>
                </c:pt>
                <c:pt idx="1">
                  <c:v>2020</c:v>
                </c:pt>
                <c:pt idx="2">
                  <c:v>2021</c:v>
                </c:pt>
                <c:pt idx="3">
                  <c:v>2022</c:v>
                </c:pt>
                <c:pt idx="4">
                  <c:v>2023</c:v>
                </c:pt>
                <c:pt idx="5">
                  <c:v>2024</c:v>
                </c:pt>
                <c:pt idx="6">
                  <c:v>2025</c:v>
                </c:pt>
                <c:pt idx="7">
                  <c:v>2026</c:v>
                </c:pt>
                <c:pt idx="8">
                  <c:v>2027</c:v>
                </c:pt>
                <c:pt idx="9">
                  <c:v>2028</c:v>
                </c:pt>
              </c:strCache>
            </c:strRef>
          </c:cat>
          <c:val>
            <c:numRef>
              <c:f>Analysis!$C$2692:$C$2701</c:f>
              <c:numCache>
                <c:formatCode>General</c:formatCode>
                <c:ptCount val="10"/>
                <c:pt idx="0">
                  <c:v>1184</c:v>
                </c:pt>
              </c:numCache>
            </c:numRef>
          </c:val>
          <c:extLst>
            <c:ext xmlns:c16="http://schemas.microsoft.com/office/drawing/2014/chart" uri="{C3380CC4-5D6E-409C-BE32-E72D297353CC}">
              <c16:uniqueId val="{00000000-58C5-4538-9778-21946307F1E1}"/>
            </c:ext>
          </c:extLst>
        </c:ser>
        <c:ser>
          <c:idx val="1"/>
          <c:order val="1"/>
          <c:tx>
            <c:strRef>
              <c:f>Analysis!$D$2691</c:f>
              <c:strCache>
                <c:ptCount val="1"/>
                <c:pt idx="0">
                  <c:v>Unused borrowing</c:v>
                </c:pt>
              </c:strCache>
            </c:strRef>
          </c:tx>
          <c:spPr>
            <a:solidFill>
              <a:srgbClr val="9999FF"/>
            </a:solidFill>
            <a:ln w="25400">
              <a:noFill/>
            </a:ln>
            <a:effectLst/>
          </c:spPr>
          <c:invertIfNegative val="0"/>
          <c:cat>
            <c:strRef>
              <c:f>Analysis!$B$2692:$B$2701</c:f>
              <c:strCache>
                <c:ptCount val="10"/>
                <c:pt idx="0">
                  <c:v>Current</c:v>
                </c:pt>
                <c:pt idx="1">
                  <c:v>2020</c:v>
                </c:pt>
                <c:pt idx="2">
                  <c:v>2021</c:v>
                </c:pt>
                <c:pt idx="3">
                  <c:v>2022</c:v>
                </c:pt>
                <c:pt idx="4">
                  <c:v>2023</c:v>
                </c:pt>
                <c:pt idx="5">
                  <c:v>2024</c:v>
                </c:pt>
                <c:pt idx="6">
                  <c:v>2025</c:v>
                </c:pt>
                <c:pt idx="7">
                  <c:v>2026</c:v>
                </c:pt>
                <c:pt idx="8">
                  <c:v>2027</c:v>
                </c:pt>
                <c:pt idx="9">
                  <c:v>2028</c:v>
                </c:pt>
              </c:strCache>
            </c:strRef>
          </c:cat>
          <c:val>
            <c:numRef>
              <c:f>Analysis!$D$2692:$D$2701</c:f>
              <c:numCache>
                <c:formatCode>General</c:formatCode>
                <c:ptCount val="10"/>
                <c:pt idx="0">
                  <c:v>1113</c:v>
                </c:pt>
              </c:numCache>
            </c:numRef>
          </c:val>
          <c:extLst>
            <c:ext xmlns:c16="http://schemas.microsoft.com/office/drawing/2014/chart" uri="{C3380CC4-5D6E-409C-BE32-E72D297353CC}">
              <c16:uniqueId val="{00000001-58C5-4538-9778-21946307F1E1}"/>
            </c:ext>
          </c:extLst>
        </c:ser>
        <c:ser>
          <c:idx val="2"/>
          <c:order val="2"/>
          <c:tx>
            <c:strRef>
              <c:f>Analysis!$E$2691</c:f>
              <c:strCache>
                <c:ptCount val="1"/>
                <c:pt idx="0">
                  <c:v>Repayments</c:v>
                </c:pt>
              </c:strCache>
            </c:strRef>
          </c:tx>
          <c:spPr>
            <a:solidFill>
              <a:srgbClr val="3366FF"/>
            </a:solidFill>
            <a:ln w="25400">
              <a:noFill/>
            </a:ln>
            <a:effectLst/>
          </c:spPr>
          <c:invertIfNegative val="0"/>
          <c:cat>
            <c:strRef>
              <c:f>Analysis!$B$2692:$B$2701</c:f>
              <c:strCache>
                <c:ptCount val="10"/>
                <c:pt idx="0">
                  <c:v>Current</c:v>
                </c:pt>
                <c:pt idx="1">
                  <c:v>2020</c:v>
                </c:pt>
                <c:pt idx="2">
                  <c:v>2021</c:v>
                </c:pt>
                <c:pt idx="3">
                  <c:v>2022</c:v>
                </c:pt>
                <c:pt idx="4">
                  <c:v>2023</c:v>
                </c:pt>
                <c:pt idx="5">
                  <c:v>2024</c:v>
                </c:pt>
                <c:pt idx="6">
                  <c:v>2025</c:v>
                </c:pt>
                <c:pt idx="7">
                  <c:v>2026</c:v>
                </c:pt>
                <c:pt idx="8">
                  <c:v>2027</c:v>
                </c:pt>
                <c:pt idx="9">
                  <c:v>2028</c:v>
                </c:pt>
              </c:strCache>
            </c:strRef>
          </c:cat>
          <c:val>
            <c:numRef>
              <c:f>Analysis!$E$2692:$E$2701</c:f>
              <c:numCache>
                <c:formatCode>General</c:formatCode>
                <c:ptCount val="10"/>
                <c:pt idx="1">
                  <c:v>0</c:v>
                </c:pt>
                <c:pt idx="2">
                  <c:v>0</c:v>
                </c:pt>
                <c:pt idx="3">
                  <c:v>94</c:v>
                </c:pt>
                <c:pt idx="4">
                  <c:v>263</c:v>
                </c:pt>
                <c:pt idx="5">
                  <c:v>1663</c:v>
                </c:pt>
                <c:pt idx="6">
                  <c:v>0</c:v>
                </c:pt>
                <c:pt idx="7">
                  <c:v>1500</c:v>
                </c:pt>
                <c:pt idx="8">
                  <c:v>2970</c:v>
                </c:pt>
                <c:pt idx="9">
                  <c:v>1510</c:v>
                </c:pt>
              </c:numCache>
            </c:numRef>
          </c:val>
          <c:extLst>
            <c:ext xmlns:c16="http://schemas.microsoft.com/office/drawing/2014/chart" uri="{C3380CC4-5D6E-409C-BE32-E72D297353CC}">
              <c16:uniqueId val="{00000002-58C5-4538-9778-21946307F1E1}"/>
            </c:ext>
          </c:extLst>
        </c:ser>
        <c:dLbls>
          <c:showLegendKey val="0"/>
          <c:showVal val="0"/>
          <c:showCatName val="0"/>
          <c:showSerName val="0"/>
          <c:showPercent val="0"/>
          <c:showBubbleSize val="0"/>
        </c:dLbls>
        <c:gapWidth val="150"/>
        <c:overlap val="100"/>
        <c:axId val="960090744"/>
        <c:axId val="960089432"/>
      </c:barChart>
      <c:catAx>
        <c:axId val="96009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60089432"/>
        <c:crosses val="autoZero"/>
        <c:auto val="1"/>
        <c:lblAlgn val="ctr"/>
        <c:lblOffset val="100"/>
        <c:noMultiLvlLbl val="0"/>
      </c:catAx>
      <c:valAx>
        <c:axId val="960089432"/>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600907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Analysis!$B$2727</c:f>
              <c:strCache>
                <c:ptCount val="1"/>
                <c:pt idx="0">
                  <c:v>CWC</c:v>
                </c:pt>
              </c:strCache>
            </c:strRef>
          </c:tx>
          <c:spPr>
            <a:solidFill>
              <a:schemeClr val="tx2">
                <a:lumMod val="60000"/>
                <a:lumOff val="40000"/>
              </a:schemeClr>
            </a:solidFill>
            <a:ln w="25400">
              <a:noFill/>
            </a:ln>
            <a:effectLst/>
          </c:spPr>
          <c:invertIfNegative val="0"/>
          <c:cat>
            <c:strRef>
              <c:f>Analysis!$C$2726:$N$2726</c:f>
              <c:strCache>
                <c:ptCount val="12"/>
                <c:pt idx="0">
                  <c:v>Q1 19</c:v>
                </c:pt>
                <c:pt idx="1">
                  <c:v>Q2 19</c:v>
                </c:pt>
                <c:pt idx="2">
                  <c:v>Q3 19</c:v>
                </c:pt>
                <c:pt idx="3">
                  <c:v>Q4 19</c:v>
                </c:pt>
                <c:pt idx="4">
                  <c:v>Q1 20</c:v>
                </c:pt>
                <c:pt idx="5">
                  <c:v>Q2 20</c:v>
                </c:pt>
                <c:pt idx="6">
                  <c:v>#REF!</c:v>
                </c:pt>
                <c:pt idx="7">
                  <c:v>#REF!</c:v>
                </c:pt>
                <c:pt idx="8">
                  <c:v>#REF!</c:v>
                </c:pt>
                <c:pt idx="9">
                  <c:v>#REF!</c:v>
                </c:pt>
                <c:pt idx="10">
                  <c:v>#REF!</c:v>
                </c:pt>
                <c:pt idx="11">
                  <c:v>#REF!</c:v>
                </c:pt>
              </c:strCache>
            </c:strRef>
          </c:cat>
          <c:val>
            <c:numRef>
              <c:f>Analysis!$C$2727:$N$2727</c:f>
              <c:numCache>
                <c:formatCode>0</c:formatCode>
                <c:ptCount val="12"/>
                <c:pt idx="0">
                  <c:v>569.79999999999995</c:v>
                </c:pt>
                <c:pt idx="1">
                  <c:v>606.6</c:v>
                </c:pt>
                <c:pt idx="2">
                  <c:v>595.9</c:v>
                </c:pt>
                <c:pt idx="3">
                  <c:v>617.20000000000005</c:v>
                </c:pt>
                <c:pt idx="4">
                  <c:v>588.6</c:v>
                </c:pt>
                <c:pt idx="5">
                  <c:v>515.29999999999995</c:v>
                </c:pt>
                <c:pt idx="6">
                  <c:v>0</c:v>
                </c:pt>
                <c:pt idx="7">
                  <c:v>0</c:v>
                </c:pt>
                <c:pt idx="8">
                  <c:v>0</c:v>
                </c:pt>
                <c:pt idx="9">
                  <c:v>0</c:v>
                </c:pt>
                <c:pt idx="10">
                  <c:v>0</c:v>
                </c:pt>
                <c:pt idx="11">
                  <c:v>0</c:v>
                </c:pt>
              </c:numCache>
            </c:numRef>
          </c:val>
          <c:extLst>
            <c:ext xmlns:c16="http://schemas.microsoft.com/office/drawing/2014/chart" uri="{C3380CC4-5D6E-409C-BE32-E72D297353CC}">
              <c16:uniqueId val="{00000000-C03E-48F2-9B46-03416D3DA589}"/>
            </c:ext>
          </c:extLst>
        </c:ser>
        <c:dLbls>
          <c:showLegendKey val="0"/>
          <c:showVal val="0"/>
          <c:showCatName val="0"/>
          <c:showSerName val="0"/>
          <c:showPercent val="0"/>
          <c:showBubbleSize val="0"/>
        </c:dLbls>
        <c:gapWidth val="219"/>
        <c:overlap val="-27"/>
        <c:axId val="890663728"/>
        <c:axId val="890660448"/>
      </c:barChart>
      <c:lineChart>
        <c:grouping val="standard"/>
        <c:varyColors val="0"/>
        <c:ser>
          <c:idx val="1"/>
          <c:order val="1"/>
          <c:tx>
            <c:strRef>
              <c:f>Analysis!$B$2728</c:f>
              <c:strCache>
                <c:ptCount val="1"/>
                <c:pt idx="0">
                  <c:v>y/y clean (RHS)</c:v>
                </c:pt>
              </c:strCache>
            </c:strRef>
          </c:tx>
          <c:spPr>
            <a:ln w="25400" cap="rnd">
              <a:solidFill>
                <a:srgbClr val="000080"/>
              </a:solidFill>
              <a:prstDash val="solid"/>
              <a:round/>
            </a:ln>
            <a:effectLst/>
          </c:spPr>
          <c:marker>
            <c:symbol val="none"/>
          </c:marker>
          <c:cat>
            <c:strRef>
              <c:f>Analysis!$C$2726:$N$2726</c:f>
              <c:strCache>
                <c:ptCount val="12"/>
                <c:pt idx="0">
                  <c:v>Q1 19</c:v>
                </c:pt>
                <c:pt idx="1">
                  <c:v>Q2 19</c:v>
                </c:pt>
                <c:pt idx="2">
                  <c:v>Q3 19</c:v>
                </c:pt>
                <c:pt idx="3">
                  <c:v>Q4 19</c:v>
                </c:pt>
                <c:pt idx="4">
                  <c:v>Q1 20</c:v>
                </c:pt>
                <c:pt idx="5">
                  <c:v>Q2 20</c:v>
                </c:pt>
                <c:pt idx="6">
                  <c:v>#REF!</c:v>
                </c:pt>
                <c:pt idx="7">
                  <c:v>#REF!</c:v>
                </c:pt>
                <c:pt idx="8">
                  <c:v>#REF!</c:v>
                </c:pt>
                <c:pt idx="9">
                  <c:v>#REF!</c:v>
                </c:pt>
                <c:pt idx="10">
                  <c:v>#REF!</c:v>
                </c:pt>
                <c:pt idx="11">
                  <c:v>#REF!</c:v>
                </c:pt>
              </c:strCache>
            </c:strRef>
          </c:cat>
          <c:val>
            <c:numRef>
              <c:f>Analysis!$C$2728:$N$2728</c:f>
              <c:numCache>
                <c:formatCode>0%</c:formatCode>
                <c:ptCount val="12"/>
                <c:pt idx="0">
                  <c:v>-1.7000000000000001E-2</c:v>
                </c:pt>
                <c:pt idx="1">
                  <c:v>-5.0000000000000001E-3</c:v>
                </c:pt>
                <c:pt idx="2">
                  <c:v>-2.1999999999999999E-2</c:v>
                </c:pt>
                <c:pt idx="3">
                  <c:v>3.3000000000000002E-2</c:v>
                </c:pt>
                <c:pt idx="4">
                  <c:v>1.6E-2</c:v>
                </c:pt>
                <c:pt idx="5">
                  <c:v>-0.115</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03E-48F2-9B46-03416D3DA589}"/>
            </c:ext>
          </c:extLst>
        </c:ser>
        <c:dLbls>
          <c:showLegendKey val="0"/>
          <c:showVal val="0"/>
          <c:showCatName val="0"/>
          <c:showSerName val="0"/>
          <c:showPercent val="0"/>
          <c:showBubbleSize val="0"/>
        </c:dLbls>
        <c:marker val="1"/>
        <c:smooth val="0"/>
        <c:axId val="642765856"/>
        <c:axId val="893808248"/>
      </c:lineChart>
      <c:catAx>
        <c:axId val="89066372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0660448"/>
        <c:crosses val="autoZero"/>
        <c:auto val="1"/>
        <c:lblAlgn val="ctr"/>
        <c:lblOffset val="100"/>
        <c:noMultiLvlLbl val="0"/>
      </c:catAx>
      <c:valAx>
        <c:axId val="890660448"/>
        <c:scaling>
          <c:orientation val="minMax"/>
          <c:min val="400"/>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US$</a:t>
                </a:r>
                <a:r>
                  <a:rPr lang="en-GB" baseline="0"/>
                  <a:t> m</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0663728"/>
        <c:crosses val="autoZero"/>
        <c:crossBetween val="between"/>
      </c:valAx>
      <c:valAx>
        <c:axId val="89380824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42765856"/>
        <c:crosses val="max"/>
        <c:crossBetween val="between"/>
      </c:valAx>
      <c:catAx>
        <c:axId val="642765856"/>
        <c:scaling>
          <c:orientation val="minMax"/>
        </c:scaling>
        <c:delete val="1"/>
        <c:axPos val="b"/>
        <c:numFmt formatCode="General" sourceLinked="1"/>
        <c:majorTickMark val="out"/>
        <c:minorTickMark val="none"/>
        <c:tickLblPos val="nextTo"/>
        <c:crossAx val="893808248"/>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Analysis!$B$2730</c:f>
              <c:strCache>
                <c:ptCount val="1"/>
                <c:pt idx="0">
                  <c:v>EBITDA</c:v>
                </c:pt>
              </c:strCache>
            </c:strRef>
          </c:tx>
          <c:spPr>
            <a:solidFill>
              <a:srgbClr val="000080"/>
            </a:solidFill>
            <a:ln w="25400">
              <a:noFill/>
            </a:ln>
            <a:effectLst/>
          </c:spPr>
          <c:invertIfNegative val="0"/>
          <c:cat>
            <c:strRef>
              <c:f>Analysis!$C$2726:$N$2726</c:f>
              <c:strCache>
                <c:ptCount val="12"/>
                <c:pt idx="0">
                  <c:v>Q1 19</c:v>
                </c:pt>
                <c:pt idx="1">
                  <c:v>Q2 19</c:v>
                </c:pt>
                <c:pt idx="2">
                  <c:v>Q3 19</c:v>
                </c:pt>
                <c:pt idx="3">
                  <c:v>Q4 19</c:v>
                </c:pt>
                <c:pt idx="4">
                  <c:v>Q1 20</c:v>
                </c:pt>
                <c:pt idx="5">
                  <c:v>Q2 20</c:v>
                </c:pt>
                <c:pt idx="6">
                  <c:v>#REF!</c:v>
                </c:pt>
                <c:pt idx="7">
                  <c:v>#REF!</c:v>
                </c:pt>
                <c:pt idx="8">
                  <c:v>#REF!</c:v>
                </c:pt>
                <c:pt idx="9">
                  <c:v>#REF!</c:v>
                </c:pt>
                <c:pt idx="10">
                  <c:v>#REF!</c:v>
                </c:pt>
                <c:pt idx="11">
                  <c:v>#REF!</c:v>
                </c:pt>
              </c:strCache>
            </c:strRef>
          </c:cat>
          <c:val>
            <c:numRef>
              <c:f>Analysis!$C$2730:$N$2730</c:f>
              <c:numCache>
                <c:formatCode>0</c:formatCode>
                <c:ptCount val="12"/>
                <c:pt idx="0">
                  <c:v>222.5</c:v>
                </c:pt>
                <c:pt idx="1">
                  <c:v>235.4</c:v>
                </c:pt>
                <c:pt idx="2">
                  <c:v>236.2</c:v>
                </c:pt>
                <c:pt idx="3">
                  <c:v>248.10000000000002</c:v>
                </c:pt>
                <c:pt idx="4">
                  <c:v>232.8</c:v>
                </c:pt>
                <c:pt idx="5">
                  <c:v>203.6</c:v>
                </c:pt>
                <c:pt idx="6">
                  <c:v>0</c:v>
                </c:pt>
                <c:pt idx="7">
                  <c:v>0</c:v>
                </c:pt>
                <c:pt idx="8">
                  <c:v>0</c:v>
                </c:pt>
                <c:pt idx="9">
                  <c:v>0</c:v>
                </c:pt>
                <c:pt idx="10">
                  <c:v>0</c:v>
                </c:pt>
                <c:pt idx="11">
                  <c:v>0</c:v>
                </c:pt>
              </c:numCache>
            </c:numRef>
          </c:val>
          <c:extLst>
            <c:ext xmlns:c16="http://schemas.microsoft.com/office/drawing/2014/chart" uri="{C3380CC4-5D6E-409C-BE32-E72D297353CC}">
              <c16:uniqueId val="{00000000-74CA-4243-BE22-658DDE220848}"/>
            </c:ext>
          </c:extLst>
        </c:ser>
        <c:ser>
          <c:idx val="1"/>
          <c:order val="1"/>
          <c:tx>
            <c:strRef>
              <c:f>Analysis!$B$2731</c:f>
              <c:strCache>
                <c:ptCount val="1"/>
                <c:pt idx="0">
                  <c:v>OpEx</c:v>
                </c:pt>
              </c:strCache>
            </c:strRef>
          </c:tx>
          <c:spPr>
            <a:solidFill>
              <a:srgbClr val="9999FF"/>
            </a:solidFill>
            <a:ln w="25400">
              <a:noFill/>
            </a:ln>
            <a:effectLst/>
          </c:spPr>
          <c:invertIfNegative val="0"/>
          <c:cat>
            <c:strRef>
              <c:f>Analysis!$C$2726:$N$2726</c:f>
              <c:strCache>
                <c:ptCount val="12"/>
                <c:pt idx="0">
                  <c:v>Q1 19</c:v>
                </c:pt>
                <c:pt idx="1">
                  <c:v>Q2 19</c:v>
                </c:pt>
                <c:pt idx="2">
                  <c:v>Q3 19</c:v>
                </c:pt>
                <c:pt idx="3">
                  <c:v>Q4 19</c:v>
                </c:pt>
                <c:pt idx="4">
                  <c:v>Q1 20</c:v>
                </c:pt>
                <c:pt idx="5">
                  <c:v>Q2 20</c:v>
                </c:pt>
                <c:pt idx="6">
                  <c:v>#REF!</c:v>
                </c:pt>
                <c:pt idx="7">
                  <c:v>#REF!</c:v>
                </c:pt>
                <c:pt idx="8">
                  <c:v>#REF!</c:v>
                </c:pt>
                <c:pt idx="9">
                  <c:v>#REF!</c:v>
                </c:pt>
                <c:pt idx="10">
                  <c:v>#REF!</c:v>
                </c:pt>
                <c:pt idx="11">
                  <c:v>#REF!</c:v>
                </c:pt>
              </c:strCache>
            </c:strRef>
          </c:cat>
          <c:val>
            <c:numRef>
              <c:f>Analysis!$C$2731:$N$2731</c:f>
              <c:numCache>
                <c:formatCode>0</c:formatCode>
                <c:ptCount val="12"/>
                <c:pt idx="0">
                  <c:v>347.29999999999995</c:v>
                </c:pt>
                <c:pt idx="1">
                  <c:v>371.20000000000005</c:v>
                </c:pt>
                <c:pt idx="2">
                  <c:v>359.7</c:v>
                </c:pt>
                <c:pt idx="3">
                  <c:v>369.1</c:v>
                </c:pt>
                <c:pt idx="4">
                  <c:v>355.8</c:v>
                </c:pt>
                <c:pt idx="5">
                  <c:v>311.69999999999993</c:v>
                </c:pt>
                <c:pt idx="6">
                  <c:v>0</c:v>
                </c:pt>
                <c:pt idx="7">
                  <c:v>0</c:v>
                </c:pt>
                <c:pt idx="8">
                  <c:v>0</c:v>
                </c:pt>
                <c:pt idx="9">
                  <c:v>0</c:v>
                </c:pt>
                <c:pt idx="10">
                  <c:v>0</c:v>
                </c:pt>
                <c:pt idx="11">
                  <c:v>0</c:v>
                </c:pt>
              </c:numCache>
            </c:numRef>
          </c:val>
          <c:extLst>
            <c:ext xmlns:c16="http://schemas.microsoft.com/office/drawing/2014/chart" uri="{C3380CC4-5D6E-409C-BE32-E72D297353CC}">
              <c16:uniqueId val="{00000001-74CA-4243-BE22-658DDE220848}"/>
            </c:ext>
          </c:extLst>
        </c:ser>
        <c:dLbls>
          <c:showLegendKey val="0"/>
          <c:showVal val="0"/>
          <c:showCatName val="0"/>
          <c:showSerName val="0"/>
          <c:showPercent val="0"/>
          <c:showBubbleSize val="0"/>
        </c:dLbls>
        <c:gapWidth val="150"/>
        <c:axId val="890663728"/>
        <c:axId val="890660448"/>
      </c:barChart>
      <c:catAx>
        <c:axId val="89066372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0660448"/>
        <c:crosses val="autoZero"/>
        <c:auto val="1"/>
        <c:lblAlgn val="ctr"/>
        <c:lblOffset val="100"/>
        <c:noMultiLvlLbl val="0"/>
      </c:catAx>
      <c:valAx>
        <c:axId val="890660448"/>
        <c:scaling>
          <c:orientation val="minMax"/>
          <c:min val="150"/>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US$ 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9066372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a:effectLst/>
          </c:spPr>
          <c:invertIfNegative val="0"/>
          <c:cat>
            <c:strRef>
              <c:f>Analysis!$B$2799:$B$2810</c:f>
              <c:strCache>
                <c:ptCount val="12"/>
                <c:pt idx="0">
                  <c:v>Other CWC countries</c:v>
                </c:pt>
                <c:pt idx="1">
                  <c:v>Jamaica</c:v>
                </c:pt>
                <c:pt idx="2">
                  <c:v>Chile</c:v>
                </c:pt>
                <c:pt idx="3">
                  <c:v>Puerto Rico / US VI</c:v>
                </c:pt>
                <c:pt idx="4">
                  <c:v>Barbados</c:v>
                </c:pt>
                <c:pt idx="5">
                  <c:v>Bahamas</c:v>
                </c:pt>
                <c:pt idx="6">
                  <c:v>Panama (inc Claro)</c:v>
                </c:pt>
                <c:pt idx="7">
                  <c:v>Trinidad and Tobago</c:v>
                </c:pt>
                <c:pt idx="8">
                  <c:v>Costa Rica</c:v>
                </c:pt>
                <c:pt idx="9">
                  <c:v>Subsea cable</c:v>
                </c:pt>
                <c:pt idx="10">
                  <c:v>Other wholesale</c:v>
                </c:pt>
                <c:pt idx="11">
                  <c:v>Other/elims in CWC</c:v>
                </c:pt>
              </c:strCache>
            </c:strRef>
          </c:cat>
          <c:val>
            <c:numRef>
              <c:f>Analysis!$D$2799:$D$2810</c:f>
              <c:numCache>
                <c:formatCode>0%</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84-4C88-A1B4-D38877FF549D}"/>
            </c:ext>
          </c:extLst>
        </c:ser>
        <c:dLbls>
          <c:showLegendKey val="0"/>
          <c:showVal val="0"/>
          <c:showCatName val="0"/>
          <c:showSerName val="0"/>
          <c:showPercent val="0"/>
          <c:showBubbleSize val="0"/>
        </c:dLbls>
        <c:gapWidth val="219"/>
        <c:overlap val="-27"/>
        <c:axId val="749319608"/>
        <c:axId val="749314360"/>
      </c:barChart>
      <c:catAx>
        <c:axId val="749319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314360"/>
        <c:crosses val="autoZero"/>
        <c:auto val="1"/>
        <c:lblAlgn val="ctr"/>
        <c:lblOffset val="100"/>
        <c:noMultiLvlLbl val="0"/>
      </c:catAx>
      <c:valAx>
        <c:axId val="74931436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3196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a:effectLst/>
          </c:spPr>
          <c:invertIfNegative val="0"/>
          <c:dPt>
            <c:idx val="6"/>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1-64D2-4824-8900-9DF1FDC03ACF}"/>
              </c:ext>
            </c:extLst>
          </c:dPt>
          <c:dPt>
            <c:idx val="7"/>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2-64D2-4824-8900-9DF1FDC03ACF}"/>
              </c:ext>
            </c:extLst>
          </c:dPt>
          <c:dPt>
            <c:idx val="8"/>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3-64D2-4824-8900-9DF1FDC03ACF}"/>
              </c:ext>
            </c:extLst>
          </c:dPt>
          <c:dPt>
            <c:idx val="9"/>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4-64D2-4824-8900-9DF1FDC03ACF}"/>
              </c:ext>
            </c:extLst>
          </c:dPt>
          <c:dPt>
            <c:idx val="10"/>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5-64D2-4824-8900-9DF1FDC03ACF}"/>
              </c:ext>
            </c:extLst>
          </c:dPt>
          <c:dPt>
            <c:idx val="11"/>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6-64D2-4824-8900-9DF1FDC03ACF}"/>
              </c:ext>
            </c:extLst>
          </c:dPt>
          <c:dPt>
            <c:idx val="12"/>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7-64D2-4824-8900-9DF1FDC03ACF}"/>
              </c:ext>
            </c:extLst>
          </c:dPt>
          <c:dPt>
            <c:idx val="13"/>
            <c:invertIfNegative val="0"/>
            <c:bubble3D val="0"/>
            <c:spPr>
              <a:pattFill prst="wdUpDiag">
                <a:fgClr>
                  <a:srgbClr val="000080"/>
                </a:fgClr>
                <a:bgClr>
                  <a:schemeClr val="bg1"/>
                </a:bgClr>
              </a:pattFill>
              <a:ln w="25400">
                <a:noFill/>
              </a:ln>
              <a:effectLst/>
            </c:spPr>
            <c:extLst>
              <c:ext xmlns:c16="http://schemas.microsoft.com/office/drawing/2014/chart" uri="{C3380CC4-5D6E-409C-BE32-E72D297353CC}">
                <c16:uniqueId val="{00000008-64D2-4824-8900-9DF1FDC03ACF}"/>
              </c:ext>
            </c:extLst>
          </c:dPt>
          <c:cat>
            <c:strRef>
              <c:f>Analysis!$B$2813:$B$2826</c:f>
              <c:strCache>
                <c:ptCount val="14"/>
                <c:pt idx="0">
                  <c:v>Bahamas</c:v>
                </c:pt>
                <c:pt idx="1">
                  <c:v>Jamaica</c:v>
                </c:pt>
                <c:pt idx="2">
                  <c:v>Barbados</c:v>
                </c:pt>
                <c:pt idx="3">
                  <c:v>Panama (inc Claro)</c:v>
                </c:pt>
                <c:pt idx="4">
                  <c:v>Trinidad and Tobago</c:v>
                </c:pt>
                <c:pt idx="6">
                  <c:v>Antigua and Barbuda</c:v>
                </c:pt>
                <c:pt idx="7">
                  <c:v>Grenada</c:v>
                </c:pt>
                <c:pt idx="8">
                  <c:v>St Lucia</c:v>
                </c:pt>
                <c:pt idx="9">
                  <c:v>Anguilla</c:v>
                </c:pt>
                <c:pt idx="10">
                  <c:v>Dominica</c:v>
                </c:pt>
                <c:pt idx="11">
                  <c:v>St Kitts and Nevis</c:v>
                </c:pt>
                <c:pt idx="12">
                  <c:v>St Vincent and the Grenadines</c:v>
                </c:pt>
                <c:pt idx="13">
                  <c:v>Cayman</c:v>
                </c:pt>
              </c:strCache>
            </c:strRef>
          </c:cat>
          <c:val>
            <c:numRef>
              <c:f>Analysis!$C$2813:$C$2826</c:f>
              <c:numCache>
                <c:formatCode>0%</c:formatCode>
                <c:ptCount val="14"/>
                <c:pt idx="0">
                  <c:v>0.433</c:v>
                </c:pt>
                <c:pt idx="1">
                  <c:v>0.311</c:v>
                </c:pt>
                <c:pt idx="2">
                  <c:v>0.309</c:v>
                </c:pt>
                <c:pt idx="3">
                  <c:v>0.13600000000000001</c:v>
                </c:pt>
                <c:pt idx="4">
                  <c:v>7.8E-2</c:v>
                </c:pt>
                <c:pt idx="6">
                  <c:v>0.42699999999999999</c:v>
                </c:pt>
                <c:pt idx="7">
                  <c:v>0.40500000000000003</c:v>
                </c:pt>
                <c:pt idx="8">
                  <c:v>0.40699999999999997</c:v>
                </c:pt>
                <c:pt idx="9">
                  <c:v>0.371</c:v>
                </c:pt>
                <c:pt idx="10">
                  <c:v>0.36899999999999999</c:v>
                </c:pt>
                <c:pt idx="11">
                  <c:v>0.28199999999999997</c:v>
                </c:pt>
                <c:pt idx="12">
                  <c:v>0.28599999999999998</c:v>
                </c:pt>
                <c:pt idx="13">
                  <c:v>0.255</c:v>
                </c:pt>
              </c:numCache>
            </c:numRef>
          </c:val>
          <c:extLst>
            <c:ext xmlns:c16="http://schemas.microsoft.com/office/drawing/2014/chart" uri="{C3380CC4-5D6E-409C-BE32-E72D297353CC}">
              <c16:uniqueId val="{00000000-64D2-4824-8900-9DF1FDC03ACF}"/>
            </c:ext>
          </c:extLst>
        </c:ser>
        <c:dLbls>
          <c:showLegendKey val="0"/>
          <c:showVal val="0"/>
          <c:showCatName val="0"/>
          <c:showSerName val="0"/>
          <c:showPercent val="0"/>
          <c:showBubbleSize val="0"/>
        </c:dLbls>
        <c:gapWidth val="219"/>
        <c:overlap val="-27"/>
        <c:axId val="749319608"/>
        <c:axId val="749314360"/>
      </c:barChart>
      <c:catAx>
        <c:axId val="749319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314360"/>
        <c:crosses val="autoZero"/>
        <c:auto val="1"/>
        <c:lblAlgn val="ctr"/>
        <c:lblOffset val="100"/>
        <c:noMultiLvlLbl val="0"/>
      </c:catAx>
      <c:valAx>
        <c:axId val="74931436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31960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Analysis!$B$2278</c:f>
              <c:strCache>
                <c:ptCount val="1"/>
                <c:pt idx="0">
                  <c:v>Revenue</c:v>
                </c:pt>
              </c:strCache>
            </c:strRef>
          </c:tx>
          <c:spPr>
            <a:solidFill>
              <a:srgbClr val="000080"/>
            </a:solidFill>
            <a:ln w="25400">
              <a:noFill/>
            </a:ln>
            <a:effectLst/>
          </c:spPr>
          <c:invertIfNegative val="0"/>
          <c:dPt>
            <c:idx val="5"/>
            <c:invertIfNegative val="0"/>
            <c:bubble3D val="0"/>
            <c:spPr>
              <a:solidFill>
                <a:srgbClr val="00B0F0"/>
              </a:solidFill>
              <a:ln w="25400">
                <a:noFill/>
              </a:ln>
              <a:effectLst/>
            </c:spPr>
            <c:extLst>
              <c:ext xmlns:c16="http://schemas.microsoft.com/office/drawing/2014/chart" uri="{C3380CC4-5D6E-409C-BE32-E72D297353CC}">
                <c16:uniqueId val="{00000002-9F55-4473-8D8F-27AB0E73D16A}"/>
              </c:ext>
            </c:extLst>
          </c:dPt>
          <c:dPt>
            <c:idx val="6"/>
            <c:invertIfNegative val="0"/>
            <c:bubble3D val="0"/>
            <c:spPr>
              <a:solidFill>
                <a:srgbClr val="00B0F0"/>
              </a:solidFill>
              <a:ln w="25400">
                <a:noFill/>
              </a:ln>
              <a:effectLst/>
            </c:spPr>
            <c:extLst>
              <c:ext xmlns:c16="http://schemas.microsoft.com/office/drawing/2014/chart" uri="{C3380CC4-5D6E-409C-BE32-E72D297353CC}">
                <c16:uniqueId val="{00000003-9F55-4473-8D8F-27AB0E73D16A}"/>
              </c:ext>
            </c:extLst>
          </c:dPt>
          <c:dPt>
            <c:idx val="7"/>
            <c:invertIfNegative val="0"/>
            <c:bubble3D val="0"/>
            <c:spPr>
              <a:solidFill>
                <a:srgbClr val="00B0F0"/>
              </a:solidFill>
              <a:ln w="25400">
                <a:noFill/>
              </a:ln>
              <a:effectLst/>
            </c:spPr>
            <c:extLst>
              <c:ext xmlns:c16="http://schemas.microsoft.com/office/drawing/2014/chart" uri="{C3380CC4-5D6E-409C-BE32-E72D297353CC}">
                <c16:uniqueId val="{00000004-9F55-4473-8D8F-27AB0E73D16A}"/>
              </c:ext>
            </c:extLst>
          </c:dPt>
          <c:dPt>
            <c:idx val="8"/>
            <c:invertIfNegative val="0"/>
            <c:bubble3D val="0"/>
            <c:spPr>
              <a:solidFill>
                <a:srgbClr val="00B0F0"/>
              </a:solidFill>
              <a:ln w="25400">
                <a:noFill/>
              </a:ln>
              <a:effectLst/>
            </c:spPr>
            <c:extLst>
              <c:ext xmlns:c16="http://schemas.microsoft.com/office/drawing/2014/chart" uri="{C3380CC4-5D6E-409C-BE32-E72D297353CC}">
                <c16:uniqueId val="{00000005-9F55-4473-8D8F-27AB0E73D16A}"/>
              </c:ext>
            </c:extLst>
          </c:dPt>
          <c:dPt>
            <c:idx val="9"/>
            <c:invertIfNegative val="0"/>
            <c:bubble3D val="0"/>
            <c:spPr>
              <a:solidFill>
                <a:srgbClr val="00B0F0"/>
              </a:solidFill>
              <a:ln w="25400">
                <a:noFill/>
              </a:ln>
              <a:effectLst/>
            </c:spPr>
            <c:extLst>
              <c:ext xmlns:c16="http://schemas.microsoft.com/office/drawing/2014/chart" uri="{C3380CC4-5D6E-409C-BE32-E72D297353CC}">
                <c16:uniqueId val="{00000006-9F55-4473-8D8F-27AB0E73D16A}"/>
              </c:ext>
            </c:extLst>
          </c:dPt>
          <c:dPt>
            <c:idx val="10"/>
            <c:invertIfNegative val="0"/>
            <c:bubble3D val="0"/>
            <c:spPr>
              <a:solidFill>
                <a:srgbClr val="00B0F0"/>
              </a:solidFill>
              <a:ln w="25400">
                <a:noFill/>
              </a:ln>
              <a:effectLst/>
            </c:spPr>
            <c:extLst>
              <c:ext xmlns:c16="http://schemas.microsoft.com/office/drawing/2014/chart" uri="{C3380CC4-5D6E-409C-BE32-E72D297353CC}">
                <c16:uniqueId val="{00000007-9F55-4473-8D8F-27AB0E73D16A}"/>
              </c:ext>
            </c:extLst>
          </c:dPt>
          <c:cat>
            <c:numRef>
              <c:f>Analysis!$C$2277:$M$2277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Analysis!$C$2278:$M$2278</c:f>
              <c:numCache>
                <c:formatCode>#,##0</c:formatCode>
                <c:ptCount val="11"/>
                <c:pt idx="0">
                  <c:v>176</c:v>
                </c:pt>
                <c:pt idx="1">
                  <c:v>198</c:v>
                </c:pt>
                <c:pt idx="2">
                  <c:v>231</c:v>
                </c:pt>
                <c:pt idx="3">
                  <c:v>253</c:v>
                </c:pt>
                <c:pt idx="4">
                  <c:v>263.20000000000005</c:v>
                </c:pt>
                <c:pt idx="5">
                  <c:v>267.19524102564111</c:v>
                </c:pt>
                <c:pt idx="6">
                  <c:v>263.86603987138272</c:v>
                </c:pt>
                <c:pt idx="7">
                  <c:v>284.07129860746909</c:v>
                </c:pt>
                <c:pt idx="8">
                  <c:v>357.63221720248288</c:v>
                </c:pt>
                <c:pt idx="9">
                  <c:v>380.2195151310608</c:v>
                </c:pt>
                <c:pt idx="10">
                  <c:v>383.94715743626728</c:v>
                </c:pt>
              </c:numCache>
            </c:numRef>
          </c:val>
          <c:extLst>
            <c:ext xmlns:c16="http://schemas.microsoft.com/office/drawing/2014/chart" uri="{C3380CC4-5D6E-409C-BE32-E72D297353CC}">
              <c16:uniqueId val="{00000000-9F55-4473-8D8F-27AB0E73D16A}"/>
            </c:ext>
          </c:extLst>
        </c:ser>
        <c:dLbls>
          <c:showLegendKey val="0"/>
          <c:showVal val="0"/>
          <c:showCatName val="0"/>
          <c:showSerName val="0"/>
          <c:showPercent val="0"/>
          <c:showBubbleSize val="0"/>
        </c:dLbls>
        <c:gapWidth val="219"/>
        <c:overlap val="-27"/>
        <c:axId val="832934864"/>
        <c:axId val="832925680"/>
      </c:barChart>
      <c:catAx>
        <c:axId val="8329348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2925680"/>
        <c:crosses val="autoZero"/>
        <c:auto val="1"/>
        <c:lblAlgn val="ctr"/>
        <c:lblOffset val="100"/>
        <c:noMultiLvlLbl val="0"/>
      </c:catAx>
      <c:valAx>
        <c:axId val="83292568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293486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Analysis!$B$2280</c:f>
              <c:strCache>
                <c:ptCount val="1"/>
                <c:pt idx="0">
                  <c:v>EBITDA</c:v>
                </c:pt>
              </c:strCache>
            </c:strRef>
          </c:tx>
          <c:spPr>
            <a:solidFill>
              <a:srgbClr val="000080"/>
            </a:solidFill>
            <a:ln w="25400">
              <a:noFill/>
            </a:ln>
            <a:effectLst/>
          </c:spPr>
          <c:invertIfNegative val="0"/>
          <c:dPt>
            <c:idx val="5"/>
            <c:invertIfNegative val="0"/>
            <c:bubble3D val="0"/>
            <c:spPr>
              <a:solidFill>
                <a:srgbClr val="00B0F0"/>
              </a:solidFill>
              <a:ln w="25400">
                <a:noFill/>
              </a:ln>
              <a:effectLst/>
            </c:spPr>
            <c:extLst>
              <c:ext xmlns:c16="http://schemas.microsoft.com/office/drawing/2014/chart" uri="{C3380CC4-5D6E-409C-BE32-E72D297353CC}">
                <c16:uniqueId val="{00000001-71EC-47B1-A4FF-0179F6765F0C}"/>
              </c:ext>
            </c:extLst>
          </c:dPt>
          <c:dPt>
            <c:idx val="6"/>
            <c:invertIfNegative val="0"/>
            <c:bubble3D val="0"/>
            <c:spPr>
              <a:solidFill>
                <a:srgbClr val="00B0F0"/>
              </a:solidFill>
              <a:ln w="25400">
                <a:noFill/>
              </a:ln>
              <a:effectLst/>
            </c:spPr>
            <c:extLst>
              <c:ext xmlns:c16="http://schemas.microsoft.com/office/drawing/2014/chart" uri="{C3380CC4-5D6E-409C-BE32-E72D297353CC}">
                <c16:uniqueId val="{00000003-71EC-47B1-A4FF-0179F6765F0C}"/>
              </c:ext>
            </c:extLst>
          </c:dPt>
          <c:dPt>
            <c:idx val="7"/>
            <c:invertIfNegative val="0"/>
            <c:bubble3D val="0"/>
            <c:spPr>
              <a:solidFill>
                <a:srgbClr val="00B0F0"/>
              </a:solidFill>
              <a:ln w="25400">
                <a:noFill/>
              </a:ln>
              <a:effectLst/>
            </c:spPr>
            <c:extLst>
              <c:ext xmlns:c16="http://schemas.microsoft.com/office/drawing/2014/chart" uri="{C3380CC4-5D6E-409C-BE32-E72D297353CC}">
                <c16:uniqueId val="{00000005-71EC-47B1-A4FF-0179F6765F0C}"/>
              </c:ext>
            </c:extLst>
          </c:dPt>
          <c:dPt>
            <c:idx val="8"/>
            <c:invertIfNegative val="0"/>
            <c:bubble3D val="0"/>
            <c:spPr>
              <a:solidFill>
                <a:srgbClr val="00B0F0"/>
              </a:solidFill>
              <a:ln w="25400">
                <a:noFill/>
              </a:ln>
              <a:effectLst/>
            </c:spPr>
            <c:extLst>
              <c:ext xmlns:c16="http://schemas.microsoft.com/office/drawing/2014/chart" uri="{C3380CC4-5D6E-409C-BE32-E72D297353CC}">
                <c16:uniqueId val="{00000007-71EC-47B1-A4FF-0179F6765F0C}"/>
              </c:ext>
            </c:extLst>
          </c:dPt>
          <c:dPt>
            <c:idx val="9"/>
            <c:invertIfNegative val="0"/>
            <c:bubble3D val="0"/>
            <c:spPr>
              <a:solidFill>
                <a:srgbClr val="00B0F0"/>
              </a:solidFill>
              <a:ln w="25400">
                <a:noFill/>
              </a:ln>
              <a:effectLst/>
            </c:spPr>
            <c:extLst>
              <c:ext xmlns:c16="http://schemas.microsoft.com/office/drawing/2014/chart" uri="{C3380CC4-5D6E-409C-BE32-E72D297353CC}">
                <c16:uniqueId val="{00000009-71EC-47B1-A4FF-0179F6765F0C}"/>
              </c:ext>
            </c:extLst>
          </c:dPt>
          <c:dPt>
            <c:idx val="10"/>
            <c:invertIfNegative val="0"/>
            <c:bubble3D val="0"/>
            <c:spPr>
              <a:solidFill>
                <a:srgbClr val="00B0F0"/>
              </a:solidFill>
              <a:ln w="25400">
                <a:noFill/>
              </a:ln>
              <a:effectLst/>
            </c:spPr>
            <c:extLst>
              <c:ext xmlns:c16="http://schemas.microsoft.com/office/drawing/2014/chart" uri="{C3380CC4-5D6E-409C-BE32-E72D297353CC}">
                <c16:uniqueId val="{0000000B-71EC-47B1-A4FF-0179F6765F0C}"/>
              </c:ext>
            </c:extLst>
          </c:dPt>
          <c:cat>
            <c:numRef>
              <c:f>Analysis!$C$2277:$M$2277</c:f>
              <c:numCache>
                <c:formatCode>General</c:formatCode>
                <c:ptCount val="11"/>
                <c:pt idx="0">
                  <c:v>2015</c:v>
                </c:pt>
                <c:pt idx="1">
                  <c:v>2016</c:v>
                </c:pt>
                <c:pt idx="2">
                  <c:v>2017</c:v>
                </c:pt>
                <c:pt idx="3">
                  <c:v>2018</c:v>
                </c:pt>
                <c:pt idx="4">
                  <c:v>2019</c:v>
                </c:pt>
                <c:pt idx="5">
                  <c:v>2020</c:v>
                </c:pt>
                <c:pt idx="6">
                  <c:v>2021</c:v>
                </c:pt>
                <c:pt idx="7">
                  <c:v>2022</c:v>
                </c:pt>
                <c:pt idx="8">
                  <c:v>2023</c:v>
                </c:pt>
                <c:pt idx="9">
                  <c:v>2024</c:v>
                </c:pt>
                <c:pt idx="10">
                  <c:v>2025</c:v>
                </c:pt>
              </c:numCache>
            </c:numRef>
          </c:cat>
          <c:val>
            <c:numRef>
              <c:f>Analysis!$C$2280:$M$2280</c:f>
              <c:numCache>
                <c:formatCode>#,##0</c:formatCode>
                <c:ptCount val="11"/>
                <c:pt idx="0">
                  <c:v>11</c:v>
                </c:pt>
                <c:pt idx="1">
                  <c:v>26</c:v>
                </c:pt>
                <c:pt idx="2">
                  <c:v>45</c:v>
                </c:pt>
                <c:pt idx="3">
                  <c:v>60</c:v>
                </c:pt>
                <c:pt idx="4">
                  <c:v>67.567567567567565</c:v>
                </c:pt>
                <c:pt idx="5">
                  <c:v>72.142715076923096</c:v>
                </c:pt>
                <c:pt idx="6">
                  <c:v>65.966509967845681</c:v>
                </c:pt>
                <c:pt idx="7">
                  <c:v>78.09766749868885</c:v>
                </c:pt>
                <c:pt idx="8">
                  <c:v>126.99288688099314</c:v>
                </c:pt>
                <c:pt idx="9">
                  <c:v>136.87902544718187</c:v>
                </c:pt>
                <c:pt idx="10">
                  <c:v>142.06044825141888</c:v>
                </c:pt>
              </c:numCache>
            </c:numRef>
          </c:val>
          <c:extLst>
            <c:ext xmlns:c16="http://schemas.microsoft.com/office/drawing/2014/chart" uri="{C3380CC4-5D6E-409C-BE32-E72D297353CC}">
              <c16:uniqueId val="{0000000C-71EC-47B1-A4FF-0179F6765F0C}"/>
            </c:ext>
          </c:extLst>
        </c:ser>
        <c:dLbls>
          <c:showLegendKey val="0"/>
          <c:showVal val="0"/>
          <c:showCatName val="0"/>
          <c:showSerName val="0"/>
          <c:showPercent val="0"/>
          <c:showBubbleSize val="0"/>
        </c:dLbls>
        <c:gapWidth val="219"/>
        <c:overlap val="-27"/>
        <c:axId val="832934864"/>
        <c:axId val="832925680"/>
      </c:barChart>
      <c:catAx>
        <c:axId val="8329348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2925680"/>
        <c:crosses val="autoZero"/>
        <c:auto val="1"/>
        <c:lblAlgn val="ctr"/>
        <c:lblOffset val="100"/>
        <c:noMultiLvlLbl val="0"/>
      </c:catAx>
      <c:valAx>
        <c:axId val="83292568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293486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Analysis!$B$2914</c:f>
              <c:strCache>
                <c:ptCount val="1"/>
                <c:pt idx="0">
                  <c:v>LCPR</c:v>
                </c:pt>
              </c:strCache>
            </c:strRef>
          </c:tx>
          <c:spPr>
            <a:solidFill>
              <a:srgbClr val="000080"/>
            </a:solidFill>
            <a:ln w="25400">
              <a:noFill/>
            </a:ln>
            <a:effectLst/>
          </c:spPr>
          <c:invertIfNegative val="0"/>
          <c:cat>
            <c:strRef>
              <c:f>Analysis!$C$2913:$J$2913</c:f>
              <c:strCache>
                <c:ptCount val="8"/>
                <c:pt idx="0">
                  <c:v>Q1 20</c:v>
                </c:pt>
                <c:pt idx="1">
                  <c:v>Q2 20</c:v>
                </c:pt>
                <c:pt idx="2">
                  <c:v>Q3 20</c:v>
                </c:pt>
                <c:pt idx="3">
                  <c:v>#REF!</c:v>
                </c:pt>
                <c:pt idx="4">
                  <c:v>#REF!</c:v>
                </c:pt>
                <c:pt idx="5">
                  <c:v>#REF!</c:v>
                </c:pt>
                <c:pt idx="6">
                  <c:v>#REF!</c:v>
                </c:pt>
                <c:pt idx="7">
                  <c:v>#REF!</c:v>
                </c:pt>
              </c:strCache>
            </c:strRef>
          </c:cat>
          <c:val>
            <c:numRef>
              <c:f>Analysis!$C$2914:$J$2914</c:f>
              <c:numCache>
                <c:formatCode>General</c:formatCode>
                <c:ptCount val="8"/>
                <c:pt idx="0">
                  <c:v>50.5</c:v>
                </c:pt>
                <c:pt idx="1">
                  <c:v>52.4</c:v>
                </c:pt>
                <c:pt idx="2">
                  <c:v>58.1</c:v>
                </c:pt>
                <c:pt idx="3" formatCode="0">
                  <c:v>0</c:v>
                </c:pt>
                <c:pt idx="4" formatCode="0">
                  <c:v>0</c:v>
                </c:pt>
                <c:pt idx="5" formatCode="0">
                  <c:v>0</c:v>
                </c:pt>
                <c:pt idx="6" formatCode="0">
                  <c:v>0</c:v>
                </c:pt>
                <c:pt idx="7" formatCode="0">
                  <c:v>0</c:v>
                </c:pt>
              </c:numCache>
            </c:numRef>
          </c:val>
          <c:extLst>
            <c:ext xmlns:c16="http://schemas.microsoft.com/office/drawing/2014/chart" uri="{C3380CC4-5D6E-409C-BE32-E72D297353CC}">
              <c16:uniqueId val="{00000000-9DFE-4C2C-963E-C17AE56083D4}"/>
            </c:ext>
          </c:extLst>
        </c:ser>
        <c:ser>
          <c:idx val="1"/>
          <c:order val="1"/>
          <c:tx>
            <c:strRef>
              <c:f>Analysis!$B$2915</c:f>
              <c:strCache>
                <c:ptCount val="1"/>
                <c:pt idx="0">
                  <c:v>AT&amp;T</c:v>
                </c:pt>
              </c:strCache>
            </c:strRef>
          </c:tx>
          <c:spPr>
            <a:solidFill>
              <a:srgbClr val="9999FF"/>
            </a:solidFill>
            <a:ln w="25400">
              <a:noFill/>
            </a:ln>
            <a:effectLst/>
          </c:spPr>
          <c:invertIfNegative val="0"/>
          <c:cat>
            <c:strRef>
              <c:f>Analysis!$C$2913:$J$2913</c:f>
              <c:strCache>
                <c:ptCount val="8"/>
                <c:pt idx="0">
                  <c:v>Q1 20</c:v>
                </c:pt>
                <c:pt idx="1">
                  <c:v>Q2 20</c:v>
                </c:pt>
                <c:pt idx="2">
                  <c:v>Q3 20</c:v>
                </c:pt>
                <c:pt idx="3">
                  <c:v>#REF!</c:v>
                </c:pt>
                <c:pt idx="4">
                  <c:v>#REF!</c:v>
                </c:pt>
                <c:pt idx="5">
                  <c:v>#REF!</c:v>
                </c:pt>
                <c:pt idx="6">
                  <c:v>#REF!</c:v>
                </c:pt>
                <c:pt idx="7">
                  <c:v>#REF!</c:v>
                </c:pt>
              </c:strCache>
            </c:strRef>
          </c:cat>
          <c:val>
            <c:numRef>
              <c:f>Analysis!$C$2915:$J$2915</c:f>
              <c:numCache>
                <c:formatCode>General</c:formatCode>
                <c:ptCount val="8"/>
                <c:pt idx="3">
                  <c:v>50</c:v>
                </c:pt>
                <c:pt idx="4">
                  <c:v>75</c:v>
                </c:pt>
                <c:pt idx="5">
                  <c:v>75</c:v>
                </c:pt>
                <c:pt idx="6">
                  <c:v>75</c:v>
                </c:pt>
                <c:pt idx="7">
                  <c:v>75</c:v>
                </c:pt>
              </c:numCache>
            </c:numRef>
          </c:val>
          <c:extLst>
            <c:ext xmlns:c16="http://schemas.microsoft.com/office/drawing/2014/chart" uri="{C3380CC4-5D6E-409C-BE32-E72D297353CC}">
              <c16:uniqueId val="{00000001-9DFE-4C2C-963E-C17AE56083D4}"/>
            </c:ext>
          </c:extLst>
        </c:ser>
        <c:ser>
          <c:idx val="2"/>
          <c:order val="2"/>
          <c:tx>
            <c:strRef>
              <c:f>Analysis!$B$2916</c:f>
              <c:strCache>
                <c:ptCount val="1"/>
                <c:pt idx="0">
                  <c:v>Restructuring charges</c:v>
                </c:pt>
              </c:strCache>
            </c:strRef>
          </c:tx>
          <c:spPr>
            <a:solidFill>
              <a:srgbClr val="3366FF"/>
            </a:solidFill>
            <a:ln w="25400">
              <a:noFill/>
            </a:ln>
            <a:effectLst/>
          </c:spPr>
          <c:invertIfNegative val="0"/>
          <c:cat>
            <c:strRef>
              <c:f>Analysis!$C$2913:$J$2913</c:f>
              <c:strCache>
                <c:ptCount val="8"/>
                <c:pt idx="0">
                  <c:v>Q1 20</c:v>
                </c:pt>
                <c:pt idx="1">
                  <c:v>Q2 20</c:v>
                </c:pt>
                <c:pt idx="2">
                  <c:v>Q3 20</c:v>
                </c:pt>
                <c:pt idx="3">
                  <c:v>#REF!</c:v>
                </c:pt>
                <c:pt idx="4">
                  <c:v>#REF!</c:v>
                </c:pt>
                <c:pt idx="5">
                  <c:v>#REF!</c:v>
                </c:pt>
                <c:pt idx="6">
                  <c:v>#REF!</c:v>
                </c:pt>
                <c:pt idx="7">
                  <c:v>#REF!</c:v>
                </c:pt>
              </c:strCache>
            </c:strRef>
          </c:cat>
          <c:val>
            <c:numRef>
              <c:f>Analysis!$C$2916:$J$2916</c:f>
              <c:numCache>
                <c:formatCode>General</c:formatCode>
                <c:ptCount val="8"/>
                <c:pt idx="3">
                  <c:v>-20</c:v>
                </c:pt>
                <c:pt idx="4">
                  <c:v>-20</c:v>
                </c:pt>
                <c:pt idx="5">
                  <c:v>-15</c:v>
                </c:pt>
                <c:pt idx="6">
                  <c:v>-10</c:v>
                </c:pt>
                <c:pt idx="7">
                  <c:v>-5</c:v>
                </c:pt>
              </c:numCache>
            </c:numRef>
          </c:val>
          <c:extLst>
            <c:ext xmlns:c16="http://schemas.microsoft.com/office/drawing/2014/chart" uri="{C3380CC4-5D6E-409C-BE32-E72D297353CC}">
              <c16:uniqueId val="{00000002-9DFE-4C2C-963E-C17AE56083D4}"/>
            </c:ext>
          </c:extLst>
        </c:ser>
        <c:ser>
          <c:idx val="3"/>
          <c:order val="3"/>
          <c:tx>
            <c:strRef>
              <c:f>Analysis!$B$2917</c:f>
              <c:strCache>
                <c:ptCount val="1"/>
                <c:pt idx="0">
                  <c:v>Synergies</c:v>
                </c:pt>
              </c:strCache>
            </c:strRef>
          </c:tx>
          <c:spPr>
            <a:solidFill>
              <a:srgbClr val="CCCCFF"/>
            </a:solidFill>
            <a:ln w="25400">
              <a:noFill/>
            </a:ln>
            <a:effectLst/>
          </c:spPr>
          <c:invertIfNegative val="0"/>
          <c:cat>
            <c:strRef>
              <c:f>Analysis!$C$2913:$J$2913</c:f>
              <c:strCache>
                <c:ptCount val="8"/>
                <c:pt idx="0">
                  <c:v>Q1 20</c:v>
                </c:pt>
                <c:pt idx="1">
                  <c:v>Q2 20</c:v>
                </c:pt>
                <c:pt idx="2">
                  <c:v>Q3 20</c:v>
                </c:pt>
                <c:pt idx="3">
                  <c:v>#REF!</c:v>
                </c:pt>
                <c:pt idx="4">
                  <c:v>#REF!</c:v>
                </c:pt>
                <c:pt idx="5">
                  <c:v>#REF!</c:v>
                </c:pt>
                <c:pt idx="6">
                  <c:v>#REF!</c:v>
                </c:pt>
                <c:pt idx="7">
                  <c:v>#REF!</c:v>
                </c:pt>
              </c:strCache>
            </c:strRef>
          </c:cat>
          <c:val>
            <c:numRef>
              <c:f>Analysis!$C$2917:$J$2917</c:f>
              <c:numCache>
                <c:formatCode>General</c:formatCode>
                <c:ptCount val="8"/>
                <c:pt idx="3">
                  <c:v>0</c:v>
                </c:pt>
                <c:pt idx="4">
                  <c:v>0</c:v>
                </c:pt>
                <c:pt idx="5">
                  <c:v>2</c:v>
                </c:pt>
                <c:pt idx="6">
                  <c:v>3</c:v>
                </c:pt>
                <c:pt idx="7" formatCode="#,##0">
                  <c:v>4.48404384</c:v>
                </c:pt>
              </c:numCache>
            </c:numRef>
          </c:val>
          <c:extLst>
            <c:ext xmlns:c16="http://schemas.microsoft.com/office/drawing/2014/chart" uri="{C3380CC4-5D6E-409C-BE32-E72D297353CC}">
              <c16:uniqueId val="{00000003-9DFE-4C2C-963E-C17AE56083D4}"/>
            </c:ext>
          </c:extLst>
        </c:ser>
        <c:dLbls>
          <c:showLegendKey val="0"/>
          <c:showVal val="0"/>
          <c:showCatName val="0"/>
          <c:showSerName val="0"/>
          <c:showPercent val="0"/>
          <c:showBubbleSize val="0"/>
        </c:dLbls>
        <c:gapWidth val="150"/>
        <c:overlap val="100"/>
        <c:axId val="700839896"/>
        <c:axId val="700836616"/>
      </c:barChart>
      <c:catAx>
        <c:axId val="70083989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00836616"/>
        <c:crosses val="autoZero"/>
        <c:auto val="1"/>
        <c:lblAlgn val="ctr"/>
        <c:lblOffset val="100"/>
        <c:noMultiLvlLbl val="0"/>
      </c:catAx>
      <c:valAx>
        <c:axId val="700836616"/>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008398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Analysis!$B$3143</c:f>
              <c:strCache>
                <c:ptCount val="1"/>
                <c:pt idx="0">
                  <c:v>Base case</c:v>
                </c:pt>
              </c:strCache>
            </c:strRef>
          </c:tx>
          <c:spPr>
            <a:ln w="25400" cap="rnd">
              <a:solidFill>
                <a:srgbClr val="333399"/>
              </a:solidFill>
              <a:prstDash val="solid"/>
              <a:round/>
            </a:ln>
            <a:effectLst/>
          </c:spPr>
          <c:marker>
            <c:symbol val="none"/>
          </c:marker>
          <c:cat>
            <c:numRef>
              <c:f>Analysis!$D$3142:$H$3142</c:f>
              <c:numCache>
                <c:formatCode>General</c:formatCode>
                <c:ptCount val="5"/>
                <c:pt idx="0">
                  <c:v>2021</c:v>
                </c:pt>
                <c:pt idx="1">
                  <c:v>2022</c:v>
                </c:pt>
                <c:pt idx="2">
                  <c:v>2023</c:v>
                </c:pt>
                <c:pt idx="3">
                  <c:v>2024</c:v>
                </c:pt>
                <c:pt idx="4">
                  <c:v>2025</c:v>
                </c:pt>
              </c:numCache>
            </c:numRef>
          </c:cat>
          <c:val>
            <c:numRef>
              <c:f>Analysis!$D$3143:$H$3143</c:f>
              <c:numCache>
                <c:formatCode>#,##0.0</c:formatCode>
                <c:ptCount val="5"/>
                <c:pt idx="0">
                  <c:v>4.594696058450463</c:v>
                </c:pt>
                <c:pt idx="1">
                  <c:v>3.8588882410312668</c:v>
                </c:pt>
                <c:pt idx="2">
                  <c:v>4.6221051910340414</c:v>
                </c:pt>
                <c:pt idx="3">
                  <c:v>5.1268574569664125</c:v>
                </c:pt>
                <c:pt idx="4">
                  <c:v>4.0066123283475861</c:v>
                </c:pt>
              </c:numCache>
            </c:numRef>
          </c:val>
          <c:smooth val="0"/>
          <c:extLst>
            <c:ext xmlns:c16="http://schemas.microsoft.com/office/drawing/2014/chart" uri="{C3380CC4-5D6E-409C-BE32-E72D297353CC}">
              <c16:uniqueId val="{00000000-17D0-4F4F-BECB-7CAC13543F65}"/>
            </c:ext>
          </c:extLst>
        </c:ser>
        <c:ser>
          <c:idx val="1"/>
          <c:order val="1"/>
          <c:tx>
            <c:strRef>
              <c:f>Analysis!$B$3144</c:f>
              <c:strCache>
                <c:ptCount val="1"/>
                <c:pt idx="0">
                  <c:v>w/ Colombia</c:v>
                </c:pt>
              </c:strCache>
            </c:strRef>
          </c:tx>
          <c:spPr>
            <a:ln w="25400" cap="rnd">
              <a:solidFill>
                <a:srgbClr val="99CCFF"/>
              </a:solidFill>
              <a:prstDash val="solid"/>
              <a:round/>
            </a:ln>
            <a:effectLst/>
          </c:spPr>
          <c:marker>
            <c:symbol val="none"/>
          </c:marker>
          <c:cat>
            <c:numRef>
              <c:f>Analysis!$D$3142:$H$3142</c:f>
              <c:numCache>
                <c:formatCode>General</c:formatCode>
                <c:ptCount val="5"/>
                <c:pt idx="0">
                  <c:v>2021</c:v>
                </c:pt>
                <c:pt idx="1">
                  <c:v>2022</c:v>
                </c:pt>
                <c:pt idx="2">
                  <c:v>2023</c:v>
                </c:pt>
                <c:pt idx="3">
                  <c:v>2024</c:v>
                </c:pt>
                <c:pt idx="4">
                  <c:v>2025</c:v>
                </c:pt>
              </c:numCache>
            </c:numRef>
          </c:cat>
          <c:val>
            <c:numRef>
              <c:f>Analysis!$D$3144:$H$3144</c:f>
              <c:numCache>
                <c:formatCode>0.0</c:formatCode>
                <c:ptCount val="5"/>
                <c:pt idx="0">
                  <c:v>4.966011066590359</c:v>
                </c:pt>
                <c:pt idx="1">
                  <c:v>4.5055153724440409</c:v>
                </c:pt>
                <c:pt idx="2">
                  <c:v>5.1707623234078985</c:v>
                </c:pt>
                <c:pt idx="3">
                  <c:v>5.6657830895790839</c:v>
                </c:pt>
                <c:pt idx="4">
                  <c:v>4.8252969269340449</c:v>
                </c:pt>
              </c:numCache>
            </c:numRef>
          </c:val>
          <c:smooth val="0"/>
          <c:extLst>
            <c:ext xmlns:c16="http://schemas.microsoft.com/office/drawing/2014/chart" uri="{C3380CC4-5D6E-409C-BE32-E72D297353CC}">
              <c16:uniqueId val="{00000001-17D0-4F4F-BECB-7CAC13543F65}"/>
            </c:ext>
          </c:extLst>
        </c:ser>
        <c:ser>
          <c:idx val="2"/>
          <c:order val="2"/>
          <c:tx>
            <c:strRef>
              <c:f>Analysis!$B$3145</c:f>
              <c:strCache>
                <c:ptCount val="1"/>
                <c:pt idx="0">
                  <c:v>w/ Colombia and Ecuador</c:v>
                </c:pt>
              </c:strCache>
            </c:strRef>
          </c:tx>
          <c:spPr>
            <a:ln w="25400" cap="rnd">
              <a:solidFill>
                <a:srgbClr val="333399"/>
              </a:solidFill>
              <a:prstDash val="lgDash"/>
              <a:round/>
            </a:ln>
            <a:effectLst/>
          </c:spPr>
          <c:marker>
            <c:symbol val="none"/>
          </c:marker>
          <c:cat>
            <c:numRef>
              <c:f>Analysis!$D$3142:$H$3142</c:f>
              <c:numCache>
                <c:formatCode>General</c:formatCode>
                <c:ptCount val="5"/>
                <c:pt idx="0">
                  <c:v>2021</c:v>
                </c:pt>
                <c:pt idx="1">
                  <c:v>2022</c:v>
                </c:pt>
                <c:pt idx="2">
                  <c:v>2023</c:v>
                </c:pt>
                <c:pt idx="3">
                  <c:v>2024</c:v>
                </c:pt>
                <c:pt idx="4">
                  <c:v>2025</c:v>
                </c:pt>
              </c:numCache>
            </c:numRef>
          </c:cat>
          <c:val>
            <c:numRef>
              <c:f>Analysis!$D$3145:$H$3145</c:f>
              <c:numCache>
                <c:formatCode>0.0</c:formatCode>
                <c:ptCount val="5"/>
                <c:pt idx="0">
                  <c:v>5.0440358073929064</c:v>
                </c:pt>
                <c:pt idx="1">
                  <c:v>4.6330834194857244</c:v>
                </c:pt>
                <c:pt idx="2">
                  <c:v>5.2695157846566305</c:v>
                </c:pt>
                <c:pt idx="3">
                  <c:v>5.7495068567941825</c:v>
                </c:pt>
                <c:pt idx="4">
                  <c:v>4.9714598353996422</c:v>
                </c:pt>
              </c:numCache>
            </c:numRef>
          </c:val>
          <c:smooth val="0"/>
          <c:extLst>
            <c:ext xmlns:c16="http://schemas.microsoft.com/office/drawing/2014/chart" uri="{C3380CC4-5D6E-409C-BE32-E72D297353CC}">
              <c16:uniqueId val="{00000002-17D0-4F4F-BECB-7CAC13543F65}"/>
            </c:ext>
          </c:extLst>
        </c:ser>
        <c:dLbls>
          <c:showLegendKey val="0"/>
          <c:showVal val="0"/>
          <c:showCatName val="0"/>
          <c:showSerName val="0"/>
          <c:showPercent val="0"/>
          <c:showBubbleSize val="0"/>
        </c:dLbls>
        <c:smooth val="0"/>
        <c:axId val="1174111096"/>
        <c:axId val="1174110440"/>
      </c:lineChart>
      <c:catAx>
        <c:axId val="117411109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74110440"/>
        <c:crosses val="autoZero"/>
        <c:auto val="1"/>
        <c:lblAlgn val="ctr"/>
        <c:lblOffset val="100"/>
        <c:noMultiLvlLbl val="0"/>
      </c:catAx>
      <c:valAx>
        <c:axId val="1174110440"/>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17411109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Analysis!$B$3148</c:f>
              <c:strCache>
                <c:ptCount val="1"/>
                <c:pt idx="0">
                  <c:v>Base case</c:v>
                </c:pt>
              </c:strCache>
            </c:strRef>
          </c:tx>
          <c:spPr>
            <a:solidFill>
              <a:srgbClr val="000080"/>
            </a:solidFill>
            <a:ln w="25400">
              <a:noFill/>
            </a:ln>
            <a:effectLst/>
          </c:spPr>
          <c:invertIfNegative val="0"/>
          <c:cat>
            <c:numRef>
              <c:f>Analysis!$D$3147:$F$3147</c:f>
              <c:numCache>
                <c:formatCode>General</c:formatCode>
                <c:ptCount val="3"/>
                <c:pt idx="0">
                  <c:v>2021</c:v>
                </c:pt>
                <c:pt idx="1">
                  <c:v>2022</c:v>
                </c:pt>
                <c:pt idx="2">
                  <c:v>2023</c:v>
                </c:pt>
              </c:numCache>
            </c:numRef>
          </c:cat>
          <c:val>
            <c:numRef>
              <c:f>Analysis!$D$3148:$F$3148</c:f>
              <c:numCache>
                <c:formatCode>#,##0.0</c:formatCode>
                <c:ptCount val="3"/>
                <c:pt idx="0">
                  <c:v>1.0620279717039713</c:v>
                </c:pt>
                <c:pt idx="1">
                  <c:v>1.0638051044083525</c:v>
                </c:pt>
                <c:pt idx="2">
                  <c:v>0.94758182706399563</c:v>
                </c:pt>
              </c:numCache>
            </c:numRef>
          </c:val>
          <c:extLst>
            <c:ext xmlns:c16="http://schemas.microsoft.com/office/drawing/2014/chart" uri="{C3380CC4-5D6E-409C-BE32-E72D297353CC}">
              <c16:uniqueId val="{00000000-02B2-4FE0-9F69-1F6A2F8ABB99}"/>
            </c:ext>
          </c:extLst>
        </c:ser>
        <c:ser>
          <c:idx val="1"/>
          <c:order val="1"/>
          <c:tx>
            <c:strRef>
              <c:f>Analysis!$B$3149</c:f>
              <c:strCache>
                <c:ptCount val="1"/>
                <c:pt idx="0">
                  <c:v>w/ Colombia</c:v>
                </c:pt>
              </c:strCache>
            </c:strRef>
          </c:tx>
          <c:spPr>
            <a:solidFill>
              <a:srgbClr val="9999FF"/>
            </a:solidFill>
            <a:ln w="25400">
              <a:noFill/>
            </a:ln>
            <a:effectLst/>
          </c:spPr>
          <c:invertIfNegative val="0"/>
          <c:cat>
            <c:numRef>
              <c:f>Analysis!$D$3147:$F$3147</c:f>
              <c:numCache>
                <c:formatCode>General</c:formatCode>
                <c:ptCount val="3"/>
                <c:pt idx="0">
                  <c:v>2021</c:v>
                </c:pt>
                <c:pt idx="1">
                  <c:v>2022</c:v>
                </c:pt>
                <c:pt idx="2">
                  <c:v>2023</c:v>
                </c:pt>
              </c:numCache>
            </c:numRef>
          </c:cat>
          <c:val>
            <c:numRef>
              <c:f>Analysis!$D$3149:$F$3149</c:f>
              <c:numCache>
                <c:formatCode>#,##0.0</c:formatCode>
                <c:ptCount val="3"/>
                <c:pt idx="0">
                  <c:v>1.2415266268872067</c:v>
                </c:pt>
                <c:pt idx="1">
                  <c:v>1.1993128462660982</c:v>
                </c:pt>
                <c:pt idx="2">
                  <c:v>1.0843501666299553</c:v>
                </c:pt>
              </c:numCache>
            </c:numRef>
          </c:val>
          <c:extLst>
            <c:ext xmlns:c16="http://schemas.microsoft.com/office/drawing/2014/chart" uri="{C3380CC4-5D6E-409C-BE32-E72D297353CC}">
              <c16:uniqueId val="{00000001-02B2-4FE0-9F69-1F6A2F8ABB99}"/>
            </c:ext>
          </c:extLst>
        </c:ser>
        <c:ser>
          <c:idx val="2"/>
          <c:order val="2"/>
          <c:tx>
            <c:strRef>
              <c:f>Analysis!$B$3150</c:f>
              <c:strCache>
                <c:ptCount val="1"/>
                <c:pt idx="0">
                  <c:v>w/ Colombia and Ecuador</c:v>
                </c:pt>
              </c:strCache>
            </c:strRef>
          </c:tx>
          <c:spPr>
            <a:solidFill>
              <a:srgbClr val="3366FF"/>
            </a:solidFill>
            <a:ln w="25400">
              <a:noFill/>
            </a:ln>
            <a:effectLst/>
          </c:spPr>
          <c:invertIfNegative val="0"/>
          <c:cat>
            <c:numRef>
              <c:f>Analysis!$D$3147:$F$3147</c:f>
              <c:numCache>
                <c:formatCode>General</c:formatCode>
                <c:ptCount val="3"/>
                <c:pt idx="0">
                  <c:v>2021</c:v>
                </c:pt>
                <c:pt idx="1">
                  <c:v>2022</c:v>
                </c:pt>
                <c:pt idx="2">
                  <c:v>2023</c:v>
                </c:pt>
              </c:numCache>
            </c:numRef>
          </c:cat>
          <c:val>
            <c:numRef>
              <c:f>Analysis!$D$3150:$F$3150</c:f>
              <c:numCache>
                <c:formatCode>0.0</c:formatCode>
                <c:ptCount val="3"/>
                <c:pt idx="0">
                  <c:v>1.3508819399938972</c:v>
                </c:pt>
                <c:pt idx="1">
                  <c:v>1.3182844733844277</c:v>
                </c:pt>
                <c:pt idx="2">
                  <c:v>1.2121456580986412</c:v>
                </c:pt>
              </c:numCache>
            </c:numRef>
          </c:val>
          <c:extLst>
            <c:ext xmlns:c16="http://schemas.microsoft.com/office/drawing/2014/chart" uri="{C3380CC4-5D6E-409C-BE32-E72D297353CC}">
              <c16:uniqueId val="{00000002-02B2-4FE0-9F69-1F6A2F8ABB99}"/>
            </c:ext>
          </c:extLst>
        </c:ser>
        <c:dLbls>
          <c:showLegendKey val="0"/>
          <c:showVal val="0"/>
          <c:showCatName val="0"/>
          <c:showSerName val="0"/>
          <c:showPercent val="0"/>
          <c:showBubbleSize val="0"/>
        </c:dLbls>
        <c:gapWidth val="219"/>
        <c:overlap val="-27"/>
        <c:axId val="1000456368"/>
        <c:axId val="1000456696"/>
      </c:barChart>
      <c:catAx>
        <c:axId val="10004563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0456696"/>
        <c:crosses val="autoZero"/>
        <c:auto val="1"/>
        <c:lblAlgn val="ctr"/>
        <c:lblOffset val="100"/>
        <c:noMultiLvlLbl val="0"/>
      </c:catAx>
      <c:valAx>
        <c:axId val="100045669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per share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04563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Analysis!$C$3166</c:f>
              <c:strCache>
                <c:ptCount val="1"/>
                <c:pt idx="0">
                  <c:v>Cable revs</c:v>
                </c:pt>
              </c:strCache>
            </c:strRef>
          </c:tx>
          <c:spPr>
            <a:solidFill>
              <a:srgbClr val="000080"/>
            </a:solidFill>
            <a:ln w="25400">
              <a:noFill/>
            </a:ln>
            <a:effectLst/>
          </c:spPr>
          <c:invertIfNegative val="0"/>
          <c:cat>
            <c:strRef>
              <c:f>Analysis!$B$3167:$B$3176</c:f>
              <c:strCache>
                <c:ptCount val="10"/>
                <c:pt idx="0">
                  <c:v>LCPR (PR)</c:v>
                </c:pt>
                <c:pt idx="1">
                  <c:v>ATUS</c:v>
                </c:pt>
                <c:pt idx="2">
                  <c:v>Comcast</c:v>
                </c:pt>
                <c:pt idx="3">
                  <c:v>Megacable (Mexico)</c:v>
                </c:pt>
                <c:pt idx="4">
                  <c:v>Charter</c:v>
                </c:pt>
                <c:pt idx="5">
                  <c:v>VTR (Chile)</c:v>
                </c:pt>
                <c:pt idx="6">
                  <c:v>NOS (Port)</c:v>
                </c:pt>
                <c:pt idx="7">
                  <c:v>VMED UK</c:v>
                </c:pt>
                <c:pt idx="8">
                  <c:v>Telenet (Belgium)</c:v>
                </c:pt>
                <c:pt idx="9">
                  <c:v>UPC/Sunrise (Switz)</c:v>
                </c:pt>
              </c:strCache>
            </c:strRef>
          </c:cat>
          <c:val>
            <c:numRef>
              <c:f>Analysis!$C$3167:$C$3176</c:f>
              <c:numCache>
                <c:formatCode>0.0%</c:formatCode>
                <c:ptCount val="10"/>
                <c:pt idx="0">
                  <c:v>0.19097222222222188</c:v>
                </c:pt>
                <c:pt idx="1">
                  <c:v>8.0000000000000002E-3</c:v>
                </c:pt>
                <c:pt idx="2">
                  <c:v>4.4999999999999998E-2</c:v>
                </c:pt>
                <c:pt idx="3">
                  <c:v>8.5000000000000006E-2</c:v>
                </c:pt>
                <c:pt idx="4">
                  <c:v>6.6000000000000003E-2</c:v>
                </c:pt>
                <c:pt idx="5">
                  <c:v>-4.4025157232704393E-2</c:v>
                </c:pt>
                <c:pt idx="6">
                  <c:v>0.01</c:v>
                </c:pt>
                <c:pt idx="7">
                  <c:v>0</c:v>
                </c:pt>
                <c:pt idx="8">
                  <c:v>-8.9999999999999993E-3</c:v>
                </c:pt>
                <c:pt idx="9">
                  <c:v>-2.5999999999999999E-2</c:v>
                </c:pt>
              </c:numCache>
            </c:numRef>
          </c:val>
          <c:extLst>
            <c:ext xmlns:c16="http://schemas.microsoft.com/office/drawing/2014/chart" uri="{C3380CC4-5D6E-409C-BE32-E72D297353CC}">
              <c16:uniqueId val="{00000000-7D75-4610-A5BA-709BD72B8347}"/>
            </c:ext>
          </c:extLst>
        </c:ser>
        <c:ser>
          <c:idx val="1"/>
          <c:order val="1"/>
          <c:tx>
            <c:strRef>
              <c:f>Analysis!$D$3166</c:f>
              <c:strCache>
                <c:ptCount val="1"/>
                <c:pt idx="0">
                  <c:v>BB revs</c:v>
                </c:pt>
              </c:strCache>
            </c:strRef>
          </c:tx>
          <c:spPr>
            <a:solidFill>
              <a:srgbClr val="9999FF"/>
            </a:solidFill>
            <a:ln w="25400">
              <a:noFill/>
            </a:ln>
            <a:effectLst/>
          </c:spPr>
          <c:invertIfNegative val="0"/>
          <c:cat>
            <c:strRef>
              <c:f>Analysis!$B$3167:$B$3176</c:f>
              <c:strCache>
                <c:ptCount val="10"/>
                <c:pt idx="0">
                  <c:v>LCPR (PR)</c:v>
                </c:pt>
                <c:pt idx="1">
                  <c:v>ATUS</c:v>
                </c:pt>
                <c:pt idx="2">
                  <c:v>Comcast</c:v>
                </c:pt>
                <c:pt idx="3">
                  <c:v>Megacable (Mexico)</c:v>
                </c:pt>
                <c:pt idx="4">
                  <c:v>Charter</c:v>
                </c:pt>
                <c:pt idx="5">
                  <c:v>VTR (Chile)</c:v>
                </c:pt>
                <c:pt idx="6">
                  <c:v>NOS (Port)</c:v>
                </c:pt>
                <c:pt idx="7">
                  <c:v>VMED UK</c:v>
                </c:pt>
                <c:pt idx="8">
                  <c:v>Telenet (Belgium)</c:v>
                </c:pt>
                <c:pt idx="9">
                  <c:v>UPC/Sunrise (Switz)</c:v>
                </c:pt>
              </c:strCache>
            </c:strRef>
          </c:cat>
          <c:val>
            <c:numRef>
              <c:f>Analysis!$D$3167:$D$3176</c:f>
              <c:numCache>
                <c:formatCode>0.0%</c:formatCode>
                <c:ptCount val="10"/>
                <c:pt idx="0">
                  <c:v>0.28097345132743334</c:v>
                </c:pt>
                <c:pt idx="1">
                  <c:v>0.14000000000000001</c:v>
                </c:pt>
                <c:pt idx="2">
                  <c:v>0.127</c:v>
                </c:pt>
                <c:pt idx="3">
                  <c:v>0.10713325258318496</c:v>
                </c:pt>
                <c:pt idx="4">
                  <c:v>8.5000000000000006E-2</c:v>
                </c:pt>
                <c:pt idx="5">
                  <c:v>-2.2935779816513735E-2</c:v>
                </c:pt>
              </c:numCache>
            </c:numRef>
          </c:val>
          <c:extLst>
            <c:ext xmlns:c16="http://schemas.microsoft.com/office/drawing/2014/chart" uri="{C3380CC4-5D6E-409C-BE32-E72D297353CC}">
              <c16:uniqueId val="{00000001-7D75-4610-A5BA-709BD72B8347}"/>
            </c:ext>
          </c:extLst>
        </c:ser>
        <c:dLbls>
          <c:showLegendKey val="0"/>
          <c:showVal val="0"/>
          <c:showCatName val="0"/>
          <c:showSerName val="0"/>
          <c:showPercent val="0"/>
          <c:showBubbleSize val="0"/>
        </c:dLbls>
        <c:gapWidth val="219"/>
        <c:overlap val="-27"/>
        <c:axId val="1032706104"/>
        <c:axId val="1032712664"/>
      </c:barChart>
      <c:catAx>
        <c:axId val="103270610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32712664"/>
        <c:crosses val="autoZero"/>
        <c:auto val="1"/>
        <c:lblAlgn val="ctr"/>
        <c:lblOffset val="100"/>
        <c:noMultiLvlLbl val="0"/>
      </c:catAx>
      <c:valAx>
        <c:axId val="103271266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3270610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Analysis!$B$3200</c:f>
              <c:strCache>
                <c:ptCount val="1"/>
                <c:pt idx="0">
                  <c:v>EFCF base</c:v>
                </c:pt>
              </c:strCache>
            </c:strRef>
          </c:tx>
          <c:spPr>
            <a:solidFill>
              <a:srgbClr val="000080"/>
            </a:solidFill>
            <a:ln w="25400">
              <a:noFill/>
            </a:ln>
            <a:effectLst/>
          </c:spPr>
          <c:invertIfNegative val="0"/>
          <c:cat>
            <c:numRef>
              <c:f>Analysis!$C$3199:$G$3199</c:f>
              <c:numCache>
                <c:formatCode>General</c:formatCode>
                <c:ptCount val="5"/>
                <c:pt idx="0">
                  <c:v>2021</c:v>
                </c:pt>
                <c:pt idx="1">
                  <c:v>2022</c:v>
                </c:pt>
                <c:pt idx="2">
                  <c:v>2023</c:v>
                </c:pt>
                <c:pt idx="3">
                  <c:v>2024</c:v>
                </c:pt>
                <c:pt idx="4">
                  <c:v>2025</c:v>
                </c:pt>
              </c:numCache>
            </c:numRef>
          </c:cat>
          <c:val>
            <c:numRef>
              <c:f>Analysis!$C$3200:$G$3200</c:f>
              <c:numCache>
                <c:formatCode>#,##0</c:formatCode>
                <c:ptCount val="5"/>
                <c:pt idx="0">
                  <c:v>243.97968593955338</c:v>
                </c:pt>
                <c:pt idx="1">
                  <c:v>229.24999999999997</c:v>
                </c:pt>
                <c:pt idx="2">
                  <c:v>193.96999999999989</c:v>
                </c:pt>
                <c:pt idx="3">
                  <c:v>136.49958891740317</c:v>
                </c:pt>
                <c:pt idx="4">
                  <c:v>249.28592382841885</c:v>
                </c:pt>
              </c:numCache>
            </c:numRef>
          </c:val>
          <c:extLst>
            <c:ext xmlns:c16="http://schemas.microsoft.com/office/drawing/2014/chart" uri="{C3380CC4-5D6E-409C-BE32-E72D297353CC}">
              <c16:uniqueId val="{00000000-749D-4A86-AADD-92420D181409}"/>
            </c:ext>
          </c:extLst>
        </c:ser>
        <c:ser>
          <c:idx val="1"/>
          <c:order val="1"/>
          <c:tx>
            <c:strRef>
              <c:f>Analysis!$B$3201</c:f>
              <c:strCache>
                <c:ptCount val="1"/>
                <c:pt idx="0">
                  <c:v>EFCF adj</c:v>
                </c:pt>
              </c:strCache>
            </c:strRef>
          </c:tx>
          <c:spPr>
            <a:solidFill>
              <a:srgbClr val="9999FF"/>
            </a:solidFill>
            <a:ln w="25400">
              <a:noFill/>
            </a:ln>
            <a:effectLst/>
          </c:spPr>
          <c:invertIfNegative val="0"/>
          <c:cat>
            <c:numRef>
              <c:f>Analysis!$C$3199:$G$3199</c:f>
              <c:numCache>
                <c:formatCode>General</c:formatCode>
                <c:ptCount val="5"/>
                <c:pt idx="0">
                  <c:v>2021</c:v>
                </c:pt>
                <c:pt idx="1">
                  <c:v>2022</c:v>
                </c:pt>
                <c:pt idx="2">
                  <c:v>2023</c:v>
                </c:pt>
                <c:pt idx="3">
                  <c:v>2024</c:v>
                </c:pt>
                <c:pt idx="4">
                  <c:v>2025</c:v>
                </c:pt>
              </c:numCache>
            </c:numRef>
          </c:cat>
          <c:val>
            <c:numRef>
              <c:f>Analysis!$C$3201:$G$3201</c:f>
              <c:numCache>
                <c:formatCode>#,##0</c:formatCode>
                <c:ptCount val="5"/>
                <c:pt idx="0">
                  <c:v>86.039999999999992</c:v>
                </c:pt>
                <c:pt idx="1">
                  <c:v>61.200000000000017</c:v>
                </c:pt>
                <c:pt idx="2">
                  <c:v>61.199999999999989</c:v>
                </c:pt>
                <c:pt idx="3">
                  <c:v>38.159999999999997</c:v>
                </c:pt>
                <c:pt idx="4">
                  <c:v>0</c:v>
                </c:pt>
              </c:numCache>
            </c:numRef>
          </c:val>
          <c:extLst>
            <c:ext xmlns:c16="http://schemas.microsoft.com/office/drawing/2014/chart" uri="{C3380CC4-5D6E-409C-BE32-E72D297353CC}">
              <c16:uniqueId val="{00000001-749D-4A86-AADD-92420D181409}"/>
            </c:ext>
          </c:extLst>
        </c:ser>
        <c:dLbls>
          <c:showLegendKey val="0"/>
          <c:showVal val="0"/>
          <c:showCatName val="0"/>
          <c:showSerName val="0"/>
          <c:showPercent val="0"/>
          <c:showBubbleSize val="0"/>
        </c:dLbls>
        <c:gapWidth val="150"/>
        <c:overlap val="100"/>
        <c:axId val="909146864"/>
        <c:axId val="909149160"/>
      </c:barChart>
      <c:catAx>
        <c:axId val="9091468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09149160"/>
        <c:crosses val="autoZero"/>
        <c:auto val="1"/>
        <c:lblAlgn val="ctr"/>
        <c:lblOffset val="100"/>
        <c:noMultiLvlLbl val="0"/>
      </c:catAx>
      <c:valAx>
        <c:axId val="909149160"/>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0914686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Analysis!$B$3202</c:f>
              <c:strCache>
                <c:ptCount val="1"/>
                <c:pt idx="0">
                  <c:v>EFCF yield</c:v>
                </c:pt>
              </c:strCache>
            </c:strRef>
          </c:tx>
          <c:spPr>
            <a:ln w="25400" cap="rnd">
              <a:solidFill>
                <a:srgbClr val="333399"/>
              </a:solidFill>
              <a:prstDash val="solid"/>
              <a:round/>
            </a:ln>
            <a:effectLst/>
          </c:spPr>
          <c:marker>
            <c:symbol val="none"/>
          </c:marker>
          <c:cat>
            <c:numRef>
              <c:f>Analysis!$C$3199:$G$3199</c:f>
              <c:numCache>
                <c:formatCode>General</c:formatCode>
                <c:ptCount val="5"/>
                <c:pt idx="0">
                  <c:v>2021</c:v>
                </c:pt>
                <c:pt idx="1">
                  <c:v>2022</c:v>
                </c:pt>
                <c:pt idx="2">
                  <c:v>2023</c:v>
                </c:pt>
                <c:pt idx="3">
                  <c:v>2024</c:v>
                </c:pt>
                <c:pt idx="4">
                  <c:v>2025</c:v>
                </c:pt>
              </c:numCache>
            </c:numRef>
          </c:cat>
          <c:val>
            <c:numRef>
              <c:f>Analysis!$C$3202:$G$3202</c:f>
              <c:numCache>
                <c:formatCode>0%</c:formatCode>
                <c:ptCount val="5"/>
                <c:pt idx="0">
                  <c:v>0.21125802792763973</c:v>
                </c:pt>
                <c:pt idx="1">
                  <c:v>0.1982052681861608</c:v>
                </c:pt>
                <c:pt idx="2">
                  <c:v>0.18331704934049822</c:v>
                </c:pt>
                <c:pt idx="3">
                  <c:v>0.13906461106834866</c:v>
                </c:pt>
                <c:pt idx="4">
                  <c:v>0.21602648603800728</c:v>
                </c:pt>
              </c:numCache>
            </c:numRef>
          </c:val>
          <c:smooth val="0"/>
          <c:extLst>
            <c:ext xmlns:c16="http://schemas.microsoft.com/office/drawing/2014/chart" uri="{C3380CC4-5D6E-409C-BE32-E72D297353CC}">
              <c16:uniqueId val="{00000000-6BFB-4858-8C61-E45CC4E1DFD5}"/>
            </c:ext>
          </c:extLst>
        </c:ser>
        <c:dLbls>
          <c:showLegendKey val="0"/>
          <c:showVal val="0"/>
          <c:showCatName val="0"/>
          <c:showSerName val="0"/>
          <c:showPercent val="0"/>
          <c:showBubbleSize val="0"/>
        </c:dLbls>
        <c:smooth val="0"/>
        <c:axId val="832132288"/>
        <c:axId val="832134256"/>
      </c:lineChart>
      <c:catAx>
        <c:axId val="83213228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2134256"/>
        <c:crosses val="autoZero"/>
        <c:auto val="1"/>
        <c:lblAlgn val="ctr"/>
        <c:lblOffset val="100"/>
        <c:noMultiLvlLbl val="0"/>
      </c:catAx>
      <c:valAx>
        <c:axId val="832134256"/>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321322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Base case</c:v>
          </c:tx>
          <c:spPr>
            <a:ln w="25400" cap="rnd">
              <a:solidFill>
                <a:srgbClr val="333399"/>
              </a:solidFill>
              <a:prstDash val="solid"/>
              <a:round/>
            </a:ln>
            <a:effectLst/>
          </c:spPr>
          <c:marker>
            <c:symbol val="none"/>
          </c:marker>
          <c:cat>
            <c:numRef>
              <c:f>Analysis!$C$3217:$G$3217</c:f>
              <c:numCache>
                <c:formatCode>General</c:formatCode>
                <c:ptCount val="5"/>
                <c:pt idx="0">
                  <c:v>2021</c:v>
                </c:pt>
                <c:pt idx="1">
                  <c:v>2022</c:v>
                </c:pt>
                <c:pt idx="2">
                  <c:v>2023</c:v>
                </c:pt>
                <c:pt idx="3">
                  <c:v>2024</c:v>
                </c:pt>
                <c:pt idx="4">
                  <c:v>2025</c:v>
                </c:pt>
              </c:numCache>
            </c:numRef>
          </c:cat>
          <c:val>
            <c:numRef>
              <c:f>Analysis!$C$3220:$G$3220</c:f>
              <c:numCache>
                <c:formatCode>0.0\x</c:formatCode>
                <c:ptCount val="5"/>
                <c:pt idx="0">
                  <c:v>4.594696058450463</c:v>
                </c:pt>
                <c:pt idx="1">
                  <c:v>3.8588882410312668</c:v>
                </c:pt>
                <c:pt idx="2">
                  <c:v>4.6221051910340414</c:v>
                </c:pt>
                <c:pt idx="3">
                  <c:v>5.1268574569664125</c:v>
                </c:pt>
                <c:pt idx="4">
                  <c:v>4.0066123283475861</c:v>
                </c:pt>
              </c:numCache>
            </c:numRef>
          </c:val>
          <c:smooth val="0"/>
          <c:extLst>
            <c:ext xmlns:c16="http://schemas.microsoft.com/office/drawing/2014/chart" uri="{C3380CC4-5D6E-409C-BE32-E72D297353CC}">
              <c16:uniqueId val="{00000000-0FF0-422E-9EF8-87D79844AB22}"/>
            </c:ext>
          </c:extLst>
        </c:ser>
        <c:ser>
          <c:idx val="1"/>
          <c:order val="1"/>
          <c:tx>
            <c:v>Subsea cable sale at 10x</c:v>
          </c:tx>
          <c:spPr>
            <a:ln w="25400" cap="rnd">
              <a:solidFill>
                <a:srgbClr val="99CCFF"/>
              </a:solidFill>
              <a:prstDash val="solid"/>
              <a:round/>
            </a:ln>
            <a:effectLst/>
          </c:spPr>
          <c:marker>
            <c:symbol val="none"/>
          </c:marker>
          <c:cat>
            <c:numRef>
              <c:f>Analysis!$C$3217:$G$3217</c:f>
              <c:numCache>
                <c:formatCode>General</c:formatCode>
                <c:ptCount val="5"/>
                <c:pt idx="0">
                  <c:v>2021</c:v>
                </c:pt>
                <c:pt idx="1">
                  <c:v>2022</c:v>
                </c:pt>
                <c:pt idx="2">
                  <c:v>2023</c:v>
                </c:pt>
                <c:pt idx="3">
                  <c:v>2024</c:v>
                </c:pt>
                <c:pt idx="4">
                  <c:v>2025</c:v>
                </c:pt>
              </c:numCache>
            </c:numRef>
          </c:cat>
          <c:val>
            <c:numRef>
              <c:f>Analysis!$C$3233:$G$3233</c:f>
              <c:numCache>
                <c:formatCode>0.0\x</c:formatCode>
                <c:ptCount val="5"/>
                <c:pt idx="0">
                  <c:v>4.594696058450463</c:v>
                </c:pt>
                <c:pt idx="1">
                  <c:v>2.8870126616157359</c:v>
                </c:pt>
                <c:pt idx="2">
                  <c:v>3.8052234969771606</c:v>
                </c:pt>
                <c:pt idx="3">
                  <c:v>4.3819918111674747</c:v>
                </c:pt>
                <c:pt idx="4">
                  <c:v>3.2329856641151902</c:v>
                </c:pt>
              </c:numCache>
            </c:numRef>
          </c:val>
          <c:smooth val="0"/>
          <c:extLst>
            <c:ext xmlns:c16="http://schemas.microsoft.com/office/drawing/2014/chart" uri="{C3380CC4-5D6E-409C-BE32-E72D297353CC}">
              <c16:uniqueId val="{00000002-0FF0-422E-9EF8-87D79844AB22}"/>
            </c:ext>
          </c:extLst>
        </c:ser>
        <c:ser>
          <c:idx val="2"/>
          <c:order val="2"/>
          <c:tx>
            <c:v>Subsea +buy-back 10% equity</c:v>
          </c:tx>
          <c:spPr>
            <a:ln w="25400" cap="rnd">
              <a:solidFill>
                <a:srgbClr val="333399"/>
              </a:solidFill>
              <a:prstDash val="lgDash"/>
              <a:round/>
            </a:ln>
            <a:effectLst/>
          </c:spPr>
          <c:marker>
            <c:symbol val="none"/>
          </c:marker>
          <c:val>
            <c:numRef>
              <c:f>Analysis!$C$3253:$G$3253</c:f>
              <c:numCache>
                <c:formatCode>0.0\x</c:formatCode>
                <c:ptCount val="5"/>
                <c:pt idx="0">
                  <c:v>4.594696058450463</c:v>
                </c:pt>
                <c:pt idx="1">
                  <c:v>3.1428881656581282</c:v>
                </c:pt>
                <c:pt idx="2">
                  <c:v>4.3108036973795523</c:v>
                </c:pt>
                <c:pt idx="3">
                  <c:v>5.1963105113118848</c:v>
                </c:pt>
                <c:pt idx="4">
                  <c:v>4.1086349648152645</c:v>
                </c:pt>
              </c:numCache>
            </c:numRef>
          </c:val>
          <c:smooth val="0"/>
          <c:extLst>
            <c:ext xmlns:c16="http://schemas.microsoft.com/office/drawing/2014/chart" uri="{C3380CC4-5D6E-409C-BE32-E72D297353CC}">
              <c16:uniqueId val="{00000003-0FF0-422E-9EF8-87D79844AB22}"/>
            </c:ext>
          </c:extLst>
        </c:ser>
        <c:dLbls>
          <c:showLegendKey val="0"/>
          <c:showVal val="0"/>
          <c:showCatName val="0"/>
          <c:showSerName val="0"/>
          <c:showPercent val="0"/>
          <c:showBubbleSize val="0"/>
        </c:dLbls>
        <c:smooth val="0"/>
        <c:axId val="919394592"/>
        <c:axId val="919395576"/>
      </c:lineChart>
      <c:catAx>
        <c:axId val="919394592"/>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9395576"/>
        <c:crosses val="autoZero"/>
        <c:auto val="1"/>
        <c:lblAlgn val="ctr"/>
        <c:lblOffset val="100"/>
        <c:noMultiLvlLbl val="0"/>
      </c:catAx>
      <c:valAx>
        <c:axId val="919395576"/>
        <c:scaling>
          <c:orientation val="minMax"/>
        </c:scaling>
        <c:delete val="0"/>
        <c:axPos val="l"/>
        <c:majorGridlines>
          <c:spPr>
            <a:ln w="3175" cap="flat" cmpd="sng" algn="ctr">
              <a:solidFill>
                <a:srgbClr val="C0C0C0"/>
              </a:solidFill>
              <a:prstDash val="solid"/>
              <a:round/>
            </a:ln>
            <a:effectLst/>
          </c:spPr>
        </c:majorGridlines>
        <c:numFmt formatCode="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9394592"/>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Analysis!$B$3236</c:f>
              <c:strCache>
                <c:ptCount val="1"/>
                <c:pt idx="0">
                  <c:v>EFCF/ base case</c:v>
                </c:pt>
              </c:strCache>
            </c:strRef>
          </c:tx>
          <c:spPr>
            <a:solidFill>
              <a:srgbClr val="000080"/>
            </a:solidFill>
            <a:ln w="25400">
              <a:noFill/>
            </a:ln>
            <a:effectLst/>
          </c:spPr>
          <c:invertIfNegative val="0"/>
          <c:cat>
            <c:numRef>
              <c:f>Analysis!$D$3217:$G$3217</c:f>
              <c:numCache>
                <c:formatCode>General</c:formatCode>
                <c:ptCount val="4"/>
                <c:pt idx="0">
                  <c:v>2022</c:v>
                </c:pt>
                <c:pt idx="1">
                  <c:v>2023</c:v>
                </c:pt>
                <c:pt idx="2">
                  <c:v>2024</c:v>
                </c:pt>
                <c:pt idx="3">
                  <c:v>2025</c:v>
                </c:pt>
              </c:numCache>
            </c:numRef>
          </c:cat>
          <c:val>
            <c:numRef>
              <c:f>Analysis!$D$3236:$G$3236</c:f>
              <c:numCache>
                <c:formatCode>#,##0.0</c:formatCode>
                <c:ptCount val="4"/>
                <c:pt idx="0">
                  <c:v>1.0638051044083525</c:v>
                </c:pt>
                <c:pt idx="1">
                  <c:v>0.94758182706399563</c:v>
                </c:pt>
                <c:pt idx="2">
                  <c:v>0.73903404936330908</c:v>
                </c:pt>
                <c:pt idx="3">
                  <c:v>1.4689801050584494</c:v>
                </c:pt>
              </c:numCache>
            </c:numRef>
          </c:val>
          <c:extLst>
            <c:ext xmlns:c16="http://schemas.microsoft.com/office/drawing/2014/chart" uri="{C3380CC4-5D6E-409C-BE32-E72D297353CC}">
              <c16:uniqueId val="{00000000-FC4F-4ED4-B678-D92F032986B9}"/>
            </c:ext>
          </c:extLst>
        </c:ser>
        <c:ser>
          <c:idx val="1"/>
          <c:order val="1"/>
          <c:tx>
            <c:strRef>
              <c:f>Analysis!$B$3239</c:f>
              <c:strCache>
                <c:ptCount val="1"/>
                <c:pt idx="0">
                  <c:v>EFCF/share subsea exit</c:v>
                </c:pt>
              </c:strCache>
            </c:strRef>
          </c:tx>
          <c:spPr>
            <a:solidFill>
              <a:srgbClr val="9999FF"/>
            </a:solidFill>
            <a:ln w="25400">
              <a:noFill/>
            </a:ln>
            <a:effectLst/>
          </c:spPr>
          <c:invertIfNegative val="0"/>
          <c:cat>
            <c:numRef>
              <c:f>Analysis!$D$3217:$G$3217</c:f>
              <c:numCache>
                <c:formatCode>General</c:formatCode>
                <c:ptCount val="4"/>
                <c:pt idx="0">
                  <c:v>2022</c:v>
                </c:pt>
                <c:pt idx="1">
                  <c:v>2023</c:v>
                </c:pt>
                <c:pt idx="2">
                  <c:v>2024</c:v>
                </c:pt>
                <c:pt idx="3">
                  <c:v>2025</c:v>
                </c:pt>
              </c:numCache>
            </c:numRef>
          </c:cat>
          <c:val>
            <c:numRef>
              <c:f>Analysis!$D$3239:$G$3239</c:f>
              <c:numCache>
                <c:formatCode>#,##0.0</c:formatCode>
                <c:ptCount val="4"/>
                <c:pt idx="0">
                  <c:v>0.83054890523658176</c:v>
                </c:pt>
                <c:pt idx="1">
                  <c:v>0.70309679814385095</c:v>
                </c:pt>
                <c:pt idx="2">
                  <c:v>0.43928759021691827</c:v>
                </c:pt>
                <c:pt idx="3">
                  <c:v>1.0744990907006977</c:v>
                </c:pt>
              </c:numCache>
            </c:numRef>
          </c:val>
          <c:extLst>
            <c:ext xmlns:c16="http://schemas.microsoft.com/office/drawing/2014/chart" uri="{C3380CC4-5D6E-409C-BE32-E72D297353CC}">
              <c16:uniqueId val="{00000002-FC4F-4ED4-B678-D92F032986B9}"/>
            </c:ext>
          </c:extLst>
        </c:ser>
        <c:ser>
          <c:idx val="2"/>
          <c:order val="2"/>
          <c:tx>
            <c:strRef>
              <c:f>Analysis!$B$3254</c:f>
              <c:strCache>
                <c:ptCount val="1"/>
                <c:pt idx="0">
                  <c:v>EFCF/share subsea exit + buy-back 10% stock/annum</c:v>
                </c:pt>
              </c:strCache>
            </c:strRef>
          </c:tx>
          <c:spPr>
            <a:solidFill>
              <a:srgbClr val="3366FF"/>
            </a:solidFill>
            <a:ln w="25400">
              <a:noFill/>
            </a:ln>
            <a:effectLst/>
          </c:spPr>
          <c:invertIfNegative val="0"/>
          <c:cat>
            <c:numRef>
              <c:f>Analysis!$D$3217:$G$3217</c:f>
              <c:numCache>
                <c:formatCode>General</c:formatCode>
                <c:ptCount val="4"/>
                <c:pt idx="0">
                  <c:v>2022</c:v>
                </c:pt>
                <c:pt idx="1">
                  <c:v>2023</c:v>
                </c:pt>
                <c:pt idx="2">
                  <c:v>2024</c:v>
                </c:pt>
                <c:pt idx="3">
                  <c:v>2025</c:v>
                </c:pt>
              </c:numCache>
            </c:numRef>
          </c:cat>
          <c:val>
            <c:numRef>
              <c:f>Analysis!$D$3254:$G$3254</c:f>
              <c:numCache>
                <c:formatCode>0.0</c:formatCode>
                <c:ptCount val="4"/>
                <c:pt idx="0">
                  <c:v>0.84648453313029415</c:v>
                </c:pt>
                <c:pt idx="1">
                  <c:v>0.73898225719002864</c:v>
                </c:pt>
                <c:pt idx="2">
                  <c:v>0.46441240808168027</c:v>
                </c:pt>
                <c:pt idx="3">
                  <c:v>1.2364432790007718</c:v>
                </c:pt>
              </c:numCache>
            </c:numRef>
          </c:val>
          <c:extLst>
            <c:ext xmlns:c16="http://schemas.microsoft.com/office/drawing/2014/chart" uri="{C3380CC4-5D6E-409C-BE32-E72D297353CC}">
              <c16:uniqueId val="{00000003-FC4F-4ED4-B678-D92F032986B9}"/>
            </c:ext>
          </c:extLst>
        </c:ser>
        <c:dLbls>
          <c:showLegendKey val="0"/>
          <c:showVal val="0"/>
          <c:showCatName val="0"/>
          <c:showSerName val="0"/>
          <c:showPercent val="0"/>
          <c:showBubbleSize val="0"/>
        </c:dLbls>
        <c:gapWidth val="219"/>
        <c:overlap val="-27"/>
        <c:axId val="919385080"/>
        <c:axId val="919387704"/>
      </c:barChart>
      <c:catAx>
        <c:axId val="9193850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9387704"/>
        <c:crosses val="autoZero"/>
        <c:auto val="1"/>
        <c:lblAlgn val="ctr"/>
        <c:lblOffset val="100"/>
        <c:noMultiLvlLbl val="0"/>
      </c:catAx>
      <c:valAx>
        <c:axId val="919387704"/>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per share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9385080"/>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w="25400">
              <a:noFill/>
            </a:ln>
            <a:effectLst/>
          </c:spPr>
          <c:invertIfNegative val="0"/>
          <c:cat>
            <c:strRef>
              <c:f>Analysis!$I$3369:$I$3374</c:f>
              <c:strCache>
                <c:ptCount val="6"/>
                <c:pt idx="0">
                  <c:v>Pre-lease EBITDA</c:v>
                </c:pt>
                <c:pt idx="1">
                  <c:v>Existing leases</c:v>
                </c:pt>
                <c:pt idx="2">
                  <c:v>Tower leases</c:v>
                </c:pt>
                <c:pt idx="3">
                  <c:v>After lease EBITDA</c:v>
                </c:pt>
                <c:pt idx="4">
                  <c:v>Capex</c:v>
                </c:pt>
                <c:pt idx="5">
                  <c:v>OpFCF</c:v>
                </c:pt>
              </c:strCache>
            </c:strRef>
          </c:cat>
          <c:val>
            <c:numRef>
              <c:f>Analysis!$K$3369:$K$3374</c:f>
              <c:numCache>
                <c:formatCode>0</c:formatCode>
                <c:ptCount val="6"/>
                <c:pt idx="1">
                  <c:v>131.465873125</c:v>
                </c:pt>
                <c:pt idx="2">
                  <c:v>107.08430312500001</c:v>
                </c:pt>
                <c:pt idx="4">
                  <c:v>4.7729281250000071</c:v>
                </c:pt>
              </c:numCache>
            </c:numRef>
          </c:val>
          <c:extLst>
            <c:ext xmlns:c16="http://schemas.microsoft.com/office/drawing/2014/chart" uri="{C3380CC4-5D6E-409C-BE32-E72D297353CC}">
              <c16:uniqueId val="{00000000-CD2C-43E1-80CF-F851E0A01BDC}"/>
            </c:ext>
          </c:extLst>
        </c:ser>
        <c:ser>
          <c:idx val="1"/>
          <c:order val="1"/>
          <c:spPr>
            <a:solidFill>
              <a:srgbClr val="9999FF"/>
            </a:solidFill>
            <a:ln w="25400">
              <a:noFill/>
            </a:ln>
            <a:effectLst/>
          </c:spPr>
          <c:invertIfNegative val="0"/>
          <c:dPt>
            <c:idx val="1"/>
            <c:invertIfNegative val="0"/>
            <c:bubble3D val="0"/>
            <c:spPr>
              <a:solidFill>
                <a:srgbClr val="000080"/>
              </a:solidFill>
              <a:ln w="25400">
                <a:noFill/>
              </a:ln>
              <a:effectLst/>
            </c:spPr>
            <c:extLst>
              <c:ext xmlns:c16="http://schemas.microsoft.com/office/drawing/2014/chart" uri="{C3380CC4-5D6E-409C-BE32-E72D297353CC}">
                <c16:uniqueId val="{00000004-CD2C-43E1-80CF-F851E0A01BDC}"/>
              </c:ext>
            </c:extLst>
          </c:dPt>
          <c:dPt>
            <c:idx val="2"/>
            <c:invertIfNegative val="0"/>
            <c:bubble3D val="0"/>
            <c:spPr>
              <a:solidFill>
                <a:srgbClr val="000080"/>
              </a:solidFill>
              <a:ln w="25400">
                <a:noFill/>
              </a:ln>
              <a:effectLst/>
            </c:spPr>
            <c:extLst>
              <c:ext xmlns:c16="http://schemas.microsoft.com/office/drawing/2014/chart" uri="{C3380CC4-5D6E-409C-BE32-E72D297353CC}">
                <c16:uniqueId val="{00000005-CD2C-43E1-80CF-F851E0A01BDC}"/>
              </c:ext>
            </c:extLst>
          </c:dPt>
          <c:dPt>
            <c:idx val="4"/>
            <c:invertIfNegative val="0"/>
            <c:bubble3D val="0"/>
            <c:spPr>
              <a:solidFill>
                <a:srgbClr val="000080"/>
              </a:solidFill>
              <a:ln w="25400">
                <a:noFill/>
              </a:ln>
              <a:effectLst/>
            </c:spPr>
            <c:extLst>
              <c:ext xmlns:c16="http://schemas.microsoft.com/office/drawing/2014/chart" uri="{C3380CC4-5D6E-409C-BE32-E72D297353CC}">
                <c16:uniqueId val="{00000006-CD2C-43E1-80CF-F851E0A01BDC}"/>
              </c:ext>
            </c:extLst>
          </c:dPt>
          <c:cat>
            <c:strRef>
              <c:f>Analysis!$I$3369:$I$3374</c:f>
              <c:strCache>
                <c:ptCount val="6"/>
                <c:pt idx="0">
                  <c:v>Pre-lease EBITDA</c:v>
                </c:pt>
                <c:pt idx="1">
                  <c:v>Existing leases</c:v>
                </c:pt>
                <c:pt idx="2">
                  <c:v>Tower leases</c:v>
                </c:pt>
                <c:pt idx="3">
                  <c:v>After lease EBITDA</c:v>
                </c:pt>
                <c:pt idx="4">
                  <c:v>Capex</c:v>
                </c:pt>
                <c:pt idx="5">
                  <c:v>OpFCF</c:v>
                </c:pt>
              </c:strCache>
            </c:strRef>
          </c:cat>
          <c:val>
            <c:numRef>
              <c:f>Analysis!$L$3369:$L$3374</c:f>
              <c:numCache>
                <c:formatCode>0</c:formatCode>
                <c:ptCount val="6"/>
                <c:pt idx="0">
                  <c:v>186.9</c:v>
                </c:pt>
                <c:pt idx="1">
                  <c:v>55.434126875000004</c:v>
                </c:pt>
                <c:pt idx="2">
                  <c:v>24.38157</c:v>
                </c:pt>
                <c:pt idx="3">
                  <c:v>107.08430312500001</c:v>
                </c:pt>
                <c:pt idx="4" formatCode="#,##0">
                  <c:v>102.311375</c:v>
                </c:pt>
                <c:pt idx="5" formatCode="#,##0">
                  <c:v>4.7729281250000071</c:v>
                </c:pt>
              </c:numCache>
            </c:numRef>
          </c:val>
          <c:extLst>
            <c:ext xmlns:c16="http://schemas.microsoft.com/office/drawing/2014/chart" uri="{C3380CC4-5D6E-409C-BE32-E72D297353CC}">
              <c16:uniqueId val="{00000003-CD2C-43E1-80CF-F851E0A01BDC}"/>
            </c:ext>
          </c:extLst>
        </c:ser>
        <c:dLbls>
          <c:showLegendKey val="0"/>
          <c:showVal val="0"/>
          <c:showCatName val="0"/>
          <c:showSerName val="0"/>
          <c:showPercent val="0"/>
          <c:showBubbleSize val="0"/>
        </c:dLbls>
        <c:gapWidth val="150"/>
        <c:overlap val="100"/>
        <c:axId val="230204127"/>
        <c:axId val="230198719"/>
      </c:barChart>
      <c:catAx>
        <c:axId val="23020412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30198719"/>
        <c:crosses val="autoZero"/>
        <c:auto val="1"/>
        <c:lblAlgn val="ctr"/>
        <c:lblOffset val="100"/>
        <c:noMultiLvlLbl val="0"/>
      </c:catAx>
      <c:valAx>
        <c:axId val="230198719"/>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CLP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3020412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w="25400">
              <a:noFill/>
            </a:ln>
            <a:effectLst/>
          </c:spPr>
          <c:invertIfNegative val="0"/>
          <c:cat>
            <c:strRef>
              <c:f>Analysis!$I$3376:$I$3378</c:f>
              <c:strCache>
                <c:ptCount val="3"/>
                <c:pt idx="0">
                  <c:v>After lease EBITDA</c:v>
                </c:pt>
                <c:pt idx="1">
                  <c:v>Capex</c:v>
                </c:pt>
                <c:pt idx="2">
                  <c:v>OpFCF</c:v>
                </c:pt>
              </c:strCache>
            </c:strRef>
          </c:cat>
          <c:val>
            <c:numRef>
              <c:f>Analysis!$K$3376:$K$3378</c:f>
              <c:numCache>
                <c:formatCode>0</c:formatCode>
                <c:ptCount val="3"/>
                <c:pt idx="1">
                  <c:v>-45.91510000000001</c:v>
                </c:pt>
              </c:numCache>
            </c:numRef>
          </c:val>
          <c:extLst>
            <c:ext xmlns:c16="http://schemas.microsoft.com/office/drawing/2014/chart" uri="{C3380CC4-5D6E-409C-BE32-E72D297353CC}">
              <c16:uniqueId val="{00000000-4023-48B8-A152-7825F0650C1E}"/>
            </c:ext>
          </c:extLst>
        </c:ser>
        <c:ser>
          <c:idx val="1"/>
          <c:order val="1"/>
          <c:spPr>
            <a:solidFill>
              <a:srgbClr val="9999FF"/>
            </a:solidFill>
            <a:ln w="25400">
              <a:noFill/>
            </a:ln>
            <a:effectLst/>
          </c:spPr>
          <c:invertIfNegative val="0"/>
          <c:dPt>
            <c:idx val="1"/>
            <c:invertIfNegative val="0"/>
            <c:bubble3D val="0"/>
            <c:spPr>
              <a:solidFill>
                <a:srgbClr val="000080"/>
              </a:solidFill>
              <a:ln w="25400">
                <a:noFill/>
              </a:ln>
              <a:effectLst/>
            </c:spPr>
            <c:extLst>
              <c:ext xmlns:c16="http://schemas.microsoft.com/office/drawing/2014/chart" uri="{C3380CC4-5D6E-409C-BE32-E72D297353CC}">
                <c16:uniqueId val="{00000003-4023-48B8-A152-7825F0650C1E}"/>
              </c:ext>
            </c:extLst>
          </c:dPt>
          <c:cat>
            <c:strRef>
              <c:f>Analysis!$I$3376:$I$3378</c:f>
              <c:strCache>
                <c:ptCount val="3"/>
                <c:pt idx="0">
                  <c:v>After lease EBITDA</c:v>
                </c:pt>
                <c:pt idx="1">
                  <c:v>Capex</c:v>
                </c:pt>
                <c:pt idx="2">
                  <c:v>OpFCF</c:v>
                </c:pt>
              </c:strCache>
            </c:strRef>
          </c:cat>
          <c:val>
            <c:numRef>
              <c:f>Analysis!$L$3376:$L$3378</c:f>
              <c:numCache>
                <c:formatCode>#,##0</c:formatCode>
                <c:ptCount val="3"/>
                <c:pt idx="0">
                  <c:v>105.60000000000001</c:v>
                </c:pt>
                <c:pt idx="1">
                  <c:v>151.51510000000002</c:v>
                </c:pt>
                <c:pt idx="2">
                  <c:v>-45.91510000000001</c:v>
                </c:pt>
              </c:numCache>
            </c:numRef>
          </c:val>
          <c:extLst>
            <c:ext xmlns:c16="http://schemas.microsoft.com/office/drawing/2014/chart" uri="{C3380CC4-5D6E-409C-BE32-E72D297353CC}">
              <c16:uniqueId val="{00000001-4023-48B8-A152-7825F0650C1E}"/>
            </c:ext>
          </c:extLst>
        </c:ser>
        <c:dLbls>
          <c:showLegendKey val="0"/>
          <c:showVal val="0"/>
          <c:showCatName val="0"/>
          <c:showSerName val="0"/>
          <c:showPercent val="0"/>
          <c:showBubbleSize val="0"/>
        </c:dLbls>
        <c:gapWidth val="150"/>
        <c:overlap val="100"/>
        <c:axId val="230204127"/>
        <c:axId val="230198719"/>
      </c:barChart>
      <c:catAx>
        <c:axId val="23020412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30198719"/>
        <c:crosses val="autoZero"/>
        <c:auto val="1"/>
        <c:lblAlgn val="ctr"/>
        <c:lblOffset val="100"/>
        <c:noMultiLvlLbl val="0"/>
      </c:catAx>
      <c:valAx>
        <c:axId val="230198719"/>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CLP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3020412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Analysis!$B$3501</c:f>
              <c:strCache>
                <c:ptCount val="1"/>
                <c:pt idx="0">
                  <c:v>EFCF (NSR est)*</c:v>
                </c:pt>
              </c:strCache>
            </c:strRef>
          </c:tx>
          <c:spPr>
            <a:solidFill>
              <a:srgbClr val="000080"/>
            </a:solidFill>
            <a:ln w="25400">
              <a:noFill/>
            </a:ln>
            <a:effectLst/>
          </c:spPr>
          <c:invertIfNegative val="0"/>
          <c:cat>
            <c:numRef>
              <c:f>Analysis!$D$3500:$I$3500</c:f>
              <c:numCache>
                <c:formatCode>General</c:formatCode>
                <c:ptCount val="6"/>
                <c:pt idx="0">
                  <c:v>2020</c:v>
                </c:pt>
                <c:pt idx="1">
                  <c:v>2021</c:v>
                </c:pt>
                <c:pt idx="2">
                  <c:v>2022</c:v>
                </c:pt>
                <c:pt idx="3">
                  <c:v>2023</c:v>
                </c:pt>
                <c:pt idx="4">
                  <c:v>2024</c:v>
                </c:pt>
                <c:pt idx="5">
                  <c:v>2025</c:v>
                </c:pt>
              </c:numCache>
            </c:numRef>
          </c:cat>
          <c:val>
            <c:numRef>
              <c:f>Analysis!$D$3501:$I$3501</c:f>
              <c:numCache>
                <c:formatCode>#,##0</c:formatCode>
                <c:ptCount val="6"/>
                <c:pt idx="0">
                  <c:v>196.00200000000001</c:v>
                </c:pt>
                <c:pt idx="1">
                  <c:v>243.97968593955338</c:v>
                </c:pt>
                <c:pt idx="2">
                  <c:v>229.24999999999997</c:v>
                </c:pt>
                <c:pt idx="3">
                  <c:v>193.96999999999989</c:v>
                </c:pt>
                <c:pt idx="4">
                  <c:v>136.49958891740317</c:v>
                </c:pt>
                <c:pt idx="5">
                  <c:v>249.28592382841885</c:v>
                </c:pt>
              </c:numCache>
            </c:numRef>
          </c:val>
          <c:extLst>
            <c:ext xmlns:c16="http://schemas.microsoft.com/office/drawing/2014/chart" uri="{C3380CC4-5D6E-409C-BE32-E72D297353CC}">
              <c16:uniqueId val="{00000000-1E10-4486-B1C0-B756BB354B43}"/>
            </c:ext>
          </c:extLst>
        </c:ser>
        <c:ser>
          <c:idx val="1"/>
          <c:order val="1"/>
          <c:tx>
            <c:strRef>
              <c:f>Analysis!$B$3502</c:f>
              <c:strCache>
                <c:ptCount val="1"/>
                <c:pt idx="0">
                  <c:v>FCF (Liberty definition)</c:v>
                </c:pt>
              </c:strCache>
            </c:strRef>
          </c:tx>
          <c:spPr>
            <a:solidFill>
              <a:srgbClr val="9999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Analysis!$D$3500:$I$3500</c:f>
              <c:numCache>
                <c:formatCode>General</c:formatCode>
                <c:ptCount val="6"/>
                <c:pt idx="0">
                  <c:v>2020</c:v>
                </c:pt>
                <c:pt idx="1">
                  <c:v>2021</c:v>
                </c:pt>
                <c:pt idx="2">
                  <c:v>2022</c:v>
                </c:pt>
                <c:pt idx="3">
                  <c:v>2023</c:v>
                </c:pt>
                <c:pt idx="4">
                  <c:v>2024</c:v>
                </c:pt>
                <c:pt idx="5">
                  <c:v>2025</c:v>
                </c:pt>
              </c:numCache>
            </c:numRef>
          </c:cat>
          <c:val>
            <c:numRef>
              <c:f>Analysis!$D$3502:$I$3502</c:f>
              <c:numCache>
                <c:formatCode>#,##0</c:formatCode>
                <c:ptCount val="6"/>
                <c:pt idx="0">
                  <c:v>145.80000000000024</c:v>
                </c:pt>
                <c:pt idx="1">
                  <c:v>199.80000000000007</c:v>
                </c:pt>
                <c:pt idx="2">
                  <c:v>187.70000000000016</c:v>
                </c:pt>
                <c:pt idx="3">
                  <c:v>197</c:v>
                </c:pt>
                <c:pt idx="4">
                  <c:v>16.464687652834982</c:v>
                </c:pt>
                <c:pt idx="5">
                  <c:v>379.06196940320535</c:v>
                </c:pt>
              </c:numCache>
            </c:numRef>
          </c:val>
          <c:extLst>
            <c:ext xmlns:c16="http://schemas.microsoft.com/office/drawing/2014/chart" uri="{C3380CC4-5D6E-409C-BE32-E72D297353CC}">
              <c16:uniqueId val="{00000001-1E10-4486-B1C0-B756BB354B43}"/>
            </c:ext>
          </c:extLst>
        </c:ser>
        <c:dLbls>
          <c:showLegendKey val="0"/>
          <c:showVal val="0"/>
          <c:showCatName val="0"/>
          <c:showSerName val="0"/>
          <c:showPercent val="0"/>
          <c:showBubbleSize val="0"/>
        </c:dLbls>
        <c:gapWidth val="219"/>
        <c:overlap val="-27"/>
        <c:axId val="1970518927"/>
        <c:axId val="1970523087"/>
      </c:barChart>
      <c:catAx>
        <c:axId val="197051892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970523087"/>
        <c:crosses val="autoZero"/>
        <c:auto val="1"/>
        <c:lblAlgn val="ctr"/>
        <c:lblOffset val="100"/>
        <c:noMultiLvlLbl val="0"/>
      </c:catAx>
      <c:valAx>
        <c:axId val="1970523087"/>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97051892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Analysis!$B$3506</c:f>
              <c:strCache>
                <c:ptCount val="1"/>
                <c:pt idx="0">
                  <c:v>YTD through to FY 21 results </c:v>
                </c:pt>
              </c:strCache>
            </c:strRef>
          </c:tx>
          <c:spPr>
            <a:solidFill>
              <a:srgbClr val="000080"/>
            </a:solidFill>
            <a:ln w="25400">
              <a:noFill/>
            </a:ln>
            <a:effectLst/>
          </c:spPr>
          <c:invertIfNegative val="0"/>
          <c:cat>
            <c:numRef>
              <c:f>Analysis!$E$3504:$I$3504</c:f>
              <c:numCache>
                <c:formatCode>General</c:formatCode>
                <c:ptCount val="5"/>
                <c:pt idx="0">
                  <c:v>2021</c:v>
                </c:pt>
                <c:pt idx="1">
                  <c:v>2022</c:v>
                </c:pt>
                <c:pt idx="2">
                  <c:v>2023</c:v>
                </c:pt>
                <c:pt idx="3">
                  <c:v>2024</c:v>
                </c:pt>
                <c:pt idx="4">
                  <c:v>2025</c:v>
                </c:pt>
              </c:numCache>
            </c:numRef>
          </c:cat>
          <c:val>
            <c:numRef>
              <c:f>Analysis!$E$3506:$I$3506</c:f>
              <c:numCache>
                <c:formatCode>General</c:formatCode>
                <c:ptCount val="5"/>
                <c:pt idx="0">
                  <c:v>0</c:v>
                </c:pt>
                <c:pt idx="1">
                  <c:v>26</c:v>
                </c:pt>
                <c:pt idx="2">
                  <c:v>0</c:v>
                </c:pt>
                <c:pt idx="3">
                  <c:v>0</c:v>
                </c:pt>
                <c:pt idx="4">
                  <c:v>0</c:v>
                </c:pt>
              </c:numCache>
            </c:numRef>
          </c:val>
          <c:extLst>
            <c:ext xmlns:c16="http://schemas.microsoft.com/office/drawing/2014/chart" uri="{C3380CC4-5D6E-409C-BE32-E72D297353CC}">
              <c16:uniqueId val="{00000000-7986-4A34-9BEE-A2D13D26093D}"/>
            </c:ext>
          </c:extLst>
        </c:ser>
        <c:ser>
          <c:idx val="1"/>
          <c:order val="1"/>
          <c:tx>
            <c:strRef>
              <c:f>Analysis!$B$3507</c:f>
              <c:strCache>
                <c:ptCount val="1"/>
                <c:pt idx="0">
                  <c:v>Total buy back</c:v>
                </c:pt>
              </c:strCache>
            </c:strRef>
          </c:tx>
          <c:spPr>
            <a:solidFill>
              <a:srgbClr val="9999FF"/>
            </a:solidFill>
            <a:ln w="25400">
              <a:noFill/>
            </a:ln>
            <a:effectLst/>
          </c:spPr>
          <c:invertIfNegative val="0"/>
          <c:cat>
            <c:numRef>
              <c:f>Analysis!$E$3504:$I$3504</c:f>
              <c:numCache>
                <c:formatCode>General</c:formatCode>
                <c:ptCount val="5"/>
                <c:pt idx="0">
                  <c:v>2021</c:v>
                </c:pt>
                <c:pt idx="1">
                  <c:v>2022</c:v>
                </c:pt>
                <c:pt idx="2">
                  <c:v>2023</c:v>
                </c:pt>
                <c:pt idx="3">
                  <c:v>2024</c:v>
                </c:pt>
                <c:pt idx="4">
                  <c:v>2025</c:v>
                </c:pt>
              </c:numCache>
            </c:numRef>
          </c:cat>
          <c:val>
            <c:numRef>
              <c:f>Analysis!$E$3507:$I$3507</c:f>
              <c:numCache>
                <c:formatCode>0</c:formatCode>
                <c:ptCount val="5"/>
                <c:pt idx="0">
                  <c:v>65</c:v>
                </c:pt>
                <c:pt idx="1">
                  <c:v>157.35</c:v>
                </c:pt>
                <c:pt idx="2">
                  <c:v>100.10000000000001</c:v>
                </c:pt>
                <c:pt idx="3">
                  <c:v>150</c:v>
                </c:pt>
                <c:pt idx="4">
                  <c:v>135</c:v>
                </c:pt>
              </c:numCache>
            </c:numRef>
          </c:val>
          <c:extLst>
            <c:ext xmlns:c16="http://schemas.microsoft.com/office/drawing/2014/chart" uri="{C3380CC4-5D6E-409C-BE32-E72D297353CC}">
              <c16:uniqueId val="{00000001-7986-4A34-9BEE-A2D13D26093D}"/>
            </c:ext>
          </c:extLst>
        </c:ser>
        <c:dLbls>
          <c:showLegendKey val="0"/>
          <c:showVal val="0"/>
          <c:showCatName val="0"/>
          <c:showSerName val="0"/>
          <c:showPercent val="0"/>
          <c:showBubbleSize val="0"/>
        </c:dLbls>
        <c:gapWidth val="150"/>
        <c:overlap val="100"/>
        <c:axId val="2036687039"/>
        <c:axId val="2036692863"/>
      </c:barChart>
      <c:catAx>
        <c:axId val="203668703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36692863"/>
        <c:crosses val="autoZero"/>
        <c:auto val="1"/>
        <c:lblAlgn val="ctr"/>
        <c:lblOffset val="100"/>
        <c:noMultiLvlLbl val="0"/>
      </c:catAx>
      <c:valAx>
        <c:axId val="2036692863"/>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3668703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Analysis!$B$3530</c:f>
              <c:strCache>
                <c:ptCount val="1"/>
                <c:pt idx="0">
                  <c:v>FCF per share</c:v>
                </c:pt>
              </c:strCache>
            </c:strRef>
          </c:tx>
          <c:spPr>
            <a:solidFill>
              <a:srgbClr val="000080"/>
            </a:solidFill>
            <a:ln w="25400">
              <a:noFill/>
            </a:ln>
            <a:effectLst/>
          </c:spPr>
          <c:invertIfNegative val="0"/>
          <c:cat>
            <c:numRef>
              <c:f>Analysis!$E$3529:$I$3529</c:f>
              <c:numCache>
                <c:formatCode>General</c:formatCode>
                <c:ptCount val="5"/>
                <c:pt idx="0">
                  <c:v>2021</c:v>
                </c:pt>
                <c:pt idx="1">
                  <c:v>2022</c:v>
                </c:pt>
                <c:pt idx="2">
                  <c:v>2023</c:v>
                </c:pt>
                <c:pt idx="3">
                  <c:v>2024</c:v>
                </c:pt>
                <c:pt idx="4">
                  <c:v>2025</c:v>
                </c:pt>
              </c:numCache>
            </c:numRef>
          </c:cat>
          <c:val>
            <c:numRef>
              <c:f>Analysis!$E$3530:$I$3530</c:f>
              <c:numCache>
                <c:formatCode>0.0</c:formatCode>
                <c:ptCount val="5"/>
                <c:pt idx="0">
                  <c:v>0.86971662386279569</c:v>
                </c:pt>
                <c:pt idx="1">
                  <c:v>0.87099767981438592</c:v>
                </c:pt>
                <c:pt idx="2">
                  <c:v>0.96238397655105035</c:v>
                </c:pt>
                <c:pt idx="3">
                  <c:v>8.9142867638521833E-2</c:v>
                </c:pt>
                <c:pt idx="4">
                  <c:v>2.233718146159136</c:v>
                </c:pt>
              </c:numCache>
            </c:numRef>
          </c:val>
          <c:extLst>
            <c:ext xmlns:c16="http://schemas.microsoft.com/office/drawing/2014/chart" uri="{C3380CC4-5D6E-409C-BE32-E72D297353CC}">
              <c16:uniqueId val="{00000000-981F-401D-9F92-9C9B77F02782}"/>
            </c:ext>
          </c:extLst>
        </c:ser>
        <c:dLbls>
          <c:showLegendKey val="0"/>
          <c:showVal val="0"/>
          <c:showCatName val="0"/>
          <c:showSerName val="0"/>
          <c:showPercent val="0"/>
          <c:showBubbleSize val="0"/>
        </c:dLbls>
        <c:gapWidth val="219"/>
        <c:axId val="2033009695"/>
        <c:axId val="2033013439"/>
      </c:barChart>
      <c:lineChart>
        <c:grouping val="standard"/>
        <c:varyColors val="0"/>
        <c:ser>
          <c:idx val="1"/>
          <c:order val="1"/>
          <c:tx>
            <c:strRef>
              <c:f>Analysis!$B$3531</c:f>
              <c:strCache>
                <c:ptCount val="1"/>
                <c:pt idx="0">
                  <c:v>FCF yield</c:v>
                </c:pt>
              </c:strCache>
            </c:strRef>
          </c:tx>
          <c:spPr>
            <a:ln w="28575" cap="rnd">
              <a:solidFill>
                <a:schemeClr val="tx2">
                  <a:lumMod val="60000"/>
                  <a:lumOff val="40000"/>
                </a:schemeClr>
              </a:solidFill>
              <a:round/>
            </a:ln>
            <a:effectLst/>
          </c:spPr>
          <c:marker>
            <c:symbol val="circle"/>
            <c:size val="7"/>
            <c:spPr>
              <a:solidFill>
                <a:schemeClr val="tx2">
                  <a:lumMod val="60000"/>
                  <a:lumOff val="40000"/>
                </a:schemeClr>
              </a:solidFill>
              <a:ln w="9525">
                <a:solidFill>
                  <a:schemeClr val="tx2">
                    <a:lumMod val="60000"/>
                    <a:lumOff val="40000"/>
                  </a:schemeClr>
                </a:solidFill>
              </a:ln>
              <a:effectLst/>
            </c:spPr>
          </c:marker>
          <c:cat>
            <c:numRef>
              <c:f>Analysis!$E$3529:$I$3529</c:f>
              <c:numCache>
                <c:formatCode>General</c:formatCode>
                <c:ptCount val="5"/>
                <c:pt idx="0">
                  <c:v>2021</c:v>
                </c:pt>
                <c:pt idx="1">
                  <c:v>2022</c:v>
                </c:pt>
                <c:pt idx="2">
                  <c:v>2023</c:v>
                </c:pt>
                <c:pt idx="3">
                  <c:v>2024</c:v>
                </c:pt>
                <c:pt idx="4">
                  <c:v>2025</c:v>
                </c:pt>
              </c:numCache>
            </c:numRef>
          </c:cat>
          <c:val>
            <c:numRef>
              <c:f>Analysis!$E$3531:$I$3531</c:f>
              <c:numCache>
                <c:formatCode>0%</c:formatCode>
                <c:ptCount val="5"/>
                <c:pt idx="0">
                  <c:v>0.12789950350923465</c:v>
                </c:pt>
                <c:pt idx="1">
                  <c:v>0.12808789409035087</c:v>
                </c:pt>
                <c:pt idx="2">
                  <c:v>0.14152705537515448</c:v>
                </c:pt>
                <c:pt idx="3">
                  <c:v>1.3109245240959093E-2</c:v>
                </c:pt>
                <c:pt idx="4">
                  <c:v>0.32848796267046121</c:v>
                </c:pt>
              </c:numCache>
            </c:numRef>
          </c:val>
          <c:smooth val="0"/>
          <c:extLst>
            <c:ext xmlns:c16="http://schemas.microsoft.com/office/drawing/2014/chart" uri="{C3380CC4-5D6E-409C-BE32-E72D297353CC}">
              <c16:uniqueId val="{00000001-981F-401D-9F92-9C9B77F02782}"/>
            </c:ext>
          </c:extLst>
        </c:ser>
        <c:dLbls>
          <c:showLegendKey val="0"/>
          <c:showVal val="0"/>
          <c:showCatName val="0"/>
          <c:showSerName val="0"/>
          <c:showPercent val="0"/>
          <c:showBubbleSize val="0"/>
        </c:dLbls>
        <c:marker val="1"/>
        <c:smooth val="0"/>
        <c:axId val="2033023007"/>
        <c:axId val="2033020095"/>
      </c:lineChart>
      <c:catAx>
        <c:axId val="2033009695"/>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33013439"/>
        <c:crosses val="autoZero"/>
        <c:auto val="1"/>
        <c:lblAlgn val="ctr"/>
        <c:lblOffset val="100"/>
        <c:noMultiLvlLbl val="0"/>
      </c:catAx>
      <c:valAx>
        <c:axId val="2033013439"/>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GB"/>
                  <a:t>USD per share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33009695"/>
        <c:crosses val="autoZero"/>
        <c:crossBetween val="between"/>
      </c:valAx>
      <c:valAx>
        <c:axId val="2033020095"/>
        <c:scaling>
          <c:orientation val="minMax"/>
        </c:scaling>
        <c:delete val="0"/>
        <c:axPos val="r"/>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033023007"/>
        <c:crosses val="max"/>
        <c:crossBetween val="between"/>
      </c:valAx>
      <c:catAx>
        <c:axId val="2033023007"/>
        <c:scaling>
          <c:orientation val="minMax"/>
        </c:scaling>
        <c:delete val="1"/>
        <c:axPos val="b"/>
        <c:numFmt formatCode="General" sourceLinked="1"/>
        <c:majorTickMark val="out"/>
        <c:minorTickMark val="none"/>
        <c:tickLblPos val="nextTo"/>
        <c:crossAx val="2033020095"/>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numRef>
              <c:f>Analysis!$C$3597:$C$3601</c:f>
              <c:numCache>
                <c:formatCode>0%</c:formatCode>
                <c:ptCount val="5"/>
                <c:pt idx="0">
                  <c:v>0.1</c:v>
                </c:pt>
                <c:pt idx="1">
                  <c:v>0.15000000000000002</c:v>
                </c:pt>
                <c:pt idx="2">
                  <c:v>0.2</c:v>
                </c:pt>
                <c:pt idx="3">
                  <c:v>0.25</c:v>
                </c:pt>
                <c:pt idx="4">
                  <c:v>0.3</c:v>
                </c:pt>
              </c:numCache>
            </c:numRef>
          </c:cat>
          <c:val>
            <c:numRef>
              <c:f>Analysis!$D$3597:$D$3601</c:f>
              <c:numCache>
                <c:formatCode>0%</c:formatCode>
                <c:ptCount val="5"/>
                <c:pt idx="0">
                  <c:v>-0.23</c:v>
                </c:pt>
                <c:pt idx="1">
                  <c:v>-0.06</c:v>
                </c:pt>
                <c:pt idx="2">
                  <c:v>0.08</c:v>
                </c:pt>
                <c:pt idx="3">
                  <c:v>0.22</c:v>
                </c:pt>
                <c:pt idx="4">
                  <c:v>0.34</c:v>
                </c:pt>
              </c:numCache>
            </c:numRef>
          </c:val>
          <c:extLst>
            <c:ext xmlns:c16="http://schemas.microsoft.com/office/drawing/2014/chart" uri="{C3380CC4-5D6E-409C-BE32-E72D297353CC}">
              <c16:uniqueId val="{00000000-4685-452C-8C93-17C4E9CC6F35}"/>
            </c:ext>
          </c:extLst>
        </c:ser>
        <c:dLbls>
          <c:showLegendKey val="0"/>
          <c:showVal val="0"/>
          <c:showCatName val="0"/>
          <c:showSerName val="0"/>
          <c:showPercent val="0"/>
          <c:showBubbleSize val="0"/>
        </c:dLbls>
        <c:gapWidth val="219"/>
        <c:overlap val="-27"/>
        <c:axId val="511715168"/>
        <c:axId val="511711424"/>
      </c:barChart>
      <c:catAx>
        <c:axId val="511715168"/>
        <c:scaling>
          <c:orientation val="minMax"/>
        </c:scaling>
        <c:delete val="0"/>
        <c:axPos val="b"/>
        <c:numFmt formatCode="0%"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11711424"/>
        <c:crosses val="autoZero"/>
        <c:auto val="1"/>
        <c:lblAlgn val="ctr"/>
        <c:lblOffset val="100"/>
        <c:noMultiLvlLbl val="0"/>
      </c:catAx>
      <c:valAx>
        <c:axId val="51171142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51171516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Analysis!$B$3626</c:f>
              <c:strCache>
                <c:ptCount val="1"/>
                <c:pt idx="0">
                  <c:v>Service revenue</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Analysis!$C$3625:$L$3625</c:f>
              <c:strCache>
                <c:ptCount val="10"/>
                <c:pt idx="0">
                  <c:v>Q1 20</c:v>
                </c:pt>
                <c:pt idx="1">
                  <c:v>Q2 20</c:v>
                </c:pt>
                <c:pt idx="2">
                  <c:v>Q3 20</c:v>
                </c:pt>
                <c:pt idx="3">
                  <c:v>Q4 20</c:v>
                </c:pt>
                <c:pt idx="4">
                  <c:v>Q1 21</c:v>
                </c:pt>
                <c:pt idx="5">
                  <c:v>Q2 21</c:v>
                </c:pt>
                <c:pt idx="6">
                  <c:v>Q3 21</c:v>
                </c:pt>
                <c:pt idx="7">
                  <c:v>Q4 21</c:v>
                </c:pt>
                <c:pt idx="8">
                  <c:v>Q1 22</c:v>
                </c:pt>
                <c:pt idx="9">
                  <c:v>Q2 22</c:v>
                </c:pt>
              </c:strCache>
            </c:strRef>
          </c:cat>
          <c:val>
            <c:numRef>
              <c:f>Analysis!$C$3626:$L$3626</c:f>
              <c:numCache>
                <c:formatCode>0%</c:formatCode>
                <c:ptCount val="10"/>
                <c:pt idx="0">
                  <c:v>1.9328644066248124E-2</c:v>
                </c:pt>
                <c:pt idx="1">
                  <c:v>-3.854665812484559E-2</c:v>
                </c:pt>
                <c:pt idx="2">
                  <c:v>-5.1701521850577969E-2</c:v>
                </c:pt>
                <c:pt idx="3">
                  <c:v>-5.0541516245487195E-2</c:v>
                </c:pt>
                <c:pt idx="4">
                  <c:v>-8.1472540736270416E-2</c:v>
                </c:pt>
                <c:pt idx="5">
                  <c:v>-5.4820415879016982E-2</c:v>
                </c:pt>
                <c:pt idx="6">
                  <c:v>-5.3934010152284273E-2</c:v>
                </c:pt>
                <c:pt idx="7">
                  <c:v>-8.3906210392902358E-2</c:v>
                </c:pt>
                <c:pt idx="8">
                  <c:v>-9.3067044595926074E-2</c:v>
                </c:pt>
                <c:pt idx="9">
                  <c:v>-0.15531246153846134</c:v>
                </c:pt>
              </c:numCache>
            </c:numRef>
          </c:val>
          <c:extLst>
            <c:ext xmlns:c16="http://schemas.microsoft.com/office/drawing/2014/chart" uri="{C3380CC4-5D6E-409C-BE32-E72D297353CC}">
              <c16:uniqueId val="{00000000-37F4-4C77-965C-762AAC1D6792}"/>
            </c:ext>
          </c:extLst>
        </c:ser>
        <c:ser>
          <c:idx val="1"/>
          <c:order val="1"/>
          <c:tx>
            <c:strRef>
              <c:f>Analysis!$B$3627</c:f>
              <c:strCache>
                <c:ptCount val="1"/>
                <c:pt idx="0">
                  <c:v>EBITDA</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Analysis!$C$3625:$L$3625</c:f>
              <c:strCache>
                <c:ptCount val="10"/>
                <c:pt idx="0">
                  <c:v>Q1 20</c:v>
                </c:pt>
                <c:pt idx="1">
                  <c:v>Q2 20</c:v>
                </c:pt>
                <c:pt idx="2">
                  <c:v>Q3 20</c:v>
                </c:pt>
                <c:pt idx="3">
                  <c:v>Q4 20</c:v>
                </c:pt>
                <c:pt idx="4">
                  <c:v>Q1 21</c:v>
                </c:pt>
                <c:pt idx="5">
                  <c:v>Q2 21</c:v>
                </c:pt>
                <c:pt idx="6">
                  <c:v>Q3 21</c:v>
                </c:pt>
                <c:pt idx="7">
                  <c:v>Q4 21</c:v>
                </c:pt>
                <c:pt idx="8">
                  <c:v>Q1 22</c:v>
                </c:pt>
                <c:pt idx="9">
                  <c:v>Q2 22</c:v>
                </c:pt>
              </c:strCache>
            </c:strRef>
          </c:cat>
          <c:val>
            <c:numRef>
              <c:f>Analysis!$C$3627:$L$3627</c:f>
              <c:numCache>
                <c:formatCode>0%</c:formatCode>
                <c:ptCount val="10"/>
                <c:pt idx="0">
                  <c:v>1.177164169324918E-2</c:v>
                </c:pt>
                <c:pt idx="1">
                  <c:v>-0.12185955553732264</c:v>
                </c:pt>
                <c:pt idx="2">
                  <c:v>-8.4882013556204838E-2</c:v>
                </c:pt>
                <c:pt idx="3">
                  <c:v>-0.1734693877551019</c:v>
                </c:pt>
                <c:pt idx="4">
                  <c:v>-0.20592823712948516</c:v>
                </c:pt>
                <c:pt idx="5">
                  <c:v>-0.17940199335548179</c:v>
                </c:pt>
                <c:pt idx="6">
                  <c:v>-0.18476499189627238</c:v>
                </c:pt>
                <c:pt idx="7">
                  <c:v>-0.19341975308641979</c:v>
                </c:pt>
                <c:pt idx="8">
                  <c:v>-0.26169273851915509</c:v>
                </c:pt>
                <c:pt idx="9">
                  <c:v>-0.35195024883213943</c:v>
                </c:pt>
              </c:numCache>
            </c:numRef>
          </c:val>
          <c:extLst>
            <c:ext xmlns:c16="http://schemas.microsoft.com/office/drawing/2014/chart" uri="{C3380CC4-5D6E-409C-BE32-E72D297353CC}">
              <c16:uniqueId val="{00000001-37F4-4C77-965C-762AAC1D6792}"/>
            </c:ext>
          </c:extLst>
        </c:ser>
        <c:dLbls>
          <c:showLegendKey val="0"/>
          <c:showVal val="0"/>
          <c:showCatName val="0"/>
          <c:showSerName val="0"/>
          <c:showPercent val="0"/>
          <c:showBubbleSize val="0"/>
        </c:dLbls>
        <c:gapWidth val="30"/>
        <c:overlap val="-27"/>
        <c:axId val="180604784"/>
        <c:axId val="180605200"/>
      </c:barChart>
      <c:catAx>
        <c:axId val="180604784"/>
        <c:scaling>
          <c:orientation val="minMax"/>
        </c:scaling>
        <c:delete val="0"/>
        <c:axPos val="b"/>
        <c:numFmt formatCode="General" sourceLinked="1"/>
        <c:majorTickMark val="out"/>
        <c:minorTickMark val="none"/>
        <c:tickLblPos val="high"/>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0605200"/>
        <c:crosses val="autoZero"/>
        <c:auto val="1"/>
        <c:lblAlgn val="ctr"/>
        <c:lblOffset val="100"/>
        <c:noMultiLvlLbl val="0"/>
      </c:catAx>
      <c:valAx>
        <c:axId val="180605200"/>
        <c:scaling>
          <c:orientation val="minMax"/>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060478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Analysis!$B$3631</c:f>
              <c:strCache>
                <c:ptCount val="1"/>
                <c:pt idx="0">
                  <c:v>Service revenue</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Analysis!$C$3625:$L$3625</c:f>
              <c:strCache>
                <c:ptCount val="10"/>
                <c:pt idx="0">
                  <c:v>Q1 20</c:v>
                </c:pt>
                <c:pt idx="1">
                  <c:v>Q2 20</c:v>
                </c:pt>
                <c:pt idx="2">
                  <c:v>Q3 20</c:v>
                </c:pt>
                <c:pt idx="3">
                  <c:v>Q4 20</c:v>
                </c:pt>
                <c:pt idx="4">
                  <c:v>Q1 21</c:v>
                </c:pt>
                <c:pt idx="5">
                  <c:v>Q2 21</c:v>
                </c:pt>
                <c:pt idx="6">
                  <c:v>Q3 21</c:v>
                </c:pt>
                <c:pt idx="7">
                  <c:v>Q4 21</c:v>
                </c:pt>
                <c:pt idx="8">
                  <c:v>Q1 22</c:v>
                </c:pt>
                <c:pt idx="9">
                  <c:v>Q2 22</c:v>
                </c:pt>
              </c:strCache>
            </c:strRef>
          </c:cat>
          <c:val>
            <c:numRef>
              <c:f>Analysis!$C$3631:$L$3631</c:f>
              <c:numCache>
                <c:formatCode>0%</c:formatCode>
                <c:ptCount val="10"/>
                <c:pt idx="0">
                  <c:v>-1.1368313064016866E-2</c:v>
                </c:pt>
                <c:pt idx="1">
                  <c:v>-6.9643182178485197E-2</c:v>
                </c:pt>
                <c:pt idx="2">
                  <c:v>-7.1584072660876852E-2</c:v>
                </c:pt>
                <c:pt idx="3">
                  <c:v>-5.6716939381587395E-2</c:v>
                </c:pt>
                <c:pt idx="4">
                  <c:v>-1.6596984669960735E-2</c:v>
                </c:pt>
                <c:pt idx="5">
                  <c:v>2.3016724518775566E-2</c:v>
                </c:pt>
                <c:pt idx="6">
                  <c:v>1.5058873956783847E-2</c:v>
                </c:pt>
                <c:pt idx="7">
                  <c:v>-2.621766775726897E-2</c:v>
                </c:pt>
                <c:pt idx="8">
                  <c:v>-5.5901154587060242E-2</c:v>
                </c:pt>
                <c:pt idx="9">
                  <c:v>-7.7404270282608545E-2</c:v>
                </c:pt>
              </c:numCache>
            </c:numRef>
          </c:val>
          <c:extLst>
            <c:ext xmlns:c16="http://schemas.microsoft.com/office/drawing/2014/chart" uri="{C3380CC4-5D6E-409C-BE32-E72D297353CC}">
              <c16:uniqueId val="{00000000-3CCD-4742-A6A7-FAA59DA877E2}"/>
            </c:ext>
          </c:extLst>
        </c:ser>
        <c:ser>
          <c:idx val="1"/>
          <c:order val="1"/>
          <c:tx>
            <c:strRef>
              <c:f>Analysis!$B$3632</c:f>
              <c:strCache>
                <c:ptCount val="1"/>
                <c:pt idx="0">
                  <c:v>EBITDA</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Analysis!$C$3625:$L$3625</c:f>
              <c:strCache>
                <c:ptCount val="10"/>
                <c:pt idx="0">
                  <c:v>Q1 20</c:v>
                </c:pt>
                <c:pt idx="1">
                  <c:v>Q2 20</c:v>
                </c:pt>
                <c:pt idx="2">
                  <c:v>Q3 20</c:v>
                </c:pt>
                <c:pt idx="3">
                  <c:v>Q4 20</c:v>
                </c:pt>
                <c:pt idx="4">
                  <c:v>Q1 21</c:v>
                </c:pt>
                <c:pt idx="5">
                  <c:v>Q2 21</c:v>
                </c:pt>
                <c:pt idx="6">
                  <c:v>Q3 21</c:v>
                </c:pt>
                <c:pt idx="7">
                  <c:v>Q4 21</c:v>
                </c:pt>
                <c:pt idx="8">
                  <c:v>Q1 22</c:v>
                </c:pt>
                <c:pt idx="9">
                  <c:v>Q2 22</c:v>
                </c:pt>
              </c:strCache>
            </c:strRef>
          </c:cat>
          <c:val>
            <c:numRef>
              <c:f>Analysis!$C$3632:$L$3632</c:f>
              <c:numCache>
                <c:formatCode>0%</c:formatCode>
                <c:ptCount val="10"/>
                <c:pt idx="0">
                  <c:v>-1.3472393208056044E-3</c:v>
                </c:pt>
                <c:pt idx="1">
                  <c:v>-6.0534138856923714E-2</c:v>
                </c:pt>
                <c:pt idx="2">
                  <c:v>-0.13743399761539776</c:v>
                </c:pt>
                <c:pt idx="3">
                  <c:v>-0.23794420571584474</c:v>
                </c:pt>
                <c:pt idx="4">
                  <c:v>3.5703486614099944E-2</c:v>
                </c:pt>
                <c:pt idx="5">
                  <c:v>5.3078827162069686E-3</c:v>
                </c:pt>
                <c:pt idx="6">
                  <c:v>-6.1733270801964779E-2</c:v>
                </c:pt>
                <c:pt idx="7">
                  <c:v>-0.14786305661221755</c:v>
                </c:pt>
                <c:pt idx="8">
                  <c:v>-0.1913627380524614</c:v>
                </c:pt>
                <c:pt idx="9">
                  <c:v>-0.17405762152557436</c:v>
                </c:pt>
              </c:numCache>
            </c:numRef>
          </c:val>
          <c:extLst>
            <c:ext xmlns:c16="http://schemas.microsoft.com/office/drawing/2014/chart" uri="{C3380CC4-5D6E-409C-BE32-E72D297353CC}">
              <c16:uniqueId val="{00000001-3CCD-4742-A6A7-FAA59DA877E2}"/>
            </c:ext>
          </c:extLst>
        </c:ser>
        <c:dLbls>
          <c:showLegendKey val="0"/>
          <c:showVal val="0"/>
          <c:showCatName val="0"/>
          <c:showSerName val="0"/>
          <c:showPercent val="0"/>
          <c:showBubbleSize val="0"/>
        </c:dLbls>
        <c:gapWidth val="30"/>
        <c:overlap val="-27"/>
        <c:axId val="180604784"/>
        <c:axId val="180605200"/>
      </c:barChart>
      <c:catAx>
        <c:axId val="180604784"/>
        <c:scaling>
          <c:orientation val="minMax"/>
        </c:scaling>
        <c:delete val="0"/>
        <c:axPos val="b"/>
        <c:numFmt formatCode="General" sourceLinked="1"/>
        <c:majorTickMark val="out"/>
        <c:minorTickMark val="none"/>
        <c:tickLblPos val="high"/>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0605200"/>
        <c:crosses val="autoZero"/>
        <c:auto val="1"/>
        <c:lblAlgn val="ctr"/>
        <c:lblOffset val="100"/>
        <c:noMultiLvlLbl val="0"/>
      </c:catAx>
      <c:valAx>
        <c:axId val="180605200"/>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060478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Analysis!$B$3670</c:f>
              <c:strCache>
                <c:ptCount val="1"/>
                <c:pt idx="0">
                  <c:v> FCF from deals (synergies less integration)</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Analysis!$D$3651:$H$3651</c:f>
              <c:numCache>
                <c:formatCode>General</c:formatCode>
                <c:ptCount val="5"/>
                <c:pt idx="0">
                  <c:v>2021</c:v>
                </c:pt>
                <c:pt idx="1">
                  <c:v>2022</c:v>
                </c:pt>
                <c:pt idx="2">
                  <c:v>2023</c:v>
                </c:pt>
                <c:pt idx="3">
                  <c:v>2024</c:v>
                </c:pt>
                <c:pt idx="4">
                  <c:v>2025</c:v>
                </c:pt>
              </c:numCache>
            </c:numRef>
          </c:cat>
          <c:val>
            <c:numRef>
              <c:f>Analysis!$D$3670:$H$3670</c:f>
              <c:numCache>
                <c:formatCode>0</c:formatCode>
                <c:ptCount val="5"/>
                <c:pt idx="0">
                  <c:v>-10.576999999999998</c:v>
                </c:pt>
                <c:pt idx="1">
                  <c:v>-7.4991000000000021</c:v>
                </c:pt>
                <c:pt idx="2">
                  <c:v>11.7103</c:v>
                </c:pt>
                <c:pt idx="3">
                  <c:v>60.540900000000001</c:v>
                </c:pt>
                <c:pt idx="4">
                  <c:v>51.099999999999994</c:v>
                </c:pt>
              </c:numCache>
            </c:numRef>
          </c:val>
          <c:extLst>
            <c:ext xmlns:c16="http://schemas.microsoft.com/office/drawing/2014/chart" uri="{C3380CC4-5D6E-409C-BE32-E72D297353CC}">
              <c16:uniqueId val="{00000000-2B36-41D2-A949-FB82D05282E7}"/>
            </c:ext>
          </c:extLst>
        </c:ser>
        <c:ser>
          <c:idx val="1"/>
          <c:order val="1"/>
          <c:tx>
            <c:strRef>
              <c:f>Analysis!$B$3671</c:f>
              <c:strCache>
                <c:ptCount val="1"/>
                <c:pt idx="0">
                  <c:v> Underlying</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Analysis!$D$3651:$H$3651</c:f>
              <c:numCache>
                <c:formatCode>General</c:formatCode>
                <c:ptCount val="5"/>
                <c:pt idx="0">
                  <c:v>2021</c:v>
                </c:pt>
                <c:pt idx="1">
                  <c:v>2022</c:v>
                </c:pt>
                <c:pt idx="2">
                  <c:v>2023</c:v>
                </c:pt>
                <c:pt idx="3">
                  <c:v>2024</c:v>
                </c:pt>
                <c:pt idx="4">
                  <c:v>2025</c:v>
                </c:pt>
              </c:numCache>
            </c:numRef>
          </c:cat>
          <c:val>
            <c:numRef>
              <c:f>Analysis!$D$3671:$H$3671</c:f>
              <c:numCache>
                <c:formatCode>#,##0</c:formatCode>
                <c:ptCount val="5"/>
                <c:pt idx="0">
                  <c:v>64.576999999999828</c:v>
                </c:pt>
                <c:pt idx="1">
                  <c:v>-4.600899999999907</c:v>
                </c:pt>
                <c:pt idx="2">
                  <c:v>-2.4103000000001593</c:v>
                </c:pt>
                <c:pt idx="3">
                  <c:v>-241.07621234716501</c:v>
                </c:pt>
                <c:pt idx="4">
                  <c:v>311.49728175037035</c:v>
                </c:pt>
              </c:numCache>
            </c:numRef>
          </c:val>
          <c:extLst>
            <c:ext xmlns:c16="http://schemas.microsoft.com/office/drawing/2014/chart" uri="{C3380CC4-5D6E-409C-BE32-E72D297353CC}">
              <c16:uniqueId val="{00000001-2B36-41D2-A949-FB82D05282E7}"/>
            </c:ext>
          </c:extLst>
        </c:ser>
        <c:dLbls>
          <c:showLegendKey val="0"/>
          <c:showVal val="0"/>
          <c:showCatName val="0"/>
          <c:showSerName val="0"/>
          <c:showPercent val="0"/>
          <c:showBubbleSize val="0"/>
        </c:dLbls>
        <c:gapWidth val="30"/>
        <c:overlap val="100"/>
        <c:axId val="1543991311"/>
        <c:axId val="1543972175"/>
      </c:barChart>
      <c:catAx>
        <c:axId val="1543991311"/>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43972175"/>
        <c:crosses val="autoZero"/>
        <c:auto val="1"/>
        <c:lblAlgn val="ctr"/>
        <c:lblOffset val="100"/>
        <c:noMultiLvlLbl val="0"/>
      </c:catAx>
      <c:valAx>
        <c:axId val="1543972175"/>
        <c:scaling>
          <c:orientation val="minMax"/>
        </c:scaling>
        <c:delete val="1"/>
        <c:axPos val="l"/>
        <c:numFmt formatCode="0" sourceLinked="1"/>
        <c:majorTickMark val="out"/>
        <c:minorTickMark val="none"/>
        <c:tickLblPos val="nextTo"/>
        <c:crossAx val="154399131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Analysis!$B$3674</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dLbl>
              <c:idx val="0"/>
              <c:layout>
                <c:manualLayout>
                  <c:x val="-2.5066945521632282E-3"/>
                  <c:y val="0.2793191816177469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CB-4246-8607-B84AC28EBCB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Analysis!$D$3651:$H$3651</c:f>
              <c:numCache>
                <c:formatCode>General</c:formatCode>
                <c:ptCount val="5"/>
                <c:pt idx="0">
                  <c:v>2021</c:v>
                </c:pt>
                <c:pt idx="1">
                  <c:v>2022</c:v>
                </c:pt>
                <c:pt idx="2">
                  <c:v>2023</c:v>
                </c:pt>
                <c:pt idx="3">
                  <c:v>2024</c:v>
                </c:pt>
                <c:pt idx="4">
                  <c:v>2025</c:v>
                </c:pt>
              </c:numCache>
            </c:numRef>
          </c:cat>
          <c:val>
            <c:numRef>
              <c:f>Analysis!$D$3674:$H$3674</c:f>
              <c:numCache>
                <c:formatCode>#,##0</c:formatCode>
                <c:ptCount val="5"/>
                <c:pt idx="0">
                  <c:v>199.80000000000007</c:v>
                </c:pt>
                <c:pt idx="1">
                  <c:v>187.70000000000016</c:v>
                </c:pt>
                <c:pt idx="2">
                  <c:v>197</c:v>
                </c:pt>
                <c:pt idx="3">
                  <c:v>16.464687652834982</c:v>
                </c:pt>
                <c:pt idx="4">
                  <c:v>379.06196940320535</c:v>
                </c:pt>
              </c:numCache>
            </c:numRef>
          </c:val>
          <c:extLst>
            <c:ext xmlns:c16="http://schemas.microsoft.com/office/drawing/2014/chart" uri="{C3380CC4-5D6E-409C-BE32-E72D297353CC}">
              <c16:uniqueId val="{00000000-2CCB-4246-8607-B84AC28EBCB9}"/>
            </c:ext>
          </c:extLst>
        </c:ser>
        <c:dLbls>
          <c:showLegendKey val="0"/>
          <c:showVal val="0"/>
          <c:showCatName val="0"/>
          <c:showSerName val="0"/>
          <c:showPercent val="0"/>
          <c:showBubbleSize val="0"/>
        </c:dLbls>
        <c:gapWidth val="30"/>
        <c:axId val="1862403248"/>
        <c:axId val="1862405328"/>
      </c:barChart>
      <c:lineChart>
        <c:grouping val="standard"/>
        <c:varyColors val="0"/>
        <c:ser>
          <c:idx val="1"/>
          <c:order val="1"/>
          <c:tx>
            <c:strRef>
              <c:f>Analysis!$B$3675</c:f>
              <c:strCache>
                <c:ptCount val="1"/>
                <c:pt idx="0">
                  <c:v>FCF yield</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Analysis!$D$3675:$H$3675</c:f>
              <c:numCache>
                <c:formatCode>0.0%</c:formatCode>
                <c:ptCount val="5"/>
                <c:pt idx="0">
                  <c:v>0.12789950350923468</c:v>
                </c:pt>
                <c:pt idx="1">
                  <c:v>0.12808789409035087</c:v>
                </c:pt>
                <c:pt idx="2">
                  <c:v>0.14152705537515448</c:v>
                </c:pt>
                <c:pt idx="3">
                  <c:v>1.3109245240959095E-2</c:v>
                </c:pt>
                <c:pt idx="4">
                  <c:v>0.32848796267046121</c:v>
                </c:pt>
              </c:numCache>
            </c:numRef>
          </c:val>
          <c:smooth val="0"/>
          <c:extLst>
            <c:ext xmlns:c16="http://schemas.microsoft.com/office/drawing/2014/chart" uri="{C3380CC4-5D6E-409C-BE32-E72D297353CC}">
              <c16:uniqueId val="{00000001-2CCB-4246-8607-B84AC28EBCB9}"/>
            </c:ext>
          </c:extLst>
        </c:ser>
        <c:ser>
          <c:idx val="2"/>
          <c:order val="2"/>
          <c:tx>
            <c:strRef>
              <c:f>Analysis!$B$3676</c:f>
              <c:strCache>
                <c:ptCount val="1"/>
                <c:pt idx="0">
                  <c:v>FCF yield (stock comp adj)</c:v>
                </c:pt>
              </c:strCache>
            </c:strRef>
          </c:tx>
          <c:spPr>
            <a:ln w="28575" cap="rnd">
              <a:solidFill>
                <a:schemeClr val="accent3"/>
              </a:solidFill>
              <a:round/>
            </a:ln>
            <a:effectLst/>
          </c:spPr>
          <c:marker>
            <c:symbol val="none"/>
          </c:marker>
          <c:dLbls>
            <c:dLbl>
              <c:idx val="0"/>
              <c:layout>
                <c:manualLayout>
                  <c:x val="-5.029060879715571E-2"/>
                  <c:y val="-5.2968033249391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CB-4246-8607-B84AC28EBCB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Analysis!$D$3676:$H$3676</c:f>
              <c:numCache>
                <c:formatCode>0.0%</c:formatCode>
                <c:ptCount val="5"/>
                <c:pt idx="0">
                  <c:v>5.1196175482965234E-2</c:v>
                </c:pt>
                <c:pt idx="1">
                  <c:v>6.2424567538318938E-2</c:v>
                </c:pt>
                <c:pt idx="2">
                  <c:v>7.6495534444874558E-2</c:v>
                </c:pt>
                <c:pt idx="3">
                  <c:v>-4.551728375445617E-2</c:v>
                </c:pt>
                <c:pt idx="4">
                  <c:v>0.25132898231650719</c:v>
                </c:pt>
              </c:numCache>
            </c:numRef>
          </c:val>
          <c:smooth val="0"/>
          <c:extLst>
            <c:ext xmlns:c16="http://schemas.microsoft.com/office/drawing/2014/chart" uri="{C3380CC4-5D6E-409C-BE32-E72D297353CC}">
              <c16:uniqueId val="{00000002-2CCB-4246-8607-B84AC28EBCB9}"/>
            </c:ext>
          </c:extLst>
        </c:ser>
        <c:dLbls>
          <c:showLegendKey val="0"/>
          <c:showVal val="0"/>
          <c:showCatName val="0"/>
          <c:showSerName val="0"/>
          <c:showPercent val="0"/>
          <c:showBubbleSize val="0"/>
        </c:dLbls>
        <c:marker val="1"/>
        <c:smooth val="0"/>
        <c:axId val="1862389520"/>
        <c:axId val="1862392432"/>
      </c:lineChart>
      <c:catAx>
        <c:axId val="186240324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62405328"/>
        <c:crosses val="autoZero"/>
        <c:auto val="1"/>
        <c:lblAlgn val="ctr"/>
        <c:lblOffset val="100"/>
        <c:noMultiLvlLbl val="0"/>
      </c:catAx>
      <c:valAx>
        <c:axId val="1862405328"/>
        <c:scaling>
          <c:orientation val="minMax"/>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62403248"/>
        <c:crosses val="autoZero"/>
        <c:crossBetween val="between"/>
      </c:valAx>
      <c:valAx>
        <c:axId val="186239243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62389520"/>
        <c:crosses val="max"/>
        <c:crossBetween val="between"/>
      </c:valAx>
      <c:catAx>
        <c:axId val="1862389520"/>
        <c:scaling>
          <c:orientation val="minMax"/>
        </c:scaling>
        <c:delete val="1"/>
        <c:axPos val="b"/>
        <c:majorTickMark val="out"/>
        <c:minorTickMark val="none"/>
        <c:tickLblPos val="nextTo"/>
        <c:crossAx val="1862392432"/>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Analysis!$B$3699</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dLbl>
              <c:idx val="0"/>
              <c:layout>
                <c:manualLayout>
                  <c:x val="-2.5066945521632282E-3"/>
                  <c:y val="0.2793191816177469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63-43E6-8F9E-2DA0B7EFA0D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Analysis!$D$3651:$H$3651</c:f>
              <c:numCache>
                <c:formatCode>General</c:formatCode>
                <c:ptCount val="5"/>
                <c:pt idx="0">
                  <c:v>2021</c:v>
                </c:pt>
                <c:pt idx="1">
                  <c:v>2022</c:v>
                </c:pt>
                <c:pt idx="2">
                  <c:v>2023</c:v>
                </c:pt>
                <c:pt idx="3">
                  <c:v>2024</c:v>
                </c:pt>
                <c:pt idx="4">
                  <c:v>2025</c:v>
                </c:pt>
              </c:numCache>
            </c:numRef>
          </c:cat>
          <c:val>
            <c:numRef>
              <c:f>Analysis!$D$3699:$H$3699</c:f>
              <c:numCache>
                <c:formatCode>#,##0</c:formatCode>
                <c:ptCount val="5"/>
                <c:pt idx="0">
                  <c:v>199.80000000000007</c:v>
                </c:pt>
                <c:pt idx="1">
                  <c:v>187.70000000000016</c:v>
                </c:pt>
                <c:pt idx="2">
                  <c:v>320.0145816833919</c:v>
                </c:pt>
                <c:pt idx="3">
                  <c:v>111.1435243002818</c:v>
                </c:pt>
                <c:pt idx="4">
                  <c:v>469.36015718398312</c:v>
                </c:pt>
              </c:numCache>
            </c:numRef>
          </c:val>
          <c:extLst>
            <c:ext xmlns:c16="http://schemas.microsoft.com/office/drawing/2014/chart" uri="{C3380CC4-5D6E-409C-BE32-E72D297353CC}">
              <c16:uniqueId val="{00000001-4063-43E6-8F9E-2DA0B7EFA0D6}"/>
            </c:ext>
          </c:extLst>
        </c:ser>
        <c:dLbls>
          <c:showLegendKey val="0"/>
          <c:showVal val="0"/>
          <c:showCatName val="0"/>
          <c:showSerName val="0"/>
          <c:showPercent val="0"/>
          <c:showBubbleSize val="0"/>
        </c:dLbls>
        <c:gapWidth val="30"/>
        <c:axId val="1862403248"/>
        <c:axId val="1862405328"/>
      </c:barChart>
      <c:lineChart>
        <c:grouping val="standard"/>
        <c:varyColors val="0"/>
        <c:ser>
          <c:idx val="1"/>
          <c:order val="1"/>
          <c:tx>
            <c:strRef>
              <c:f>Analysis!$B$3700</c:f>
              <c:strCache>
                <c:ptCount val="1"/>
                <c:pt idx="0">
                  <c:v>FCF yield</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Analysis!$D$3700:$H$3700</c:f>
              <c:numCache>
                <c:formatCode>0.0%</c:formatCode>
                <c:ptCount val="5"/>
                <c:pt idx="0">
                  <c:v>0.12789950350923468</c:v>
                </c:pt>
                <c:pt idx="1">
                  <c:v>0.12808789409035087</c:v>
                </c:pt>
                <c:pt idx="2">
                  <c:v>0.22990213920183908</c:v>
                </c:pt>
                <c:pt idx="3">
                  <c:v>8.8492885362815549E-2</c:v>
                </c:pt>
                <c:pt idx="4">
                  <c:v>0.40673867134387953</c:v>
                </c:pt>
              </c:numCache>
            </c:numRef>
          </c:val>
          <c:smooth val="0"/>
          <c:extLst>
            <c:ext xmlns:c16="http://schemas.microsoft.com/office/drawing/2014/chart" uri="{C3380CC4-5D6E-409C-BE32-E72D297353CC}">
              <c16:uniqueId val="{00000002-4063-43E6-8F9E-2DA0B7EFA0D6}"/>
            </c:ext>
          </c:extLst>
        </c:ser>
        <c:ser>
          <c:idx val="2"/>
          <c:order val="2"/>
          <c:tx>
            <c:strRef>
              <c:f>Analysis!$B$3702</c:f>
              <c:strCache>
                <c:ptCount val="1"/>
                <c:pt idx="0">
                  <c:v>FCF yield (stock comp adj)</c:v>
                </c:pt>
              </c:strCache>
            </c:strRef>
          </c:tx>
          <c:spPr>
            <a:ln w="28575" cap="rnd">
              <a:solidFill>
                <a:schemeClr val="accent3"/>
              </a:solidFill>
              <a:round/>
            </a:ln>
            <a:effectLst/>
          </c:spPr>
          <c:marker>
            <c:symbol val="none"/>
          </c:marker>
          <c:dLbls>
            <c:dLbl>
              <c:idx val="0"/>
              <c:layout>
                <c:manualLayout>
                  <c:x val="-5.029060879715571E-2"/>
                  <c:y val="-5.29680332493913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63-43E6-8F9E-2DA0B7EFA0D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Analysis!$D$3702:$H$3702</c:f>
              <c:numCache>
                <c:formatCode>0.0%</c:formatCode>
                <c:ptCount val="5"/>
                <c:pt idx="0">
                  <c:v>5.1196175482965234E-2</c:v>
                </c:pt>
                <c:pt idx="1">
                  <c:v>6.2424567538318938E-2</c:v>
                </c:pt>
                <c:pt idx="2">
                  <c:v>0.1636257767632425</c:v>
                </c:pt>
                <c:pt idx="3">
                  <c:v>2.8105343347359566E-2</c:v>
                </c:pt>
                <c:pt idx="4">
                  <c:v>0.32721476507001462</c:v>
                </c:pt>
              </c:numCache>
            </c:numRef>
          </c:val>
          <c:smooth val="0"/>
          <c:extLst>
            <c:ext xmlns:c16="http://schemas.microsoft.com/office/drawing/2014/chart" uri="{C3380CC4-5D6E-409C-BE32-E72D297353CC}">
              <c16:uniqueId val="{00000004-4063-43E6-8F9E-2DA0B7EFA0D6}"/>
            </c:ext>
          </c:extLst>
        </c:ser>
        <c:dLbls>
          <c:showLegendKey val="0"/>
          <c:showVal val="0"/>
          <c:showCatName val="0"/>
          <c:showSerName val="0"/>
          <c:showPercent val="0"/>
          <c:showBubbleSize val="0"/>
        </c:dLbls>
        <c:marker val="1"/>
        <c:smooth val="0"/>
        <c:axId val="1862389520"/>
        <c:axId val="1862392432"/>
      </c:lineChart>
      <c:catAx>
        <c:axId val="1862403248"/>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62405328"/>
        <c:crosses val="autoZero"/>
        <c:auto val="1"/>
        <c:lblAlgn val="ctr"/>
        <c:lblOffset val="100"/>
        <c:noMultiLvlLbl val="0"/>
      </c:catAx>
      <c:valAx>
        <c:axId val="1862405328"/>
        <c:scaling>
          <c:orientation val="minMax"/>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62403248"/>
        <c:crosses val="autoZero"/>
        <c:crossBetween val="between"/>
      </c:valAx>
      <c:valAx>
        <c:axId val="186239243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62389520"/>
        <c:crosses val="max"/>
        <c:crossBetween val="between"/>
      </c:valAx>
      <c:catAx>
        <c:axId val="1862389520"/>
        <c:scaling>
          <c:orientation val="minMax"/>
        </c:scaling>
        <c:delete val="1"/>
        <c:axPos val="b"/>
        <c:majorTickMark val="out"/>
        <c:minorTickMark val="none"/>
        <c:tickLblPos val="nextTo"/>
        <c:crossAx val="1862392432"/>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5429-406E-BDE6-1AAE5FB7083B}"/>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429-406E-BDE6-1AAE5FB7083B}"/>
              </c:ext>
            </c:extLst>
          </c:dPt>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5429-406E-BDE6-1AAE5FB7083B}"/>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Analysis!$B$3679:$B$3683</c:f>
              <c:strCache>
                <c:ptCount val="5"/>
                <c:pt idx="0">
                  <c:v>FCF 2022 (Chile in for FY)</c:v>
                </c:pt>
                <c:pt idx="1">
                  <c:v>De-consolidation of Chile losses</c:v>
                </c:pt>
                <c:pt idx="2">
                  <c:v>FCF swing from deals</c:v>
                </c:pt>
                <c:pt idx="3">
                  <c:v>Underlying FCF</c:v>
                </c:pt>
                <c:pt idx="4">
                  <c:v>FCF 2023</c:v>
                </c:pt>
              </c:strCache>
            </c:strRef>
          </c:cat>
          <c:val>
            <c:numRef>
              <c:f>Analysis!$C$3679:$C$3683</c:f>
              <c:numCache>
                <c:formatCode>#,##0</c:formatCode>
                <c:ptCount val="5"/>
                <c:pt idx="0">
                  <c:v>187.70000000000016</c:v>
                </c:pt>
                <c:pt idx="1">
                  <c:v>187.70000000000016</c:v>
                </c:pt>
                <c:pt idx="2">
                  <c:v>272.70000000000016</c:v>
                </c:pt>
                <c:pt idx="3">
                  <c:v>284.41030000000018</c:v>
                </c:pt>
                <c:pt idx="4">
                  <c:v>282</c:v>
                </c:pt>
              </c:numCache>
            </c:numRef>
          </c:val>
          <c:extLst>
            <c:ext xmlns:c16="http://schemas.microsoft.com/office/drawing/2014/chart" uri="{C3380CC4-5D6E-409C-BE32-E72D297353CC}">
              <c16:uniqueId val="{00000000-5429-406E-BDE6-1AAE5FB7083B}"/>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Analysis!$B$3679:$B$3683</c:f>
              <c:strCache>
                <c:ptCount val="5"/>
                <c:pt idx="0">
                  <c:v>FCF 2022 (Chile in for FY)</c:v>
                </c:pt>
                <c:pt idx="1">
                  <c:v>De-consolidation of Chile losses</c:v>
                </c:pt>
                <c:pt idx="2">
                  <c:v>FCF swing from deals</c:v>
                </c:pt>
                <c:pt idx="3">
                  <c:v>Underlying FCF</c:v>
                </c:pt>
                <c:pt idx="4">
                  <c:v>FCF 2023</c:v>
                </c:pt>
              </c:strCache>
            </c:strRef>
          </c:cat>
          <c:val>
            <c:numRef>
              <c:f>Analysis!$D$3679:$D$3683</c:f>
              <c:numCache>
                <c:formatCode>0</c:formatCode>
                <c:ptCount val="5"/>
                <c:pt idx="1">
                  <c:v>85</c:v>
                </c:pt>
                <c:pt idx="2">
                  <c:v>11.7103</c:v>
                </c:pt>
                <c:pt idx="3" formatCode="#,##0">
                  <c:v>-2.4103000000001593</c:v>
                </c:pt>
              </c:numCache>
            </c:numRef>
          </c:val>
          <c:extLst>
            <c:ext xmlns:c16="http://schemas.microsoft.com/office/drawing/2014/chart" uri="{C3380CC4-5D6E-409C-BE32-E72D297353CC}">
              <c16:uniqueId val="{00000001-5429-406E-BDE6-1AAE5FB7083B}"/>
            </c:ext>
          </c:extLst>
        </c:ser>
        <c:dLbls>
          <c:showLegendKey val="0"/>
          <c:showVal val="0"/>
          <c:showCatName val="0"/>
          <c:showSerName val="0"/>
          <c:showPercent val="0"/>
          <c:showBubbleSize val="0"/>
        </c:dLbls>
        <c:gapWidth val="30"/>
        <c:overlap val="100"/>
        <c:axId val="1133470464"/>
        <c:axId val="1133470048"/>
      </c:barChart>
      <c:catAx>
        <c:axId val="1133470464"/>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133470048"/>
        <c:crosses val="autoZero"/>
        <c:auto val="1"/>
        <c:lblAlgn val="ctr"/>
        <c:lblOffset val="100"/>
        <c:noMultiLvlLbl val="0"/>
      </c:catAx>
      <c:valAx>
        <c:axId val="1133470048"/>
        <c:scaling>
          <c:orientation val="minMax"/>
        </c:scaling>
        <c:delete val="1"/>
        <c:axPos val="l"/>
        <c:numFmt formatCode="#,##0" sourceLinked="1"/>
        <c:majorTickMark val="out"/>
        <c:minorTickMark val="none"/>
        <c:tickLblPos val="nextTo"/>
        <c:crossAx val="113347046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0EC2-4228-87B5-78AE3A326030}"/>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Analysis!$E$3725:$E$3727</c:f>
              <c:strCache>
                <c:ptCount val="3"/>
                <c:pt idx="0">
                  <c:v>Net debt H1</c:v>
                </c:pt>
                <c:pt idx="1">
                  <c:v>Chile debt</c:v>
                </c:pt>
                <c:pt idx="2">
                  <c:v>Net debt H1 ex Chile</c:v>
                </c:pt>
              </c:strCache>
            </c:strRef>
          </c:cat>
          <c:val>
            <c:numRef>
              <c:f>Analysis!$F$3725:$F$3727</c:f>
              <c:numCache>
                <c:formatCode>#,##0</c:formatCode>
                <c:ptCount val="3"/>
                <c:pt idx="0">
                  <c:v>8100</c:v>
                </c:pt>
                <c:pt idx="1">
                  <c:v>6958.7145969498915</c:v>
                </c:pt>
                <c:pt idx="2">
                  <c:v>6958.7145969498915</c:v>
                </c:pt>
              </c:numCache>
            </c:numRef>
          </c:val>
          <c:extLst>
            <c:ext xmlns:c16="http://schemas.microsoft.com/office/drawing/2014/chart" uri="{C3380CC4-5D6E-409C-BE32-E72D297353CC}">
              <c16:uniqueId val="{00000000-0EC2-4228-87B5-78AE3A326030}"/>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Analysis!$E$3725:$E$3727</c:f>
              <c:strCache>
                <c:ptCount val="3"/>
                <c:pt idx="0">
                  <c:v>Net debt H1</c:v>
                </c:pt>
                <c:pt idx="1">
                  <c:v>Chile debt</c:v>
                </c:pt>
                <c:pt idx="2">
                  <c:v>Net debt H1 ex Chile</c:v>
                </c:pt>
              </c:strCache>
            </c:strRef>
          </c:cat>
          <c:val>
            <c:numRef>
              <c:f>Analysis!$G$3725:$G$3727</c:f>
              <c:numCache>
                <c:formatCode>#,##0</c:formatCode>
                <c:ptCount val="3"/>
                <c:pt idx="1">
                  <c:v>1141.2854030501087</c:v>
                </c:pt>
              </c:numCache>
            </c:numRef>
          </c:val>
          <c:extLst>
            <c:ext xmlns:c16="http://schemas.microsoft.com/office/drawing/2014/chart" uri="{C3380CC4-5D6E-409C-BE32-E72D297353CC}">
              <c16:uniqueId val="{00000001-0EC2-4228-87B5-78AE3A326030}"/>
            </c:ext>
          </c:extLst>
        </c:ser>
        <c:dLbls>
          <c:showLegendKey val="0"/>
          <c:showVal val="0"/>
          <c:showCatName val="0"/>
          <c:showSerName val="0"/>
          <c:showPercent val="0"/>
          <c:showBubbleSize val="0"/>
        </c:dLbls>
        <c:gapWidth val="30"/>
        <c:overlap val="100"/>
        <c:axId val="913545375"/>
        <c:axId val="913546207"/>
      </c:barChart>
      <c:catAx>
        <c:axId val="91354537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913546207"/>
        <c:crosses val="autoZero"/>
        <c:auto val="1"/>
        <c:lblAlgn val="ctr"/>
        <c:lblOffset val="100"/>
        <c:noMultiLvlLbl val="0"/>
      </c:catAx>
      <c:valAx>
        <c:axId val="913546207"/>
        <c:scaling>
          <c:orientation val="minMax"/>
        </c:scaling>
        <c:delete val="1"/>
        <c:axPos val="l"/>
        <c:numFmt formatCode="#,##0" sourceLinked="1"/>
        <c:majorTickMark val="out"/>
        <c:minorTickMark val="none"/>
        <c:tickLblPos val="nextTo"/>
        <c:crossAx val="91354537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E82-496B-839A-3829CFC3FE32}"/>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Analysis!$E$3729:$E$3731</c:f>
              <c:strCache>
                <c:ptCount val="3"/>
                <c:pt idx="0">
                  <c:v>EBITDA H1</c:v>
                </c:pt>
                <c:pt idx="1">
                  <c:v>Chile EBITDA</c:v>
                </c:pt>
                <c:pt idx="2">
                  <c:v>EBITDA ex-Chile</c:v>
                </c:pt>
              </c:strCache>
            </c:strRef>
          </c:cat>
          <c:val>
            <c:numRef>
              <c:f>Analysis!$F$3729:$F$3731</c:f>
              <c:numCache>
                <c:formatCode>#,##0</c:formatCode>
                <c:ptCount val="3"/>
                <c:pt idx="0">
                  <c:v>1807.2</c:v>
                </c:pt>
                <c:pt idx="1">
                  <c:v>1638.4</c:v>
                </c:pt>
                <c:pt idx="2">
                  <c:v>1638.4</c:v>
                </c:pt>
              </c:numCache>
            </c:numRef>
          </c:val>
          <c:extLst>
            <c:ext xmlns:c16="http://schemas.microsoft.com/office/drawing/2014/chart" uri="{C3380CC4-5D6E-409C-BE32-E72D297353CC}">
              <c16:uniqueId val="{00000002-9E82-496B-839A-3829CFC3FE32}"/>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Analysis!$E$3729:$E$3731</c:f>
              <c:strCache>
                <c:ptCount val="3"/>
                <c:pt idx="0">
                  <c:v>EBITDA H1</c:v>
                </c:pt>
                <c:pt idx="1">
                  <c:v>Chile EBITDA</c:v>
                </c:pt>
                <c:pt idx="2">
                  <c:v>EBITDA ex-Chile</c:v>
                </c:pt>
              </c:strCache>
            </c:strRef>
          </c:cat>
          <c:val>
            <c:numRef>
              <c:f>Analysis!$G$3729:$G$3731</c:f>
              <c:numCache>
                <c:formatCode>#,##0</c:formatCode>
                <c:ptCount val="3"/>
                <c:pt idx="1">
                  <c:v>168.8</c:v>
                </c:pt>
              </c:numCache>
            </c:numRef>
          </c:val>
          <c:extLst>
            <c:ext xmlns:c16="http://schemas.microsoft.com/office/drawing/2014/chart" uri="{C3380CC4-5D6E-409C-BE32-E72D297353CC}">
              <c16:uniqueId val="{00000003-9E82-496B-839A-3829CFC3FE32}"/>
            </c:ext>
          </c:extLst>
        </c:ser>
        <c:dLbls>
          <c:showLegendKey val="0"/>
          <c:showVal val="0"/>
          <c:showCatName val="0"/>
          <c:showSerName val="0"/>
          <c:showPercent val="0"/>
          <c:showBubbleSize val="0"/>
        </c:dLbls>
        <c:gapWidth val="30"/>
        <c:overlap val="100"/>
        <c:axId val="913545375"/>
        <c:axId val="913546207"/>
      </c:barChart>
      <c:catAx>
        <c:axId val="91354537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913546207"/>
        <c:crosses val="autoZero"/>
        <c:auto val="1"/>
        <c:lblAlgn val="ctr"/>
        <c:lblOffset val="100"/>
        <c:noMultiLvlLbl val="0"/>
      </c:catAx>
      <c:valAx>
        <c:axId val="913546207"/>
        <c:scaling>
          <c:orientation val="minMax"/>
        </c:scaling>
        <c:delete val="1"/>
        <c:axPos val="l"/>
        <c:numFmt formatCode="#,##0" sourceLinked="1"/>
        <c:majorTickMark val="out"/>
        <c:minorTickMark val="none"/>
        <c:tickLblPos val="nextTo"/>
        <c:crossAx val="91354537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cat>
            <c:strRef>
              <c:f>Analysis!$B$3785:$B$3797</c:f>
              <c:strCache>
                <c:ptCount val="13"/>
                <c:pt idx="0">
                  <c:v>EFCF 2022</c:v>
                </c:pt>
                <c:pt idx="1">
                  <c:v>Delta PR integration costs</c:v>
                </c:pt>
                <c:pt idx="2">
                  <c:v>Delta Panama integration costs</c:v>
                </c:pt>
                <c:pt idx="3">
                  <c:v>Delta Costa Rica integration costs</c:v>
                </c:pt>
                <c:pt idx="4">
                  <c:v>Delta Synergies PR</c:v>
                </c:pt>
                <c:pt idx="5">
                  <c:v>Delta Synergies Panama</c:v>
                </c:pt>
                <c:pt idx="6">
                  <c:v>Delta Synergies Costa Rica</c:v>
                </c:pt>
                <c:pt idx="7">
                  <c:v>Underlying OpFCF</c:v>
                </c:pt>
                <c:pt idx="8">
                  <c:v>Interest (largely VTR)</c:v>
                </c:pt>
                <c:pt idx="9">
                  <c:v>Tax</c:v>
                </c:pt>
                <c:pt idx="10">
                  <c:v>Hurricane costs</c:v>
                </c:pt>
                <c:pt idx="11">
                  <c:v>Working Capital / other</c:v>
                </c:pt>
                <c:pt idx="12">
                  <c:v>EFCF 2023</c:v>
                </c:pt>
              </c:strCache>
            </c:strRef>
          </c:cat>
          <c:val>
            <c:numRef>
              <c:f>Analysis!$G$3785:$G$3797</c:f>
              <c:numCache>
                <c:formatCode>#,##0</c:formatCode>
                <c:ptCount val="13"/>
                <c:pt idx="1">
                  <c:v>187.70000000000016</c:v>
                </c:pt>
                <c:pt idx="2">
                  <c:v>172.70000000000016</c:v>
                </c:pt>
                <c:pt idx="3">
                  <c:v>172.60600000000017</c:v>
                </c:pt>
                <c:pt idx="4">
                  <c:v>172.60600000000017</c:v>
                </c:pt>
                <c:pt idx="5">
                  <c:v>182.60600000000017</c:v>
                </c:pt>
                <c:pt idx="6">
                  <c:v>199.60600000000017</c:v>
                </c:pt>
                <c:pt idx="7">
                  <c:v>202.10000000000019</c:v>
                </c:pt>
                <c:pt idx="8">
                  <c:v>202.10000000000019</c:v>
                </c:pt>
                <c:pt idx="9">
                  <c:v>301.32000000000022</c:v>
                </c:pt>
                <c:pt idx="10">
                  <c:v>301.32000000000022</c:v>
                </c:pt>
                <c:pt idx="11">
                  <c:v>197</c:v>
                </c:pt>
              </c:numCache>
            </c:numRef>
          </c:val>
          <c:extLst>
            <c:ext xmlns:c16="http://schemas.microsoft.com/office/drawing/2014/chart" uri="{C3380CC4-5D6E-409C-BE32-E72D297353CC}">
              <c16:uniqueId val="{00000000-CD02-4076-985D-4828DBD0914D}"/>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CD02-4076-985D-4828DBD0914D}"/>
              </c:ext>
            </c:extLst>
          </c:dPt>
          <c:dPt>
            <c:idx val="12"/>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CD02-4076-985D-4828DBD0914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CD02-4076-985D-4828DBD0914D}"/>
                </c:ext>
              </c:extLst>
            </c:dLbl>
            <c:dLbl>
              <c:idx val="1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CD02-4076-985D-4828DBD0914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Helvetica Neue"/>
                    <a:ea typeface="Helvetica Neue"/>
                    <a:cs typeface="Helvetica Neue"/>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Analysis!$B$3785:$B$3797</c:f>
              <c:strCache>
                <c:ptCount val="13"/>
                <c:pt idx="0">
                  <c:v>EFCF 2022</c:v>
                </c:pt>
                <c:pt idx="1">
                  <c:v>Delta PR integration costs</c:v>
                </c:pt>
                <c:pt idx="2">
                  <c:v>Delta Panama integration costs</c:v>
                </c:pt>
                <c:pt idx="3">
                  <c:v>Delta Costa Rica integration costs</c:v>
                </c:pt>
                <c:pt idx="4">
                  <c:v>Delta Synergies PR</c:v>
                </c:pt>
                <c:pt idx="5">
                  <c:v>Delta Synergies Panama</c:v>
                </c:pt>
                <c:pt idx="6">
                  <c:v>Delta Synergies Costa Rica</c:v>
                </c:pt>
                <c:pt idx="7">
                  <c:v>Underlying OpFCF</c:v>
                </c:pt>
                <c:pt idx="8">
                  <c:v>Interest (largely VTR)</c:v>
                </c:pt>
                <c:pt idx="9">
                  <c:v>Tax</c:v>
                </c:pt>
                <c:pt idx="10">
                  <c:v>Hurricane costs</c:v>
                </c:pt>
                <c:pt idx="11">
                  <c:v>Working Capital / other</c:v>
                </c:pt>
                <c:pt idx="12">
                  <c:v>EFCF 2023</c:v>
                </c:pt>
              </c:strCache>
            </c:strRef>
          </c:cat>
          <c:val>
            <c:numRef>
              <c:f>Analysis!$H$3785:$H$3797</c:f>
              <c:numCache>
                <c:formatCode>0</c:formatCode>
                <c:ptCount val="13"/>
                <c:pt idx="0" formatCode="#,##0">
                  <c:v>187.70000000000016</c:v>
                </c:pt>
                <c:pt idx="1">
                  <c:v>-10</c:v>
                </c:pt>
                <c:pt idx="2">
                  <c:v>5</c:v>
                </c:pt>
                <c:pt idx="3">
                  <c:v>9.4000000000000306E-2</c:v>
                </c:pt>
                <c:pt idx="4">
                  <c:v>10</c:v>
                </c:pt>
                <c:pt idx="5">
                  <c:v>17</c:v>
                </c:pt>
                <c:pt idx="6">
                  <c:v>4.8229999999999995</c:v>
                </c:pt>
                <c:pt idx="7">
                  <c:v>2.3289999999999651</c:v>
                </c:pt>
                <c:pt idx="8">
                  <c:v>85</c:v>
                </c:pt>
                <c:pt idx="9">
                  <c:v>-14.220000000000027</c:v>
                </c:pt>
                <c:pt idx="10">
                  <c:v>20</c:v>
                </c:pt>
                <c:pt idx="11" formatCode="#,##0">
                  <c:v>124.32000000000022</c:v>
                </c:pt>
                <c:pt idx="12" formatCode="#,##0">
                  <c:v>197</c:v>
                </c:pt>
              </c:numCache>
            </c:numRef>
          </c:val>
          <c:extLst>
            <c:ext xmlns:c16="http://schemas.microsoft.com/office/drawing/2014/chart" uri="{C3380CC4-5D6E-409C-BE32-E72D297353CC}">
              <c16:uniqueId val="{00000005-CD02-4076-985D-4828DBD0914D}"/>
            </c:ext>
          </c:extLst>
        </c:ser>
        <c:dLbls>
          <c:showLegendKey val="0"/>
          <c:showVal val="0"/>
          <c:showCatName val="0"/>
          <c:showSerName val="0"/>
          <c:showPercent val="0"/>
          <c:showBubbleSize val="0"/>
        </c:dLbls>
        <c:gapWidth val="30"/>
        <c:overlap val="100"/>
        <c:axId val="1414281599"/>
        <c:axId val="1414267039"/>
      </c:barChart>
      <c:catAx>
        <c:axId val="1414281599"/>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14267039"/>
        <c:crosses val="autoZero"/>
        <c:auto val="1"/>
        <c:lblAlgn val="ctr"/>
        <c:lblOffset val="100"/>
        <c:noMultiLvlLbl val="0"/>
      </c:catAx>
      <c:valAx>
        <c:axId val="1414267039"/>
        <c:scaling>
          <c:orientation val="minMax"/>
          <c:min val="150"/>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142815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cat>
            <c:strRef>
              <c:f>Analysis!$B$3801:$B$3812</c:f>
              <c:strCache>
                <c:ptCount val="12"/>
                <c:pt idx="0">
                  <c:v>EFCF 2023</c:v>
                </c:pt>
                <c:pt idx="1">
                  <c:v>Delta PR integration costs</c:v>
                </c:pt>
                <c:pt idx="2">
                  <c:v>Delta Panama integration costs</c:v>
                </c:pt>
                <c:pt idx="3">
                  <c:v>Delta Costa Rica integration costs</c:v>
                </c:pt>
                <c:pt idx="4">
                  <c:v>Delta Synergies PR</c:v>
                </c:pt>
                <c:pt idx="5">
                  <c:v>Delta Synergies Panama</c:v>
                </c:pt>
                <c:pt idx="6">
                  <c:v>Delta Synergies Costa Rica</c:v>
                </c:pt>
                <c:pt idx="7">
                  <c:v>Underlying OpFCF</c:v>
                </c:pt>
                <c:pt idx="8">
                  <c:v>Interest </c:v>
                </c:pt>
                <c:pt idx="9">
                  <c:v>Tax</c:v>
                </c:pt>
                <c:pt idx="10">
                  <c:v>Working Capital / other</c:v>
                </c:pt>
                <c:pt idx="11">
                  <c:v>EFCF 2024</c:v>
                </c:pt>
              </c:strCache>
            </c:strRef>
          </c:cat>
          <c:val>
            <c:numRef>
              <c:f>Analysis!$G$3801:$G$3812</c:f>
              <c:numCache>
                <c:formatCode>#,##0</c:formatCode>
                <c:ptCount val="12"/>
                <c:pt idx="1">
                  <c:v>197</c:v>
                </c:pt>
                <c:pt idx="2">
                  <c:v>199</c:v>
                </c:pt>
                <c:pt idx="3">
                  <c:v>209</c:v>
                </c:pt>
                <c:pt idx="4">
                  <c:v>215.56399999999999</c:v>
                </c:pt>
                <c:pt idx="5">
                  <c:v>245.56399999999999</c:v>
                </c:pt>
                <c:pt idx="6">
                  <c:v>278.56399999999996</c:v>
                </c:pt>
                <c:pt idx="7">
                  <c:v>283.48699999999997</c:v>
                </c:pt>
                <c:pt idx="8">
                  <c:v>87.310875493689764</c:v>
                </c:pt>
                <c:pt idx="9">
                  <c:v>95.787142113398232</c:v>
                </c:pt>
                <c:pt idx="10">
                  <c:v>95.787142113398232</c:v>
                </c:pt>
              </c:numCache>
            </c:numRef>
          </c:val>
          <c:extLst>
            <c:ext xmlns:c16="http://schemas.microsoft.com/office/drawing/2014/chart" uri="{C3380CC4-5D6E-409C-BE32-E72D297353CC}">
              <c16:uniqueId val="{00000000-6801-4D01-BDDA-0297D8EB3551}"/>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801-4D01-BDDA-0297D8EB3551}"/>
              </c:ext>
            </c:extLst>
          </c:dPt>
          <c:dPt>
            <c:idx val="11"/>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801-4D01-BDDA-0297D8EB355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6801-4D01-BDDA-0297D8EB3551}"/>
                </c:ext>
              </c:extLst>
            </c:dLbl>
            <c:dLbl>
              <c:idx val="1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6801-4D01-BDDA-0297D8EB355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Helvetica Neue"/>
                    <a:ea typeface="Helvetica Neue"/>
                    <a:cs typeface="Helvetica Neue"/>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Analysis!$B$3801:$B$3812</c:f>
              <c:strCache>
                <c:ptCount val="12"/>
                <c:pt idx="0">
                  <c:v>EFCF 2023</c:v>
                </c:pt>
                <c:pt idx="1">
                  <c:v>Delta PR integration costs</c:v>
                </c:pt>
                <c:pt idx="2">
                  <c:v>Delta Panama integration costs</c:v>
                </c:pt>
                <c:pt idx="3">
                  <c:v>Delta Costa Rica integration costs</c:v>
                </c:pt>
                <c:pt idx="4">
                  <c:v>Delta Synergies PR</c:v>
                </c:pt>
                <c:pt idx="5">
                  <c:v>Delta Synergies Panama</c:v>
                </c:pt>
                <c:pt idx="6">
                  <c:v>Delta Synergies Costa Rica</c:v>
                </c:pt>
                <c:pt idx="7">
                  <c:v>Underlying OpFCF</c:v>
                </c:pt>
                <c:pt idx="8">
                  <c:v>Interest </c:v>
                </c:pt>
                <c:pt idx="9">
                  <c:v>Tax</c:v>
                </c:pt>
                <c:pt idx="10">
                  <c:v>Working Capital / other</c:v>
                </c:pt>
                <c:pt idx="11">
                  <c:v>EFCF 2024</c:v>
                </c:pt>
              </c:strCache>
            </c:strRef>
          </c:cat>
          <c:val>
            <c:numRef>
              <c:f>Analysis!$H$3801:$H$3812</c:f>
              <c:numCache>
                <c:formatCode>0</c:formatCode>
                <c:ptCount val="12"/>
                <c:pt idx="0" formatCode="#,##0">
                  <c:v>197</c:v>
                </c:pt>
                <c:pt idx="1">
                  <c:v>2</c:v>
                </c:pt>
                <c:pt idx="2">
                  <c:v>10</c:v>
                </c:pt>
                <c:pt idx="3">
                  <c:v>6.5640000000000001</c:v>
                </c:pt>
                <c:pt idx="4">
                  <c:v>30</c:v>
                </c:pt>
                <c:pt idx="5">
                  <c:v>33</c:v>
                </c:pt>
                <c:pt idx="6">
                  <c:v>4.9230000000000009</c:v>
                </c:pt>
                <c:pt idx="7">
                  <c:v>-196.1761245063102</c:v>
                </c:pt>
                <c:pt idx="8">
                  <c:v>-17.653909558547298</c:v>
                </c:pt>
                <c:pt idx="9">
                  <c:v>-26.130176178255766</c:v>
                </c:pt>
                <c:pt idx="10" formatCode="#,##0">
                  <c:v>-79.322454460563279</c:v>
                </c:pt>
                <c:pt idx="11" formatCode="#,##0">
                  <c:v>16.464687652834982</c:v>
                </c:pt>
              </c:numCache>
            </c:numRef>
          </c:val>
          <c:extLst>
            <c:ext xmlns:c16="http://schemas.microsoft.com/office/drawing/2014/chart" uri="{C3380CC4-5D6E-409C-BE32-E72D297353CC}">
              <c16:uniqueId val="{00000005-6801-4D01-BDDA-0297D8EB3551}"/>
            </c:ext>
          </c:extLst>
        </c:ser>
        <c:dLbls>
          <c:showLegendKey val="0"/>
          <c:showVal val="0"/>
          <c:showCatName val="0"/>
          <c:showSerName val="0"/>
          <c:showPercent val="0"/>
          <c:showBubbleSize val="0"/>
        </c:dLbls>
        <c:gapWidth val="30"/>
        <c:overlap val="100"/>
        <c:axId val="1414281599"/>
        <c:axId val="1414267039"/>
      </c:barChart>
      <c:catAx>
        <c:axId val="1414281599"/>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14267039"/>
        <c:crosses val="autoZero"/>
        <c:auto val="1"/>
        <c:lblAlgn val="ctr"/>
        <c:lblOffset val="100"/>
        <c:noMultiLvlLbl val="0"/>
      </c:catAx>
      <c:valAx>
        <c:axId val="1414267039"/>
        <c:scaling>
          <c:orientation val="minMax"/>
          <c:min val="150"/>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142815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chemeClr val="bg1"/>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Analysis!$B$3850:$B$3858</c:f>
              <c:strCache>
                <c:ptCount val="9"/>
                <c:pt idx="0">
                  <c:v>Q3 2021 PR revenue</c:v>
                </c:pt>
                <c:pt idx="1">
                  <c:v>FCC funding</c:v>
                </c:pt>
                <c:pt idx="2">
                  <c:v>Equipment/roaming</c:v>
                </c:pt>
                <c:pt idx="3">
                  <c:v>Underyling residental fixed </c:v>
                </c:pt>
                <c:pt idx="4">
                  <c:v>Est of Amortisation of handset subsidies</c:v>
                </c:pt>
                <c:pt idx="5">
                  <c:v>Hurricane coupons - fixed</c:v>
                </c:pt>
                <c:pt idx="6">
                  <c:v>Underlying wireless</c:v>
                </c:pt>
                <c:pt idx="7">
                  <c:v>B2B</c:v>
                </c:pt>
                <c:pt idx="8">
                  <c:v>Q3 22 PR revenue</c:v>
                </c:pt>
              </c:strCache>
            </c:strRef>
          </c:cat>
          <c:val>
            <c:numRef>
              <c:f>Analysis!$C$3850:$C$3858</c:f>
              <c:numCache>
                <c:formatCode>0</c:formatCode>
                <c:ptCount val="9"/>
                <c:pt idx="1">
                  <c:v>357.29999999999995</c:v>
                </c:pt>
                <c:pt idx="2">
                  <c:v>367.99999999999994</c:v>
                </c:pt>
                <c:pt idx="3">
                  <c:v>377.79999999999995</c:v>
                </c:pt>
                <c:pt idx="4">
                  <c:v>376.9</c:v>
                </c:pt>
                <c:pt idx="5">
                  <c:v>368.9</c:v>
                </c:pt>
                <c:pt idx="6">
                  <c:v>368.09999999999997</c:v>
                </c:pt>
                <c:pt idx="7">
                  <c:v>366.9</c:v>
                </c:pt>
              </c:numCache>
            </c:numRef>
          </c:val>
          <c:extLst>
            <c:ext xmlns:c16="http://schemas.microsoft.com/office/drawing/2014/chart" uri="{C3380CC4-5D6E-409C-BE32-E72D297353CC}">
              <c16:uniqueId val="{00000000-CC9C-47EE-9A9D-87B64162F369}"/>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800D-46B6-AEBA-85CE589E7DE7}"/>
              </c:ext>
            </c:extLst>
          </c:dPt>
          <c:dPt>
            <c:idx val="8"/>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800D-46B6-AEBA-85CE589E7DE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Analysis!$B$3850:$B$3858</c:f>
              <c:strCache>
                <c:ptCount val="9"/>
                <c:pt idx="0">
                  <c:v>Q3 2021 PR revenue</c:v>
                </c:pt>
                <c:pt idx="1">
                  <c:v>FCC funding</c:v>
                </c:pt>
                <c:pt idx="2">
                  <c:v>Equipment/roaming</c:v>
                </c:pt>
                <c:pt idx="3">
                  <c:v>Underyling residental fixed </c:v>
                </c:pt>
                <c:pt idx="4">
                  <c:v>Est of Amortisation of handset subsidies</c:v>
                </c:pt>
                <c:pt idx="5">
                  <c:v>Hurricane coupons - fixed</c:v>
                </c:pt>
                <c:pt idx="6">
                  <c:v>Underlying wireless</c:v>
                </c:pt>
                <c:pt idx="7">
                  <c:v>B2B</c:v>
                </c:pt>
                <c:pt idx="8">
                  <c:v>Q3 22 PR revenue</c:v>
                </c:pt>
              </c:strCache>
            </c:strRef>
          </c:cat>
          <c:val>
            <c:numRef>
              <c:f>Analysis!$D$3850:$D$3858</c:f>
              <c:numCache>
                <c:formatCode>0</c:formatCode>
                <c:ptCount val="9"/>
                <c:pt idx="0">
                  <c:v>357.29999999999995</c:v>
                </c:pt>
                <c:pt idx="1">
                  <c:v>10.7</c:v>
                </c:pt>
                <c:pt idx="2">
                  <c:v>9.7999999999999829</c:v>
                </c:pt>
                <c:pt idx="3">
                  <c:v>9.1000000000000085</c:v>
                </c:pt>
                <c:pt idx="4">
                  <c:v>10</c:v>
                </c:pt>
                <c:pt idx="5">
                  <c:v>8</c:v>
                </c:pt>
                <c:pt idx="6">
                  <c:v>0.79999999999999716</c:v>
                </c:pt>
                <c:pt idx="7">
                  <c:v>1.2000000000000028</c:v>
                </c:pt>
                <c:pt idx="8">
                  <c:v>366.9</c:v>
                </c:pt>
              </c:numCache>
            </c:numRef>
          </c:val>
          <c:extLst>
            <c:ext xmlns:c16="http://schemas.microsoft.com/office/drawing/2014/chart" uri="{C3380CC4-5D6E-409C-BE32-E72D297353CC}">
              <c16:uniqueId val="{00000001-CC9C-47EE-9A9D-87B64162F369}"/>
            </c:ext>
          </c:extLst>
        </c:ser>
        <c:dLbls>
          <c:showLegendKey val="0"/>
          <c:showVal val="0"/>
          <c:showCatName val="0"/>
          <c:showSerName val="0"/>
          <c:showPercent val="0"/>
          <c:showBubbleSize val="0"/>
        </c:dLbls>
        <c:gapWidth val="30"/>
        <c:overlap val="100"/>
        <c:axId val="1378354543"/>
        <c:axId val="1378377007"/>
      </c:barChart>
      <c:catAx>
        <c:axId val="137835454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78377007"/>
        <c:crosses val="autoZero"/>
        <c:auto val="1"/>
        <c:lblAlgn val="ctr"/>
        <c:lblOffset val="100"/>
        <c:noMultiLvlLbl val="0"/>
      </c:catAx>
      <c:valAx>
        <c:axId val="1378377007"/>
        <c:scaling>
          <c:orientation val="minMax"/>
          <c:min val="350"/>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7835454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Analysis!$H$3939:$P$3939</c:f>
              <c:numCache>
                <c:formatCode>0.0%</c:formatCode>
                <c:ptCount val="9"/>
                <c:pt idx="0">
                  <c:v>0.33442838370565048</c:v>
                </c:pt>
                <c:pt idx="1">
                  <c:v>0.32933333333333331</c:v>
                </c:pt>
                <c:pt idx="2">
                  <c:v>0.33735747820254863</c:v>
                </c:pt>
                <c:pt idx="3">
                  <c:v>0.31636155606407318</c:v>
                </c:pt>
                <c:pt idx="4">
                  <c:v>0.26502534395365679</c:v>
                </c:pt>
                <c:pt idx="5">
                  <c:v>0.23557312252964427</c:v>
                </c:pt>
                <c:pt idx="6">
                  <c:v>0.22712146422628951</c:v>
                </c:pt>
                <c:pt idx="7">
                  <c:v>0.18508771929824563</c:v>
                </c:pt>
                <c:pt idx="8">
                  <c:v>0.14977578475336326</c:v>
                </c:pt>
              </c:numCache>
            </c:numRef>
          </c:val>
          <c:extLst>
            <c:ext xmlns:c16="http://schemas.microsoft.com/office/drawing/2014/chart" uri="{C3380CC4-5D6E-409C-BE32-E72D297353CC}">
              <c16:uniqueId val="{00000000-F878-4083-BCE4-6879CC685795}"/>
            </c:ext>
          </c:extLst>
        </c:ser>
        <c:dLbls>
          <c:showLegendKey val="0"/>
          <c:showVal val="0"/>
          <c:showCatName val="0"/>
          <c:showSerName val="0"/>
          <c:showPercent val="0"/>
          <c:showBubbleSize val="0"/>
        </c:dLbls>
        <c:gapWidth val="30"/>
        <c:overlap val="-27"/>
        <c:axId val="1990263711"/>
        <c:axId val="1990255551"/>
      </c:barChart>
      <c:catAx>
        <c:axId val="199026371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990255551"/>
        <c:crosses val="autoZero"/>
        <c:auto val="1"/>
        <c:lblAlgn val="ctr"/>
        <c:lblOffset val="100"/>
        <c:noMultiLvlLbl val="0"/>
      </c:catAx>
      <c:valAx>
        <c:axId val="1990255551"/>
        <c:scaling>
          <c:orientation val="minMax"/>
        </c:scaling>
        <c:delete val="1"/>
        <c:axPos val="l"/>
        <c:numFmt formatCode="0.0%" sourceLinked="1"/>
        <c:majorTickMark val="out"/>
        <c:minorTickMark val="none"/>
        <c:tickLblPos val="nextTo"/>
        <c:crossAx val="19902637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Analysis!$H$3910:$P$3910</c:f>
              <c:numCache>
                <c:formatCode>0%</c:formatCode>
                <c:ptCount val="9"/>
                <c:pt idx="0">
                  <c:v>-8.1472540736270416E-2</c:v>
                </c:pt>
                <c:pt idx="1">
                  <c:v>-5.4820415879016982E-2</c:v>
                </c:pt>
                <c:pt idx="2">
                  <c:v>-5.3934010152284273E-2</c:v>
                </c:pt>
                <c:pt idx="3">
                  <c:v>-8.3906210392902358E-2</c:v>
                </c:pt>
                <c:pt idx="4">
                  <c:v>-9.2641261498028871E-2</c:v>
                </c:pt>
                <c:pt idx="5">
                  <c:v>-0.15666666666666662</c:v>
                </c:pt>
                <c:pt idx="6">
                  <c:v>-0.19382964453386986</c:v>
                </c:pt>
                <c:pt idx="7">
                  <c:v>-0.21139792860522588</c:v>
                </c:pt>
                <c:pt idx="8">
                  <c:v>-0.19261404779145541</c:v>
                </c:pt>
              </c:numCache>
            </c:numRef>
          </c:val>
          <c:smooth val="0"/>
          <c:extLst>
            <c:ext xmlns:c16="http://schemas.microsoft.com/office/drawing/2014/chart" uri="{C3380CC4-5D6E-409C-BE32-E72D297353CC}">
              <c16:uniqueId val="{00000000-F05F-4649-B0FD-B1059BD84123}"/>
            </c:ext>
          </c:extLst>
        </c:ser>
        <c:dLbls>
          <c:showLegendKey val="0"/>
          <c:showVal val="0"/>
          <c:showCatName val="0"/>
          <c:showSerName val="0"/>
          <c:showPercent val="0"/>
          <c:showBubbleSize val="0"/>
        </c:dLbls>
        <c:smooth val="0"/>
        <c:axId val="312781311"/>
        <c:axId val="312791391"/>
      </c:lineChart>
      <c:catAx>
        <c:axId val="31278131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12791391"/>
        <c:crosses val="autoZero"/>
        <c:auto val="1"/>
        <c:lblAlgn val="ctr"/>
        <c:lblOffset val="100"/>
        <c:noMultiLvlLbl val="0"/>
      </c:catAx>
      <c:valAx>
        <c:axId val="312791391"/>
        <c:scaling>
          <c:orientation val="minMax"/>
        </c:scaling>
        <c:delete val="1"/>
        <c:axPos val="l"/>
        <c:numFmt formatCode="0%" sourceLinked="1"/>
        <c:majorTickMark val="out"/>
        <c:minorTickMark val="none"/>
        <c:tickLblPos val="nextTo"/>
        <c:crossAx val="3127813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Analysis!$H$3926:$P$3926</c:f>
              <c:numCache>
                <c:formatCode>#,##0</c:formatCode>
                <c:ptCount val="9"/>
                <c:pt idx="0">
                  <c:v>15497.624515699234</c:v>
                </c:pt>
                <c:pt idx="1">
                  <c:v>15207.260240372821</c:v>
                </c:pt>
                <c:pt idx="2">
                  <c:v>15156.29196296167</c:v>
                </c:pt>
                <c:pt idx="3">
                  <c:v>14750.404844047023</c:v>
                </c:pt>
                <c:pt idx="4">
                  <c:v>14394.736998637851</c:v>
                </c:pt>
                <c:pt idx="5">
                  <c:v>13339.424394700776</c:v>
                </c:pt>
                <c:pt idx="6">
                  <c:v>13085.904450335609</c:v>
                </c:pt>
                <c:pt idx="7">
                  <c:v>12870.965647119941</c:v>
                </c:pt>
                <c:pt idx="8">
                  <c:v>13115.460488665361</c:v>
                </c:pt>
              </c:numCache>
            </c:numRef>
          </c:val>
          <c:extLst>
            <c:ext xmlns:c16="http://schemas.microsoft.com/office/drawing/2014/chart" uri="{C3380CC4-5D6E-409C-BE32-E72D297353CC}">
              <c16:uniqueId val="{00000000-BA0C-4D6D-A91C-AF8021E2E75B}"/>
            </c:ext>
          </c:extLst>
        </c:ser>
        <c:dLbls>
          <c:showLegendKey val="0"/>
          <c:showVal val="0"/>
          <c:showCatName val="0"/>
          <c:showSerName val="0"/>
          <c:showPercent val="0"/>
          <c:showBubbleSize val="0"/>
        </c:dLbls>
        <c:gapWidth val="30"/>
        <c:overlap val="-27"/>
        <c:axId val="167496031"/>
        <c:axId val="167519071"/>
      </c:barChart>
      <c:catAx>
        <c:axId val="16749603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7519071"/>
        <c:crosses val="autoZero"/>
        <c:auto val="1"/>
        <c:lblAlgn val="ctr"/>
        <c:lblOffset val="100"/>
        <c:noMultiLvlLbl val="0"/>
      </c:catAx>
      <c:valAx>
        <c:axId val="167519071"/>
        <c:scaling>
          <c:orientation val="minMax"/>
        </c:scaling>
        <c:delete val="1"/>
        <c:axPos val="l"/>
        <c:numFmt formatCode="#,##0" sourceLinked="1"/>
        <c:majorTickMark val="out"/>
        <c:minorTickMark val="none"/>
        <c:tickLblPos val="nextTo"/>
        <c:crossAx val="16749603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Analysis!$B$3912</c:f>
              <c:strCache>
                <c:ptCount val="1"/>
                <c:pt idx="0">
                  <c:v>Res fixed service revenue</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Analysis!$H$3912:$P$3912</c:f>
              <c:numCache>
                <c:formatCode>General</c:formatCode>
                <c:ptCount val="9"/>
                <c:pt idx="0">
                  <c:v>132.6</c:v>
                </c:pt>
                <c:pt idx="1">
                  <c:v>130.19999999999999</c:v>
                </c:pt>
                <c:pt idx="2">
                  <c:v>129.80000000000001</c:v>
                </c:pt>
                <c:pt idx="3" formatCode="0.0">
                  <c:v>125.69999999999993</c:v>
                </c:pt>
                <c:pt idx="4" formatCode="0.0">
                  <c:v>121</c:v>
                </c:pt>
                <c:pt idx="5">
                  <c:v>109.5</c:v>
                </c:pt>
                <c:pt idx="6">
                  <c:v>104.4</c:v>
                </c:pt>
                <c:pt idx="7">
                  <c:v>99.1</c:v>
                </c:pt>
                <c:pt idx="8" formatCode="0.0">
                  <c:v>97.4</c:v>
                </c:pt>
              </c:numCache>
            </c:numRef>
          </c:val>
          <c:extLst>
            <c:ext xmlns:c16="http://schemas.microsoft.com/office/drawing/2014/chart" uri="{C3380CC4-5D6E-409C-BE32-E72D297353CC}">
              <c16:uniqueId val="{00000000-42DB-4F99-AFEC-762D11158D87}"/>
            </c:ext>
          </c:extLst>
        </c:ser>
        <c:ser>
          <c:idx val="1"/>
          <c:order val="1"/>
          <c:tx>
            <c:v>Other VTR revenue (inc mobile)</c:v>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Analysis!$H$3913:$P$3913</c:f>
              <c:numCache>
                <c:formatCode>0.0</c:formatCode>
                <c:ptCount val="9"/>
                <c:pt idx="0">
                  <c:v>19.599999999999994</c:v>
                </c:pt>
                <c:pt idx="1">
                  <c:v>19.800000000000011</c:v>
                </c:pt>
                <c:pt idx="2">
                  <c:v>19.299999999999983</c:v>
                </c:pt>
                <c:pt idx="3">
                  <c:v>18.859600000000086</c:v>
                </c:pt>
                <c:pt idx="4">
                  <c:v>17.099999999999994</c:v>
                </c:pt>
                <c:pt idx="5">
                  <c:v>17</c:v>
                </c:pt>
                <c:pt idx="6">
                  <c:v>15.799999999999997</c:v>
                </c:pt>
                <c:pt idx="7">
                  <c:v>14.900000000000006</c:v>
                </c:pt>
                <c:pt idx="8">
                  <c:v>14.099999999999994</c:v>
                </c:pt>
              </c:numCache>
            </c:numRef>
          </c:val>
          <c:extLst>
            <c:ext xmlns:c16="http://schemas.microsoft.com/office/drawing/2014/chart" uri="{C3380CC4-5D6E-409C-BE32-E72D297353CC}">
              <c16:uniqueId val="{00000001-42DB-4F99-AFEC-762D11158D87}"/>
            </c:ext>
          </c:extLst>
        </c:ser>
        <c:dLbls>
          <c:showLegendKey val="0"/>
          <c:showVal val="0"/>
          <c:showCatName val="0"/>
          <c:showSerName val="0"/>
          <c:showPercent val="0"/>
          <c:showBubbleSize val="0"/>
        </c:dLbls>
        <c:gapWidth val="30"/>
        <c:overlap val="100"/>
        <c:axId val="167496031"/>
        <c:axId val="167519071"/>
      </c:barChart>
      <c:catAx>
        <c:axId val="16749603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7519071"/>
        <c:crosses val="autoZero"/>
        <c:auto val="1"/>
        <c:lblAlgn val="ctr"/>
        <c:lblOffset val="100"/>
        <c:noMultiLvlLbl val="0"/>
      </c:catAx>
      <c:valAx>
        <c:axId val="167519071"/>
        <c:scaling>
          <c:orientation val="minMax"/>
        </c:scaling>
        <c:delete val="1"/>
        <c:axPos val="l"/>
        <c:numFmt formatCode="General" sourceLinked="1"/>
        <c:majorTickMark val="out"/>
        <c:minorTickMark val="none"/>
        <c:tickLblPos val="nextTo"/>
        <c:crossAx val="16749603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Analysis!$H$3941:$P$3941</c:f>
              <c:numCache>
                <c:formatCode>General</c:formatCode>
                <c:ptCount val="9"/>
                <c:pt idx="0">
                  <c:v>101.29999999999998</c:v>
                </c:pt>
                <c:pt idx="1">
                  <c:v>100.6</c:v>
                </c:pt>
                <c:pt idx="2">
                  <c:v>98.8</c:v>
                </c:pt>
                <c:pt idx="3" formatCode="0.0">
                  <c:v>98.82650000000001</c:v>
                </c:pt>
                <c:pt idx="4">
                  <c:v>101.5</c:v>
                </c:pt>
                <c:pt idx="5">
                  <c:v>96.7</c:v>
                </c:pt>
                <c:pt idx="6">
                  <c:v>92.9</c:v>
                </c:pt>
                <c:pt idx="7">
                  <c:v>92.9</c:v>
                </c:pt>
                <c:pt idx="8">
                  <c:v>94.8</c:v>
                </c:pt>
              </c:numCache>
            </c:numRef>
          </c:val>
          <c:extLst>
            <c:ext xmlns:c16="http://schemas.microsoft.com/office/drawing/2014/chart" uri="{C3380CC4-5D6E-409C-BE32-E72D297353CC}">
              <c16:uniqueId val="{00000000-D71A-4B94-8DB1-6BBE781B62BA}"/>
            </c:ext>
          </c:extLst>
        </c:ser>
        <c:dLbls>
          <c:showLegendKey val="0"/>
          <c:showVal val="0"/>
          <c:showCatName val="0"/>
          <c:showSerName val="0"/>
          <c:showPercent val="0"/>
          <c:showBubbleSize val="0"/>
        </c:dLbls>
        <c:gapWidth val="30"/>
        <c:overlap val="-27"/>
        <c:axId val="167496031"/>
        <c:axId val="167519071"/>
      </c:barChart>
      <c:catAx>
        <c:axId val="16749603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7519071"/>
        <c:crosses val="autoZero"/>
        <c:auto val="1"/>
        <c:lblAlgn val="ctr"/>
        <c:lblOffset val="100"/>
        <c:noMultiLvlLbl val="0"/>
      </c:catAx>
      <c:valAx>
        <c:axId val="167519071"/>
        <c:scaling>
          <c:orientation val="minMax"/>
        </c:scaling>
        <c:delete val="1"/>
        <c:axPos val="l"/>
        <c:numFmt formatCode="General" sourceLinked="1"/>
        <c:majorTickMark val="out"/>
        <c:minorTickMark val="none"/>
        <c:tickLblPos val="nextTo"/>
        <c:crossAx val="16749603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Analysis!$F$3973:$V$3973</c:f>
              <c:numCache>
                <c:formatCode>mmm\-yy</c:formatCode>
                <c:ptCount val="17"/>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numCache>
            </c:numRef>
          </c:cat>
          <c:val>
            <c:numRef>
              <c:f>Analysis!$F$3974:$V$3974</c:f>
              <c:numCache>
                <c:formatCode>0.0%</c:formatCode>
                <c:ptCount val="17"/>
                <c:pt idx="0">
                  <c:v>7.6999999999999999E-2</c:v>
                </c:pt>
                <c:pt idx="1">
                  <c:v>7.8E-2</c:v>
                </c:pt>
                <c:pt idx="2">
                  <c:v>9.4E-2</c:v>
                </c:pt>
                <c:pt idx="3">
                  <c:v>0.105</c:v>
                </c:pt>
                <c:pt idx="4">
                  <c:v>0.115</c:v>
                </c:pt>
                <c:pt idx="5">
                  <c:v>0.125</c:v>
                </c:pt>
                <c:pt idx="6">
                  <c:v>0.13100000000000001</c:v>
                </c:pt>
                <c:pt idx="7">
                  <c:v>0.14099999999999999</c:v>
                </c:pt>
                <c:pt idx="8">
                  <c:v>0.13700000000000001</c:v>
                </c:pt>
                <c:pt idx="9">
                  <c:v>0.128</c:v>
                </c:pt>
                <c:pt idx="10">
                  <c:v>0.13300000000000001</c:v>
                </c:pt>
                <c:pt idx="11">
                  <c:v>0.128</c:v>
                </c:pt>
                <c:pt idx="12">
                  <c:v>0.123</c:v>
                </c:pt>
                <c:pt idx="13">
                  <c:v>0.11899999999999999</c:v>
                </c:pt>
                <c:pt idx="14">
                  <c:v>0.111</c:v>
                </c:pt>
                <c:pt idx="15">
                  <c:v>9.9000000000000005E-2</c:v>
                </c:pt>
                <c:pt idx="16">
                  <c:v>8.6999999999999994E-2</c:v>
                </c:pt>
              </c:numCache>
            </c:numRef>
          </c:val>
          <c:smooth val="0"/>
          <c:extLst>
            <c:ext xmlns:c16="http://schemas.microsoft.com/office/drawing/2014/chart" uri="{C3380CC4-5D6E-409C-BE32-E72D297353CC}">
              <c16:uniqueId val="{00000000-5EC8-49C8-A6C3-7973D3BC36A0}"/>
            </c:ext>
          </c:extLst>
        </c:ser>
        <c:dLbls>
          <c:showLegendKey val="0"/>
          <c:showVal val="0"/>
          <c:showCatName val="0"/>
          <c:showSerName val="0"/>
          <c:showPercent val="0"/>
          <c:showBubbleSize val="0"/>
        </c:dLbls>
        <c:smooth val="0"/>
        <c:axId val="924075487"/>
        <c:axId val="924076447"/>
      </c:lineChart>
      <c:dateAx>
        <c:axId val="924075487"/>
        <c:scaling>
          <c:orientation val="minMax"/>
        </c:scaling>
        <c:delete val="0"/>
        <c:axPos val="b"/>
        <c:numFmt formatCode="mmm\-yy"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924076447"/>
        <c:crosses val="autoZero"/>
        <c:auto val="1"/>
        <c:lblOffset val="100"/>
        <c:baseTimeUnit val="months"/>
      </c:dateAx>
      <c:valAx>
        <c:axId val="924076447"/>
        <c:scaling>
          <c:orientation val="minMax"/>
        </c:scaling>
        <c:delete val="1"/>
        <c:axPos val="l"/>
        <c:numFmt formatCode="0.0%" sourceLinked="1"/>
        <c:majorTickMark val="out"/>
        <c:minorTickMark val="none"/>
        <c:tickLblPos val="nextTo"/>
        <c:crossAx val="92407548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Analysis!$H$3944:$P$3944</c:f>
              <c:numCache>
                <c:formatCode>0%</c:formatCode>
                <c:ptCount val="9"/>
                <c:pt idx="0">
                  <c:v>0.22207621550591328</c:v>
                </c:pt>
                <c:pt idx="1">
                  <c:v>0.26733333333333337</c:v>
                </c:pt>
                <c:pt idx="2">
                  <c:v>0.28705566733735749</c:v>
                </c:pt>
                <c:pt idx="3">
                  <c:v>0.23450535280949855</c:v>
                </c:pt>
                <c:pt idx="4">
                  <c:v>0.26140477914554672</c:v>
                </c:pt>
                <c:pt idx="5">
                  <c:v>0.23399209486166009</c:v>
                </c:pt>
                <c:pt idx="6">
                  <c:v>0.21214642262895175</c:v>
                </c:pt>
                <c:pt idx="7">
                  <c:v>0.24035087719298245</c:v>
                </c:pt>
                <c:pt idx="8">
                  <c:v>0.21793721973094171</c:v>
                </c:pt>
              </c:numCache>
            </c:numRef>
          </c:val>
          <c:extLst>
            <c:ext xmlns:c16="http://schemas.microsoft.com/office/drawing/2014/chart" uri="{C3380CC4-5D6E-409C-BE32-E72D297353CC}">
              <c16:uniqueId val="{00000000-CDA9-4FCD-8AA7-CF28999E9DC1}"/>
            </c:ext>
          </c:extLst>
        </c:ser>
        <c:dLbls>
          <c:showLegendKey val="0"/>
          <c:showVal val="0"/>
          <c:showCatName val="0"/>
          <c:showSerName val="0"/>
          <c:showPercent val="0"/>
          <c:showBubbleSize val="0"/>
        </c:dLbls>
        <c:gapWidth val="30"/>
        <c:overlap val="-27"/>
        <c:axId val="924083647"/>
        <c:axId val="924102847"/>
      </c:barChart>
      <c:catAx>
        <c:axId val="92408364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924102847"/>
        <c:crosses val="autoZero"/>
        <c:auto val="1"/>
        <c:lblAlgn val="ctr"/>
        <c:lblOffset val="100"/>
        <c:noMultiLvlLbl val="0"/>
      </c:catAx>
      <c:valAx>
        <c:axId val="924102847"/>
        <c:scaling>
          <c:orientation val="minMax"/>
        </c:scaling>
        <c:delete val="1"/>
        <c:axPos val="l"/>
        <c:numFmt formatCode="0%" sourceLinked="1"/>
        <c:majorTickMark val="out"/>
        <c:minorTickMark val="none"/>
        <c:tickLblPos val="nextTo"/>
        <c:crossAx val="92408364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Analysis!$H$3908:$P$3908</c:f>
              <c:strCache>
                <c:ptCount val="9"/>
                <c:pt idx="0">
                  <c:v>Q1 21</c:v>
                </c:pt>
                <c:pt idx="1">
                  <c:v>Q2 21</c:v>
                </c:pt>
                <c:pt idx="2">
                  <c:v>Q3 21</c:v>
                </c:pt>
                <c:pt idx="3">
                  <c:v>Q4 21</c:v>
                </c:pt>
                <c:pt idx="4">
                  <c:v>Q1 22</c:v>
                </c:pt>
                <c:pt idx="5">
                  <c:v>Q2 22</c:v>
                </c:pt>
                <c:pt idx="6">
                  <c:v>Q3 22</c:v>
                </c:pt>
                <c:pt idx="7">
                  <c:v>Q4 22</c:v>
                </c:pt>
                <c:pt idx="8">
                  <c:v>Q1 23</c:v>
                </c:pt>
              </c:strCache>
            </c:strRef>
          </c:cat>
          <c:val>
            <c:numRef>
              <c:f>Analysis!$H$3947:$P$3947</c:f>
              <c:numCache>
                <c:formatCode>0%</c:formatCode>
                <c:ptCount val="9"/>
                <c:pt idx="0">
                  <c:v>0.1123521681997372</c:v>
                </c:pt>
                <c:pt idx="1">
                  <c:v>6.1999999999999937E-2</c:v>
                </c:pt>
                <c:pt idx="2">
                  <c:v>5.030181086519115E-2</c:v>
                </c:pt>
                <c:pt idx="3">
                  <c:v>8.1856203254574642E-2</c:v>
                </c:pt>
                <c:pt idx="4">
                  <c:v>3.6205648081100651E-3</c:v>
                </c:pt>
                <c:pt idx="5">
                  <c:v>1.5810276679841841E-3</c:v>
                </c:pt>
                <c:pt idx="6">
                  <c:v>1.4975041597337776E-2</c:v>
                </c:pt>
                <c:pt idx="7">
                  <c:v>-5.526315789473682E-2</c:v>
                </c:pt>
                <c:pt idx="8">
                  <c:v>-6.8161434977578456E-2</c:v>
                </c:pt>
              </c:numCache>
            </c:numRef>
          </c:val>
          <c:extLst>
            <c:ext xmlns:c16="http://schemas.microsoft.com/office/drawing/2014/chart" uri="{C3380CC4-5D6E-409C-BE32-E72D297353CC}">
              <c16:uniqueId val="{00000000-68FA-4DB8-9DB7-655DDB11FC8C}"/>
            </c:ext>
          </c:extLst>
        </c:ser>
        <c:dLbls>
          <c:showLegendKey val="0"/>
          <c:showVal val="0"/>
          <c:showCatName val="0"/>
          <c:showSerName val="0"/>
          <c:showPercent val="0"/>
          <c:showBubbleSize val="0"/>
        </c:dLbls>
        <c:gapWidth val="30"/>
        <c:overlap val="-27"/>
        <c:axId val="924083647"/>
        <c:axId val="924102847"/>
      </c:barChart>
      <c:catAx>
        <c:axId val="924083647"/>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924102847"/>
        <c:crosses val="autoZero"/>
        <c:auto val="1"/>
        <c:lblAlgn val="ctr"/>
        <c:lblOffset val="100"/>
        <c:noMultiLvlLbl val="0"/>
      </c:catAx>
      <c:valAx>
        <c:axId val="924102847"/>
        <c:scaling>
          <c:orientation val="minMax"/>
        </c:scaling>
        <c:delete val="1"/>
        <c:axPos val="l"/>
        <c:numFmt formatCode="0%" sourceLinked="1"/>
        <c:majorTickMark val="out"/>
        <c:minorTickMark val="none"/>
        <c:tickLblPos val="nextTo"/>
        <c:crossAx val="92408364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Analysis!$B$4031:$B$4038</c:f>
              <c:strCache>
                <c:ptCount val="8"/>
                <c:pt idx="0">
                  <c:v>3x 2023a FCF</c:v>
                </c:pt>
                <c:pt idx="1">
                  <c:v>Incremental EBITDA @ 5% CAGR</c:v>
                </c:pt>
                <c:pt idx="2">
                  <c:v>Higher capex</c:v>
                </c:pt>
                <c:pt idx="3">
                  <c:v>Tax</c:v>
                </c:pt>
                <c:pt idx="4">
                  <c:v>Refinancing</c:v>
                </c:pt>
                <c:pt idx="5">
                  <c:v>Repaid Panama vendor financing</c:v>
                </c:pt>
                <c:pt idx="6">
                  <c:v>Tax from tower sale</c:v>
                </c:pt>
                <c:pt idx="7">
                  <c:v>2023-2026 cumulative FCF</c:v>
                </c:pt>
              </c:strCache>
            </c:strRef>
          </c:cat>
          <c:val>
            <c:numRef>
              <c:f>Analysis!$C$4031:$C$4038</c:f>
              <c:numCache>
                <c:formatCode>General</c:formatCode>
                <c:ptCount val="8"/>
                <c:pt idx="0">
                  <c:v>0</c:v>
                </c:pt>
                <c:pt idx="1">
                  <c:v>819</c:v>
                </c:pt>
                <c:pt idx="2" formatCode="0">
                  <c:v>1321.8327500000005</c:v>
                </c:pt>
                <c:pt idx="3" formatCode="0">
                  <c:v>1201.1528900000003</c:v>
                </c:pt>
                <c:pt idx="4" formatCode="0">
                  <c:v>1051.1528900000003</c:v>
                </c:pt>
                <c:pt idx="5" formatCode="0">
                  <c:v>996.1528900000003</c:v>
                </c:pt>
                <c:pt idx="6" formatCode="0">
                  <c:v>951.1528900000003</c:v>
                </c:pt>
              </c:numCache>
            </c:numRef>
          </c:val>
          <c:extLst>
            <c:ext xmlns:c16="http://schemas.microsoft.com/office/drawing/2014/chart" uri="{C3380CC4-5D6E-409C-BE32-E72D297353CC}">
              <c16:uniqueId val="{00000000-C8A4-4460-AEE8-6D35B2711F25}"/>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C8A4-4460-AEE8-6D35B2711F25}"/>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C8A4-4460-AEE8-6D35B2711F25}"/>
              </c:ext>
            </c:extLst>
          </c:dPt>
          <c:dPt>
            <c:idx val="8"/>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C8A4-4460-AEE8-6D35B2711F25}"/>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Analysis!$B$4031:$B$4038</c:f>
              <c:strCache>
                <c:ptCount val="8"/>
                <c:pt idx="0">
                  <c:v>3x 2023a FCF</c:v>
                </c:pt>
                <c:pt idx="1">
                  <c:v>Incremental EBITDA @ 5% CAGR</c:v>
                </c:pt>
                <c:pt idx="2">
                  <c:v>Higher capex</c:v>
                </c:pt>
                <c:pt idx="3">
                  <c:v>Tax</c:v>
                </c:pt>
                <c:pt idx="4">
                  <c:v>Refinancing</c:v>
                </c:pt>
                <c:pt idx="5">
                  <c:v>Repaid Panama vendor financing</c:v>
                </c:pt>
                <c:pt idx="6">
                  <c:v>Tax from tower sale</c:v>
                </c:pt>
                <c:pt idx="7">
                  <c:v>2023-2026 cumulative FCF</c:v>
                </c:pt>
              </c:strCache>
            </c:strRef>
          </c:cat>
          <c:val>
            <c:numRef>
              <c:f>Analysis!$D$4031:$D$4038</c:f>
              <c:numCache>
                <c:formatCode>0</c:formatCode>
                <c:ptCount val="8"/>
                <c:pt idx="0" formatCode="General">
                  <c:v>819</c:v>
                </c:pt>
                <c:pt idx="1">
                  <c:v>527.83275000000049</c:v>
                </c:pt>
                <c:pt idx="2" formatCode="General">
                  <c:v>25</c:v>
                </c:pt>
                <c:pt idx="3">
                  <c:v>120.67986000000012</c:v>
                </c:pt>
                <c:pt idx="4" formatCode="General">
                  <c:v>150</c:v>
                </c:pt>
                <c:pt idx="5" formatCode="General">
                  <c:v>55</c:v>
                </c:pt>
                <c:pt idx="6" formatCode="General">
                  <c:v>45</c:v>
                </c:pt>
                <c:pt idx="7">
                  <c:v>951.1528900000003</c:v>
                </c:pt>
              </c:numCache>
            </c:numRef>
          </c:val>
          <c:extLst>
            <c:ext xmlns:c16="http://schemas.microsoft.com/office/drawing/2014/chart" uri="{C3380CC4-5D6E-409C-BE32-E72D297353CC}">
              <c16:uniqueId val="{00000001-C8A4-4460-AEE8-6D35B2711F25}"/>
            </c:ext>
          </c:extLst>
        </c:ser>
        <c:dLbls>
          <c:showLegendKey val="0"/>
          <c:showVal val="0"/>
          <c:showCatName val="0"/>
          <c:showSerName val="0"/>
          <c:showPercent val="0"/>
          <c:showBubbleSize val="0"/>
        </c:dLbls>
        <c:gapWidth val="30"/>
        <c:overlap val="100"/>
        <c:axId val="1524724799"/>
        <c:axId val="1259552367"/>
      </c:barChart>
      <c:catAx>
        <c:axId val="1524724799"/>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59552367"/>
        <c:crosses val="autoZero"/>
        <c:auto val="1"/>
        <c:lblAlgn val="ctr"/>
        <c:lblOffset val="100"/>
        <c:noMultiLvlLbl val="0"/>
      </c:catAx>
      <c:valAx>
        <c:axId val="1259552367"/>
        <c:scaling>
          <c:orientation val="minMax"/>
        </c:scaling>
        <c:delete val="1"/>
        <c:axPos val="l"/>
        <c:numFmt formatCode="General" sourceLinked="1"/>
        <c:majorTickMark val="out"/>
        <c:minorTickMark val="none"/>
        <c:tickLblPos val="nextTo"/>
        <c:crossAx val="15247247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Analysis!$B$4042:$B$4049</c:f>
              <c:strCache>
                <c:ptCount val="8"/>
                <c:pt idx="0">
                  <c:v>3x 2023a FCF</c:v>
                </c:pt>
                <c:pt idx="1">
                  <c:v>Incremental EBITDA @ 8% CAGR</c:v>
                </c:pt>
                <c:pt idx="2">
                  <c:v>Higher capex</c:v>
                </c:pt>
                <c:pt idx="3">
                  <c:v>Tax</c:v>
                </c:pt>
                <c:pt idx="4">
                  <c:v>Refinancing</c:v>
                </c:pt>
                <c:pt idx="5">
                  <c:v>Repaid Panama vendor financing</c:v>
                </c:pt>
                <c:pt idx="6">
                  <c:v>Tax from tower sale</c:v>
                </c:pt>
                <c:pt idx="7">
                  <c:v>2023-2026 cumulative FCF</c:v>
                </c:pt>
              </c:strCache>
            </c:strRef>
          </c:cat>
          <c:val>
            <c:numRef>
              <c:f>Analysis!$C$4042:$C$4049</c:f>
              <c:numCache>
                <c:formatCode>General</c:formatCode>
                <c:ptCount val="8"/>
                <c:pt idx="0">
                  <c:v>0</c:v>
                </c:pt>
                <c:pt idx="1">
                  <c:v>819</c:v>
                </c:pt>
                <c:pt idx="2" formatCode="0">
                  <c:v>1655.4026240000005</c:v>
                </c:pt>
                <c:pt idx="3" formatCode="0">
                  <c:v>1454.6659942400004</c:v>
                </c:pt>
                <c:pt idx="4" formatCode="0">
                  <c:v>1304.6659942400004</c:v>
                </c:pt>
                <c:pt idx="5" formatCode="0">
                  <c:v>1249.6659942400004</c:v>
                </c:pt>
                <c:pt idx="6" formatCode="0">
                  <c:v>1204.6659942400004</c:v>
                </c:pt>
              </c:numCache>
            </c:numRef>
          </c:val>
          <c:extLst>
            <c:ext xmlns:c16="http://schemas.microsoft.com/office/drawing/2014/chart" uri="{C3380CC4-5D6E-409C-BE32-E72D297353CC}">
              <c16:uniqueId val="{00000000-E2CC-4889-9EFB-5B24AF24C617}"/>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E2CC-4889-9EFB-5B24AF24C617}"/>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E2CC-4889-9EFB-5B24AF24C617}"/>
              </c:ext>
            </c:extLst>
          </c:dPt>
          <c:dPt>
            <c:idx val="8"/>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E2CC-4889-9EFB-5B24AF24C61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Analysis!$B$4042:$B$4049</c:f>
              <c:strCache>
                <c:ptCount val="8"/>
                <c:pt idx="0">
                  <c:v>3x 2023a FCF</c:v>
                </c:pt>
                <c:pt idx="1">
                  <c:v>Incremental EBITDA @ 8% CAGR</c:v>
                </c:pt>
                <c:pt idx="2">
                  <c:v>Higher capex</c:v>
                </c:pt>
                <c:pt idx="3">
                  <c:v>Tax</c:v>
                </c:pt>
                <c:pt idx="4">
                  <c:v>Refinancing</c:v>
                </c:pt>
                <c:pt idx="5">
                  <c:v>Repaid Panama vendor financing</c:v>
                </c:pt>
                <c:pt idx="6">
                  <c:v>Tax from tower sale</c:v>
                </c:pt>
                <c:pt idx="7">
                  <c:v>2023-2026 cumulative FCF</c:v>
                </c:pt>
              </c:strCache>
            </c:strRef>
          </c:cat>
          <c:val>
            <c:numRef>
              <c:f>Analysis!$D$4042:$D$4049</c:f>
              <c:numCache>
                <c:formatCode>0</c:formatCode>
                <c:ptCount val="8"/>
                <c:pt idx="0" formatCode="General">
                  <c:v>819</c:v>
                </c:pt>
                <c:pt idx="1">
                  <c:v>861.40262400000051</c:v>
                </c:pt>
                <c:pt idx="2" formatCode="General">
                  <c:v>25</c:v>
                </c:pt>
                <c:pt idx="3">
                  <c:v>200.73662976000011</c:v>
                </c:pt>
                <c:pt idx="4" formatCode="General">
                  <c:v>150</c:v>
                </c:pt>
                <c:pt idx="5" formatCode="General">
                  <c:v>55</c:v>
                </c:pt>
                <c:pt idx="6" formatCode="General">
                  <c:v>45</c:v>
                </c:pt>
                <c:pt idx="7">
                  <c:v>1204.6659942400004</c:v>
                </c:pt>
              </c:numCache>
            </c:numRef>
          </c:val>
          <c:extLst>
            <c:ext xmlns:c16="http://schemas.microsoft.com/office/drawing/2014/chart" uri="{C3380CC4-5D6E-409C-BE32-E72D297353CC}">
              <c16:uniqueId val="{00000005-E2CC-4889-9EFB-5B24AF24C617}"/>
            </c:ext>
          </c:extLst>
        </c:ser>
        <c:dLbls>
          <c:showLegendKey val="0"/>
          <c:showVal val="0"/>
          <c:showCatName val="0"/>
          <c:showSerName val="0"/>
          <c:showPercent val="0"/>
          <c:showBubbleSize val="0"/>
        </c:dLbls>
        <c:gapWidth val="30"/>
        <c:overlap val="100"/>
        <c:axId val="1524724799"/>
        <c:axId val="1259552367"/>
      </c:barChart>
      <c:catAx>
        <c:axId val="1524724799"/>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59552367"/>
        <c:crosses val="autoZero"/>
        <c:auto val="1"/>
        <c:lblAlgn val="ctr"/>
        <c:lblOffset val="100"/>
        <c:noMultiLvlLbl val="0"/>
      </c:catAx>
      <c:valAx>
        <c:axId val="1259552367"/>
        <c:scaling>
          <c:orientation val="minMax"/>
        </c:scaling>
        <c:delete val="1"/>
        <c:axPos val="l"/>
        <c:numFmt formatCode="General" sourceLinked="1"/>
        <c:majorTickMark val="out"/>
        <c:minorTickMark val="none"/>
        <c:tickLblPos val="nextTo"/>
        <c:crossAx val="15247247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Analysis!$G$4057:$R$4057</c:f>
              <c:strCache>
                <c:ptCount val="12"/>
                <c:pt idx="0">
                  <c:v>Q1 22</c:v>
                </c:pt>
                <c:pt idx="1">
                  <c:v>Q2 22</c:v>
                </c:pt>
                <c:pt idx="2">
                  <c:v>Q3 22</c:v>
                </c:pt>
                <c:pt idx="3">
                  <c:v>Q4 22</c:v>
                </c:pt>
                <c:pt idx="4">
                  <c:v>Q1 23</c:v>
                </c:pt>
                <c:pt idx="5">
                  <c:v>Q2 23</c:v>
                </c:pt>
                <c:pt idx="6">
                  <c:v>Q3 23</c:v>
                </c:pt>
                <c:pt idx="7">
                  <c:v>Q4 23</c:v>
                </c:pt>
                <c:pt idx="8">
                  <c:v>Q1 24</c:v>
                </c:pt>
                <c:pt idx="9">
                  <c:v>Q2 24</c:v>
                </c:pt>
                <c:pt idx="10">
                  <c:v>Q3 24</c:v>
                </c:pt>
                <c:pt idx="11">
                  <c:v>Q4 24e</c:v>
                </c:pt>
              </c:strCache>
            </c:strRef>
          </c:cat>
          <c:val>
            <c:numRef>
              <c:f>Analysis!$G$4058:$R$4058</c:f>
              <c:numCache>
                <c:formatCode>0%</c:formatCode>
                <c:ptCount val="12"/>
                <c:pt idx="0">
                  <c:v>9.0827338129496393E-2</c:v>
                </c:pt>
                <c:pt idx="1">
                  <c:v>5.856643356643354E-2</c:v>
                </c:pt>
                <c:pt idx="2">
                  <c:v>9.5155709342560346E-3</c:v>
                </c:pt>
                <c:pt idx="3">
                  <c:v>3.4393809114358964E-2</c:v>
                </c:pt>
                <c:pt idx="4">
                  <c:v>1.154163231657046E-2</c:v>
                </c:pt>
                <c:pt idx="5">
                  <c:v>4.9545829892650772E-2</c:v>
                </c:pt>
                <c:pt idx="6">
                  <c:v>9.8543273350471194E-2</c:v>
                </c:pt>
                <c:pt idx="7">
                  <c:v>4.9044056525353596E-2</c:v>
                </c:pt>
                <c:pt idx="8">
                  <c:v>1.9559902200488866E-2</c:v>
                </c:pt>
                <c:pt idx="9">
                  <c:v>-7.8678206136899576E-3</c:v>
                </c:pt>
                <c:pt idx="10">
                  <c:v>-4.1341653666146505E-2</c:v>
                </c:pt>
                <c:pt idx="11">
                  <c:v>-2.9025356576862005E-2</c:v>
                </c:pt>
              </c:numCache>
            </c:numRef>
          </c:val>
          <c:extLst>
            <c:ext xmlns:c16="http://schemas.microsoft.com/office/drawing/2014/chart" uri="{C3380CC4-5D6E-409C-BE32-E72D297353CC}">
              <c16:uniqueId val="{00000000-E238-444B-A446-0BB8DFA3CAE2}"/>
            </c:ext>
          </c:extLst>
        </c:ser>
        <c:dLbls>
          <c:showLegendKey val="0"/>
          <c:showVal val="0"/>
          <c:showCatName val="0"/>
          <c:showSerName val="0"/>
          <c:showPercent val="0"/>
          <c:showBubbleSize val="0"/>
        </c:dLbls>
        <c:gapWidth val="30"/>
        <c:overlap val="-27"/>
        <c:axId val="1394948735"/>
        <c:axId val="1180506047"/>
      </c:barChart>
      <c:catAx>
        <c:axId val="1394948735"/>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180506047"/>
        <c:crosses val="autoZero"/>
        <c:auto val="1"/>
        <c:lblAlgn val="ctr"/>
        <c:lblOffset val="100"/>
        <c:noMultiLvlLbl val="0"/>
      </c:catAx>
      <c:valAx>
        <c:axId val="1180506047"/>
        <c:scaling>
          <c:orientation val="minMax"/>
        </c:scaling>
        <c:delete val="1"/>
        <c:axPos val="l"/>
        <c:numFmt formatCode="0%" sourceLinked="1"/>
        <c:majorTickMark val="out"/>
        <c:minorTickMark val="none"/>
        <c:tickLblPos val="nextTo"/>
        <c:crossAx val="139494873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cat>
            <c:strRef>
              <c:f>Analysis!$B$4193:$B$4201</c:f>
              <c:strCache>
                <c:ptCount val="9"/>
                <c:pt idx="0">
                  <c:v>Q1 EBITDA</c:v>
                </c:pt>
                <c:pt idx="1">
                  <c:v>Inventory one-off</c:v>
                </c:pt>
                <c:pt idx="2">
                  <c:v>Integration/migration one-off</c:v>
                </c:pt>
                <c:pt idx="3">
                  <c:v>TSA </c:v>
                </c:pt>
                <c:pt idx="4">
                  <c:v>Headcount</c:v>
                </c:pt>
                <c:pt idx="5">
                  <c:v>Other cost</c:v>
                </c:pt>
                <c:pt idx="6">
                  <c:v>Price lift</c:v>
                </c:pt>
                <c:pt idx="7">
                  <c:v>Revenue (volume)</c:v>
                </c:pt>
                <c:pt idx="8">
                  <c:v>Targeted EBITDA</c:v>
                </c:pt>
              </c:strCache>
            </c:strRef>
          </c:cat>
          <c:val>
            <c:numRef>
              <c:f>Analysis!$C$4193:$C$4201</c:f>
              <c:numCache>
                <c:formatCode>0</c:formatCode>
                <c:ptCount val="9"/>
                <c:pt idx="0" formatCode="General">
                  <c:v>0</c:v>
                </c:pt>
                <c:pt idx="1">
                  <c:v>0</c:v>
                </c:pt>
                <c:pt idx="2">
                  <c:v>3</c:v>
                </c:pt>
                <c:pt idx="3">
                  <c:v>7.666666666666667</c:v>
                </c:pt>
                <c:pt idx="4">
                  <c:v>13.333333333333334</c:v>
                </c:pt>
                <c:pt idx="5">
                  <c:v>15.333333333333334</c:v>
                </c:pt>
                <c:pt idx="6">
                  <c:v>17.933333333333334</c:v>
                </c:pt>
                <c:pt idx="7">
                  <c:v>19.933333333333334</c:v>
                </c:pt>
                <c:pt idx="8">
                  <c:v>0</c:v>
                </c:pt>
              </c:numCache>
            </c:numRef>
          </c:val>
          <c:extLst>
            <c:ext xmlns:c16="http://schemas.microsoft.com/office/drawing/2014/chart" uri="{C3380CC4-5D6E-409C-BE32-E72D297353CC}">
              <c16:uniqueId val="{00000000-68EB-45EA-9924-DCBC6E7E51C0}"/>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E44F-490D-A4C6-4D79CA1B123D}"/>
              </c:ext>
            </c:extLst>
          </c:dPt>
          <c:dPt>
            <c:idx val="8"/>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E44F-490D-A4C6-4D79CA1B123D}"/>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Analysis!$B$4193:$B$4201</c:f>
              <c:strCache>
                <c:ptCount val="9"/>
                <c:pt idx="0">
                  <c:v>Q1 EBITDA</c:v>
                </c:pt>
                <c:pt idx="1">
                  <c:v>Inventory one-off</c:v>
                </c:pt>
                <c:pt idx="2">
                  <c:v>Integration/migration one-off</c:v>
                </c:pt>
                <c:pt idx="3">
                  <c:v>TSA </c:v>
                </c:pt>
                <c:pt idx="4">
                  <c:v>Headcount</c:v>
                </c:pt>
                <c:pt idx="5">
                  <c:v>Other cost</c:v>
                </c:pt>
                <c:pt idx="6">
                  <c:v>Price lift</c:v>
                </c:pt>
                <c:pt idx="7">
                  <c:v>Revenue (volume)</c:v>
                </c:pt>
                <c:pt idx="8">
                  <c:v>Targeted EBITDA</c:v>
                </c:pt>
              </c:strCache>
            </c:strRef>
          </c:cat>
          <c:val>
            <c:numRef>
              <c:f>Analysis!$D$4193:$D$4201</c:f>
              <c:numCache>
                <c:formatCode>General</c:formatCode>
                <c:ptCount val="9"/>
                <c:pt idx="0" formatCode="0">
                  <c:v>0</c:v>
                </c:pt>
                <c:pt idx="1">
                  <c:v>3</c:v>
                </c:pt>
                <c:pt idx="2" formatCode="0">
                  <c:v>4.666666666666667</c:v>
                </c:pt>
                <c:pt idx="3" formatCode="0">
                  <c:v>5.666666666666667</c:v>
                </c:pt>
                <c:pt idx="4">
                  <c:v>2</c:v>
                </c:pt>
                <c:pt idx="5" formatCode="0">
                  <c:v>2.6</c:v>
                </c:pt>
                <c:pt idx="6">
                  <c:v>2</c:v>
                </c:pt>
                <c:pt idx="7">
                  <c:v>2</c:v>
                </c:pt>
                <c:pt idx="8" formatCode="0">
                  <c:v>21.933333333333334</c:v>
                </c:pt>
              </c:numCache>
            </c:numRef>
          </c:val>
          <c:extLst>
            <c:ext xmlns:c16="http://schemas.microsoft.com/office/drawing/2014/chart" uri="{C3380CC4-5D6E-409C-BE32-E72D297353CC}">
              <c16:uniqueId val="{00000001-68EB-45EA-9924-DCBC6E7E51C0}"/>
            </c:ext>
          </c:extLst>
        </c:ser>
        <c:dLbls>
          <c:showLegendKey val="0"/>
          <c:showVal val="0"/>
          <c:showCatName val="0"/>
          <c:showSerName val="0"/>
          <c:showPercent val="0"/>
          <c:showBubbleSize val="0"/>
        </c:dLbls>
        <c:gapWidth val="30"/>
        <c:overlap val="100"/>
        <c:axId val="159094111"/>
        <c:axId val="159101311"/>
      </c:barChart>
      <c:catAx>
        <c:axId val="15909411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9101311"/>
        <c:crosses val="autoZero"/>
        <c:auto val="1"/>
        <c:lblAlgn val="ctr"/>
        <c:lblOffset val="100"/>
        <c:noMultiLvlLbl val="0"/>
      </c:catAx>
      <c:valAx>
        <c:axId val="159101311"/>
        <c:scaling>
          <c:orientation val="minMax"/>
        </c:scaling>
        <c:delete val="1"/>
        <c:axPos val="l"/>
        <c:numFmt formatCode="General" sourceLinked="1"/>
        <c:majorTickMark val="out"/>
        <c:minorTickMark val="none"/>
        <c:tickLblPos val="nextTo"/>
        <c:crossAx val="1590941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4"/>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A9A2-439B-99FF-5B64EB7BDB22}"/>
              </c:ext>
            </c:extLst>
          </c:dPt>
          <c:dPt>
            <c:idx val="5"/>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A9A2-439B-99FF-5B64EB7BDB22}"/>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Analysis!$C$4212:$H$4212</c:f>
              <c:strCache>
                <c:ptCount val="6"/>
                <c:pt idx="0">
                  <c:v>Q1 24</c:v>
                </c:pt>
                <c:pt idx="1">
                  <c:v>#REF!</c:v>
                </c:pt>
                <c:pt idx="2">
                  <c:v>#REF!</c:v>
                </c:pt>
                <c:pt idx="3">
                  <c:v>Q4 24e</c:v>
                </c:pt>
                <c:pt idx="4">
                  <c:v>2025e</c:v>
                </c:pt>
                <c:pt idx="5">
                  <c:v>2026e</c:v>
                </c:pt>
              </c:strCache>
            </c:strRef>
          </c:cat>
          <c:val>
            <c:numRef>
              <c:f>Analysis!$C$4213:$H$4213</c:f>
              <c:numCache>
                <c:formatCode>0.0</c:formatCode>
                <c:ptCount val="6"/>
                <c:pt idx="0">
                  <c:v>0</c:v>
                </c:pt>
                <c:pt idx="1">
                  <c:v>0</c:v>
                </c:pt>
                <c:pt idx="2">
                  <c:v>0</c:v>
                </c:pt>
                <c:pt idx="3">
                  <c:v>0</c:v>
                </c:pt>
                <c:pt idx="4">
                  <c:v>40.122983250600001</c:v>
                </c:pt>
                <c:pt idx="5">
                  <c:v>43.052339421727574</c:v>
                </c:pt>
              </c:numCache>
            </c:numRef>
          </c:val>
          <c:extLst>
            <c:ext xmlns:c16="http://schemas.microsoft.com/office/drawing/2014/chart" uri="{C3380CC4-5D6E-409C-BE32-E72D297353CC}">
              <c16:uniqueId val="{00000000-A9A2-439B-99FF-5B64EB7BDB22}"/>
            </c:ext>
          </c:extLst>
        </c:ser>
        <c:dLbls>
          <c:showLegendKey val="0"/>
          <c:showVal val="0"/>
          <c:showCatName val="0"/>
          <c:showSerName val="0"/>
          <c:showPercent val="0"/>
          <c:showBubbleSize val="0"/>
        </c:dLbls>
        <c:gapWidth val="30"/>
        <c:overlap val="-27"/>
        <c:axId val="1043324352"/>
        <c:axId val="1043313792"/>
      </c:barChart>
      <c:catAx>
        <c:axId val="104332435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43313792"/>
        <c:crosses val="autoZero"/>
        <c:auto val="1"/>
        <c:lblAlgn val="ctr"/>
        <c:lblOffset val="100"/>
        <c:noMultiLvlLbl val="0"/>
      </c:catAx>
      <c:valAx>
        <c:axId val="1043313792"/>
        <c:scaling>
          <c:orientation val="minMax"/>
        </c:scaling>
        <c:delete val="1"/>
        <c:axPos val="l"/>
        <c:numFmt formatCode="0.0" sourceLinked="1"/>
        <c:majorTickMark val="out"/>
        <c:minorTickMark val="none"/>
        <c:tickLblPos val="nextTo"/>
        <c:crossAx val="104332435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Analysis!$B$4282</c:f>
              <c:strCache>
                <c:ptCount val="1"/>
                <c:pt idx="0">
                  <c:v>Entel</c:v>
                </c:pt>
              </c:strCache>
            </c:strRef>
          </c:tx>
          <c:spPr>
            <a:solidFill>
              <a:schemeClr val="accent1"/>
            </a:solidFill>
            <a:ln>
              <a:noFill/>
            </a:ln>
            <a:effectLst/>
          </c:spPr>
          <c:invertIfNegative val="0"/>
          <c:val>
            <c:numRef>
              <c:f>Analysis!$C$4282:$E$4282</c:f>
              <c:numCache>
                <c:formatCode>General</c:formatCode>
                <c:ptCount val="3"/>
                <c:pt idx="0">
                  <c:v>391</c:v>
                </c:pt>
                <c:pt idx="1">
                  <c:v>390</c:v>
                </c:pt>
                <c:pt idx="2">
                  <c:v>366</c:v>
                </c:pt>
              </c:numCache>
            </c:numRef>
          </c:val>
          <c:extLst>
            <c:ext xmlns:c16="http://schemas.microsoft.com/office/drawing/2014/chart" uri="{C3380CC4-5D6E-409C-BE32-E72D297353CC}">
              <c16:uniqueId val="{00000000-A764-4444-B5C2-51ADA7C3BC53}"/>
            </c:ext>
          </c:extLst>
        </c:ser>
        <c:ser>
          <c:idx val="1"/>
          <c:order val="1"/>
          <c:tx>
            <c:strRef>
              <c:f>Analysis!$B$4283</c:f>
              <c:strCache>
                <c:ptCount val="1"/>
                <c:pt idx="0">
                  <c:v>ClaroVTR</c:v>
                </c:pt>
              </c:strCache>
            </c:strRef>
          </c:tx>
          <c:spPr>
            <a:solidFill>
              <a:schemeClr val="accent2"/>
            </a:solidFill>
            <a:ln>
              <a:noFill/>
            </a:ln>
            <a:effectLst/>
          </c:spPr>
          <c:invertIfNegative val="0"/>
          <c:val>
            <c:numRef>
              <c:f>Analysis!$C$4283:$E$4283</c:f>
              <c:numCache>
                <c:formatCode>#,##0</c:formatCode>
                <c:ptCount val="3"/>
                <c:pt idx="0">
                  <c:v>270.13227052911236</c:v>
                </c:pt>
                <c:pt idx="1">
                  <c:v>252.17125821362561</c:v>
                </c:pt>
                <c:pt idx="2">
                  <c:v>228.22813494741928</c:v>
                </c:pt>
              </c:numCache>
            </c:numRef>
          </c:val>
          <c:extLst>
            <c:ext xmlns:c16="http://schemas.microsoft.com/office/drawing/2014/chart" uri="{C3380CC4-5D6E-409C-BE32-E72D297353CC}">
              <c16:uniqueId val="{00000001-A764-4444-B5C2-51ADA7C3BC53}"/>
            </c:ext>
          </c:extLst>
        </c:ser>
        <c:ser>
          <c:idx val="2"/>
          <c:order val="2"/>
          <c:tx>
            <c:strRef>
              <c:f>Analysis!$B$4284</c:f>
              <c:strCache>
                <c:ptCount val="1"/>
                <c:pt idx="0">
                  <c:v>WOM (pre-Chapter 11 assumptions)</c:v>
                </c:pt>
              </c:strCache>
            </c:strRef>
          </c:tx>
          <c:spPr>
            <a:solidFill>
              <a:schemeClr val="accent3"/>
            </a:solidFill>
            <a:ln>
              <a:noFill/>
            </a:ln>
            <a:effectLst/>
          </c:spPr>
          <c:invertIfNegative val="0"/>
          <c:val>
            <c:numRef>
              <c:f>Analysis!$C$4284:$E$4284</c:f>
              <c:numCache>
                <c:formatCode>General</c:formatCode>
                <c:ptCount val="3"/>
                <c:pt idx="0">
                  <c:v>145</c:v>
                </c:pt>
                <c:pt idx="1">
                  <c:v>115</c:v>
                </c:pt>
                <c:pt idx="2">
                  <c:v>112</c:v>
                </c:pt>
              </c:numCache>
            </c:numRef>
          </c:val>
          <c:extLst>
            <c:ext xmlns:c16="http://schemas.microsoft.com/office/drawing/2014/chart" uri="{C3380CC4-5D6E-409C-BE32-E72D297353CC}">
              <c16:uniqueId val="{00000002-A764-4444-B5C2-51ADA7C3BC53}"/>
            </c:ext>
          </c:extLst>
        </c:ser>
        <c:dLbls>
          <c:showLegendKey val="0"/>
          <c:showVal val="0"/>
          <c:showCatName val="0"/>
          <c:showSerName val="0"/>
          <c:showPercent val="0"/>
          <c:showBubbleSize val="0"/>
        </c:dLbls>
        <c:gapWidth val="219"/>
        <c:overlap val="-27"/>
        <c:axId val="757553647"/>
        <c:axId val="757554607"/>
      </c:barChart>
      <c:catAx>
        <c:axId val="7575536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554607"/>
        <c:crosses val="autoZero"/>
        <c:auto val="1"/>
        <c:lblAlgn val="ctr"/>
        <c:lblOffset val="100"/>
        <c:noMultiLvlLbl val="0"/>
      </c:catAx>
      <c:valAx>
        <c:axId val="7575546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553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Analysis!$B$4310</c:f>
              <c:strCache>
                <c:ptCount val="1"/>
                <c:pt idx="0">
                  <c:v>Entel</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Analysis!$C$4309:$K$4309</c:f>
              <c:strCache>
                <c:ptCount val="9"/>
                <c:pt idx="0">
                  <c:v>2016</c:v>
                </c:pt>
                <c:pt idx="1">
                  <c:v>2017</c:v>
                </c:pt>
                <c:pt idx="2">
                  <c:v>2018</c:v>
                </c:pt>
                <c:pt idx="3">
                  <c:v>2019</c:v>
                </c:pt>
                <c:pt idx="4">
                  <c:v>2020</c:v>
                </c:pt>
                <c:pt idx="5">
                  <c:v>2021</c:v>
                </c:pt>
                <c:pt idx="6">
                  <c:v>2022</c:v>
                </c:pt>
                <c:pt idx="7">
                  <c:v>Q3 23</c:v>
                </c:pt>
                <c:pt idx="8">
                  <c:v>Q4 23</c:v>
                </c:pt>
              </c:strCache>
            </c:strRef>
          </c:cat>
          <c:val>
            <c:numRef>
              <c:f>Analysis!$C$4310:$K$4310</c:f>
              <c:numCache>
                <c:formatCode>0.0%</c:formatCode>
                <c:ptCount val="9"/>
                <c:pt idx="0">
                  <c:v>0.41499999999999998</c:v>
                </c:pt>
                <c:pt idx="1">
                  <c:v>0.38400000000000001</c:v>
                </c:pt>
                <c:pt idx="2">
                  <c:v>0.35499999999999998</c:v>
                </c:pt>
                <c:pt idx="3">
                  <c:v>0.35199999999999998</c:v>
                </c:pt>
                <c:pt idx="4">
                  <c:v>0.371</c:v>
                </c:pt>
                <c:pt idx="5">
                  <c:v>0.39100000000000001</c:v>
                </c:pt>
                <c:pt idx="6">
                  <c:v>0.39600000000000002</c:v>
                </c:pt>
                <c:pt idx="7">
                  <c:v>0.4</c:v>
                </c:pt>
                <c:pt idx="8">
                  <c:v>0.40400000000000003</c:v>
                </c:pt>
              </c:numCache>
            </c:numRef>
          </c:val>
          <c:smooth val="0"/>
          <c:extLst>
            <c:ext xmlns:c16="http://schemas.microsoft.com/office/drawing/2014/chart" uri="{C3380CC4-5D6E-409C-BE32-E72D297353CC}">
              <c16:uniqueId val="{00000000-B80F-4D10-AF32-921CEB412A62}"/>
            </c:ext>
          </c:extLst>
        </c:ser>
        <c:ser>
          <c:idx val="1"/>
          <c:order val="1"/>
          <c:tx>
            <c:strRef>
              <c:f>Analysis!$B$4311</c:f>
              <c:strCache>
                <c:ptCount val="1"/>
                <c:pt idx="0">
                  <c:v>Movistar</c:v>
                </c:pt>
              </c:strCache>
            </c:strRef>
          </c:tx>
          <c:spPr>
            <a:ln w="25400" cap="rnd">
              <a:solidFill>
                <a:srgbClr val="79909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Analysis!$C$4309:$K$4309</c:f>
              <c:strCache>
                <c:ptCount val="9"/>
                <c:pt idx="0">
                  <c:v>2016</c:v>
                </c:pt>
                <c:pt idx="1">
                  <c:v>2017</c:v>
                </c:pt>
                <c:pt idx="2">
                  <c:v>2018</c:v>
                </c:pt>
                <c:pt idx="3">
                  <c:v>2019</c:v>
                </c:pt>
                <c:pt idx="4">
                  <c:v>2020</c:v>
                </c:pt>
                <c:pt idx="5">
                  <c:v>2021</c:v>
                </c:pt>
                <c:pt idx="6">
                  <c:v>2022</c:v>
                </c:pt>
                <c:pt idx="7">
                  <c:v>Q3 23</c:v>
                </c:pt>
                <c:pt idx="8">
                  <c:v>Q4 23</c:v>
                </c:pt>
              </c:strCache>
            </c:strRef>
          </c:cat>
          <c:val>
            <c:numRef>
              <c:f>Analysis!$C$4311:$K$4311</c:f>
              <c:numCache>
                <c:formatCode>0.0%</c:formatCode>
                <c:ptCount val="9"/>
                <c:pt idx="0">
                  <c:v>0.33800000000000002</c:v>
                </c:pt>
                <c:pt idx="1">
                  <c:v>0.317</c:v>
                </c:pt>
                <c:pt idx="2">
                  <c:v>0.29499999999999998</c:v>
                </c:pt>
                <c:pt idx="3">
                  <c:v>0.28199999999999997</c:v>
                </c:pt>
                <c:pt idx="4">
                  <c:v>0.25700000000000001</c:v>
                </c:pt>
                <c:pt idx="5">
                  <c:v>0.252</c:v>
                </c:pt>
                <c:pt idx="6">
                  <c:v>0.253</c:v>
                </c:pt>
                <c:pt idx="7">
                  <c:v>0.25</c:v>
                </c:pt>
                <c:pt idx="8">
                  <c:v>0.24399999999999999</c:v>
                </c:pt>
              </c:numCache>
            </c:numRef>
          </c:val>
          <c:smooth val="0"/>
          <c:extLst>
            <c:ext xmlns:c16="http://schemas.microsoft.com/office/drawing/2014/chart" uri="{C3380CC4-5D6E-409C-BE32-E72D297353CC}">
              <c16:uniqueId val="{00000001-B80F-4D10-AF32-921CEB412A62}"/>
            </c:ext>
          </c:extLst>
        </c:ser>
        <c:ser>
          <c:idx val="2"/>
          <c:order val="2"/>
          <c:tx>
            <c:strRef>
              <c:f>Analysis!$B$4312</c:f>
              <c:strCache>
                <c:ptCount val="1"/>
                <c:pt idx="0">
                  <c:v>WOM</c:v>
                </c:pt>
              </c:strCache>
            </c:strRef>
          </c:tx>
          <c:spPr>
            <a:ln w="25400" cap="rnd">
              <a:solidFill>
                <a:srgbClr val="F9663E"/>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Analysis!$C$4309:$K$4309</c:f>
              <c:strCache>
                <c:ptCount val="9"/>
                <c:pt idx="0">
                  <c:v>2016</c:v>
                </c:pt>
                <c:pt idx="1">
                  <c:v>2017</c:v>
                </c:pt>
                <c:pt idx="2">
                  <c:v>2018</c:v>
                </c:pt>
                <c:pt idx="3">
                  <c:v>2019</c:v>
                </c:pt>
                <c:pt idx="4">
                  <c:v>2020</c:v>
                </c:pt>
                <c:pt idx="5">
                  <c:v>2021</c:v>
                </c:pt>
                <c:pt idx="6">
                  <c:v>2022</c:v>
                </c:pt>
                <c:pt idx="7">
                  <c:v>Q3 23</c:v>
                </c:pt>
                <c:pt idx="8">
                  <c:v>Q4 23</c:v>
                </c:pt>
              </c:strCache>
            </c:strRef>
          </c:cat>
          <c:val>
            <c:numRef>
              <c:f>Analysis!$C$4312:$K$4312</c:f>
              <c:numCache>
                <c:formatCode>0.0%</c:formatCode>
                <c:ptCount val="9"/>
                <c:pt idx="0">
                  <c:v>6.3E-2</c:v>
                </c:pt>
                <c:pt idx="1">
                  <c:v>9.8000000000000004E-2</c:v>
                </c:pt>
                <c:pt idx="2">
                  <c:v>0.13500000000000001</c:v>
                </c:pt>
                <c:pt idx="3">
                  <c:v>0.17399999999999999</c:v>
                </c:pt>
                <c:pt idx="4">
                  <c:v>0.187</c:v>
                </c:pt>
                <c:pt idx="5">
                  <c:v>0.187</c:v>
                </c:pt>
                <c:pt idx="6">
                  <c:v>0.20200000000000001</c:v>
                </c:pt>
                <c:pt idx="7">
                  <c:v>0.215</c:v>
                </c:pt>
                <c:pt idx="8">
                  <c:v>0.21199999999999999</c:v>
                </c:pt>
              </c:numCache>
            </c:numRef>
          </c:val>
          <c:smooth val="0"/>
          <c:extLst>
            <c:ext xmlns:c16="http://schemas.microsoft.com/office/drawing/2014/chart" uri="{C3380CC4-5D6E-409C-BE32-E72D297353CC}">
              <c16:uniqueId val="{00000002-B80F-4D10-AF32-921CEB412A62}"/>
            </c:ext>
          </c:extLst>
        </c:ser>
        <c:ser>
          <c:idx val="3"/>
          <c:order val="3"/>
          <c:tx>
            <c:strRef>
              <c:f>Analysis!$B$4313</c:f>
              <c:strCache>
                <c:ptCount val="1"/>
                <c:pt idx="0">
                  <c:v>Claro</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Analysis!$C$4309:$K$4309</c:f>
              <c:strCache>
                <c:ptCount val="9"/>
                <c:pt idx="0">
                  <c:v>2016</c:v>
                </c:pt>
                <c:pt idx="1">
                  <c:v>2017</c:v>
                </c:pt>
                <c:pt idx="2">
                  <c:v>2018</c:v>
                </c:pt>
                <c:pt idx="3">
                  <c:v>2019</c:v>
                </c:pt>
                <c:pt idx="4">
                  <c:v>2020</c:v>
                </c:pt>
                <c:pt idx="5">
                  <c:v>2021</c:v>
                </c:pt>
                <c:pt idx="6">
                  <c:v>2022</c:v>
                </c:pt>
                <c:pt idx="7">
                  <c:v>Q3 23</c:v>
                </c:pt>
                <c:pt idx="8">
                  <c:v>Q4 23</c:v>
                </c:pt>
              </c:strCache>
            </c:strRef>
          </c:cat>
          <c:val>
            <c:numRef>
              <c:f>Analysis!$C$4313:$K$4313</c:f>
              <c:numCache>
                <c:formatCode>0.0%</c:formatCode>
                <c:ptCount val="9"/>
                <c:pt idx="0">
                  <c:v>0.17399999999999999</c:v>
                </c:pt>
                <c:pt idx="1">
                  <c:v>0.187</c:v>
                </c:pt>
                <c:pt idx="2">
                  <c:v>0.19900000000000001</c:v>
                </c:pt>
                <c:pt idx="3">
                  <c:v>0.17199999999999999</c:v>
                </c:pt>
                <c:pt idx="4">
                  <c:v>0.16400000000000001</c:v>
                </c:pt>
                <c:pt idx="5">
                  <c:v>0.154</c:v>
                </c:pt>
                <c:pt idx="6">
                  <c:v>0.13600000000000001</c:v>
                </c:pt>
                <c:pt idx="7">
                  <c:v>0.125</c:v>
                </c:pt>
                <c:pt idx="8">
                  <c:v>0.13</c:v>
                </c:pt>
              </c:numCache>
            </c:numRef>
          </c:val>
          <c:smooth val="0"/>
          <c:extLst>
            <c:ext xmlns:c16="http://schemas.microsoft.com/office/drawing/2014/chart" uri="{C3380CC4-5D6E-409C-BE32-E72D297353CC}">
              <c16:uniqueId val="{00000003-B80F-4D10-AF32-921CEB412A62}"/>
            </c:ext>
          </c:extLst>
        </c:ser>
        <c:dLbls>
          <c:showLegendKey val="0"/>
          <c:showVal val="0"/>
          <c:showCatName val="0"/>
          <c:showSerName val="0"/>
          <c:showPercent val="0"/>
          <c:showBubbleSize val="0"/>
        </c:dLbls>
        <c:smooth val="0"/>
        <c:axId val="1380364544"/>
        <c:axId val="1380374624"/>
      </c:lineChart>
      <c:catAx>
        <c:axId val="1380364544"/>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80374624"/>
        <c:crosses val="autoZero"/>
        <c:auto val="1"/>
        <c:lblAlgn val="ctr"/>
        <c:lblOffset val="100"/>
        <c:noMultiLvlLbl val="0"/>
      </c:catAx>
      <c:valAx>
        <c:axId val="1380374624"/>
        <c:scaling>
          <c:orientation val="minMax"/>
        </c:scaling>
        <c:delete val="1"/>
        <c:axPos val="l"/>
        <c:numFmt formatCode="0.0%" sourceLinked="1"/>
        <c:majorTickMark val="out"/>
        <c:minorTickMark val="none"/>
        <c:tickLblPos val="nextTo"/>
        <c:crossAx val="1380364544"/>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Analysis!$C$4316:$J$4316</c:f>
              <c:strCache>
                <c:ptCount val="8"/>
                <c:pt idx="0">
                  <c:v>Q1 average</c:v>
                </c:pt>
                <c:pt idx="1">
                  <c:v>Q2 average</c:v>
                </c:pt>
                <c:pt idx="2">
                  <c:v>Jul-24</c:v>
                </c:pt>
                <c:pt idx="3">
                  <c:v>Aug-24</c:v>
                </c:pt>
                <c:pt idx="4">
                  <c:v>Sep-24</c:v>
                </c:pt>
                <c:pt idx="5">
                  <c:v>Oct-24</c:v>
                </c:pt>
                <c:pt idx="6">
                  <c:v>Nov-24</c:v>
                </c:pt>
                <c:pt idx="7">
                  <c:v>Dec-24</c:v>
                </c:pt>
              </c:strCache>
            </c:strRef>
          </c:cat>
          <c:val>
            <c:numRef>
              <c:f>Analysis!$C$4317:$J$4317</c:f>
              <c:numCache>
                <c:formatCode>0</c:formatCode>
                <c:ptCount val="8"/>
                <c:pt idx="0">
                  <c:v>23.033333333333331</c:v>
                </c:pt>
                <c:pt idx="1">
                  <c:v>23.7</c:v>
                </c:pt>
                <c:pt idx="2">
                  <c:v>29</c:v>
                </c:pt>
                <c:pt idx="3">
                  <c:v>33</c:v>
                </c:pt>
                <c:pt idx="4">
                  <c:v>0</c:v>
                </c:pt>
                <c:pt idx="5">
                  <c:v>36</c:v>
                </c:pt>
                <c:pt idx="6">
                  <c:v>39</c:v>
                </c:pt>
                <c:pt idx="7">
                  <c:v>20.512672000000052</c:v>
                </c:pt>
              </c:numCache>
            </c:numRef>
          </c:val>
          <c:extLst>
            <c:ext xmlns:c16="http://schemas.microsoft.com/office/drawing/2014/chart" uri="{C3380CC4-5D6E-409C-BE32-E72D297353CC}">
              <c16:uniqueId val="{00000000-E570-46CD-AF81-3D6603639DAC}"/>
            </c:ext>
          </c:extLst>
        </c:ser>
        <c:dLbls>
          <c:showLegendKey val="0"/>
          <c:showVal val="0"/>
          <c:showCatName val="0"/>
          <c:showSerName val="0"/>
          <c:showPercent val="0"/>
          <c:showBubbleSize val="0"/>
        </c:dLbls>
        <c:gapWidth val="30"/>
        <c:overlap val="-27"/>
        <c:axId val="1835943712"/>
        <c:axId val="1835936992"/>
      </c:barChart>
      <c:catAx>
        <c:axId val="183594371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35936992"/>
        <c:crosses val="autoZero"/>
        <c:auto val="1"/>
        <c:lblAlgn val="ctr"/>
        <c:lblOffset val="100"/>
        <c:noMultiLvlLbl val="0"/>
      </c:catAx>
      <c:valAx>
        <c:axId val="1835936992"/>
        <c:scaling>
          <c:orientation val="minMax"/>
        </c:scaling>
        <c:delete val="1"/>
        <c:axPos val="l"/>
        <c:numFmt formatCode="0" sourceLinked="1"/>
        <c:majorTickMark val="out"/>
        <c:minorTickMark val="none"/>
        <c:tickLblPos val="nextTo"/>
        <c:crossAx val="1835943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Analysis!$B$4387</c:f>
              <c:strCache>
                <c:ptCount val="1"/>
                <c:pt idx="0">
                  <c:v>Revenue</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Analysis!$C$4384:$N$4384</c:f>
              <c:strCache>
                <c:ptCount val="12"/>
                <c:pt idx="0">
                  <c:v>Q1 23</c:v>
                </c:pt>
                <c:pt idx="1">
                  <c:v>Q2 23</c:v>
                </c:pt>
                <c:pt idx="2">
                  <c:v>Q3 23</c:v>
                </c:pt>
                <c:pt idx="3">
                  <c:v>Q4 23</c:v>
                </c:pt>
                <c:pt idx="4">
                  <c:v>Q1 24</c:v>
                </c:pt>
                <c:pt idx="5">
                  <c:v>Q2 24</c:v>
                </c:pt>
                <c:pt idx="6">
                  <c:v>Q3 24</c:v>
                </c:pt>
                <c:pt idx="7">
                  <c:v>Q4 24e</c:v>
                </c:pt>
                <c:pt idx="8">
                  <c:v>Q1 25e</c:v>
                </c:pt>
                <c:pt idx="9">
                  <c:v>Q2 25e</c:v>
                </c:pt>
                <c:pt idx="10">
                  <c:v>Q3 25e</c:v>
                </c:pt>
                <c:pt idx="11">
                  <c:v>Q4 25e</c:v>
                </c:pt>
              </c:strCache>
            </c:strRef>
          </c:cat>
          <c:val>
            <c:numRef>
              <c:f>Analysis!$C$4387:$N$4387</c:f>
              <c:numCache>
                <c:formatCode>0</c:formatCode>
                <c:ptCount val="12"/>
                <c:pt idx="0">
                  <c:v>365.8</c:v>
                </c:pt>
                <c:pt idx="1">
                  <c:v>352</c:v>
                </c:pt>
                <c:pt idx="2">
                  <c:v>351.2</c:v>
                </c:pt>
                <c:pt idx="3">
                  <c:v>353.5</c:v>
                </c:pt>
                <c:pt idx="4">
                  <c:v>326.90000000000003</c:v>
                </c:pt>
                <c:pt idx="5">
                  <c:v>308.60000000000002</c:v>
                </c:pt>
                <c:pt idx="6">
                  <c:v>308.2</c:v>
                </c:pt>
                <c:pt idx="7">
                  <c:v>335.10280000000006</c:v>
                </c:pt>
                <c:pt idx="8">
                  <c:v>323</c:v>
                </c:pt>
                <c:pt idx="9">
                  <c:v>328</c:v>
                </c:pt>
                <c:pt idx="10">
                  <c:v>333</c:v>
                </c:pt>
                <c:pt idx="11">
                  <c:v>343.34128712000012</c:v>
                </c:pt>
              </c:numCache>
            </c:numRef>
          </c:val>
          <c:extLst>
            <c:ext xmlns:c16="http://schemas.microsoft.com/office/drawing/2014/chart" uri="{C3380CC4-5D6E-409C-BE32-E72D297353CC}">
              <c16:uniqueId val="{00000000-04F1-4E68-A37F-D4B4C6F79386}"/>
            </c:ext>
          </c:extLst>
        </c:ser>
        <c:ser>
          <c:idx val="1"/>
          <c:order val="1"/>
          <c:tx>
            <c:strRef>
              <c:f>Analysis!$B$4396</c:f>
              <c:strCache>
                <c:ptCount val="1"/>
                <c:pt idx="0">
                  <c:v>EBITDA</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Analysis!$C$4384:$N$4384</c:f>
              <c:strCache>
                <c:ptCount val="12"/>
                <c:pt idx="0">
                  <c:v>Q1 23</c:v>
                </c:pt>
                <c:pt idx="1">
                  <c:v>Q2 23</c:v>
                </c:pt>
                <c:pt idx="2">
                  <c:v>Q3 23</c:v>
                </c:pt>
                <c:pt idx="3">
                  <c:v>Q4 23</c:v>
                </c:pt>
                <c:pt idx="4">
                  <c:v>Q1 24</c:v>
                </c:pt>
                <c:pt idx="5">
                  <c:v>Q2 24</c:v>
                </c:pt>
                <c:pt idx="6">
                  <c:v>Q3 24</c:v>
                </c:pt>
                <c:pt idx="7">
                  <c:v>Q4 24e</c:v>
                </c:pt>
                <c:pt idx="8">
                  <c:v>Q1 25e</c:v>
                </c:pt>
                <c:pt idx="9">
                  <c:v>Q2 25e</c:v>
                </c:pt>
                <c:pt idx="10">
                  <c:v>Q3 25e</c:v>
                </c:pt>
                <c:pt idx="11">
                  <c:v>Q4 25e</c:v>
                </c:pt>
              </c:strCache>
            </c:strRef>
          </c:cat>
          <c:val>
            <c:numRef>
              <c:f>Analysis!$C$4396:$N$4396</c:f>
              <c:numCache>
                <c:formatCode>0</c:formatCode>
                <c:ptCount val="12"/>
                <c:pt idx="0">
                  <c:v>134.4</c:v>
                </c:pt>
                <c:pt idx="1">
                  <c:v>141.30000000000001</c:v>
                </c:pt>
                <c:pt idx="2">
                  <c:v>116.4</c:v>
                </c:pt>
                <c:pt idx="3">
                  <c:v>103.9</c:v>
                </c:pt>
                <c:pt idx="4">
                  <c:v>69.099999999999994</c:v>
                </c:pt>
                <c:pt idx="5">
                  <c:v>71.099999999999994</c:v>
                </c:pt>
                <c:pt idx="6">
                  <c:v>88.2</c:v>
                </c:pt>
                <c:pt idx="7">
                  <c:v>95.512672000000052</c:v>
                </c:pt>
                <c:pt idx="8">
                  <c:v>105</c:v>
                </c:pt>
                <c:pt idx="9">
                  <c:v>115</c:v>
                </c:pt>
                <c:pt idx="10">
                  <c:v>125</c:v>
                </c:pt>
                <c:pt idx="11">
                  <c:v>136.47579900720001</c:v>
                </c:pt>
              </c:numCache>
            </c:numRef>
          </c:val>
          <c:extLst>
            <c:ext xmlns:c16="http://schemas.microsoft.com/office/drawing/2014/chart" uri="{C3380CC4-5D6E-409C-BE32-E72D297353CC}">
              <c16:uniqueId val="{00000001-04F1-4E68-A37F-D4B4C6F79386}"/>
            </c:ext>
          </c:extLst>
        </c:ser>
        <c:dLbls>
          <c:showLegendKey val="0"/>
          <c:showVal val="0"/>
          <c:showCatName val="0"/>
          <c:showSerName val="0"/>
          <c:showPercent val="0"/>
          <c:showBubbleSize val="0"/>
        </c:dLbls>
        <c:gapWidth val="30"/>
        <c:overlap val="-27"/>
        <c:axId val="1512554576"/>
        <c:axId val="1512555536"/>
      </c:barChart>
      <c:catAx>
        <c:axId val="15125545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12555536"/>
        <c:crosses val="autoZero"/>
        <c:auto val="1"/>
        <c:lblAlgn val="ctr"/>
        <c:lblOffset val="100"/>
        <c:noMultiLvlLbl val="0"/>
      </c:catAx>
      <c:valAx>
        <c:axId val="1512555536"/>
        <c:scaling>
          <c:orientation val="minMax"/>
        </c:scaling>
        <c:delete val="1"/>
        <c:axPos val="l"/>
        <c:numFmt formatCode="0" sourceLinked="1"/>
        <c:majorTickMark val="out"/>
        <c:minorTickMark val="none"/>
        <c:tickLblPos val="nextTo"/>
        <c:crossAx val="15125545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Analysis!$B$4400</c:f>
              <c:strCache>
                <c:ptCount val="1"/>
                <c:pt idx="0">
                  <c:v>Former AT&amp;T</c:v>
                </c:pt>
              </c:strCache>
            </c:strRef>
          </c:tx>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Analysis!$C$4384:$N$4384</c:f>
              <c:strCache>
                <c:ptCount val="12"/>
                <c:pt idx="0">
                  <c:v>Q1 23</c:v>
                </c:pt>
                <c:pt idx="1">
                  <c:v>Q2 23</c:v>
                </c:pt>
                <c:pt idx="2">
                  <c:v>Q3 23</c:v>
                </c:pt>
                <c:pt idx="3">
                  <c:v>Q4 23</c:v>
                </c:pt>
                <c:pt idx="4">
                  <c:v>Q1 24</c:v>
                </c:pt>
                <c:pt idx="5">
                  <c:v>Q2 24</c:v>
                </c:pt>
                <c:pt idx="6">
                  <c:v>Q3 24</c:v>
                </c:pt>
                <c:pt idx="7">
                  <c:v>Q4 24e</c:v>
                </c:pt>
                <c:pt idx="8">
                  <c:v>Q1 25e</c:v>
                </c:pt>
                <c:pt idx="9">
                  <c:v>Q2 25e</c:v>
                </c:pt>
                <c:pt idx="10">
                  <c:v>Q3 25e</c:v>
                </c:pt>
                <c:pt idx="11">
                  <c:v>Q4 25e</c:v>
                </c:pt>
              </c:strCache>
            </c:strRef>
          </c:cat>
          <c:val>
            <c:numRef>
              <c:f>Analysis!$C$4400:$N$4400</c:f>
              <c:numCache>
                <c:formatCode>0%</c:formatCode>
                <c:ptCount val="12"/>
                <c:pt idx="0">
                  <c:v>0.31755808855765011</c:v>
                </c:pt>
                <c:pt idx="1">
                  <c:v>0.36853263458789909</c:v>
                </c:pt>
                <c:pt idx="2">
                  <c:v>0.24980769230769234</c:v>
                </c:pt>
                <c:pt idx="3">
                  <c:v>0.19010833725859633</c:v>
                </c:pt>
                <c:pt idx="4">
                  <c:v>3.24143468950749E-2</c:v>
                </c:pt>
                <c:pt idx="5">
                  <c:v>4.5402985074626839E-2</c:v>
                </c:pt>
                <c:pt idx="6">
                  <c:v>0.153523194362889</c:v>
                </c:pt>
                <c:pt idx="7">
                  <c:v>0.17017632606453156</c:v>
                </c:pt>
                <c:pt idx="8">
                  <c:v>0.23422459893048128</c:v>
                </c:pt>
                <c:pt idx="9">
                  <c:v>0.27842105263157896</c:v>
                </c:pt>
                <c:pt idx="10">
                  <c:v>0.32190721649484533</c:v>
                </c:pt>
                <c:pt idx="11">
                  <c:v>0.36400478987673962</c:v>
                </c:pt>
              </c:numCache>
            </c:numRef>
          </c:val>
          <c:smooth val="0"/>
          <c:extLst>
            <c:ext xmlns:c16="http://schemas.microsoft.com/office/drawing/2014/chart" uri="{C3380CC4-5D6E-409C-BE32-E72D297353CC}">
              <c16:uniqueId val="{00000000-53C8-4345-8377-3BEFF97F3613}"/>
            </c:ext>
          </c:extLst>
        </c:ser>
        <c:ser>
          <c:idx val="1"/>
          <c:order val="1"/>
          <c:tx>
            <c:strRef>
              <c:f>Analysis!$B$4401</c:f>
              <c:strCache>
                <c:ptCount val="1"/>
                <c:pt idx="0">
                  <c:v>Old Fixed parameter</c:v>
                </c:pt>
              </c:strCache>
            </c:strRef>
          </c:tx>
          <c:spPr>
            <a:ln w="25400" cap="rnd">
              <a:solidFill>
                <a:srgbClr val="F9663E"/>
              </a:solidFill>
              <a:prstDash val="sysDash"/>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Analysis!$C$4384:$N$4384</c:f>
              <c:strCache>
                <c:ptCount val="12"/>
                <c:pt idx="0">
                  <c:v>Q1 23</c:v>
                </c:pt>
                <c:pt idx="1">
                  <c:v>Q2 23</c:v>
                </c:pt>
                <c:pt idx="2">
                  <c:v>Q3 23</c:v>
                </c:pt>
                <c:pt idx="3">
                  <c:v>Q4 23</c:v>
                </c:pt>
                <c:pt idx="4">
                  <c:v>Q1 24</c:v>
                </c:pt>
                <c:pt idx="5">
                  <c:v>Q2 24</c:v>
                </c:pt>
                <c:pt idx="6">
                  <c:v>Q3 24</c:v>
                </c:pt>
                <c:pt idx="7">
                  <c:v>Q4 24e</c:v>
                </c:pt>
                <c:pt idx="8">
                  <c:v>Q1 25e</c:v>
                </c:pt>
                <c:pt idx="9">
                  <c:v>Q2 25e</c:v>
                </c:pt>
                <c:pt idx="10">
                  <c:v>Q3 25e</c:v>
                </c:pt>
                <c:pt idx="11">
                  <c:v>Q4 25e</c:v>
                </c:pt>
              </c:strCache>
            </c:strRef>
          </c:cat>
          <c:val>
            <c:numRef>
              <c:f>Analysis!$C$4401:$N$4401</c:f>
              <c:numCache>
                <c:formatCode>0%</c:formatCode>
                <c:ptCount val="12"/>
                <c:pt idx="0">
                  <c:v>0.45</c:v>
                </c:pt>
                <c:pt idx="1">
                  <c:v>0.45</c:v>
                </c:pt>
                <c:pt idx="2">
                  <c:v>0.45</c:v>
                </c:pt>
                <c:pt idx="3">
                  <c:v>0.45</c:v>
                </c:pt>
                <c:pt idx="4">
                  <c:v>0.45</c:v>
                </c:pt>
                <c:pt idx="5">
                  <c:v>0.45</c:v>
                </c:pt>
                <c:pt idx="6">
                  <c:v>0.45</c:v>
                </c:pt>
                <c:pt idx="7">
                  <c:v>0.45</c:v>
                </c:pt>
                <c:pt idx="8">
                  <c:v>0.45</c:v>
                </c:pt>
                <c:pt idx="9">
                  <c:v>0.45</c:v>
                </c:pt>
                <c:pt idx="10">
                  <c:v>0.45</c:v>
                </c:pt>
                <c:pt idx="11">
                  <c:v>0.45</c:v>
                </c:pt>
              </c:numCache>
            </c:numRef>
          </c:val>
          <c:smooth val="0"/>
          <c:extLst>
            <c:ext xmlns:c16="http://schemas.microsoft.com/office/drawing/2014/chart" uri="{C3380CC4-5D6E-409C-BE32-E72D297353CC}">
              <c16:uniqueId val="{00000001-53C8-4345-8377-3BEFF97F3613}"/>
            </c:ext>
          </c:extLst>
        </c:ser>
        <c:ser>
          <c:idx val="2"/>
          <c:order val="2"/>
          <c:tx>
            <c:strRef>
              <c:f>Analysis!$B$4402</c:f>
              <c:strCache>
                <c:ptCount val="1"/>
                <c:pt idx="0">
                  <c:v>Total</c:v>
                </c:pt>
              </c:strCache>
            </c:strRef>
          </c:tx>
          <c:spPr>
            <a:ln w="25400" cap="rnd">
              <a:solidFill>
                <a:srgbClr val="C7FE0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Analysis!$C$4384:$N$4384</c:f>
              <c:strCache>
                <c:ptCount val="12"/>
                <c:pt idx="0">
                  <c:v>Q1 23</c:v>
                </c:pt>
                <c:pt idx="1">
                  <c:v>Q2 23</c:v>
                </c:pt>
                <c:pt idx="2">
                  <c:v>Q3 23</c:v>
                </c:pt>
                <c:pt idx="3">
                  <c:v>Q4 23</c:v>
                </c:pt>
                <c:pt idx="4">
                  <c:v>Q1 24</c:v>
                </c:pt>
                <c:pt idx="5">
                  <c:v>Q2 24</c:v>
                </c:pt>
                <c:pt idx="6">
                  <c:v>Q3 24</c:v>
                </c:pt>
                <c:pt idx="7">
                  <c:v>Q4 24e</c:v>
                </c:pt>
                <c:pt idx="8">
                  <c:v>Q1 25e</c:v>
                </c:pt>
                <c:pt idx="9">
                  <c:v>Q2 25e</c:v>
                </c:pt>
                <c:pt idx="10">
                  <c:v>Q3 25e</c:v>
                </c:pt>
                <c:pt idx="11">
                  <c:v>Q4 25e</c:v>
                </c:pt>
              </c:strCache>
            </c:strRef>
          </c:cat>
          <c:val>
            <c:numRef>
              <c:f>Analysis!$C$4402:$N$4402</c:f>
              <c:numCache>
                <c:formatCode>0%</c:formatCode>
                <c:ptCount val="12"/>
                <c:pt idx="0">
                  <c:v>0.36741388737014763</c:v>
                </c:pt>
                <c:pt idx="1">
                  <c:v>0.40142045454545455</c:v>
                </c:pt>
                <c:pt idx="2">
                  <c:v>0.33143507972665148</c:v>
                </c:pt>
                <c:pt idx="3">
                  <c:v>0.29391796322489394</c:v>
                </c:pt>
                <c:pt idx="4">
                  <c:v>0.21137962679718564</c:v>
                </c:pt>
                <c:pt idx="5">
                  <c:v>0.23039533376539206</c:v>
                </c:pt>
                <c:pt idx="6">
                  <c:v>0.28617780661907855</c:v>
                </c:pt>
                <c:pt idx="7">
                  <c:v>0.28502498934655285</c:v>
                </c:pt>
                <c:pt idx="8">
                  <c:v>0.32507739938080493</c:v>
                </c:pt>
                <c:pt idx="9">
                  <c:v>0.35060975609756095</c:v>
                </c:pt>
                <c:pt idx="10">
                  <c:v>0.37537537537537535</c:v>
                </c:pt>
                <c:pt idx="11">
                  <c:v>0.39749311873320026</c:v>
                </c:pt>
              </c:numCache>
            </c:numRef>
          </c:val>
          <c:smooth val="0"/>
          <c:extLst>
            <c:ext xmlns:c16="http://schemas.microsoft.com/office/drawing/2014/chart" uri="{C3380CC4-5D6E-409C-BE32-E72D297353CC}">
              <c16:uniqueId val="{00000002-53C8-4345-8377-3BEFF97F3613}"/>
            </c:ext>
          </c:extLst>
        </c:ser>
        <c:dLbls>
          <c:showLegendKey val="0"/>
          <c:showVal val="0"/>
          <c:showCatName val="0"/>
          <c:showSerName val="0"/>
          <c:showPercent val="0"/>
          <c:showBubbleSize val="0"/>
        </c:dLbls>
        <c:smooth val="0"/>
        <c:axId val="1049578383"/>
        <c:axId val="1049577903"/>
      </c:lineChart>
      <c:catAx>
        <c:axId val="104957838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49577903"/>
        <c:crosses val="autoZero"/>
        <c:auto val="1"/>
        <c:lblAlgn val="ctr"/>
        <c:lblOffset val="100"/>
        <c:noMultiLvlLbl val="0"/>
      </c:catAx>
      <c:valAx>
        <c:axId val="1049577903"/>
        <c:scaling>
          <c:orientation val="minMax"/>
        </c:scaling>
        <c:delete val="1"/>
        <c:axPos val="l"/>
        <c:numFmt formatCode="0%" sourceLinked="1"/>
        <c:majorTickMark val="out"/>
        <c:minorTickMark val="none"/>
        <c:tickLblPos val="nextTo"/>
        <c:crossAx val="104957838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Analysis!$B$4405</c:f>
              <c:strCache>
                <c:ptCount val="1"/>
                <c:pt idx="0">
                  <c:v>Old</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Analysis!$C$4404:$G$4404</c:f>
              <c:numCache>
                <c:formatCode>General</c:formatCode>
                <c:ptCount val="5"/>
                <c:pt idx="0">
                  <c:v>2024</c:v>
                </c:pt>
                <c:pt idx="1">
                  <c:v>2025</c:v>
                </c:pt>
                <c:pt idx="2">
                  <c:v>2026</c:v>
                </c:pt>
                <c:pt idx="3">
                  <c:v>2027</c:v>
                </c:pt>
                <c:pt idx="4">
                  <c:v>2028</c:v>
                </c:pt>
              </c:numCache>
            </c:numRef>
          </c:cat>
          <c:val>
            <c:numRef>
              <c:f>Analysis!$C$4405:$G$4405</c:f>
              <c:numCache>
                <c:formatCode>0</c:formatCode>
                <c:ptCount val="5"/>
                <c:pt idx="0">
                  <c:v>1294.044725</c:v>
                </c:pt>
                <c:pt idx="1">
                  <c:v>1338.5074713250001</c:v>
                </c:pt>
                <c:pt idx="2">
                  <c:v>1362.8647466813975</c:v>
                </c:pt>
                <c:pt idx="3">
                  <c:v>1387.7371253224612</c:v>
                </c:pt>
                <c:pt idx="4">
                  <c:v>1414.4815141855051</c:v>
                </c:pt>
              </c:numCache>
            </c:numRef>
          </c:val>
          <c:extLst>
            <c:ext xmlns:c16="http://schemas.microsoft.com/office/drawing/2014/chart" uri="{C3380CC4-5D6E-409C-BE32-E72D297353CC}">
              <c16:uniqueId val="{00000000-B845-4492-8DF8-33282E1A7B96}"/>
            </c:ext>
          </c:extLst>
        </c:ser>
        <c:ser>
          <c:idx val="1"/>
          <c:order val="1"/>
          <c:tx>
            <c:strRef>
              <c:f>Analysis!$B$4406</c:f>
              <c:strCache>
                <c:ptCount val="1"/>
                <c:pt idx="0">
                  <c:v>New</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Analysis!$C$4404:$G$4404</c:f>
              <c:numCache>
                <c:formatCode>General</c:formatCode>
                <c:ptCount val="5"/>
                <c:pt idx="0">
                  <c:v>2024</c:v>
                </c:pt>
                <c:pt idx="1">
                  <c:v>2025</c:v>
                </c:pt>
                <c:pt idx="2">
                  <c:v>2026</c:v>
                </c:pt>
                <c:pt idx="3">
                  <c:v>2027</c:v>
                </c:pt>
                <c:pt idx="4">
                  <c:v>2028</c:v>
                </c:pt>
              </c:numCache>
            </c:numRef>
          </c:cat>
          <c:val>
            <c:numRef>
              <c:f>Analysis!$C$4406:$G$4406</c:f>
              <c:numCache>
                <c:formatCode>0</c:formatCode>
                <c:ptCount val="5"/>
                <c:pt idx="0">
                  <c:v>1278.8028000000002</c:v>
                </c:pt>
                <c:pt idx="1">
                  <c:v>1327.3412871200001</c:v>
                </c:pt>
                <c:pt idx="2">
                  <c:v>1353.418403214336</c:v>
                </c:pt>
                <c:pt idx="3">
                  <c:v>1369.0294607454246</c:v>
                </c:pt>
                <c:pt idx="4">
                  <c:v>1381.0921898993574</c:v>
                </c:pt>
              </c:numCache>
            </c:numRef>
          </c:val>
          <c:extLst>
            <c:ext xmlns:c16="http://schemas.microsoft.com/office/drawing/2014/chart" uri="{C3380CC4-5D6E-409C-BE32-E72D297353CC}">
              <c16:uniqueId val="{00000001-B845-4492-8DF8-33282E1A7B96}"/>
            </c:ext>
          </c:extLst>
        </c:ser>
        <c:dLbls>
          <c:showLegendKey val="0"/>
          <c:showVal val="0"/>
          <c:showCatName val="0"/>
          <c:showSerName val="0"/>
          <c:showPercent val="0"/>
          <c:showBubbleSize val="0"/>
        </c:dLbls>
        <c:gapWidth val="30"/>
        <c:overlap val="-27"/>
        <c:axId val="1701327695"/>
        <c:axId val="1701326255"/>
      </c:barChart>
      <c:catAx>
        <c:axId val="170132769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701326255"/>
        <c:crosses val="autoZero"/>
        <c:auto val="1"/>
        <c:lblAlgn val="ctr"/>
        <c:lblOffset val="100"/>
        <c:noMultiLvlLbl val="0"/>
      </c:catAx>
      <c:valAx>
        <c:axId val="1701326255"/>
        <c:scaling>
          <c:orientation val="minMax"/>
        </c:scaling>
        <c:delete val="1"/>
        <c:axPos val="l"/>
        <c:numFmt formatCode="0" sourceLinked="1"/>
        <c:majorTickMark val="out"/>
        <c:minorTickMark val="none"/>
        <c:tickLblPos val="nextTo"/>
        <c:crossAx val="170132769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Analysis!$B$4409</c:f>
              <c:strCache>
                <c:ptCount val="1"/>
                <c:pt idx="0">
                  <c:v>Old</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Analysis!$C$4404:$G$4404</c:f>
              <c:numCache>
                <c:formatCode>General</c:formatCode>
                <c:ptCount val="5"/>
                <c:pt idx="0">
                  <c:v>2024</c:v>
                </c:pt>
                <c:pt idx="1">
                  <c:v>2025</c:v>
                </c:pt>
                <c:pt idx="2">
                  <c:v>2026</c:v>
                </c:pt>
                <c:pt idx="3">
                  <c:v>2027</c:v>
                </c:pt>
                <c:pt idx="4">
                  <c:v>2028</c:v>
                </c:pt>
              </c:numCache>
            </c:numRef>
          </c:cat>
          <c:val>
            <c:numRef>
              <c:f>Analysis!$C$4409:$G$4409</c:f>
              <c:numCache>
                <c:formatCode>0</c:formatCode>
                <c:ptCount val="5"/>
                <c:pt idx="0">
                  <c:v>354.74567322500002</c:v>
                </c:pt>
                <c:pt idx="1">
                  <c:v>565.24776439025004</c:v>
                </c:pt>
                <c:pt idx="2">
                  <c:v>587.88860373893101</c:v>
                </c:pt>
                <c:pt idx="3">
                  <c:v>611.21747887575987</c:v>
                </c:pt>
                <c:pt idx="4">
                  <c:v>621.64779053234702</c:v>
                </c:pt>
              </c:numCache>
            </c:numRef>
          </c:val>
          <c:extLst>
            <c:ext xmlns:c16="http://schemas.microsoft.com/office/drawing/2014/chart" uri="{C3380CC4-5D6E-409C-BE32-E72D297353CC}">
              <c16:uniqueId val="{00000000-C09A-47C6-9A1F-85CEE8F9E36E}"/>
            </c:ext>
          </c:extLst>
        </c:ser>
        <c:ser>
          <c:idx val="1"/>
          <c:order val="1"/>
          <c:tx>
            <c:strRef>
              <c:f>Analysis!$B$4410</c:f>
              <c:strCache>
                <c:ptCount val="1"/>
                <c:pt idx="0">
                  <c:v>New</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Analysis!$C$4404:$G$4404</c:f>
              <c:numCache>
                <c:formatCode>General</c:formatCode>
                <c:ptCount val="5"/>
                <c:pt idx="0">
                  <c:v>2024</c:v>
                </c:pt>
                <c:pt idx="1">
                  <c:v>2025</c:v>
                </c:pt>
                <c:pt idx="2">
                  <c:v>2026</c:v>
                </c:pt>
                <c:pt idx="3">
                  <c:v>2027</c:v>
                </c:pt>
                <c:pt idx="4">
                  <c:v>2028</c:v>
                </c:pt>
              </c:numCache>
            </c:numRef>
          </c:cat>
          <c:val>
            <c:numRef>
              <c:f>Analysis!$C$4410:$G$4410</c:f>
              <c:numCache>
                <c:formatCode>0</c:formatCode>
                <c:ptCount val="5"/>
                <c:pt idx="0">
                  <c:v>323.91267200000004</c:v>
                </c:pt>
                <c:pt idx="1">
                  <c:v>481.47579900720001</c:v>
                </c:pt>
                <c:pt idx="2">
                  <c:v>516.62807306073091</c:v>
                </c:pt>
                <c:pt idx="3">
                  <c:v>535.47001665344442</c:v>
                </c:pt>
                <c:pt idx="4">
                  <c:v>553.38226646477506</c:v>
                </c:pt>
              </c:numCache>
            </c:numRef>
          </c:val>
          <c:extLst>
            <c:ext xmlns:c16="http://schemas.microsoft.com/office/drawing/2014/chart" uri="{C3380CC4-5D6E-409C-BE32-E72D297353CC}">
              <c16:uniqueId val="{00000001-C09A-47C6-9A1F-85CEE8F9E36E}"/>
            </c:ext>
          </c:extLst>
        </c:ser>
        <c:dLbls>
          <c:showLegendKey val="0"/>
          <c:showVal val="0"/>
          <c:showCatName val="0"/>
          <c:showSerName val="0"/>
          <c:showPercent val="0"/>
          <c:showBubbleSize val="0"/>
        </c:dLbls>
        <c:gapWidth val="30"/>
        <c:overlap val="-27"/>
        <c:axId val="1332361695"/>
        <c:axId val="1332373215"/>
      </c:barChart>
      <c:catAx>
        <c:axId val="133236169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32373215"/>
        <c:crosses val="autoZero"/>
        <c:auto val="1"/>
        <c:lblAlgn val="ctr"/>
        <c:lblOffset val="100"/>
        <c:noMultiLvlLbl val="0"/>
      </c:catAx>
      <c:valAx>
        <c:axId val="1332373215"/>
        <c:scaling>
          <c:orientation val="minMax"/>
        </c:scaling>
        <c:delete val="1"/>
        <c:axPos val="l"/>
        <c:numFmt formatCode="0" sourceLinked="1"/>
        <c:majorTickMark val="out"/>
        <c:minorTickMark val="none"/>
        <c:tickLblPos val="nextTo"/>
        <c:crossAx val="133236169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Notes!$L$2688</c:f>
              <c:strCache>
                <c:ptCount val="1"/>
                <c:pt idx="0">
                  <c:v>Wireless</c:v>
                </c:pt>
              </c:strCache>
            </c:strRef>
          </c:tx>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1B42-411A-B8BE-207A2A3A673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2-1B42-411A-B8BE-207A2A3A673E}"/>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3-1B42-411A-B8BE-207A2A3A673E}"/>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Notes!$K$2689:$K$2691</c:f>
              <c:strCache>
                <c:ptCount val="3"/>
                <c:pt idx="0">
                  <c:v>kolbi (ICE)</c:v>
                </c:pt>
                <c:pt idx="1">
                  <c:v>LLA/TEF</c:v>
                </c:pt>
                <c:pt idx="2">
                  <c:v>Claro</c:v>
                </c:pt>
              </c:strCache>
            </c:strRef>
          </c:cat>
          <c:val>
            <c:numRef>
              <c:f>Notes!$L$2689:$L$2691</c:f>
              <c:numCache>
                <c:formatCode>0%</c:formatCode>
                <c:ptCount val="3"/>
                <c:pt idx="0">
                  <c:v>0.54</c:v>
                </c:pt>
                <c:pt idx="1">
                  <c:v>0.27</c:v>
                </c:pt>
                <c:pt idx="2">
                  <c:v>0.18999999999999995</c:v>
                </c:pt>
              </c:numCache>
            </c:numRef>
          </c:val>
          <c:extLst>
            <c:ext xmlns:c16="http://schemas.microsoft.com/office/drawing/2014/chart" uri="{C3380CC4-5D6E-409C-BE32-E72D297353CC}">
              <c16:uniqueId val="{00000000-1B42-411A-B8BE-207A2A3A673E}"/>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4480024076882"/>
          <c:y val="9.6937882764654412E-2"/>
          <c:w val="0.53860161233297388"/>
          <c:h val="0.67195027704870214"/>
        </c:manualLayout>
      </c:layout>
      <c:pieChart>
        <c:varyColors val="1"/>
        <c:ser>
          <c:idx val="0"/>
          <c:order val="0"/>
          <c:tx>
            <c:strRef>
              <c:f>Notes!$F$2688</c:f>
              <c:strCache>
                <c:ptCount val="1"/>
                <c:pt idx="0">
                  <c:v>BB</c:v>
                </c:pt>
              </c:strCache>
            </c:strRef>
          </c:tx>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C447-41C9-B7E0-AC4DF53BF9E5}"/>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C447-41C9-B7E0-AC4DF53BF9E5}"/>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C447-41C9-B7E0-AC4DF53BF9E5}"/>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C447-41C9-B7E0-AC4DF53BF9E5}"/>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8-C447-41C9-B7E0-AC4DF53BF9E5}"/>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Notes!$E$2689:$E$2693</c:f>
              <c:strCache>
                <c:ptCount val="5"/>
                <c:pt idx="0">
                  <c:v>kolbi (ICE)</c:v>
                </c:pt>
                <c:pt idx="1">
                  <c:v>Tigo</c:v>
                </c:pt>
                <c:pt idx="2">
                  <c:v>Cabletica (LILA)</c:v>
                </c:pt>
                <c:pt idx="3">
                  <c:v>Telecable</c:v>
                </c:pt>
                <c:pt idx="4">
                  <c:v>Others</c:v>
                </c:pt>
              </c:strCache>
            </c:strRef>
          </c:cat>
          <c:val>
            <c:numRef>
              <c:f>Notes!$F$2689:$F$2693</c:f>
              <c:numCache>
                <c:formatCode>0%</c:formatCode>
                <c:ptCount val="5"/>
                <c:pt idx="0">
                  <c:v>0.36</c:v>
                </c:pt>
                <c:pt idx="1">
                  <c:v>0.2</c:v>
                </c:pt>
                <c:pt idx="2">
                  <c:v>0.2</c:v>
                </c:pt>
                <c:pt idx="3">
                  <c:v>0.18</c:v>
                </c:pt>
                <c:pt idx="4">
                  <c:v>0.06</c:v>
                </c:pt>
              </c:numCache>
            </c:numRef>
          </c:val>
          <c:extLst>
            <c:ext xmlns:c16="http://schemas.microsoft.com/office/drawing/2014/chart" uri="{C3380CC4-5D6E-409C-BE32-E72D297353CC}">
              <c16:uniqueId val="{00000006-C447-41C9-B7E0-AC4DF53BF9E5}"/>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2.1855906871553924E-2"/>
          <c:y val="0.82878900554097401"/>
          <c:w val="0.9748425798496364"/>
          <c:h val="0.15732210557013707"/>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6204-4006-A7BA-F56343F2D1D8}"/>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6204-4006-A7BA-F56343F2D1D8}"/>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6204-4006-A7BA-F56343F2D1D8}"/>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6204-4006-A7BA-F56343F2D1D8}"/>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Notes!$B$3409:$B$3412</c:f>
              <c:strCache>
                <c:ptCount val="4"/>
                <c:pt idx="0">
                  <c:v>Digicel</c:v>
                </c:pt>
                <c:pt idx="1">
                  <c:v>Claro</c:v>
                </c:pt>
                <c:pt idx="2">
                  <c:v>CWC</c:v>
                </c:pt>
                <c:pt idx="3">
                  <c:v>Tigo</c:v>
                </c:pt>
              </c:strCache>
            </c:strRef>
          </c:cat>
          <c:val>
            <c:numRef>
              <c:f>Notes!$E$3409:$E$3412</c:f>
              <c:numCache>
                <c:formatCode>General</c:formatCode>
                <c:ptCount val="4"/>
                <c:pt idx="0" formatCode="0.00">
                  <c:v>0.7</c:v>
                </c:pt>
                <c:pt idx="1">
                  <c:v>0.76</c:v>
                </c:pt>
                <c:pt idx="2" formatCode="0.00">
                  <c:v>1.583</c:v>
                </c:pt>
                <c:pt idx="3" formatCode="0.00">
                  <c:v>2.1320000000000001</c:v>
                </c:pt>
              </c:numCache>
            </c:numRef>
          </c:val>
          <c:extLst>
            <c:ext xmlns:c16="http://schemas.microsoft.com/office/drawing/2014/chart" uri="{C3380CC4-5D6E-409C-BE32-E72D297353CC}">
              <c16:uniqueId val="{00000000-6204-4006-A7BA-F56343F2D1D8}"/>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CWC!$B$103:$C$103</c:f>
              <c:strCache>
                <c:ptCount val="2"/>
                <c:pt idx="0">
                  <c:v>C&amp;W Notes</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CWC!$D$102:$N$102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CWC!$D$103:$N$103</c:f>
              <c:numCache>
                <c:formatCode>#,##0</c:formatCode>
                <c:ptCount val="11"/>
                <c:pt idx="7">
                  <c:v>1715</c:v>
                </c:pt>
              </c:numCache>
            </c:numRef>
          </c:val>
          <c:extLst>
            <c:ext xmlns:c16="http://schemas.microsoft.com/office/drawing/2014/chart" uri="{C3380CC4-5D6E-409C-BE32-E72D297353CC}">
              <c16:uniqueId val="{00000000-3AC6-476A-8876-8B65B738C694}"/>
            </c:ext>
          </c:extLst>
        </c:ser>
        <c:ser>
          <c:idx val="1"/>
          <c:order val="1"/>
          <c:tx>
            <c:strRef>
              <c:f>CWC!$B$104:$C$104</c:f>
              <c:strCache>
                <c:ptCount val="2"/>
                <c:pt idx="0">
                  <c:v>C&amp;W CF</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CWC!$D$102:$N$102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CWC!$D$104:$N$104</c:f>
              <c:numCache>
                <c:formatCode>#,##0</c:formatCode>
                <c:ptCount val="11"/>
                <c:pt idx="7">
                  <c:v>10</c:v>
                </c:pt>
                <c:pt idx="8">
                  <c:v>1945</c:v>
                </c:pt>
                <c:pt idx="9">
                  <c:v>590</c:v>
                </c:pt>
              </c:numCache>
            </c:numRef>
          </c:val>
          <c:extLst>
            <c:ext xmlns:c16="http://schemas.microsoft.com/office/drawing/2014/chart" uri="{C3380CC4-5D6E-409C-BE32-E72D297353CC}">
              <c16:uniqueId val="{00000001-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'Puerto Rico'!$B$196</c:f>
              <c:strCache>
                <c:ptCount val="1"/>
                <c:pt idx="0">
                  <c:v>LPR</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'Puerto Rico'!$K$195:$R$195</c:f>
              <c:numCache>
                <c:formatCode>General</c:formatCode>
                <c:ptCount val="8"/>
                <c:pt idx="0">
                  <c:v>2023</c:v>
                </c:pt>
                <c:pt idx="1">
                  <c:v>2024</c:v>
                </c:pt>
                <c:pt idx="2">
                  <c:v>2025</c:v>
                </c:pt>
                <c:pt idx="3">
                  <c:v>2026</c:v>
                </c:pt>
                <c:pt idx="4">
                  <c:v>2027</c:v>
                </c:pt>
                <c:pt idx="5">
                  <c:v>2028</c:v>
                </c:pt>
                <c:pt idx="6">
                  <c:v>2029</c:v>
                </c:pt>
                <c:pt idx="7">
                  <c:v>2030</c:v>
                </c:pt>
              </c:numCache>
            </c:numRef>
          </c:cat>
          <c:val>
            <c:numRef>
              <c:f>'Puerto Rico'!$K$196:$R$196</c:f>
              <c:numCache>
                <c:formatCode>#,##0</c:formatCode>
                <c:ptCount val="8"/>
                <c:pt idx="4">
                  <c:v>1146.3</c:v>
                </c:pt>
                <c:pt idx="5">
                  <c:v>615.6</c:v>
                </c:pt>
                <c:pt idx="6">
                  <c:v>810.5</c:v>
                </c:pt>
              </c:numCache>
            </c:numRef>
          </c:val>
          <c:extLst>
            <c:ext xmlns:c16="http://schemas.microsoft.com/office/drawing/2014/chart" uri="{C3380CC4-5D6E-409C-BE32-E72D297353CC}">
              <c16:uniqueId val="{00000000-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Chile!$N$96</c:f>
              <c:strCache>
                <c:ptCount val="1"/>
                <c:pt idx="0">
                  <c:v>Net debt</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Chile!$M$97:$M$98</c:f>
              <c:strCache>
                <c:ptCount val="2"/>
                <c:pt idx="0">
                  <c:v>VTR</c:v>
                </c:pt>
                <c:pt idx="1">
                  <c:v>Claro</c:v>
                </c:pt>
              </c:strCache>
            </c:strRef>
          </c:cat>
          <c:val>
            <c:numRef>
              <c:f>Chile!$N$97:$N$98</c:f>
              <c:numCache>
                <c:formatCode>#,##0</c:formatCode>
                <c:ptCount val="2"/>
                <c:pt idx="0">
                  <c:v>1047.6999999999998</c:v>
                </c:pt>
                <c:pt idx="1">
                  <c:v>312.44614716700511</c:v>
                </c:pt>
              </c:numCache>
            </c:numRef>
          </c:val>
          <c:extLst>
            <c:ext xmlns:c16="http://schemas.microsoft.com/office/drawing/2014/chart" uri="{C3380CC4-5D6E-409C-BE32-E72D297353CC}">
              <c16:uniqueId val="{00000000-5307-4F5E-B1C4-83C2A332208A}"/>
            </c:ext>
          </c:extLst>
        </c:ser>
        <c:ser>
          <c:idx val="1"/>
          <c:order val="1"/>
          <c:tx>
            <c:strRef>
              <c:f>Chile!$O$96</c:f>
              <c:strCache>
                <c:ptCount val="1"/>
                <c:pt idx="0">
                  <c:v>Equity</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Chile!$M$97:$M$98</c:f>
              <c:strCache>
                <c:ptCount val="2"/>
                <c:pt idx="0">
                  <c:v>VTR</c:v>
                </c:pt>
                <c:pt idx="1">
                  <c:v>Claro</c:v>
                </c:pt>
              </c:strCache>
            </c:strRef>
          </c:cat>
          <c:val>
            <c:numRef>
              <c:f>Chile!$O$97:$O$98</c:f>
              <c:numCache>
                <c:formatCode>#,##0</c:formatCode>
                <c:ptCount val="2"/>
                <c:pt idx="0">
                  <c:v>-656.19999999999982</c:v>
                </c:pt>
                <c:pt idx="1">
                  <c:v>-302.62628789686704</c:v>
                </c:pt>
              </c:numCache>
            </c:numRef>
          </c:val>
          <c:extLst>
            <c:ext xmlns:c16="http://schemas.microsoft.com/office/drawing/2014/chart" uri="{C3380CC4-5D6E-409C-BE32-E72D297353CC}">
              <c16:uniqueId val="{00000001-5307-4F5E-B1C4-83C2A332208A}"/>
            </c:ext>
          </c:extLst>
        </c:ser>
        <c:dLbls>
          <c:showLegendKey val="0"/>
          <c:showVal val="0"/>
          <c:showCatName val="0"/>
          <c:showSerName val="0"/>
          <c:showPercent val="0"/>
          <c:showBubbleSize val="0"/>
        </c:dLbls>
        <c:gapWidth val="30"/>
        <c:overlap val="100"/>
        <c:axId val="1506123376"/>
        <c:axId val="1506115888"/>
      </c:barChart>
      <c:catAx>
        <c:axId val="1506123376"/>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06115888"/>
        <c:crosses val="autoZero"/>
        <c:auto val="1"/>
        <c:lblAlgn val="ctr"/>
        <c:lblOffset val="100"/>
        <c:noMultiLvlLbl val="0"/>
      </c:catAx>
      <c:valAx>
        <c:axId val="1506115888"/>
        <c:scaling>
          <c:orientation val="minMax"/>
        </c:scaling>
        <c:delete val="1"/>
        <c:axPos val="l"/>
        <c:numFmt formatCode="#,##0" sourceLinked="1"/>
        <c:majorTickMark val="out"/>
        <c:minorTickMark val="none"/>
        <c:tickLblPos val="nextTo"/>
        <c:crossAx val="15061233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Chile!$B$263</c:f>
              <c:strCache>
                <c:ptCount val="1"/>
                <c:pt idx="0">
                  <c:v>ClaroVTR (CLP bn)</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Chile!$C$262:$F$262</c:f>
            </c:multiLvlStrRef>
          </c:cat>
          <c:val>
            <c:numRef>
              <c:f>Chile!$C$263:$F$263</c:f>
            </c:numRef>
          </c:val>
          <c:extLst>
            <c:ext xmlns:c16="http://schemas.microsoft.com/office/drawing/2014/chart" uri="{C3380CC4-5D6E-409C-BE32-E72D297353CC}">
              <c16:uniqueId val="{00000000-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67205138117832"/>
          <c:y val="4.866994470765456E-2"/>
          <c:w val="0.54877205753228453"/>
          <c:h val="0.62742382271468145"/>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825B-42F8-80A8-4E5EB315C353}"/>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825B-42F8-80A8-4E5EB315C353}"/>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825B-42F8-80A8-4E5EB315C353}"/>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825B-42F8-80A8-4E5EB315C353}"/>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825B-42F8-80A8-4E5EB315C353}"/>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825B-42F8-80A8-4E5EB315C353}"/>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825B-42F8-80A8-4E5EB315C353}"/>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Quarts!$AR$95:$AR$101</c:f>
              <c:strCache>
                <c:ptCount val="7"/>
                <c:pt idx="0">
                  <c:v>Panama</c:v>
                </c:pt>
                <c:pt idx="1">
                  <c:v>Caribbean</c:v>
                </c:pt>
                <c:pt idx="2">
                  <c:v>BTC</c:v>
                </c:pt>
                <c:pt idx="3">
                  <c:v>Seychelles</c:v>
                </c:pt>
                <c:pt idx="4">
                  <c:v>Other</c:v>
                </c:pt>
                <c:pt idx="5">
                  <c:v>US carve out entities</c:v>
                </c:pt>
                <c:pt idx="6">
                  <c:v>Networks/LatAm</c:v>
                </c:pt>
              </c:strCache>
            </c:strRef>
          </c:cat>
          <c:val>
            <c:numRef>
              <c:f>Quarts!$AS$95:$AS$101</c:f>
              <c:numCache>
                <c:formatCode>0%</c:formatCode>
                <c:ptCount val="7"/>
                <c:pt idx="0">
                  <c:v>0.17060871653259696</c:v>
                </c:pt>
                <c:pt idx="1">
                  <c:v>0.60736583023172053</c:v>
                </c:pt>
                <c:pt idx="2">
                  <c:v>7.7950534277824474E-2</c:v>
                </c:pt>
                <c:pt idx="3">
                  <c:v>3.0015608116220439E-2</c:v>
                </c:pt>
                <c:pt idx="4">
                  <c:v>-5.702965542081883E-2</c:v>
                </c:pt>
                <c:pt idx="5">
                  <c:v>9.0046824348661309E-3</c:v>
                </c:pt>
                <c:pt idx="6">
                  <c:v>0.16208428382759035</c:v>
                </c:pt>
              </c:numCache>
            </c:numRef>
          </c:val>
          <c:extLst>
            <c:ext xmlns:c16="http://schemas.microsoft.com/office/drawing/2014/chart" uri="{C3380CC4-5D6E-409C-BE32-E72D297353CC}">
              <c16:uniqueId val="{0000000E-825B-42F8-80A8-4E5EB315C353}"/>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10109436902955879"/>
          <c:y val="0.78492392656546861"/>
          <c:w val="0.89890577238293534"/>
          <c:h val="0.18730965243874445"/>
        </c:manualLayout>
      </c:layout>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67205138117832"/>
          <c:y val="4.866994470765456E-2"/>
          <c:w val="0.54877205753228453"/>
          <c:h val="0.62742382271468145"/>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3753-4283-B994-C42B4569B89D}"/>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3753-4283-B994-C42B4569B89D}"/>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3753-4283-B994-C42B4569B89D}"/>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3753-4283-B994-C42B4569B89D}"/>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3753-4283-B994-C42B4569B89D}"/>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3753-4283-B994-C42B4569B89D}"/>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3753-4283-B994-C42B4569B89D}"/>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Quarts!$AU$95:$AU$100</c:f>
              <c:strCache>
                <c:ptCount val="6"/>
                <c:pt idx="0">
                  <c:v>Mobile</c:v>
                </c:pt>
                <c:pt idx="1">
                  <c:v>BB and TV</c:v>
                </c:pt>
                <c:pt idx="2">
                  <c:v>Fixed voice</c:v>
                </c:pt>
                <c:pt idx="3">
                  <c:v>Other</c:v>
                </c:pt>
                <c:pt idx="4">
                  <c:v>Networks/LatAm</c:v>
                </c:pt>
                <c:pt idx="5">
                  <c:v>Elims</c:v>
                </c:pt>
              </c:strCache>
            </c:strRef>
          </c:cat>
          <c:val>
            <c:numRef>
              <c:f>Quarts!$AV$95:$AV$100</c:f>
              <c:numCache>
                <c:formatCode>0%</c:formatCode>
                <c:ptCount val="6"/>
                <c:pt idx="0">
                  <c:v>0.32947168956582745</c:v>
                </c:pt>
                <c:pt idx="1">
                  <c:v>0.24644358630138499</c:v>
                </c:pt>
                <c:pt idx="2">
                  <c:v>0.1500792769500196</c:v>
                </c:pt>
                <c:pt idx="3">
                  <c:v>0.14031191474551269</c:v>
                </c:pt>
                <c:pt idx="4">
                  <c:v>0.14363767947804276</c:v>
                </c:pt>
                <c:pt idx="5">
                  <c:v>-9.9441470407875751E-3</c:v>
                </c:pt>
              </c:numCache>
            </c:numRef>
          </c:val>
          <c:extLst>
            <c:ext xmlns:c16="http://schemas.microsoft.com/office/drawing/2014/chart" uri="{C3380CC4-5D6E-409C-BE32-E72D297353CC}">
              <c16:uniqueId val="{0000000E-3753-4283-B994-C42B4569B89D}"/>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10109436902955879"/>
          <c:y val="0.78492392656546861"/>
          <c:w val="0.89890577238293534"/>
          <c:h val="0.18730965243874445"/>
        </c:manualLayout>
      </c:layout>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Quarts!$B$695</c:f>
              <c:strCache>
                <c:ptCount val="1"/>
                <c:pt idx="0">
                  <c:v>CWC</c:v>
                </c:pt>
              </c:strCache>
            </c:strRef>
          </c:tx>
          <c:marker>
            <c:symbol val="none"/>
          </c:marker>
          <c:cat>
            <c:numRef>
              <c:f>Quarts!$C$693:$J$693</c:f>
              <c:numCache>
                <c:formatCode>mmm\-yy</c:formatCode>
                <c:ptCount val="8"/>
                <c:pt idx="1">
                  <c:v>42156</c:v>
                </c:pt>
                <c:pt idx="2">
                  <c:v>42156</c:v>
                </c:pt>
                <c:pt idx="3">
                  <c:v>42248</c:v>
                </c:pt>
                <c:pt idx="4">
                  <c:v>42339</c:v>
                </c:pt>
                <c:pt idx="5">
                  <c:v>42430</c:v>
                </c:pt>
                <c:pt idx="7">
                  <c:v>42522</c:v>
                </c:pt>
              </c:numCache>
            </c:numRef>
          </c:cat>
          <c:val>
            <c:numRef>
              <c:f>Quarts!$C$694:$J$694</c:f>
              <c:numCache>
                <c:formatCode>0.0%</c:formatCode>
                <c:ptCount val="8"/>
                <c:pt idx="0" formatCode="mmm\-yy">
                  <c:v>42064</c:v>
                </c:pt>
                <c:pt idx="1">
                  <c:v>0.34880136986301374</c:v>
                </c:pt>
                <c:pt idx="2">
                  <c:v>0.33396226415094338</c:v>
                </c:pt>
                <c:pt idx="3">
                  <c:v>0.38473154362416107</c:v>
                </c:pt>
                <c:pt idx="4">
                  <c:v>0.40857142857142859</c:v>
                </c:pt>
                <c:pt idx="5">
                  <c:v>0.44314049586776866</c:v>
                </c:pt>
                <c:pt idx="7">
                  <c:v>0.35056570931244563</c:v>
                </c:pt>
              </c:numCache>
            </c:numRef>
          </c:val>
          <c:smooth val="0"/>
          <c:extLst>
            <c:ext xmlns:c16="http://schemas.microsoft.com/office/drawing/2014/chart" uri="{C3380CC4-5D6E-409C-BE32-E72D297353CC}">
              <c16:uniqueId val="{00000000-6FFF-4492-AF81-FA7847EE8ED2}"/>
            </c:ext>
          </c:extLst>
        </c:ser>
        <c:ser>
          <c:idx val="1"/>
          <c:order val="1"/>
          <c:tx>
            <c:strRef>
              <c:f>Quarts!$B$696</c:f>
              <c:strCache>
                <c:ptCount val="1"/>
                <c:pt idx="0">
                  <c:v>Chile/PR</c:v>
                </c:pt>
              </c:strCache>
            </c:strRef>
          </c:tx>
          <c:marker>
            <c:symbol val="none"/>
          </c:marker>
          <c:cat>
            <c:numRef>
              <c:f>Quarts!$C$693:$J$693</c:f>
              <c:numCache>
                <c:formatCode>mmm\-yy</c:formatCode>
                <c:ptCount val="8"/>
                <c:pt idx="1">
                  <c:v>42156</c:v>
                </c:pt>
                <c:pt idx="2">
                  <c:v>42156</c:v>
                </c:pt>
                <c:pt idx="3">
                  <c:v>42248</c:v>
                </c:pt>
                <c:pt idx="4">
                  <c:v>42339</c:v>
                </c:pt>
                <c:pt idx="5">
                  <c:v>42430</c:v>
                </c:pt>
                <c:pt idx="7">
                  <c:v>42522</c:v>
                </c:pt>
              </c:numCache>
            </c:numRef>
          </c:cat>
          <c:val>
            <c:numRef>
              <c:f>Quarts!$C$695:$J$695</c:f>
              <c:numCache>
                <c:formatCode>0.0%</c:formatCode>
                <c:ptCount val="8"/>
                <c:pt idx="0">
                  <c:v>0.40072312174340136</c:v>
                </c:pt>
                <c:pt idx="1">
                  <c:v>0.39213275968039335</c:v>
                </c:pt>
                <c:pt idx="2">
                  <c:v>0.39213275968039335</c:v>
                </c:pt>
                <c:pt idx="3">
                  <c:v>0.41386010362694303</c:v>
                </c:pt>
                <c:pt idx="4">
                  <c:v>0.4120310478654593</c:v>
                </c:pt>
                <c:pt idx="5">
                  <c:v>0.40098684210526314</c:v>
                </c:pt>
                <c:pt idx="7">
                  <c:v>0.40466435549952734</c:v>
                </c:pt>
              </c:numCache>
            </c:numRef>
          </c:val>
          <c:smooth val="0"/>
          <c:extLst>
            <c:ext xmlns:c16="http://schemas.microsoft.com/office/drawing/2014/chart" uri="{C3380CC4-5D6E-409C-BE32-E72D297353CC}">
              <c16:uniqueId val="{00000001-6FFF-4492-AF81-FA7847EE8ED2}"/>
            </c:ext>
          </c:extLst>
        </c:ser>
        <c:ser>
          <c:idx val="2"/>
          <c:order val="2"/>
          <c:tx>
            <c:strRef>
              <c:f>Quarts!$B$697</c:f>
              <c:strCache>
                <c:ptCount val="1"/>
                <c:pt idx="0">
                  <c:v>Group</c:v>
                </c:pt>
              </c:strCache>
            </c:strRef>
          </c:tx>
          <c:marker>
            <c:symbol val="none"/>
          </c:marker>
          <c:cat>
            <c:numRef>
              <c:f>Quarts!$C$693:$J$693</c:f>
              <c:numCache>
                <c:formatCode>mmm\-yy</c:formatCode>
                <c:ptCount val="8"/>
                <c:pt idx="1">
                  <c:v>42156</c:v>
                </c:pt>
                <c:pt idx="2">
                  <c:v>42156</c:v>
                </c:pt>
                <c:pt idx="3">
                  <c:v>42248</c:v>
                </c:pt>
                <c:pt idx="4">
                  <c:v>42339</c:v>
                </c:pt>
                <c:pt idx="5">
                  <c:v>42430</c:v>
                </c:pt>
                <c:pt idx="7">
                  <c:v>42522</c:v>
                </c:pt>
              </c:numCache>
            </c:numRef>
          </c:cat>
          <c:val>
            <c:numRef>
              <c:f>Quarts!$C$696:$J$696</c:f>
              <c:numCache>
                <c:formatCode>0.0%</c:formatCode>
                <c:ptCount val="8"/>
                <c:pt idx="0">
                  <c:v>0.34947172129301657</c:v>
                </c:pt>
                <c:pt idx="1">
                  <c:v>0.36430613591378935</c:v>
                </c:pt>
                <c:pt idx="2">
                  <c:v>2.3000000000000114</c:v>
                </c:pt>
                <c:pt idx="3">
                  <c:v>0.39467285587975248</c:v>
                </c:pt>
                <c:pt idx="4">
                  <c:v>0.40975447909754475</c:v>
                </c:pt>
                <c:pt idx="5">
                  <c:v>0.42909010892287375</c:v>
                </c:pt>
                <c:pt idx="7">
                  <c:v>0.36981385960977803</c:v>
                </c:pt>
              </c:numCache>
            </c:numRef>
          </c:val>
          <c:smooth val="0"/>
          <c:extLst>
            <c:ext xmlns:c16="http://schemas.microsoft.com/office/drawing/2014/chart" uri="{C3380CC4-5D6E-409C-BE32-E72D297353CC}">
              <c16:uniqueId val="{00000002-6FFF-4492-AF81-FA7847EE8ED2}"/>
            </c:ext>
          </c:extLst>
        </c:ser>
        <c:dLbls>
          <c:showLegendKey val="0"/>
          <c:showVal val="0"/>
          <c:showCatName val="0"/>
          <c:showSerName val="0"/>
          <c:showPercent val="0"/>
          <c:showBubbleSize val="0"/>
        </c:dLbls>
        <c:smooth val="0"/>
        <c:axId val="124685312"/>
        <c:axId val="124687104"/>
      </c:lineChart>
      <c:dateAx>
        <c:axId val="124685312"/>
        <c:scaling>
          <c:orientation val="minMax"/>
        </c:scaling>
        <c:delete val="0"/>
        <c:axPos val="b"/>
        <c:numFmt formatCode="General" sourceLinked="1"/>
        <c:majorTickMark val="out"/>
        <c:minorTickMark val="none"/>
        <c:tickLblPos val="nextTo"/>
        <c:crossAx val="124687104"/>
        <c:crosses val="autoZero"/>
        <c:auto val="1"/>
        <c:lblOffset val="100"/>
        <c:baseTimeUnit val="months"/>
      </c:dateAx>
      <c:valAx>
        <c:axId val="124687104"/>
        <c:scaling>
          <c:orientation val="minMax"/>
        </c:scaling>
        <c:delete val="0"/>
        <c:axPos val="l"/>
        <c:majorGridlines/>
        <c:numFmt formatCode="mmm\-yy" sourceLinked="1"/>
        <c:majorTickMark val="out"/>
        <c:minorTickMark val="none"/>
        <c:tickLblPos val="nextTo"/>
        <c:crossAx val="124685312"/>
        <c:crosses val="autoZero"/>
        <c:crossBetween val="between"/>
      </c:valAx>
    </c:plotArea>
    <c:legend>
      <c:legendPos val="b"/>
      <c:overlay val="0"/>
    </c:legend>
    <c:plotVisOnly val="1"/>
    <c:dispBlanksAs val="gap"/>
    <c:showDLblsOverMax val="0"/>
  </c:chart>
  <c:spPr>
    <a:ln>
      <a:noFill/>
    </a:ln>
  </c:spPr>
  <c:txPr>
    <a:bodyPr/>
    <a:lstStyle/>
    <a:p>
      <a:pPr>
        <a:defRPr>
          <a:latin typeface="Trebuchet MS" panose="020B0603020202020204" pitchFamily="34" charset="0"/>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dPt>
            <c:idx val="0"/>
            <c:invertIfNegative val="0"/>
            <c:bubble3D val="0"/>
            <c:spPr>
              <a:solidFill>
                <a:srgbClr val="002060"/>
              </a:solidFill>
            </c:spPr>
            <c:extLst>
              <c:ext xmlns:c16="http://schemas.microsoft.com/office/drawing/2014/chart" uri="{C3380CC4-5D6E-409C-BE32-E72D297353CC}">
                <c16:uniqueId val="{0000000D-1E56-4210-9715-F1324FEA1243}"/>
              </c:ext>
            </c:extLst>
          </c:dPt>
          <c:dPt>
            <c:idx val="1"/>
            <c:invertIfNegative val="0"/>
            <c:bubble3D val="0"/>
            <c:spPr>
              <a:noFill/>
            </c:spPr>
            <c:extLst>
              <c:ext xmlns:c16="http://schemas.microsoft.com/office/drawing/2014/chart" uri="{C3380CC4-5D6E-409C-BE32-E72D297353CC}">
                <c16:uniqueId val="{00000001-1E56-4210-9715-F1324FEA1243}"/>
              </c:ext>
            </c:extLst>
          </c:dPt>
          <c:dPt>
            <c:idx val="2"/>
            <c:invertIfNegative val="0"/>
            <c:bubble3D val="0"/>
            <c:spPr>
              <a:noFill/>
            </c:spPr>
            <c:extLst>
              <c:ext xmlns:c16="http://schemas.microsoft.com/office/drawing/2014/chart" uri="{C3380CC4-5D6E-409C-BE32-E72D297353CC}">
                <c16:uniqueId val="{00000003-1E56-4210-9715-F1324FEA1243}"/>
              </c:ext>
            </c:extLst>
          </c:dPt>
          <c:dPt>
            <c:idx val="3"/>
            <c:invertIfNegative val="0"/>
            <c:bubble3D val="0"/>
            <c:spPr>
              <a:noFill/>
            </c:spPr>
            <c:extLst>
              <c:ext xmlns:c16="http://schemas.microsoft.com/office/drawing/2014/chart" uri="{C3380CC4-5D6E-409C-BE32-E72D297353CC}">
                <c16:uniqueId val="{00000005-1E56-4210-9715-F1324FEA1243}"/>
              </c:ext>
            </c:extLst>
          </c:dPt>
          <c:dPt>
            <c:idx val="4"/>
            <c:invertIfNegative val="0"/>
            <c:bubble3D val="0"/>
            <c:spPr>
              <a:noFill/>
            </c:spPr>
            <c:extLst>
              <c:ext xmlns:c16="http://schemas.microsoft.com/office/drawing/2014/chart" uri="{C3380CC4-5D6E-409C-BE32-E72D297353CC}">
                <c16:uniqueId val="{00000007-1E56-4210-9715-F1324FEA1243}"/>
              </c:ext>
            </c:extLst>
          </c:dPt>
          <c:dPt>
            <c:idx val="5"/>
            <c:invertIfNegative val="0"/>
            <c:bubble3D val="0"/>
            <c:spPr>
              <a:noFill/>
            </c:spPr>
            <c:extLst>
              <c:ext xmlns:c16="http://schemas.microsoft.com/office/drawing/2014/chart" uri="{C3380CC4-5D6E-409C-BE32-E72D297353CC}">
                <c16:uniqueId val="{00000009-1E56-4210-9715-F1324FEA1243}"/>
              </c:ext>
            </c:extLst>
          </c:dPt>
          <c:dPt>
            <c:idx val="6"/>
            <c:invertIfNegative val="0"/>
            <c:bubble3D val="0"/>
            <c:spPr>
              <a:solidFill>
                <a:srgbClr val="002060"/>
              </a:solidFill>
            </c:spPr>
            <c:extLst>
              <c:ext xmlns:c16="http://schemas.microsoft.com/office/drawing/2014/chart" uri="{C3380CC4-5D6E-409C-BE32-E72D297353CC}">
                <c16:uniqueId val="{0000000C-1E56-4210-9715-F1324FEA1243}"/>
              </c:ext>
            </c:extLst>
          </c:dPt>
          <c:cat>
            <c:strRef>
              <c:f>Quarts!$M$615:$M$621</c:f>
              <c:strCache>
                <c:ptCount val="7"/>
                <c:pt idx="0">
                  <c:v>Starting net debt</c:v>
                </c:pt>
                <c:pt idx="1">
                  <c:v>CWC dividend</c:v>
                </c:pt>
                <c:pt idx="2">
                  <c:v>CWC deal fees</c:v>
                </c:pt>
                <c:pt idx="3">
                  <c:v>CWC finance and other fees</c:v>
                </c:pt>
                <c:pt idx="4">
                  <c:v>Underlying FCF</c:v>
                </c:pt>
                <c:pt idx="5">
                  <c:v>Other (inc LiLAC fees)</c:v>
                </c:pt>
                <c:pt idx="6">
                  <c:v>Closing net debt</c:v>
                </c:pt>
              </c:strCache>
            </c:strRef>
          </c:cat>
          <c:val>
            <c:numRef>
              <c:f>Quarts!$P$615:$P$621</c:f>
              <c:numCache>
                <c:formatCode>#,##0</c:formatCode>
                <c:ptCount val="7"/>
                <c:pt idx="0">
                  <c:v>4933.2000000000007</c:v>
                </c:pt>
                <c:pt idx="1">
                  <c:v>4933.2000000000007</c:v>
                </c:pt>
                <c:pt idx="2">
                  <c:v>5127.2000000000007</c:v>
                </c:pt>
                <c:pt idx="3">
                  <c:v>5202.2000000000007</c:v>
                </c:pt>
                <c:pt idx="4">
                  <c:v>5267.2000000000007</c:v>
                </c:pt>
                <c:pt idx="5">
                  <c:v>5267.2000000000007</c:v>
                </c:pt>
                <c:pt idx="6">
                  <c:v>5445.0999999999995</c:v>
                </c:pt>
              </c:numCache>
            </c:numRef>
          </c:val>
          <c:extLst>
            <c:ext xmlns:c16="http://schemas.microsoft.com/office/drawing/2014/chart" uri="{C3380CC4-5D6E-409C-BE32-E72D297353CC}">
              <c16:uniqueId val="{0000000A-1E56-4210-9715-F1324FEA1243}"/>
            </c:ext>
          </c:extLst>
        </c:ser>
        <c:ser>
          <c:idx val="1"/>
          <c:order val="1"/>
          <c:spPr>
            <a:solidFill>
              <a:schemeClr val="tx2">
                <a:lumMod val="20000"/>
                <a:lumOff val="80000"/>
              </a:schemeClr>
            </a:solidFill>
          </c:spPr>
          <c:invertIfNegative val="0"/>
          <c:cat>
            <c:strRef>
              <c:f>Quarts!$M$615:$M$621</c:f>
              <c:strCache>
                <c:ptCount val="7"/>
                <c:pt idx="0">
                  <c:v>Starting net debt</c:v>
                </c:pt>
                <c:pt idx="1">
                  <c:v>CWC dividend</c:v>
                </c:pt>
                <c:pt idx="2">
                  <c:v>CWC deal fees</c:v>
                </c:pt>
                <c:pt idx="3">
                  <c:v>CWC finance and other fees</c:v>
                </c:pt>
                <c:pt idx="4">
                  <c:v>Underlying FCF</c:v>
                </c:pt>
                <c:pt idx="5">
                  <c:v>Other (inc LiLAC fees)</c:v>
                </c:pt>
                <c:pt idx="6">
                  <c:v>Closing net debt</c:v>
                </c:pt>
              </c:strCache>
            </c:strRef>
          </c:cat>
          <c:val>
            <c:numRef>
              <c:f>Quarts!$Q$615:$Q$621</c:f>
              <c:numCache>
                <c:formatCode>General</c:formatCode>
                <c:ptCount val="7"/>
                <c:pt idx="0">
                  <c:v>0</c:v>
                </c:pt>
                <c:pt idx="1">
                  <c:v>194</c:v>
                </c:pt>
                <c:pt idx="2">
                  <c:v>75</c:v>
                </c:pt>
                <c:pt idx="3">
                  <c:v>80</c:v>
                </c:pt>
                <c:pt idx="4">
                  <c:v>15</c:v>
                </c:pt>
                <c:pt idx="5" formatCode="0">
                  <c:v>177.89999999999873</c:v>
                </c:pt>
                <c:pt idx="6">
                  <c:v>0</c:v>
                </c:pt>
              </c:numCache>
            </c:numRef>
          </c:val>
          <c:extLst>
            <c:ext xmlns:c16="http://schemas.microsoft.com/office/drawing/2014/chart" uri="{C3380CC4-5D6E-409C-BE32-E72D297353CC}">
              <c16:uniqueId val="{0000000B-1E56-4210-9715-F1324FEA1243}"/>
            </c:ext>
          </c:extLst>
        </c:ser>
        <c:dLbls>
          <c:showLegendKey val="0"/>
          <c:showVal val="0"/>
          <c:showCatName val="0"/>
          <c:showSerName val="0"/>
          <c:showPercent val="0"/>
          <c:showBubbleSize val="0"/>
        </c:dLbls>
        <c:gapWidth val="150"/>
        <c:overlap val="100"/>
        <c:axId val="126094720"/>
        <c:axId val="126096512"/>
      </c:barChart>
      <c:catAx>
        <c:axId val="126094720"/>
        <c:scaling>
          <c:orientation val="minMax"/>
        </c:scaling>
        <c:delete val="0"/>
        <c:axPos val="b"/>
        <c:numFmt formatCode="General" sourceLinked="0"/>
        <c:majorTickMark val="out"/>
        <c:minorTickMark val="none"/>
        <c:tickLblPos val="nextTo"/>
        <c:crossAx val="126096512"/>
        <c:crosses val="autoZero"/>
        <c:auto val="1"/>
        <c:lblAlgn val="ctr"/>
        <c:lblOffset val="100"/>
        <c:noMultiLvlLbl val="0"/>
      </c:catAx>
      <c:valAx>
        <c:axId val="126096512"/>
        <c:scaling>
          <c:orientation val="minMax"/>
          <c:min val="4800"/>
        </c:scaling>
        <c:delete val="0"/>
        <c:axPos val="l"/>
        <c:majorGridlines/>
        <c:numFmt formatCode="#,##0" sourceLinked="1"/>
        <c:majorTickMark val="out"/>
        <c:minorTickMark val="none"/>
        <c:tickLblPos val="nextTo"/>
        <c:crossAx val="1260947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numRef>
              <c:f>Quarts!$D$622:$H$622</c:f>
              <c:numCache>
                <c:formatCode>mmm\-yy</c:formatCode>
                <c:ptCount val="5"/>
                <c:pt idx="0">
                  <c:v>42156</c:v>
                </c:pt>
                <c:pt idx="1">
                  <c:v>42248</c:v>
                </c:pt>
                <c:pt idx="2">
                  <c:v>42339</c:v>
                </c:pt>
                <c:pt idx="3">
                  <c:v>42430</c:v>
                </c:pt>
                <c:pt idx="4">
                  <c:v>42522</c:v>
                </c:pt>
              </c:numCache>
            </c:numRef>
          </c:cat>
          <c:val>
            <c:numRef>
              <c:f>Quarts!$D$625:$H$625</c:f>
              <c:numCache>
                <c:formatCode>0.0</c:formatCode>
                <c:ptCount val="5"/>
                <c:pt idx="0">
                  <c:v>3.3923936009658919</c:v>
                </c:pt>
                <c:pt idx="1">
                  <c:v>3.3839960795295432</c:v>
                </c:pt>
                <c:pt idx="2">
                  <c:v>3.2648448043184883</c:v>
                </c:pt>
                <c:pt idx="3">
                  <c:v>3.1623076923076927</c:v>
                </c:pt>
                <c:pt idx="4">
                  <c:v>4.1503183747725885</c:v>
                </c:pt>
              </c:numCache>
            </c:numRef>
          </c:val>
          <c:extLst>
            <c:ext xmlns:c16="http://schemas.microsoft.com/office/drawing/2014/chart" uri="{C3380CC4-5D6E-409C-BE32-E72D297353CC}">
              <c16:uniqueId val="{00000000-22F9-4D98-A8DC-F544AC4B32E1}"/>
            </c:ext>
          </c:extLst>
        </c:ser>
        <c:dLbls>
          <c:showLegendKey val="0"/>
          <c:showVal val="0"/>
          <c:showCatName val="0"/>
          <c:showSerName val="0"/>
          <c:showPercent val="0"/>
          <c:showBubbleSize val="0"/>
        </c:dLbls>
        <c:gapWidth val="0"/>
        <c:overlap val="-7"/>
        <c:axId val="126120704"/>
        <c:axId val="126122240"/>
      </c:barChart>
      <c:dateAx>
        <c:axId val="126120704"/>
        <c:scaling>
          <c:orientation val="minMax"/>
        </c:scaling>
        <c:delete val="0"/>
        <c:axPos val="b"/>
        <c:numFmt formatCode="mmm\-yy" sourceLinked="1"/>
        <c:majorTickMark val="out"/>
        <c:minorTickMark val="none"/>
        <c:tickLblPos val="nextTo"/>
        <c:crossAx val="126122240"/>
        <c:crosses val="autoZero"/>
        <c:auto val="1"/>
        <c:lblOffset val="100"/>
        <c:baseTimeUnit val="months"/>
        <c:majorUnit val="3"/>
        <c:majorTimeUnit val="months"/>
        <c:minorUnit val="3"/>
        <c:minorTimeUnit val="months"/>
      </c:dateAx>
      <c:valAx>
        <c:axId val="12612224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126120704"/>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87246312520794"/>
          <c:y val="5.479148439778362E-2"/>
          <c:w val="0.60538390447672918"/>
          <c:h val="0.74621974336541264"/>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2A6E-42C3-B1F8-6277D859F6C4}"/>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2A6E-42C3-B1F8-6277D859F6C4}"/>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2A6E-42C3-B1F8-6277D859F6C4}"/>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2A6E-42C3-B1F8-6277D859F6C4}"/>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2A6E-42C3-B1F8-6277D859F6C4}"/>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2A6E-42C3-B1F8-6277D859F6C4}"/>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Ops!$C$54:$C$59</c:f>
              <c:strCache>
                <c:ptCount val="6"/>
                <c:pt idx="0">
                  <c:v>Columbus 3-play</c:v>
                </c:pt>
                <c:pt idx="1">
                  <c:v>CWC 3-play</c:v>
                </c:pt>
                <c:pt idx="2">
                  <c:v>LiLAC HFC 3-play</c:v>
                </c:pt>
                <c:pt idx="3">
                  <c:v>CWC mobile</c:v>
                </c:pt>
                <c:pt idx="4">
                  <c:v>CWC other</c:v>
                </c:pt>
                <c:pt idx="5">
                  <c:v>Columbus networks</c:v>
                </c:pt>
              </c:strCache>
            </c:strRef>
          </c:cat>
          <c:val>
            <c:numRef>
              <c:f>Ops!$F$54:$F$59</c:f>
              <c:numCache>
                <c:formatCode>0</c:formatCode>
                <c:ptCount val="6"/>
                <c:pt idx="0">
                  <c:v>363.53663366336633</c:v>
                </c:pt>
                <c:pt idx="1">
                  <c:v>696</c:v>
                </c:pt>
                <c:pt idx="2">
                  <c:v>1204</c:v>
                </c:pt>
                <c:pt idx="3">
                  <c:v>929</c:v>
                </c:pt>
                <c:pt idx="4">
                  <c:v>292</c:v>
                </c:pt>
                <c:pt idx="5">
                  <c:v>243.93663366336634</c:v>
                </c:pt>
              </c:numCache>
            </c:numRef>
          </c:val>
          <c:extLst>
            <c:ext xmlns:c16="http://schemas.microsoft.com/office/drawing/2014/chart" uri="{C3380CC4-5D6E-409C-BE32-E72D297353CC}">
              <c16:uniqueId val="{0000000C-2A6E-42C3-B1F8-6277D859F6C4}"/>
            </c:ext>
          </c:extLst>
        </c:ser>
        <c:dLbls>
          <c:showLegendKey val="0"/>
          <c:showVal val="0"/>
          <c:showCatName val="0"/>
          <c:showSerName val="0"/>
          <c:showPercent val="0"/>
          <c:showBubbleSize val="0"/>
          <c:showLeaderLines val="1"/>
        </c:dLbls>
        <c:firstSliceAng val="0"/>
      </c:pieChart>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8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21516385937355"/>
          <c:y val="3.9414471042392256E-2"/>
          <c:w val="0.53960838391654453"/>
          <c:h val="0.6496461942257217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C8DF-458D-A954-0E656BD8C1AD}"/>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C8DF-458D-A954-0E656BD8C1AD}"/>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C8DF-458D-A954-0E656BD8C1AD}"/>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C8DF-458D-A954-0E656BD8C1AD}"/>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C8DF-458D-A954-0E656BD8C1AD}"/>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C8DF-458D-A954-0E656BD8C1AD}"/>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C8DF-458D-A954-0E656BD8C1AD}"/>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C8DF-458D-A954-0E656BD8C1AD}"/>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11-C8DF-458D-A954-0E656BD8C1AD}"/>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Quarts!$AR$104:$AR$112</c:f>
              <c:strCache>
                <c:ptCount val="9"/>
                <c:pt idx="0">
                  <c:v>Panama</c:v>
                </c:pt>
                <c:pt idx="1">
                  <c:v>Caribbean</c:v>
                </c:pt>
                <c:pt idx="2">
                  <c:v>BTC</c:v>
                </c:pt>
                <c:pt idx="3">
                  <c:v>Seychelles</c:v>
                </c:pt>
                <c:pt idx="4">
                  <c:v>Other</c:v>
                </c:pt>
                <c:pt idx="5">
                  <c:v>US carve out</c:v>
                </c:pt>
                <c:pt idx="6">
                  <c:v>Networks/LatAm</c:v>
                </c:pt>
                <c:pt idx="7">
                  <c:v>Chile</c:v>
                </c:pt>
                <c:pt idx="8">
                  <c:v>Puerto Rico</c:v>
                </c:pt>
              </c:strCache>
            </c:strRef>
          </c:cat>
          <c:val>
            <c:numRef>
              <c:f>Quarts!$AT$104:$AT$112</c:f>
              <c:numCache>
                <c:formatCode>0%</c:formatCode>
                <c:ptCount val="9"/>
                <c:pt idx="0">
                  <c:v>0.10169248935485026</c:v>
                </c:pt>
                <c:pt idx="1">
                  <c:v>0.36202454646294774</c:v>
                </c:pt>
                <c:pt idx="2">
                  <c:v>4.6462947722474689E-2</c:v>
                </c:pt>
                <c:pt idx="3">
                  <c:v>1.7891007979389559E-2</c:v>
                </c:pt>
                <c:pt idx="4">
                  <c:v>-3.3992915160840166E-2</c:v>
                </c:pt>
                <c:pt idx="5">
                  <c:v>5.367302393816868E-3</c:v>
                </c:pt>
                <c:pt idx="6">
                  <c:v>9.6611443088703633E-2</c:v>
                </c:pt>
                <c:pt idx="7">
                  <c:v>0.30432604572941641</c:v>
                </c:pt>
                <c:pt idx="8">
                  <c:v>9.961713242924107E-2</c:v>
                </c:pt>
              </c:numCache>
            </c:numRef>
          </c:val>
          <c:extLst>
            <c:ext xmlns:c16="http://schemas.microsoft.com/office/drawing/2014/chart" uri="{C3380CC4-5D6E-409C-BE32-E72D297353CC}">
              <c16:uniqueId val="{00000012-C8DF-458D-A954-0E656BD8C1AD}"/>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
          <c:y val="0.77173333333333338"/>
          <c:w val="1"/>
          <c:h val="0.20050008748906387"/>
        </c:manualLayout>
      </c:layout>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86252787518799"/>
          <c:y val="6.7180892038179188E-2"/>
          <c:w val="0.55281967665578702"/>
          <c:h val="0.63205155954731262"/>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B265-4EAC-8549-7C69EAE61840}"/>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B265-4EAC-8549-7C69EAE61840}"/>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B265-4EAC-8549-7C69EAE61840}"/>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B265-4EAC-8549-7C69EAE61840}"/>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B265-4EAC-8549-7C69EAE61840}"/>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B265-4EAC-8549-7C69EAE61840}"/>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B265-4EAC-8549-7C69EAE61840}"/>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B265-4EAC-8549-7C69EAE61840}"/>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11-B265-4EAC-8549-7C69EAE61840}"/>
              </c:ext>
            </c:extLst>
          </c:dPt>
          <c:dLbls>
            <c:spPr>
              <a:noFill/>
              <a:ln>
                <a:noFill/>
              </a:ln>
              <a:effectLst/>
            </c:sp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Quarts!$AL$104:$AL$109</c:f>
              <c:strCache>
                <c:ptCount val="6"/>
                <c:pt idx="0">
                  <c:v>Mobile</c:v>
                </c:pt>
                <c:pt idx="1">
                  <c:v>BB and TV</c:v>
                </c:pt>
                <c:pt idx="2">
                  <c:v>Fixed voice</c:v>
                </c:pt>
                <c:pt idx="3">
                  <c:v>Other</c:v>
                </c:pt>
                <c:pt idx="4">
                  <c:v>Networks/LatAm</c:v>
                </c:pt>
                <c:pt idx="5">
                  <c:v>Elims</c:v>
                </c:pt>
              </c:strCache>
            </c:strRef>
          </c:cat>
          <c:val>
            <c:numRef>
              <c:f>Quarts!$AN$104:$AN$109</c:f>
              <c:numCache>
                <c:formatCode>0%</c:formatCode>
                <c:ptCount val="6"/>
                <c:pt idx="0">
                  <c:v>0.20486343697077747</c:v>
                </c:pt>
                <c:pt idx="1">
                  <c:v>0.45580208236720693</c:v>
                </c:pt>
                <c:pt idx="2">
                  <c:v>0.16895960647313224</c:v>
                </c:pt>
                <c:pt idx="3">
                  <c:v>8.724507146758452E-2</c:v>
                </c:pt>
                <c:pt idx="4">
                  <c:v>8.9313011188172212E-2</c:v>
                </c:pt>
                <c:pt idx="5">
                  <c:v>-6.18320846687346E-3</c:v>
                </c:pt>
              </c:numCache>
            </c:numRef>
          </c:val>
          <c:extLst>
            <c:ext xmlns:c16="http://schemas.microsoft.com/office/drawing/2014/chart" uri="{C3380CC4-5D6E-409C-BE32-E72D297353CC}">
              <c16:uniqueId val="{00000012-B265-4EAC-8549-7C69EAE61840}"/>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7.8725235821620471E-2"/>
          <c:y val="0.77338300680459504"/>
          <c:w val="0.90731111562263056"/>
          <c:h val="0.19885057219961796"/>
        </c:manualLayout>
      </c:layout>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08299987091777"/>
          <c:y val="0.14619625231805883"/>
          <c:w val="0.59357919194526909"/>
          <c:h val="0.70001616666215061"/>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8499-4D08-BA88-A92C9A970C18}"/>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8499-4D08-BA88-A92C9A970C18}"/>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8499-4D08-BA88-A92C9A970C18}"/>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8499-4D08-BA88-A92C9A970C18}"/>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8499-4D08-BA88-A92C9A970C18}"/>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8499-4D08-BA88-A92C9A970C18}"/>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8499-4D08-BA88-A92C9A970C18}"/>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8499-4D08-BA88-A92C9A970C18}"/>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11-8499-4D08-BA88-A92C9A970C18}"/>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13-8499-4D08-BA88-A92C9A970C18}"/>
              </c:ext>
            </c:extLst>
          </c:dPt>
          <c:dLbls>
            <c:dLbl>
              <c:idx val="4"/>
              <c:layout>
                <c:manualLayout>
                  <c:x val="1.4320205495440288E-3"/>
                  <c:y val="8.053951125567206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99-4D08-BA88-A92C9A970C18}"/>
                </c:ext>
              </c:extLst>
            </c:dLbl>
            <c:dLbl>
              <c:idx val="9"/>
              <c:layout>
                <c:manualLayout>
                  <c:x val="-1.9672131147540985E-2"/>
                  <c:y val="-4.639923374283803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99-4D08-BA88-A92C9A970C18}"/>
                </c:ext>
              </c:extLst>
            </c:dLbl>
            <c:dLbl>
              <c:idx val="10"/>
              <c:layout>
                <c:manualLayout>
                  <c:x val="0.11803278688524591"/>
                  <c:y val="-5.799904217854754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499-4D08-BA88-A92C9A970C18}"/>
                </c:ext>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Analysis!$G$724:$G$729</c:f>
              <c:strCache>
                <c:ptCount val="6"/>
                <c:pt idx="0">
                  <c:v>Mobile</c:v>
                </c:pt>
                <c:pt idx="1">
                  <c:v>Broadband</c:v>
                </c:pt>
                <c:pt idx="2">
                  <c:v>Video</c:v>
                </c:pt>
                <c:pt idx="3">
                  <c:v>Fixed voice</c:v>
                </c:pt>
                <c:pt idx="4">
                  <c:v>Networks</c:v>
                </c:pt>
                <c:pt idx="5">
                  <c:v>Equipment/other</c:v>
                </c:pt>
              </c:strCache>
            </c:strRef>
          </c:cat>
          <c:val>
            <c:numRef>
              <c:f>Analysis!$H$724:$H$729</c:f>
              <c:numCache>
                <c:formatCode>0%</c:formatCode>
                <c:ptCount val="6"/>
                <c:pt idx="0">
                  <c:v>0.22645547989688417</c:v>
                </c:pt>
                <c:pt idx="1">
                  <c:v>0.22088092905522791</c:v>
                </c:pt>
                <c:pt idx="2">
                  <c:v>0.20585504449590789</c:v>
                </c:pt>
                <c:pt idx="3">
                  <c:v>0.14288003612721231</c:v>
                </c:pt>
                <c:pt idx="4">
                  <c:v>0.11211066954173385</c:v>
                </c:pt>
                <c:pt idx="5">
                  <c:v>9.1817840883033866E-2</c:v>
                </c:pt>
              </c:numCache>
            </c:numRef>
          </c:val>
          <c:extLst>
            <c:ext xmlns:c16="http://schemas.microsoft.com/office/drawing/2014/chart" uri="{C3380CC4-5D6E-409C-BE32-E72D297353CC}">
              <c16:uniqueId val="{00000015-8499-4D08-BA88-A92C9A970C1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w="25400">
      <a:noFill/>
    </a:ln>
    <a:effectLst/>
  </c:spPr>
  <c:txPr>
    <a:bodyPr/>
    <a:lstStyle/>
    <a:p>
      <a:pPr>
        <a:defRPr sz="11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08299987091777"/>
          <c:y val="0.14619625231805883"/>
          <c:w val="0.59357919194526909"/>
          <c:h val="0.70001616666215061"/>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7740-4B6E-B82E-DD031278CD9E}"/>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7740-4B6E-B82E-DD031278CD9E}"/>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7740-4B6E-B82E-DD031278CD9E}"/>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7-7740-4B6E-B82E-DD031278CD9E}"/>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9-7740-4B6E-B82E-DD031278CD9E}"/>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B-7740-4B6E-B82E-DD031278CD9E}"/>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D-7740-4B6E-B82E-DD031278CD9E}"/>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F-7740-4B6E-B82E-DD031278CD9E}"/>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11-7740-4B6E-B82E-DD031278CD9E}"/>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13-7740-4B6E-B82E-DD031278CD9E}"/>
              </c:ext>
            </c:extLst>
          </c:dPt>
          <c:dLbls>
            <c:dLbl>
              <c:idx val="9"/>
              <c:layout>
                <c:manualLayout>
                  <c:x val="-1.9672131147540985E-2"/>
                  <c:y val="-4.639923374283803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740-4B6E-B82E-DD031278CD9E}"/>
                </c:ext>
              </c:extLst>
            </c:dLbl>
            <c:dLbl>
              <c:idx val="10"/>
              <c:layout>
                <c:manualLayout>
                  <c:x val="0.11803278688524591"/>
                  <c:y val="-5.799904217854754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740-4B6E-B82E-DD031278CD9E}"/>
                </c:ext>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Analysis!$G$748:$G$758</c:f>
              <c:strCache>
                <c:ptCount val="11"/>
                <c:pt idx="0">
                  <c:v>Chile</c:v>
                </c:pt>
                <c:pt idx="1">
                  <c:v>Puerto Rico</c:v>
                </c:pt>
                <c:pt idx="2">
                  <c:v>Other Caribbean</c:v>
                </c:pt>
                <c:pt idx="3">
                  <c:v>Panama</c:v>
                </c:pt>
                <c:pt idx="4">
                  <c:v>Network</c:v>
                </c:pt>
                <c:pt idx="5">
                  <c:v>Jamaica</c:v>
                </c:pt>
                <c:pt idx="6">
                  <c:v>Trinidad &amp; Tobago</c:v>
                </c:pt>
                <c:pt idx="7">
                  <c:v>Barbados</c:v>
                </c:pt>
                <c:pt idx="8">
                  <c:v>Bahamas</c:v>
                </c:pt>
                <c:pt idx="9">
                  <c:v>Seychelles</c:v>
                </c:pt>
                <c:pt idx="10">
                  <c:v>Other</c:v>
                </c:pt>
              </c:strCache>
            </c:strRef>
          </c:cat>
          <c:val>
            <c:numRef>
              <c:f>Analysis!$H$748:$H$758</c:f>
              <c:numCache>
                <c:formatCode>0%</c:formatCode>
                <c:ptCount val="11"/>
                <c:pt idx="0">
                  <c:v>0.30490811862369205</c:v>
                </c:pt>
                <c:pt idx="1">
                  <c:v>0.1382024719181589</c:v>
                </c:pt>
                <c:pt idx="2">
                  <c:v>0.11236673903945026</c:v>
                </c:pt>
                <c:pt idx="3">
                  <c:v>0.10066467823740102</c:v>
                </c:pt>
                <c:pt idx="4">
                  <c:v>9.6880332814829981E-2</c:v>
                </c:pt>
                <c:pt idx="5">
                  <c:v>8.3745694674116453E-2</c:v>
                </c:pt>
                <c:pt idx="6">
                  <c:v>6.3023649504337489E-2</c:v>
                </c:pt>
                <c:pt idx="7">
                  <c:v>5.1679392593556736E-2</c:v>
                </c:pt>
                <c:pt idx="8">
                  <c:v>3.9753848048823329E-2</c:v>
                </c:pt>
                <c:pt idx="9">
                  <c:v>1.8915503180932578E-2</c:v>
                </c:pt>
                <c:pt idx="10">
                  <c:v>-1.0140428635298807E-2</c:v>
                </c:pt>
              </c:numCache>
            </c:numRef>
          </c:val>
          <c:extLst>
            <c:ext xmlns:c16="http://schemas.microsoft.com/office/drawing/2014/chart" uri="{C3380CC4-5D6E-409C-BE32-E72D297353CC}">
              <c16:uniqueId val="{00000015-7740-4B6E-B82E-DD031278CD9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w="25400">
      <a:noFill/>
    </a:ln>
    <a:effectLst/>
  </c:spPr>
  <c:txPr>
    <a:bodyPr/>
    <a:lstStyle/>
    <a:p>
      <a:pPr>
        <a:defRPr sz="11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'LiLAC valuation'!$AW$354</c:f>
              <c:strCache>
                <c:ptCount val="1"/>
                <c:pt idx="0">
                  <c:v>Video</c:v>
                </c:pt>
              </c:strCache>
            </c:strRef>
          </c:tx>
          <c:spPr>
            <a:solidFill>
              <a:srgbClr val="000080"/>
            </a:solidFill>
            <a:ln w="25400">
              <a:noFill/>
            </a:ln>
            <a:effectLst/>
          </c:spPr>
          <c:invertIfNegative val="0"/>
          <c:cat>
            <c:strRef>
              <c:f>'LiLAC valuation'!$AX$353:$BA$353</c:f>
              <c:strCache>
                <c:ptCount val="4"/>
                <c:pt idx="0">
                  <c:v>Q1 20</c:v>
                </c:pt>
                <c:pt idx="1">
                  <c:v>Q2 20</c:v>
                </c:pt>
                <c:pt idx="2">
                  <c:v>Q3 20</c:v>
                </c:pt>
                <c:pt idx="3">
                  <c:v>Q4 20</c:v>
                </c:pt>
              </c:strCache>
            </c:strRef>
          </c:cat>
          <c:val>
            <c:numRef>
              <c:f>'LiLAC valuation'!$AX$354:$BA$354</c:f>
              <c:numCache>
                <c:formatCode>0.0%</c:formatCode>
                <c:ptCount val="4"/>
                <c:pt idx="0">
                  <c:v>8.5714285714284522E-3</c:v>
                </c:pt>
                <c:pt idx="1">
                  <c:v>3.9660056657224052E-2</c:v>
                </c:pt>
                <c:pt idx="2">
                  <c:v>5.0991501416430829E-2</c:v>
                </c:pt>
                <c:pt idx="3">
                  <c:v>7.9320113314446772E-2</c:v>
                </c:pt>
              </c:numCache>
            </c:numRef>
          </c:val>
          <c:extLst>
            <c:ext xmlns:c16="http://schemas.microsoft.com/office/drawing/2014/chart" uri="{C3380CC4-5D6E-409C-BE32-E72D297353CC}">
              <c16:uniqueId val="{00000000-188E-4455-BC26-906B714E5971}"/>
            </c:ext>
          </c:extLst>
        </c:ser>
        <c:ser>
          <c:idx val="1"/>
          <c:order val="1"/>
          <c:tx>
            <c:strRef>
              <c:f>'LiLAC valuation'!$AW$355</c:f>
              <c:strCache>
                <c:ptCount val="1"/>
                <c:pt idx="0">
                  <c:v>BB</c:v>
                </c:pt>
              </c:strCache>
            </c:strRef>
          </c:tx>
          <c:spPr>
            <a:solidFill>
              <a:srgbClr val="9999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'LiLAC valuation'!$AX$353:$BA$353</c:f>
              <c:strCache>
                <c:ptCount val="4"/>
                <c:pt idx="0">
                  <c:v>Q1 20</c:v>
                </c:pt>
                <c:pt idx="1">
                  <c:v>Q2 20</c:v>
                </c:pt>
                <c:pt idx="2">
                  <c:v>Q3 20</c:v>
                </c:pt>
                <c:pt idx="3">
                  <c:v>Q4 20</c:v>
                </c:pt>
              </c:strCache>
            </c:strRef>
          </c:cat>
          <c:val>
            <c:numRef>
              <c:f>'LiLAC valuation'!$AX$355:$BA$355</c:f>
              <c:numCache>
                <c:formatCode>0.0%</c:formatCode>
                <c:ptCount val="4"/>
                <c:pt idx="0">
                  <c:v>8.8516746411483327E-2</c:v>
                </c:pt>
                <c:pt idx="1">
                  <c:v>0.12844036697247718</c:v>
                </c:pt>
                <c:pt idx="2">
                  <c:v>0.17342342342342354</c:v>
                </c:pt>
                <c:pt idx="3">
                  <c:v>0.28097345132743334</c:v>
                </c:pt>
              </c:numCache>
            </c:numRef>
          </c:val>
          <c:extLst>
            <c:ext xmlns:c16="http://schemas.microsoft.com/office/drawing/2014/chart" uri="{C3380CC4-5D6E-409C-BE32-E72D297353CC}">
              <c16:uniqueId val="{00000001-188E-4455-BC26-906B714E5971}"/>
            </c:ext>
          </c:extLst>
        </c:ser>
        <c:ser>
          <c:idx val="2"/>
          <c:order val="2"/>
          <c:tx>
            <c:strRef>
              <c:f>'LiLAC valuation'!$AW$356</c:f>
              <c:strCache>
                <c:ptCount val="1"/>
                <c:pt idx="0">
                  <c:v>Voice</c:v>
                </c:pt>
              </c:strCache>
            </c:strRef>
          </c:tx>
          <c:spPr>
            <a:solidFill>
              <a:srgbClr val="3366FF"/>
            </a:solidFill>
            <a:ln w="25400">
              <a:noFill/>
            </a:ln>
            <a:effectLst/>
          </c:spPr>
          <c:invertIfNegative val="0"/>
          <c:cat>
            <c:strRef>
              <c:f>'LiLAC valuation'!$AX$353:$BA$353</c:f>
              <c:strCache>
                <c:ptCount val="4"/>
                <c:pt idx="0">
                  <c:v>Q1 20</c:v>
                </c:pt>
                <c:pt idx="1">
                  <c:v>Q2 20</c:v>
                </c:pt>
                <c:pt idx="2">
                  <c:v>Q3 20</c:v>
                </c:pt>
                <c:pt idx="3">
                  <c:v>Q4 20</c:v>
                </c:pt>
              </c:strCache>
            </c:strRef>
          </c:cat>
          <c:val>
            <c:numRef>
              <c:f>'LiLAC valuation'!$AX$356:$BA$356</c:f>
              <c:numCache>
                <c:formatCode>0.0%</c:formatCode>
                <c:ptCount val="4"/>
                <c:pt idx="0">
                  <c:v>3.5087719298245501E-2</c:v>
                </c:pt>
                <c:pt idx="1">
                  <c:v>5.0847457627118509E-2</c:v>
                </c:pt>
                <c:pt idx="2">
                  <c:v>0.10169491525423724</c:v>
                </c:pt>
                <c:pt idx="3">
                  <c:v>0.16949152542372947</c:v>
                </c:pt>
              </c:numCache>
            </c:numRef>
          </c:val>
          <c:extLst>
            <c:ext xmlns:c16="http://schemas.microsoft.com/office/drawing/2014/chart" uri="{C3380CC4-5D6E-409C-BE32-E72D297353CC}">
              <c16:uniqueId val="{00000002-188E-4455-BC26-906B714E5971}"/>
            </c:ext>
          </c:extLst>
        </c:ser>
        <c:ser>
          <c:idx val="3"/>
          <c:order val="3"/>
          <c:tx>
            <c:strRef>
              <c:f>'LiLAC valuation'!$AW$357</c:f>
              <c:strCache>
                <c:ptCount val="1"/>
                <c:pt idx="0">
                  <c:v>Residential fixed</c:v>
                </c:pt>
              </c:strCache>
            </c:strRef>
          </c:tx>
          <c:spPr>
            <a:solidFill>
              <a:srgbClr val="CCCCFF"/>
            </a:solidFill>
            <a:ln w="25400">
              <a:noFill/>
            </a:ln>
            <a:effectLst/>
          </c:spPr>
          <c:invertIfNegative val="0"/>
          <c:cat>
            <c:strRef>
              <c:f>'LiLAC valuation'!$AX$353:$BA$353</c:f>
              <c:strCache>
                <c:ptCount val="4"/>
                <c:pt idx="0">
                  <c:v>Q1 20</c:v>
                </c:pt>
                <c:pt idx="1">
                  <c:v>Q2 20</c:v>
                </c:pt>
                <c:pt idx="2">
                  <c:v>Q3 20</c:v>
                </c:pt>
                <c:pt idx="3">
                  <c:v>Q4 20</c:v>
                </c:pt>
              </c:strCache>
            </c:strRef>
          </c:cat>
          <c:val>
            <c:numRef>
              <c:f>'LiLAC valuation'!$AX$357:$BA$357</c:f>
              <c:numCache>
                <c:formatCode>0.0%</c:formatCode>
                <c:ptCount val="4"/>
                <c:pt idx="0">
                  <c:v>5.0909090909091015E-2</c:v>
                </c:pt>
                <c:pt idx="1">
                  <c:v>8.6084905660377409E-2</c:v>
                </c:pt>
                <c:pt idx="2">
                  <c:v>0.1179906542056075</c:v>
                </c:pt>
                <c:pt idx="3">
                  <c:v>0.19097222222222188</c:v>
                </c:pt>
              </c:numCache>
            </c:numRef>
          </c:val>
          <c:extLst>
            <c:ext xmlns:c16="http://schemas.microsoft.com/office/drawing/2014/chart" uri="{C3380CC4-5D6E-409C-BE32-E72D297353CC}">
              <c16:uniqueId val="{00000003-188E-4455-BC26-906B714E5971}"/>
            </c:ext>
          </c:extLst>
        </c:ser>
        <c:dLbls>
          <c:showLegendKey val="0"/>
          <c:showVal val="0"/>
          <c:showCatName val="0"/>
          <c:showSerName val="0"/>
          <c:showPercent val="0"/>
          <c:showBubbleSize val="0"/>
        </c:dLbls>
        <c:gapWidth val="219"/>
        <c:overlap val="-27"/>
        <c:axId val="304704368"/>
        <c:axId val="304704696"/>
      </c:barChart>
      <c:catAx>
        <c:axId val="3047043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704696"/>
        <c:crosses val="autoZero"/>
        <c:auto val="1"/>
        <c:lblAlgn val="ctr"/>
        <c:lblOffset val="100"/>
        <c:noMultiLvlLbl val="0"/>
      </c:catAx>
      <c:valAx>
        <c:axId val="30470469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7043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'LiLAC valuation'!$R$322:$AG$322</c:f>
              <c:strCache>
                <c:ptCount val="16"/>
                <c:pt idx="0">
                  <c:v>Q1 17</c:v>
                </c:pt>
                <c:pt idx="1">
                  <c:v>Q2 17</c:v>
                </c:pt>
                <c:pt idx="2">
                  <c:v>Q3 17</c:v>
                </c:pt>
                <c:pt idx="3">
                  <c:v>Q4 17</c:v>
                </c:pt>
                <c:pt idx="4">
                  <c:v>Q1 18</c:v>
                </c:pt>
                <c:pt idx="5">
                  <c:v>Q2 18</c:v>
                </c:pt>
                <c:pt idx="6">
                  <c:v>Q3 18</c:v>
                </c:pt>
                <c:pt idx="7">
                  <c:v>Q4 18</c:v>
                </c:pt>
                <c:pt idx="8">
                  <c:v>Q1 19</c:v>
                </c:pt>
                <c:pt idx="9">
                  <c:v>Q2 19</c:v>
                </c:pt>
                <c:pt idx="10">
                  <c:v>Q3 19</c:v>
                </c:pt>
                <c:pt idx="11">
                  <c:v>Q4 19</c:v>
                </c:pt>
                <c:pt idx="12">
                  <c:v>Q1 20</c:v>
                </c:pt>
                <c:pt idx="13">
                  <c:v>Q2 20</c:v>
                </c:pt>
                <c:pt idx="14">
                  <c:v>Q3 20</c:v>
                </c:pt>
                <c:pt idx="15">
                  <c:v>Q4 20</c:v>
                </c:pt>
              </c:strCache>
            </c:strRef>
          </c:cat>
          <c:val>
            <c:numRef>
              <c:f>'LiLAC valuation'!$R$346:$AG$346</c:f>
              <c:numCache>
                <c:formatCode>0.0</c:formatCode>
                <c:ptCount val="16"/>
                <c:pt idx="0">
                  <c:v>4.8000000000000114</c:v>
                </c:pt>
                <c:pt idx="1">
                  <c:v>0.39999999999997726</c:v>
                </c:pt>
                <c:pt idx="2">
                  <c:v>3.6000000000000227</c:v>
                </c:pt>
                <c:pt idx="3">
                  <c:v>-24.699999999999989</c:v>
                </c:pt>
                <c:pt idx="4">
                  <c:v>-2.6000000000000227</c:v>
                </c:pt>
                <c:pt idx="5">
                  <c:v>-2.8000000000000114</c:v>
                </c:pt>
                <c:pt idx="6">
                  <c:v>-2.8000000000000114</c:v>
                </c:pt>
                <c:pt idx="7">
                  <c:v>19.100000000000023</c:v>
                </c:pt>
                <c:pt idx="8">
                  <c:v>11.5</c:v>
                </c:pt>
                <c:pt idx="9">
                  <c:v>4.8999999999999773</c:v>
                </c:pt>
                <c:pt idx="10">
                  <c:v>6.3000000000000114</c:v>
                </c:pt>
                <c:pt idx="11">
                  <c:v>7</c:v>
                </c:pt>
                <c:pt idx="12">
                  <c:v>6.4000000000000341</c:v>
                </c:pt>
                <c:pt idx="13">
                  <c:v>21.5</c:v>
                </c:pt>
                <c:pt idx="14">
                  <c:v>27.299999999999955</c:v>
                </c:pt>
                <c:pt idx="15">
                  <c:v>25.400000000000034</c:v>
                </c:pt>
              </c:numCache>
            </c:numRef>
          </c:val>
          <c:extLst>
            <c:ext xmlns:c16="http://schemas.microsoft.com/office/drawing/2014/chart" uri="{C3380CC4-5D6E-409C-BE32-E72D297353CC}">
              <c16:uniqueId val="{00000000-EE50-46AB-8A49-3C897161C6CC}"/>
            </c:ext>
          </c:extLst>
        </c:ser>
        <c:dLbls>
          <c:showLegendKey val="0"/>
          <c:showVal val="0"/>
          <c:showCatName val="0"/>
          <c:showSerName val="0"/>
          <c:showPercent val="0"/>
          <c:showBubbleSize val="0"/>
        </c:dLbls>
        <c:gapWidth val="219"/>
        <c:overlap val="-27"/>
        <c:axId val="304695184"/>
        <c:axId val="304687640"/>
      </c:barChart>
      <c:catAx>
        <c:axId val="304695184"/>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687640"/>
        <c:crosses val="autoZero"/>
        <c:auto val="1"/>
        <c:lblAlgn val="ctr"/>
        <c:lblOffset val="100"/>
        <c:noMultiLvlLbl val="0"/>
      </c:catAx>
      <c:valAx>
        <c:axId val="304687640"/>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000s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low"/>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6951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'LiLAC valuation'!$AW$377</c:f>
              <c:strCache>
                <c:ptCount val="1"/>
                <c:pt idx="0">
                  <c:v>Video</c:v>
                </c:pt>
              </c:strCache>
            </c:strRef>
          </c:tx>
          <c:spPr>
            <a:solidFill>
              <a:srgbClr val="000080"/>
            </a:solidFill>
            <a:ln w="25400">
              <a:noFill/>
            </a:ln>
            <a:effectLst/>
          </c:spPr>
          <c:invertIfNegative val="0"/>
          <c:cat>
            <c:strRef>
              <c:f>'LiLAC valuation'!$AX$353:$BA$353</c:f>
              <c:strCache>
                <c:ptCount val="4"/>
                <c:pt idx="0">
                  <c:v>Q1 20</c:v>
                </c:pt>
                <c:pt idx="1">
                  <c:v>Q2 20</c:v>
                </c:pt>
                <c:pt idx="2">
                  <c:v>Q3 20</c:v>
                </c:pt>
                <c:pt idx="3">
                  <c:v>Q4 20</c:v>
                </c:pt>
              </c:strCache>
            </c:strRef>
          </c:cat>
          <c:val>
            <c:numRef>
              <c:f>'LiLAC valuation'!$AX$377:$BA$377</c:f>
              <c:numCache>
                <c:formatCode>0.0%</c:formatCode>
                <c:ptCount val="4"/>
                <c:pt idx="0">
                  <c:v>-1.6667203763979233E-3</c:v>
                </c:pt>
                <c:pt idx="1">
                  <c:v>2.7562870945392559E-2</c:v>
                </c:pt>
                <c:pt idx="2">
                  <c:v>1.0923026121413493E-2</c:v>
                </c:pt>
                <c:pt idx="3">
                  <c:v>2.0065138189313325E-2</c:v>
                </c:pt>
              </c:numCache>
            </c:numRef>
          </c:val>
          <c:extLst>
            <c:ext xmlns:c16="http://schemas.microsoft.com/office/drawing/2014/chart" uri="{C3380CC4-5D6E-409C-BE32-E72D297353CC}">
              <c16:uniqueId val="{00000000-673D-44DC-AE28-61ABC1F76867}"/>
            </c:ext>
          </c:extLst>
        </c:ser>
        <c:ser>
          <c:idx val="1"/>
          <c:order val="1"/>
          <c:tx>
            <c:strRef>
              <c:f>'LiLAC valuation'!$AW$378</c:f>
              <c:strCache>
                <c:ptCount val="1"/>
                <c:pt idx="0">
                  <c:v>BB</c:v>
                </c:pt>
              </c:strCache>
            </c:strRef>
          </c:tx>
          <c:spPr>
            <a:solidFill>
              <a:srgbClr val="9999FF"/>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'LiLAC valuation'!$AX$353:$BA$353</c:f>
              <c:strCache>
                <c:ptCount val="4"/>
                <c:pt idx="0">
                  <c:v>Q1 20</c:v>
                </c:pt>
                <c:pt idx="1">
                  <c:v>Q2 20</c:v>
                </c:pt>
                <c:pt idx="2">
                  <c:v>Q3 20</c:v>
                </c:pt>
                <c:pt idx="3">
                  <c:v>Q4 20</c:v>
                </c:pt>
              </c:strCache>
            </c:strRef>
          </c:cat>
          <c:val>
            <c:numRef>
              <c:f>'LiLAC valuation'!$AX$378:$BA$378</c:f>
              <c:numCache>
                <c:formatCode>0.0%</c:formatCode>
                <c:ptCount val="4"/>
                <c:pt idx="0">
                  <c:v>5.7113957108061442E-3</c:v>
                </c:pt>
                <c:pt idx="1">
                  <c:v>2.8330651256164519E-2</c:v>
                </c:pt>
                <c:pt idx="2">
                  <c:v>1.9935780182459339E-2</c:v>
                </c:pt>
                <c:pt idx="3">
                  <c:v>6.4034399086497107E-2</c:v>
                </c:pt>
              </c:numCache>
            </c:numRef>
          </c:val>
          <c:extLst>
            <c:ext xmlns:c16="http://schemas.microsoft.com/office/drawing/2014/chart" uri="{C3380CC4-5D6E-409C-BE32-E72D297353CC}">
              <c16:uniqueId val="{00000001-673D-44DC-AE28-61ABC1F76867}"/>
            </c:ext>
          </c:extLst>
        </c:ser>
        <c:ser>
          <c:idx val="2"/>
          <c:order val="2"/>
          <c:tx>
            <c:strRef>
              <c:f>'LiLAC valuation'!$AW$379</c:f>
              <c:strCache>
                <c:ptCount val="1"/>
                <c:pt idx="0">
                  <c:v>Voice</c:v>
                </c:pt>
              </c:strCache>
            </c:strRef>
          </c:tx>
          <c:spPr>
            <a:solidFill>
              <a:srgbClr val="3366FF"/>
            </a:solidFill>
            <a:ln w="25400">
              <a:noFill/>
            </a:ln>
            <a:effectLst/>
          </c:spPr>
          <c:invertIfNegative val="0"/>
          <c:cat>
            <c:strRef>
              <c:f>'LiLAC valuation'!$AX$353:$BA$353</c:f>
              <c:strCache>
                <c:ptCount val="4"/>
                <c:pt idx="0">
                  <c:v>Q1 20</c:v>
                </c:pt>
                <c:pt idx="1">
                  <c:v>Q2 20</c:v>
                </c:pt>
                <c:pt idx="2">
                  <c:v>Q3 20</c:v>
                </c:pt>
                <c:pt idx="3">
                  <c:v>Q4 20</c:v>
                </c:pt>
              </c:strCache>
            </c:strRef>
          </c:cat>
          <c:val>
            <c:numRef>
              <c:f>'LiLAC valuation'!$AX$379:$BA$379</c:f>
              <c:numCache>
                <c:formatCode>0.0%</c:formatCode>
                <c:ptCount val="4"/>
                <c:pt idx="0">
                  <c:v>-1.6163958819104485E-2</c:v>
                </c:pt>
                <c:pt idx="1">
                  <c:v>-8.3552160420147237E-3</c:v>
                </c:pt>
                <c:pt idx="2">
                  <c:v>3.9836145664999822E-3</c:v>
                </c:pt>
                <c:pt idx="3">
                  <c:v>4.2361979242376391E-2</c:v>
                </c:pt>
              </c:numCache>
            </c:numRef>
          </c:val>
          <c:extLst>
            <c:ext xmlns:c16="http://schemas.microsoft.com/office/drawing/2014/chart" uri="{C3380CC4-5D6E-409C-BE32-E72D297353CC}">
              <c16:uniqueId val="{00000002-673D-44DC-AE28-61ABC1F76867}"/>
            </c:ext>
          </c:extLst>
        </c:ser>
        <c:dLbls>
          <c:showLegendKey val="0"/>
          <c:showVal val="0"/>
          <c:showCatName val="0"/>
          <c:showSerName val="0"/>
          <c:showPercent val="0"/>
          <c:showBubbleSize val="0"/>
        </c:dLbls>
        <c:gapWidth val="219"/>
        <c:overlap val="-27"/>
        <c:axId val="304704368"/>
        <c:axId val="304704696"/>
      </c:barChart>
      <c:catAx>
        <c:axId val="304704368"/>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704696"/>
        <c:crosses val="autoZero"/>
        <c:auto val="1"/>
        <c:lblAlgn val="ctr"/>
        <c:lblOffset val="100"/>
        <c:noMultiLvlLbl val="0"/>
      </c:catAx>
      <c:valAx>
        <c:axId val="30470469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70436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'LiLAC valuation'!#REF!</c:f>
              <c:strCache>
                <c:ptCount val="1"/>
                <c:pt idx="0">
                  <c:v>#REF!</c:v>
                </c:pt>
              </c:strCache>
            </c:strRef>
          </c:tx>
          <c:spPr>
            <a:solidFill>
              <a:srgbClr val="000080"/>
            </a:solidFill>
            <a:ln w="25400">
              <a:noFill/>
            </a:ln>
            <a:effectLst/>
          </c:spPr>
          <c:invertIfNegative val="0"/>
          <c:cat>
            <c:numRef>
              <c:f>'LiLAC valuation'!$AZ$361:$BB$361</c:f>
              <c:numCache>
                <c:formatCode>0.0%</c:formatCode>
                <c:ptCount val="3"/>
              </c:numCache>
            </c:numRef>
          </c:cat>
          <c:val>
            <c:numRef>
              <c:f>'LiLAC valuation'!$AZ$362:$BB$362</c:f>
              <c:numCache>
                <c:formatCode>0.0%</c:formatCode>
                <c:ptCount val="3"/>
              </c:numCache>
            </c:numRef>
          </c:val>
          <c:extLst>
            <c:ext xmlns:c16="http://schemas.microsoft.com/office/drawing/2014/chart" uri="{C3380CC4-5D6E-409C-BE32-E72D297353CC}">
              <c16:uniqueId val="{00000000-2D70-4AC1-89E6-24B885A7FA5A}"/>
            </c:ext>
          </c:extLst>
        </c:ser>
        <c:ser>
          <c:idx val="1"/>
          <c:order val="1"/>
          <c:tx>
            <c:strRef>
              <c:f>'LiLAC valuation'!$AY$363</c:f>
              <c:strCache>
                <c:ptCount val="1"/>
              </c:strCache>
            </c:strRef>
          </c:tx>
          <c:spPr>
            <a:solidFill>
              <a:srgbClr val="9999FF"/>
            </a:solidFill>
            <a:ln w="25400">
              <a:noFill/>
            </a:ln>
            <a:effectLst/>
          </c:spPr>
          <c:invertIfNegative val="0"/>
          <c:cat>
            <c:numRef>
              <c:f>'LiLAC valuation'!$AZ$361:$BB$361</c:f>
              <c:numCache>
                <c:formatCode>0.0%</c:formatCode>
                <c:ptCount val="3"/>
              </c:numCache>
            </c:numRef>
          </c:cat>
          <c:val>
            <c:numRef>
              <c:f>'LiLAC valuation'!$AZ$363:$BB$363</c:f>
              <c:numCache>
                <c:formatCode>0.0%</c:formatCode>
                <c:ptCount val="3"/>
              </c:numCache>
            </c:numRef>
          </c:val>
          <c:extLst>
            <c:ext xmlns:c16="http://schemas.microsoft.com/office/drawing/2014/chart" uri="{C3380CC4-5D6E-409C-BE32-E72D297353CC}">
              <c16:uniqueId val="{00000001-2D70-4AC1-89E6-24B885A7FA5A}"/>
            </c:ext>
          </c:extLst>
        </c:ser>
        <c:dLbls>
          <c:showLegendKey val="0"/>
          <c:showVal val="0"/>
          <c:showCatName val="0"/>
          <c:showSerName val="0"/>
          <c:showPercent val="0"/>
          <c:showBubbleSize val="0"/>
        </c:dLbls>
        <c:gapWidth val="219"/>
        <c:overlap val="-27"/>
        <c:axId val="304683048"/>
        <c:axId val="304677472"/>
      </c:barChart>
      <c:catAx>
        <c:axId val="304683048"/>
        <c:scaling>
          <c:orientation val="minMax"/>
        </c:scaling>
        <c:delete val="0"/>
        <c:axPos val="b"/>
        <c:numFmt formatCode="0.0%"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677472"/>
        <c:crosses val="autoZero"/>
        <c:auto val="1"/>
        <c:lblAlgn val="ctr"/>
        <c:lblOffset val="100"/>
        <c:noMultiLvlLbl val="0"/>
      </c:catAx>
      <c:valAx>
        <c:axId val="304677472"/>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30468304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1132983377077"/>
          <c:y val="0.11282407407407408"/>
          <c:w val="0.8163331146106737"/>
          <c:h val="0.72748213764946046"/>
        </c:manualLayout>
      </c:layout>
      <c:barChart>
        <c:barDir val="col"/>
        <c:grouping val="clustered"/>
        <c:varyColors val="0"/>
        <c:ser>
          <c:idx val="0"/>
          <c:order val="0"/>
          <c:tx>
            <c:v>Revenue</c:v>
          </c:tx>
          <c:spPr>
            <a:solidFill>
              <a:srgbClr val="000080"/>
            </a:solidFill>
            <a:ln w="25400">
              <a:noFill/>
            </a:ln>
            <a:effectLst/>
          </c:spPr>
          <c:invertIfNegative val="0"/>
          <c:cat>
            <c:strRef>
              <c:f>'LiLAC valuation'!$AW$245:$BD$245</c:f>
              <c:strCache>
                <c:ptCount val="8"/>
                <c:pt idx="0">
                  <c:v>Q1 20</c:v>
                </c:pt>
                <c:pt idx="1">
                  <c:v>Q2 20</c:v>
                </c:pt>
                <c:pt idx="2">
                  <c:v>Q3 20</c:v>
                </c:pt>
                <c:pt idx="3">
                  <c:v>Q4 20</c:v>
                </c:pt>
                <c:pt idx="4">
                  <c:v>Q1 21</c:v>
                </c:pt>
                <c:pt idx="5">
                  <c:v>Q2 21</c:v>
                </c:pt>
                <c:pt idx="6">
                  <c:v>Q3 21</c:v>
                </c:pt>
                <c:pt idx="7">
                  <c:v>Q4 21</c:v>
                </c:pt>
              </c:strCache>
            </c:strRef>
          </c:cat>
          <c:val>
            <c:numRef>
              <c:f>'LiLAC valuation'!$AW$247:$BD$247</c:f>
              <c:numCache>
                <c:formatCode>0%</c:formatCode>
                <c:ptCount val="8"/>
                <c:pt idx="0">
                  <c:v>1.9328644066248124E-2</c:v>
                </c:pt>
                <c:pt idx="1">
                  <c:v>-3.854665812484559E-2</c:v>
                </c:pt>
                <c:pt idx="2">
                  <c:v>-5.1701521850577969E-2</c:v>
                </c:pt>
                <c:pt idx="3">
                  <c:v>-5.0541516245487195E-2</c:v>
                </c:pt>
                <c:pt idx="4">
                  <c:v>-8.1472540736270416E-2</c:v>
                </c:pt>
                <c:pt idx="5">
                  <c:v>-5.4820415879016982E-2</c:v>
                </c:pt>
                <c:pt idx="6">
                  <c:v>-5.3934010152284273E-2</c:v>
                </c:pt>
                <c:pt idx="7">
                  <c:v>-8.3906210392902358E-2</c:v>
                </c:pt>
              </c:numCache>
            </c:numRef>
          </c:val>
          <c:extLst>
            <c:ext xmlns:c16="http://schemas.microsoft.com/office/drawing/2014/chart" uri="{C3380CC4-5D6E-409C-BE32-E72D297353CC}">
              <c16:uniqueId val="{00000000-C41E-4B76-80F9-BE1EDB8538F1}"/>
            </c:ext>
          </c:extLst>
        </c:ser>
        <c:ser>
          <c:idx val="1"/>
          <c:order val="1"/>
          <c:tx>
            <c:v>EBITDA</c:v>
          </c:tx>
          <c:spPr>
            <a:solidFill>
              <a:srgbClr val="9999FF"/>
            </a:solidFill>
            <a:ln w="25400">
              <a:noFill/>
            </a:ln>
            <a:effectLst/>
          </c:spPr>
          <c:invertIfNegative val="0"/>
          <c:cat>
            <c:strRef>
              <c:f>'LiLAC valuation'!$AW$245:$BD$245</c:f>
              <c:strCache>
                <c:ptCount val="8"/>
                <c:pt idx="0">
                  <c:v>Q1 20</c:v>
                </c:pt>
                <c:pt idx="1">
                  <c:v>Q2 20</c:v>
                </c:pt>
                <c:pt idx="2">
                  <c:v>Q3 20</c:v>
                </c:pt>
                <c:pt idx="3">
                  <c:v>Q4 20</c:v>
                </c:pt>
                <c:pt idx="4">
                  <c:v>Q1 21</c:v>
                </c:pt>
                <c:pt idx="5">
                  <c:v>Q2 21</c:v>
                </c:pt>
                <c:pt idx="6">
                  <c:v>Q3 21</c:v>
                </c:pt>
                <c:pt idx="7">
                  <c:v>Q4 21</c:v>
                </c:pt>
              </c:strCache>
            </c:strRef>
          </c:cat>
          <c:val>
            <c:numRef>
              <c:f>'LiLAC valuation'!$AW$266:$BD$266</c:f>
              <c:numCache>
                <c:formatCode>0.0%</c:formatCode>
                <c:ptCount val="8"/>
                <c:pt idx="0">
                  <c:v>1.177164169324918E-2</c:v>
                </c:pt>
                <c:pt idx="1">
                  <c:v>-0.12185955553732264</c:v>
                </c:pt>
                <c:pt idx="2">
                  <c:v>-8.4882013556204838E-2</c:v>
                </c:pt>
                <c:pt idx="3">
                  <c:v>-0.1734693877551019</c:v>
                </c:pt>
                <c:pt idx="4">
                  <c:v>-0.20592823712948516</c:v>
                </c:pt>
                <c:pt idx="5">
                  <c:v>-0.17940199335548179</c:v>
                </c:pt>
                <c:pt idx="6">
                  <c:v>-0.18476499189627238</c:v>
                </c:pt>
                <c:pt idx="7">
                  <c:v>-0.19341975308641979</c:v>
                </c:pt>
              </c:numCache>
            </c:numRef>
          </c:val>
          <c:extLst>
            <c:ext xmlns:c16="http://schemas.microsoft.com/office/drawing/2014/chart" uri="{C3380CC4-5D6E-409C-BE32-E72D297353CC}">
              <c16:uniqueId val="{00000001-C41E-4B76-80F9-BE1EDB8538F1}"/>
            </c:ext>
          </c:extLst>
        </c:ser>
        <c:dLbls>
          <c:showLegendKey val="0"/>
          <c:showVal val="0"/>
          <c:showCatName val="0"/>
          <c:showSerName val="0"/>
          <c:showPercent val="0"/>
          <c:showBubbleSize val="0"/>
        </c:dLbls>
        <c:gapWidth val="219"/>
        <c:overlap val="-27"/>
        <c:axId val="1208824927"/>
        <c:axId val="1208822015"/>
      </c:barChart>
      <c:catAx>
        <c:axId val="1208824927"/>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8822015"/>
        <c:crosses val="autoZero"/>
        <c:auto val="1"/>
        <c:lblAlgn val="ctr"/>
        <c:lblOffset val="100"/>
        <c:noMultiLvlLbl val="0"/>
      </c:catAx>
      <c:valAx>
        <c:axId val="1208822015"/>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y/y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0882492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'LiLAC valuation'!$AD$246:$AO$246</c:f>
              <c:strCache>
                <c:ptCount val="12"/>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strCache>
            </c:strRef>
          </c:cat>
          <c:val>
            <c:numRef>
              <c:f>'LiLAC valuation'!$AD$267:$AO$267</c:f>
              <c:numCache>
                <c:formatCode>0.0%</c:formatCode>
                <c:ptCount val="12"/>
                <c:pt idx="0">
                  <c:v>1.9328644066248124E-2</c:v>
                </c:pt>
                <c:pt idx="1">
                  <c:v>-3.854665812484559E-2</c:v>
                </c:pt>
                <c:pt idx="2">
                  <c:v>-5.1701521850577969E-2</c:v>
                </c:pt>
                <c:pt idx="3">
                  <c:v>-5.0541516245487195E-2</c:v>
                </c:pt>
                <c:pt idx="4">
                  <c:v>-8.1472540736270416E-2</c:v>
                </c:pt>
                <c:pt idx="5">
                  <c:v>-5.4820415879016982E-2</c:v>
                </c:pt>
                <c:pt idx="6">
                  <c:v>-5.3934010152284273E-2</c:v>
                </c:pt>
                <c:pt idx="7">
                  <c:v>-8.3906210392902358E-2</c:v>
                </c:pt>
                <c:pt idx="8">
                  <c:v>-9.3067044595926074E-2</c:v>
                </c:pt>
                <c:pt idx="9">
                  <c:v>-0.15531246153846134</c:v>
                </c:pt>
                <c:pt idx="10">
                  <c:v>-0.19386452045606961</c:v>
                </c:pt>
              </c:numCache>
            </c:numRef>
          </c:val>
          <c:extLst>
            <c:ext xmlns:c16="http://schemas.microsoft.com/office/drawing/2014/chart" uri="{C3380CC4-5D6E-409C-BE32-E72D297353CC}">
              <c16:uniqueId val="{00000000-47D5-4B12-B349-FB3CD2871097}"/>
            </c:ext>
          </c:extLst>
        </c:ser>
        <c:dLbls>
          <c:showLegendKey val="0"/>
          <c:showVal val="0"/>
          <c:showCatName val="0"/>
          <c:showSerName val="0"/>
          <c:showPercent val="0"/>
          <c:showBubbleSize val="0"/>
        </c:dLbls>
        <c:gapWidth val="30"/>
        <c:overlap val="-27"/>
        <c:axId val="1461236831"/>
        <c:axId val="1461256991"/>
      </c:barChart>
      <c:catAx>
        <c:axId val="1461236831"/>
        <c:scaling>
          <c:orientation val="minMax"/>
        </c:scaling>
        <c:delete val="0"/>
        <c:axPos val="b"/>
        <c:numFmt formatCode="General" sourceLinked="1"/>
        <c:majorTickMark val="out"/>
        <c:minorTickMark val="none"/>
        <c:tickLblPos val="high"/>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61256991"/>
        <c:crosses val="autoZero"/>
        <c:auto val="1"/>
        <c:lblAlgn val="ctr"/>
        <c:lblOffset val="100"/>
        <c:noMultiLvlLbl val="0"/>
      </c:catAx>
      <c:valAx>
        <c:axId val="1461256991"/>
        <c:scaling>
          <c:orientation val="minMax"/>
        </c:scaling>
        <c:delete val="1"/>
        <c:axPos val="l"/>
        <c:numFmt formatCode="0.0%" sourceLinked="1"/>
        <c:majorTickMark val="out"/>
        <c:minorTickMark val="none"/>
        <c:tickLblPos val="nextTo"/>
        <c:crossAx val="146123683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'LiLAC valuation'!$AD$246:$AO$246</c:f>
              <c:strCache>
                <c:ptCount val="12"/>
                <c:pt idx="0">
                  <c:v>Q1 20</c:v>
                </c:pt>
                <c:pt idx="1">
                  <c:v>Q2 20</c:v>
                </c:pt>
                <c:pt idx="2">
                  <c:v>Q3 20</c:v>
                </c:pt>
                <c:pt idx="3">
                  <c:v>Q4 20</c:v>
                </c:pt>
                <c:pt idx="4">
                  <c:v>Q1 21</c:v>
                </c:pt>
                <c:pt idx="5">
                  <c:v>Q2 21</c:v>
                </c:pt>
                <c:pt idx="6">
                  <c:v>Q3 21</c:v>
                </c:pt>
                <c:pt idx="7">
                  <c:v>Q4 21</c:v>
                </c:pt>
                <c:pt idx="8">
                  <c:v>Q1 22</c:v>
                </c:pt>
                <c:pt idx="9">
                  <c:v>Q2 22</c:v>
                </c:pt>
                <c:pt idx="10">
                  <c:v>Q3 22</c:v>
                </c:pt>
                <c:pt idx="11">
                  <c:v>Q4 22</c:v>
                </c:pt>
              </c:strCache>
            </c:strRef>
          </c:cat>
          <c:val>
            <c:numRef>
              <c:f>'LiLAC valuation'!$AD$273:$AO$273</c:f>
              <c:numCache>
                <c:formatCode>0.0%</c:formatCode>
                <c:ptCount val="12"/>
                <c:pt idx="0">
                  <c:v>0.38684369342184671</c:v>
                </c:pt>
                <c:pt idx="1">
                  <c:v>0.37933207309388789</c:v>
                </c:pt>
                <c:pt idx="2">
                  <c:v>0.39149746192893403</c:v>
                </c:pt>
                <c:pt idx="3">
                  <c:v>0.35931558935361219</c:v>
                </c:pt>
                <c:pt idx="4">
                  <c:v>0.33442838370565048</c:v>
                </c:pt>
                <c:pt idx="5">
                  <c:v>0.32933333333333331</c:v>
                </c:pt>
                <c:pt idx="6">
                  <c:v>0.33735747820254863</c:v>
                </c:pt>
                <c:pt idx="7">
                  <c:v>0.31636155606407318</c:v>
                </c:pt>
                <c:pt idx="8">
                  <c:v>0.27224824355971894</c:v>
                </c:pt>
                <c:pt idx="9">
                  <c:v>0.25266666666666665</c:v>
                </c:pt>
                <c:pt idx="10">
                  <c:v>0.24036979969183356</c:v>
                </c:pt>
              </c:numCache>
            </c:numRef>
          </c:val>
          <c:smooth val="0"/>
          <c:extLst>
            <c:ext xmlns:c16="http://schemas.microsoft.com/office/drawing/2014/chart" uri="{C3380CC4-5D6E-409C-BE32-E72D297353CC}">
              <c16:uniqueId val="{00000000-4692-467C-884F-BCC4623F4D08}"/>
            </c:ext>
          </c:extLst>
        </c:ser>
        <c:dLbls>
          <c:showLegendKey val="0"/>
          <c:showVal val="0"/>
          <c:showCatName val="0"/>
          <c:showSerName val="0"/>
          <c:showPercent val="0"/>
          <c:showBubbleSize val="0"/>
        </c:dLbls>
        <c:smooth val="0"/>
        <c:axId val="1637573279"/>
        <c:axId val="1637576159"/>
      </c:lineChart>
      <c:catAx>
        <c:axId val="1637573279"/>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637576159"/>
        <c:crosses val="autoZero"/>
        <c:auto val="1"/>
        <c:lblAlgn val="ctr"/>
        <c:lblOffset val="100"/>
        <c:noMultiLvlLbl val="0"/>
      </c:catAx>
      <c:valAx>
        <c:axId val="1637576159"/>
        <c:scaling>
          <c:orientation val="minMax"/>
        </c:scaling>
        <c:delete val="1"/>
        <c:axPos val="l"/>
        <c:numFmt formatCode="0.0%" sourceLinked="1"/>
        <c:majorTickMark val="out"/>
        <c:minorTickMark val="none"/>
        <c:tickLblPos val="nextTo"/>
        <c:crossAx val="163757327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'LiLAC valuation'!$BE$245:$BM$245</c:f>
              <c:strCache>
                <c:ptCount val="9"/>
                <c:pt idx="0">
                  <c:v>Q1 22</c:v>
                </c:pt>
                <c:pt idx="1">
                  <c:v>Q2 22</c:v>
                </c:pt>
                <c:pt idx="2">
                  <c:v>Q3 22</c:v>
                </c:pt>
                <c:pt idx="3">
                  <c:v>Q4 22</c:v>
                </c:pt>
                <c:pt idx="4">
                  <c:v>Q1 23</c:v>
                </c:pt>
                <c:pt idx="5">
                  <c:v>Q2 23</c:v>
                </c:pt>
                <c:pt idx="6">
                  <c:v>Q3 23</c:v>
                </c:pt>
                <c:pt idx="7">
                  <c:v>Q4 23</c:v>
                </c:pt>
                <c:pt idx="8">
                  <c:v>Q1 24</c:v>
                </c:pt>
              </c:strCache>
            </c:strRef>
          </c:cat>
          <c:val>
            <c:numRef>
              <c:f>'LiLAC valuation'!$BE$247:$BM$247</c:f>
              <c:numCache>
                <c:formatCode>0%</c:formatCode>
                <c:ptCount val="9"/>
                <c:pt idx="0">
                  <c:v>-9.3067044595926074E-2</c:v>
                </c:pt>
                <c:pt idx="1">
                  <c:v>-0.15531246153846134</c:v>
                </c:pt>
                <c:pt idx="2">
                  <c:v>-0.19386452045606961</c:v>
                </c:pt>
                <c:pt idx="3">
                  <c:v>-0.21554846582309295</c:v>
                </c:pt>
                <c:pt idx="4">
                  <c:v>-0.19261404779145541</c:v>
                </c:pt>
                <c:pt idx="5">
                  <c:v>-0.13833992094861658</c:v>
                </c:pt>
                <c:pt idx="6">
                  <c:v>-0.11064891846921798</c:v>
                </c:pt>
                <c:pt idx="7">
                  <c:v>-4.7619047619048005E-2</c:v>
                </c:pt>
                <c:pt idx="8">
                  <c:v>-5.0224215246636672E-2</c:v>
                </c:pt>
              </c:numCache>
            </c:numRef>
          </c:val>
          <c:smooth val="0"/>
          <c:extLst>
            <c:ext xmlns:c16="http://schemas.microsoft.com/office/drawing/2014/chart" uri="{C3380CC4-5D6E-409C-BE32-E72D297353CC}">
              <c16:uniqueId val="{00000000-45D1-4009-9ED7-446395CAE36D}"/>
            </c:ext>
          </c:extLst>
        </c:ser>
        <c:dLbls>
          <c:showLegendKey val="0"/>
          <c:showVal val="0"/>
          <c:showCatName val="0"/>
          <c:showSerName val="0"/>
          <c:showPercent val="0"/>
          <c:showBubbleSize val="0"/>
        </c:dLbls>
        <c:smooth val="0"/>
        <c:axId val="749051072"/>
        <c:axId val="749046272"/>
      </c:lineChart>
      <c:catAx>
        <c:axId val="749051072"/>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749046272"/>
        <c:crosses val="autoZero"/>
        <c:auto val="1"/>
        <c:lblAlgn val="ctr"/>
        <c:lblOffset val="100"/>
        <c:noMultiLvlLbl val="0"/>
      </c:catAx>
      <c:valAx>
        <c:axId val="749046272"/>
        <c:scaling>
          <c:orientation val="minMax"/>
        </c:scaling>
        <c:delete val="1"/>
        <c:axPos val="l"/>
        <c:numFmt formatCode="0%" sourceLinked="1"/>
        <c:majorTickMark val="out"/>
        <c:minorTickMark val="none"/>
        <c:tickLblPos val="nextTo"/>
        <c:crossAx val="74905107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'LiLAC valuation'!$AL$246:$AT$246</c:f>
              <c:strCache>
                <c:ptCount val="9"/>
                <c:pt idx="0">
                  <c:v>Q1 22</c:v>
                </c:pt>
                <c:pt idx="1">
                  <c:v>Q2 22</c:v>
                </c:pt>
                <c:pt idx="2">
                  <c:v>Q3 22</c:v>
                </c:pt>
                <c:pt idx="3">
                  <c:v>Q4 22</c:v>
                </c:pt>
                <c:pt idx="4">
                  <c:v>Q1 23</c:v>
                </c:pt>
                <c:pt idx="5">
                  <c:v>Q2 23</c:v>
                </c:pt>
                <c:pt idx="6">
                  <c:v>Q3 23</c:v>
                </c:pt>
                <c:pt idx="7">
                  <c:v>Q4 23</c:v>
                </c:pt>
                <c:pt idx="8">
                  <c:v>Q1 24</c:v>
                </c:pt>
              </c:strCache>
            </c:strRef>
          </c:cat>
          <c:val>
            <c:numRef>
              <c:f>'LiLAC valuation'!$AL$252:$AT$252</c:f>
              <c:numCache>
                <c:formatCode>0%</c:formatCode>
                <c:ptCount val="9"/>
                <c:pt idx="0">
                  <c:v>0.22302679217957999</c:v>
                </c:pt>
                <c:pt idx="1">
                  <c:v>0.1731225296442688</c:v>
                </c:pt>
                <c:pt idx="2">
                  <c:v>0.21214642262895175</c:v>
                </c:pt>
                <c:pt idx="3">
                  <c:v>6.7019400352734182E-2</c:v>
                </c:pt>
                <c:pt idx="4">
                  <c:v>0.14439461883408072</c:v>
                </c:pt>
                <c:pt idx="5">
                  <c:v>0.12844036697247704</c:v>
                </c:pt>
                <c:pt idx="6">
                  <c:v>0.1262862488306829</c:v>
                </c:pt>
                <c:pt idx="7">
                  <c:v>7.3148148148148018E-2</c:v>
                </c:pt>
                <c:pt idx="8">
                  <c:v>0.10103871576959397</c:v>
                </c:pt>
              </c:numCache>
            </c:numRef>
          </c:val>
          <c:extLst>
            <c:ext xmlns:c16="http://schemas.microsoft.com/office/drawing/2014/chart" uri="{C3380CC4-5D6E-409C-BE32-E72D297353CC}">
              <c16:uniqueId val="{00000000-E603-412D-8723-E1004AEA394D}"/>
            </c:ext>
          </c:extLst>
        </c:ser>
        <c:dLbls>
          <c:showLegendKey val="0"/>
          <c:showVal val="0"/>
          <c:showCatName val="0"/>
          <c:showSerName val="0"/>
          <c:showPercent val="0"/>
          <c:showBubbleSize val="0"/>
        </c:dLbls>
        <c:gapWidth val="30"/>
        <c:overlap val="-27"/>
        <c:axId val="44598335"/>
        <c:axId val="44590175"/>
      </c:barChart>
      <c:catAx>
        <c:axId val="4459833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44590175"/>
        <c:crosses val="autoZero"/>
        <c:auto val="1"/>
        <c:lblAlgn val="ctr"/>
        <c:lblOffset val="100"/>
        <c:noMultiLvlLbl val="0"/>
      </c:catAx>
      <c:valAx>
        <c:axId val="44590175"/>
        <c:scaling>
          <c:orientation val="minMax"/>
        </c:scaling>
        <c:delete val="1"/>
        <c:axPos val="l"/>
        <c:numFmt formatCode="0%" sourceLinked="1"/>
        <c:majorTickMark val="out"/>
        <c:minorTickMark val="none"/>
        <c:tickLblPos val="nextTo"/>
        <c:crossAx val="4459833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3"/>
            <c:invertIfNegative val="0"/>
            <c:bubble3D val="0"/>
            <c:spPr>
              <a:solidFill>
                <a:schemeClr val="accent1">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1-0AB3-46B3-9E02-E7B297AAD23A}"/>
              </c:ext>
            </c:extLst>
          </c:dPt>
          <c:cat>
            <c:strRef>
              <c:f>'Market data'!$B$211:$B$216</c:f>
              <c:strCache>
                <c:ptCount val="6"/>
                <c:pt idx="0">
                  <c:v>Bahamas</c:v>
                </c:pt>
                <c:pt idx="1">
                  <c:v>T&amp;T</c:v>
                </c:pt>
                <c:pt idx="2">
                  <c:v>Barbados</c:v>
                </c:pt>
                <c:pt idx="3">
                  <c:v>Average*</c:v>
                </c:pt>
                <c:pt idx="4">
                  <c:v>Panama</c:v>
                </c:pt>
                <c:pt idx="5">
                  <c:v>Jamaica</c:v>
                </c:pt>
              </c:strCache>
            </c:strRef>
          </c:cat>
          <c:val>
            <c:numRef>
              <c:f>'Market data'!$C$211:$C$216</c:f>
              <c:numCache>
                <c:formatCode>0%</c:formatCode>
                <c:ptCount val="6"/>
                <c:pt idx="0">
                  <c:v>0.77142857142857146</c:v>
                </c:pt>
                <c:pt idx="1">
                  <c:v>0.67400000000000004</c:v>
                </c:pt>
                <c:pt idx="2">
                  <c:v>0.60872727272727267</c:v>
                </c:pt>
                <c:pt idx="3">
                  <c:v>0.46</c:v>
                </c:pt>
                <c:pt idx="4">
                  <c:v>0.35854261057173681</c:v>
                </c:pt>
                <c:pt idx="5">
                  <c:v>0.31</c:v>
                </c:pt>
              </c:numCache>
            </c:numRef>
          </c:val>
          <c:extLst>
            <c:ext xmlns:c16="http://schemas.microsoft.com/office/drawing/2014/chart" uri="{C3380CC4-5D6E-409C-BE32-E72D297353CC}">
              <c16:uniqueId val="{00000000-0AB3-46B3-9E02-E7B297AAD23A}"/>
            </c:ext>
          </c:extLst>
        </c:ser>
        <c:dLbls>
          <c:showLegendKey val="0"/>
          <c:showVal val="0"/>
          <c:showCatName val="0"/>
          <c:showSerName val="0"/>
          <c:showPercent val="0"/>
          <c:showBubbleSize val="0"/>
        </c:dLbls>
        <c:gapWidth val="219"/>
        <c:overlap val="-27"/>
        <c:axId val="906548240"/>
        <c:axId val="752402384"/>
      </c:barChart>
      <c:catAx>
        <c:axId val="9065482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52402384"/>
        <c:crosses val="autoZero"/>
        <c:auto val="1"/>
        <c:lblAlgn val="ctr"/>
        <c:lblOffset val="100"/>
        <c:noMultiLvlLbl val="0"/>
      </c:catAx>
      <c:valAx>
        <c:axId val="75240238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06548240"/>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4"/>
            <c:invertIfNegative val="0"/>
            <c:bubble3D val="0"/>
            <c:spPr>
              <a:solidFill>
                <a:schemeClr val="accent1">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1-1C3F-4B61-BD54-F6A6E2AA157D}"/>
              </c:ext>
            </c:extLst>
          </c:dPt>
          <c:cat>
            <c:strRef>
              <c:f>'Market data'!$B$219:$B$224</c:f>
              <c:strCache>
                <c:ptCount val="6"/>
                <c:pt idx="0">
                  <c:v>Bahamas</c:v>
                </c:pt>
                <c:pt idx="1">
                  <c:v>Panama</c:v>
                </c:pt>
                <c:pt idx="2">
                  <c:v>Barbados</c:v>
                </c:pt>
                <c:pt idx="3">
                  <c:v>T&amp;T</c:v>
                </c:pt>
                <c:pt idx="4">
                  <c:v>Average*</c:v>
                </c:pt>
                <c:pt idx="5">
                  <c:v>Jamaica</c:v>
                </c:pt>
              </c:strCache>
            </c:strRef>
          </c:cat>
          <c:val>
            <c:numRef>
              <c:f>'Market data'!$C$219:$C$224</c:f>
              <c:numCache>
                <c:formatCode>0%</c:formatCode>
                <c:ptCount val="6"/>
                <c:pt idx="0">
                  <c:v>0.73878095238095243</c:v>
                </c:pt>
                <c:pt idx="1">
                  <c:v>0.7</c:v>
                </c:pt>
                <c:pt idx="2">
                  <c:v>0.65</c:v>
                </c:pt>
                <c:pt idx="3">
                  <c:v>0.55100000000000005</c:v>
                </c:pt>
                <c:pt idx="4">
                  <c:v>0.53</c:v>
                </c:pt>
                <c:pt idx="5">
                  <c:v>0.24110344827586208</c:v>
                </c:pt>
              </c:numCache>
            </c:numRef>
          </c:val>
          <c:extLst>
            <c:ext xmlns:c16="http://schemas.microsoft.com/office/drawing/2014/chart" uri="{C3380CC4-5D6E-409C-BE32-E72D297353CC}">
              <c16:uniqueId val="{00000000-1C3F-4B61-BD54-F6A6E2AA157D}"/>
            </c:ext>
          </c:extLst>
        </c:ser>
        <c:dLbls>
          <c:showLegendKey val="0"/>
          <c:showVal val="0"/>
          <c:showCatName val="0"/>
          <c:showSerName val="0"/>
          <c:showPercent val="0"/>
          <c:showBubbleSize val="0"/>
        </c:dLbls>
        <c:gapWidth val="219"/>
        <c:overlap val="-27"/>
        <c:axId val="906548240"/>
        <c:axId val="752402384"/>
      </c:barChart>
      <c:catAx>
        <c:axId val="9065482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52402384"/>
        <c:crosses val="autoZero"/>
        <c:auto val="1"/>
        <c:lblAlgn val="ctr"/>
        <c:lblOffset val="100"/>
        <c:noMultiLvlLbl val="0"/>
      </c:catAx>
      <c:valAx>
        <c:axId val="752402384"/>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06548240"/>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3C61-4C00-9EC6-C1F651C0140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3C61-4C00-9EC6-C1F651C0140A}"/>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3C61-4C00-9EC6-C1F651C0140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data'!$B$255:$B$257</c:f>
              <c:strCache>
                <c:ptCount val="3"/>
                <c:pt idx="0">
                  <c:v>CWC</c:v>
                </c:pt>
                <c:pt idx="1">
                  <c:v>Digicel</c:v>
                </c:pt>
                <c:pt idx="2">
                  <c:v>Other</c:v>
                </c:pt>
              </c:strCache>
            </c:strRef>
          </c:cat>
          <c:val>
            <c:numRef>
              <c:f>'Market data'!$C$255:$C$257</c:f>
              <c:numCache>
                <c:formatCode>0%</c:formatCode>
                <c:ptCount val="3"/>
                <c:pt idx="0">
                  <c:v>0.75769569041336859</c:v>
                </c:pt>
                <c:pt idx="1">
                  <c:v>0.2</c:v>
                </c:pt>
                <c:pt idx="2">
                  <c:v>4.2304309586631395E-2</c:v>
                </c:pt>
              </c:numCache>
            </c:numRef>
          </c:val>
          <c:extLst>
            <c:ext xmlns:c16="http://schemas.microsoft.com/office/drawing/2014/chart" uri="{C3380CC4-5D6E-409C-BE32-E72D297353CC}">
              <c16:uniqueId val="{00000006-3C61-4C00-9EC6-C1F651C0140A}"/>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5C03-4A88-B640-9435246570E6}"/>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5C03-4A88-B640-9435246570E6}"/>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5C03-4A88-B640-9435246570E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data'!$B$261:$B$263</c:f>
              <c:strCache>
                <c:ptCount val="3"/>
                <c:pt idx="0">
                  <c:v>CWC</c:v>
                </c:pt>
                <c:pt idx="1">
                  <c:v>Digicel</c:v>
                </c:pt>
                <c:pt idx="2">
                  <c:v>Other</c:v>
                </c:pt>
              </c:strCache>
            </c:strRef>
          </c:cat>
          <c:val>
            <c:numRef>
              <c:f>'Market data'!$C$261:$C$263</c:f>
              <c:numCache>
                <c:formatCode>0%</c:formatCode>
                <c:ptCount val="3"/>
                <c:pt idx="0">
                  <c:v>0.53805774278215224</c:v>
                </c:pt>
                <c:pt idx="1">
                  <c:v>0.23874015748031499</c:v>
                </c:pt>
                <c:pt idx="2">
                  <c:v>0.22320209973753277</c:v>
                </c:pt>
              </c:numCache>
            </c:numRef>
          </c:val>
          <c:extLst>
            <c:ext xmlns:c16="http://schemas.microsoft.com/office/drawing/2014/chart" uri="{C3380CC4-5D6E-409C-BE32-E72D297353CC}">
              <c16:uniqueId val="{00000006-5C03-4A88-B640-9435246570E6}"/>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BE6F-4D70-A2CF-2EDFFCA4A3A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BE6F-4D70-A2CF-2EDFFCA4A3AA}"/>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BE6F-4D70-A2CF-2EDFFCA4A3A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data'!$B$313:$B$315</c:f>
              <c:strCache>
                <c:ptCount val="3"/>
                <c:pt idx="0">
                  <c:v>CWC</c:v>
                </c:pt>
                <c:pt idx="1">
                  <c:v>Digicel</c:v>
                </c:pt>
                <c:pt idx="2">
                  <c:v>Other</c:v>
                </c:pt>
              </c:strCache>
            </c:strRef>
          </c:cat>
          <c:val>
            <c:numRef>
              <c:f>'Market data'!$C$313:$C$315</c:f>
              <c:numCache>
                <c:formatCode>0%</c:formatCode>
                <c:ptCount val="3"/>
                <c:pt idx="0">
                  <c:v>0.71932510041778397</c:v>
                </c:pt>
                <c:pt idx="1">
                  <c:v>0.17263802410026816</c:v>
                </c:pt>
                <c:pt idx="2">
                  <c:v>0.10803687548194782</c:v>
                </c:pt>
              </c:numCache>
            </c:numRef>
          </c:val>
          <c:extLst>
            <c:ext xmlns:c16="http://schemas.microsoft.com/office/drawing/2014/chart" uri="{C3380CC4-5D6E-409C-BE32-E72D297353CC}">
              <c16:uniqueId val="{00000006-BE6F-4D70-A2CF-2EDFFCA4A3AA}"/>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4016-4E7A-BE43-28A3E90668B4}"/>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4016-4E7A-BE43-28A3E90668B4}"/>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4016-4E7A-BE43-28A3E90668B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data'!$B$319:$B$321</c:f>
              <c:strCache>
                <c:ptCount val="3"/>
                <c:pt idx="0">
                  <c:v>CWC</c:v>
                </c:pt>
                <c:pt idx="1">
                  <c:v>Digicel</c:v>
                </c:pt>
                <c:pt idx="2">
                  <c:v>DirectTV/other</c:v>
                </c:pt>
              </c:strCache>
            </c:strRef>
          </c:cat>
          <c:val>
            <c:numRef>
              <c:f>'Market data'!$C$319:$C$321</c:f>
              <c:numCache>
                <c:formatCode>0%</c:formatCode>
                <c:ptCount val="3"/>
                <c:pt idx="0">
                  <c:v>0.25734265734265732</c:v>
                </c:pt>
                <c:pt idx="1">
                  <c:v>0.20979020979020979</c:v>
                </c:pt>
                <c:pt idx="2">
                  <c:v>0.53286713286713294</c:v>
                </c:pt>
              </c:numCache>
            </c:numRef>
          </c:val>
          <c:extLst>
            <c:ext xmlns:c16="http://schemas.microsoft.com/office/drawing/2014/chart" uri="{C3380CC4-5D6E-409C-BE32-E72D297353CC}">
              <c16:uniqueId val="{00000006-4016-4E7A-BE43-28A3E90668B4}"/>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4039-4D5A-935E-C8A210ADDFAB}"/>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4039-4D5A-935E-C8A210ADDFAB}"/>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4039-4D5A-935E-C8A210ADDFAB}"/>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data'!$B$236:$B$238</c:f>
              <c:strCache>
                <c:ptCount val="3"/>
                <c:pt idx="0">
                  <c:v>CWC</c:v>
                </c:pt>
                <c:pt idx="1">
                  <c:v>Cable Onda</c:v>
                </c:pt>
                <c:pt idx="2">
                  <c:v>Other</c:v>
                </c:pt>
              </c:strCache>
            </c:strRef>
          </c:cat>
          <c:val>
            <c:numRef>
              <c:f>'Market data'!$C$236:$C$238</c:f>
              <c:numCache>
                <c:formatCode>0%</c:formatCode>
                <c:ptCount val="3"/>
                <c:pt idx="0">
                  <c:v>0.24740956753738291</c:v>
                </c:pt>
                <c:pt idx="1">
                  <c:v>0.53</c:v>
                </c:pt>
                <c:pt idx="2">
                  <c:v>0.22259043246261712</c:v>
                </c:pt>
              </c:numCache>
            </c:numRef>
          </c:val>
          <c:extLst>
            <c:ext xmlns:c16="http://schemas.microsoft.com/office/drawing/2014/chart" uri="{C3380CC4-5D6E-409C-BE32-E72D297353CC}">
              <c16:uniqueId val="{00000006-4039-4D5A-935E-C8A210ADDFAB}"/>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1025-41D5-96E8-9DC516B7C776}"/>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1025-41D5-96E8-9DC516B7C776}"/>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1025-41D5-96E8-9DC516B7C77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data'!$B$242:$B$244</c:f>
              <c:strCache>
                <c:ptCount val="3"/>
                <c:pt idx="0">
                  <c:v>CWC</c:v>
                </c:pt>
                <c:pt idx="1">
                  <c:v>Cable Onda</c:v>
                </c:pt>
                <c:pt idx="2">
                  <c:v>Other</c:v>
                </c:pt>
              </c:strCache>
            </c:strRef>
          </c:cat>
          <c:val>
            <c:numRef>
              <c:f>'Market data'!$C$242:$C$244</c:f>
              <c:numCache>
                <c:formatCode>0%</c:formatCode>
                <c:ptCount val="3"/>
                <c:pt idx="0">
                  <c:v>0.12713823393435045</c:v>
                </c:pt>
                <c:pt idx="1">
                  <c:v>0.6</c:v>
                </c:pt>
                <c:pt idx="2">
                  <c:v>0.2728617660656496</c:v>
                </c:pt>
              </c:numCache>
            </c:numRef>
          </c:val>
          <c:extLst>
            <c:ext xmlns:c16="http://schemas.microsoft.com/office/drawing/2014/chart" uri="{C3380CC4-5D6E-409C-BE32-E72D297353CC}">
              <c16:uniqueId val="{00000006-1025-41D5-96E8-9DC516B7C776}"/>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DD36-4C65-869E-F77451F3850D}"/>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DD36-4C65-869E-F77451F3850D}"/>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DD36-4C65-869E-F77451F3850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data'!$B$229:$B$231</c:f>
              <c:strCache>
                <c:ptCount val="3"/>
                <c:pt idx="0">
                  <c:v>CWC</c:v>
                </c:pt>
                <c:pt idx="1">
                  <c:v>Cable Onda</c:v>
                </c:pt>
                <c:pt idx="2">
                  <c:v>Other</c:v>
                </c:pt>
              </c:strCache>
            </c:strRef>
          </c:cat>
          <c:val>
            <c:numRef>
              <c:f>'Market data'!$C$229:$C$231</c:f>
              <c:numCache>
                <c:formatCode>0%</c:formatCode>
                <c:ptCount val="3"/>
                <c:pt idx="0">
                  <c:v>0.42886885838600691</c:v>
                </c:pt>
                <c:pt idx="1">
                  <c:v>0.24</c:v>
                </c:pt>
                <c:pt idx="2">
                  <c:v>0.33113114161399304</c:v>
                </c:pt>
              </c:numCache>
            </c:numRef>
          </c:val>
          <c:extLst>
            <c:ext xmlns:c16="http://schemas.microsoft.com/office/drawing/2014/chart" uri="{C3380CC4-5D6E-409C-BE32-E72D297353CC}">
              <c16:uniqueId val="{00000006-DD36-4C65-869E-F77451F3850D}"/>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7EC3-4651-A0EC-343127B466CD}"/>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7EC3-4651-A0EC-343127B466CD}"/>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7EC3-4651-A0EC-343127B466C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data'!$B$249:$B$251</c:f>
              <c:strCache>
                <c:ptCount val="3"/>
                <c:pt idx="0">
                  <c:v>CWC</c:v>
                </c:pt>
                <c:pt idx="1">
                  <c:v>Digicel</c:v>
                </c:pt>
                <c:pt idx="2">
                  <c:v>Other</c:v>
                </c:pt>
              </c:strCache>
            </c:strRef>
          </c:cat>
          <c:val>
            <c:numRef>
              <c:f>'Market data'!$C$249:$C$251</c:f>
              <c:numCache>
                <c:formatCode>0%</c:formatCode>
                <c:ptCount val="3"/>
                <c:pt idx="0">
                  <c:v>0.69913714087044465</c:v>
                </c:pt>
                <c:pt idx="1">
                  <c:v>0.16751477606751161</c:v>
                </c:pt>
                <c:pt idx="2">
                  <c:v>0.13334808306204368</c:v>
                </c:pt>
              </c:numCache>
            </c:numRef>
          </c:val>
          <c:extLst>
            <c:ext xmlns:c16="http://schemas.microsoft.com/office/drawing/2014/chart" uri="{C3380CC4-5D6E-409C-BE32-E72D297353CC}">
              <c16:uniqueId val="{00000006-7EC3-4651-A0EC-343127B466CD}"/>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E546-4294-B943-7DAF123264A4}"/>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E546-4294-B943-7DAF123264A4}"/>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E546-4294-B943-7DAF123264A4}"/>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data'!$B$275:$B$277</c:f>
              <c:strCache>
                <c:ptCount val="3"/>
                <c:pt idx="0">
                  <c:v>CWC</c:v>
                </c:pt>
                <c:pt idx="1">
                  <c:v>Digicel</c:v>
                </c:pt>
                <c:pt idx="2">
                  <c:v>Other</c:v>
                </c:pt>
              </c:strCache>
            </c:strRef>
          </c:cat>
          <c:val>
            <c:numRef>
              <c:f>'Market data'!$C$275:$C$277</c:f>
              <c:numCache>
                <c:formatCode>0%</c:formatCode>
                <c:ptCount val="3"/>
                <c:pt idx="0">
                  <c:v>0.43914590747330962</c:v>
                </c:pt>
                <c:pt idx="1">
                  <c:v>0.18149466192170818</c:v>
                </c:pt>
                <c:pt idx="2">
                  <c:v>0.37935943060498223</c:v>
                </c:pt>
              </c:numCache>
            </c:numRef>
          </c:val>
          <c:extLst>
            <c:ext xmlns:c16="http://schemas.microsoft.com/office/drawing/2014/chart" uri="{C3380CC4-5D6E-409C-BE32-E72D297353CC}">
              <c16:uniqueId val="{00000006-E546-4294-B943-7DAF123264A4}"/>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DEAC-4906-9E30-90ECE4D37A67}"/>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DEAC-4906-9E30-90ECE4D37A67}"/>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DEAC-4906-9E30-90ECE4D37A6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data'!$B$281:$B$283</c:f>
              <c:strCache>
                <c:ptCount val="3"/>
                <c:pt idx="0">
                  <c:v>CWC</c:v>
                </c:pt>
                <c:pt idx="1">
                  <c:v>Digicel</c:v>
                </c:pt>
                <c:pt idx="2">
                  <c:v>DirectTV/other</c:v>
                </c:pt>
              </c:strCache>
            </c:strRef>
          </c:cat>
          <c:val>
            <c:numRef>
              <c:f>'Market data'!$C$281:$C$283</c:f>
              <c:numCache>
                <c:formatCode>0%</c:formatCode>
                <c:ptCount val="3"/>
                <c:pt idx="0">
                  <c:v>0.62040816326530612</c:v>
                </c:pt>
                <c:pt idx="1">
                  <c:v>0.26020408163265307</c:v>
                </c:pt>
                <c:pt idx="2">
                  <c:v>0.1193877551020408</c:v>
                </c:pt>
              </c:numCache>
            </c:numRef>
          </c:val>
          <c:extLst>
            <c:ext xmlns:c16="http://schemas.microsoft.com/office/drawing/2014/chart" uri="{C3380CC4-5D6E-409C-BE32-E72D297353CC}">
              <c16:uniqueId val="{00000006-DEAC-4906-9E30-90ECE4D37A67}"/>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C86D-48DA-B344-A820298E7932}"/>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C86D-48DA-B344-A820298E7932}"/>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C86D-48DA-B344-A820298E79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EA1-4F46-A2E3-B29A553F8CB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data'!$B$268:$B$271</c:f>
              <c:strCache>
                <c:ptCount val="4"/>
                <c:pt idx="0">
                  <c:v>CWC</c:v>
                </c:pt>
                <c:pt idx="1">
                  <c:v>Digicel</c:v>
                </c:pt>
                <c:pt idx="2">
                  <c:v>TSTT</c:v>
                </c:pt>
                <c:pt idx="3">
                  <c:v>Other</c:v>
                </c:pt>
              </c:strCache>
            </c:strRef>
          </c:cat>
          <c:val>
            <c:numRef>
              <c:f>'Market data'!$C$268:$C$271</c:f>
              <c:numCache>
                <c:formatCode>0%</c:formatCode>
                <c:ptCount val="4"/>
                <c:pt idx="0">
                  <c:v>0.1</c:v>
                </c:pt>
                <c:pt idx="1">
                  <c:v>0.18819188191881919</c:v>
                </c:pt>
                <c:pt idx="2">
                  <c:v>0.67490774907749085</c:v>
                </c:pt>
                <c:pt idx="3">
                  <c:v>3.6900369003690037E-2</c:v>
                </c:pt>
              </c:numCache>
            </c:numRef>
          </c:val>
          <c:extLst>
            <c:ext xmlns:c16="http://schemas.microsoft.com/office/drawing/2014/chart" uri="{C3380CC4-5D6E-409C-BE32-E72D297353CC}">
              <c16:uniqueId val="{00000006-C86D-48DA-B344-A820298E7932}"/>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FD8-49C3-931A-93D5F2953C06}"/>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FD8-49C3-931A-93D5F2953C06}"/>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FFD8-49C3-931A-93D5F2953C0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data'!$B$294:$B$296</c:f>
              <c:strCache>
                <c:ptCount val="3"/>
                <c:pt idx="0">
                  <c:v>CWC</c:v>
                </c:pt>
                <c:pt idx="1">
                  <c:v>Cable Bahamas</c:v>
                </c:pt>
                <c:pt idx="2">
                  <c:v>Other </c:v>
                </c:pt>
              </c:strCache>
            </c:strRef>
          </c:cat>
          <c:val>
            <c:numRef>
              <c:f>'Market data'!$C$294:$C$296</c:f>
              <c:numCache>
                <c:formatCode>0%</c:formatCode>
                <c:ptCount val="3"/>
                <c:pt idx="0">
                  <c:v>0.30605147229306745</c:v>
                </c:pt>
                <c:pt idx="1">
                  <c:v>0.63598423371203339</c:v>
                </c:pt>
                <c:pt idx="2">
                  <c:v>5.7964293994899135E-2</c:v>
                </c:pt>
              </c:numCache>
            </c:numRef>
          </c:val>
          <c:extLst>
            <c:ext xmlns:c16="http://schemas.microsoft.com/office/drawing/2014/chart" uri="{C3380CC4-5D6E-409C-BE32-E72D297353CC}">
              <c16:uniqueId val="{00000006-FFD8-49C3-931A-93D5F2953C06}"/>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FEC3-4D67-8A51-5566D4D81360}"/>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FEC3-4D67-8A51-5566D4D81360}"/>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FEC3-4D67-8A51-5566D4D8136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data'!$B$300:$B$301</c:f>
              <c:strCache>
                <c:ptCount val="2"/>
                <c:pt idx="0">
                  <c:v>CWC</c:v>
                </c:pt>
                <c:pt idx="1">
                  <c:v>Cable Bahamas</c:v>
                </c:pt>
              </c:strCache>
            </c:strRef>
          </c:cat>
          <c:val>
            <c:numRef>
              <c:f>'Market data'!$C$300:$C$301</c:f>
              <c:numCache>
                <c:formatCode>0%</c:formatCode>
                <c:ptCount val="2"/>
                <c:pt idx="0">
                  <c:v>2.150537634408602E-2</c:v>
                </c:pt>
                <c:pt idx="1">
                  <c:v>0.97849462365591411</c:v>
                </c:pt>
              </c:numCache>
            </c:numRef>
          </c:val>
          <c:extLst>
            <c:ext xmlns:c16="http://schemas.microsoft.com/office/drawing/2014/chart" uri="{C3380CC4-5D6E-409C-BE32-E72D297353CC}">
              <c16:uniqueId val="{00000006-FEC3-4D67-8A51-5566D4D81360}"/>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DA37-4212-BA9B-81D679B3F1C6}"/>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DA37-4212-BA9B-81D679B3F1C6}"/>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DA37-4212-BA9B-81D679B3F1C6}"/>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data'!$B$289:$B$290</c:f>
              <c:strCache>
                <c:ptCount val="2"/>
                <c:pt idx="0">
                  <c:v>CWC</c:v>
                </c:pt>
                <c:pt idx="1">
                  <c:v>Cable Bahamas</c:v>
                </c:pt>
              </c:strCache>
            </c:strRef>
          </c:cat>
          <c:val>
            <c:numRef>
              <c:f>'Market data'!$C$289:$C$290</c:f>
              <c:numCache>
                <c:formatCode>0%</c:formatCode>
                <c:ptCount val="2"/>
                <c:pt idx="0">
                  <c:v>0.4546204620462046</c:v>
                </c:pt>
                <c:pt idx="1">
                  <c:v>0.54537953795379535</c:v>
                </c:pt>
              </c:numCache>
            </c:numRef>
          </c:val>
          <c:extLst>
            <c:ext xmlns:c16="http://schemas.microsoft.com/office/drawing/2014/chart" uri="{C3380CC4-5D6E-409C-BE32-E72D297353CC}">
              <c16:uniqueId val="{00000006-DA37-4212-BA9B-81D679B3F1C6}"/>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1-51E5-4A4B-A2AC-5CD509EDE8ED}"/>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51E5-4A4B-A2AC-5CD509EDE8ED}"/>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5-51E5-4A4B-A2AC-5CD509EDE8E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'Market data'!$B$307:$B$309</c:f>
              <c:strCache>
                <c:ptCount val="3"/>
                <c:pt idx="0">
                  <c:v>CWC</c:v>
                </c:pt>
                <c:pt idx="1">
                  <c:v>Digicel</c:v>
                </c:pt>
                <c:pt idx="2">
                  <c:v>Other</c:v>
                </c:pt>
              </c:strCache>
            </c:strRef>
          </c:cat>
          <c:val>
            <c:numRef>
              <c:f>'Market data'!$C$307:$C$309</c:f>
              <c:numCache>
                <c:formatCode>0%</c:formatCode>
                <c:ptCount val="3"/>
                <c:pt idx="0">
                  <c:v>0.58307371309343459</c:v>
                </c:pt>
                <c:pt idx="1">
                  <c:v>0.10718266784805784</c:v>
                </c:pt>
                <c:pt idx="2">
                  <c:v>0.3097436190585075</c:v>
                </c:pt>
              </c:numCache>
            </c:numRef>
          </c:val>
          <c:extLst>
            <c:ext xmlns:c16="http://schemas.microsoft.com/office/drawing/2014/chart" uri="{C3380CC4-5D6E-409C-BE32-E72D297353CC}">
              <c16:uniqueId val="{00000006-51E5-4A4B-A2AC-5CD509EDE8ED}"/>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VTR!$AB$120</c:f>
              <c:strCache>
                <c:ptCount val="1"/>
                <c:pt idx="0">
                  <c:v>Margin</c:v>
                </c:pt>
              </c:strCache>
            </c:strRef>
          </c:tx>
          <c:spPr>
            <a:ln w="25400">
              <a:solidFill>
                <a:srgbClr val="333399"/>
              </a:solidFill>
              <a:prstDash val="solid"/>
            </a:ln>
            <a:effectLst/>
          </c:spPr>
          <c:marker>
            <c:symbol val="none"/>
          </c:marker>
          <c:cat>
            <c:strRef>
              <c:f>VTR!$AC$111:$CC$111</c:f>
              <c:strCache>
                <c:ptCount val="53"/>
                <c:pt idx="0">
                  <c:v>Q4 01</c:v>
                </c:pt>
                <c:pt idx="1">
                  <c:v>Q1 02</c:v>
                </c:pt>
                <c:pt idx="2">
                  <c:v>Q2 02</c:v>
                </c:pt>
                <c:pt idx="3">
                  <c:v>Q3 02</c:v>
                </c:pt>
                <c:pt idx="4">
                  <c:v>Q4 02</c:v>
                </c:pt>
                <c:pt idx="5">
                  <c:v>Q1 03</c:v>
                </c:pt>
                <c:pt idx="6">
                  <c:v>Q2 03</c:v>
                </c:pt>
                <c:pt idx="7">
                  <c:v>Q3 03</c:v>
                </c:pt>
                <c:pt idx="8">
                  <c:v>Q4 03</c:v>
                </c:pt>
                <c:pt idx="9">
                  <c:v>1Q04</c:v>
                </c:pt>
                <c:pt idx="10">
                  <c:v>Q2 04</c:v>
                </c:pt>
                <c:pt idx="11">
                  <c:v>Q3 04</c:v>
                </c:pt>
                <c:pt idx="12">
                  <c:v>Q4 04</c:v>
                </c:pt>
                <c:pt idx="13">
                  <c:v>Q1 05</c:v>
                </c:pt>
                <c:pt idx="14">
                  <c:v>Q2 05</c:v>
                </c:pt>
                <c:pt idx="15">
                  <c:v>Q3 05</c:v>
                </c:pt>
                <c:pt idx="16">
                  <c:v>Q4 05</c:v>
                </c:pt>
                <c:pt idx="17">
                  <c:v>Q1 06</c:v>
                </c:pt>
                <c:pt idx="18">
                  <c:v>Q2 06</c:v>
                </c:pt>
                <c:pt idx="19">
                  <c:v>Q3 06</c:v>
                </c:pt>
                <c:pt idx="20">
                  <c:v>Q4 06</c:v>
                </c:pt>
                <c:pt idx="21">
                  <c:v>Q1 07</c:v>
                </c:pt>
                <c:pt idx="22">
                  <c:v>Q2 07</c:v>
                </c:pt>
                <c:pt idx="23">
                  <c:v>Q3 07</c:v>
                </c:pt>
                <c:pt idx="24">
                  <c:v>Q4 07</c:v>
                </c:pt>
                <c:pt idx="25">
                  <c:v>Q1 08</c:v>
                </c:pt>
                <c:pt idx="26">
                  <c:v>Q2 08</c:v>
                </c:pt>
                <c:pt idx="27">
                  <c:v>Q3 08</c:v>
                </c:pt>
                <c:pt idx="28">
                  <c:v>Q4 08</c:v>
                </c:pt>
                <c:pt idx="29">
                  <c:v>Q1 09</c:v>
                </c:pt>
                <c:pt idx="30">
                  <c:v>Q2 09</c:v>
                </c:pt>
                <c:pt idx="31">
                  <c:v>Q3 09</c:v>
                </c:pt>
                <c:pt idx="32">
                  <c:v>Q4 09</c:v>
                </c:pt>
                <c:pt idx="33">
                  <c:v>Q1 10</c:v>
                </c:pt>
                <c:pt idx="34">
                  <c:v>Q2 10</c:v>
                </c:pt>
                <c:pt idx="35">
                  <c:v>Q3 10</c:v>
                </c:pt>
                <c:pt idx="36">
                  <c:v>Q4 10</c:v>
                </c:pt>
                <c:pt idx="37">
                  <c:v>Q1 11</c:v>
                </c:pt>
                <c:pt idx="38">
                  <c:v>Q2 11</c:v>
                </c:pt>
                <c:pt idx="39">
                  <c:v>Q3 11</c:v>
                </c:pt>
                <c:pt idx="40">
                  <c:v>Q4 11</c:v>
                </c:pt>
                <c:pt idx="41">
                  <c:v>Q1 12</c:v>
                </c:pt>
                <c:pt idx="42">
                  <c:v>Q2 12</c:v>
                </c:pt>
                <c:pt idx="43">
                  <c:v>Q3 12</c:v>
                </c:pt>
                <c:pt idx="44">
                  <c:v>Q4 12</c:v>
                </c:pt>
                <c:pt idx="45">
                  <c:v>Q1 13</c:v>
                </c:pt>
                <c:pt idx="46">
                  <c:v>Q2 13</c:v>
                </c:pt>
                <c:pt idx="47">
                  <c:v>Q3 13</c:v>
                </c:pt>
                <c:pt idx="48">
                  <c:v>Q4 13</c:v>
                </c:pt>
                <c:pt idx="49">
                  <c:v>Q1 14</c:v>
                </c:pt>
                <c:pt idx="50">
                  <c:v>Q2 14</c:v>
                </c:pt>
                <c:pt idx="51">
                  <c:v>Q3 14</c:v>
                </c:pt>
                <c:pt idx="52">
                  <c:v>Q4 14</c:v>
                </c:pt>
              </c:strCache>
            </c:strRef>
          </c:cat>
          <c:val>
            <c:numRef>
              <c:f>VTR!$AC$120:$CC$120</c:f>
              <c:numCache>
                <c:formatCode>General</c:formatCode>
                <c:ptCount val="53"/>
                <c:pt idx="25" formatCode="0.0%">
                  <c:v>0.40514469453376206</c:v>
                </c:pt>
                <c:pt idx="26" formatCode="0.0%">
                  <c:v>0.42134831460674155</c:v>
                </c:pt>
                <c:pt idx="27" formatCode="0.0%">
                  <c:v>0.40066777963272127</c:v>
                </c:pt>
                <c:pt idx="28" formatCode="0.0%">
                  <c:v>0.43029259896729755</c:v>
                </c:pt>
                <c:pt idx="29" formatCode="0.0%">
                  <c:v>0.39363484087102174</c:v>
                </c:pt>
                <c:pt idx="30" formatCode="0.0%">
                  <c:v>0.40615141955835965</c:v>
                </c:pt>
                <c:pt idx="31" formatCode="0.0%">
                  <c:v>0.41527446300715987</c:v>
                </c:pt>
                <c:pt idx="32" formatCode="0.0%">
                  <c:v>0.42714723926380377</c:v>
                </c:pt>
                <c:pt idx="33" formatCode="0.0%">
                  <c:v>0.38555133079847909</c:v>
                </c:pt>
                <c:pt idx="34" formatCode="0.0%">
                  <c:v>0.41766268260292166</c:v>
                </c:pt>
                <c:pt idx="35" formatCode="0.0%">
                  <c:v>0.43404522613065327</c:v>
                </c:pt>
                <c:pt idx="36" formatCode="0.0%">
                  <c:v>0.42763287311074571</c:v>
                </c:pt>
                <c:pt idx="37" formatCode="0.0%">
                  <c:v>0.42044728434504802</c:v>
                </c:pt>
                <c:pt idx="38" formatCode="0.0%">
                  <c:v>0.4105793450881613</c:v>
                </c:pt>
                <c:pt idx="39" formatCode="0.0%">
                  <c:v>0.41169305724725941</c:v>
                </c:pt>
                <c:pt idx="40" formatCode="0.0%">
                  <c:v>0.45278298936835498</c:v>
                </c:pt>
                <c:pt idx="41" formatCode="0.0%">
                  <c:v>0.33496659242761695</c:v>
                </c:pt>
                <c:pt idx="42" formatCode="0.0%">
                  <c:v>0.33201058201058198</c:v>
                </c:pt>
                <c:pt idx="43" formatCode="0.0%">
                  <c:v>0.33817427385892118</c:v>
                </c:pt>
                <c:pt idx="44" formatCode="0.0%">
                  <c:v>0.33105114780507455</c:v>
                </c:pt>
                <c:pt idx="45" formatCode="0.0%">
                  <c:v>0.34065507887137164</c:v>
                </c:pt>
                <c:pt idx="46" formatCode="0.0%">
                  <c:v>0.34318113193071215</c:v>
                </c:pt>
                <c:pt idx="47" formatCode="0.0%">
                  <c:v>0.34494742292037001</c:v>
                </c:pt>
                <c:pt idx="48" formatCode="0.0%">
                  <c:v>0.39844070578580221</c:v>
                </c:pt>
                <c:pt idx="49" formatCode="0.0%">
                  <c:v>0.36737843787135016</c:v>
                </c:pt>
                <c:pt idx="50" formatCode="0.0%">
                  <c:v>0.37254901960784315</c:v>
                </c:pt>
                <c:pt idx="51" formatCode="0.0%">
                  <c:v>0.38777089783281737</c:v>
                </c:pt>
                <c:pt idx="52" formatCode="0.0%">
                  <c:v>0.42344124746217982</c:v>
                </c:pt>
              </c:numCache>
            </c:numRef>
          </c:val>
          <c:smooth val="0"/>
          <c:extLst>
            <c:ext xmlns:c16="http://schemas.microsoft.com/office/drawing/2014/chart" uri="{C3380CC4-5D6E-409C-BE32-E72D297353CC}">
              <c16:uniqueId val="{00000000-25B9-4744-9E3E-84313E237C69}"/>
            </c:ext>
          </c:extLst>
        </c:ser>
        <c:dLbls>
          <c:showLegendKey val="0"/>
          <c:showVal val="0"/>
          <c:showCatName val="0"/>
          <c:showSerName val="0"/>
          <c:showPercent val="0"/>
          <c:showBubbleSize val="0"/>
        </c:dLbls>
        <c:smooth val="0"/>
        <c:axId val="129937792"/>
        <c:axId val="129939328"/>
      </c:lineChart>
      <c:catAx>
        <c:axId val="129937792"/>
        <c:scaling>
          <c:orientation val="minMax"/>
        </c:scaling>
        <c:delete val="0"/>
        <c:axPos val="b"/>
        <c:numFmt formatCode="General" sourceLinked="0"/>
        <c:majorTickMark val="out"/>
        <c:minorTickMark val="none"/>
        <c:tickLblPos val="low"/>
        <c:crossAx val="129939328"/>
        <c:crosses val="autoZero"/>
        <c:auto val="1"/>
        <c:lblAlgn val="ctr"/>
        <c:lblOffset val="100"/>
        <c:noMultiLvlLbl val="0"/>
      </c:catAx>
      <c:valAx>
        <c:axId val="129939328"/>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crossAx val="12993779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VTR!$AB$250</c:f>
              <c:strCache>
                <c:ptCount val="1"/>
                <c:pt idx="0">
                  <c:v>3rd party debt</c:v>
                </c:pt>
              </c:strCache>
            </c:strRef>
          </c:tx>
          <c:spPr>
            <a:solidFill>
              <a:srgbClr val="000080"/>
            </a:solidFill>
            <a:ln w="25400">
              <a:noFill/>
            </a:ln>
          </c:spPr>
          <c:invertIfNegative val="0"/>
          <c:cat>
            <c:numRef>
              <c:f>VTR!$BR$249:$CC$249</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VTR!$BR$250:$CC$250</c:f>
              <c:numCache>
                <c:formatCode>#,##0.0;\(#,##0.0\)</c:formatCode>
                <c:ptCount val="12"/>
                <c:pt idx="10">
                  <c:v>875.3</c:v>
                </c:pt>
              </c:numCache>
            </c:numRef>
          </c:val>
          <c:extLst>
            <c:ext xmlns:c16="http://schemas.microsoft.com/office/drawing/2014/chart" uri="{C3380CC4-5D6E-409C-BE32-E72D297353CC}">
              <c16:uniqueId val="{00000000-CAE5-4AAC-AF79-EB9DC2326C80}"/>
            </c:ext>
          </c:extLst>
        </c:ser>
        <c:dLbls>
          <c:showLegendKey val="0"/>
          <c:showVal val="0"/>
          <c:showCatName val="0"/>
          <c:showSerName val="0"/>
          <c:showPercent val="0"/>
          <c:showBubbleSize val="0"/>
        </c:dLbls>
        <c:gapWidth val="150"/>
        <c:axId val="129456384"/>
        <c:axId val="129462272"/>
      </c:barChart>
      <c:catAx>
        <c:axId val="129456384"/>
        <c:scaling>
          <c:orientation val="minMax"/>
        </c:scaling>
        <c:delete val="0"/>
        <c:axPos val="b"/>
        <c:numFmt formatCode="General" sourceLinked="1"/>
        <c:majorTickMark val="out"/>
        <c:minorTickMark val="none"/>
        <c:tickLblPos val="nextTo"/>
        <c:crossAx val="129462272"/>
        <c:crosses val="autoZero"/>
        <c:auto val="1"/>
        <c:lblAlgn val="ctr"/>
        <c:lblOffset val="100"/>
        <c:noMultiLvlLbl val="0"/>
      </c:catAx>
      <c:valAx>
        <c:axId val="129462272"/>
        <c:scaling>
          <c:orientation val="minMax"/>
        </c:scaling>
        <c:delete val="0"/>
        <c:axPos val="l"/>
        <c:majorGridlines>
          <c:spPr>
            <a:ln w="3175">
              <a:solidFill>
                <a:srgbClr val="C0C0C0"/>
              </a:solidFill>
              <a:prstDash val="solid"/>
            </a:ln>
          </c:spPr>
        </c:majorGridlines>
        <c:numFmt formatCode="#,##0.0;\(#,##0.0\)" sourceLinked="1"/>
        <c:majorTickMark val="out"/>
        <c:minorTickMark val="none"/>
        <c:tickLblPos val="nextTo"/>
        <c:crossAx val="12945638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VTR!$AB$296</c:f>
              <c:strCache>
                <c:ptCount val="1"/>
                <c:pt idx="0">
                  <c:v>LTM FCF</c:v>
                </c:pt>
              </c:strCache>
            </c:strRef>
          </c:tx>
          <c:spPr>
            <a:solidFill>
              <a:srgbClr val="000080"/>
            </a:solidFill>
            <a:ln w="25400">
              <a:noFill/>
            </a:ln>
          </c:spPr>
          <c:invertIfNegative val="0"/>
          <c:cat>
            <c:strRef>
              <c:f>VTR!$BX$294:$CD$294</c:f>
              <c:strCache>
                <c:ptCount val="7"/>
                <c:pt idx="0">
                  <c:v>Q3 13</c:v>
                </c:pt>
                <c:pt idx="1">
                  <c:v>Q4 13</c:v>
                </c:pt>
                <c:pt idx="2">
                  <c:v>Q1 14</c:v>
                </c:pt>
                <c:pt idx="3">
                  <c:v>Q2 14</c:v>
                </c:pt>
                <c:pt idx="4">
                  <c:v>Q3 14</c:v>
                </c:pt>
                <c:pt idx="5">
                  <c:v>Q4 14</c:v>
                </c:pt>
                <c:pt idx="6">
                  <c:v>Q1 15</c:v>
                </c:pt>
              </c:strCache>
            </c:strRef>
          </c:cat>
          <c:val>
            <c:numRef>
              <c:f>VTR!$BX$296:$CD$296</c:f>
              <c:numCache>
                <c:formatCode>#,##0;\(#,##0\)</c:formatCode>
                <c:ptCount val="7"/>
                <c:pt idx="0">
                  <c:v>29.893555508000027</c:v>
                </c:pt>
                <c:pt idx="1">
                  <c:v>29.00458399999998</c:v>
                </c:pt>
                <c:pt idx="2">
                  <c:v>62.004583999999994</c:v>
                </c:pt>
                <c:pt idx="3">
                  <c:v>69.304583999999977</c:v>
                </c:pt>
                <c:pt idx="4">
                  <c:v>27.504583999999991</c:v>
                </c:pt>
                <c:pt idx="5">
                  <c:v>60.699999999999974</c:v>
                </c:pt>
                <c:pt idx="6">
                  <c:v>4.9999999999999716</c:v>
                </c:pt>
              </c:numCache>
            </c:numRef>
          </c:val>
          <c:extLst>
            <c:ext xmlns:c16="http://schemas.microsoft.com/office/drawing/2014/chart" uri="{C3380CC4-5D6E-409C-BE32-E72D297353CC}">
              <c16:uniqueId val="{00000000-56CF-425C-B460-CDA6AF02A117}"/>
            </c:ext>
          </c:extLst>
        </c:ser>
        <c:dLbls>
          <c:showLegendKey val="0"/>
          <c:showVal val="0"/>
          <c:showCatName val="0"/>
          <c:showSerName val="0"/>
          <c:showPercent val="0"/>
          <c:showBubbleSize val="0"/>
        </c:dLbls>
        <c:gapWidth val="150"/>
        <c:axId val="129490944"/>
        <c:axId val="129492480"/>
      </c:barChart>
      <c:catAx>
        <c:axId val="129490944"/>
        <c:scaling>
          <c:orientation val="minMax"/>
        </c:scaling>
        <c:delete val="0"/>
        <c:axPos val="b"/>
        <c:numFmt formatCode="General" sourceLinked="0"/>
        <c:majorTickMark val="out"/>
        <c:minorTickMark val="none"/>
        <c:tickLblPos val="nextTo"/>
        <c:crossAx val="129492480"/>
        <c:crosses val="autoZero"/>
        <c:auto val="1"/>
        <c:lblAlgn val="ctr"/>
        <c:lblOffset val="100"/>
        <c:noMultiLvlLbl val="0"/>
      </c:catAx>
      <c:valAx>
        <c:axId val="129492480"/>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129490944"/>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VTR!$AB$226</c:f>
              <c:strCache>
                <c:ptCount val="1"/>
                <c:pt idx="0">
                  <c:v>Total third pary debt</c:v>
                </c:pt>
              </c:strCache>
            </c:strRef>
          </c:tx>
          <c:spPr>
            <a:solidFill>
              <a:srgbClr val="000080"/>
            </a:solidFill>
            <a:ln w="25400">
              <a:noFill/>
            </a:ln>
          </c:spPr>
          <c:invertIfNegative val="0"/>
          <c:cat>
            <c:strRef>
              <c:f>VTR!$BY$217:$CD$217</c:f>
              <c:strCache>
                <c:ptCount val="6"/>
                <c:pt idx="0">
                  <c:v>Q4 13</c:v>
                </c:pt>
                <c:pt idx="1">
                  <c:v>Q1 14</c:v>
                </c:pt>
                <c:pt idx="2">
                  <c:v>Q2 14</c:v>
                </c:pt>
                <c:pt idx="3">
                  <c:v>Q3 14</c:v>
                </c:pt>
                <c:pt idx="4">
                  <c:v>Q4 14</c:v>
                </c:pt>
                <c:pt idx="5">
                  <c:v>Q1 15</c:v>
                </c:pt>
              </c:strCache>
            </c:strRef>
          </c:cat>
          <c:val>
            <c:numRef>
              <c:f>VTR!$BY$226:$CD$226</c:f>
              <c:numCache>
                <c:formatCode>#,##0.0;\(#,##0.0\)</c:formatCode>
                <c:ptCount val="6"/>
                <c:pt idx="0">
                  <c:v>59.9</c:v>
                </c:pt>
                <c:pt idx="1">
                  <c:v>769.6</c:v>
                </c:pt>
                <c:pt idx="2">
                  <c:v>774.5</c:v>
                </c:pt>
                <c:pt idx="3">
                  <c:v>838.1</c:v>
                </c:pt>
                <c:pt idx="4">
                  <c:v>850</c:v>
                </c:pt>
                <c:pt idx="5">
                  <c:v>875.59999999999991</c:v>
                </c:pt>
              </c:numCache>
            </c:numRef>
          </c:val>
          <c:extLst>
            <c:ext xmlns:c16="http://schemas.microsoft.com/office/drawing/2014/chart" uri="{C3380CC4-5D6E-409C-BE32-E72D297353CC}">
              <c16:uniqueId val="{00000000-AE41-4689-B056-76862E545642}"/>
            </c:ext>
          </c:extLst>
        </c:ser>
        <c:ser>
          <c:idx val="1"/>
          <c:order val="1"/>
          <c:tx>
            <c:strRef>
              <c:f>VTR!$AB$230</c:f>
              <c:strCache>
                <c:ptCount val="1"/>
                <c:pt idx="0">
                  <c:v>Total net debt</c:v>
                </c:pt>
              </c:strCache>
            </c:strRef>
          </c:tx>
          <c:spPr>
            <a:solidFill>
              <a:schemeClr val="tx2">
                <a:lumMod val="60000"/>
                <a:lumOff val="40000"/>
              </a:schemeClr>
            </a:solidFill>
          </c:spPr>
          <c:invertIfNegative val="0"/>
          <c:cat>
            <c:strRef>
              <c:f>VTR!$BY$217:$CD$217</c:f>
              <c:strCache>
                <c:ptCount val="6"/>
                <c:pt idx="0">
                  <c:v>Q4 13</c:v>
                </c:pt>
                <c:pt idx="1">
                  <c:v>Q1 14</c:v>
                </c:pt>
                <c:pt idx="2">
                  <c:v>Q2 14</c:v>
                </c:pt>
                <c:pt idx="3">
                  <c:v>Q3 14</c:v>
                </c:pt>
                <c:pt idx="4">
                  <c:v>Q4 14</c:v>
                </c:pt>
                <c:pt idx="5">
                  <c:v>Q1 15</c:v>
                </c:pt>
              </c:strCache>
            </c:strRef>
          </c:cat>
          <c:val>
            <c:numRef>
              <c:f>VTR!$BY$228:$CD$228</c:f>
              <c:numCache>
                <c:formatCode>#,##0.0;\(#,##0.0\)</c:formatCode>
                <c:ptCount val="6"/>
                <c:pt idx="0">
                  <c:v>-27.000000000000007</c:v>
                </c:pt>
                <c:pt idx="1">
                  <c:v>711.5</c:v>
                </c:pt>
                <c:pt idx="2">
                  <c:v>713.4</c:v>
                </c:pt>
                <c:pt idx="3">
                  <c:v>802.4</c:v>
                </c:pt>
                <c:pt idx="4">
                  <c:v>798.3</c:v>
                </c:pt>
                <c:pt idx="5">
                  <c:v>844.49999999999989</c:v>
                </c:pt>
              </c:numCache>
            </c:numRef>
          </c:val>
          <c:extLst>
            <c:ext xmlns:c16="http://schemas.microsoft.com/office/drawing/2014/chart" uri="{C3380CC4-5D6E-409C-BE32-E72D297353CC}">
              <c16:uniqueId val="{00000001-AE41-4689-B056-76862E545642}"/>
            </c:ext>
          </c:extLst>
        </c:ser>
        <c:dLbls>
          <c:showLegendKey val="0"/>
          <c:showVal val="0"/>
          <c:showCatName val="0"/>
          <c:showSerName val="0"/>
          <c:showPercent val="0"/>
          <c:showBubbleSize val="0"/>
        </c:dLbls>
        <c:gapWidth val="150"/>
        <c:axId val="129538304"/>
        <c:axId val="129544192"/>
      </c:barChart>
      <c:lineChart>
        <c:grouping val="standard"/>
        <c:varyColors val="0"/>
        <c:ser>
          <c:idx val="2"/>
          <c:order val="2"/>
          <c:tx>
            <c:strRef>
              <c:f>VTR!$AB$243</c:f>
              <c:strCache>
                <c:ptCount val="1"/>
                <c:pt idx="0">
                  <c:v>Senior secured debt net leverage</c:v>
                </c:pt>
              </c:strCache>
            </c:strRef>
          </c:tx>
          <c:marker>
            <c:symbol val="none"/>
          </c:marker>
          <c:cat>
            <c:strRef>
              <c:f>VTR!$BY$217:$CD$217</c:f>
              <c:strCache>
                <c:ptCount val="6"/>
                <c:pt idx="0">
                  <c:v>Q4 13</c:v>
                </c:pt>
                <c:pt idx="1">
                  <c:v>Q1 14</c:v>
                </c:pt>
                <c:pt idx="2">
                  <c:v>Q2 14</c:v>
                </c:pt>
                <c:pt idx="3">
                  <c:v>Q3 14</c:v>
                </c:pt>
                <c:pt idx="4">
                  <c:v>Q4 14</c:v>
                </c:pt>
                <c:pt idx="5">
                  <c:v>Q1 15</c:v>
                </c:pt>
              </c:strCache>
            </c:strRef>
          </c:cat>
          <c:val>
            <c:numRef>
              <c:f>VTR!$BY$243:$CD$243</c:f>
              <c:numCache>
                <c:formatCode>#,##0.0\X;\(#,##0.0\X\)</c:formatCode>
                <c:ptCount val="6"/>
                <c:pt idx="0">
                  <c:v>-0.15392984256329359</c:v>
                </c:pt>
                <c:pt idx="1">
                  <c:v>3.935187837936676</c:v>
                </c:pt>
                <c:pt idx="2">
                  <c:v>3.8312698037552071</c:v>
                </c:pt>
                <c:pt idx="3">
                  <c:v>4.1466717915064999</c:v>
                </c:pt>
                <c:pt idx="4">
                  <c:v>4.0135746606334841</c:v>
                </c:pt>
                <c:pt idx="5">
                  <c:v>4.2098703888334992</c:v>
                </c:pt>
              </c:numCache>
            </c:numRef>
          </c:val>
          <c:smooth val="0"/>
          <c:extLst>
            <c:ext xmlns:c16="http://schemas.microsoft.com/office/drawing/2014/chart" uri="{C3380CC4-5D6E-409C-BE32-E72D297353CC}">
              <c16:uniqueId val="{00000002-AE41-4689-B056-76862E545642}"/>
            </c:ext>
          </c:extLst>
        </c:ser>
        <c:ser>
          <c:idx val="3"/>
          <c:order val="3"/>
          <c:tx>
            <c:strRef>
              <c:f>VTR!$AB$245</c:f>
              <c:strCache>
                <c:ptCount val="1"/>
                <c:pt idx="0">
                  <c:v>Total net leverage</c:v>
                </c:pt>
              </c:strCache>
            </c:strRef>
          </c:tx>
          <c:spPr>
            <a:ln>
              <a:solidFill>
                <a:srgbClr val="C00000"/>
              </a:solidFill>
            </a:ln>
          </c:spPr>
          <c:marker>
            <c:symbol val="none"/>
          </c:marker>
          <c:cat>
            <c:strRef>
              <c:f>VTR!$BY$217:$CD$217</c:f>
              <c:strCache>
                <c:ptCount val="6"/>
                <c:pt idx="0">
                  <c:v>Q4 13</c:v>
                </c:pt>
                <c:pt idx="1">
                  <c:v>Q1 14</c:v>
                </c:pt>
                <c:pt idx="2">
                  <c:v>Q2 14</c:v>
                </c:pt>
                <c:pt idx="3">
                  <c:v>Q3 14</c:v>
                </c:pt>
                <c:pt idx="4">
                  <c:v>Q4 14</c:v>
                </c:pt>
                <c:pt idx="5">
                  <c:v>Q1 15</c:v>
                </c:pt>
              </c:strCache>
            </c:strRef>
          </c:cat>
          <c:val>
            <c:numRef>
              <c:f>VTR!$BY$244:$CD$244</c:f>
              <c:numCache>
                <c:formatCode>#,##0.0\X;\(#,##0.0\X\)</c:formatCode>
                <c:ptCount val="6"/>
                <c:pt idx="0">
                  <c:v>-0.15392984256329359</c:v>
                </c:pt>
                <c:pt idx="1">
                  <c:v>3.935187837936676</c:v>
                </c:pt>
                <c:pt idx="2">
                  <c:v>3.8312698037552071</c:v>
                </c:pt>
                <c:pt idx="3">
                  <c:v>4.1466717915064999</c:v>
                </c:pt>
                <c:pt idx="4">
                  <c:v>4.0135746606334841</c:v>
                </c:pt>
                <c:pt idx="5">
                  <c:v>4.2098703888334992</c:v>
                </c:pt>
              </c:numCache>
            </c:numRef>
          </c:val>
          <c:smooth val="0"/>
          <c:extLst>
            <c:ext xmlns:c16="http://schemas.microsoft.com/office/drawing/2014/chart" uri="{C3380CC4-5D6E-409C-BE32-E72D297353CC}">
              <c16:uniqueId val="{00000003-AE41-4689-B056-76862E545642}"/>
            </c:ext>
          </c:extLst>
        </c:ser>
        <c:dLbls>
          <c:showLegendKey val="0"/>
          <c:showVal val="0"/>
          <c:showCatName val="0"/>
          <c:showSerName val="0"/>
          <c:showPercent val="0"/>
          <c:showBubbleSize val="0"/>
        </c:dLbls>
        <c:marker val="1"/>
        <c:smooth val="0"/>
        <c:axId val="129547264"/>
        <c:axId val="129545728"/>
      </c:lineChart>
      <c:catAx>
        <c:axId val="129538304"/>
        <c:scaling>
          <c:orientation val="minMax"/>
        </c:scaling>
        <c:delete val="0"/>
        <c:axPos val="b"/>
        <c:numFmt formatCode="General" sourceLinked="0"/>
        <c:majorTickMark val="out"/>
        <c:minorTickMark val="none"/>
        <c:tickLblPos val="nextTo"/>
        <c:crossAx val="129544192"/>
        <c:crosses val="autoZero"/>
        <c:auto val="1"/>
        <c:lblAlgn val="ctr"/>
        <c:lblOffset val="100"/>
        <c:noMultiLvlLbl val="0"/>
      </c:catAx>
      <c:valAx>
        <c:axId val="129544192"/>
        <c:scaling>
          <c:orientation val="minMax"/>
        </c:scaling>
        <c:delete val="0"/>
        <c:axPos val="l"/>
        <c:majorGridlines>
          <c:spPr>
            <a:ln w="3175">
              <a:solidFill>
                <a:srgbClr val="C0C0C0"/>
              </a:solidFill>
              <a:prstDash val="solid"/>
            </a:ln>
          </c:spPr>
        </c:majorGridlines>
        <c:numFmt formatCode="#,##0.0;\(#,##0.0\)" sourceLinked="1"/>
        <c:majorTickMark val="out"/>
        <c:minorTickMark val="none"/>
        <c:tickLblPos val="nextTo"/>
        <c:crossAx val="129538304"/>
        <c:crosses val="autoZero"/>
        <c:crossBetween val="between"/>
      </c:valAx>
      <c:valAx>
        <c:axId val="129545728"/>
        <c:scaling>
          <c:orientation val="minMax"/>
        </c:scaling>
        <c:delete val="0"/>
        <c:axPos val="r"/>
        <c:numFmt formatCode="#,##0.0\X;\(#,##0.0\X\)" sourceLinked="1"/>
        <c:majorTickMark val="out"/>
        <c:minorTickMark val="none"/>
        <c:tickLblPos val="nextTo"/>
        <c:crossAx val="129547264"/>
        <c:crosses val="max"/>
        <c:crossBetween val="between"/>
      </c:valAx>
      <c:catAx>
        <c:axId val="129547264"/>
        <c:scaling>
          <c:orientation val="minMax"/>
        </c:scaling>
        <c:delete val="1"/>
        <c:axPos val="b"/>
        <c:numFmt formatCode="General" sourceLinked="1"/>
        <c:majorTickMark val="out"/>
        <c:minorTickMark val="none"/>
        <c:tickLblPos val="nextTo"/>
        <c:crossAx val="129545728"/>
        <c:crosses val="autoZero"/>
        <c:auto val="1"/>
        <c:lblAlgn val="ctr"/>
        <c:lblOffset val="100"/>
        <c:noMultiLvlLbl val="0"/>
      </c:catAx>
      <c:spPr>
        <a:noFill/>
        <a:ln w="25400">
          <a:noFill/>
        </a:ln>
      </c:spPr>
    </c:plotArea>
    <c:legend>
      <c:legendPos val="b"/>
      <c:layout>
        <c:manualLayout>
          <c:xMode val="edge"/>
          <c:yMode val="edge"/>
          <c:x val="5.5922118517990296E-2"/>
          <c:y val="0.87237575859514427"/>
          <c:w val="0.89476173255069968"/>
          <c:h val="0.10584558855357688"/>
        </c:manualLayout>
      </c:layout>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PR!$AB$242</c:f>
              <c:strCache>
                <c:ptCount val="1"/>
                <c:pt idx="0">
                  <c:v>3rd party debt</c:v>
                </c:pt>
              </c:strCache>
            </c:strRef>
          </c:tx>
          <c:spPr>
            <a:solidFill>
              <a:srgbClr val="000080"/>
            </a:solidFill>
            <a:ln w="25400">
              <a:noFill/>
            </a:ln>
          </c:spPr>
          <c:invertIfNegative val="0"/>
          <c:cat>
            <c:strRef>
              <c:f>PR!$BS$241:$CC$241</c:f>
              <c:strCache>
                <c:ptCount val="11"/>
                <c:pt idx="0">
                  <c:v>2015</c:v>
                </c:pt>
                <c:pt idx="1">
                  <c:v>2016</c:v>
                </c:pt>
                <c:pt idx="2">
                  <c:v>2017</c:v>
                </c:pt>
                <c:pt idx="3">
                  <c:v>2018</c:v>
                </c:pt>
                <c:pt idx="4">
                  <c:v>2019</c:v>
                </c:pt>
                <c:pt idx="5">
                  <c:v>&gt;2020</c:v>
                </c:pt>
                <c:pt idx="6">
                  <c:v>2021</c:v>
                </c:pt>
                <c:pt idx="7">
                  <c:v>2022</c:v>
                </c:pt>
                <c:pt idx="8">
                  <c:v>2023</c:v>
                </c:pt>
                <c:pt idx="9">
                  <c:v>2024</c:v>
                </c:pt>
                <c:pt idx="10">
                  <c:v>2025</c:v>
                </c:pt>
              </c:strCache>
            </c:strRef>
          </c:cat>
          <c:val>
            <c:numRef>
              <c:f>PR!$BS$242:$CC$242</c:f>
              <c:numCache>
                <c:formatCode>#,##0.0;\(#,##0.0\)</c:formatCode>
                <c:ptCount val="11"/>
                <c:pt idx="7">
                  <c:v>530</c:v>
                </c:pt>
                <c:pt idx="8">
                  <c:v>142</c:v>
                </c:pt>
              </c:numCache>
            </c:numRef>
          </c:val>
          <c:extLst>
            <c:ext xmlns:c16="http://schemas.microsoft.com/office/drawing/2014/chart" uri="{C3380CC4-5D6E-409C-BE32-E72D297353CC}">
              <c16:uniqueId val="{00000000-253A-4177-9931-3BC080CB2F9D}"/>
            </c:ext>
          </c:extLst>
        </c:ser>
        <c:ser>
          <c:idx val="1"/>
          <c:order val="1"/>
          <c:tx>
            <c:strRef>
              <c:f>PR!$AB$243</c:f>
              <c:strCache>
                <c:ptCount val="1"/>
                <c:pt idx="0">
                  <c:v>Related party debt</c:v>
                </c:pt>
              </c:strCache>
            </c:strRef>
          </c:tx>
          <c:spPr>
            <a:solidFill>
              <a:schemeClr val="tx2">
                <a:lumMod val="60000"/>
                <a:lumOff val="40000"/>
              </a:schemeClr>
            </a:solidFill>
            <a:ln w="25400">
              <a:noFill/>
            </a:ln>
          </c:spPr>
          <c:invertIfNegative val="0"/>
          <c:cat>
            <c:strRef>
              <c:f>PR!$BS$241:$CC$241</c:f>
              <c:strCache>
                <c:ptCount val="11"/>
                <c:pt idx="0">
                  <c:v>2015</c:v>
                </c:pt>
                <c:pt idx="1">
                  <c:v>2016</c:v>
                </c:pt>
                <c:pt idx="2">
                  <c:v>2017</c:v>
                </c:pt>
                <c:pt idx="3">
                  <c:v>2018</c:v>
                </c:pt>
                <c:pt idx="4">
                  <c:v>2019</c:v>
                </c:pt>
                <c:pt idx="5">
                  <c:v>&gt;2020</c:v>
                </c:pt>
                <c:pt idx="6">
                  <c:v>2021</c:v>
                </c:pt>
                <c:pt idx="7">
                  <c:v>2022</c:v>
                </c:pt>
                <c:pt idx="8">
                  <c:v>2023</c:v>
                </c:pt>
                <c:pt idx="9">
                  <c:v>2024</c:v>
                </c:pt>
                <c:pt idx="10">
                  <c:v>2025</c:v>
                </c:pt>
              </c:strCache>
            </c:strRef>
          </c:cat>
          <c:val>
            <c:numRef>
              <c:f>PR!$BS$243:$CC$243</c:f>
              <c:numCache>
                <c:formatCode>General</c:formatCode>
                <c:ptCount val="11"/>
                <c:pt idx="5" formatCode="#,##0.0;\(#,##0.0\)">
                  <c:v>16</c:v>
                </c:pt>
              </c:numCache>
            </c:numRef>
          </c:val>
          <c:extLst>
            <c:ext xmlns:c16="http://schemas.microsoft.com/office/drawing/2014/chart" uri="{C3380CC4-5D6E-409C-BE32-E72D297353CC}">
              <c16:uniqueId val="{00000001-253A-4177-9931-3BC080CB2F9D}"/>
            </c:ext>
          </c:extLst>
        </c:ser>
        <c:dLbls>
          <c:showLegendKey val="0"/>
          <c:showVal val="0"/>
          <c:showCatName val="0"/>
          <c:showSerName val="0"/>
          <c:showPercent val="0"/>
          <c:showBubbleSize val="0"/>
        </c:dLbls>
        <c:gapWidth val="150"/>
        <c:axId val="134836992"/>
        <c:axId val="134838528"/>
      </c:barChart>
      <c:catAx>
        <c:axId val="134836992"/>
        <c:scaling>
          <c:orientation val="minMax"/>
        </c:scaling>
        <c:delete val="0"/>
        <c:axPos val="b"/>
        <c:numFmt formatCode="General" sourceLinked="0"/>
        <c:majorTickMark val="out"/>
        <c:minorTickMark val="none"/>
        <c:tickLblPos val="nextTo"/>
        <c:crossAx val="134838528"/>
        <c:crosses val="autoZero"/>
        <c:auto val="1"/>
        <c:lblAlgn val="ctr"/>
        <c:lblOffset val="100"/>
        <c:noMultiLvlLbl val="0"/>
      </c:catAx>
      <c:valAx>
        <c:axId val="134838528"/>
        <c:scaling>
          <c:orientation val="minMax"/>
          <c:max val="700"/>
        </c:scaling>
        <c:delete val="0"/>
        <c:axPos val="l"/>
        <c:majorGridlines>
          <c:spPr>
            <a:ln w="3175">
              <a:solidFill>
                <a:srgbClr val="C0C0C0"/>
              </a:solidFill>
              <a:prstDash val="solid"/>
            </a:ln>
          </c:spPr>
        </c:majorGridlines>
        <c:numFmt formatCode="#,##0.0;\(#,##0.0\)" sourceLinked="1"/>
        <c:majorTickMark val="out"/>
        <c:minorTickMark val="none"/>
        <c:tickLblPos val="nextTo"/>
        <c:crossAx val="13483699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PR!$AB$223</c:f>
              <c:strCache>
                <c:ptCount val="1"/>
                <c:pt idx="0">
                  <c:v>Total gross debt</c:v>
                </c:pt>
              </c:strCache>
            </c:strRef>
          </c:tx>
          <c:spPr>
            <a:solidFill>
              <a:schemeClr val="tx2">
                <a:lumMod val="60000"/>
                <a:lumOff val="40000"/>
              </a:schemeClr>
            </a:solidFill>
            <a:ln w="25400">
              <a:noFill/>
            </a:ln>
          </c:spPr>
          <c:invertIfNegative val="0"/>
          <c:cat>
            <c:strRef>
              <c:f>PR!$BY$211:$CD$211</c:f>
              <c:strCache>
                <c:ptCount val="6"/>
                <c:pt idx="0">
                  <c:v>Q4 13</c:v>
                </c:pt>
                <c:pt idx="1">
                  <c:v>Q1 14</c:v>
                </c:pt>
                <c:pt idx="2">
                  <c:v>Q2 14</c:v>
                </c:pt>
                <c:pt idx="3">
                  <c:v>Q3 14</c:v>
                </c:pt>
                <c:pt idx="4">
                  <c:v>Q4 14</c:v>
                </c:pt>
                <c:pt idx="5">
                  <c:v>Q1 15</c:v>
                </c:pt>
              </c:strCache>
            </c:strRef>
          </c:cat>
          <c:val>
            <c:numRef>
              <c:f>PR!$BY$218:$CD$218</c:f>
              <c:numCache>
                <c:formatCode>#,##0.0;\(#,##0.0\)</c:formatCode>
                <c:ptCount val="6"/>
                <c:pt idx="0">
                  <c:v>666.6</c:v>
                </c:pt>
                <c:pt idx="1">
                  <c:v>659</c:v>
                </c:pt>
                <c:pt idx="2">
                  <c:v>653.59999999999991</c:v>
                </c:pt>
                <c:pt idx="3">
                  <c:v>673.5</c:v>
                </c:pt>
                <c:pt idx="4">
                  <c:v>673</c:v>
                </c:pt>
                <c:pt idx="5">
                  <c:v>672.9</c:v>
                </c:pt>
              </c:numCache>
            </c:numRef>
          </c:val>
          <c:extLst>
            <c:ext xmlns:c16="http://schemas.microsoft.com/office/drawing/2014/chart" uri="{C3380CC4-5D6E-409C-BE32-E72D297353CC}">
              <c16:uniqueId val="{00000000-4860-4778-B8CB-547DCE1B1C82}"/>
            </c:ext>
          </c:extLst>
        </c:ser>
        <c:ser>
          <c:idx val="0"/>
          <c:order val="1"/>
          <c:tx>
            <c:strRef>
              <c:f>PR!$AB$222</c:f>
              <c:strCache>
                <c:ptCount val="1"/>
                <c:pt idx="0">
                  <c:v>Total net debt</c:v>
                </c:pt>
              </c:strCache>
            </c:strRef>
          </c:tx>
          <c:spPr>
            <a:solidFill>
              <a:srgbClr val="000080"/>
            </a:solidFill>
            <a:ln w="25400">
              <a:noFill/>
            </a:ln>
          </c:spPr>
          <c:invertIfNegative val="0"/>
          <c:cat>
            <c:strRef>
              <c:f>PR!$BY$211:$CD$211</c:f>
              <c:strCache>
                <c:ptCount val="6"/>
                <c:pt idx="0">
                  <c:v>Q4 13</c:v>
                </c:pt>
                <c:pt idx="1">
                  <c:v>Q1 14</c:v>
                </c:pt>
                <c:pt idx="2">
                  <c:v>Q2 14</c:v>
                </c:pt>
                <c:pt idx="3">
                  <c:v>Q3 14</c:v>
                </c:pt>
                <c:pt idx="4">
                  <c:v>Q4 14</c:v>
                </c:pt>
                <c:pt idx="5">
                  <c:v>Q1 15</c:v>
                </c:pt>
              </c:strCache>
            </c:strRef>
          </c:cat>
          <c:val>
            <c:numRef>
              <c:f>PR!$BY$220:$CD$220</c:f>
              <c:numCache>
                <c:formatCode>#,##0.0;\(#,##0.0\)</c:formatCode>
                <c:ptCount val="6"/>
                <c:pt idx="0">
                  <c:v>657.1</c:v>
                </c:pt>
                <c:pt idx="1">
                  <c:v>650.1</c:v>
                </c:pt>
                <c:pt idx="2">
                  <c:v>652.09999999999991</c:v>
                </c:pt>
                <c:pt idx="3">
                  <c:v>662</c:v>
                </c:pt>
                <c:pt idx="4">
                  <c:v>651.1</c:v>
                </c:pt>
                <c:pt idx="5">
                  <c:v>642.69999999999993</c:v>
                </c:pt>
              </c:numCache>
            </c:numRef>
          </c:val>
          <c:extLst>
            <c:ext xmlns:c16="http://schemas.microsoft.com/office/drawing/2014/chart" uri="{C3380CC4-5D6E-409C-BE32-E72D297353CC}">
              <c16:uniqueId val="{00000001-4860-4778-B8CB-547DCE1B1C82}"/>
            </c:ext>
          </c:extLst>
        </c:ser>
        <c:dLbls>
          <c:showLegendKey val="0"/>
          <c:showVal val="0"/>
          <c:showCatName val="0"/>
          <c:showSerName val="0"/>
          <c:showPercent val="0"/>
          <c:showBubbleSize val="0"/>
        </c:dLbls>
        <c:gapWidth val="150"/>
        <c:axId val="130300928"/>
        <c:axId val="130306816"/>
      </c:barChart>
      <c:lineChart>
        <c:grouping val="standard"/>
        <c:varyColors val="0"/>
        <c:ser>
          <c:idx val="2"/>
          <c:order val="2"/>
          <c:tx>
            <c:strRef>
              <c:f>PR!$AB$235</c:f>
              <c:strCache>
                <c:ptCount val="1"/>
                <c:pt idx="0">
                  <c:v>Senior secured debt net leverage</c:v>
                </c:pt>
              </c:strCache>
            </c:strRef>
          </c:tx>
          <c:marker>
            <c:symbol val="none"/>
          </c:marker>
          <c:cat>
            <c:strRef>
              <c:f>PR!$BY$211:$CB$211</c:f>
              <c:strCache>
                <c:ptCount val="4"/>
                <c:pt idx="0">
                  <c:v>Q4 13</c:v>
                </c:pt>
                <c:pt idx="1">
                  <c:v>Q1 14</c:v>
                </c:pt>
                <c:pt idx="2">
                  <c:v>Q2 14</c:v>
                </c:pt>
                <c:pt idx="3">
                  <c:v>Q3 14</c:v>
                </c:pt>
              </c:strCache>
            </c:strRef>
          </c:cat>
          <c:val>
            <c:numRef>
              <c:f>PR!$BY$235:$CD$235</c:f>
              <c:numCache>
                <c:formatCode>#,##0.0\X;\(#,##0.0\X\)</c:formatCode>
                <c:ptCount val="6"/>
                <c:pt idx="0">
                  <c:v>6.1239515377446407</c:v>
                </c:pt>
                <c:pt idx="1">
                  <c:v>5.7530973451327432</c:v>
                </c:pt>
                <c:pt idx="2">
                  <c:v>5.3276143790849657</c:v>
                </c:pt>
                <c:pt idx="3">
                  <c:v>5.1678376268540198</c:v>
                </c:pt>
                <c:pt idx="4">
                  <c:v>5.062986003110419</c:v>
                </c:pt>
                <c:pt idx="5">
                  <c:v>4.8432554634513929</c:v>
                </c:pt>
              </c:numCache>
            </c:numRef>
          </c:val>
          <c:smooth val="0"/>
          <c:extLst>
            <c:ext xmlns:c16="http://schemas.microsoft.com/office/drawing/2014/chart" uri="{C3380CC4-5D6E-409C-BE32-E72D297353CC}">
              <c16:uniqueId val="{00000002-4860-4778-B8CB-547DCE1B1C82}"/>
            </c:ext>
          </c:extLst>
        </c:ser>
        <c:ser>
          <c:idx val="3"/>
          <c:order val="3"/>
          <c:tx>
            <c:strRef>
              <c:f>PR!$AB$237</c:f>
              <c:strCache>
                <c:ptCount val="1"/>
                <c:pt idx="0">
                  <c:v>Total net leverage</c:v>
                </c:pt>
              </c:strCache>
            </c:strRef>
          </c:tx>
          <c:spPr>
            <a:ln>
              <a:solidFill>
                <a:srgbClr val="C00000"/>
              </a:solidFill>
            </a:ln>
          </c:spPr>
          <c:marker>
            <c:symbol val="none"/>
          </c:marker>
          <c:cat>
            <c:strRef>
              <c:f>PR!$BY$211:$CB$211</c:f>
              <c:strCache>
                <c:ptCount val="4"/>
                <c:pt idx="0">
                  <c:v>Q4 13</c:v>
                </c:pt>
                <c:pt idx="1">
                  <c:v>Q1 14</c:v>
                </c:pt>
                <c:pt idx="2">
                  <c:v>Q2 14</c:v>
                </c:pt>
                <c:pt idx="3">
                  <c:v>Q3 14</c:v>
                </c:pt>
              </c:strCache>
            </c:strRef>
          </c:cat>
          <c:val>
            <c:numRef>
              <c:f>PR!$BY$236:$CD$236</c:f>
              <c:numCache>
                <c:formatCode>#,##0.0\X;\(#,##0.0\X\)</c:formatCode>
                <c:ptCount val="6"/>
                <c:pt idx="0">
                  <c:v>6.1239515377446407</c:v>
                </c:pt>
                <c:pt idx="1">
                  <c:v>5.7530973451327432</c:v>
                </c:pt>
                <c:pt idx="2">
                  <c:v>5.3276143790849657</c:v>
                </c:pt>
                <c:pt idx="3">
                  <c:v>5.1678376268540198</c:v>
                </c:pt>
                <c:pt idx="4">
                  <c:v>5.062986003110419</c:v>
                </c:pt>
                <c:pt idx="5">
                  <c:v>4.8432554634513929</c:v>
                </c:pt>
              </c:numCache>
            </c:numRef>
          </c:val>
          <c:smooth val="0"/>
          <c:extLst>
            <c:ext xmlns:c16="http://schemas.microsoft.com/office/drawing/2014/chart" uri="{C3380CC4-5D6E-409C-BE32-E72D297353CC}">
              <c16:uniqueId val="{00000003-4860-4778-B8CB-547DCE1B1C82}"/>
            </c:ext>
          </c:extLst>
        </c:ser>
        <c:dLbls>
          <c:showLegendKey val="0"/>
          <c:showVal val="0"/>
          <c:showCatName val="0"/>
          <c:showSerName val="0"/>
          <c:showPercent val="0"/>
          <c:showBubbleSize val="0"/>
        </c:dLbls>
        <c:marker val="1"/>
        <c:smooth val="0"/>
        <c:axId val="130310144"/>
        <c:axId val="130308352"/>
      </c:lineChart>
      <c:catAx>
        <c:axId val="130300928"/>
        <c:scaling>
          <c:orientation val="minMax"/>
        </c:scaling>
        <c:delete val="0"/>
        <c:axPos val="b"/>
        <c:numFmt formatCode="General" sourceLinked="0"/>
        <c:majorTickMark val="out"/>
        <c:minorTickMark val="none"/>
        <c:tickLblPos val="nextTo"/>
        <c:crossAx val="130306816"/>
        <c:crosses val="autoZero"/>
        <c:auto val="1"/>
        <c:lblAlgn val="ctr"/>
        <c:lblOffset val="100"/>
        <c:noMultiLvlLbl val="0"/>
      </c:catAx>
      <c:valAx>
        <c:axId val="130306816"/>
        <c:scaling>
          <c:orientation val="minMax"/>
        </c:scaling>
        <c:delete val="0"/>
        <c:axPos val="l"/>
        <c:majorGridlines>
          <c:spPr>
            <a:ln w="3175">
              <a:solidFill>
                <a:srgbClr val="C0C0C0"/>
              </a:solidFill>
              <a:prstDash val="solid"/>
            </a:ln>
          </c:spPr>
        </c:majorGridlines>
        <c:numFmt formatCode="#,##0.0;\(#,##0.0\)" sourceLinked="1"/>
        <c:majorTickMark val="out"/>
        <c:minorTickMark val="none"/>
        <c:tickLblPos val="nextTo"/>
        <c:crossAx val="130300928"/>
        <c:crosses val="autoZero"/>
        <c:crossBetween val="between"/>
      </c:valAx>
      <c:valAx>
        <c:axId val="130308352"/>
        <c:scaling>
          <c:orientation val="minMax"/>
          <c:max val="7"/>
          <c:min val="4"/>
        </c:scaling>
        <c:delete val="0"/>
        <c:axPos val="r"/>
        <c:numFmt formatCode="#,##0.0\X;\(#,##0.0\X\)" sourceLinked="1"/>
        <c:majorTickMark val="out"/>
        <c:minorTickMark val="none"/>
        <c:tickLblPos val="nextTo"/>
        <c:crossAx val="130310144"/>
        <c:crosses val="max"/>
        <c:crossBetween val="between"/>
      </c:valAx>
      <c:catAx>
        <c:axId val="130310144"/>
        <c:scaling>
          <c:orientation val="minMax"/>
        </c:scaling>
        <c:delete val="1"/>
        <c:axPos val="b"/>
        <c:numFmt formatCode="General" sourceLinked="1"/>
        <c:majorTickMark val="out"/>
        <c:minorTickMark val="none"/>
        <c:tickLblPos val="nextTo"/>
        <c:crossAx val="130308352"/>
        <c:crosses val="autoZero"/>
        <c:auto val="1"/>
        <c:lblAlgn val="ctr"/>
        <c:lblOffset val="100"/>
        <c:noMultiLvlLbl val="0"/>
      </c:catAx>
      <c:spPr>
        <a:noFill/>
        <a:ln w="25400">
          <a:noFill/>
        </a:ln>
      </c:spPr>
    </c:plotArea>
    <c:legend>
      <c:legendPos val="b"/>
      <c:layout>
        <c:manualLayout>
          <c:xMode val="edge"/>
          <c:yMode val="edge"/>
          <c:x val="4.888092496497657E-2"/>
          <c:y val="0.85237803256308164"/>
          <c:w val="0.90468276416172644"/>
          <c:h val="0.12266313967641305"/>
        </c:manualLayout>
      </c:layout>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PR!$AB$289</c:f>
              <c:strCache>
                <c:ptCount val="1"/>
                <c:pt idx="0">
                  <c:v>LTM FCF</c:v>
                </c:pt>
              </c:strCache>
            </c:strRef>
          </c:tx>
          <c:spPr>
            <a:solidFill>
              <a:srgbClr val="000080"/>
            </a:solidFill>
            <a:ln w="25400">
              <a:noFill/>
            </a:ln>
          </c:spPr>
          <c:invertIfNegative val="0"/>
          <c:cat>
            <c:strRef>
              <c:f>PR!$BY$287:$CD$287</c:f>
              <c:strCache>
                <c:ptCount val="6"/>
                <c:pt idx="0">
                  <c:v>Q4 13</c:v>
                </c:pt>
                <c:pt idx="1">
                  <c:v>Q1 14</c:v>
                </c:pt>
                <c:pt idx="2">
                  <c:v>Q2 14</c:v>
                </c:pt>
                <c:pt idx="3">
                  <c:v>Q3 14</c:v>
                </c:pt>
                <c:pt idx="4">
                  <c:v>Q4 14</c:v>
                </c:pt>
                <c:pt idx="5">
                  <c:v>Q1 15</c:v>
                </c:pt>
              </c:strCache>
            </c:strRef>
          </c:cat>
          <c:val>
            <c:numRef>
              <c:f>PR!$BY$289:$CD$289</c:f>
              <c:numCache>
                <c:formatCode>#,##0;\(#,##0\)</c:formatCode>
                <c:ptCount val="6"/>
                <c:pt idx="0">
                  <c:v>-24.999999999999986</c:v>
                </c:pt>
                <c:pt idx="1">
                  <c:v>-15.699999999999985</c:v>
                </c:pt>
                <c:pt idx="2">
                  <c:v>-24.699999999999989</c:v>
                </c:pt>
                <c:pt idx="3">
                  <c:v>-0.99999999999999112</c:v>
                </c:pt>
                <c:pt idx="4">
                  <c:v>27.900000000000016</c:v>
                </c:pt>
                <c:pt idx="5">
                  <c:v>30.100000000000016</c:v>
                </c:pt>
              </c:numCache>
            </c:numRef>
          </c:val>
          <c:extLst>
            <c:ext xmlns:c16="http://schemas.microsoft.com/office/drawing/2014/chart" uri="{C3380CC4-5D6E-409C-BE32-E72D297353CC}">
              <c16:uniqueId val="{00000000-5C6D-4DF1-8F21-7FB756080493}"/>
            </c:ext>
          </c:extLst>
        </c:ser>
        <c:dLbls>
          <c:showLegendKey val="0"/>
          <c:showVal val="0"/>
          <c:showCatName val="0"/>
          <c:showSerName val="0"/>
          <c:showPercent val="0"/>
          <c:showBubbleSize val="0"/>
        </c:dLbls>
        <c:gapWidth val="150"/>
        <c:axId val="130342912"/>
        <c:axId val="130344448"/>
      </c:barChart>
      <c:catAx>
        <c:axId val="130342912"/>
        <c:scaling>
          <c:orientation val="minMax"/>
        </c:scaling>
        <c:delete val="0"/>
        <c:axPos val="b"/>
        <c:numFmt formatCode="General" sourceLinked="0"/>
        <c:majorTickMark val="out"/>
        <c:minorTickMark val="none"/>
        <c:tickLblPos val="nextTo"/>
        <c:crossAx val="130344448"/>
        <c:crosses val="autoZero"/>
        <c:auto val="1"/>
        <c:lblAlgn val="ctr"/>
        <c:lblOffset val="100"/>
        <c:noMultiLvlLbl val="0"/>
      </c:catAx>
      <c:valAx>
        <c:axId val="130344448"/>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crossAx val="130342912"/>
        <c:crosses val="autoZero"/>
        <c:crossBetween val="between"/>
      </c:valAx>
      <c:spPr>
        <a:noFill/>
        <a:ln w="25400">
          <a:noFill/>
        </a:ln>
      </c:spPr>
    </c:plotArea>
    <c:legend>
      <c:legendPos val="b"/>
      <c:overlay val="0"/>
      <c:spPr>
        <a:ln w="25400">
          <a:noFill/>
        </a:ln>
      </c:spPr>
    </c:legend>
    <c:plotVisOnly val="1"/>
    <c:dispBlanksAs val="gap"/>
    <c:showDLblsOverMax val="0"/>
  </c:chart>
  <c:spPr>
    <a:ln w="25400">
      <a:noFill/>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CWC!A1"/><Relationship Id="rId3" Type="http://schemas.openxmlformats.org/officeDocument/2006/relationships/hyperlink" Target="#Master!A1"/><Relationship Id="rId7" Type="http://schemas.openxmlformats.org/officeDocument/2006/relationships/hyperlink" Target="#'Puerto Rico'!A88"/><Relationship Id="rId2" Type="http://schemas.openxmlformats.org/officeDocument/2006/relationships/image" Target="../media/image1.png"/><Relationship Id="rId1" Type="http://schemas.openxmlformats.org/officeDocument/2006/relationships/hyperlink" Target="http://www.newstreetresearch.com/" TargetMode="External"/><Relationship Id="rId6" Type="http://schemas.openxmlformats.org/officeDocument/2006/relationships/hyperlink" Target="#Chile!A113"/><Relationship Id="rId5" Type="http://schemas.openxmlformats.org/officeDocument/2006/relationships/hyperlink" Target="#Valuation!A1"/><Relationship Id="rId4" Type="http://schemas.openxmlformats.org/officeDocument/2006/relationships/hyperlink" Target="#'New quarts'!A1"/></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50.xml"/><Relationship Id="rId21" Type="http://schemas.openxmlformats.org/officeDocument/2006/relationships/chart" Target="../charts/chart45.xml"/><Relationship Id="rId42" Type="http://schemas.openxmlformats.org/officeDocument/2006/relationships/chart" Target="../charts/chart66.xml"/><Relationship Id="rId47" Type="http://schemas.openxmlformats.org/officeDocument/2006/relationships/chart" Target="../charts/chart71.xml"/><Relationship Id="rId63" Type="http://schemas.openxmlformats.org/officeDocument/2006/relationships/chart" Target="../charts/chart87.xml"/><Relationship Id="rId68" Type="http://schemas.openxmlformats.org/officeDocument/2006/relationships/chart" Target="../charts/chart91.xml"/><Relationship Id="rId84" Type="http://schemas.openxmlformats.org/officeDocument/2006/relationships/chart" Target="../charts/chart107.xml"/><Relationship Id="rId16" Type="http://schemas.openxmlformats.org/officeDocument/2006/relationships/chart" Target="../charts/chart40.xml"/><Relationship Id="rId11" Type="http://schemas.openxmlformats.org/officeDocument/2006/relationships/chart" Target="../charts/chart35.xml"/><Relationship Id="rId32" Type="http://schemas.openxmlformats.org/officeDocument/2006/relationships/chart" Target="../charts/chart56.xml"/><Relationship Id="rId37" Type="http://schemas.openxmlformats.org/officeDocument/2006/relationships/chart" Target="../charts/chart61.xml"/><Relationship Id="rId53" Type="http://schemas.openxmlformats.org/officeDocument/2006/relationships/chart" Target="../charts/chart77.xml"/><Relationship Id="rId58" Type="http://schemas.openxmlformats.org/officeDocument/2006/relationships/chart" Target="../charts/chart82.xml"/><Relationship Id="rId74" Type="http://schemas.openxmlformats.org/officeDocument/2006/relationships/chart" Target="../charts/chart97.xml"/><Relationship Id="rId79" Type="http://schemas.openxmlformats.org/officeDocument/2006/relationships/chart" Target="../charts/chart102.xml"/><Relationship Id="rId5" Type="http://schemas.openxmlformats.org/officeDocument/2006/relationships/chart" Target="../charts/chart29.xml"/><Relationship Id="rId19" Type="http://schemas.openxmlformats.org/officeDocument/2006/relationships/chart" Target="../charts/chart4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chart" Target="../charts/chart51.xml"/><Relationship Id="rId30" Type="http://schemas.openxmlformats.org/officeDocument/2006/relationships/chart" Target="../charts/chart54.xml"/><Relationship Id="rId35" Type="http://schemas.openxmlformats.org/officeDocument/2006/relationships/chart" Target="../charts/chart59.xml"/><Relationship Id="rId43" Type="http://schemas.openxmlformats.org/officeDocument/2006/relationships/chart" Target="../charts/chart67.xml"/><Relationship Id="rId48" Type="http://schemas.openxmlformats.org/officeDocument/2006/relationships/chart" Target="../charts/chart72.xml"/><Relationship Id="rId56" Type="http://schemas.openxmlformats.org/officeDocument/2006/relationships/chart" Target="../charts/chart80.xml"/><Relationship Id="rId64" Type="http://schemas.openxmlformats.org/officeDocument/2006/relationships/chart" Target="../charts/chart88.xml"/><Relationship Id="rId69" Type="http://schemas.openxmlformats.org/officeDocument/2006/relationships/chart" Target="../charts/chart92.xml"/><Relationship Id="rId77" Type="http://schemas.openxmlformats.org/officeDocument/2006/relationships/chart" Target="../charts/chart100.xml"/><Relationship Id="rId8" Type="http://schemas.openxmlformats.org/officeDocument/2006/relationships/chart" Target="../charts/chart32.xml"/><Relationship Id="rId51" Type="http://schemas.openxmlformats.org/officeDocument/2006/relationships/chart" Target="../charts/chart75.xml"/><Relationship Id="rId72" Type="http://schemas.openxmlformats.org/officeDocument/2006/relationships/chart" Target="../charts/chart95.xml"/><Relationship Id="rId80" Type="http://schemas.openxmlformats.org/officeDocument/2006/relationships/chart" Target="../charts/chart103.xml"/><Relationship Id="rId85" Type="http://schemas.openxmlformats.org/officeDocument/2006/relationships/chart" Target="../charts/chart108.xml"/><Relationship Id="rId3" Type="http://schemas.openxmlformats.org/officeDocument/2006/relationships/chart" Target="../charts/chart27.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chart" Target="../charts/chart49.xml"/><Relationship Id="rId33" Type="http://schemas.openxmlformats.org/officeDocument/2006/relationships/chart" Target="../charts/chart57.xml"/><Relationship Id="rId38" Type="http://schemas.openxmlformats.org/officeDocument/2006/relationships/chart" Target="../charts/chart62.xml"/><Relationship Id="rId46" Type="http://schemas.openxmlformats.org/officeDocument/2006/relationships/chart" Target="../charts/chart70.xml"/><Relationship Id="rId59" Type="http://schemas.openxmlformats.org/officeDocument/2006/relationships/chart" Target="../charts/chart83.xml"/><Relationship Id="rId67" Type="http://schemas.openxmlformats.org/officeDocument/2006/relationships/image" Target="../media/image3.png"/><Relationship Id="rId20" Type="http://schemas.openxmlformats.org/officeDocument/2006/relationships/chart" Target="../charts/chart44.xml"/><Relationship Id="rId41" Type="http://schemas.openxmlformats.org/officeDocument/2006/relationships/chart" Target="../charts/chart65.xml"/><Relationship Id="rId54" Type="http://schemas.openxmlformats.org/officeDocument/2006/relationships/chart" Target="../charts/chart78.xml"/><Relationship Id="rId62" Type="http://schemas.openxmlformats.org/officeDocument/2006/relationships/chart" Target="../charts/chart86.xml"/><Relationship Id="rId70" Type="http://schemas.openxmlformats.org/officeDocument/2006/relationships/chart" Target="../charts/chart93.xml"/><Relationship Id="rId75" Type="http://schemas.openxmlformats.org/officeDocument/2006/relationships/chart" Target="../charts/chart98.xml"/><Relationship Id="rId83" Type="http://schemas.openxmlformats.org/officeDocument/2006/relationships/chart" Target="../charts/chart106.xml"/><Relationship Id="rId1" Type="http://schemas.openxmlformats.org/officeDocument/2006/relationships/chart" Target="../charts/chart25.xml"/><Relationship Id="rId6" Type="http://schemas.openxmlformats.org/officeDocument/2006/relationships/chart" Target="../charts/chart30.xml"/><Relationship Id="rId15" Type="http://schemas.openxmlformats.org/officeDocument/2006/relationships/chart" Target="../charts/chart39.xml"/><Relationship Id="rId23" Type="http://schemas.openxmlformats.org/officeDocument/2006/relationships/chart" Target="../charts/chart47.xml"/><Relationship Id="rId28" Type="http://schemas.openxmlformats.org/officeDocument/2006/relationships/chart" Target="../charts/chart52.xml"/><Relationship Id="rId36" Type="http://schemas.openxmlformats.org/officeDocument/2006/relationships/chart" Target="../charts/chart60.xml"/><Relationship Id="rId49" Type="http://schemas.openxmlformats.org/officeDocument/2006/relationships/chart" Target="../charts/chart73.xml"/><Relationship Id="rId57" Type="http://schemas.openxmlformats.org/officeDocument/2006/relationships/chart" Target="../charts/chart81.xml"/><Relationship Id="rId10" Type="http://schemas.openxmlformats.org/officeDocument/2006/relationships/chart" Target="../charts/chart34.xml"/><Relationship Id="rId31" Type="http://schemas.openxmlformats.org/officeDocument/2006/relationships/chart" Target="../charts/chart55.xml"/><Relationship Id="rId44" Type="http://schemas.openxmlformats.org/officeDocument/2006/relationships/chart" Target="../charts/chart68.xml"/><Relationship Id="rId52" Type="http://schemas.openxmlformats.org/officeDocument/2006/relationships/chart" Target="../charts/chart76.xml"/><Relationship Id="rId60" Type="http://schemas.openxmlformats.org/officeDocument/2006/relationships/chart" Target="../charts/chart84.xml"/><Relationship Id="rId65" Type="http://schemas.openxmlformats.org/officeDocument/2006/relationships/chart" Target="../charts/chart89.xml"/><Relationship Id="rId73" Type="http://schemas.openxmlformats.org/officeDocument/2006/relationships/chart" Target="../charts/chart96.xml"/><Relationship Id="rId78" Type="http://schemas.openxmlformats.org/officeDocument/2006/relationships/chart" Target="../charts/chart101.xml"/><Relationship Id="rId81" Type="http://schemas.openxmlformats.org/officeDocument/2006/relationships/chart" Target="../charts/chart104.xml"/><Relationship Id="rId86" Type="http://schemas.openxmlformats.org/officeDocument/2006/relationships/chart" Target="../charts/chart109.xml"/><Relationship Id="rId4" Type="http://schemas.openxmlformats.org/officeDocument/2006/relationships/chart" Target="../charts/chart28.xml"/><Relationship Id="rId9" Type="http://schemas.openxmlformats.org/officeDocument/2006/relationships/chart" Target="../charts/chart33.xml"/><Relationship Id="rId13" Type="http://schemas.openxmlformats.org/officeDocument/2006/relationships/chart" Target="../charts/chart37.xml"/><Relationship Id="rId18" Type="http://schemas.openxmlformats.org/officeDocument/2006/relationships/chart" Target="../charts/chart42.xml"/><Relationship Id="rId39" Type="http://schemas.openxmlformats.org/officeDocument/2006/relationships/chart" Target="../charts/chart63.xml"/><Relationship Id="rId34" Type="http://schemas.openxmlformats.org/officeDocument/2006/relationships/chart" Target="../charts/chart58.xml"/><Relationship Id="rId50" Type="http://schemas.openxmlformats.org/officeDocument/2006/relationships/chart" Target="../charts/chart74.xml"/><Relationship Id="rId55" Type="http://schemas.openxmlformats.org/officeDocument/2006/relationships/chart" Target="../charts/chart79.xml"/><Relationship Id="rId76" Type="http://schemas.openxmlformats.org/officeDocument/2006/relationships/chart" Target="../charts/chart99.xml"/><Relationship Id="rId7" Type="http://schemas.openxmlformats.org/officeDocument/2006/relationships/chart" Target="../charts/chart31.xml"/><Relationship Id="rId71" Type="http://schemas.openxmlformats.org/officeDocument/2006/relationships/chart" Target="../charts/chart94.xml"/><Relationship Id="rId2" Type="http://schemas.openxmlformats.org/officeDocument/2006/relationships/chart" Target="../charts/chart26.xml"/><Relationship Id="rId29" Type="http://schemas.openxmlformats.org/officeDocument/2006/relationships/chart" Target="../charts/chart53.xml"/><Relationship Id="rId24" Type="http://schemas.openxmlformats.org/officeDocument/2006/relationships/chart" Target="../charts/chart48.xml"/><Relationship Id="rId40" Type="http://schemas.openxmlformats.org/officeDocument/2006/relationships/chart" Target="../charts/chart64.xml"/><Relationship Id="rId45" Type="http://schemas.openxmlformats.org/officeDocument/2006/relationships/chart" Target="../charts/chart69.xml"/><Relationship Id="rId66" Type="http://schemas.openxmlformats.org/officeDocument/2006/relationships/chart" Target="../charts/chart90.xml"/><Relationship Id="rId87" Type="http://schemas.openxmlformats.org/officeDocument/2006/relationships/chart" Target="../charts/chart110.xml"/><Relationship Id="rId61" Type="http://schemas.openxmlformats.org/officeDocument/2006/relationships/chart" Target="../charts/chart85.xml"/><Relationship Id="rId82" Type="http://schemas.openxmlformats.org/officeDocument/2006/relationships/chart" Target="../charts/chart10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chart" Target="../charts/chart113.xml"/><Relationship Id="rId4" Type="http://schemas.openxmlformats.org/officeDocument/2006/relationships/chart" Target="../charts/chart1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17.xml"/><Relationship Id="rId1" Type="http://schemas.openxmlformats.org/officeDocument/2006/relationships/chart" Target="../charts/chart1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0.xml"/><Relationship Id="rId2" Type="http://schemas.openxmlformats.org/officeDocument/2006/relationships/chart" Target="../charts/chart119.xml"/><Relationship Id="rId1" Type="http://schemas.openxmlformats.org/officeDocument/2006/relationships/chart" Target="../charts/chart118.xml"/><Relationship Id="rId5" Type="http://schemas.openxmlformats.org/officeDocument/2006/relationships/chart" Target="../charts/chart122.xml"/><Relationship Id="rId4" Type="http://schemas.openxmlformats.org/officeDocument/2006/relationships/chart" Target="../charts/chart12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25.xml"/><Relationship Id="rId2" Type="http://schemas.openxmlformats.org/officeDocument/2006/relationships/chart" Target="../charts/chart124.xml"/><Relationship Id="rId1" Type="http://schemas.openxmlformats.org/officeDocument/2006/relationships/chart" Target="../charts/chart123.xml"/><Relationship Id="rId5" Type="http://schemas.openxmlformats.org/officeDocument/2006/relationships/chart" Target="../charts/chart127.xml"/><Relationship Id="rId4" Type="http://schemas.openxmlformats.org/officeDocument/2006/relationships/chart" Target="../charts/chart126.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35.xml"/><Relationship Id="rId3" Type="http://schemas.openxmlformats.org/officeDocument/2006/relationships/chart" Target="../charts/chart130.xml"/><Relationship Id="rId7" Type="http://schemas.openxmlformats.org/officeDocument/2006/relationships/chart" Target="../charts/chart134.xml"/><Relationship Id="rId2" Type="http://schemas.openxmlformats.org/officeDocument/2006/relationships/chart" Target="../charts/chart129.xml"/><Relationship Id="rId1" Type="http://schemas.openxmlformats.org/officeDocument/2006/relationships/chart" Target="../charts/chart128.xml"/><Relationship Id="rId6" Type="http://schemas.openxmlformats.org/officeDocument/2006/relationships/chart" Target="../charts/chart133.xml"/><Relationship Id="rId5" Type="http://schemas.openxmlformats.org/officeDocument/2006/relationships/chart" Target="../charts/chart132.xml"/><Relationship Id="rId4" Type="http://schemas.openxmlformats.org/officeDocument/2006/relationships/chart" Target="../charts/chart131.xml"/><Relationship Id="rId9" Type="http://schemas.openxmlformats.org/officeDocument/2006/relationships/chart" Target="../charts/chart136.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3" Type="http://schemas.openxmlformats.org/officeDocument/2006/relationships/chart" Target="../charts/chart139.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 Type="http://schemas.openxmlformats.org/officeDocument/2006/relationships/chart" Target="../charts/chart138.xml"/><Relationship Id="rId16" Type="http://schemas.openxmlformats.org/officeDocument/2006/relationships/chart" Target="../charts/chart152.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5" Type="http://schemas.openxmlformats.org/officeDocument/2006/relationships/chart" Target="../charts/chart141.xml"/><Relationship Id="rId15" Type="http://schemas.openxmlformats.org/officeDocument/2006/relationships/chart" Target="../charts/chart151.xml"/><Relationship Id="rId10" Type="http://schemas.openxmlformats.org/officeDocument/2006/relationships/chart" Target="../charts/chart146.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56.xml"/><Relationship Id="rId2" Type="http://schemas.openxmlformats.org/officeDocument/2006/relationships/chart" Target="../charts/chart155.xml"/><Relationship Id="rId1" Type="http://schemas.openxmlformats.org/officeDocument/2006/relationships/chart" Target="../charts/chart154.xml"/><Relationship Id="rId4" Type="http://schemas.openxmlformats.org/officeDocument/2006/relationships/chart" Target="../charts/chart15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60.xml"/><Relationship Id="rId2" Type="http://schemas.openxmlformats.org/officeDocument/2006/relationships/chart" Target="../charts/chart159.xml"/><Relationship Id="rId1" Type="http://schemas.openxmlformats.org/officeDocument/2006/relationships/chart" Target="../charts/chart158.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4</xdr:col>
      <xdr:colOff>95250</xdr:colOff>
      <xdr:row>5</xdr:row>
      <xdr:rowOff>1905</xdr:rowOff>
    </xdr:to>
    <xdr:pic>
      <xdr:nvPicPr>
        <xdr:cNvPr id="4" name="Picture 3" descr="signature_534858453">
          <a:hlinkClick xmlns:r="http://schemas.openxmlformats.org/officeDocument/2006/relationships" r:id="rId1"/>
          <a:extLst>
            <a:ext uri="{FF2B5EF4-FFF2-40B4-BE49-F238E27FC236}">
              <a16:creationId xmlns:a16="http://schemas.microsoft.com/office/drawing/2014/main" id="{108409AA-B96F-4471-A21F-39ADA1696B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0"/>
          <a:ext cx="3209925" cy="763905"/>
        </a:xfrm>
        <a:prstGeom prst="rect">
          <a:avLst/>
        </a:prstGeom>
        <a:noFill/>
        <a:ln>
          <a:noFill/>
        </a:ln>
      </xdr:spPr>
    </xdr:pic>
    <xdr:clientData/>
  </xdr:twoCellAnchor>
  <xdr:twoCellAnchor>
    <xdr:from>
      <xdr:col>1</xdr:col>
      <xdr:colOff>0</xdr:colOff>
      <xdr:row>29</xdr:row>
      <xdr:rowOff>7620</xdr:rowOff>
    </xdr:from>
    <xdr:to>
      <xdr:col>3</xdr:col>
      <xdr:colOff>15240</xdr:colOff>
      <xdr:row>32</xdr:row>
      <xdr:rowOff>83820</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1D60040A-3862-4093-B86B-E792DE4CE318}"/>
            </a:ext>
          </a:extLst>
        </xdr:cNvPr>
        <xdr:cNvSpPr/>
      </xdr:nvSpPr>
      <xdr:spPr>
        <a:xfrm>
          <a:off x="1127760" y="4587240"/>
          <a:ext cx="1596390" cy="52197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Main model</a:t>
          </a:r>
        </a:p>
      </xdr:txBody>
    </xdr:sp>
    <xdr:clientData/>
  </xdr:twoCellAnchor>
  <xdr:twoCellAnchor>
    <xdr:from>
      <xdr:col>3</xdr:col>
      <xdr:colOff>474345</xdr:colOff>
      <xdr:row>29</xdr:row>
      <xdr:rowOff>11430</xdr:rowOff>
    </xdr:from>
    <xdr:to>
      <xdr:col>6</xdr:col>
      <xdr:colOff>120015</xdr:colOff>
      <xdr:row>32</xdr:row>
      <xdr:rowOff>87630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12BDB3CC-4687-4751-9A2E-BA27EEAAAACA}"/>
            </a:ext>
          </a:extLst>
        </xdr:cNvPr>
        <xdr:cNvSpPr/>
      </xdr:nvSpPr>
      <xdr:spPr>
        <a:xfrm>
          <a:off x="3183255" y="4591050"/>
          <a:ext cx="1565910" cy="52197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Interims</a:t>
          </a:r>
        </a:p>
      </xdr:txBody>
    </xdr:sp>
    <xdr:clientData/>
  </xdr:twoCellAnchor>
  <xdr:twoCellAnchor>
    <xdr:from>
      <xdr:col>7</xdr:col>
      <xdr:colOff>45720</xdr:colOff>
      <xdr:row>29</xdr:row>
      <xdr:rowOff>0</xdr:rowOff>
    </xdr:from>
    <xdr:to>
      <xdr:col>9</xdr:col>
      <xdr:colOff>308610</xdr:colOff>
      <xdr:row>32</xdr:row>
      <xdr:rowOff>76200</xdr:rowOff>
    </xdr:to>
    <xdr:sp macro="" textlink="">
      <xdr:nvSpPr>
        <xdr:cNvPr id="5" name="Rectangle 4">
          <a:hlinkClick xmlns:r="http://schemas.openxmlformats.org/officeDocument/2006/relationships" r:id="rId5"/>
          <a:extLst>
            <a:ext uri="{FF2B5EF4-FFF2-40B4-BE49-F238E27FC236}">
              <a16:creationId xmlns:a16="http://schemas.microsoft.com/office/drawing/2014/main" id="{B22F9389-B973-4A98-B2C2-47928C07EE74}"/>
            </a:ext>
          </a:extLst>
        </xdr:cNvPr>
        <xdr:cNvSpPr/>
      </xdr:nvSpPr>
      <xdr:spPr>
        <a:xfrm>
          <a:off x="5052060" y="4754880"/>
          <a:ext cx="1482090" cy="53340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Valuation</a:t>
          </a:r>
        </a:p>
      </xdr:txBody>
    </xdr:sp>
    <xdr:clientData/>
  </xdr:twoCellAnchor>
  <xdr:twoCellAnchor>
    <xdr:from>
      <xdr:col>10</xdr:col>
      <xdr:colOff>110490</xdr:colOff>
      <xdr:row>29</xdr:row>
      <xdr:rowOff>0</xdr:rowOff>
    </xdr:from>
    <xdr:to>
      <xdr:col>12</xdr:col>
      <xdr:colOff>373380</xdr:colOff>
      <xdr:row>32</xdr:row>
      <xdr:rowOff>76200</xdr:rowOff>
    </xdr:to>
    <xdr:sp macro="" textlink="">
      <xdr:nvSpPr>
        <xdr:cNvPr id="6" name="Rectangle 5">
          <a:hlinkClick xmlns:r="http://schemas.openxmlformats.org/officeDocument/2006/relationships" r:id="rId6"/>
          <a:extLst>
            <a:ext uri="{FF2B5EF4-FFF2-40B4-BE49-F238E27FC236}">
              <a16:creationId xmlns:a16="http://schemas.microsoft.com/office/drawing/2014/main" id="{283BCAF2-5AFD-425D-87CA-99370A0EB920}"/>
            </a:ext>
          </a:extLst>
        </xdr:cNvPr>
        <xdr:cNvSpPr/>
      </xdr:nvSpPr>
      <xdr:spPr>
        <a:xfrm>
          <a:off x="7372350" y="4579620"/>
          <a:ext cx="1543050" cy="52197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Chile</a:t>
          </a:r>
          <a:r>
            <a:rPr lang="en-GB" sz="1100" baseline="0"/>
            <a:t> JV</a:t>
          </a:r>
          <a:endParaRPr lang="en-GB" sz="1100"/>
        </a:p>
      </xdr:txBody>
    </xdr:sp>
    <xdr:clientData/>
  </xdr:twoCellAnchor>
  <xdr:twoCellAnchor>
    <xdr:from>
      <xdr:col>1</xdr:col>
      <xdr:colOff>0</xdr:colOff>
      <xdr:row>34</xdr:row>
      <xdr:rowOff>0</xdr:rowOff>
    </xdr:from>
    <xdr:to>
      <xdr:col>2</xdr:col>
      <xdr:colOff>601980</xdr:colOff>
      <xdr:row>37</xdr:row>
      <xdr:rowOff>76200</xdr:rowOff>
    </xdr:to>
    <xdr:sp macro="" textlink="">
      <xdr:nvSpPr>
        <xdr:cNvPr id="7" name="Rectangle 6">
          <a:hlinkClick xmlns:r="http://schemas.openxmlformats.org/officeDocument/2006/relationships" r:id="rId7"/>
          <a:extLst>
            <a:ext uri="{FF2B5EF4-FFF2-40B4-BE49-F238E27FC236}">
              <a16:creationId xmlns:a16="http://schemas.microsoft.com/office/drawing/2014/main" id="{0D4A7E29-D470-45D3-BCF4-7BC4490FA47D}"/>
            </a:ext>
          </a:extLst>
        </xdr:cNvPr>
        <xdr:cNvSpPr/>
      </xdr:nvSpPr>
      <xdr:spPr>
        <a:xfrm>
          <a:off x="1127760" y="5322570"/>
          <a:ext cx="1543050" cy="521970"/>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LCPR</a:t>
          </a:r>
        </a:p>
      </xdr:txBody>
    </xdr:sp>
    <xdr:clientData/>
  </xdr:twoCellAnchor>
  <xdr:twoCellAnchor>
    <xdr:from>
      <xdr:col>3</xdr:col>
      <xdr:colOff>476252</xdr:colOff>
      <xdr:row>34</xdr:row>
      <xdr:rowOff>4762</xdr:rowOff>
    </xdr:from>
    <xdr:to>
      <xdr:col>6</xdr:col>
      <xdr:colOff>106682</xdr:colOff>
      <xdr:row>37</xdr:row>
      <xdr:rowOff>80962</xdr:rowOff>
    </xdr:to>
    <xdr:sp macro="" textlink="">
      <xdr:nvSpPr>
        <xdr:cNvPr id="8" name="Rectangle 7">
          <a:hlinkClick xmlns:r="http://schemas.openxmlformats.org/officeDocument/2006/relationships" r:id="rId8"/>
          <a:extLst>
            <a:ext uri="{FF2B5EF4-FFF2-40B4-BE49-F238E27FC236}">
              <a16:creationId xmlns:a16="http://schemas.microsoft.com/office/drawing/2014/main" id="{9A9ABEA2-6BAE-400F-A12F-F732D0D07AF3}"/>
            </a:ext>
          </a:extLst>
        </xdr:cNvPr>
        <xdr:cNvSpPr/>
      </xdr:nvSpPr>
      <xdr:spPr>
        <a:xfrm>
          <a:off x="3181352" y="5291137"/>
          <a:ext cx="1544955" cy="51911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CWC</a:t>
          </a:r>
        </a:p>
      </xdr:txBody>
    </xdr:sp>
    <xdr:clientData/>
  </xdr:twoCellAnchor>
  <xdr:twoCellAnchor>
    <xdr:from>
      <xdr:col>7</xdr:col>
      <xdr:colOff>57142</xdr:colOff>
      <xdr:row>33</xdr:row>
      <xdr:rowOff>142880</xdr:rowOff>
    </xdr:from>
    <xdr:to>
      <xdr:col>9</xdr:col>
      <xdr:colOff>325747</xdr:colOff>
      <xdr:row>37</xdr:row>
      <xdr:rowOff>71443</xdr:rowOff>
    </xdr:to>
    <xdr:sp macro="" textlink="">
      <xdr:nvSpPr>
        <xdr:cNvPr id="9" name="Rectangle 8">
          <a:hlinkClick xmlns:r="http://schemas.openxmlformats.org/officeDocument/2006/relationships" r:id="rId8"/>
          <a:extLst>
            <a:ext uri="{FF2B5EF4-FFF2-40B4-BE49-F238E27FC236}">
              <a16:creationId xmlns:a16="http://schemas.microsoft.com/office/drawing/2014/main" id="{A6450F27-9433-4DEB-9D35-85C4B5D378D0}"/>
            </a:ext>
          </a:extLst>
        </xdr:cNvPr>
        <xdr:cNvSpPr/>
      </xdr:nvSpPr>
      <xdr:spPr>
        <a:xfrm>
          <a:off x="5314942" y="5281618"/>
          <a:ext cx="1544955" cy="51911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Costa Rica</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278946</xdr:colOff>
      <xdr:row>142</xdr:row>
      <xdr:rowOff>99475</xdr:rowOff>
    </xdr:from>
    <xdr:to>
      <xdr:col>20</xdr:col>
      <xdr:colOff>544254</xdr:colOff>
      <xdr:row>172</xdr:row>
      <xdr:rowOff>152159</xdr:rowOff>
    </xdr:to>
    <xdr:pic>
      <xdr:nvPicPr>
        <xdr:cNvPr id="2" name="Picture 1">
          <a:extLst>
            <a:ext uri="{FF2B5EF4-FFF2-40B4-BE49-F238E27FC236}">
              <a16:creationId xmlns:a16="http://schemas.microsoft.com/office/drawing/2014/main" id="{01F7EACF-BF48-4FFF-8AA1-2C2D9C2EE3D5}"/>
            </a:ext>
          </a:extLst>
        </xdr:cNvPr>
        <xdr:cNvPicPr>
          <a:picLocks noChangeAspect="1"/>
        </xdr:cNvPicPr>
      </xdr:nvPicPr>
      <xdr:blipFill>
        <a:blip xmlns:r="http://schemas.openxmlformats.org/officeDocument/2006/relationships" r:embed="rId1"/>
        <a:stretch>
          <a:fillRect/>
        </a:stretch>
      </xdr:blipFill>
      <xdr:spPr>
        <a:xfrm>
          <a:off x="8205107" y="13876708"/>
          <a:ext cx="6726797" cy="5563578"/>
        </a:xfrm>
        <a:prstGeom prst="rect">
          <a:avLst/>
        </a:prstGeom>
      </xdr:spPr>
    </xdr:pic>
    <xdr:clientData/>
  </xdr:twoCellAnchor>
  <xdr:twoCellAnchor>
    <xdr:from>
      <xdr:col>23</xdr:col>
      <xdr:colOff>171451</xdr:colOff>
      <xdr:row>40</xdr:row>
      <xdr:rowOff>5443</xdr:rowOff>
    </xdr:from>
    <xdr:to>
      <xdr:col>30</xdr:col>
      <xdr:colOff>247651</xdr:colOff>
      <xdr:row>53</xdr:row>
      <xdr:rowOff>106136</xdr:rowOff>
    </xdr:to>
    <xdr:graphicFrame macro="">
      <xdr:nvGraphicFramePr>
        <xdr:cNvPr id="3" name="Chart 2">
          <a:extLst>
            <a:ext uri="{FF2B5EF4-FFF2-40B4-BE49-F238E27FC236}">
              <a16:creationId xmlns:a16="http://schemas.microsoft.com/office/drawing/2014/main" id="{FF950E13-BB3F-431F-9C05-C6AB890D73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616402</xdr:colOff>
      <xdr:row>727</xdr:row>
      <xdr:rowOff>111579</xdr:rowOff>
    </xdr:from>
    <xdr:to>
      <xdr:col>14</xdr:col>
      <xdr:colOff>190499</xdr:colOff>
      <xdr:row>741</xdr:row>
      <xdr:rowOff>24493</xdr:rowOff>
    </xdr:to>
    <xdr:graphicFrame macro="">
      <xdr:nvGraphicFramePr>
        <xdr:cNvPr id="9" name="Chart 8">
          <a:extLst>
            <a:ext uri="{FF2B5EF4-FFF2-40B4-BE49-F238E27FC236}">
              <a16:creationId xmlns:a16="http://schemas.microsoft.com/office/drawing/2014/main" id="{0386E645-1560-4F64-A17A-533AD4F6D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742</xdr:row>
      <xdr:rowOff>0</xdr:rowOff>
    </xdr:from>
    <xdr:to>
      <xdr:col>14</xdr:col>
      <xdr:colOff>299357</xdr:colOff>
      <xdr:row>757</xdr:row>
      <xdr:rowOff>76200</xdr:rowOff>
    </xdr:to>
    <xdr:graphicFrame macro="">
      <xdr:nvGraphicFramePr>
        <xdr:cNvPr id="10" name="Chart 9">
          <a:extLst>
            <a:ext uri="{FF2B5EF4-FFF2-40B4-BE49-F238E27FC236}">
              <a16:creationId xmlns:a16="http://schemas.microsoft.com/office/drawing/2014/main" id="{5A784A51-B77A-4F7F-930F-80EA67453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79</xdr:col>
      <xdr:colOff>53662</xdr:colOff>
      <xdr:row>121</xdr:row>
      <xdr:rowOff>97971</xdr:rowOff>
    </xdr:from>
    <xdr:to>
      <xdr:col>84</xdr:col>
      <xdr:colOff>289965</xdr:colOff>
      <xdr:row>136</xdr:row>
      <xdr:rowOff>167653</xdr:rowOff>
    </xdr:to>
    <xdr:graphicFrame macro="">
      <xdr:nvGraphicFramePr>
        <xdr:cNvPr id="7" name="Chart 6">
          <a:extLst>
            <a:ext uri="{FF2B5EF4-FFF2-40B4-BE49-F238E27FC236}">
              <a16:creationId xmlns:a16="http://schemas.microsoft.com/office/drawing/2014/main" id="{E6A7A215-1E9F-4176-A232-5C5BA5A4BA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72</xdr:col>
      <xdr:colOff>199220</xdr:colOff>
      <xdr:row>123</xdr:row>
      <xdr:rowOff>13415</xdr:rowOff>
    </xdr:from>
    <xdr:to>
      <xdr:col>78</xdr:col>
      <xdr:colOff>287666</xdr:colOff>
      <xdr:row>138</xdr:row>
      <xdr:rowOff>135304</xdr:rowOff>
    </xdr:to>
    <xdr:graphicFrame macro="">
      <xdr:nvGraphicFramePr>
        <xdr:cNvPr id="11" name="Chart 10">
          <a:extLst>
            <a:ext uri="{FF2B5EF4-FFF2-40B4-BE49-F238E27FC236}">
              <a16:creationId xmlns:a16="http://schemas.microsoft.com/office/drawing/2014/main" id="{622E021E-EDC0-4565-A6E5-BC81E73C13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558084</xdr:colOff>
      <xdr:row>1006</xdr:row>
      <xdr:rowOff>93909</xdr:rowOff>
    </xdr:from>
    <xdr:to>
      <xdr:col>15</xdr:col>
      <xdr:colOff>536619</xdr:colOff>
      <xdr:row>1024</xdr:row>
      <xdr:rowOff>134156</xdr:rowOff>
    </xdr:to>
    <xdr:graphicFrame macro="">
      <xdr:nvGraphicFramePr>
        <xdr:cNvPr id="12" name="Chart 11">
          <a:extLst>
            <a:ext uri="{FF2B5EF4-FFF2-40B4-BE49-F238E27FC236}">
              <a16:creationId xmlns:a16="http://schemas.microsoft.com/office/drawing/2014/main" id="{179F02C4-CBF3-4EA5-B477-EE14FC1177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1027</xdr:row>
      <xdr:rowOff>0</xdr:rowOff>
    </xdr:from>
    <xdr:to>
      <xdr:col>15</xdr:col>
      <xdr:colOff>582232</xdr:colOff>
      <xdr:row>1045</xdr:row>
      <xdr:rowOff>160986</xdr:rowOff>
    </xdr:to>
    <xdr:graphicFrame macro="">
      <xdr:nvGraphicFramePr>
        <xdr:cNvPr id="14" name="Chart 13">
          <a:extLst>
            <a:ext uri="{FF2B5EF4-FFF2-40B4-BE49-F238E27FC236}">
              <a16:creationId xmlns:a16="http://schemas.microsoft.com/office/drawing/2014/main" id="{DDCD6795-7375-4A24-A081-D5CD0C58C4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43543</xdr:colOff>
      <xdr:row>122</xdr:row>
      <xdr:rowOff>50092</xdr:rowOff>
    </xdr:from>
    <xdr:to>
      <xdr:col>73</xdr:col>
      <xdr:colOff>501702</xdr:colOff>
      <xdr:row>137</xdr:row>
      <xdr:rowOff>76654</xdr:rowOff>
    </xdr:to>
    <xdr:graphicFrame macro="">
      <xdr:nvGraphicFramePr>
        <xdr:cNvPr id="15" name="Chart 14">
          <a:extLst>
            <a:ext uri="{FF2B5EF4-FFF2-40B4-BE49-F238E27FC236}">
              <a16:creationId xmlns:a16="http://schemas.microsoft.com/office/drawing/2014/main" id="{6CFF30C4-0BFD-458A-BC4B-6C474F835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78</xdr:col>
      <xdr:colOff>531252</xdr:colOff>
      <xdr:row>86</xdr:row>
      <xdr:rowOff>50439</xdr:rowOff>
    </xdr:from>
    <xdr:to>
      <xdr:col>85</xdr:col>
      <xdr:colOff>489665</xdr:colOff>
      <xdr:row>102</xdr:row>
      <xdr:rowOff>174400</xdr:rowOff>
    </xdr:to>
    <xdr:graphicFrame macro="">
      <xdr:nvGraphicFramePr>
        <xdr:cNvPr id="3" name="Chart 2">
          <a:extLst>
            <a:ext uri="{FF2B5EF4-FFF2-40B4-BE49-F238E27FC236}">
              <a16:creationId xmlns:a16="http://schemas.microsoft.com/office/drawing/2014/main" id="{98C09252-8580-455B-BE17-4174FB0AE8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61</xdr:col>
      <xdr:colOff>254989</xdr:colOff>
      <xdr:row>123</xdr:row>
      <xdr:rowOff>154443</xdr:rowOff>
    </xdr:from>
    <xdr:to>
      <xdr:col>67</xdr:col>
      <xdr:colOff>531700</xdr:colOff>
      <xdr:row>144</xdr:row>
      <xdr:rowOff>141028</xdr:rowOff>
    </xdr:to>
    <xdr:graphicFrame macro="">
      <xdr:nvGraphicFramePr>
        <xdr:cNvPr id="5" name="Chart 4">
          <a:extLst>
            <a:ext uri="{FF2B5EF4-FFF2-40B4-BE49-F238E27FC236}">
              <a16:creationId xmlns:a16="http://schemas.microsoft.com/office/drawing/2014/main" id="{68D361BA-FE11-417C-AAD3-C12881C66D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70</xdr:col>
      <xdr:colOff>46489</xdr:colOff>
      <xdr:row>139</xdr:row>
      <xdr:rowOff>119102</xdr:rowOff>
    </xdr:from>
    <xdr:to>
      <xdr:col>77</xdr:col>
      <xdr:colOff>357050</xdr:colOff>
      <xdr:row>159</xdr:row>
      <xdr:rowOff>68118</xdr:rowOff>
    </xdr:to>
    <xdr:graphicFrame macro="">
      <xdr:nvGraphicFramePr>
        <xdr:cNvPr id="2" name="Chart 1">
          <a:extLst>
            <a:ext uri="{FF2B5EF4-FFF2-40B4-BE49-F238E27FC236}">
              <a16:creationId xmlns:a16="http://schemas.microsoft.com/office/drawing/2014/main" id="{24E4BF6E-3338-4BFF-945A-1D122F2F5C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640050</xdr:colOff>
      <xdr:row>1060</xdr:row>
      <xdr:rowOff>89620</xdr:rowOff>
    </xdr:from>
    <xdr:to>
      <xdr:col>23</xdr:col>
      <xdr:colOff>101023</xdr:colOff>
      <xdr:row>1076</xdr:row>
      <xdr:rowOff>115453</xdr:rowOff>
    </xdr:to>
    <xdr:graphicFrame macro="">
      <xdr:nvGraphicFramePr>
        <xdr:cNvPr id="6" name="Chart 5">
          <a:extLst>
            <a:ext uri="{FF2B5EF4-FFF2-40B4-BE49-F238E27FC236}">
              <a16:creationId xmlns:a16="http://schemas.microsoft.com/office/drawing/2014/main" id="{39DE5B8D-DFC2-4687-A93E-1CCE2C4133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145815</xdr:colOff>
      <xdr:row>103</xdr:row>
      <xdr:rowOff>145815</xdr:rowOff>
    </xdr:from>
    <xdr:to>
      <xdr:col>30</xdr:col>
      <xdr:colOff>603249</xdr:colOff>
      <xdr:row>135</xdr:row>
      <xdr:rowOff>28330</xdr:rowOff>
    </xdr:to>
    <xdr:graphicFrame macro="">
      <xdr:nvGraphicFramePr>
        <xdr:cNvPr id="2" name="Chart 1">
          <a:extLst>
            <a:ext uri="{FF2B5EF4-FFF2-40B4-BE49-F238E27FC236}">
              <a16:creationId xmlns:a16="http://schemas.microsoft.com/office/drawing/2014/main" id="{9CE0619B-63B7-2CDD-D400-302BC14332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0</xdr:colOff>
      <xdr:row>140</xdr:row>
      <xdr:rowOff>0</xdr:rowOff>
    </xdr:from>
    <xdr:to>
      <xdr:col>31</xdr:col>
      <xdr:colOff>34192</xdr:colOff>
      <xdr:row>155</xdr:row>
      <xdr:rowOff>32239</xdr:rowOff>
    </xdr:to>
    <xdr:graphicFrame macro="">
      <xdr:nvGraphicFramePr>
        <xdr:cNvPr id="3" name="Chart 2">
          <a:extLst>
            <a:ext uri="{FF2B5EF4-FFF2-40B4-BE49-F238E27FC236}">
              <a16:creationId xmlns:a16="http://schemas.microsoft.com/office/drawing/2014/main" id="{41014E36-C3E4-44F3-8ACE-3ABD31BD6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451827</xdr:colOff>
      <xdr:row>194</xdr:row>
      <xdr:rowOff>164612</xdr:rowOff>
    </xdr:from>
    <xdr:to>
      <xdr:col>16</xdr:col>
      <xdr:colOff>283308</xdr:colOff>
      <xdr:row>211</xdr:row>
      <xdr:rowOff>102576</xdr:rowOff>
    </xdr:to>
    <xdr:graphicFrame macro="">
      <xdr:nvGraphicFramePr>
        <xdr:cNvPr id="4" name="Chart 3">
          <a:extLst>
            <a:ext uri="{FF2B5EF4-FFF2-40B4-BE49-F238E27FC236}">
              <a16:creationId xmlns:a16="http://schemas.microsoft.com/office/drawing/2014/main" id="{9665DDE7-358C-B62B-A43A-BDD15DD0CD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437173</xdr:colOff>
      <xdr:row>195</xdr:row>
      <xdr:rowOff>47381</xdr:rowOff>
    </xdr:from>
    <xdr:to>
      <xdr:col>29</xdr:col>
      <xdr:colOff>617904</xdr:colOff>
      <xdr:row>210</xdr:row>
      <xdr:rowOff>79619</xdr:rowOff>
    </xdr:to>
    <xdr:graphicFrame macro="">
      <xdr:nvGraphicFramePr>
        <xdr:cNvPr id="5" name="Chart 4">
          <a:extLst>
            <a:ext uri="{FF2B5EF4-FFF2-40B4-BE49-F238E27FC236}">
              <a16:creationId xmlns:a16="http://schemas.microsoft.com/office/drawing/2014/main" id="{A7CA280C-CB7E-1F44-999F-81B772AF7D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490904</xdr:colOff>
      <xdr:row>235</xdr:row>
      <xdr:rowOff>69362</xdr:rowOff>
    </xdr:from>
    <xdr:to>
      <xdr:col>11</xdr:col>
      <xdr:colOff>227135</xdr:colOff>
      <xdr:row>250</xdr:row>
      <xdr:rowOff>101601</xdr:rowOff>
    </xdr:to>
    <xdr:graphicFrame macro="">
      <xdr:nvGraphicFramePr>
        <xdr:cNvPr id="6" name="Chart 5">
          <a:extLst>
            <a:ext uri="{FF2B5EF4-FFF2-40B4-BE49-F238E27FC236}">
              <a16:creationId xmlns:a16="http://schemas.microsoft.com/office/drawing/2014/main" id="{29EF1AE4-0886-8297-C27F-73FB458D50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295519</xdr:colOff>
      <xdr:row>243</xdr:row>
      <xdr:rowOff>147515</xdr:rowOff>
    </xdr:from>
    <xdr:to>
      <xdr:col>25</xdr:col>
      <xdr:colOff>588596</xdr:colOff>
      <xdr:row>258</xdr:row>
      <xdr:rowOff>179753</xdr:rowOff>
    </xdr:to>
    <xdr:graphicFrame macro="">
      <xdr:nvGraphicFramePr>
        <xdr:cNvPr id="7" name="Chart 6">
          <a:extLst>
            <a:ext uri="{FF2B5EF4-FFF2-40B4-BE49-F238E27FC236}">
              <a16:creationId xmlns:a16="http://schemas.microsoft.com/office/drawing/2014/main" id="{C8DC7673-8DDA-77ED-E6A6-A2DE6DED1D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427404</xdr:colOff>
      <xdr:row>261</xdr:row>
      <xdr:rowOff>44939</xdr:rowOff>
    </xdr:from>
    <xdr:to>
      <xdr:col>11</xdr:col>
      <xdr:colOff>163635</xdr:colOff>
      <xdr:row>276</xdr:row>
      <xdr:rowOff>77178</xdr:rowOff>
    </xdr:to>
    <xdr:graphicFrame macro="">
      <xdr:nvGraphicFramePr>
        <xdr:cNvPr id="8" name="Chart 7">
          <a:extLst>
            <a:ext uri="{FF2B5EF4-FFF2-40B4-BE49-F238E27FC236}">
              <a16:creationId xmlns:a16="http://schemas.microsoft.com/office/drawing/2014/main" id="{07B72F54-37D1-32F7-2A21-62C8D2B8DE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261</xdr:row>
      <xdr:rowOff>0</xdr:rowOff>
    </xdr:from>
    <xdr:to>
      <xdr:col>25</xdr:col>
      <xdr:colOff>293077</xdr:colOff>
      <xdr:row>276</xdr:row>
      <xdr:rowOff>32239</xdr:rowOff>
    </xdr:to>
    <xdr:graphicFrame macro="">
      <xdr:nvGraphicFramePr>
        <xdr:cNvPr id="9" name="Chart 8">
          <a:extLst>
            <a:ext uri="{FF2B5EF4-FFF2-40B4-BE49-F238E27FC236}">
              <a16:creationId xmlns:a16="http://schemas.microsoft.com/office/drawing/2014/main" id="{0E45E4F9-6E13-4306-95F7-264BDB8D4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56173</xdr:colOff>
      <xdr:row>282</xdr:row>
      <xdr:rowOff>74246</xdr:rowOff>
    </xdr:from>
    <xdr:to>
      <xdr:col>13</xdr:col>
      <xdr:colOff>263769</xdr:colOff>
      <xdr:row>297</xdr:row>
      <xdr:rowOff>106484</xdr:rowOff>
    </xdr:to>
    <xdr:graphicFrame macro="">
      <xdr:nvGraphicFramePr>
        <xdr:cNvPr id="10" name="Chart 9">
          <a:extLst>
            <a:ext uri="{FF2B5EF4-FFF2-40B4-BE49-F238E27FC236}">
              <a16:creationId xmlns:a16="http://schemas.microsoft.com/office/drawing/2014/main" id="{6967D308-BF73-1A68-A040-CA02A67E01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515326</xdr:colOff>
      <xdr:row>316</xdr:row>
      <xdr:rowOff>108438</xdr:rowOff>
    </xdr:from>
    <xdr:to>
      <xdr:col>18</xdr:col>
      <xdr:colOff>251557</xdr:colOff>
      <xdr:row>331</xdr:row>
      <xdr:rowOff>140676</xdr:rowOff>
    </xdr:to>
    <xdr:graphicFrame macro="">
      <xdr:nvGraphicFramePr>
        <xdr:cNvPr id="11" name="Chart 10">
          <a:extLst>
            <a:ext uri="{FF2B5EF4-FFF2-40B4-BE49-F238E27FC236}">
              <a16:creationId xmlns:a16="http://schemas.microsoft.com/office/drawing/2014/main" id="{EED92765-3BDD-13DE-756B-26EE6DDBCD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299</xdr:row>
      <xdr:rowOff>0</xdr:rowOff>
    </xdr:from>
    <xdr:to>
      <xdr:col>18</xdr:col>
      <xdr:colOff>207597</xdr:colOff>
      <xdr:row>314</xdr:row>
      <xdr:rowOff>32238</xdr:rowOff>
    </xdr:to>
    <xdr:graphicFrame macro="">
      <xdr:nvGraphicFramePr>
        <xdr:cNvPr id="12" name="Chart 11">
          <a:extLst>
            <a:ext uri="{FF2B5EF4-FFF2-40B4-BE49-F238E27FC236}">
              <a16:creationId xmlns:a16="http://schemas.microsoft.com/office/drawing/2014/main" id="{507C4BF3-27AE-497B-8680-76D86B597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335</xdr:row>
      <xdr:rowOff>0</xdr:rowOff>
    </xdr:from>
    <xdr:to>
      <xdr:col>18</xdr:col>
      <xdr:colOff>273539</xdr:colOff>
      <xdr:row>350</xdr:row>
      <xdr:rowOff>32239</xdr:rowOff>
    </xdr:to>
    <xdr:graphicFrame macro="">
      <xdr:nvGraphicFramePr>
        <xdr:cNvPr id="13" name="Chart 12">
          <a:extLst>
            <a:ext uri="{FF2B5EF4-FFF2-40B4-BE49-F238E27FC236}">
              <a16:creationId xmlns:a16="http://schemas.microsoft.com/office/drawing/2014/main" id="{CD08AFAC-5DFA-4A17-BD94-D8F174CAB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466725</xdr:colOff>
      <xdr:row>88</xdr:row>
      <xdr:rowOff>114300</xdr:rowOff>
    </xdr:from>
    <xdr:to>
      <xdr:col>15</xdr:col>
      <xdr:colOff>571500</xdr:colOff>
      <xdr:row>105</xdr:row>
      <xdr:rowOff>23812</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200025</xdr:colOff>
      <xdr:row>115</xdr:row>
      <xdr:rowOff>14287</xdr:rowOff>
    </xdr:from>
    <xdr:to>
      <xdr:col>10</xdr:col>
      <xdr:colOff>304800</xdr:colOff>
      <xdr:row>129</xdr:row>
      <xdr:rowOff>90487</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51955</xdr:colOff>
      <xdr:row>664</xdr:row>
      <xdr:rowOff>5195</xdr:rowOff>
    </xdr:from>
    <xdr:to>
      <xdr:col>16</xdr:col>
      <xdr:colOff>0</xdr:colOff>
      <xdr:row>682</xdr:row>
      <xdr:rowOff>86591</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415636</xdr:colOff>
      <xdr:row>734</xdr:row>
      <xdr:rowOff>100445</xdr:rowOff>
    </xdr:from>
    <xdr:to>
      <xdr:col>15</xdr:col>
      <xdr:colOff>51954</xdr:colOff>
      <xdr:row>750</xdr:row>
      <xdr:rowOff>51955</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381000</xdr:colOff>
      <xdr:row>695</xdr:row>
      <xdr:rowOff>117763</xdr:rowOff>
    </xdr:from>
    <xdr:to>
      <xdr:col>15</xdr:col>
      <xdr:colOff>381000</xdr:colOff>
      <xdr:row>712</xdr:row>
      <xdr:rowOff>103908</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299356</xdr:colOff>
      <xdr:row>971</xdr:row>
      <xdr:rowOff>166008</xdr:rowOff>
    </xdr:from>
    <xdr:to>
      <xdr:col>14</xdr:col>
      <xdr:colOff>40821</xdr:colOff>
      <xdr:row>987</xdr:row>
      <xdr:rowOff>187780</xdr:rowOff>
    </xdr:to>
    <xdr:graphicFrame macro="">
      <xdr:nvGraphicFramePr>
        <xdr:cNvPr id="7" name="Chart 6">
          <a:extLst>
            <a:ext uri="{FF2B5EF4-FFF2-40B4-BE49-F238E27FC236}">
              <a16:creationId xmlns:a16="http://schemas.microsoft.com/office/drawing/2014/main" id="{3EF1ABC9-D05D-43B1-B21D-489E723F2B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265337</xdr:colOff>
      <xdr:row>982</xdr:row>
      <xdr:rowOff>81642</xdr:rowOff>
    </xdr:from>
    <xdr:to>
      <xdr:col>21</xdr:col>
      <xdr:colOff>13607</xdr:colOff>
      <xdr:row>997</xdr:row>
      <xdr:rowOff>146956</xdr:rowOff>
    </xdr:to>
    <xdr:graphicFrame macro="">
      <xdr:nvGraphicFramePr>
        <xdr:cNvPr id="9" name="Chart 8">
          <a:extLst>
            <a:ext uri="{FF2B5EF4-FFF2-40B4-BE49-F238E27FC236}">
              <a16:creationId xmlns:a16="http://schemas.microsoft.com/office/drawing/2014/main" id="{0BA85385-9B50-4029-98D5-C49D44E240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557893</xdr:colOff>
      <xdr:row>1053</xdr:row>
      <xdr:rowOff>193220</xdr:rowOff>
    </xdr:from>
    <xdr:to>
      <xdr:col>14</xdr:col>
      <xdr:colOff>517071</xdr:colOff>
      <xdr:row>1067</xdr:row>
      <xdr:rowOff>78920</xdr:rowOff>
    </xdr:to>
    <xdr:graphicFrame macro="">
      <xdr:nvGraphicFramePr>
        <xdr:cNvPr id="8" name="Chart 7">
          <a:extLst>
            <a:ext uri="{FF2B5EF4-FFF2-40B4-BE49-F238E27FC236}">
              <a16:creationId xmlns:a16="http://schemas.microsoft.com/office/drawing/2014/main" id="{582D53D9-7054-4827-AA15-DF8DE3563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54430</xdr:colOff>
      <xdr:row>1071</xdr:row>
      <xdr:rowOff>97971</xdr:rowOff>
    </xdr:from>
    <xdr:to>
      <xdr:col>11</xdr:col>
      <xdr:colOff>489858</xdr:colOff>
      <xdr:row>1085</xdr:row>
      <xdr:rowOff>119742</xdr:rowOff>
    </xdr:to>
    <xdr:graphicFrame macro="">
      <xdr:nvGraphicFramePr>
        <xdr:cNvPr id="10" name="Chart 9">
          <a:extLst>
            <a:ext uri="{FF2B5EF4-FFF2-40B4-BE49-F238E27FC236}">
              <a16:creationId xmlns:a16="http://schemas.microsoft.com/office/drawing/2014/main" id="{D8D9CDB3-39AC-4F4E-B5BB-5E85E976B0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462644</xdr:colOff>
      <xdr:row>1071</xdr:row>
      <xdr:rowOff>95250</xdr:rowOff>
    </xdr:from>
    <xdr:to>
      <xdr:col>18</xdr:col>
      <xdr:colOff>13608</xdr:colOff>
      <xdr:row>1085</xdr:row>
      <xdr:rowOff>117021</xdr:rowOff>
    </xdr:to>
    <xdr:graphicFrame macro="">
      <xdr:nvGraphicFramePr>
        <xdr:cNvPr id="11" name="Chart 10">
          <a:extLst>
            <a:ext uri="{FF2B5EF4-FFF2-40B4-BE49-F238E27FC236}">
              <a16:creationId xmlns:a16="http://schemas.microsoft.com/office/drawing/2014/main" id="{A5AE4A1B-EE09-4571-BB3A-D80566F8E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360899</xdr:colOff>
      <xdr:row>1101</xdr:row>
      <xdr:rowOff>33338</xdr:rowOff>
    </xdr:from>
    <xdr:to>
      <xdr:col>16</xdr:col>
      <xdr:colOff>111332</xdr:colOff>
      <xdr:row>1112</xdr:row>
      <xdr:rowOff>185552</xdr:rowOff>
    </xdr:to>
    <xdr:graphicFrame macro="">
      <xdr:nvGraphicFramePr>
        <xdr:cNvPr id="12" name="Chart 11">
          <a:extLst>
            <a:ext uri="{FF2B5EF4-FFF2-40B4-BE49-F238E27FC236}">
              <a16:creationId xmlns:a16="http://schemas.microsoft.com/office/drawing/2014/main" id="{980FA42D-8CFA-4249-9E8D-1598DA9BDD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449036</xdr:colOff>
      <xdr:row>1235</xdr:row>
      <xdr:rowOff>0</xdr:rowOff>
    </xdr:from>
    <xdr:to>
      <xdr:col>12</xdr:col>
      <xdr:colOff>721178</xdr:colOff>
      <xdr:row>1249</xdr:row>
      <xdr:rowOff>133350</xdr:rowOff>
    </xdr:to>
    <xdr:graphicFrame macro="">
      <xdr:nvGraphicFramePr>
        <xdr:cNvPr id="13" name="Chart 12">
          <a:extLst>
            <a:ext uri="{FF2B5EF4-FFF2-40B4-BE49-F238E27FC236}">
              <a16:creationId xmlns:a16="http://schemas.microsoft.com/office/drawing/2014/main" id="{2A34988C-518B-4230-9E44-B582523C8F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1235</xdr:row>
      <xdr:rowOff>0</xdr:rowOff>
    </xdr:from>
    <xdr:to>
      <xdr:col>18</xdr:col>
      <xdr:colOff>326571</xdr:colOff>
      <xdr:row>1249</xdr:row>
      <xdr:rowOff>133350</xdr:rowOff>
    </xdr:to>
    <xdr:graphicFrame macro="">
      <xdr:nvGraphicFramePr>
        <xdr:cNvPr id="14" name="Chart 13">
          <a:extLst>
            <a:ext uri="{FF2B5EF4-FFF2-40B4-BE49-F238E27FC236}">
              <a16:creationId xmlns:a16="http://schemas.microsoft.com/office/drawing/2014/main" id="{F1ED384B-1C30-424A-999E-7E659BEC2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435429</xdr:colOff>
      <xdr:row>1163</xdr:row>
      <xdr:rowOff>43542</xdr:rowOff>
    </xdr:from>
    <xdr:to>
      <xdr:col>16</xdr:col>
      <xdr:colOff>449036</xdr:colOff>
      <xdr:row>1176</xdr:row>
      <xdr:rowOff>146956</xdr:rowOff>
    </xdr:to>
    <xdr:graphicFrame macro="">
      <xdr:nvGraphicFramePr>
        <xdr:cNvPr id="15" name="Chart 14">
          <a:extLst>
            <a:ext uri="{FF2B5EF4-FFF2-40B4-BE49-F238E27FC236}">
              <a16:creationId xmlns:a16="http://schemas.microsoft.com/office/drawing/2014/main" id="{B9F0358A-5697-46BE-837C-32D2A70CDF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537481</xdr:colOff>
      <xdr:row>1573</xdr:row>
      <xdr:rowOff>163285</xdr:rowOff>
    </xdr:from>
    <xdr:to>
      <xdr:col>18</xdr:col>
      <xdr:colOff>210910</xdr:colOff>
      <xdr:row>1589</xdr:row>
      <xdr:rowOff>180974</xdr:rowOff>
    </xdr:to>
    <xdr:graphicFrame macro="">
      <xdr:nvGraphicFramePr>
        <xdr:cNvPr id="16" name="Chart 15">
          <a:extLst>
            <a:ext uri="{FF2B5EF4-FFF2-40B4-BE49-F238E27FC236}">
              <a16:creationId xmlns:a16="http://schemas.microsoft.com/office/drawing/2014/main" id="{ADF44743-AE19-4380-8D07-8938649B70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353894</xdr:colOff>
      <xdr:row>1502</xdr:row>
      <xdr:rowOff>164384</xdr:rowOff>
    </xdr:from>
    <xdr:to>
      <xdr:col>27</xdr:col>
      <xdr:colOff>587519</xdr:colOff>
      <xdr:row>1539</xdr:row>
      <xdr:rowOff>89544</xdr:rowOff>
    </xdr:to>
    <xdr:graphicFrame macro="">
      <xdr:nvGraphicFramePr>
        <xdr:cNvPr id="17" name="Chart 16">
          <a:extLst>
            <a:ext uri="{FF2B5EF4-FFF2-40B4-BE49-F238E27FC236}">
              <a16:creationId xmlns:a16="http://schemas.microsoft.com/office/drawing/2014/main" id="{E5EEF3F5-6B96-4870-8327-297ACB2067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129267</xdr:colOff>
      <xdr:row>1619</xdr:row>
      <xdr:rowOff>2722</xdr:rowOff>
    </xdr:from>
    <xdr:to>
      <xdr:col>10</xdr:col>
      <xdr:colOff>571500</xdr:colOff>
      <xdr:row>1634</xdr:row>
      <xdr:rowOff>122464</xdr:rowOff>
    </xdr:to>
    <xdr:graphicFrame macro="">
      <xdr:nvGraphicFramePr>
        <xdr:cNvPr id="18" name="Chart 17">
          <a:extLst>
            <a:ext uri="{FF2B5EF4-FFF2-40B4-BE49-F238E27FC236}">
              <a16:creationId xmlns:a16="http://schemas.microsoft.com/office/drawing/2014/main" id="{A845F105-0A33-4F8A-9D7E-91851B94ED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1619</xdr:row>
      <xdr:rowOff>0</xdr:rowOff>
    </xdr:from>
    <xdr:to>
      <xdr:col>17</xdr:col>
      <xdr:colOff>442233</xdr:colOff>
      <xdr:row>1634</xdr:row>
      <xdr:rowOff>119742</xdr:rowOff>
    </xdr:to>
    <xdr:graphicFrame macro="">
      <xdr:nvGraphicFramePr>
        <xdr:cNvPr id="19" name="Chart 18">
          <a:extLst>
            <a:ext uri="{FF2B5EF4-FFF2-40B4-BE49-F238E27FC236}">
              <a16:creationId xmlns:a16="http://schemas.microsoft.com/office/drawing/2014/main" id="{CAF07DCB-6DAB-4AAC-9A89-0ADDC71B0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88446</xdr:colOff>
      <xdr:row>1638</xdr:row>
      <xdr:rowOff>43542</xdr:rowOff>
    </xdr:from>
    <xdr:to>
      <xdr:col>18</xdr:col>
      <xdr:colOff>374196</xdr:colOff>
      <xdr:row>1655</xdr:row>
      <xdr:rowOff>-1</xdr:rowOff>
    </xdr:to>
    <xdr:graphicFrame macro="">
      <xdr:nvGraphicFramePr>
        <xdr:cNvPr id="20" name="Chart 19">
          <a:extLst>
            <a:ext uri="{FF2B5EF4-FFF2-40B4-BE49-F238E27FC236}">
              <a16:creationId xmlns:a16="http://schemas.microsoft.com/office/drawing/2014/main" id="{6384A10C-46D6-40AB-9BF5-F67BF64453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6802</xdr:colOff>
      <xdr:row>1656</xdr:row>
      <xdr:rowOff>166006</xdr:rowOff>
    </xdr:from>
    <xdr:to>
      <xdr:col>15</xdr:col>
      <xdr:colOff>122464</xdr:colOff>
      <xdr:row>1673</xdr:row>
      <xdr:rowOff>68035</xdr:rowOff>
    </xdr:to>
    <xdr:graphicFrame macro="">
      <xdr:nvGraphicFramePr>
        <xdr:cNvPr id="21" name="Chart 20">
          <a:extLst>
            <a:ext uri="{FF2B5EF4-FFF2-40B4-BE49-F238E27FC236}">
              <a16:creationId xmlns:a16="http://schemas.microsoft.com/office/drawing/2014/main" id="{1EC94F54-F73A-4F4F-BC9F-B06E8B55F5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231320</xdr:colOff>
      <xdr:row>285</xdr:row>
      <xdr:rowOff>204106</xdr:rowOff>
    </xdr:from>
    <xdr:to>
      <xdr:col>15</xdr:col>
      <xdr:colOff>449034</xdr:colOff>
      <xdr:row>303</xdr:row>
      <xdr:rowOff>10886</xdr:rowOff>
    </xdr:to>
    <xdr:graphicFrame macro="">
      <xdr:nvGraphicFramePr>
        <xdr:cNvPr id="22" name="Chart 21">
          <a:extLst>
            <a:ext uri="{FF2B5EF4-FFF2-40B4-BE49-F238E27FC236}">
              <a16:creationId xmlns:a16="http://schemas.microsoft.com/office/drawing/2014/main" id="{FDECC597-AFD7-4648-9B6C-68E8B2A6E3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9</xdr:col>
      <xdr:colOff>0</xdr:colOff>
      <xdr:row>305</xdr:row>
      <xdr:rowOff>0</xdr:rowOff>
    </xdr:from>
    <xdr:to>
      <xdr:col>15</xdr:col>
      <xdr:colOff>217714</xdr:colOff>
      <xdr:row>322</xdr:row>
      <xdr:rowOff>10887</xdr:rowOff>
    </xdr:to>
    <xdr:graphicFrame macro="">
      <xdr:nvGraphicFramePr>
        <xdr:cNvPr id="23" name="Chart 22">
          <a:extLst>
            <a:ext uri="{FF2B5EF4-FFF2-40B4-BE49-F238E27FC236}">
              <a16:creationId xmlns:a16="http://schemas.microsoft.com/office/drawing/2014/main" id="{9C77AC5A-86BB-4B14-929D-44849A131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129267</xdr:colOff>
      <xdr:row>2082</xdr:row>
      <xdr:rowOff>84364</xdr:rowOff>
    </xdr:from>
    <xdr:to>
      <xdr:col>6</xdr:col>
      <xdr:colOff>35378</xdr:colOff>
      <xdr:row>2096</xdr:row>
      <xdr:rowOff>81643</xdr:rowOff>
    </xdr:to>
    <xdr:graphicFrame macro="">
      <xdr:nvGraphicFramePr>
        <xdr:cNvPr id="24" name="Chart 23">
          <a:extLst>
            <a:ext uri="{FF2B5EF4-FFF2-40B4-BE49-F238E27FC236}">
              <a16:creationId xmlns:a16="http://schemas.microsoft.com/office/drawing/2014/main" id="{E37E91A6-9EB3-42BC-8701-380B95157A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510266</xdr:colOff>
      <xdr:row>2104</xdr:row>
      <xdr:rowOff>190500</xdr:rowOff>
    </xdr:from>
    <xdr:to>
      <xdr:col>18</xdr:col>
      <xdr:colOff>387802</xdr:colOff>
      <xdr:row>2120</xdr:row>
      <xdr:rowOff>201386</xdr:rowOff>
    </xdr:to>
    <xdr:graphicFrame macro="">
      <xdr:nvGraphicFramePr>
        <xdr:cNvPr id="25" name="Chart 24">
          <a:extLst>
            <a:ext uri="{FF2B5EF4-FFF2-40B4-BE49-F238E27FC236}">
              <a16:creationId xmlns:a16="http://schemas.microsoft.com/office/drawing/2014/main" id="{5A04B215-0EE4-4B4D-A56B-B7F419D613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13</xdr:col>
      <xdr:colOff>265339</xdr:colOff>
      <xdr:row>1841</xdr:row>
      <xdr:rowOff>149679</xdr:rowOff>
    </xdr:from>
    <xdr:to>
      <xdr:col>19</xdr:col>
      <xdr:colOff>557893</xdr:colOff>
      <xdr:row>1860</xdr:row>
      <xdr:rowOff>13607</xdr:rowOff>
    </xdr:to>
    <xdr:graphicFrame macro="">
      <xdr:nvGraphicFramePr>
        <xdr:cNvPr id="26" name="Chart 25">
          <a:extLst>
            <a:ext uri="{FF2B5EF4-FFF2-40B4-BE49-F238E27FC236}">
              <a16:creationId xmlns:a16="http://schemas.microsoft.com/office/drawing/2014/main" id="{A340B359-F11A-4876-A597-3ABC70FC5C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68035</xdr:colOff>
      <xdr:row>1861</xdr:row>
      <xdr:rowOff>68035</xdr:rowOff>
    </xdr:from>
    <xdr:to>
      <xdr:col>16</xdr:col>
      <xdr:colOff>81643</xdr:colOff>
      <xdr:row>1877</xdr:row>
      <xdr:rowOff>81642</xdr:rowOff>
    </xdr:to>
    <xdr:graphicFrame macro="">
      <xdr:nvGraphicFramePr>
        <xdr:cNvPr id="27" name="Chart 26">
          <a:extLst>
            <a:ext uri="{FF2B5EF4-FFF2-40B4-BE49-F238E27FC236}">
              <a16:creationId xmlns:a16="http://schemas.microsoft.com/office/drawing/2014/main" id="{534F5BB3-795D-45DF-97E1-50A64E2627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394610</xdr:colOff>
      <xdr:row>1861</xdr:row>
      <xdr:rowOff>81642</xdr:rowOff>
    </xdr:from>
    <xdr:to>
      <xdr:col>22</xdr:col>
      <xdr:colOff>408214</xdr:colOff>
      <xdr:row>1877</xdr:row>
      <xdr:rowOff>122464</xdr:rowOff>
    </xdr:to>
    <xdr:graphicFrame macro="">
      <xdr:nvGraphicFramePr>
        <xdr:cNvPr id="28" name="Chart 27">
          <a:extLst>
            <a:ext uri="{FF2B5EF4-FFF2-40B4-BE49-F238E27FC236}">
              <a16:creationId xmlns:a16="http://schemas.microsoft.com/office/drawing/2014/main" id="{E837C5B6-89C3-447A-8DFF-4E99C729E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0</xdr:colOff>
      <xdr:row>1899</xdr:row>
      <xdr:rowOff>0</xdr:rowOff>
    </xdr:from>
    <xdr:to>
      <xdr:col>19</xdr:col>
      <xdr:colOff>13608</xdr:colOff>
      <xdr:row>1915</xdr:row>
      <xdr:rowOff>13607</xdr:rowOff>
    </xdr:to>
    <xdr:graphicFrame macro="">
      <xdr:nvGraphicFramePr>
        <xdr:cNvPr id="29" name="Chart 28">
          <a:extLst>
            <a:ext uri="{FF2B5EF4-FFF2-40B4-BE49-F238E27FC236}">
              <a16:creationId xmlns:a16="http://schemas.microsoft.com/office/drawing/2014/main" id="{4384A271-8362-4922-927C-C58C525A6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20</xdr:col>
      <xdr:colOff>0</xdr:colOff>
      <xdr:row>1899</xdr:row>
      <xdr:rowOff>0</xdr:rowOff>
    </xdr:from>
    <xdr:to>
      <xdr:col>25</xdr:col>
      <xdr:colOff>612318</xdr:colOff>
      <xdr:row>1915</xdr:row>
      <xdr:rowOff>40822</xdr:rowOff>
    </xdr:to>
    <xdr:graphicFrame macro="">
      <xdr:nvGraphicFramePr>
        <xdr:cNvPr id="30" name="Chart 29">
          <a:extLst>
            <a:ext uri="{FF2B5EF4-FFF2-40B4-BE49-F238E27FC236}">
              <a16:creationId xmlns:a16="http://schemas.microsoft.com/office/drawing/2014/main" id="{A33B391B-F2C8-4B1F-9232-E13F4B58B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156482</xdr:colOff>
      <xdr:row>2456</xdr:row>
      <xdr:rowOff>2721</xdr:rowOff>
    </xdr:from>
    <xdr:to>
      <xdr:col>13</xdr:col>
      <xdr:colOff>231322</xdr:colOff>
      <xdr:row>2470</xdr:row>
      <xdr:rowOff>54427</xdr:rowOff>
    </xdr:to>
    <xdr:graphicFrame macro="">
      <xdr:nvGraphicFramePr>
        <xdr:cNvPr id="31" name="Chart 30">
          <a:extLst>
            <a:ext uri="{FF2B5EF4-FFF2-40B4-BE49-F238E27FC236}">
              <a16:creationId xmlns:a16="http://schemas.microsoft.com/office/drawing/2014/main" id="{962D3EF1-7C6E-469B-BEC7-B845095CAC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15</xdr:col>
      <xdr:colOff>0</xdr:colOff>
      <xdr:row>2456</xdr:row>
      <xdr:rowOff>0</xdr:rowOff>
    </xdr:from>
    <xdr:to>
      <xdr:col>21</xdr:col>
      <xdr:colOff>74841</xdr:colOff>
      <xdr:row>2470</xdr:row>
      <xdr:rowOff>51706</xdr:rowOff>
    </xdr:to>
    <xdr:graphicFrame macro="">
      <xdr:nvGraphicFramePr>
        <xdr:cNvPr id="32" name="Chart 31">
          <a:extLst>
            <a:ext uri="{FF2B5EF4-FFF2-40B4-BE49-F238E27FC236}">
              <a16:creationId xmlns:a16="http://schemas.microsoft.com/office/drawing/2014/main" id="{87C7C94C-70F2-4AB4-9EF5-132865F9F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19</xdr:col>
      <xdr:colOff>95251</xdr:colOff>
      <xdr:row>2654</xdr:row>
      <xdr:rowOff>64829</xdr:rowOff>
    </xdr:from>
    <xdr:to>
      <xdr:col>25</xdr:col>
      <xdr:colOff>622197</xdr:colOff>
      <xdr:row>2674</xdr:row>
      <xdr:rowOff>30725</xdr:rowOff>
    </xdr:to>
    <xdr:graphicFrame macro="">
      <xdr:nvGraphicFramePr>
        <xdr:cNvPr id="33" name="Chart 32">
          <a:extLst>
            <a:ext uri="{FF2B5EF4-FFF2-40B4-BE49-F238E27FC236}">
              <a16:creationId xmlns:a16="http://schemas.microsoft.com/office/drawing/2014/main" id="{8511DF0B-6297-4129-B7C9-4A209CA9B3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19</xdr:col>
      <xdr:colOff>371782</xdr:colOff>
      <xdr:row>2683</xdr:row>
      <xdr:rowOff>41787</xdr:rowOff>
    </xdr:from>
    <xdr:to>
      <xdr:col>26</xdr:col>
      <xdr:colOff>599152</xdr:colOff>
      <xdr:row>2701</xdr:row>
      <xdr:rowOff>153629</xdr:rowOff>
    </xdr:to>
    <xdr:graphicFrame macro="">
      <xdr:nvGraphicFramePr>
        <xdr:cNvPr id="34" name="Chart 33">
          <a:extLst>
            <a:ext uri="{FF2B5EF4-FFF2-40B4-BE49-F238E27FC236}">
              <a16:creationId xmlns:a16="http://schemas.microsoft.com/office/drawing/2014/main" id="{9A27257E-26A0-4326-8BB1-79FE53EC17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16</xdr:col>
      <xdr:colOff>586862</xdr:colOff>
      <xdr:row>2627</xdr:row>
      <xdr:rowOff>126280</xdr:rowOff>
    </xdr:from>
    <xdr:to>
      <xdr:col>25</xdr:col>
      <xdr:colOff>215080</xdr:colOff>
      <xdr:row>2648</xdr:row>
      <xdr:rowOff>15362</xdr:rowOff>
    </xdr:to>
    <xdr:graphicFrame macro="">
      <xdr:nvGraphicFramePr>
        <xdr:cNvPr id="35" name="Chart 34">
          <a:extLst>
            <a:ext uri="{FF2B5EF4-FFF2-40B4-BE49-F238E27FC236}">
              <a16:creationId xmlns:a16="http://schemas.microsoft.com/office/drawing/2014/main" id="{D2451CB6-F6E1-4F46-A31B-EE28D48969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310328</xdr:colOff>
      <xdr:row>2697</xdr:row>
      <xdr:rowOff>23043</xdr:rowOff>
    </xdr:from>
    <xdr:to>
      <xdr:col>12</xdr:col>
      <xdr:colOff>460886</xdr:colOff>
      <xdr:row>2718</xdr:row>
      <xdr:rowOff>41324</xdr:rowOff>
    </xdr:to>
    <xdr:graphicFrame macro="">
      <xdr:nvGraphicFramePr>
        <xdr:cNvPr id="37" name="Chart 36">
          <a:extLst>
            <a:ext uri="{FF2B5EF4-FFF2-40B4-BE49-F238E27FC236}">
              <a16:creationId xmlns:a16="http://schemas.microsoft.com/office/drawing/2014/main" id="{36FA9A73-F26F-4A49-847B-29EEDA81FB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15</xdr:col>
      <xdr:colOff>499132</xdr:colOff>
      <xdr:row>2722</xdr:row>
      <xdr:rowOff>104855</xdr:rowOff>
    </xdr:from>
    <xdr:to>
      <xdr:col>24</xdr:col>
      <xdr:colOff>19809</xdr:colOff>
      <xdr:row>2742</xdr:row>
      <xdr:rowOff>32343</xdr:rowOff>
    </xdr:to>
    <xdr:graphicFrame macro="">
      <xdr:nvGraphicFramePr>
        <xdr:cNvPr id="36" name="Chart 35">
          <a:extLst>
            <a:ext uri="{FF2B5EF4-FFF2-40B4-BE49-F238E27FC236}">
              <a16:creationId xmlns:a16="http://schemas.microsoft.com/office/drawing/2014/main" id="{E4130C69-804E-4080-AC2B-FD11BECB13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5</xdr:col>
      <xdr:colOff>1</xdr:colOff>
      <xdr:row>2733</xdr:row>
      <xdr:rowOff>0</xdr:rowOff>
    </xdr:from>
    <xdr:to>
      <xdr:col>12</xdr:col>
      <xdr:colOff>207399</xdr:colOff>
      <xdr:row>2752</xdr:row>
      <xdr:rowOff>111844</xdr:rowOff>
    </xdr:to>
    <xdr:graphicFrame macro="">
      <xdr:nvGraphicFramePr>
        <xdr:cNvPr id="38" name="Chart 37">
          <a:extLst>
            <a:ext uri="{FF2B5EF4-FFF2-40B4-BE49-F238E27FC236}">
              <a16:creationId xmlns:a16="http://schemas.microsoft.com/office/drawing/2014/main" id="{6508A277-3F09-4E31-897E-4755EE5B0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353347</xdr:colOff>
      <xdr:row>2813</xdr:row>
      <xdr:rowOff>176673</xdr:rowOff>
    </xdr:from>
    <xdr:to>
      <xdr:col>20</xdr:col>
      <xdr:colOff>537701</xdr:colOff>
      <xdr:row>2835</xdr:row>
      <xdr:rowOff>115222</xdr:rowOff>
    </xdr:to>
    <xdr:graphicFrame macro="">
      <xdr:nvGraphicFramePr>
        <xdr:cNvPr id="40" name="Chart 39">
          <a:extLst>
            <a:ext uri="{FF2B5EF4-FFF2-40B4-BE49-F238E27FC236}">
              <a16:creationId xmlns:a16="http://schemas.microsoft.com/office/drawing/2014/main" id="{26EAB27A-5FF2-43E4-AEAA-987C2E6EA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11</xdr:col>
      <xdr:colOff>576110</xdr:colOff>
      <xdr:row>2787</xdr:row>
      <xdr:rowOff>69134</xdr:rowOff>
    </xdr:from>
    <xdr:to>
      <xdr:col>20</xdr:col>
      <xdr:colOff>276532</xdr:colOff>
      <xdr:row>2809</xdr:row>
      <xdr:rowOff>7682</xdr:rowOff>
    </xdr:to>
    <xdr:graphicFrame macro="">
      <xdr:nvGraphicFramePr>
        <xdr:cNvPr id="41" name="Chart 40">
          <a:extLst>
            <a:ext uri="{FF2B5EF4-FFF2-40B4-BE49-F238E27FC236}">
              <a16:creationId xmlns:a16="http://schemas.microsoft.com/office/drawing/2014/main" id="{F70C5AEF-ADB8-4320-89A0-FFAF4658A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22</xdr:col>
      <xdr:colOff>451736</xdr:colOff>
      <xdr:row>2274</xdr:row>
      <xdr:rowOff>102482</xdr:rowOff>
    </xdr:from>
    <xdr:to>
      <xdr:col>28</xdr:col>
      <xdr:colOff>489088</xdr:colOff>
      <xdr:row>2287</xdr:row>
      <xdr:rowOff>38371</xdr:rowOff>
    </xdr:to>
    <xdr:graphicFrame macro="">
      <xdr:nvGraphicFramePr>
        <xdr:cNvPr id="39" name="Chart 38">
          <a:extLst>
            <a:ext uri="{FF2B5EF4-FFF2-40B4-BE49-F238E27FC236}">
              <a16:creationId xmlns:a16="http://schemas.microsoft.com/office/drawing/2014/main" id="{BD4E0016-BB1B-4201-B8F9-1DDB174E60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22</xdr:col>
      <xdr:colOff>440677</xdr:colOff>
      <xdr:row>2288</xdr:row>
      <xdr:rowOff>178660</xdr:rowOff>
    </xdr:from>
    <xdr:to>
      <xdr:col>28</xdr:col>
      <xdr:colOff>478030</xdr:colOff>
      <xdr:row>2301</xdr:row>
      <xdr:rowOff>114549</xdr:rowOff>
    </xdr:to>
    <xdr:graphicFrame macro="">
      <xdr:nvGraphicFramePr>
        <xdr:cNvPr id="43" name="Chart 42">
          <a:extLst>
            <a:ext uri="{FF2B5EF4-FFF2-40B4-BE49-F238E27FC236}">
              <a16:creationId xmlns:a16="http://schemas.microsoft.com/office/drawing/2014/main" id="{1DB5B5E8-EDE7-4FCD-93EE-B55B4A756D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11</xdr:col>
      <xdr:colOff>186114</xdr:colOff>
      <xdr:row>2900</xdr:row>
      <xdr:rowOff>160544</xdr:rowOff>
    </xdr:from>
    <xdr:to>
      <xdr:col>17</xdr:col>
      <xdr:colOff>520115</xdr:colOff>
      <xdr:row>2917</xdr:row>
      <xdr:rowOff>112794</xdr:rowOff>
    </xdr:to>
    <xdr:graphicFrame macro="">
      <xdr:nvGraphicFramePr>
        <xdr:cNvPr id="42" name="Chart 41">
          <a:extLst>
            <a:ext uri="{FF2B5EF4-FFF2-40B4-BE49-F238E27FC236}">
              <a16:creationId xmlns:a16="http://schemas.microsoft.com/office/drawing/2014/main" id="{4B1BAA27-A748-42D8-B977-9CD3156E61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10</xdr:col>
      <xdr:colOff>135981</xdr:colOff>
      <xdr:row>3123</xdr:row>
      <xdr:rowOff>160545</xdr:rowOff>
    </xdr:from>
    <xdr:to>
      <xdr:col>17</xdr:col>
      <xdr:colOff>419853</xdr:colOff>
      <xdr:row>3142</xdr:row>
      <xdr:rowOff>119063</xdr:rowOff>
    </xdr:to>
    <xdr:graphicFrame macro="">
      <xdr:nvGraphicFramePr>
        <xdr:cNvPr id="44" name="Chart 43">
          <a:extLst>
            <a:ext uri="{FF2B5EF4-FFF2-40B4-BE49-F238E27FC236}">
              <a16:creationId xmlns:a16="http://schemas.microsoft.com/office/drawing/2014/main" id="{063B1C8A-EE3F-4526-99BC-BD3A66762A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10</xdr:col>
      <xdr:colOff>35718</xdr:colOff>
      <xdr:row>3146</xdr:row>
      <xdr:rowOff>97881</xdr:rowOff>
    </xdr:from>
    <xdr:to>
      <xdr:col>17</xdr:col>
      <xdr:colOff>89610</xdr:colOff>
      <xdr:row>3161</xdr:row>
      <xdr:rowOff>115176</xdr:rowOff>
    </xdr:to>
    <xdr:graphicFrame macro="">
      <xdr:nvGraphicFramePr>
        <xdr:cNvPr id="45" name="Chart 44">
          <a:extLst>
            <a:ext uri="{FF2B5EF4-FFF2-40B4-BE49-F238E27FC236}">
              <a16:creationId xmlns:a16="http://schemas.microsoft.com/office/drawing/2014/main" id="{44D0439F-2892-41D3-B8F9-C459B50829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211179</xdr:colOff>
      <xdr:row>3164</xdr:row>
      <xdr:rowOff>35214</xdr:rowOff>
    </xdr:from>
    <xdr:to>
      <xdr:col>17</xdr:col>
      <xdr:colOff>194259</xdr:colOff>
      <xdr:row>3186</xdr:row>
      <xdr:rowOff>93996</xdr:rowOff>
    </xdr:to>
    <xdr:graphicFrame macro="">
      <xdr:nvGraphicFramePr>
        <xdr:cNvPr id="46" name="Chart 45">
          <a:extLst>
            <a:ext uri="{FF2B5EF4-FFF2-40B4-BE49-F238E27FC236}">
              <a16:creationId xmlns:a16="http://schemas.microsoft.com/office/drawing/2014/main" id="{F0B3AA18-32B6-483C-A245-AC8DFC54E7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xdr:col>
      <xdr:colOff>198646</xdr:colOff>
      <xdr:row>3190</xdr:row>
      <xdr:rowOff>60281</xdr:rowOff>
    </xdr:from>
    <xdr:to>
      <xdr:col>15</xdr:col>
      <xdr:colOff>369720</xdr:colOff>
      <xdr:row>3206</xdr:row>
      <xdr:rowOff>68930</xdr:rowOff>
    </xdr:to>
    <xdr:graphicFrame macro="">
      <xdr:nvGraphicFramePr>
        <xdr:cNvPr id="47" name="Chart 46">
          <a:extLst>
            <a:ext uri="{FF2B5EF4-FFF2-40B4-BE49-F238E27FC236}">
              <a16:creationId xmlns:a16="http://schemas.microsoft.com/office/drawing/2014/main" id="{82C05FAD-FEB4-4057-AB19-B513F3018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15</xdr:col>
      <xdr:colOff>85972</xdr:colOff>
      <xdr:row>3205</xdr:row>
      <xdr:rowOff>111332</xdr:rowOff>
    </xdr:from>
    <xdr:to>
      <xdr:col>22</xdr:col>
      <xdr:colOff>30927</xdr:colOff>
      <xdr:row>3224</xdr:row>
      <xdr:rowOff>23254</xdr:rowOff>
    </xdr:to>
    <xdr:graphicFrame macro="">
      <xdr:nvGraphicFramePr>
        <xdr:cNvPr id="48" name="Chart 47">
          <a:extLst>
            <a:ext uri="{FF2B5EF4-FFF2-40B4-BE49-F238E27FC236}">
              <a16:creationId xmlns:a16="http://schemas.microsoft.com/office/drawing/2014/main" id="{7A338165-E665-4CCA-978C-9293599C76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xdr:col>
      <xdr:colOff>79787</xdr:colOff>
      <xdr:row>3227</xdr:row>
      <xdr:rowOff>13853</xdr:rowOff>
    </xdr:from>
    <xdr:to>
      <xdr:col>15</xdr:col>
      <xdr:colOff>272142</xdr:colOff>
      <xdr:row>3248</xdr:row>
      <xdr:rowOff>92775</xdr:rowOff>
    </xdr:to>
    <xdr:graphicFrame macro="">
      <xdr:nvGraphicFramePr>
        <xdr:cNvPr id="49" name="Chart 48">
          <a:extLst>
            <a:ext uri="{FF2B5EF4-FFF2-40B4-BE49-F238E27FC236}">
              <a16:creationId xmlns:a16="http://schemas.microsoft.com/office/drawing/2014/main" id="{10CF7D48-82E3-4629-879A-0F67E5E6FD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321623</xdr:colOff>
      <xdr:row>3249</xdr:row>
      <xdr:rowOff>112813</xdr:rowOff>
    </xdr:from>
    <xdr:to>
      <xdr:col>16</xdr:col>
      <xdr:colOff>37111</xdr:colOff>
      <xdr:row>3268</xdr:row>
      <xdr:rowOff>98961</xdr:rowOff>
    </xdr:to>
    <xdr:graphicFrame macro="">
      <xdr:nvGraphicFramePr>
        <xdr:cNvPr id="50" name="Chart 49">
          <a:extLst>
            <a:ext uri="{FF2B5EF4-FFF2-40B4-BE49-F238E27FC236}">
              <a16:creationId xmlns:a16="http://schemas.microsoft.com/office/drawing/2014/main" id="{8A448CB0-0EAF-4253-B5E4-AD56CAF013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14</xdr:col>
      <xdr:colOff>63500</xdr:colOff>
      <xdr:row>3353</xdr:row>
      <xdr:rowOff>23091</xdr:rowOff>
    </xdr:from>
    <xdr:to>
      <xdr:col>21</xdr:col>
      <xdr:colOff>40409</xdr:colOff>
      <xdr:row>3372</xdr:row>
      <xdr:rowOff>138545</xdr:rowOff>
    </xdr:to>
    <xdr:graphicFrame macro="">
      <xdr:nvGraphicFramePr>
        <xdr:cNvPr id="51" name="Chart 50">
          <a:extLst>
            <a:ext uri="{FF2B5EF4-FFF2-40B4-BE49-F238E27FC236}">
              <a16:creationId xmlns:a16="http://schemas.microsoft.com/office/drawing/2014/main" id="{B4287D4A-6EA7-4E98-943F-4CEA7355E7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14</xdr:col>
      <xdr:colOff>0</xdr:colOff>
      <xdr:row>3375</xdr:row>
      <xdr:rowOff>0</xdr:rowOff>
    </xdr:from>
    <xdr:to>
      <xdr:col>20</xdr:col>
      <xdr:colOff>629227</xdr:colOff>
      <xdr:row>3392</xdr:row>
      <xdr:rowOff>115454</xdr:rowOff>
    </xdr:to>
    <xdr:graphicFrame macro="">
      <xdr:nvGraphicFramePr>
        <xdr:cNvPr id="52" name="Chart 51">
          <a:extLst>
            <a:ext uri="{FF2B5EF4-FFF2-40B4-BE49-F238E27FC236}">
              <a16:creationId xmlns:a16="http://schemas.microsoft.com/office/drawing/2014/main" id="{68684B79-752C-4436-98D4-05A3113F94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11</xdr:col>
      <xdr:colOff>531091</xdr:colOff>
      <xdr:row>3481</xdr:row>
      <xdr:rowOff>40408</xdr:rowOff>
    </xdr:from>
    <xdr:to>
      <xdr:col>19</xdr:col>
      <xdr:colOff>288636</xdr:colOff>
      <xdr:row>3501</xdr:row>
      <xdr:rowOff>98136</xdr:rowOff>
    </xdr:to>
    <xdr:graphicFrame macro="">
      <xdr:nvGraphicFramePr>
        <xdr:cNvPr id="54" name="Chart 53">
          <a:extLst>
            <a:ext uri="{FF2B5EF4-FFF2-40B4-BE49-F238E27FC236}">
              <a16:creationId xmlns:a16="http://schemas.microsoft.com/office/drawing/2014/main" id="{2DD38D67-D5EA-40F2-BCB7-C3343CB465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4</xdr:col>
      <xdr:colOff>2193</xdr:colOff>
      <xdr:row>3508</xdr:row>
      <xdr:rowOff>155286</xdr:rowOff>
    </xdr:from>
    <xdr:to>
      <xdr:col>11</xdr:col>
      <xdr:colOff>531091</xdr:colOff>
      <xdr:row>3526</xdr:row>
      <xdr:rowOff>173181</xdr:rowOff>
    </xdr:to>
    <xdr:graphicFrame macro="">
      <xdr:nvGraphicFramePr>
        <xdr:cNvPr id="60" name="Chart 59">
          <a:extLst>
            <a:ext uri="{FF2B5EF4-FFF2-40B4-BE49-F238E27FC236}">
              <a16:creationId xmlns:a16="http://schemas.microsoft.com/office/drawing/2014/main" id="{761E8E24-1421-4A21-91C6-C19BBEA826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14</xdr:col>
      <xdr:colOff>150092</xdr:colOff>
      <xdr:row>3512</xdr:row>
      <xdr:rowOff>109104</xdr:rowOff>
    </xdr:from>
    <xdr:to>
      <xdr:col>21</xdr:col>
      <xdr:colOff>138546</xdr:colOff>
      <xdr:row>3530</xdr:row>
      <xdr:rowOff>40408</xdr:rowOff>
    </xdr:to>
    <xdr:graphicFrame macro="">
      <xdr:nvGraphicFramePr>
        <xdr:cNvPr id="61" name="Chart 60">
          <a:extLst>
            <a:ext uri="{FF2B5EF4-FFF2-40B4-BE49-F238E27FC236}">
              <a16:creationId xmlns:a16="http://schemas.microsoft.com/office/drawing/2014/main" id="{FD6F310D-8A2B-4BFA-841C-A1ED15AE9E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8</xdr:col>
      <xdr:colOff>340591</xdr:colOff>
      <xdr:row>3580</xdr:row>
      <xdr:rowOff>137968</xdr:rowOff>
    </xdr:from>
    <xdr:to>
      <xdr:col>14</xdr:col>
      <xdr:colOff>161638</xdr:colOff>
      <xdr:row>3595</xdr:row>
      <xdr:rowOff>110259</xdr:rowOff>
    </xdr:to>
    <xdr:graphicFrame macro="">
      <xdr:nvGraphicFramePr>
        <xdr:cNvPr id="53" name="Chart 52">
          <a:extLst>
            <a:ext uri="{FF2B5EF4-FFF2-40B4-BE49-F238E27FC236}">
              <a16:creationId xmlns:a16="http://schemas.microsoft.com/office/drawing/2014/main" id="{914ED2E5-71A4-EF88-8D4D-B56B840C87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15</xdr:col>
      <xdr:colOff>288636</xdr:colOff>
      <xdr:row>3618</xdr:row>
      <xdr:rowOff>16741</xdr:rowOff>
    </xdr:from>
    <xdr:to>
      <xdr:col>22</xdr:col>
      <xdr:colOff>294409</xdr:colOff>
      <xdr:row>3632</xdr:row>
      <xdr:rowOff>173759</xdr:rowOff>
    </xdr:to>
    <xdr:graphicFrame macro="">
      <xdr:nvGraphicFramePr>
        <xdr:cNvPr id="55" name="Chart 54">
          <a:extLst>
            <a:ext uri="{FF2B5EF4-FFF2-40B4-BE49-F238E27FC236}">
              <a16:creationId xmlns:a16="http://schemas.microsoft.com/office/drawing/2014/main" id="{F815A7F5-97E4-F0A5-ABE6-F08E23D993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15</xdr:col>
      <xdr:colOff>219364</xdr:colOff>
      <xdr:row>3634</xdr:row>
      <xdr:rowOff>69273</xdr:rowOff>
    </xdr:from>
    <xdr:to>
      <xdr:col>22</xdr:col>
      <xdr:colOff>225137</xdr:colOff>
      <xdr:row>3649</xdr:row>
      <xdr:rowOff>41564</xdr:rowOff>
    </xdr:to>
    <xdr:graphicFrame macro="">
      <xdr:nvGraphicFramePr>
        <xdr:cNvPr id="56" name="Chart 55">
          <a:extLst>
            <a:ext uri="{FF2B5EF4-FFF2-40B4-BE49-F238E27FC236}">
              <a16:creationId xmlns:a16="http://schemas.microsoft.com/office/drawing/2014/main" id="{D8543987-B937-48CB-B9B3-CB7247CD7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11</xdr:col>
      <xdr:colOff>98136</xdr:colOff>
      <xdr:row>3653</xdr:row>
      <xdr:rowOff>111990</xdr:rowOff>
    </xdr:from>
    <xdr:to>
      <xdr:col>18</xdr:col>
      <xdr:colOff>305954</xdr:colOff>
      <xdr:row>3671</xdr:row>
      <xdr:rowOff>23090</xdr:rowOff>
    </xdr:to>
    <xdr:graphicFrame macro="">
      <xdr:nvGraphicFramePr>
        <xdr:cNvPr id="57" name="Chart 56">
          <a:extLst>
            <a:ext uri="{FF2B5EF4-FFF2-40B4-BE49-F238E27FC236}">
              <a16:creationId xmlns:a16="http://schemas.microsoft.com/office/drawing/2014/main" id="{84D25148-F687-59F2-5BC7-709B30BA05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15</xdr:col>
      <xdr:colOff>28865</xdr:colOff>
      <xdr:row>3672</xdr:row>
      <xdr:rowOff>149513</xdr:rowOff>
    </xdr:from>
    <xdr:to>
      <xdr:col>22</xdr:col>
      <xdr:colOff>531091</xdr:colOff>
      <xdr:row>3689</xdr:row>
      <xdr:rowOff>80818</xdr:rowOff>
    </xdr:to>
    <xdr:graphicFrame macro="">
      <xdr:nvGraphicFramePr>
        <xdr:cNvPr id="58" name="Chart 57">
          <a:extLst>
            <a:ext uri="{FF2B5EF4-FFF2-40B4-BE49-F238E27FC236}">
              <a16:creationId xmlns:a16="http://schemas.microsoft.com/office/drawing/2014/main" id="{3A6E4F35-0E34-0C02-F569-52DD45F35F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9</xdr:col>
      <xdr:colOff>0</xdr:colOff>
      <xdr:row>3699</xdr:row>
      <xdr:rowOff>0</xdr:rowOff>
    </xdr:from>
    <xdr:to>
      <xdr:col>16</xdr:col>
      <xdr:colOff>630786</xdr:colOff>
      <xdr:row>3716</xdr:row>
      <xdr:rowOff>116032</xdr:rowOff>
    </xdr:to>
    <xdr:graphicFrame macro="">
      <xdr:nvGraphicFramePr>
        <xdr:cNvPr id="59" name="Chart 58">
          <a:extLst>
            <a:ext uri="{FF2B5EF4-FFF2-40B4-BE49-F238E27FC236}">
              <a16:creationId xmlns:a16="http://schemas.microsoft.com/office/drawing/2014/main" id="{7D0803FA-190F-4A50-AA0C-0DE637161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502228</xdr:colOff>
      <xdr:row>3678</xdr:row>
      <xdr:rowOff>155286</xdr:rowOff>
    </xdr:from>
    <xdr:to>
      <xdr:col>13</xdr:col>
      <xdr:colOff>623454</xdr:colOff>
      <xdr:row>3694</xdr:row>
      <xdr:rowOff>75044</xdr:rowOff>
    </xdr:to>
    <xdr:graphicFrame macro="">
      <xdr:nvGraphicFramePr>
        <xdr:cNvPr id="62" name="Chart 61">
          <a:extLst>
            <a:ext uri="{FF2B5EF4-FFF2-40B4-BE49-F238E27FC236}">
              <a16:creationId xmlns:a16="http://schemas.microsoft.com/office/drawing/2014/main" id="{A575FFF9-A900-7108-027F-337CE3B13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8</xdr:col>
      <xdr:colOff>496454</xdr:colOff>
      <xdr:row>3720</xdr:row>
      <xdr:rowOff>155286</xdr:rowOff>
    </xdr:from>
    <xdr:to>
      <xdr:col>15</xdr:col>
      <xdr:colOff>629227</xdr:colOff>
      <xdr:row>3735</xdr:row>
      <xdr:rowOff>127577</xdr:rowOff>
    </xdr:to>
    <xdr:graphicFrame macro="">
      <xdr:nvGraphicFramePr>
        <xdr:cNvPr id="65" name="Chart 64">
          <a:extLst>
            <a:ext uri="{FF2B5EF4-FFF2-40B4-BE49-F238E27FC236}">
              <a16:creationId xmlns:a16="http://schemas.microsoft.com/office/drawing/2014/main" id="{E4E7042F-4273-9D39-D75A-DB4FFCF22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9</xdr:col>
      <xdr:colOff>0</xdr:colOff>
      <xdr:row>3738</xdr:row>
      <xdr:rowOff>0</xdr:rowOff>
    </xdr:from>
    <xdr:to>
      <xdr:col>16</xdr:col>
      <xdr:colOff>132773</xdr:colOff>
      <xdr:row>3752</xdr:row>
      <xdr:rowOff>157019</xdr:rowOff>
    </xdr:to>
    <xdr:graphicFrame macro="">
      <xdr:nvGraphicFramePr>
        <xdr:cNvPr id="66" name="Chart 65">
          <a:extLst>
            <a:ext uri="{FF2B5EF4-FFF2-40B4-BE49-F238E27FC236}">
              <a16:creationId xmlns:a16="http://schemas.microsoft.com/office/drawing/2014/main" id="{78DB7B44-96EA-4967-9CBF-4337BD3F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14</xdr:col>
      <xdr:colOff>646321</xdr:colOff>
      <xdr:row>3778</xdr:row>
      <xdr:rowOff>129085</xdr:rowOff>
    </xdr:from>
    <xdr:to>
      <xdr:col>24</xdr:col>
      <xdr:colOff>519544</xdr:colOff>
      <xdr:row>3800</xdr:row>
      <xdr:rowOff>96358</xdr:rowOff>
    </xdr:to>
    <xdr:graphicFrame macro="">
      <xdr:nvGraphicFramePr>
        <xdr:cNvPr id="63" name="Chart 62">
          <a:extLst>
            <a:ext uri="{FF2B5EF4-FFF2-40B4-BE49-F238E27FC236}">
              <a16:creationId xmlns:a16="http://schemas.microsoft.com/office/drawing/2014/main" id="{EB9C2166-BFD2-4D66-9F9D-BC8B5F262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16</xdr:col>
      <xdr:colOff>363684</xdr:colOff>
      <xdr:row>3802</xdr:row>
      <xdr:rowOff>80818</xdr:rowOff>
    </xdr:from>
    <xdr:to>
      <xdr:col>26</xdr:col>
      <xdr:colOff>225137</xdr:colOff>
      <xdr:row>3825</xdr:row>
      <xdr:rowOff>44094</xdr:rowOff>
    </xdr:to>
    <xdr:graphicFrame macro="">
      <xdr:nvGraphicFramePr>
        <xdr:cNvPr id="64" name="Chart 63">
          <a:extLst>
            <a:ext uri="{FF2B5EF4-FFF2-40B4-BE49-F238E27FC236}">
              <a16:creationId xmlns:a16="http://schemas.microsoft.com/office/drawing/2014/main" id="{86820A11-C47B-4DA2-97E6-1AE09B5C5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18</xdr:col>
      <xdr:colOff>270566</xdr:colOff>
      <xdr:row>3850</xdr:row>
      <xdr:rowOff>124791</xdr:rowOff>
    </xdr:from>
    <xdr:to>
      <xdr:col>28</xdr:col>
      <xdr:colOff>381001</xdr:colOff>
      <xdr:row>3881</xdr:row>
      <xdr:rowOff>143565</xdr:rowOff>
    </xdr:to>
    <xdr:graphicFrame macro="">
      <xdr:nvGraphicFramePr>
        <xdr:cNvPr id="71" name="Chart 70">
          <a:extLst>
            <a:ext uri="{FF2B5EF4-FFF2-40B4-BE49-F238E27FC236}">
              <a16:creationId xmlns:a16="http://schemas.microsoft.com/office/drawing/2014/main" id="{DC3472D8-C30E-42C9-BE8E-3F67EBDDD9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95250</xdr:colOff>
      <xdr:row>3891</xdr:row>
      <xdr:rowOff>133350</xdr:rowOff>
    </xdr:from>
    <xdr:to>
      <xdr:col>10</xdr:col>
      <xdr:colOff>30480</xdr:colOff>
      <xdr:row>3905</xdr:row>
      <xdr:rowOff>68580</xdr:rowOff>
    </xdr:to>
    <xdr:pic>
      <xdr:nvPicPr>
        <xdr:cNvPr id="67" name="Picture 7">
          <a:extLst>
            <a:ext uri="{FF2B5EF4-FFF2-40B4-BE49-F238E27FC236}">
              <a16:creationId xmlns:a16="http://schemas.microsoft.com/office/drawing/2014/main" id="{B4EF5BFA-D59E-59CE-3F24-C73A14161369}"/>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735330" y="691130190"/>
          <a:ext cx="6998970" cy="249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110435</xdr:colOff>
      <xdr:row>3942</xdr:row>
      <xdr:rowOff>127001</xdr:rowOff>
    </xdr:from>
    <xdr:to>
      <xdr:col>24</xdr:col>
      <xdr:colOff>121478</xdr:colOff>
      <xdr:row>3960</xdr:row>
      <xdr:rowOff>60188</xdr:rowOff>
    </xdr:to>
    <xdr:graphicFrame macro="">
      <xdr:nvGraphicFramePr>
        <xdr:cNvPr id="68" name="Chart 67">
          <a:extLst>
            <a:ext uri="{FF2B5EF4-FFF2-40B4-BE49-F238E27FC236}">
              <a16:creationId xmlns:a16="http://schemas.microsoft.com/office/drawing/2014/main" id="{9E6AEC66-8BDC-239B-BAAB-31E6BB7EED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17</xdr:col>
      <xdr:colOff>165653</xdr:colOff>
      <xdr:row>3892</xdr:row>
      <xdr:rowOff>22638</xdr:rowOff>
    </xdr:from>
    <xdr:to>
      <xdr:col>24</xdr:col>
      <xdr:colOff>176696</xdr:colOff>
      <xdr:row>3908</xdr:row>
      <xdr:rowOff>5522</xdr:rowOff>
    </xdr:to>
    <xdr:graphicFrame macro="">
      <xdr:nvGraphicFramePr>
        <xdr:cNvPr id="69" name="Chart 68">
          <a:extLst>
            <a:ext uri="{FF2B5EF4-FFF2-40B4-BE49-F238E27FC236}">
              <a16:creationId xmlns:a16="http://schemas.microsoft.com/office/drawing/2014/main" id="{4B1DE24B-2B08-AF29-626F-3CE86E57B6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17</xdr:col>
      <xdr:colOff>104914</xdr:colOff>
      <xdr:row>3912</xdr:row>
      <xdr:rowOff>6075</xdr:rowOff>
    </xdr:from>
    <xdr:to>
      <xdr:col>24</xdr:col>
      <xdr:colOff>115957</xdr:colOff>
      <xdr:row>3933</xdr:row>
      <xdr:rowOff>16014</xdr:rowOff>
    </xdr:to>
    <xdr:graphicFrame macro="">
      <xdr:nvGraphicFramePr>
        <xdr:cNvPr id="70" name="Chart 69">
          <a:extLst>
            <a:ext uri="{FF2B5EF4-FFF2-40B4-BE49-F238E27FC236}">
              <a16:creationId xmlns:a16="http://schemas.microsoft.com/office/drawing/2014/main" id="{55BC6660-1CDB-FE88-B6A1-5BCE6DEFD4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25</xdr:col>
      <xdr:colOff>0</xdr:colOff>
      <xdr:row>3912</xdr:row>
      <xdr:rowOff>0</xdr:rowOff>
    </xdr:from>
    <xdr:to>
      <xdr:col>32</xdr:col>
      <xdr:colOff>88348</xdr:colOff>
      <xdr:row>3933</xdr:row>
      <xdr:rowOff>9939</xdr:rowOff>
    </xdr:to>
    <xdr:graphicFrame macro="">
      <xdr:nvGraphicFramePr>
        <xdr:cNvPr id="72" name="Chart 71">
          <a:extLst>
            <a:ext uri="{FF2B5EF4-FFF2-40B4-BE49-F238E27FC236}">
              <a16:creationId xmlns:a16="http://schemas.microsoft.com/office/drawing/2014/main" id="{8F0C039D-BE27-4976-AF0D-5768A598F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5</xdr:col>
      <xdr:colOff>0</xdr:colOff>
      <xdr:row>3948</xdr:row>
      <xdr:rowOff>0</xdr:rowOff>
    </xdr:from>
    <xdr:to>
      <xdr:col>12</xdr:col>
      <xdr:colOff>71783</xdr:colOff>
      <xdr:row>3969</xdr:row>
      <xdr:rowOff>9939</xdr:rowOff>
    </xdr:to>
    <xdr:graphicFrame macro="">
      <xdr:nvGraphicFramePr>
        <xdr:cNvPr id="73" name="Chart 72">
          <a:extLst>
            <a:ext uri="{FF2B5EF4-FFF2-40B4-BE49-F238E27FC236}">
              <a16:creationId xmlns:a16="http://schemas.microsoft.com/office/drawing/2014/main" id="{597DE645-E49D-4404-80C4-2A39A99EE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5</xdr:col>
      <xdr:colOff>259522</xdr:colOff>
      <xdr:row>3976</xdr:row>
      <xdr:rowOff>83378</xdr:rowOff>
    </xdr:from>
    <xdr:to>
      <xdr:col>12</xdr:col>
      <xdr:colOff>33131</xdr:colOff>
      <xdr:row>3996</xdr:row>
      <xdr:rowOff>138043</xdr:rowOff>
    </xdr:to>
    <xdr:graphicFrame macro="">
      <xdr:nvGraphicFramePr>
        <xdr:cNvPr id="74" name="Chart 73">
          <a:extLst>
            <a:ext uri="{FF2B5EF4-FFF2-40B4-BE49-F238E27FC236}">
              <a16:creationId xmlns:a16="http://schemas.microsoft.com/office/drawing/2014/main" id="{5C5B5431-43D8-9A61-6E5C-9745054402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14</xdr:col>
      <xdr:colOff>82826</xdr:colOff>
      <xdr:row>3978</xdr:row>
      <xdr:rowOff>33683</xdr:rowOff>
    </xdr:from>
    <xdr:to>
      <xdr:col>21</xdr:col>
      <xdr:colOff>93870</xdr:colOff>
      <xdr:row>3997</xdr:row>
      <xdr:rowOff>165652</xdr:rowOff>
    </xdr:to>
    <xdr:graphicFrame macro="">
      <xdr:nvGraphicFramePr>
        <xdr:cNvPr id="75" name="Chart 74">
          <a:extLst>
            <a:ext uri="{FF2B5EF4-FFF2-40B4-BE49-F238E27FC236}">
              <a16:creationId xmlns:a16="http://schemas.microsoft.com/office/drawing/2014/main" id="{1047C010-8DCB-8CF9-9805-C7F1DCBE20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14</xdr:col>
      <xdr:colOff>0</xdr:colOff>
      <xdr:row>4000</xdr:row>
      <xdr:rowOff>0</xdr:rowOff>
    </xdr:from>
    <xdr:to>
      <xdr:col>21</xdr:col>
      <xdr:colOff>11044</xdr:colOff>
      <xdr:row>4019</xdr:row>
      <xdr:rowOff>131970</xdr:rowOff>
    </xdr:to>
    <xdr:graphicFrame macro="">
      <xdr:nvGraphicFramePr>
        <xdr:cNvPr id="76" name="Chart 75">
          <a:extLst>
            <a:ext uri="{FF2B5EF4-FFF2-40B4-BE49-F238E27FC236}">
              <a16:creationId xmlns:a16="http://schemas.microsoft.com/office/drawing/2014/main" id="{EB21F648-53C4-46F2-B16A-443EE99389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5</xdr:col>
      <xdr:colOff>386521</xdr:colOff>
      <xdr:row>4028</xdr:row>
      <xdr:rowOff>33129</xdr:rowOff>
    </xdr:from>
    <xdr:to>
      <xdr:col>15</xdr:col>
      <xdr:colOff>287130</xdr:colOff>
      <xdr:row>4052</xdr:row>
      <xdr:rowOff>5521</xdr:rowOff>
    </xdr:to>
    <xdr:graphicFrame macro="">
      <xdr:nvGraphicFramePr>
        <xdr:cNvPr id="80" name="Chart 79">
          <a:extLst>
            <a:ext uri="{FF2B5EF4-FFF2-40B4-BE49-F238E27FC236}">
              <a16:creationId xmlns:a16="http://schemas.microsoft.com/office/drawing/2014/main" id="{28B9FAEE-137E-C612-71CC-968D6A1E3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17</xdr:col>
      <xdr:colOff>0</xdr:colOff>
      <xdr:row>4027</xdr:row>
      <xdr:rowOff>0</xdr:rowOff>
    </xdr:from>
    <xdr:to>
      <xdr:col>26</xdr:col>
      <xdr:colOff>441739</xdr:colOff>
      <xdr:row>4051</xdr:row>
      <xdr:rowOff>120925</xdr:rowOff>
    </xdr:to>
    <xdr:graphicFrame macro="">
      <xdr:nvGraphicFramePr>
        <xdr:cNvPr id="82" name="Chart 81">
          <a:extLst>
            <a:ext uri="{FF2B5EF4-FFF2-40B4-BE49-F238E27FC236}">
              <a16:creationId xmlns:a16="http://schemas.microsoft.com/office/drawing/2014/main" id="{3D10721B-3CB5-402D-8206-753B7B3D8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7</xdr:col>
      <xdr:colOff>156514</xdr:colOff>
      <xdr:row>4062</xdr:row>
      <xdr:rowOff>45996</xdr:rowOff>
    </xdr:from>
    <xdr:to>
      <xdr:col>16</xdr:col>
      <xdr:colOff>463826</xdr:colOff>
      <xdr:row>4080</xdr:row>
      <xdr:rowOff>177965</xdr:rowOff>
    </xdr:to>
    <xdr:graphicFrame macro="">
      <xdr:nvGraphicFramePr>
        <xdr:cNvPr id="77" name="Chart 76">
          <a:extLst>
            <a:ext uri="{FF2B5EF4-FFF2-40B4-BE49-F238E27FC236}">
              <a16:creationId xmlns:a16="http://schemas.microsoft.com/office/drawing/2014/main" id="{15FD5FE7-94B0-8D30-877B-82B45FEF1A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8</xdr:col>
      <xdr:colOff>276086</xdr:colOff>
      <xdr:row>4186</xdr:row>
      <xdr:rowOff>39204</xdr:rowOff>
    </xdr:from>
    <xdr:to>
      <xdr:col>17</xdr:col>
      <xdr:colOff>601869</xdr:colOff>
      <xdr:row>4210</xdr:row>
      <xdr:rowOff>33130</xdr:rowOff>
    </xdr:to>
    <xdr:graphicFrame macro="">
      <xdr:nvGraphicFramePr>
        <xdr:cNvPr id="78" name="Chart 77">
          <a:extLst>
            <a:ext uri="{FF2B5EF4-FFF2-40B4-BE49-F238E27FC236}">
              <a16:creationId xmlns:a16="http://schemas.microsoft.com/office/drawing/2014/main" id="{882EE252-2F43-B8B9-9298-B6514FFC0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8</xdr:col>
      <xdr:colOff>530087</xdr:colOff>
      <xdr:row>4214</xdr:row>
      <xdr:rowOff>66813</xdr:rowOff>
    </xdr:from>
    <xdr:to>
      <xdr:col>16</xdr:col>
      <xdr:colOff>11044</xdr:colOff>
      <xdr:row>4229</xdr:row>
      <xdr:rowOff>76752</xdr:rowOff>
    </xdr:to>
    <xdr:graphicFrame macro="">
      <xdr:nvGraphicFramePr>
        <xdr:cNvPr id="79" name="Chart 78">
          <a:extLst>
            <a:ext uri="{FF2B5EF4-FFF2-40B4-BE49-F238E27FC236}">
              <a16:creationId xmlns:a16="http://schemas.microsoft.com/office/drawing/2014/main" id="{0A088393-3A27-2B11-0680-04CFC6D6BB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2</xdr:col>
      <xdr:colOff>77305</xdr:colOff>
      <xdr:row>4288</xdr:row>
      <xdr:rowOff>22639</xdr:rowOff>
    </xdr:from>
    <xdr:to>
      <xdr:col>9</xdr:col>
      <xdr:colOff>88349</xdr:colOff>
      <xdr:row>4303</xdr:row>
      <xdr:rowOff>32578</xdr:rowOff>
    </xdr:to>
    <xdr:graphicFrame macro="">
      <xdr:nvGraphicFramePr>
        <xdr:cNvPr id="81" name="Chart 80">
          <a:extLst>
            <a:ext uri="{FF2B5EF4-FFF2-40B4-BE49-F238E27FC236}">
              <a16:creationId xmlns:a16="http://schemas.microsoft.com/office/drawing/2014/main" id="{A1480C52-33AC-B35C-ABD2-AD2B32D922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12</xdr:col>
      <xdr:colOff>380999</xdr:colOff>
      <xdr:row>4295</xdr:row>
      <xdr:rowOff>50247</xdr:rowOff>
    </xdr:from>
    <xdr:to>
      <xdr:col>21</xdr:col>
      <xdr:colOff>187739</xdr:colOff>
      <xdr:row>4314</xdr:row>
      <xdr:rowOff>110434</xdr:rowOff>
    </xdr:to>
    <xdr:graphicFrame macro="">
      <xdr:nvGraphicFramePr>
        <xdr:cNvPr id="83" name="Chart 82">
          <a:extLst>
            <a:ext uri="{FF2B5EF4-FFF2-40B4-BE49-F238E27FC236}">
              <a16:creationId xmlns:a16="http://schemas.microsoft.com/office/drawing/2014/main" id="{9D73CEAA-8C4D-C575-5DC4-657F422FCA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2</xdr:col>
      <xdr:colOff>193261</xdr:colOff>
      <xdr:row>4319</xdr:row>
      <xdr:rowOff>138596</xdr:rowOff>
    </xdr:from>
    <xdr:to>
      <xdr:col>9</xdr:col>
      <xdr:colOff>204305</xdr:colOff>
      <xdr:row>4334</xdr:row>
      <xdr:rowOff>148535</xdr:rowOff>
    </xdr:to>
    <xdr:graphicFrame macro="">
      <xdr:nvGraphicFramePr>
        <xdr:cNvPr id="84" name="Chart 83">
          <a:extLst>
            <a:ext uri="{FF2B5EF4-FFF2-40B4-BE49-F238E27FC236}">
              <a16:creationId xmlns:a16="http://schemas.microsoft.com/office/drawing/2014/main" id="{69F385E7-032F-ADAD-C4AD-4346859780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15</xdr:col>
      <xdr:colOff>537701</xdr:colOff>
      <xdr:row>4380</xdr:row>
      <xdr:rowOff>158544</xdr:rowOff>
    </xdr:from>
    <xdr:to>
      <xdr:col>23</xdr:col>
      <xdr:colOff>184355</xdr:colOff>
      <xdr:row>4402</xdr:row>
      <xdr:rowOff>43015</xdr:rowOff>
    </xdr:to>
    <xdr:graphicFrame macro="">
      <xdr:nvGraphicFramePr>
        <xdr:cNvPr id="86" name="Chart 85">
          <a:extLst>
            <a:ext uri="{FF2B5EF4-FFF2-40B4-BE49-F238E27FC236}">
              <a16:creationId xmlns:a16="http://schemas.microsoft.com/office/drawing/2014/main" id="{E6835E1D-CF13-5299-2210-A4A14856B1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15</xdr:col>
      <xdr:colOff>574571</xdr:colOff>
      <xdr:row>4402</xdr:row>
      <xdr:rowOff>158544</xdr:rowOff>
    </xdr:from>
    <xdr:to>
      <xdr:col>23</xdr:col>
      <xdr:colOff>12290</xdr:colOff>
      <xdr:row>4420</xdr:row>
      <xdr:rowOff>165919</xdr:rowOff>
    </xdr:to>
    <xdr:graphicFrame macro="">
      <xdr:nvGraphicFramePr>
        <xdr:cNvPr id="88" name="Chart 87">
          <a:extLst>
            <a:ext uri="{FF2B5EF4-FFF2-40B4-BE49-F238E27FC236}">
              <a16:creationId xmlns:a16="http://schemas.microsoft.com/office/drawing/2014/main" id="{905CF7EE-F23D-DBF1-3BBC-FB9D25AFE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2</xdr:col>
      <xdr:colOff>101395</xdr:colOff>
      <xdr:row>4410</xdr:row>
      <xdr:rowOff>103239</xdr:rowOff>
    </xdr:from>
    <xdr:to>
      <xdr:col>9</xdr:col>
      <xdr:colOff>113685</xdr:colOff>
      <xdr:row>4425</xdr:row>
      <xdr:rowOff>81116</xdr:rowOff>
    </xdr:to>
    <xdr:graphicFrame macro="">
      <xdr:nvGraphicFramePr>
        <xdr:cNvPr id="90" name="Chart 89">
          <a:extLst>
            <a:ext uri="{FF2B5EF4-FFF2-40B4-BE49-F238E27FC236}">
              <a16:creationId xmlns:a16="http://schemas.microsoft.com/office/drawing/2014/main" id="{1E17CA14-85D0-9D10-6334-33DB90B493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2</xdr:col>
      <xdr:colOff>531556</xdr:colOff>
      <xdr:row>4427</xdr:row>
      <xdr:rowOff>84803</xdr:rowOff>
    </xdr:from>
    <xdr:to>
      <xdr:col>9</xdr:col>
      <xdr:colOff>543846</xdr:colOff>
      <xdr:row>4442</xdr:row>
      <xdr:rowOff>62681</xdr:rowOff>
    </xdr:to>
    <xdr:graphicFrame macro="">
      <xdr:nvGraphicFramePr>
        <xdr:cNvPr id="91" name="Chart 90">
          <a:extLst>
            <a:ext uri="{FF2B5EF4-FFF2-40B4-BE49-F238E27FC236}">
              <a16:creationId xmlns:a16="http://schemas.microsoft.com/office/drawing/2014/main" id="{E2D85D4C-0713-839A-96B6-99C0EF6F4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1901</xdr:row>
      <xdr:rowOff>0</xdr:rowOff>
    </xdr:from>
    <xdr:to>
      <xdr:col>5</xdr:col>
      <xdr:colOff>190500</xdr:colOff>
      <xdr:row>1919</xdr:row>
      <xdr:rowOff>28575</xdr:rowOff>
    </xdr:to>
    <xdr:pic>
      <xdr:nvPicPr>
        <xdr:cNvPr id="2" name="Picture 1" descr="image001">
          <a:extLst>
            <a:ext uri="{FF2B5EF4-FFF2-40B4-BE49-F238E27FC236}">
              <a16:creationId xmlns:a16="http://schemas.microsoft.com/office/drawing/2014/main" id="{E558C480-47C4-4BBA-B7A7-5642C77BB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62045250"/>
          <a:ext cx="427672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61232</xdr:colOff>
      <xdr:row>2416</xdr:row>
      <xdr:rowOff>95250</xdr:rowOff>
    </xdr:from>
    <xdr:to>
      <xdr:col>19</xdr:col>
      <xdr:colOff>448839</xdr:colOff>
      <xdr:row>2440</xdr:row>
      <xdr:rowOff>126631</xdr:rowOff>
    </xdr:to>
    <xdr:pic>
      <xdr:nvPicPr>
        <xdr:cNvPr id="3" name="Picture 2">
          <a:extLst>
            <a:ext uri="{FF2B5EF4-FFF2-40B4-BE49-F238E27FC236}">
              <a16:creationId xmlns:a16="http://schemas.microsoft.com/office/drawing/2014/main" id="{FE8DDE1E-C23D-466A-BE93-5AC2BFDDBB69}"/>
            </a:ext>
          </a:extLst>
        </xdr:cNvPr>
        <xdr:cNvPicPr>
          <a:picLocks noChangeAspect="1"/>
        </xdr:cNvPicPr>
      </xdr:nvPicPr>
      <xdr:blipFill>
        <a:blip xmlns:r="http://schemas.openxmlformats.org/officeDocument/2006/relationships" r:embed="rId2"/>
        <a:stretch>
          <a:fillRect/>
        </a:stretch>
      </xdr:blipFill>
      <xdr:spPr>
        <a:xfrm>
          <a:off x="9756322" y="443905821"/>
          <a:ext cx="5599777" cy="4432794"/>
        </a:xfrm>
        <a:prstGeom prst="rect">
          <a:avLst/>
        </a:prstGeom>
      </xdr:spPr>
    </xdr:pic>
    <xdr:clientData/>
  </xdr:twoCellAnchor>
  <xdr:twoCellAnchor>
    <xdr:from>
      <xdr:col>9</xdr:col>
      <xdr:colOff>170605</xdr:colOff>
      <xdr:row>2692</xdr:row>
      <xdr:rowOff>168676</xdr:rowOff>
    </xdr:from>
    <xdr:to>
      <xdr:col>14</xdr:col>
      <xdr:colOff>343624</xdr:colOff>
      <xdr:row>2708</xdr:row>
      <xdr:rowOff>18206</xdr:rowOff>
    </xdr:to>
    <xdr:graphicFrame macro="">
      <xdr:nvGraphicFramePr>
        <xdr:cNvPr id="4" name="Chart 3">
          <a:extLst>
            <a:ext uri="{FF2B5EF4-FFF2-40B4-BE49-F238E27FC236}">
              <a16:creationId xmlns:a16="http://schemas.microsoft.com/office/drawing/2014/main" id="{9499F51C-7E7D-431F-A9D0-4ACB6B7A2D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2693</xdr:row>
      <xdr:rowOff>0</xdr:rowOff>
    </xdr:from>
    <xdr:to>
      <xdr:col>20</xdr:col>
      <xdr:colOff>166990</xdr:colOff>
      <xdr:row>2708</xdr:row>
      <xdr:rowOff>30384</xdr:rowOff>
    </xdr:to>
    <xdr:graphicFrame macro="">
      <xdr:nvGraphicFramePr>
        <xdr:cNvPr id="5" name="Chart 4">
          <a:extLst>
            <a:ext uri="{FF2B5EF4-FFF2-40B4-BE49-F238E27FC236}">
              <a16:creationId xmlns:a16="http://schemas.microsoft.com/office/drawing/2014/main" id="{6CD7F850-6B8C-49CC-B7E8-DF650D9D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236315</xdr:colOff>
      <xdr:row>3401</xdr:row>
      <xdr:rowOff>171691</xdr:rowOff>
    </xdr:from>
    <xdr:to>
      <xdr:col>11</xdr:col>
      <xdr:colOff>106100</xdr:colOff>
      <xdr:row>3419</xdr:row>
      <xdr:rowOff>125392</xdr:rowOff>
    </xdr:to>
    <xdr:graphicFrame macro="">
      <xdr:nvGraphicFramePr>
        <xdr:cNvPr id="6" name="Chart 5">
          <a:extLst>
            <a:ext uri="{FF2B5EF4-FFF2-40B4-BE49-F238E27FC236}">
              <a16:creationId xmlns:a16="http://schemas.microsoft.com/office/drawing/2014/main" id="{0F5BDD08-54B9-488D-B5D9-0247BF7F06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247384</xdr:colOff>
      <xdr:row>91</xdr:row>
      <xdr:rowOff>176212</xdr:rowOff>
    </xdr:from>
    <xdr:to>
      <xdr:col>23</xdr:col>
      <xdr:colOff>264581</xdr:colOff>
      <xdr:row>111</xdr:row>
      <xdr:rowOff>13229</xdr:rowOff>
    </xdr:to>
    <xdr:graphicFrame macro="">
      <xdr:nvGraphicFramePr>
        <xdr:cNvPr id="3" name="Chart 2">
          <a:extLst>
            <a:ext uri="{FF2B5EF4-FFF2-40B4-BE49-F238E27FC236}">
              <a16:creationId xmlns:a16="http://schemas.microsoft.com/office/drawing/2014/main" id="{E2B6142D-6A3B-DE18-57FA-64699F5D2A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21</xdr:col>
      <xdr:colOff>88445</xdr:colOff>
      <xdr:row>190</xdr:row>
      <xdr:rowOff>172810</xdr:rowOff>
    </xdr:from>
    <xdr:to>
      <xdr:col>27</xdr:col>
      <xdr:colOff>557893</xdr:colOff>
      <xdr:row>206</xdr:row>
      <xdr:rowOff>68036</xdr:rowOff>
    </xdr:to>
    <xdr:graphicFrame macro="">
      <xdr:nvGraphicFramePr>
        <xdr:cNvPr id="2" name="Chart 1">
          <a:extLst>
            <a:ext uri="{FF2B5EF4-FFF2-40B4-BE49-F238E27FC236}">
              <a16:creationId xmlns:a16="http://schemas.microsoft.com/office/drawing/2014/main" id="{BFAA3434-A518-2A1C-7C7E-F06DDC8129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340179</xdr:colOff>
      <xdr:row>85</xdr:row>
      <xdr:rowOff>132527</xdr:rowOff>
    </xdr:from>
    <xdr:to>
      <xdr:col>27</xdr:col>
      <xdr:colOff>416379</xdr:colOff>
      <xdr:row>100</xdr:row>
      <xdr:rowOff>99870</xdr:rowOff>
    </xdr:to>
    <xdr:graphicFrame macro="">
      <xdr:nvGraphicFramePr>
        <xdr:cNvPr id="2" name="Chart 1">
          <a:extLst>
            <a:ext uri="{FF2B5EF4-FFF2-40B4-BE49-F238E27FC236}">
              <a16:creationId xmlns:a16="http://schemas.microsoft.com/office/drawing/2014/main" id="{A22B70F8-50CD-BF19-93BB-A44BB4B3FC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187854</xdr:colOff>
      <xdr:row>259</xdr:row>
      <xdr:rowOff>182825</xdr:rowOff>
    </xdr:from>
    <xdr:to>
      <xdr:col>18</xdr:col>
      <xdr:colOff>238125</xdr:colOff>
      <xdr:row>278</xdr:row>
      <xdr:rowOff>79374</xdr:rowOff>
    </xdr:to>
    <xdr:graphicFrame macro="">
      <xdr:nvGraphicFramePr>
        <xdr:cNvPr id="4" name="Chart 3">
          <a:extLst>
            <a:ext uri="{FF2B5EF4-FFF2-40B4-BE49-F238E27FC236}">
              <a16:creationId xmlns:a16="http://schemas.microsoft.com/office/drawing/2014/main" id="{78788669-BF56-7F26-111C-37B45922A6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49</xdr:col>
      <xdr:colOff>0</xdr:colOff>
      <xdr:row>85</xdr:row>
      <xdr:rowOff>34737</xdr:rowOff>
    </xdr:from>
    <xdr:to>
      <xdr:col>54</xdr:col>
      <xdr:colOff>112059</xdr:colOff>
      <xdr:row>99</xdr:row>
      <xdr:rowOff>112059</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593912</xdr:colOff>
      <xdr:row>85</xdr:row>
      <xdr:rowOff>33616</xdr:rowOff>
    </xdr:from>
    <xdr:to>
      <xdr:col>60</xdr:col>
      <xdr:colOff>67235</xdr:colOff>
      <xdr:row>98</xdr:row>
      <xdr:rowOff>78441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277090</xdr:colOff>
      <xdr:row>649</xdr:row>
      <xdr:rowOff>126421</xdr:rowOff>
    </xdr:from>
    <xdr:to>
      <xdr:col>18</xdr:col>
      <xdr:colOff>190500</xdr:colOff>
      <xdr:row>664</xdr:row>
      <xdr:rowOff>12121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744682</xdr:colOff>
      <xdr:row>598</xdr:row>
      <xdr:rowOff>173183</xdr:rowOff>
    </xdr:from>
    <xdr:to>
      <xdr:col>26</xdr:col>
      <xdr:colOff>138545</xdr:colOff>
      <xdr:row>619</xdr:row>
      <xdr:rowOff>46759</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744682</xdr:colOff>
      <xdr:row>621</xdr:row>
      <xdr:rowOff>126421</xdr:rowOff>
    </xdr:from>
    <xdr:to>
      <xdr:col>26</xdr:col>
      <xdr:colOff>155865</xdr:colOff>
      <xdr:row>641</xdr:row>
      <xdr:rowOff>190500</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515470</xdr:colOff>
      <xdr:row>58</xdr:row>
      <xdr:rowOff>168087</xdr:rowOff>
    </xdr:from>
    <xdr:to>
      <xdr:col>16</xdr:col>
      <xdr:colOff>187698</xdr:colOff>
      <xdr:row>78</xdr:row>
      <xdr:rowOff>64152</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78441</xdr:colOff>
      <xdr:row>32</xdr:row>
      <xdr:rowOff>179294</xdr:rowOff>
    </xdr:from>
    <xdr:to>
      <xdr:col>24</xdr:col>
      <xdr:colOff>493059</xdr:colOff>
      <xdr:row>47</xdr:row>
      <xdr:rowOff>179294</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324970</xdr:colOff>
      <xdr:row>14</xdr:row>
      <xdr:rowOff>56029</xdr:rowOff>
    </xdr:from>
    <xdr:to>
      <xdr:col>24</xdr:col>
      <xdr:colOff>67235</xdr:colOff>
      <xdr:row>29</xdr:row>
      <xdr:rowOff>78440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125185</xdr:colOff>
      <xdr:row>29</xdr:row>
      <xdr:rowOff>11133</xdr:rowOff>
    </xdr:from>
    <xdr:to>
      <xdr:col>16</xdr:col>
      <xdr:colOff>190501</xdr:colOff>
      <xdr:row>46</xdr:row>
      <xdr:rowOff>122465</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29</xdr:row>
      <xdr:rowOff>0</xdr:rowOff>
    </xdr:from>
    <xdr:to>
      <xdr:col>8</xdr:col>
      <xdr:colOff>409864</xdr:colOff>
      <xdr:row>46</xdr:row>
      <xdr:rowOff>46037</xdr:rowOff>
    </xdr:to>
    <xdr:graphicFrame macro="">
      <xdr:nvGraphicFramePr>
        <xdr:cNvPr id="7" name="Chart 6">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51</xdr:col>
      <xdr:colOff>98651</xdr:colOff>
      <xdr:row>326</xdr:row>
      <xdr:rowOff>36735</xdr:rowOff>
    </xdr:from>
    <xdr:to>
      <xdr:col>58</xdr:col>
      <xdr:colOff>384401</xdr:colOff>
      <xdr:row>347</xdr:row>
      <xdr:rowOff>74838</xdr:rowOff>
    </xdr:to>
    <xdr:graphicFrame macro="">
      <xdr:nvGraphicFramePr>
        <xdr:cNvPr id="4" name="Chart 3">
          <a:extLst>
            <a:ext uri="{FF2B5EF4-FFF2-40B4-BE49-F238E27FC236}">
              <a16:creationId xmlns:a16="http://schemas.microsoft.com/office/drawing/2014/main" id="{9DA860A6-984F-49DF-832E-33D0D89C03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57</xdr:col>
      <xdr:colOff>500062</xdr:colOff>
      <xdr:row>347</xdr:row>
      <xdr:rowOff>111575</xdr:rowOff>
    </xdr:from>
    <xdr:to>
      <xdr:col>64</xdr:col>
      <xdr:colOff>149679</xdr:colOff>
      <xdr:row>363</xdr:row>
      <xdr:rowOff>136070</xdr:rowOff>
    </xdr:to>
    <xdr:graphicFrame macro="">
      <xdr:nvGraphicFramePr>
        <xdr:cNvPr id="5" name="Chart 4">
          <a:extLst>
            <a:ext uri="{FF2B5EF4-FFF2-40B4-BE49-F238E27FC236}">
              <a16:creationId xmlns:a16="http://schemas.microsoft.com/office/drawing/2014/main" id="{051FB8FF-E52B-482E-8DC7-EB302AF1A2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57</xdr:col>
      <xdr:colOff>476250</xdr:colOff>
      <xdr:row>365</xdr:row>
      <xdr:rowOff>47624</xdr:rowOff>
    </xdr:from>
    <xdr:to>
      <xdr:col>65</xdr:col>
      <xdr:colOff>129267</xdr:colOff>
      <xdr:row>382</xdr:row>
      <xdr:rowOff>85727</xdr:rowOff>
    </xdr:to>
    <xdr:graphicFrame macro="">
      <xdr:nvGraphicFramePr>
        <xdr:cNvPr id="7" name="Chart 6">
          <a:extLst>
            <a:ext uri="{FF2B5EF4-FFF2-40B4-BE49-F238E27FC236}">
              <a16:creationId xmlns:a16="http://schemas.microsoft.com/office/drawing/2014/main" id="{BA41C9D3-B18F-421F-8A67-A71BE7BE4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255131</xdr:colOff>
      <xdr:row>348</xdr:row>
      <xdr:rowOff>23130</xdr:rowOff>
    </xdr:from>
    <xdr:to>
      <xdr:col>89</xdr:col>
      <xdr:colOff>176891</xdr:colOff>
      <xdr:row>365</xdr:row>
      <xdr:rowOff>156481</xdr:rowOff>
    </xdr:to>
    <xdr:graphicFrame macro="">
      <xdr:nvGraphicFramePr>
        <xdr:cNvPr id="8" name="Chart 7">
          <a:extLst>
            <a:ext uri="{FF2B5EF4-FFF2-40B4-BE49-F238E27FC236}">
              <a16:creationId xmlns:a16="http://schemas.microsoft.com/office/drawing/2014/main" id="{5285D02B-DABC-4E26-AF71-1DC2420E58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47</xdr:col>
      <xdr:colOff>547008</xdr:colOff>
      <xdr:row>268</xdr:row>
      <xdr:rowOff>163284</xdr:rowOff>
    </xdr:from>
    <xdr:to>
      <xdr:col>55</xdr:col>
      <xdr:colOff>155122</xdr:colOff>
      <xdr:row>288</xdr:row>
      <xdr:rowOff>10885</xdr:rowOff>
    </xdr:to>
    <xdr:graphicFrame macro="">
      <xdr:nvGraphicFramePr>
        <xdr:cNvPr id="2" name="Chart 1">
          <a:extLst>
            <a:ext uri="{FF2B5EF4-FFF2-40B4-BE49-F238E27FC236}">
              <a16:creationId xmlns:a16="http://schemas.microsoft.com/office/drawing/2014/main" id="{41018B17-D75C-41DB-BFFA-A584ABEA63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255823</xdr:colOff>
      <xdr:row>277</xdr:row>
      <xdr:rowOff>27214</xdr:rowOff>
    </xdr:from>
    <xdr:to>
      <xdr:col>48</xdr:col>
      <xdr:colOff>484423</xdr:colOff>
      <xdr:row>293</xdr:row>
      <xdr:rowOff>146957</xdr:rowOff>
    </xdr:to>
    <xdr:graphicFrame macro="">
      <xdr:nvGraphicFramePr>
        <xdr:cNvPr id="3" name="Chart 2">
          <a:extLst>
            <a:ext uri="{FF2B5EF4-FFF2-40B4-BE49-F238E27FC236}">
              <a16:creationId xmlns:a16="http://schemas.microsoft.com/office/drawing/2014/main" id="{46B44FAE-5376-FD33-6E39-4B2255CEB3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41</xdr:col>
      <xdr:colOff>443593</xdr:colOff>
      <xdr:row>295</xdr:row>
      <xdr:rowOff>48986</xdr:rowOff>
    </xdr:from>
    <xdr:to>
      <xdr:col>49</xdr:col>
      <xdr:colOff>51708</xdr:colOff>
      <xdr:row>312</xdr:row>
      <xdr:rowOff>16328</xdr:rowOff>
    </xdr:to>
    <xdr:graphicFrame macro="">
      <xdr:nvGraphicFramePr>
        <xdr:cNvPr id="6" name="Chart 5">
          <a:extLst>
            <a:ext uri="{FF2B5EF4-FFF2-40B4-BE49-F238E27FC236}">
              <a16:creationId xmlns:a16="http://schemas.microsoft.com/office/drawing/2014/main" id="{0CF7D505-3926-450F-3C3A-BF2A60D8B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50</xdr:col>
      <xdr:colOff>307522</xdr:colOff>
      <xdr:row>247</xdr:row>
      <xdr:rowOff>54428</xdr:rowOff>
    </xdr:from>
    <xdr:to>
      <xdr:col>57</xdr:col>
      <xdr:colOff>536122</xdr:colOff>
      <xdr:row>264</xdr:row>
      <xdr:rowOff>21771</xdr:rowOff>
    </xdr:to>
    <xdr:graphicFrame macro="">
      <xdr:nvGraphicFramePr>
        <xdr:cNvPr id="9" name="Chart 8">
          <a:extLst>
            <a:ext uri="{FF2B5EF4-FFF2-40B4-BE49-F238E27FC236}">
              <a16:creationId xmlns:a16="http://schemas.microsoft.com/office/drawing/2014/main" id="{E6F844D5-FAD1-C97E-3B36-0D86E8F9E3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58</xdr:col>
      <xdr:colOff>351064</xdr:colOff>
      <xdr:row>247</xdr:row>
      <xdr:rowOff>114300</xdr:rowOff>
    </xdr:from>
    <xdr:to>
      <xdr:col>65</xdr:col>
      <xdr:colOff>557893</xdr:colOff>
      <xdr:row>264</xdr:row>
      <xdr:rowOff>81643</xdr:rowOff>
    </xdr:to>
    <xdr:graphicFrame macro="">
      <xdr:nvGraphicFramePr>
        <xdr:cNvPr id="10" name="Chart 9">
          <a:extLst>
            <a:ext uri="{FF2B5EF4-FFF2-40B4-BE49-F238E27FC236}">
              <a16:creationId xmlns:a16="http://schemas.microsoft.com/office/drawing/2014/main" id="{EA6BEEFD-B840-6EDF-2483-1CBEE1767F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163285</xdr:colOff>
      <xdr:row>210</xdr:row>
      <xdr:rowOff>152399</xdr:rowOff>
    </xdr:from>
    <xdr:to>
      <xdr:col>11</xdr:col>
      <xdr:colOff>326572</xdr:colOff>
      <xdr:row>225</xdr:row>
      <xdr:rowOff>38099</xdr:rowOff>
    </xdr:to>
    <xdr:graphicFrame macro="">
      <xdr:nvGraphicFramePr>
        <xdr:cNvPr id="2" name="Chart 1">
          <a:extLst>
            <a:ext uri="{FF2B5EF4-FFF2-40B4-BE49-F238E27FC236}">
              <a16:creationId xmlns:a16="http://schemas.microsoft.com/office/drawing/2014/main" id="{635D9D23-743D-4DA5-8A18-C1F76A731B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211</xdr:row>
      <xdr:rowOff>0</xdr:rowOff>
    </xdr:from>
    <xdr:to>
      <xdr:col>18</xdr:col>
      <xdr:colOff>163287</xdr:colOff>
      <xdr:row>225</xdr:row>
      <xdr:rowOff>76200</xdr:rowOff>
    </xdr:to>
    <xdr:graphicFrame macro="">
      <xdr:nvGraphicFramePr>
        <xdr:cNvPr id="3" name="Chart 2">
          <a:extLst>
            <a:ext uri="{FF2B5EF4-FFF2-40B4-BE49-F238E27FC236}">
              <a16:creationId xmlns:a16="http://schemas.microsoft.com/office/drawing/2014/main" id="{BB57ABC2-835E-4B20-B280-568033223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81643</xdr:colOff>
      <xdr:row>250</xdr:row>
      <xdr:rowOff>40822</xdr:rowOff>
    </xdr:from>
    <xdr:to>
      <xdr:col>9</xdr:col>
      <xdr:colOff>312964</xdr:colOff>
      <xdr:row>264</xdr:row>
      <xdr:rowOff>117022</xdr:rowOff>
    </xdr:to>
    <xdr:graphicFrame macro="">
      <xdr:nvGraphicFramePr>
        <xdr:cNvPr id="6" name="Chart 5">
          <a:extLst>
            <a:ext uri="{FF2B5EF4-FFF2-40B4-BE49-F238E27FC236}">
              <a16:creationId xmlns:a16="http://schemas.microsoft.com/office/drawing/2014/main" id="{50104607-A6BD-483A-8796-ADECE2AEF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54428</xdr:colOff>
      <xdr:row>250</xdr:row>
      <xdr:rowOff>40822</xdr:rowOff>
    </xdr:from>
    <xdr:to>
      <xdr:col>14</xdr:col>
      <xdr:colOff>285749</xdr:colOff>
      <xdr:row>264</xdr:row>
      <xdr:rowOff>117022</xdr:rowOff>
    </xdr:to>
    <xdr:graphicFrame macro="">
      <xdr:nvGraphicFramePr>
        <xdr:cNvPr id="7" name="Chart 6">
          <a:extLst>
            <a:ext uri="{FF2B5EF4-FFF2-40B4-BE49-F238E27FC236}">
              <a16:creationId xmlns:a16="http://schemas.microsoft.com/office/drawing/2014/main" id="{935C08E7-2C3F-4582-8055-63EFF17C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40820</xdr:colOff>
      <xdr:row>298</xdr:row>
      <xdr:rowOff>13609</xdr:rowOff>
    </xdr:from>
    <xdr:to>
      <xdr:col>9</xdr:col>
      <xdr:colOff>272141</xdr:colOff>
      <xdr:row>312</xdr:row>
      <xdr:rowOff>89809</xdr:rowOff>
    </xdr:to>
    <xdr:graphicFrame macro="">
      <xdr:nvGraphicFramePr>
        <xdr:cNvPr id="10" name="Chart 9">
          <a:extLst>
            <a:ext uri="{FF2B5EF4-FFF2-40B4-BE49-F238E27FC236}">
              <a16:creationId xmlns:a16="http://schemas.microsoft.com/office/drawing/2014/main" id="{EDC9E05F-D440-46A3-A552-EDDB77378B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13606</xdr:colOff>
      <xdr:row>298</xdr:row>
      <xdr:rowOff>27214</xdr:rowOff>
    </xdr:from>
    <xdr:to>
      <xdr:col>14</xdr:col>
      <xdr:colOff>244927</xdr:colOff>
      <xdr:row>312</xdr:row>
      <xdr:rowOff>103414</xdr:rowOff>
    </xdr:to>
    <xdr:graphicFrame macro="">
      <xdr:nvGraphicFramePr>
        <xdr:cNvPr id="12" name="Chart 11">
          <a:extLst>
            <a:ext uri="{FF2B5EF4-FFF2-40B4-BE49-F238E27FC236}">
              <a16:creationId xmlns:a16="http://schemas.microsoft.com/office/drawing/2014/main" id="{EE65F0E4-9448-4C65-9386-6BA0DD1A50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234</xdr:row>
      <xdr:rowOff>0</xdr:rowOff>
    </xdr:from>
    <xdr:to>
      <xdr:col>9</xdr:col>
      <xdr:colOff>231321</xdr:colOff>
      <xdr:row>248</xdr:row>
      <xdr:rowOff>76200</xdr:rowOff>
    </xdr:to>
    <xdr:graphicFrame macro="">
      <xdr:nvGraphicFramePr>
        <xdr:cNvPr id="17" name="Chart 16">
          <a:extLst>
            <a:ext uri="{FF2B5EF4-FFF2-40B4-BE49-F238E27FC236}">
              <a16:creationId xmlns:a16="http://schemas.microsoft.com/office/drawing/2014/main" id="{D987D683-501D-499A-BDF8-8A79C5E2A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234</xdr:row>
      <xdr:rowOff>0</xdr:rowOff>
    </xdr:from>
    <xdr:to>
      <xdr:col>14</xdr:col>
      <xdr:colOff>231321</xdr:colOff>
      <xdr:row>248</xdr:row>
      <xdr:rowOff>76200</xdr:rowOff>
    </xdr:to>
    <xdr:graphicFrame macro="">
      <xdr:nvGraphicFramePr>
        <xdr:cNvPr id="18" name="Chart 17">
          <a:extLst>
            <a:ext uri="{FF2B5EF4-FFF2-40B4-BE49-F238E27FC236}">
              <a16:creationId xmlns:a16="http://schemas.microsoft.com/office/drawing/2014/main" id="{D5B230AE-B5AA-4E74-9030-93FB330BE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234</xdr:row>
      <xdr:rowOff>0</xdr:rowOff>
    </xdr:from>
    <xdr:to>
      <xdr:col>19</xdr:col>
      <xdr:colOff>231321</xdr:colOff>
      <xdr:row>248</xdr:row>
      <xdr:rowOff>76200</xdr:rowOff>
    </xdr:to>
    <xdr:graphicFrame macro="">
      <xdr:nvGraphicFramePr>
        <xdr:cNvPr id="19" name="Chart 18">
          <a:extLst>
            <a:ext uri="{FF2B5EF4-FFF2-40B4-BE49-F238E27FC236}">
              <a16:creationId xmlns:a16="http://schemas.microsoft.com/office/drawing/2014/main" id="{3FC8B548-1646-40CD-A8C9-DF02CEF6D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40822</xdr:colOff>
      <xdr:row>250</xdr:row>
      <xdr:rowOff>40822</xdr:rowOff>
    </xdr:from>
    <xdr:to>
      <xdr:col>19</xdr:col>
      <xdr:colOff>272143</xdr:colOff>
      <xdr:row>264</xdr:row>
      <xdr:rowOff>117022</xdr:rowOff>
    </xdr:to>
    <xdr:graphicFrame macro="">
      <xdr:nvGraphicFramePr>
        <xdr:cNvPr id="20" name="Chart 19">
          <a:extLst>
            <a:ext uri="{FF2B5EF4-FFF2-40B4-BE49-F238E27FC236}">
              <a16:creationId xmlns:a16="http://schemas.microsoft.com/office/drawing/2014/main" id="{FCBCCF8F-CA6B-4CEE-B4FF-51310B801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54429</xdr:colOff>
      <xdr:row>266</xdr:row>
      <xdr:rowOff>68036</xdr:rowOff>
    </xdr:from>
    <xdr:to>
      <xdr:col>9</xdr:col>
      <xdr:colOff>285750</xdr:colOff>
      <xdr:row>280</xdr:row>
      <xdr:rowOff>144236</xdr:rowOff>
    </xdr:to>
    <xdr:graphicFrame macro="">
      <xdr:nvGraphicFramePr>
        <xdr:cNvPr id="22" name="Chart 21">
          <a:extLst>
            <a:ext uri="{FF2B5EF4-FFF2-40B4-BE49-F238E27FC236}">
              <a16:creationId xmlns:a16="http://schemas.microsoft.com/office/drawing/2014/main" id="{A65DB2E3-1C26-42AF-BABC-E3DCD3FB44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68035</xdr:colOff>
      <xdr:row>266</xdr:row>
      <xdr:rowOff>81643</xdr:rowOff>
    </xdr:from>
    <xdr:to>
      <xdr:col>14</xdr:col>
      <xdr:colOff>299356</xdr:colOff>
      <xdr:row>280</xdr:row>
      <xdr:rowOff>157843</xdr:rowOff>
    </xdr:to>
    <xdr:graphicFrame macro="">
      <xdr:nvGraphicFramePr>
        <xdr:cNvPr id="23" name="Chart 22">
          <a:extLst>
            <a:ext uri="{FF2B5EF4-FFF2-40B4-BE49-F238E27FC236}">
              <a16:creationId xmlns:a16="http://schemas.microsoft.com/office/drawing/2014/main" id="{69748980-CE6B-469A-8D21-69F266E81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68036</xdr:colOff>
      <xdr:row>266</xdr:row>
      <xdr:rowOff>40821</xdr:rowOff>
    </xdr:from>
    <xdr:to>
      <xdr:col>19</xdr:col>
      <xdr:colOff>299357</xdr:colOff>
      <xdr:row>280</xdr:row>
      <xdr:rowOff>117021</xdr:rowOff>
    </xdr:to>
    <xdr:graphicFrame macro="">
      <xdr:nvGraphicFramePr>
        <xdr:cNvPr id="24" name="Chart 23">
          <a:extLst>
            <a:ext uri="{FF2B5EF4-FFF2-40B4-BE49-F238E27FC236}">
              <a16:creationId xmlns:a16="http://schemas.microsoft.com/office/drawing/2014/main" id="{8B2422B3-370C-4ED0-ABD8-8D9B98938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282</xdr:row>
      <xdr:rowOff>0</xdr:rowOff>
    </xdr:from>
    <xdr:to>
      <xdr:col>9</xdr:col>
      <xdr:colOff>231321</xdr:colOff>
      <xdr:row>296</xdr:row>
      <xdr:rowOff>76200</xdr:rowOff>
    </xdr:to>
    <xdr:graphicFrame macro="">
      <xdr:nvGraphicFramePr>
        <xdr:cNvPr id="25" name="Chart 24">
          <a:extLst>
            <a:ext uri="{FF2B5EF4-FFF2-40B4-BE49-F238E27FC236}">
              <a16:creationId xmlns:a16="http://schemas.microsoft.com/office/drawing/2014/main" id="{E007FAE1-80C7-4C11-8D6D-785B633BDA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282</xdr:row>
      <xdr:rowOff>0</xdr:rowOff>
    </xdr:from>
    <xdr:to>
      <xdr:col>14</xdr:col>
      <xdr:colOff>231321</xdr:colOff>
      <xdr:row>296</xdr:row>
      <xdr:rowOff>76200</xdr:rowOff>
    </xdr:to>
    <xdr:graphicFrame macro="">
      <xdr:nvGraphicFramePr>
        <xdr:cNvPr id="26" name="Chart 25">
          <a:extLst>
            <a:ext uri="{FF2B5EF4-FFF2-40B4-BE49-F238E27FC236}">
              <a16:creationId xmlns:a16="http://schemas.microsoft.com/office/drawing/2014/main" id="{74A1FF2F-AF78-481D-A2AE-2D326793D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282</xdr:row>
      <xdr:rowOff>0</xdr:rowOff>
    </xdr:from>
    <xdr:to>
      <xdr:col>19</xdr:col>
      <xdr:colOff>231321</xdr:colOff>
      <xdr:row>296</xdr:row>
      <xdr:rowOff>76200</xdr:rowOff>
    </xdr:to>
    <xdr:graphicFrame macro="">
      <xdr:nvGraphicFramePr>
        <xdr:cNvPr id="27" name="Chart 26">
          <a:extLst>
            <a:ext uri="{FF2B5EF4-FFF2-40B4-BE49-F238E27FC236}">
              <a16:creationId xmlns:a16="http://schemas.microsoft.com/office/drawing/2014/main" id="{2CCBF377-2F75-4BD5-97AD-F1569BBEC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68036</xdr:colOff>
      <xdr:row>298</xdr:row>
      <xdr:rowOff>27214</xdr:rowOff>
    </xdr:from>
    <xdr:to>
      <xdr:col>19</xdr:col>
      <xdr:colOff>299357</xdr:colOff>
      <xdr:row>312</xdr:row>
      <xdr:rowOff>103414</xdr:rowOff>
    </xdr:to>
    <xdr:graphicFrame macro="">
      <xdr:nvGraphicFramePr>
        <xdr:cNvPr id="28" name="Chart 27">
          <a:extLst>
            <a:ext uri="{FF2B5EF4-FFF2-40B4-BE49-F238E27FC236}">
              <a16:creationId xmlns:a16="http://schemas.microsoft.com/office/drawing/2014/main" id="{F69D83D2-4B12-4E59-AD78-88DE4890E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392906</xdr:colOff>
      <xdr:row>113</xdr:row>
      <xdr:rowOff>50005</xdr:rowOff>
    </xdr:from>
    <xdr:to>
      <xdr:col>92</xdr:col>
      <xdr:colOff>90487</xdr:colOff>
      <xdr:row>129</xdr:row>
      <xdr:rowOff>154780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89</xdr:col>
      <xdr:colOff>120765</xdr:colOff>
      <xdr:row>247</xdr:row>
      <xdr:rowOff>94568</xdr:rowOff>
    </xdr:from>
    <xdr:to>
      <xdr:col>96</xdr:col>
      <xdr:colOff>359834</xdr:colOff>
      <xdr:row>262</xdr:row>
      <xdr:rowOff>105833</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89</xdr:col>
      <xdr:colOff>291702</xdr:colOff>
      <xdr:row>286</xdr:row>
      <xdr:rowOff>33336</xdr:rowOff>
    </xdr:from>
    <xdr:to>
      <xdr:col>97</xdr:col>
      <xdr:colOff>5952</xdr:colOff>
      <xdr:row>300</xdr:row>
      <xdr:rowOff>109536</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88</xdr:col>
      <xdr:colOff>589359</xdr:colOff>
      <xdr:row>225</xdr:row>
      <xdr:rowOff>78316</xdr:rowOff>
    </xdr:from>
    <xdr:to>
      <xdr:col>97</xdr:col>
      <xdr:colOff>169333</xdr:colOff>
      <xdr:row>242</xdr:row>
      <xdr:rowOff>74084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87</xdr:col>
      <xdr:colOff>113107</xdr:colOff>
      <xdr:row>241</xdr:row>
      <xdr:rowOff>0</xdr:rowOff>
    </xdr:from>
    <xdr:to>
      <xdr:col>94</xdr:col>
      <xdr:colOff>434576</xdr:colOff>
      <xdr:row>253</xdr:row>
      <xdr:rowOff>169069</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87</xdr:col>
      <xdr:colOff>11907</xdr:colOff>
      <xdr:row>212</xdr:row>
      <xdr:rowOff>164306</xdr:rowOff>
    </xdr:from>
    <xdr:to>
      <xdr:col>95</xdr:col>
      <xdr:colOff>296335</xdr:colOff>
      <xdr:row>228</xdr:row>
      <xdr:rowOff>169334</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88</xdr:col>
      <xdr:colOff>500062</xdr:colOff>
      <xdr:row>277</xdr:row>
      <xdr:rowOff>9524</xdr:rowOff>
    </xdr:from>
    <xdr:to>
      <xdr:col>96</xdr:col>
      <xdr:colOff>214312</xdr:colOff>
      <xdr:row>291</xdr:row>
      <xdr:rowOff>157162</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2300B68-8E65-432B-8CA0-841642D5CE6C}" name="Table4" displayName="Table4" ref="B507:AH599" totalsRowShown="0" headerRowDxfId="35" dataDxfId="34" tableBorderDxfId="33">
  <tableColumns count="33">
    <tableColumn id="1" xr3:uid="{566EE54B-42BB-4FE0-AC7C-BED37C6F5CD2}" name="Chile" dataDxfId="32"/>
    <tableColumn id="2" xr3:uid="{8D53E6CE-DD17-42AC-8FAD-2343033187FD}" name="Q2 16" dataDxfId="31"/>
    <tableColumn id="3" xr3:uid="{F6EAE675-3595-4A2D-87A9-98A6F1CC8B68}" name="Q3 16" dataDxfId="30"/>
    <tableColumn id="4" xr3:uid="{7CAEE928-D2A8-48A2-834F-9B0B09102581}" name="Q4 16" dataDxfId="29"/>
    <tableColumn id="5" xr3:uid="{B3938684-11F8-464B-A585-8B75DEC1FE9C}" name="Q1 17" dataDxfId="28"/>
    <tableColumn id="6" xr3:uid="{B1A09123-70D7-49DE-A761-DF9AF1CA8635}" name="Q2 17" dataDxfId="27"/>
    <tableColumn id="7" xr3:uid="{4BE95BF0-FD1A-4023-9FE8-642228A06EA4}" name="Q3 17" dataDxfId="26"/>
    <tableColumn id="8" xr3:uid="{33CBAFCE-A36D-4AF1-9D5B-18AC0987EBA8}" name="Q4 17" dataDxfId="25"/>
    <tableColumn id="9" xr3:uid="{156CD37B-9930-45BB-ACAD-E409DBE36C17}" name="Q1 18" dataDxfId="24"/>
    <tableColumn id="10" xr3:uid="{8D357957-65D2-41EB-AF03-53BA0AF24E0B}" name="Q2 18" dataDxfId="23"/>
    <tableColumn id="11" xr3:uid="{1B74C08B-87DB-4D9D-80F2-DC89EB8EB10B}" name="Q3 18" dataDxfId="22"/>
    <tableColumn id="12" xr3:uid="{FC3DA700-B415-4B5C-ABAD-92DCAA217985}" name="Q4 18" dataDxfId="21"/>
    <tableColumn id="13" xr3:uid="{C802531D-5248-47AC-A97B-451CF50336B3}" name="Q1 19" dataDxfId="20"/>
    <tableColumn id="14" xr3:uid="{FC66E59D-1896-440D-90CE-60A728F16D84}" name="Q2 19" dataDxfId="19"/>
    <tableColumn id="15" xr3:uid="{C1FE5117-AB19-4DED-9C52-70F2870F9E82}" name="Q3 19" dataDxfId="18"/>
    <tableColumn id="16" xr3:uid="{CFC692D3-EA71-451A-8AC8-F3CFD0D00EE8}" name="Q4 19" dataDxfId="17"/>
    <tableColumn id="17" xr3:uid="{75C0EF02-46F2-44EE-9278-9372A3BC0588}" name="Q1 20" dataDxfId="16"/>
    <tableColumn id="18" xr3:uid="{43A052F2-8276-4430-8964-F469ACA9F65C}" name="Q2 20" dataDxfId="15"/>
    <tableColumn id="19" xr3:uid="{5DC64C97-BA4A-4BE7-97A7-DD9536FA69AA}" name="Q3 20" dataDxfId="14"/>
    <tableColumn id="20" xr3:uid="{F4A03562-EB7D-4A3B-AAF0-2F424821A795}" name="Q4 20" dataDxfId="13"/>
    <tableColumn id="21" xr3:uid="{8F504E5A-3902-4F15-9E34-C7811D31A38B}" name="Q1 21" dataDxfId="12"/>
    <tableColumn id="22" xr3:uid="{074DD0EA-CA82-4269-8CA2-BB8ECD02FE74}" name="Q2 21" dataDxfId="11"/>
    <tableColumn id="23" xr3:uid="{B33CE141-B468-4CB1-8971-1E49A897F36E}" name="Q3 21" dataDxfId="10"/>
    <tableColumn id="24" xr3:uid="{1DC21DAC-5B86-4DD6-B8C2-478AB29874D4}" name="Q4 21" dataDxfId="9"/>
    <tableColumn id="25" xr3:uid="{1A1F9057-90EA-43CD-8516-1BA06F758E50}" name="Q1 22" dataDxfId="8"/>
    <tableColumn id="26" xr3:uid="{4B2F1B0E-A43F-4EE2-B181-0BA2C483C06A}" name="Q2 22" dataDxfId="7"/>
    <tableColumn id="27" xr3:uid="{120182AE-69E9-4128-9062-620D4EED1C1C}" name="Q3 22" dataDxfId="6"/>
    <tableColumn id="28" xr3:uid="{0724C034-FFE1-467B-9798-D31A5A271C73}" name="Q4 22" dataDxfId="5">
      <calculatedColumnFormula>AC499</calculatedColumnFormula>
    </tableColumn>
    <tableColumn id="29" xr3:uid="{AD6E1225-204B-472D-9252-24F557A392DA}" name="Q1 23" dataDxfId="4">
      <calculatedColumnFormula>AD499</calculatedColumnFormula>
    </tableColumn>
    <tableColumn id="30" xr3:uid="{10EC8DD0-D8FB-467D-9CE7-3BE6C4F97393}" name="Q2 23" dataDxfId="3"/>
    <tableColumn id="31" xr3:uid="{BD86C444-BA5C-4C7C-8B7C-60C8836A57D3}" name="Q3 23" dataDxfId="2"/>
    <tableColumn id="32" xr3:uid="{387325E3-3F3A-4F16-AAA7-DA3D5EB83AA9}" name="Q4 23" dataDxfId="1"/>
    <tableColumn id="33" xr3:uid="{CB5BA744-5B90-4745-9F40-1BDD57896A9B}" name="Q1 24"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hris@newstreetresearch.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8ABBE-CF4E-4BD6-8B38-23576B5B1A1E}">
  <dimension ref="A8:AU39"/>
  <sheetViews>
    <sheetView showGridLines="0" tabSelected="1" zoomScale="80" zoomScaleNormal="100" workbookViewId="0">
      <selection activeCell="U1" sqref="U1"/>
    </sheetView>
  </sheetViews>
  <sheetFormatPr defaultColWidth="8.85546875" defaultRowHeight="12"/>
  <cols>
    <col min="1" max="1" width="15.5703125" style="1132" customWidth="1"/>
    <col min="2" max="2" width="13" style="1132" customWidth="1"/>
    <col min="3" max="9" width="8.85546875" style="1132"/>
    <col min="10" max="10" width="9.85546875" style="1132" bestFit="1" customWidth="1"/>
    <col min="11" max="12" width="8.85546875" style="1132"/>
    <col min="13" max="13" width="10.7109375" style="1132" bestFit="1" customWidth="1"/>
    <col min="14" max="20" width="8.85546875" style="1132"/>
    <col min="21" max="21" width="7.5703125" style="1132" bestFit="1" customWidth="1"/>
    <col min="22" max="16384" width="8.85546875" style="1132"/>
  </cols>
  <sheetData>
    <row r="8" spans="1:20" ht="13.5" thickBot="1">
      <c r="A8" s="1130"/>
      <c r="B8" s="1131"/>
      <c r="C8" s="1131"/>
      <c r="D8" s="1131"/>
      <c r="E8" s="1131"/>
      <c r="F8" s="1131"/>
      <c r="G8" s="1131"/>
      <c r="H8" s="1131"/>
      <c r="I8" s="1131"/>
      <c r="J8" s="1131"/>
      <c r="K8" s="1131"/>
      <c r="L8" s="1131"/>
      <c r="M8" s="1131"/>
      <c r="N8" s="1131"/>
      <c r="O8" s="1131"/>
      <c r="P8" s="1131"/>
      <c r="Q8" s="1131"/>
      <c r="R8" s="1131"/>
      <c r="S8" s="1131"/>
      <c r="T8" s="1131"/>
    </row>
    <row r="9" spans="1:20">
      <c r="A9" s="1133"/>
      <c r="B9" s="1133"/>
      <c r="C9" s="1133"/>
      <c r="D9" s="1133"/>
      <c r="E9" s="1133"/>
      <c r="F9" s="1133"/>
      <c r="G9" s="1133"/>
      <c r="H9" s="1133"/>
      <c r="I9" s="1133"/>
      <c r="J9" s="1133"/>
      <c r="K9" s="1133"/>
      <c r="L9" s="1133"/>
      <c r="M9" s="1133"/>
      <c r="N9" s="1133"/>
      <c r="O9" s="1133"/>
      <c r="P9" s="1133"/>
      <c r="Q9" s="1133"/>
      <c r="R9" s="1133"/>
      <c r="S9" s="1133"/>
      <c r="T9" s="1133"/>
    </row>
    <row r="10" spans="1:20">
      <c r="A10" s="1133"/>
      <c r="B10" s="1133"/>
      <c r="C10" s="1133"/>
      <c r="D10" s="1133"/>
      <c r="E10" s="1133"/>
      <c r="F10" s="1133"/>
      <c r="G10" s="1133"/>
      <c r="H10" s="1133"/>
      <c r="I10" s="1133"/>
      <c r="J10" s="1133"/>
      <c r="K10" s="1133"/>
      <c r="L10" s="1133"/>
      <c r="M10" s="1133"/>
      <c r="N10" s="1133"/>
      <c r="O10" s="1133"/>
      <c r="P10" s="1133"/>
      <c r="Q10" s="1133"/>
      <c r="R10" s="1133"/>
      <c r="S10" s="1133"/>
      <c r="T10" s="1133"/>
    </row>
    <row r="11" spans="1:20">
      <c r="A11" s="1133"/>
      <c r="B11" s="1133"/>
      <c r="C11" s="1133"/>
      <c r="D11" s="1133"/>
      <c r="E11" s="1133"/>
      <c r="F11" s="1133"/>
      <c r="G11" s="1133"/>
      <c r="H11" s="1133"/>
      <c r="I11" s="1133"/>
      <c r="J11" s="1133"/>
      <c r="K11" s="1133"/>
      <c r="L11" s="1133"/>
      <c r="M11" s="1133"/>
      <c r="N11" s="1133"/>
      <c r="O11" s="1133"/>
      <c r="P11" s="1133"/>
      <c r="Q11" s="1133"/>
      <c r="R11" s="1133"/>
      <c r="S11" s="1133"/>
      <c r="T11" s="1133"/>
    </row>
    <row r="12" spans="1:20">
      <c r="A12" s="1133"/>
      <c r="B12" s="1133"/>
      <c r="C12" s="1133"/>
      <c r="D12" s="1133"/>
      <c r="E12" s="1133"/>
      <c r="F12" s="1133"/>
      <c r="G12" s="1133"/>
      <c r="H12" s="1133"/>
      <c r="I12" s="1133"/>
      <c r="J12" s="1133"/>
      <c r="K12" s="1133"/>
      <c r="L12" s="1133"/>
      <c r="M12" s="1133"/>
      <c r="N12" s="1133"/>
      <c r="O12" s="1133"/>
      <c r="P12" s="1133"/>
      <c r="Q12" s="1133"/>
      <c r="R12" s="1133"/>
      <c r="S12" s="1133"/>
      <c r="T12" s="1133"/>
    </row>
    <row r="13" spans="1:20" ht="23.25">
      <c r="A13" s="1133"/>
      <c r="B13" s="1134" t="s">
        <v>5774</v>
      </c>
      <c r="C13" s="1133"/>
      <c r="D13" s="1133"/>
      <c r="E13" s="1133"/>
      <c r="F13" s="1133"/>
      <c r="G13" s="1133"/>
      <c r="H13" s="1133"/>
      <c r="I13" s="1133"/>
      <c r="J13" s="1133"/>
      <c r="K13" s="1133"/>
      <c r="L13" s="1133"/>
      <c r="M13" s="1133"/>
      <c r="N13" s="1133"/>
      <c r="O13" s="1133"/>
      <c r="P13" s="1133"/>
      <c r="Q13" s="1133"/>
      <c r="R13" s="1133"/>
      <c r="S13" s="1133"/>
      <c r="T13" s="1133"/>
    </row>
    <row r="14" spans="1:20">
      <c r="A14" s="1133"/>
      <c r="B14" s="1133"/>
      <c r="C14" s="1133"/>
      <c r="D14" s="1133"/>
      <c r="E14" s="1133"/>
      <c r="F14" s="1133"/>
      <c r="G14" s="1133"/>
      <c r="H14" s="1133"/>
      <c r="I14" s="1133"/>
      <c r="J14" s="1133"/>
      <c r="K14" s="1133"/>
      <c r="L14" s="1133"/>
      <c r="M14" s="1133"/>
      <c r="N14" s="1133"/>
      <c r="O14" s="1133"/>
      <c r="P14" s="1133"/>
      <c r="Q14" s="1133"/>
      <c r="R14" s="1133"/>
      <c r="S14" s="1133"/>
      <c r="T14" s="1133"/>
    </row>
    <row r="15" spans="1:20">
      <c r="A15" s="1133"/>
      <c r="B15" s="1133"/>
      <c r="C15" s="1133"/>
      <c r="D15" s="1133"/>
      <c r="E15" s="1133"/>
      <c r="F15" s="1133"/>
      <c r="G15" s="1133"/>
      <c r="H15" s="1133"/>
      <c r="I15" s="1133"/>
      <c r="J15" s="1133"/>
      <c r="K15" s="1133"/>
      <c r="L15" s="1133"/>
      <c r="M15" s="1133"/>
      <c r="N15" s="1133"/>
      <c r="O15" s="1133"/>
      <c r="P15" s="1133"/>
      <c r="Q15" s="1133"/>
      <c r="R15" s="1133"/>
      <c r="S15" s="1133"/>
      <c r="T15" s="1133"/>
    </row>
    <row r="16" spans="1:20">
      <c r="A16" s="1133"/>
      <c r="B16" s="1135">
        <f ca="1">+TODAY()</f>
        <v>45686</v>
      </c>
      <c r="C16" s="1133"/>
      <c r="D16" s="1133"/>
      <c r="E16" s="1133"/>
      <c r="F16" s="1133"/>
      <c r="G16" s="1133"/>
      <c r="H16" s="1133"/>
      <c r="I16" s="1133"/>
      <c r="J16" s="1133"/>
      <c r="K16" s="1133"/>
      <c r="L16" s="1133"/>
      <c r="M16" s="1133"/>
      <c r="N16" s="1133"/>
      <c r="O16" s="1133"/>
      <c r="P16" s="1133"/>
      <c r="Q16" s="1133"/>
      <c r="R16" s="1133"/>
      <c r="S16" s="1133"/>
      <c r="T16" s="1133"/>
    </row>
    <row r="17" spans="1:47" ht="12.75">
      <c r="A17" s="1133"/>
      <c r="B17" s="1136"/>
      <c r="C17" s="1133"/>
      <c r="D17" s="1133"/>
      <c r="E17" s="1133"/>
      <c r="F17" s="1133"/>
      <c r="G17" s="1133"/>
      <c r="H17" s="1133"/>
      <c r="I17" s="1133"/>
      <c r="J17" s="1133"/>
      <c r="K17" s="1133"/>
      <c r="L17" s="1133"/>
      <c r="M17" s="1133"/>
      <c r="N17" s="1133"/>
      <c r="O17" s="1133"/>
      <c r="P17" s="1133"/>
      <c r="Q17" s="1133"/>
      <c r="R17" s="1133"/>
      <c r="S17" s="1133"/>
      <c r="T17" s="1133"/>
    </row>
    <row r="18" spans="1:47" ht="12.75">
      <c r="A18" s="1133"/>
      <c r="B18" s="1136"/>
      <c r="C18" s="1133"/>
      <c r="D18" s="1133"/>
      <c r="E18" s="1133"/>
      <c r="F18" s="1133"/>
      <c r="G18" s="1133"/>
      <c r="H18" s="1133"/>
      <c r="I18" s="1133"/>
      <c r="J18" s="1133"/>
      <c r="K18" s="1133"/>
      <c r="L18" s="1133"/>
      <c r="M18" s="1133"/>
      <c r="N18" s="1133"/>
      <c r="O18" s="1133"/>
      <c r="P18" s="1133"/>
      <c r="Q18" s="1133"/>
      <c r="R18" s="1133"/>
      <c r="S18" s="1133"/>
      <c r="T18" s="1133"/>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row>
    <row r="19" spans="1:47" ht="12.75">
      <c r="A19" s="1133"/>
      <c r="B19" s="1138" t="s">
        <v>7924</v>
      </c>
      <c r="C19" s="1133"/>
      <c r="D19" s="1133"/>
      <c r="E19" s="1133"/>
      <c r="F19" s="1133"/>
      <c r="G19" s="1133"/>
      <c r="H19" s="1139"/>
      <c r="I19" s="1133"/>
      <c r="J19" s="1133"/>
      <c r="K19" s="1133"/>
      <c r="L19" s="1133"/>
      <c r="M19" s="1133"/>
      <c r="N19" s="1133"/>
      <c r="O19" s="1133"/>
      <c r="P19" s="1133"/>
      <c r="Q19" s="1133"/>
      <c r="R19" s="1133"/>
      <c r="S19" s="1133"/>
      <c r="T19" s="1133"/>
      <c r="U19" s="1137"/>
      <c r="V19" s="1137"/>
    </row>
    <row r="20" spans="1:47" ht="12.75">
      <c r="A20" s="1133"/>
      <c r="B20" s="1140" t="s">
        <v>5769</v>
      </c>
      <c r="C20" s="1133"/>
      <c r="D20" s="1133"/>
      <c r="E20" s="1133"/>
      <c r="F20" s="1133"/>
      <c r="G20" s="1133"/>
      <c r="H20" s="1133"/>
      <c r="I20" s="1133"/>
      <c r="J20" s="1133"/>
      <c r="K20" s="1133"/>
      <c r="L20" s="1133"/>
      <c r="M20" s="1133"/>
      <c r="N20" s="1133"/>
      <c r="O20" s="1133"/>
      <c r="P20" s="1133"/>
      <c r="Q20" s="1133"/>
      <c r="R20" s="1137"/>
      <c r="S20" s="1137"/>
      <c r="T20" s="1137"/>
      <c r="U20" s="1137"/>
      <c r="V20" s="1137"/>
    </row>
    <row r="21" spans="1:47" ht="12.75">
      <c r="A21" s="1133"/>
      <c r="B21" s="1141" t="s">
        <v>7925</v>
      </c>
      <c r="C21" s="1142"/>
      <c r="D21" s="1142"/>
      <c r="E21" s="1133"/>
      <c r="F21" s="1133"/>
      <c r="G21" s="1133"/>
      <c r="H21" s="1133"/>
      <c r="I21" s="1133"/>
      <c r="J21" s="1133"/>
      <c r="K21" s="1133"/>
      <c r="L21" s="1133"/>
      <c r="M21" s="1133"/>
      <c r="N21" s="1133"/>
      <c r="O21" s="1133"/>
      <c r="P21" s="1133"/>
      <c r="Q21" s="1133"/>
      <c r="R21" s="1133"/>
      <c r="S21" s="1133"/>
      <c r="T21" s="1133"/>
    </row>
    <row r="22" spans="1:47" ht="15">
      <c r="A22" s="1133"/>
      <c r="B22" s="1862" t="s">
        <v>7926</v>
      </c>
      <c r="C22" s="1142"/>
      <c r="D22" s="1142"/>
      <c r="E22" s="1133"/>
      <c r="F22" s="1133"/>
      <c r="G22" s="1133"/>
      <c r="H22" s="1133"/>
      <c r="I22" s="1133"/>
      <c r="J22" s="1133"/>
      <c r="K22" s="1133"/>
      <c r="L22" s="1133"/>
      <c r="M22" s="1133"/>
      <c r="N22" s="1133"/>
      <c r="O22" s="1133"/>
      <c r="P22" s="1133"/>
      <c r="Q22" s="1133"/>
      <c r="R22" s="1133"/>
      <c r="S22" s="1133"/>
      <c r="T22" s="1133"/>
    </row>
    <row r="23" spans="1:47" ht="12.75">
      <c r="A23" s="1133"/>
      <c r="B23" s="1136"/>
      <c r="C23" s="1142"/>
      <c r="D23" s="1142"/>
      <c r="E23" s="1133"/>
      <c r="F23" s="1133"/>
      <c r="G23" s="1133"/>
      <c r="H23" s="1133"/>
      <c r="I23" s="1133"/>
      <c r="J23" s="1133"/>
      <c r="K23" s="1133"/>
      <c r="L23" s="1133"/>
      <c r="M23" s="1133"/>
      <c r="N23" s="1133"/>
      <c r="O23" s="1133"/>
      <c r="P23" s="1133"/>
      <c r="Q23" s="1133"/>
      <c r="R23" s="1133"/>
      <c r="S23" s="1133"/>
      <c r="T23" s="1133"/>
    </row>
    <row r="24" spans="1:47">
      <c r="A24" s="1133"/>
      <c r="B24" s="1143"/>
      <c r="C24" s="1142"/>
      <c r="D24" s="1142"/>
      <c r="E24" s="1133"/>
      <c r="F24" s="1133"/>
      <c r="G24" s="1133"/>
      <c r="H24" s="1133"/>
      <c r="I24" s="1133"/>
      <c r="J24" s="1144"/>
      <c r="K24" s="1133"/>
      <c r="L24" s="1133"/>
      <c r="M24" s="1133"/>
      <c r="N24" s="1133"/>
      <c r="O24" s="1133"/>
      <c r="P24" s="1133"/>
      <c r="Q24" s="1133"/>
      <c r="R24" s="1133"/>
      <c r="S24" s="1133"/>
      <c r="T24" s="1133"/>
    </row>
    <row r="25" spans="1:47">
      <c r="A25" s="1133"/>
      <c r="B25" s="1142" t="s">
        <v>5770</v>
      </c>
      <c r="C25" s="1145" t="s">
        <v>1146</v>
      </c>
      <c r="D25" s="1133"/>
      <c r="E25" s="1133"/>
      <c r="F25" s="1133"/>
      <c r="G25" s="1133"/>
      <c r="H25" s="1133"/>
      <c r="I25" s="1133"/>
      <c r="J25" s="1133"/>
      <c r="K25" s="1133"/>
      <c r="L25" s="1133"/>
      <c r="M25" s="1144"/>
      <c r="N25" s="1133"/>
      <c r="O25" s="1133"/>
      <c r="P25" s="1133"/>
      <c r="Q25" s="1133"/>
      <c r="R25" s="1133"/>
      <c r="S25" s="1133"/>
      <c r="T25" s="1133"/>
    </row>
    <row r="26" spans="1:47">
      <c r="A26" s="1133"/>
      <c r="B26" s="1142" t="s">
        <v>5771</v>
      </c>
      <c r="C26" s="1145" t="s">
        <v>5772</v>
      </c>
      <c r="D26" s="1133"/>
      <c r="E26" s="1133"/>
      <c r="F26" s="1133"/>
      <c r="G26" s="1133"/>
      <c r="H26" s="1133"/>
      <c r="I26" s="1133"/>
      <c r="J26" s="1133"/>
      <c r="K26" s="1133"/>
      <c r="L26" s="1133"/>
      <c r="M26" s="1144"/>
      <c r="N26" s="1133"/>
      <c r="O26" s="1133"/>
      <c r="P26" s="1133"/>
      <c r="Q26" s="1133"/>
      <c r="R26" s="1133"/>
      <c r="S26" s="1133"/>
      <c r="T26" s="1133"/>
    </row>
    <row r="27" spans="1:47">
      <c r="A27" s="1133"/>
      <c r="B27" s="1142" t="s">
        <v>5773</v>
      </c>
      <c r="C27" s="1878">
        <v>14.8</v>
      </c>
      <c r="D27" s="1139"/>
      <c r="E27" s="1139"/>
      <c r="F27" s="1133"/>
      <c r="G27" s="1133"/>
      <c r="H27" s="1133"/>
      <c r="I27" s="1133"/>
      <c r="J27" s="1133"/>
      <c r="K27" s="1133"/>
      <c r="L27" s="1133"/>
      <c r="M27" s="1133"/>
      <c r="N27" s="1133"/>
      <c r="O27" s="1133"/>
      <c r="P27" s="1133"/>
      <c r="Q27" s="1133"/>
      <c r="R27" s="1133"/>
      <c r="S27" s="1133"/>
      <c r="T27" s="1133"/>
    </row>
    <row r="28" spans="1:47">
      <c r="A28" s="1133"/>
      <c r="B28" s="1142"/>
      <c r="C28" s="1146"/>
      <c r="D28" s="1139"/>
      <c r="E28" s="1139"/>
      <c r="F28" s="1139"/>
      <c r="G28" s="1139"/>
      <c r="H28" s="1139"/>
      <c r="I28" s="1139"/>
      <c r="J28" s="1139"/>
      <c r="K28" s="1139"/>
      <c r="L28" s="1139"/>
      <c r="M28" s="1139"/>
      <c r="N28" s="1139"/>
      <c r="O28" s="1139"/>
      <c r="P28" s="1133"/>
      <c r="Q28" s="1133"/>
      <c r="R28" s="1133"/>
      <c r="S28" s="1133"/>
      <c r="T28" s="1133"/>
    </row>
    <row r="29" spans="1:47">
      <c r="A29" s="1133"/>
      <c r="B29" s="1142"/>
      <c r="C29" s="1146"/>
      <c r="D29" s="1139"/>
      <c r="E29" s="1139"/>
      <c r="F29" s="1139"/>
      <c r="G29" s="1139"/>
      <c r="H29" s="1139"/>
      <c r="I29" s="1139"/>
      <c r="J29" s="1139"/>
      <c r="K29" s="1139"/>
      <c r="L29" s="1139"/>
      <c r="M29" s="1139"/>
      <c r="N29" s="1139"/>
      <c r="O29" s="1139"/>
      <c r="P29" s="1133"/>
      <c r="Q29" s="1133"/>
      <c r="R29" s="1133"/>
      <c r="S29" s="1133"/>
      <c r="T29" s="1133"/>
    </row>
    <row r="30" spans="1:47">
      <c r="A30" s="1133"/>
      <c r="B30" s="1142"/>
      <c r="C30" s="1146"/>
      <c r="D30" s="1133"/>
      <c r="E30" s="1133"/>
      <c r="F30" s="1133"/>
      <c r="G30" s="1133"/>
      <c r="H30" s="1133"/>
      <c r="I30" s="1133"/>
      <c r="J30" s="1133"/>
      <c r="K30" s="1133"/>
      <c r="L30" s="1133"/>
      <c r="M30" s="1133"/>
      <c r="N30" s="1133"/>
      <c r="O30" s="1133"/>
      <c r="P30" s="1133"/>
      <c r="Q30" s="1133"/>
      <c r="R30" s="1133"/>
      <c r="S30" s="1133"/>
      <c r="T30" s="1133"/>
    </row>
    <row r="31" spans="1:47">
      <c r="A31" s="1133"/>
      <c r="B31" s="1133"/>
      <c r="C31" s="1133"/>
      <c r="D31" s="1133"/>
      <c r="E31" s="1133"/>
      <c r="F31" s="1133"/>
      <c r="G31" s="1133"/>
      <c r="H31" s="1133"/>
      <c r="I31" s="1133"/>
      <c r="J31" s="1133"/>
      <c r="K31" s="1133"/>
      <c r="L31" s="1133"/>
      <c r="M31" s="1133"/>
      <c r="N31" s="1133"/>
      <c r="O31" s="1133"/>
      <c r="P31" s="1133"/>
      <c r="Q31" s="1133"/>
      <c r="R31" s="1133"/>
      <c r="S31" s="1133"/>
      <c r="T31" s="1133"/>
    </row>
    <row r="32" spans="1:47">
      <c r="A32" s="1133"/>
      <c r="B32" s="1133"/>
      <c r="C32" s="1133"/>
      <c r="D32" s="1133"/>
      <c r="E32" s="1133"/>
      <c r="F32" s="1133"/>
      <c r="G32" s="1133"/>
      <c r="H32" s="1133"/>
      <c r="I32" s="1133"/>
      <c r="J32" s="1133"/>
      <c r="K32" s="1133"/>
      <c r="L32" s="1133"/>
      <c r="M32" s="1133"/>
      <c r="N32" s="1133"/>
      <c r="O32" s="1133"/>
      <c r="P32" s="1133"/>
      <c r="Q32" s="1133"/>
      <c r="R32" s="1133"/>
      <c r="S32" s="1133"/>
      <c r="T32" s="1133"/>
    </row>
    <row r="33" spans="1:20">
      <c r="A33" s="1133"/>
      <c r="B33" s="1133"/>
      <c r="C33" s="1133"/>
      <c r="D33" s="1133"/>
      <c r="E33" s="1133"/>
      <c r="F33" s="1133"/>
      <c r="G33" s="1133"/>
      <c r="H33" s="1133"/>
      <c r="I33" s="1133"/>
      <c r="J33" s="1133"/>
      <c r="K33" s="1133"/>
      <c r="L33" s="1133"/>
      <c r="M33" s="1133"/>
      <c r="N33" s="1133"/>
      <c r="O33" s="1133"/>
      <c r="P33" s="1133"/>
      <c r="Q33" s="1133"/>
      <c r="R33" s="1133"/>
      <c r="S33" s="1133"/>
      <c r="T33" s="1133"/>
    </row>
    <row r="34" spans="1:20">
      <c r="A34" s="1133"/>
      <c r="B34" s="1133"/>
      <c r="C34" s="1133"/>
      <c r="D34" s="1133"/>
      <c r="E34" s="1133"/>
      <c r="F34" s="1133"/>
      <c r="G34" s="1133"/>
      <c r="H34" s="1133"/>
      <c r="I34" s="1133"/>
      <c r="J34" s="1133"/>
      <c r="K34" s="1133"/>
      <c r="L34" s="1133"/>
      <c r="M34" s="1133"/>
      <c r="N34" s="1133"/>
      <c r="O34" s="1133"/>
      <c r="P34" s="1133"/>
      <c r="Q34" s="1133"/>
      <c r="R34" s="1133"/>
      <c r="S34" s="1133"/>
      <c r="T34" s="1133"/>
    </row>
    <row r="35" spans="1:20">
      <c r="A35" s="1133"/>
      <c r="B35" s="1133"/>
      <c r="C35" s="1133"/>
      <c r="D35" s="1133"/>
      <c r="E35" s="1133"/>
      <c r="F35" s="1133"/>
      <c r="G35" s="1133"/>
      <c r="H35" s="1133"/>
      <c r="I35" s="1133"/>
      <c r="J35" s="1133"/>
      <c r="K35" s="1133"/>
      <c r="L35" s="1133"/>
      <c r="M35" s="1133"/>
      <c r="N35" s="1133"/>
      <c r="O35" s="1133"/>
      <c r="P35" s="1133"/>
      <c r="Q35" s="1133"/>
      <c r="R35" s="1133"/>
      <c r="S35" s="1133"/>
      <c r="T35" s="1133"/>
    </row>
    <row r="36" spans="1:20">
      <c r="A36" s="1133"/>
      <c r="B36" s="1133"/>
      <c r="C36" s="1133"/>
      <c r="E36" s="1133"/>
      <c r="F36" s="1133"/>
      <c r="G36" s="1133"/>
      <c r="H36" s="1133"/>
      <c r="I36" s="1133"/>
      <c r="J36" s="1133"/>
      <c r="K36" s="1133"/>
      <c r="L36" s="1133"/>
      <c r="M36" s="1133"/>
      <c r="N36" s="1133"/>
      <c r="O36" s="1133"/>
      <c r="P36" s="1133"/>
      <c r="Q36" s="1133"/>
      <c r="R36" s="1133"/>
      <c r="S36" s="1133"/>
      <c r="T36" s="1133"/>
    </row>
    <row r="37" spans="1:20">
      <c r="A37" s="1133"/>
      <c r="B37" s="1133"/>
      <c r="C37" s="1133"/>
      <c r="D37" s="1133"/>
      <c r="E37" s="1133"/>
      <c r="F37" s="1133"/>
      <c r="G37" s="1133"/>
      <c r="H37" s="1133"/>
      <c r="I37" s="1133"/>
      <c r="J37" s="1133"/>
      <c r="K37" s="1133"/>
      <c r="L37" s="1133"/>
      <c r="M37" s="1133"/>
      <c r="N37" s="1133"/>
      <c r="O37" s="1133"/>
      <c r="P37" s="1133"/>
      <c r="Q37" s="1133"/>
      <c r="R37" s="1133"/>
      <c r="S37" s="1133"/>
      <c r="T37" s="1133"/>
    </row>
    <row r="38" spans="1:20">
      <c r="A38" s="1133"/>
      <c r="B38" s="1133"/>
      <c r="C38" s="1133"/>
      <c r="D38" s="1133"/>
      <c r="E38" s="1133"/>
      <c r="F38" s="1133"/>
      <c r="G38" s="1133"/>
      <c r="H38" s="1133"/>
      <c r="I38" s="1133"/>
      <c r="J38" s="1133"/>
      <c r="K38" s="1133"/>
      <c r="L38" s="1133"/>
      <c r="M38" s="1133"/>
      <c r="N38" s="1133"/>
      <c r="O38" s="1133"/>
      <c r="P38" s="1133"/>
      <c r="Q38" s="1133"/>
      <c r="R38" s="1133"/>
      <c r="S38" s="1133"/>
      <c r="T38" s="1133"/>
    </row>
    <row r="39" spans="1:20" ht="12.75" thickBot="1">
      <c r="A39" s="1131"/>
      <c r="B39" s="1131"/>
      <c r="C39" s="1131"/>
      <c r="D39" s="1131"/>
      <c r="E39" s="1131"/>
      <c r="F39" s="1131"/>
      <c r="G39" s="1131"/>
      <c r="H39" s="1131"/>
      <c r="I39" s="1131"/>
      <c r="J39" s="1131"/>
      <c r="K39" s="1131"/>
      <c r="L39" s="1131"/>
      <c r="M39" s="1131"/>
      <c r="N39" s="1131"/>
      <c r="O39" s="1131"/>
      <c r="P39" s="1131"/>
      <c r="Q39" s="1131"/>
      <c r="R39" s="1131"/>
      <c r="S39" s="1131"/>
      <c r="T39" s="1131"/>
    </row>
  </sheetData>
  <hyperlinks>
    <hyperlink ref="B22" r:id="rId1" xr:uid="{23A85110-A3C4-44D2-9BCB-EE2E3C98ABB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E9012-F618-423E-BF62-FDE9FA98EB26}">
  <dimension ref="A1:U37"/>
  <sheetViews>
    <sheetView showGridLines="0" zoomScale="72" zoomScaleNormal="72" workbookViewId="0"/>
  </sheetViews>
  <sheetFormatPr defaultRowHeight="15"/>
  <cols>
    <col min="1" max="1" width="3.42578125" customWidth="1"/>
    <col min="2" max="2" width="22.140625" customWidth="1"/>
    <col min="3" max="3" width="0" hidden="1" customWidth="1"/>
    <col min="6" max="6" width="8.85546875" customWidth="1"/>
    <col min="7" max="8" width="9" customWidth="1"/>
    <col min="9" max="9" width="18.5703125" customWidth="1"/>
    <col min="10" max="10" width="3.85546875" customWidth="1"/>
    <col min="11" max="11" width="23.5703125" customWidth="1"/>
    <col min="18" max="18" width="18.42578125" customWidth="1"/>
  </cols>
  <sheetData>
    <row r="1" spans="1:21">
      <c r="A1" s="1203"/>
      <c r="B1" s="1203"/>
      <c r="C1" s="1203"/>
      <c r="D1" s="1203"/>
      <c r="E1" s="1203"/>
      <c r="F1" s="1203"/>
      <c r="G1" s="1203"/>
      <c r="H1" s="1203"/>
      <c r="I1" s="1203"/>
      <c r="J1" s="1203"/>
      <c r="K1" s="1203"/>
      <c r="L1" s="1203"/>
      <c r="M1" s="1203"/>
      <c r="N1" s="1203"/>
      <c r="O1" s="1203"/>
      <c r="P1" s="1203"/>
      <c r="Q1" s="1203"/>
      <c r="R1" s="1203"/>
      <c r="S1" s="1203"/>
      <c r="T1" s="1203"/>
      <c r="U1" s="1203"/>
    </row>
    <row r="2" spans="1:21">
      <c r="A2" s="1203"/>
      <c r="B2" s="1791"/>
      <c r="C2" s="1791"/>
      <c r="D2" s="1791"/>
      <c r="E2" s="1791"/>
      <c r="F2" s="1791"/>
      <c r="G2" s="1791"/>
      <c r="H2" s="1791"/>
      <c r="I2" s="1791"/>
      <c r="J2" s="1791"/>
      <c r="K2" s="1791"/>
      <c r="L2" s="1791"/>
      <c r="M2" s="1791"/>
      <c r="N2" s="1791"/>
      <c r="O2" s="1791"/>
      <c r="P2" s="1791"/>
      <c r="Q2" s="1791"/>
      <c r="R2" s="1791"/>
      <c r="S2" s="1203"/>
      <c r="T2" s="1203"/>
      <c r="U2" s="1203"/>
    </row>
    <row r="3" spans="1:21">
      <c r="A3" s="1203"/>
      <c r="B3" s="1792" t="s">
        <v>4180</v>
      </c>
      <c r="C3" s="1793">
        <v>2022</v>
      </c>
      <c r="D3" s="1793">
        <v>2023</v>
      </c>
      <c r="E3" s="1793" t="s">
        <v>7029</v>
      </c>
      <c r="F3" s="1793" t="s">
        <v>7030</v>
      </c>
      <c r="G3" s="1793" t="s">
        <v>7031</v>
      </c>
      <c r="H3" s="1793" t="s">
        <v>7920</v>
      </c>
      <c r="I3" s="1793" t="s">
        <v>7921</v>
      </c>
      <c r="J3" s="1794"/>
      <c r="K3" s="1792" t="str">
        <f>B3</f>
        <v>$ m</v>
      </c>
      <c r="L3" s="1793"/>
      <c r="M3" s="1793">
        <f>D3</f>
        <v>2023</v>
      </c>
      <c r="N3" s="1793" t="str">
        <f>E3</f>
        <v>2024e</v>
      </c>
      <c r="O3" s="1793" t="str">
        <f>F3</f>
        <v>2025e</v>
      </c>
      <c r="P3" s="1793" t="str">
        <f>G3</f>
        <v>2026e</v>
      </c>
      <c r="Q3" s="1793" t="str">
        <f>H3</f>
        <v>2027e</v>
      </c>
      <c r="R3" s="1793" t="str">
        <f t="shared" ref="R3" si="0">I3</f>
        <v>24-27e CAGR</v>
      </c>
      <c r="S3" s="1203"/>
      <c r="T3" s="1203"/>
      <c r="U3" s="1203"/>
    </row>
    <row r="4" spans="1:21">
      <c r="A4" s="1203"/>
      <c r="B4" s="1795" t="s">
        <v>1122</v>
      </c>
      <c r="C4" s="1795"/>
      <c r="D4" s="1796">
        <f>Valuation!B2</f>
        <v>6.8</v>
      </c>
      <c r="E4" s="1795"/>
      <c r="F4" s="1795"/>
      <c r="G4" s="1795"/>
      <c r="H4" s="1795"/>
      <c r="I4" s="1795"/>
      <c r="J4" s="1797"/>
      <c r="K4" s="1795" t="s">
        <v>298</v>
      </c>
      <c r="L4" s="1798"/>
      <c r="M4" s="1798">
        <f ca="1">Valuation!N91</f>
        <v>5.5458228033743868</v>
      </c>
      <c r="N4" s="1798">
        <f ca="1">Valuation!O91</f>
        <v>6.0448531165436403</v>
      </c>
      <c r="O4" s="1798">
        <f ca="1">Valuation!P91</f>
        <v>4.7376605148647633</v>
      </c>
      <c r="P4" s="1798">
        <f ca="1">Valuation!Q91</f>
        <v>4.3362559508717693</v>
      </c>
      <c r="Q4" s="1798">
        <f ca="1">Valuation!R91</f>
        <v>4.0055247205012199</v>
      </c>
      <c r="R4" s="1795"/>
      <c r="S4" s="1203"/>
      <c r="T4" s="1203"/>
      <c r="U4" s="1203"/>
    </row>
    <row r="5" spans="1:21">
      <c r="A5" s="1203"/>
      <c r="B5" s="1797" t="s">
        <v>7032</v>
      </c>
      <c r="C5" s="1799">
        <f>Valuation!M5</f>
        <v>215.5</v>
      </c>
      <c r="D5" s="1799">
        <f>Valuation!N5</f>
        <v>204.7</v>
      </c>
      <c r="E5" s="1799">
        <f>Valuation!O5</f>
        <v>184.7</v>
      </c>
      <c r="F5" s="1799">
        <f>Valuation!P5</f>
        <v>169.7</v>
      </c>
      <c r="G5" s="1799">
        <f>Valuation!Q5</f>
        <v>159.69999999999999</v>
      </c>
      <c r="H5" s="1799">
        <f>Valuation!R5</f>
        <v>149.69999999999999</v>
      </c>
      <c r="I5" s="1797"/>
      <c r="J5" s="1797"/>
      <c r="K5" s="1797" t="s">
        <v>299</v>
      </c>
      <c r="L5" s="1800"/>
      <c r="M5" s="1800">
        <f ca="1">Valuation!N57</f>
        <v>10.086124439424147</v>
      </c>
      <c r="N5" s="1800">
        <f ca="1">Valuation!O57</f>
        <v>11.226699132478437</v>
      </c>
      <c r="O5" s="1800">
        <f ca="1">Valuation!P57</f>
        <v>8.627675009165829</v>
      </c>
      <c r="P5" s="1800">
        <f ca="1">Valuation!Q57</f>
        <v>7.8333978469885546</v>
      </c>
      <c r="Q5" s="1800">
        <f ca="1">Valuation!R57</f>
        <v>7.2665812134941108</v>
      </c>
      <c r="R5" s="1797"/>
      <c r="S5" s="1203"/>
      <c r="T5" s="1203"/>
      <c r="U5" s="1203"/>
    </row>
    <row r="6" spans="1:21">
      <c r="A6" s="1203"/>
      <c r="B6" s="1795" t="s">
        <v>7419</v>
      </c>
      <c r="C6" s="1801">
        <f t="shared" ref="C6:H6" si="1">C5*$D4</f>
        <v>1465.3999999999999</v>
      </c>
      <c r="D6" s="1801">
        <f t="shared" si="1"/>
        <v>1391.9599999999998</v>
      </c>
      <c r="E6" s="1801">
        <f t="shared" si="1"/>
        <v>1255.9599999999998</v>
      </c>
      <c r="F6" s="1801">
        <f t="shared" si="1"/>
        <v>1153.9599999999998</v>
      </c>
      <c r="G6" s="1801">
        <f t="shared" si="1"/>
        <v>1085.9599999999998</v>
      </c>
      <c r="H6" s="1801">
        <f t="shared" si="1"/>
        <v>1017.9599999999999</v>
      </c>
      <c r="I6" s="1795"/>
      <c r="J6" s="1797"/>
      <c r="K6" s="1795" t="s">
        <v>300</v>
      </c>
      <c r="L6" s="1798"/>
      <c r="M6" s="1798">
        <f ca="1">Valuation!N58</f>
        <v>16.810207399040245</v>
      </c>
      <c r="N6" s="1798">
        <f ca="1">Valuation!O58</f>
        <v>18.711165220797398</v>
      </c>
      <c r="O6" s="1798">
        <f ca="1">Valuation!P58</f>
        <v>12.687757366420337</v>
      </c>
      <c r="P6" s="1798">
        <f ca="1">Valuation!Q58</f>
        <v>11.519702716159641</v>
      </c>
      <c r="Q6" s="1798">
        <f ca="1">Valuation!R58</f>
        <v>10.68614884337369</v>
      </c>
      <c r="R6" s="1795"/>
      <c r="S6" s="1203"/>
      <c r="T6" s="1203"/>
      <c r="U6" s="1203"/>
    </row>
    <row r="7" spans="1:21">
      <c r="A7" s="1203"/>
      <c r="B7" s="1797" t="s">
        <v>115</v>
      </c>
      <c r="C7" s="1799">
        <f>Valuation!M13</f>
        <v>6269.5</v>
      </c>
      <c r="D7" s="1799">
        <f>Valuation!N13</f>
        <v>7251.1</v>
      </c>
      <c r="E7" s="1799">
        <f ca="1">Valuation!O13</f>
        <v>7300.3337002453673</v>
      </c>
      <c r="F7" s="1799">
        <f ca="1">Valuation!P13</f>
        <v>7028.2399585298035</v>
      </c>
      <c r="G7" s="1799">
        <f ca="1">Valuation!Q13</f>
        <v>6789.235635422111</v>
      </c>
      <c r="H7" s="1799">
        <f ca="1">Valuation!R13</f>
        <v>6522.5434559154164</v>
      </c>
      <c r="I7" s="1797"/>
      <c r="J7" s="1797"/>
      <c r="K7" s="1797"/>
      <c r="L7" s="1800"/>
      <c r="M7" s="1800"/>
      <c r="N7" s="1800"/>
      <c r="O7" s="1800"/>
      <c r="P7" s="1800"/>
      <c r="Q7" s="1800"/>
      <c r="R7" s="1797"/>
      <c r="S7" s="1203"/>
      <c r="T7" s="1203"/>
      <c r="U7" s="1203"/>
    </row>
    <row r="8" spans="1:21">
      <c r="A8" s="1203"/>
      <c r="B8" s="1795" t="s">
        <v>58</v>
      </c>
      <c r="C8" s="1801">
        <v>0</v>
      </c>
      <c r="D8" s="1801">
        <v>0</v>
      </c>
      <c r="E8" s="1801">
        <v>0</v>
      </c>
      <c r="F8" s="1801">
        <v>0</v>
      </c>
      <c r="G8" s="1801">
        <v>0</v>
      </c>
      <c r="H8" s="1801">
        <v>0</v>
      </c>
      <c r="I8" s="1795"/>
      <c r="J8" s="1797"/>
      <c r="K8" s="1795" t="s">
        <v>7448</v>
      </c>
      <c r="L8" s="1802"/>
      <c r="M8" s="1802">
        <f>Valuation!N37</f>
        <v>0.19569527859995978</v>
      </c>
      <c r="N8" s="1802">
        <f ca="1">Valuation!O37</f>
        <v>4.0976374767377137E-2</v>
      </c>
      <c r="O8" s="1802">
        <f ca="1">Valuation!P37</f>
        <v>0.3718170208700522</v>
      </c>
      <c r="P8" s="1802">
        <f ca="1">Valuation!Q37</f>
        <v>0.35597772352835411</v>
      </c>
      <c r="Q8" s="1802">
        <f ca="1">Valuation!R37</f>
        <v>0.37343792666806941</v>
      </c>
      <c r="R8" s="1795"/>
      <c r="S8" s="1203"/>
      <c r="T8" s="1203"/>
      <c r="U8" s="1203"/>
    </row>
    <row r="9" spans="1:21">
      <c r="A9" s="1203"/>
      <c r="B9" s="1803" t="s">
        <v>7033</v>
      </c>
      <c r="C9" s="1804">
        <v>0</v>
      </c>
      <c r="D9" s="1804">
        <v>0</v>
      </c>
      <c r="E9" s="1804">
        <v>0</v>
      </c>
      <c r="F9" s="1804">
        <v>0</v>
      </c>
      <c r="G9" s="1804">
        <v>0</v>
      </c>
      <c r="H9" s="1804">
        <v>0</v>
      </c>
      <c r="I9" s="1797"/>
      <c r="J9" s="1797"/>
      <c r="K9" s="1797" t="s">
        <v>7449</v>
      </c>
      <c r="L9" s="1805"/>
      <c r="M9" s="1805">
        <f>Valuation!N34</f>
        <v>0.14152705537515448</v>
      </c>
      <c r="N9" s="1805">
        <f ca="1">Valuation!O34</f>
        <v>1.3109245240959095E-2</v>
      </c>
      <c r="O9" s="1805">
        <f ca="1">Valuation!P34</f>
        <v>0.32848796267046121</v>
      </c>
      <c r="P9" s="1805">
        <f ca="1">Valuation!Q34</f>
        <v>0.30993551202885133</v>
      </c>
      <c r="Q9" s="1805">
        <f ca="1">Valuation!R34</f>
        <v>0.32432008313787175</v>
      </c>
      <c r="R9" s="1797"/>
      <c r="S9" s="1203"/>
      <c r="T9" s="1203"/>
      <c r="U9" s="1203"/>
    </row>
    <row r="10" spans="1:21">
      <c r="A10" s="1203"/>
      <c r="B10" s="1795" t="s">
        <v>331</v>
      </c>
      <c r="C10" s="1801">
        <f t="shared" ref="C10:H10" si="2">C6+C7+C8+C9</f>
        <v>7734.9</v>
      </c>
      <c r="D10" s="1801">
        <f t="shared" si="2"/>
        <v>8643.06</v>
      </c>
      <c r="E10" s="1801">
        <f t="shared" ca="1" si="2"/>
        <v>8556.2937002453673</v>
      </c>
      <c r="F10" s="1801">
        <f t="shared" ca="1" si="2"/>
        <v>8182.1999585298036</v>
      </c>
      <c r="G10" s="1801">
        <f t="shared" ca="1" si="2"/>
        <v>7875.1956354221111</v>
      </c>
      <c r="H10" s="1801">
        <f t="shared" ca="1" si="2"/>
        <v>7540.5034559154165</v>
      </c>
      <c r="I10" s="1795"/>
      <c r="J10" s="1797"/>
      <c r="K10" s="1795" t="s">
        <v>7450</v>
      </c>
      <c r="L10" s="1802"/>
      <c r="M10" s="1802">
        <f ca="1">Valuation!N43</f>
        <v>7.6495534444874558E-2</v>
      </c>
      <c r="N10" s="1802">
        <f ca="1">Valuation!O43</f>
        <v>-4.551728375445617E-2</v>
      </c>
      <c r="O10" s="1802">
        <f ca="1">Valuation!P43</f>
        <v>0.25132898231650719</v>
      </c>
      <c r="P10" s="1802">
        <f ca="1">Valuation!Q43</f>
        <v>0.22869459027478078</v>
      </c>
      <c r="Q10" s="1802">
        <f ca="1">Valuation!R43</f>
        <v>0.23387805078501409</v>
      </c>
      <c r="R10" s="1795"/>
      <c r="S10" s="1203"/>
      <c r="T10" s="1203"/>
      <c r="U10" s="1203"/>
    </row>
    <row r="11" spans="1:21">
      <c r="A11" s="1203"/>
      <c r="B11" s="1203"/>
      <c r="C11" s="1203"/>
      <c r="D11" s="1203"/>
      <c r="E11" s="1203"/>
      <c r="F11" s="1203"/>
      <c r="G11" s="1203"/>
      <c r="H11" s="1203"/>
      <c r="I11" s="1203"/>
      <c r="J11" s="1797"/>
      <c r="K11" s="1797"/>
      <c r="L11" s="1797"/>
      <c r="M11" s="1797"/>
      <c r="N11" s="1797"/>
      <c r="O11" s="1797"/>
      <c r="P11" s="1797"/>
      <c r="Q11" s="1797"/>
      <c r="R11" s="1797"/>
      <c r="S11" s="1203"/>
      <c r="T11" s="1203"/>
      <c r="U11" s="1203"/>
    </row>
    <row r="12" spans="1:21">
      <c r="A12" s="1203"/>
      <c r="B12" s="1806" t="s">
        <v>249</v>
      </c>
      <c r="C12" s="1795"/>
      <c r="D12" s="1795"/>
      <c r="E12" s="1795"/>
      <c r="F12" s="1795"/>
      <c r="G12" s="1795"/>
      <c r="H12" s="1795"/>
      <c r="I12" s="1795"/>
      <c r="J12" s="1797"/>
      <c r="K12" s="1807" t="s">
        <v>4045</v>
      </c>
      <c r="L12" s="1795"/>
      <c r="M12" s="1795"/>
      <c r="N12" s="1795"/>
      <c r="O12" s="1795"/>
      <c r="P12" s="1795"/>
      <c r="Q12" s="1795"/>
      <c r="R12" s="1795"/>
      <c r="S12" s="1203"/>
      <c r="T12" s="1203"/>
      <c r="U12" s="1203"/>
    </row>
    <row r="13" spans="1:21">
      <c r="A13" s="1203"/>
      <c r="B13" s="1797" t="str">
        <f>Valuation!A23</f>
        <v>Rep EBITDA</v>
      </c>
      <c r="C13" s="1799">
        <f>Valuation!M23</f>
        <v>1718</v>
      </c>
      <c r="D13" s="1799">
        <f>Valuation!N23</f>
        <v>1701.6</v>
      </c>
      <c r="E13" s="1799">
        <f>Valuation!O23</f>
        <v>1579.0990335466222</v>
      </c>
      <c r="F13" s="1799">
        <f>Valuation!P23</f>
        <v>1802.8296324342652</v>
      </c>
      <c r="G13" s="1799">
        <f>Valuation!Q23</f>
        <v>1887.8361378059224</v>
      </c>
      <c r="H13" s="1799">
        <f>Valuation!R23</f>
        <v>1945.9434392102044</v>
      </c>
      <c r="I13" s="1805">
        <f t="shared" ref="I13:I18" si="3">(H13/E13)^(1/3)-1</f>
        <v>7.2112307808983145E-2</v>
      </c>
      <c r="J13" s="1797"/>
      <c r="K13" s="1797" t="str">
        <f>Master!B58</f>
        <v xml:space="preserve">CWC </v>
      </c>
      <c r="L13" s="1799"/>
      <c r="M13" s="1799">
        <f>Master!O58</f>
        <v>2700.7</v>
      </c>
      <c r="N13" s="1799">
        <f>Master!P58</f>
        <v>2757.7449577034972</v>
      </c>
      <c r="O13" s="1799">
        <f>Master!Q58</f>
        <v>2824.216675131273</v>
      </c>
      <c r="P13" s="1799">
        <f>Master!R58</f>
        <v>2890.417310627523</v>
      </c>
      <c r="Q13" s="1799">
        <f>Master!S58</f>
        <v>2956.5036228290742</v>
      </c>
      <c r="R13" s="1805">
        <f>(Q13/N13)^(1/3)-1</f>
        <v>2.3469186918905649E-2</v>
      </c>
      <c r="S13" s="1203"/>
      <c r="T13" s="1203"/>
      <c r="U13" s="1203"/>
    </row>
    <row r="14" spans="1:21">
      <c r="A14" s="1203"/>
      <c r="B14" s="1795" t="str">
        <f>Valuation!A24</f>
        <v>Less Capex (PE adds)</v>
      </c>
      <c r="C14" s="1801">
        <f>Valuation!M24</f>
        <v>-816.3</v>
      </c>
      <c r="D14" s="1801">
        <f>Valuation!N24</f>
        <v>-730.9</v>
      </c>
      <c r="E14" s="1801">
        <f>Valuation!O24</f>
        <v>-714.74571124892748</v>
      </c>
      <c r="F14" s="1801">
        <f>Valuation!P24</f>
        <v>-721.45592028503188</v>
      </c>
      <c r="G14" s="1801">
        <f>Valuation!Q24</f>
        <v>-736.00690545819975</v>
      </c>
      <c r="H14" s="1801">
        <f>Valuation!R24</f>
        <v>-750.3269320788105</v>
      </c>
      <c r="I14" s="1802">
        <f t="shared" si="3"/>
        <v>1.6325897913525234E-2</v>
      </c>
      <c r="J14" s="1797"/>
      <c r="K14" s="1795" t="s">
        <v>469</v>
      </c>
      <c r="L14" s="1801"/>
      <c r="M14" s="1801">
        <f>Master!O48</f>
        <v>1417</v>
      </c>
      <c r="N14" s="1801">
        <f>Master!P48</f>
        <v>1278.8028000000002</v>
      </c>
      <c r="O14" s="1801">
        <f>Master!Q48</f>
        <v>1327.3412871200001</v>
      </c>
      <c r="P14" s="1801">
        <f>Master!R48</f>
        <v>1353.418403214336</v>
      </c>
      <c r="Q14" s="1801">
        <f>Master!S48</f>
        <v>1369.0294607454246</v>
      </c>
      <c r="R14" s="1802">
        <f>(Q14/N14)^(1/3)-1</f>
        <v>2.2986113658368001E-2</v>
      </c>
      <c r="S14" s="1203"/>
      <c r="T14" s="1203"/>
      <c r="U14" s="1203"/>
    </row>
    <row r="15" spans="1:21">
      <c r="A15" s="1203"/>
      <c r="B15" s="1797" t="str">
        <f>Valuation!A25</f>
        <v>P&amp;L interest</v>
      </c>
      <c r="C15" s="1799">
        <f>Valuation!M25</f>
        <v>-556.70000000000005</v>
      </c>
      <c r="D15" s="1799">
        <f>Valuation!N25</f>
        <v>-601.70000000000005</v>
      </c>
      <c r="E15" s="1799">
        <f ca="1">Valuation!O25</f>
        <v>-619.35390955854734</v>
      </c>
      <c r="F15" s="1799">
        <f ca="1">Valuation!P25</f>
        <v>-653.82239239434932</v>
      </c>
      <c r="G15" s="1799">
        <f ca="1">Valuation!Q25</f>
        <v>-711.84928438857503</v>
      </c>
      <c r="H15" s="1799">
        <f ca="1">Valuation!R25</f>
        <v>-710.13856933186617</v>
      </c>
      <c r="I15" s="1805">
        <f t="shared" ca="1" si="3"/>
        <v>4.6649826623402335E-2</v>
      </c>
      <c r="J15" s="1797"/>
      <c r="K15" s="1797" t="s">
        <v>3411</v>
      </c>
      <c r="L15" s="1799"/>
      <c r="M15" s="1799">
        <f>Master!O49</f>
        <v>547.9</v>
      </c>
      <c r="N15" s="1799">
        <f>Master!P49</f>
        <v>587.03287333112166</v>
      </c>
      <c r="O15" s="1799">
        <f>Master!Q49</f>
        <v>597.57661798413017</v>
      </c>
      <c r="P15" s="1799">
        <f>Master!R49</f>
        <v>611.63713247800251</v>
      </c>
      <c r="Q15" s="1799">
        <f>Master!S49</f>
        <v>626.61292781178599</v>
      </c>
      <c r="R15" s="1805">
        <f>(Q15/N15)^(1/3)-1</f>
        <v>2.1987638683191646E-2</v>
      </c>
      <c r="S15" s="1203"/>
      <c r="T15" s="1203"/>
      <c r="U15" s="1203"/>
    </row>
    <row r="16" spans="1:21">
      <c r="A16" s="1203"/>
      <c r="B16" s="1795" t="str">
        <f>Valuation!A26</f>
        <v>Normalised tax</v>
      </c>
      <c r="C16" s="1801">
        <f>Valuation!M26</f>
        <v>-113.85000000000001</v>
      </c>
      <c r="D16" s="1801">
        <f>Valuation!N26</f>
        <v>-99.629999999999981</v>
      </c>
      <c r="E16" s="1801">
        <f ca="1">Valuation!O26</f>
        <v>-73.499823821744215</v>
      </c>
      <c r="F16" s="1801">
        <f ca="1">Valuation!P26</f>
        <v>-128.2653959264652</v>
      </c>
      <c r="G16" s="1801">
        <f ca="1">Valuation!Q26</f>
        <v>-131.99398438774426</v>
      </c>
      <c r="H16" s="1801">
        <f ca="1">Valuation!R26</f>
        <v>-145.64338133985834</v>
      </c>
      <c r="I16" s="1802">
        <f t="shared" ca="1" si="3"/>
        <v>0.25603425861099782</v>
      </c>
      <c r="J16" s="1797"/>
      <c r="K16" s="1808" t="s">
        <v>5961</v>
      </c>
      <c r="L16" s="1809"/>
      <c r="M16" s="1809">
        <f>M17-M13-M14-M15</f>
        <v>-154.49999999999943</v>
      </c>
      <c r="N16" s="1809">
        <f t="shared" ref="N16:P16" si="4">N17-N13-N14-N15</f>
        <v>-154.49999999999932</v>
      </c>
      <c r="O16" s="1809">
        <f t="shared" si="4"/>
        <v>-154.49999999999875</v>
      </c>
      <c r="P16" s="1809">
        <f t="shared" si="4"/>
        <v>-154.49999999999977</v>
      </c>
      <c r="Q16" s="1809">
        <f t="shared" ref="Q16" si="5">Q17-Q13-Q14-Q15</f>
        <v>-154.49999999999886</v>
      </c>
      <c r="R16" s="1810">
        <f>(Q16/N16)^(1/3)-1</f>
        <v>-9.9920072216264089E-16</v>
      </c>
      <c r="S16" s="1203"/>
      <c r="T16" s="1203"/>
      <c r="U16" s="1203"/>
    </row>
    <row r="17" spans="1:21">
      <c r="A17" s="1203"/>
      <c r="B17" s="1803" t="str">
        <f>Valuation!A27</f>
        <v>Less minorities dividend</v>
      </c>
      <c r="C17" s="1804">
        <f>Valuation!M27</f>
        <v>-1.9</v>
      </c>
      <c r="D17" s="1804">
        <f>Valuation!N27</f>
        <v>-75.400000000000006</v>
      </c>
      <c r="E17" s="1804">
        <f>Valuation!O27</f>
        <v>-35</v>
      </c>
      <c r="F17" s="1804">
        <f>Valuation!P27</f>
        <v>-50</v>
      </c>
      <c r="G17" s="1804">
        <f>Valuation!Q27</f>
        <v>-50</v>
      </c>
      <c r="H17" s="1804">
        <f>Valuation!R27</f>
        <v>-50</v>
      </c>
      <c r="I17" s="1811">
        <f t="shared" si="3"/>
        <v>0.12624788044360602</v>
      </c>
      <c r="J17" s="1797"/>
      <c r="K17" s="1812" t="s">
        <v>16</v>
      </c>
      <c r="L17" s="1799"/>
      <c r="M17" s="1799">
        <f>Master!O52</f>
        <v>4511.1000000000004</v>
      </c>
      <c r="N17" s="1799">
        <f>Master!P52</f>
        <v>4469.0806310346197</v>
      </c>
      <c r="O17" s="1799">
        <f>Master!Q52</f>
        <v>4594.6345802354044</v>
      </c>
      <c r="P17" s="1799">
        <f>Master!R52</f>
        <v>4700.9728463198617</v>
      </c>
      <c r="Q17" s="1799">
        <f>Master!S52</f>
        <v>4797.6460113862859</v>
      </c>
      <c r="R17" s="1805">
        <f>(Q17/N17)^(1/3)-1</f>
        <v>2.3929377628959747E-2</v>
      </c>
      <c r="S17" s="1203"/>
      <c r="T17" s="1203"/>
      <c r="U17" s="1203"/>
    </row>
    <row r="18" spans="1:21">
      <c r="A18" s="1203"/>
      <c r="B18" s="1795" t="str">
        <f>Valuation!A28</f>
        <v>Normalised EFCF</v>
      </c>
      <c r="C18" s="1801">
        <f>Valuation!M28</f>
        <v>229.24999999999997</v>
      </c>
      <c r="D18" s="1801">
        <f>Valuation!N28</f>
        <v>193.96999999999989</v>
      </c>
      <c r="E18" s="1801">
        <f ca="1">Valuation!O28</f>
        <v>136.49958891740317</v>
      </c>
      <c r="F18" s="1801">
        <f ca="1">Valuation!P28</f>
        <v>249.28592382841885</v>
      </c>
      <c r="G18" s="1801">
        <f ca="1">Valuation!Q28</f>
        <v>257.98596357140332</v>
      </c>
      <c r="H18" s="1801">
        <f ca="1">Valuation!R28</f>
        <v>289.83455645966944</v>
      </c>
      <c r="I18" s="1802">
        <f t="shared" ca="1" si="3"/>
        <v>0.28530522680795722</v>
      </c>
      <c r="J18" s="1805"/>
      <c r="K18" s="1813"/>
      <c r="L18" s="1801"/>
      <c r="M18" s="1801"/>
      <c r="N18" s="1801"/>
      <c r="O18" s="1801"/>
      <c r="P18" s="1801"/>
      <c r="Q18" s="1801"/>
      <c r="R18" s="1802"/>
      <c r="S18" s="1203"/>
      <c r="T18" s="1203"/>
      <c r="U18" s="1203"/>
    </row>
    <row r="19" spans="1:21">
      <c r="A19" s="1203"/>
      <c r="B19" s="1203"/>
      <c r="C19" s="1203"/>
      <c r="D19" s="1203"/>
      <c r="E19" s="1203"/>
      <c r="F19" s="1203"/>
      <c r="G19" s="1203"/>
      <c r="H19" s="1203"/>
      <c r="I19" s="1805"/>
      <c r="J19" s="1805"/>
      <c r="K19" s="1814" t="s">
        <v>7035</v>
      </c>
      <c r="L19" s="1797"/>
      <c r="M19" s="1797"/>
      <c r="N19" s="1797"/>
      <c r="O19" s="1797"/>
      <c r="P19" s="1797"/>
      <c r="Q19" s="1797"/>
      <c r="R19" s="1805"/>
      <c r="S19" s="1203"/>
      <c r="T19" s="1203"/>
      <c r="U19" s="1203"/>
    </row>
    <row r="20" spans="1:21">
      <c r="A20" s="1203"/>
      <c r="B20" s="1795" t="s">
        <v>3475</v>
      </c>
      <c r="C20" s="1801">
        <f>Valuation!M36</f>
        <v>189.60000000000016</v>
      </c>
      <c r="D20" s="1801">
        <f>Valuation!N36</f>
        <v>272.39999999999998</v>
      </c>
      <c r="E20" s="1864">
        <f ca="1">Valuation!O36</f>
        <v>51.464687652834982</v>
      </c>
      <c r="F20" s="1865">
        <f ca="1">Valuation!P36</f>
        <v>429.06196940320535</v>
      </c>
      <c r="G20" s="1865">
        <f ca="1">Valuation!Q36</f>
        <v>386.57756864285136</v>
      </c>
      <c r="H20" s="1866">
        <f ca="1">Valuation!R36</f>
        <v>380.1448718310279</v>
      </c>
      <c r="I20" s="1802">
        <f ca="1">(H20/E20)^(1/3)-1</f>
        <v>0.94751105507785538</v>
      </c>
      <c r="J20" s="1805"/>
      <c r="K20" s="1795" t="str">
        <f>Master!B58</f>
        <v xml:space="preserve">CWC </v>
      </c>
      <c r="L20" s="1801"/>
      <c r="M20" s="1801">
        <f>Master!O85</f>
        <v>1086.2</v>
      </c>
      <c r="N20" s="1801">
        <f>Master!P85</f>
        <v>1121.9841984141069</v>
      </c>
      <c r="O20" s="1801">
        <f>Master!Q85</f>
        <v>1184.2504847729369</v>
      </c>
      <c r="P20" s="1801">
        <f>Master!R85</f>
        <v>1222.7859544035505</v>
      </c>
      <c r="Q20" s="1801">
        <f>Master!S85</f>
        <v>1256.3605099882811</v>
      </c>
      <c r="R20" s="1802">
        <f>(Q20/N20)^(1/3)-1</f>
        <v>3.8426698511196067E-2</v>
      </c>
      <c r="S20" s="1203"/>
      <c r="T20" s="1203"/>
      <c r="U20" s="1203"/>
    </row>
    <row r="21" spans="1:21">
      <c r="A21" s="1203"/>
      <c r="B21" s="1797" t="s">
        <v>7304</v>
      </c>
      <c r="C21" s="1805"/>
      <c r="D21" s="1805"/>
      <c r="E21" s="1805"/>
      <c r="F21" s="1805"/>
      <c r="G21" s="1799">
        <f ca="1">SUM(E20:G20)</f>
        <v>867.1042256988917</v>
      </c>
      <c r="H21" s="1799">
        <f ca="1">SUM(F20:H20)</f>
        <v>1195.7844098770847</v>
      </c>
      <c r="I21" s="1805"/>
      <c r="J21" s="1797"/>
      <c r="K21" s="1797" t="s">
        <v>469</v>
      </c>
      <c r="L21" s="1799"/>
      <c r="M21" s="1799">
        <f>Master!O71</f>
        <v>485.5</v>
      </c>
      <c r="N21" s="1799">
        <f>Master!P71</f>
        <v>323.91267200000004</v>
      </c>
      <c r="O21" s="1799">
        <f>Master!Q71</f>
        <v>481.47579900720001</v>
      </c>
      <c r="P21" s="1799">
        <f>Master!R71</f>
        <v>516.62807306073091</v>
      </c>
      <c r="Q21" s="1799">
        <f>Master!S71</f>
        <v>535.47001665344442</v>
      </c>
      <c r="R21" s="1805">
        <f>(Q21/N21)^(1/3)-1</f>
        <v>0.18241266545444113</v>
      </c>
      <c r="S21" s="1203"/>
      <c r="T21" s="1203"/>
      <c r="U21" s="1203"/>
    </row>
    <row r="22" spans="1:21">
      <c r="A22" s="1203"/>
      <c r="B22" s="1795"/>
      <c r="C22" s="1801"/>
      <c r="D22" s="1801"/>
      <c r="E22" s="1801"/>
      <c r="F22" s="1801"/>
      <c r="G22" s="1801"/>
      <c r="H22" s="1801"/>
      <c r="I22" s="1802"/>
      <c r="J22" s="1805"/>
      <c r="K22" s="1795" t="s">
        <v>3411</v>
      </c>
      <c r="L22" s="1801"/>
      <c r="M22" s="1801">
        <f>Master!O72</f>
        <v>203.1</v>
      </c>
      <c r="N22" s="1801">
        <f>Master!P72</f>
        <v>217.20216313251501</v>
      </c>
      <c r="O22" s="1801">
        <f>Master!Q72</f>
        <v>221.10334865412818</v>
      </c>
      <c r="P22" s="1801">
        <f>Master!R72</f>
        <v>232.42211034164094</v>
      </c>
      <c r="Q22" s="1801">
        <f>Master!S72</f>
        <v>238.11291256847872</v>
      </c>
      <c r="R22" s="1802">
        <f>(Q22/N22)^(1/3)-1</f>
        <v>3.1113011160487813E-2</v>
      </c>
      <c r="S22" s="1203"/>
      <c r="T22" s="1203"/>
      <c r="U22" s="1203"/>
    </row>
    <row r="23" spans="1:21">
      <c r="A23" s="1203"/>
      <c r="B23" s="1797" t="s">
        <v>895</v>
      </c>
      <c r="C23" s="1815">
        <f>Valuation!M68</f>
        <v>3.6493015133876603</v>
      </c>
      <c r="D23" s="1815">
        <f>Valuation!N68</f>
        <v>4.261342266102492</v>
      </c>
      <c r="E23" s="1815">
        <f ca="1">Valuation!O68</f>
        <v>4.6231006068371636</v>
      </c>
      <c r="F23" s="1815">
        <f ca="1">Valuation!P68</f>
        <v>3.8984493221580476</v>
      </c>
      <c r="G23" s="1815">
        <f ca="1">Valuation!Q68</f>
        <v>3.5963055794199832</v>
      </c>
      <c r="H23" s="1815">
        <f ca="1">Valuation!R68</f>
        <v>3.3518669271100223</v>
      </c>
      <c r="I23" s="1805"/>
      <c r="J23" s="1797"/>
      <c r="K23" s="1816" t="s">
        <v>4</v>
      </c>
      <c r="L23" s="1804"/>
      <c r="M23" s="1804">
        <f>Master!O73</f>
        <v>-73.200000000000045</v>
      </c>
      <c r="N23" s="1804">
        <f>Master!P73</f>
        <v>-84</v>
      </c>
      <c r="O23" s="1804">
        <f>Master!Q73</f>
        <v>-84</v>
      </c>
      <c r="P23" s="1804">
        <f>Master!R73</f>
        <v>-84</v>
      </c>
      <c r="Q23" s="1804">
        <f>Master!S73</f>
        <v>-84</v>
      </c>
      <c r="R23" s="1811">
        <f>(Q23/N23)^(1/3)-1</f>
        <v>0</v>
      </c>
      <c r="S23" s="1203"/>
      <c r="T23" s="1203"/>
      <c r="U23" s="1203"/>
    </row>
    <row r="24" spans="1:21">
      <c r="A24" s="1203"/>
      <c r="B24" s="1795" t="s">
        <v>7420</v>
      </c>
      <c r="C24" s="1868">
        <f>'Puerto Rico'!J133</f>
        <v>4.630139500734213</v>
      </c>
      <c r="D24" s="1868">
        <f>'Puerto Rico'!K133</f>
        <v>5.311843460350155</v>
      </c>
      <c r="E24" s="1868">
        <f>'Puerto Rico'!L133</f>
        <v>8.4787462282426542</v>
      </c>
      <c r="F24" s="1868">
        <f>'Puerto Rico'!M133</f>
        <v>5.7543299944322595</v>
      </c>
      <c r="G24" s="1868">
        <f>'Puerto Rico'!N133</f>
        <v>5.3861403597169604</v>
      </c>
      <c r="H24" s="1868">
        <f>'Puerto Rico'!O133</f>
        <v>5.1404567934784255</v>
      </c>
      <c r="I24" s="1802"/>
      <c r="J24" s="1805"/>
      <c r="K24" s="1813" t="s">
        <v>16</v>
      </c>
      <c r="L24" s="1801"/>
      <c r="M24" s="1801">
        <f>Master!O74</f>
        <v>1701.6</v>
      </c>
      <c r="N24" s="1801">
        <f>Master!P74</f>
        <v>1579.0990335466222</v>
      </c>
      <c r="O24" s="1801">
        <f>Master!Q74</f>
        <v>1802.8296324342652</v>
      </c>
      <c r="P24" s="1801">
        <f>Master!R74</f>
        <v>1887.8361378059224</v>
      </c>
      <c r="Q24" s="1801">
        <f>Master!S74</f>
        <v>1945.9434392102044</v>
      </c>
      <c r="R24" s="1802">
        <f>(P24/N24)^(1/3)-1</f>
        <v>6.133293785795968E-2</v>
      </c>
      <c r="S24" s="1203"/>
      <c r="T24" s="1203"/>
      <c r="U24" s="1203"/>
    </row>
    <row r="25" spans="1:21">
      <c r="A25" s="1203"/>
      <c r="B25" s="1803" t="s">
        <v>7421</v>
      </c>
      <c r="C25" s="1869">
        <f>CWC!F61</f>
        <v>4.2439541790411539</v>
      </c>
      <c r="D25" s="1869">
        <f>CWC!G61</f>
        <v>3.6002651640702688</v>
      </c>
      <c r="E25" s="1869">
        <f>CWC!H61</f>
        <v>3.3091802980489913</v>
      </c>
      <c r="F25" s="1869">
        <f>CWC!I61</f>
        <v>3.4928284887655483</v>
      </c>
      <c r="G25" s="1869">
        <f>CWC!J61</f>
        <v>3.6064850064401632</v>
      </c>
      <c r="H25" s="1869">
        <f>CWC!K61</f>
        <v>3.7055098037713408</v>
      </c>
      <c r="I25" s="1811"/>
      <c r="J25" s="1811"/>
      <c r="K25" s="1803"/>
      <c r="L25" s="1870"/>
      <c r="M25" s="1870"/>
      <c r="N25" s="1870"/>
      <c r="O25" s="1870"/>
      <c r="P25" s="1870"/>
      <c r="Q25" s="1870"/>
      <c r="R25" s="1811"/>
      <c r="S25" s="1203"/>
      <c r="T25" s="1203"/>
      <c r="U25" s="1203"/>
    </row>
    <row r="26" spans="1:21">
      <c r="A26" s="1203"/>
      <c r="B26" s="1797"/>
      <c r="C26" s="1797"/>
      <c r="D26" s="1797"/>
      <c r="E26" s="1797"/>
      <c r="F26" s="1797"/>
      <c r="G26" s="1797"/>
      <c r="H26" s="1797"/>
      <c r="I26" s="1805"/>
      <c r="J26" s="1797"/>
      <c r="K26" s="1797"/>
      <c r="L26" s="1799"/>
      <c r="M26" s="1799"/>
      <c r="N26" s="1799"/>
      <c r="O26" s="1799"/>
      <c r="P26" s="1799"/>
      <c r="Q26" s="1799"/>
      <c r="R26" s="1805"/>
      <c r="S26" s="1203"/>
      <c r="T26" s="1203"/>
      <c r="U26" s="1203"/>
    </row>
    <row r="27" spans="1:21">
      <c r="A27" s="1203"/>
      <c r="B27" s="1797"/>
      <c r="C27" s="1867"/>
      <c r="D27" s="1867"/>
      <c r="E27" s="1867"/>
      <c r="F27" s="1867"/>
      <c r="G27" s="1867"/>
      <c r="H27" s="1867"/>
      <c r="I27" s="1805"/>
      <c r="J27" s="1797"/>
      <c r="K27" s="1797"/>
      <c r="L27" s="1871"/>
      <c r="M27" s="1871"/>
      <c r="N27" s="1871"/>
      <c r="O27" s="1871"/>
      <c r="P27" s="1871"/>
      <c r="Q27" s="1871"/>
      <c r="R27" s="1797"/>
      <c r="S27" s="1203"/>
      <c r="T27" s="1203"/>
      <c r="U27" s="1203"/>
    </row>
    <row r="28" spans="1:21">
      <c r="A28" s="1203"/>
      <c r="B28" s="1797"/>
      <c r="C28" s="1867"/>
      <c r="D28" s="1867"/>
      <c r="E28" s="1867"/>
      <c r="F28" s="1867"/>
      <c r="G28" s="1867"/>
      <c r="H28" s="1867"/>
      <c r="I28" s="1805"/>
      <c r="J28" s="1797"/>
      <c r="K28" s="1797"/>
      <c r="L28" s="1799"/>
      <c r="M28" s="1799"/>
      <c r="N28" s="1799"/>
      <c r="O28" s="1799"/>
      <c r="P28" s="1799"/>
      <c r="Q28" s="1799"/>
      <c r="R28" s="1805"/>
      <c r="S28" s="1203"/>
      <c r="T28" s="1203"/>
      <c r="U28" s="1203"/>
    </row>
    <row r="29" spans="1:21">
      <c r="A29" s="1203"/>
      <c r="B29" s="1203"/>
      <c r="C29" s="1203"/>
      <c r="D29" s="1203"/>
      <c r="E29" s="1203"/>
      <c r="F29" s="1203"/>
      <c r="G29" s="1203"/>
      <c r="H29" s="1203"/>
      <c r="I29" s="1203"/>
      <c r="J29" s="1203"/>
      <c r="K29" s="1203"/>
      <c r="L29" s="1203"/>
      <c r="M29" s="1203"/>
      <c r="N29" s="1203"/>
      <c r="O29" s="1203"/>
      <c r="P29" s="1203"/>
      <c r="Q29" s="1203"/>
      <c r="R29" s="1203"/>
      <c r="S29" s="1203"/>
      <c r="T29" s="1203"/>
      <c r="U29" s="1203"/>
    </row>
    <row r="30" spans="1:21">
      <c r="A30" s="1203"/>
      <c r="B30" s="1203"/>
      <c r="C30" s="1203"/>
      <c r="D30" s="1203"/>
      <c r="E30" s="1203"/>
      <c r="F30" s="1203"/>
      <c r="G30" s="1203"/>
      <c r="H30" s="1203"/>
      <c r="I30" s="1203"/>
      <c r="J30" s="1203"/>
      <c r="K30" s="1203"/>
      <c r="L30" s="1203"/>
      <c r="M30" s="1203"/>
      <c r="N30" s="1203"/>
      <c r="O30" s="1203"/>
      <c r="P30" s="1203"/>
      <c r="Q30" s="1203"/>
      <c r="R30" s="1203"/>
      <c r="S30" s="1203"/>
      <c r="T30" s="1203"/>
      <c r="U30" s="1203"/>
    </row>
    <row r="31" spans="1:21">
      <c r="A31" s="1203"/>
      <c r="B31" s="1203"/>
      <c r="C31" s="1203"/>
      <c r="D31" s="1203"/>
      <c r="E31" s="1203"/>
      <c r="F31" s="1203"/>
      <c r="G31" s="1203"/>
      <c r="H31" s="1203"/>
      <c r="I31" s="1203"/>
      <c r="J31" s="1203"/>
      <c r="K31" s="1203"/>
      <c r="L31" s="1203"/>
      <c r="M31" s="1203"/>
      <c r="N31" s="1203"/>
      <c r="O31" s="1203"/>
      <c r="P31" s="1203"/>
      <c r="Q31" s="1203"/>
      <c r="R31" s="1203"/>
      <c r="S31" s="1203"/>
      <c r="T31" s="1203"/>
      <c r="U31" s="1203"/>
    </row>
    <row r="32" spans="1:21">
      <c r="A32" s="1203"/>
      <c r="B32" s="1203"/>
      <c r="C32" s="1203"/>
      <c r="D32" s="1203"/>
      <c r="E32" s="1203"/>
      <c r="F32" s="1203"/>
      <c r="G32" s="1203"/>
      <c r="H32" s="1203"/>
      <c r="I32" s="1203"/>
      <c r="J32" s="1203"/>
      <c r="K32" s="1203"/>
      <c r="L32" s="1203"/>
      <c r="M32" s="1203"/>
      <c r="N32" s="1203"/>
      <c r="O32" s="1203"/>
      <c r="P32" s="1203"/>
      <c r="Q32" s="1203"/>
      <c r="R32" s="1203"/>
      <c r="S32" s="1203"/>
      <c r="T32" s="1203"/>
      <c r="U32" s="1203"/>
    </row>
    <row r="33" spans="1:21">
      <c r="A33" s="1203"/>
      <c r="B33" s="1203"/>
      <c r="C33" s="1203"/>
      <c r="D33" s="1203"/>
      <c r="E33" s="1203"/>
      <c r="F33" s="1203"/>
      <c r="G33" s="1203"/>
      <c r="H33" s="1203"/>
      <c r="I33" s="1203"/>
      <c r="J33" s="1203"/>
      <c r="K33" s="1203"/>
      <c r="L33" s="1203"/>
      <c r="M33" s="1203"/>
      <c r="N33" s="1203"/>
      <c r="O33" s="1203"/>
      <c r="P33" s="1203"/>
      <c r="Q33" s="1203"/>
      <c r="R33" s="1203"/>
      <c r="S33" s="1203"/>
      <c r="T33" s="1203"/>
      <c r="U33" s="1203"/>
    </row>
    <row r="34" spans="1:21">
      <c r="A34" s="1203"/>
      <c r="B34" s="1203"/>
      <c r="C34" s="1203"/>
      <c r="D34" s="1203"/>
      <c r="E34" s="1203"/>
      <c r="F34" s="1203"/>
      <c r="G34" s="1203"/>
      <c r="H34" s="1203"/>
      <c r="I34" s="1203"/>
      <c r="J34" s="1203"/>
      <c r="K34" s="1203"/>
      <c r="L34" s="1203"/>
      <c r="M34" s="1203"/>
      <c r="N34" s="1203"/>
      <c r="O34" s="1203"/>
      <c r="P34" s="1203"/>
      <c r="Q34" s="1203"/>
      <c r="R34" s="1203"/>
      <c r="S34" s="1203"/>
      <c r="T34" s="1203"/>
      <c r="U34" s="1203"/>
    </row>
    <row r="35" spans="1:21">
      <c r="A35" s="1203"/>
      <c r="B35" s="1203"/>
      <c r="C35" s="1203"/>
      <c r="D35" s="1203"/>
      <c r="E35" s="1203"/>
      <c r="F35" s="1203"/>
      <c r="G35" s="1203"/>
      <c r="H35" s="1203"/>
      <c r="I35" s="1203"/>
      <c r="J35" s="1203"/>
      <c r="K35" s="1203"/>
      <c r="L35" s="1203"/>
      <c r="M35" s="1203"/>
      <c r="N35" s="1203"/>
      <c r="O35" s="1203"/>
      <c r="P35" s="1203"/>
      <c r="Q35" s="1203"/>
      <c r="R35" s="1203"/>
      <c r="S35" s="1203"/>
      <c r="T35" s="1203"/>
      <c r="U35" s="1203"/>
    </row>
    <row r="36" spans="1:21">
      <c r="A36" s="1203"/>
      <c r="B36" s="1203"/>
      <c r="C36" s="1203"/>
      <c r="D36" s="1203"/>
      <c r="E36" s="1203"/>
      <c r="F36" s="1203"/>
      <c r="G36" s="1203"/>
      <c r="H36" s="1203"/>
      <c r="I36" s="1203"/>
      <c r="J36" s="1203"/>
      <c r="K36" s="1203"/>
      <c r="L36" s="1203"/>
      <c r="M36" s="1203"/>
      <c r="N36" s="1203"/>
      <c r="O36" s="1203"/>
      <c r="P36" s="1203"/>
      <c r="Q36" s="1203"/>
      <c r="R36" s="1203"/>
      <c r="S36" s="1203"/>
      <c r="T36" s="1203"/>
      <c r="U36" s="1203"/>
    </row>
    <row r="37" spans="1:21">
      <c r="A37" s="1203"/>
      <c r="B37" s="1203"/>
      <c r="C37" s="1203"/>
      <c r="D37" s="1203"/>
      <c r="E37" s="1203"/>
      <c r="F37" s="1203"/>
      <c r="G37" s="1203"/>
      <c r="H37" s="1203"/>
      <c r="I37" s="1203"/>
      <c r="J37" s="1203"/>
      <c r="K37" s="1203"/>
      <c r="L37" s="1203"/>
      <c r="M37" s="1203"/>
      <c r="N37" s="1203"/>
      <c r="O37" s="1203"/>
      <c r="P37" s="1203"/>
      <c r="Q37" s="1203"/>
      <c r="R37" s="1203"/>
      <c r="S37" s="1203"/>
      <c r="T37" s="1203"/>
      <c r="U37" s="12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72"/>
  <sheetViews>
    <sheetView zoomScale="80" zoomScaleNormal="80" workbookViewId="0">
      <selection activeCell="G35" sqref="G35"/>
    </sheetView>
  </sheetViews>
  <sheetFormatPr defaultRowHeight="15"/>
  <cols>
    <col min="1" max="1" width="11.140625" customWidth="1"/>
    <col min="2" max="2" width="27.7109375" customWidth="1"/>
    <col min="3" max="3" width="15.5703125" customWidth="1"/>
    <col min="4" max="4" width="16" customWidth="1"/>
    <col min="5" max="5" width="14.42578125" customWidth="1"/>
    <col min="6" max="6" width="12.140625" customWidth="1"/>
    <col min="7" max="7" width="13" customWidth="1"/>
    <col min="8" max="8" width="11.5703125" customWidth="1"/>
    <col min="9" max="9" width="14.140625" customWidth="1"/>
    <col min="10" max="10" width="10.42578125" customWidth="1"/>
    <col min="12" max="12" width="9.85546875" bestFit="1" customWidth="1"/>
    <col min="13" max="13" width="11.5703125" bestFit="1" customWidth="1"/>
  </cols>
  <sheetData>
    <row r="1" spans="2:13">
      <c r="D1" s="60"/>
    </row>
    <row r="2" spans="2:13">
      <c r="B2" s="1308" t="s">
        <v>325</v>
      </c>
      <c r="C2" s="1359" t="s">
        <v>326</v>
      </c>
      <c r="D2" s="1359" t="s">
        <v>6827</v>
      </c>
      <c r="E2" s="1359" t="s">
        <v>327</v>
      </c>
      <c r="F2" s="1359" t="s">
        <v>7923</v>
      </c>
      <c r="G2" s="1359" t="s">
        <v>331</v>
      </c>
      <c r="H2" s="1359" t="s">
        <v>328</v>
      </c>
      <c r="I2" s="1621" t="s">
        <v>329</v>
      </c>
      <c r="J2" s="1203"/>
      <c r="K2" s="1203"/>
    </row>
    <row r="3" spans="2:13">
      <c r="B3" s="1203" t="str">
        <f>'New Format'!B314</f>
        <v>Jamaica</v>
      </c>
      <c r="C3" s="1305">
        <v>0.92300000000000004</v>
      </c>
      <c r="D3" s="1535">
        <f>G3/Master!Q63</f>
        <v>5.9895309587215229</v>
      </c>
      <c r="E3" s="1534">
        <f t="shared" ref="E3:E8" si="0">G3-F3</f>
        <v>1190.7825471224305</v>
      </c>
      <c r="F3" s="1534">
        <v>50</v>
      </c>
      <c r="G3" s="1534">
        <f>'New Format'!G314</f>
        <v>1240.7825471224305</v>
      </c>
      <c r="H3" s="1305">
        <f t="shared" ref="H3:H12" ca="1" si="1">G3/G$28</f>
        <v>0.12858911662407627</v>
      </c>
      <c r="I3" s="1203" t="s">
        <v>330</v>
      </c>
      <c r="J3" s="1305"/>
      <c r="K3" s="1203"/>
    </row>
    <row r="4" spans="2:13">
      <c r="B4" s="1203" t="str">
        <f>'New Format'!B315</f>
        <v>Trinidad and Tobago</v>
      </c>
      <c r="C4" s="1305">
        <v>1</v>
      </c>
      <c r="D4" s="1535">
        <f>G4/Master!Q64</f>
        <v>5.7980752540000182</v>
      </c>
      <c r="E4" s="1534">
        <f t="shared" si="0"/>
        <v>373.71618228266863</v>
      </c>
      <c r="F4" s="1534"/>
      <c r="G4" s="1534">
        <f>'New Format'!G315</f>
        <v>373.71618228266863</v>
      </c>
      <c r="H4" s="1305">
        <f t="shared" ca="1" si="1"/>
        <v>3.8730262493858927E-2</v>
      </c>
      <c r="I4" s="1203" t="s">
        <v>330</v>
      </c>
      <c r="J4" s="1305"/>
      <c r="K4" s="1203"/>
    </row>
    <row r="5" spans="2:13">
      <c r="B5" s="1203" t="str">
        <f>'New Format'!B316</f>
        <v>Barbados</v>
      </c>
      <c r="C5" s="1305">
        <v>1</v>
      </c>
      <c r="D5" s="1535">
        <f>G5/Master!Q65</f>
        <v>5.4009090639018451</v>
      </c>
      <c r="E5" s="1534">
        <f t="shared" si="0"/>
        <v>315.56272649318305</v>
      </c>
      <c r="F5" s="1534">
        <v>50</v>
      </c>
      <c r="G5" s="1534">
        <f>'New Format'!G316</f>
        <v>365.56272649318305</v>
      </c>
      <c r="H5" s="1305">
        <f t="shared" ca="1" si="1"/>
        <v>3.7885275046352578E-2</v>
      </c>
      <c r="I5" s="1203" t="s">
        <v>330</v>
      </c>
      <c r="J5" s="1305"/>
      <c r="K5" s="1203"/>
    </row>
    <row r="6" spans="2:13">
      <c r="B6" s="1203" t="str">
        <f>'New Format'!B317</f>
        <v>Bahamas</v>
      </c>
      <c r="C6" s="1305">
        <v>0.49</v>
      </c>
      <c r="D6" s="1535">
        <f>G6/Master!Q67</f>
        <v>6.3192059967674741</v>
      </c>
      <c r="E6" s="1534">
        <f t="shared" si="0"/>
        <v>483.92336207369044</v>
      </c>
      <c r="F6" s="1534">
        <v>50</v>
      </c>
      <c r="G6" s="1534">
        <f>'New Format'!G317</f>
        <v>533.92336207369044</v>
      </c>
      <c r="H6" s="1305">
        <f t="shared" ca="1" si="1"/>
        <v>5.5333413282801579E-2</v>
      </c>
      <c r="I6" s="1203" t="s">
        <v>330</v>
      </c>
      <c r="J6" s="1305"/>
      <c r="K6" s="1203"/>
    </row>
    <row r="7" spans="2:13">
      <c r="B7" s="1203" t="s">
        <v>6329</v>
      </c>
      <c r="C7" s="1305">
        <v>0.49</v>
      </c>
      <c r="D7" s="1535">
        <f>G7/Master!Q66</f>
        <v>4.9579760093990224</v>
      </c>
      <c r="E7" s="1534">
        <f t="shared" si="0"/>
        <v>1309.6514162191741</v>
      </c>
      <c r="F7" s="1534">
        <v>50</v>
      </c>
      <c r="G7" s="1534">
        <f>'New Format'!G318+Analysis!C3310</f>
        <v>1359.6514162191741</v>
      </c>
      <c r="H7" s="1305">
        <f t="shared" ca="1" si="1"/>
        <v>0.14090815101628471</v>
      </c>
      <c r="I7" s="1203" t="s">
        <v>330</v>
      </c>
      <c r="J7" s="1305"/>
      <c r="K7" s="1203"/>
    </row>
    <row r="8" spans="2:13">
      <c r="B8" s="1203" t="str">
        <f>'New Format'!B319</f>
        <v>Networks &amp; LatAm</v>
      </c>
      <c r="C8" s="1305">
        <v>1</v>
      </c>
      <c r="D8" s="1535">
        <f>G8/Master!Q68</f>
        <v>7.2246464784347877</v>
      </c>
      <c r="E8" s="1534">
        <f t="shared" si="0"/>
        <v>1462.2059971020556</v>
      </c>
      <c r="F8" s="1203"/>
      <c r="G8" s="1534">
        <f>'New Format'!G319</f>
        <v>1462.2059971020556</v>
      </c>
      <c r="H8" s="1305">
        <f t="shared" ca="1" si="1"/>
        <v>0.15153644603225327</v>
      </c>
      <c r="I8" s="1203" t="s">
        <v>330</v>
      </c>
      <c r="J8" s="1305"/>
      <c r="K8" s="1203"/>
    </row>
    <row r="9" spans="2:13">
      <c r="B9" s="1203" t="str">
        <f>'New Format'!B320</f>
        <v>Ventures/Other</v>
      </c>
      <c r="C9" s="1305">
        <v>0.98499999999999999</v>
      </c>
      <c r="D9" s="1535">
        <f>G9/Master!Q69</f>
        <v>7.3470065129939224</v>
      </c>
      <c r="E9" s="1534">
        <f t="shared" ref="E9:E12" si="2">G9-F9</f>
        <v>2085.3201371281548</v>
      </c>
      <c r="F9" s="1534"/>
      <c r="G9" s="1534">
        <f>'New Format'!G320</f>
        <v>2085.3201371281548</v>
      </c>
      <c r="H9" s="1305">
        <f t="shared" ca="1" si="1"/>
        <v>0.21611318996514556</v>
      </c>
      <c r="I9" s="1203" t="s">
        <v>330</v>
      </c>
      <c r="J9" s="1305"/>
      <c r="K9" s="1203"/>
      <c r="M9" s="59"/>
    </row>
    <row r="10" spans="2:13">
      <c r="B10" s="1203" t="s">
        <v>469</v>
      </c>
      <c r="C10" s="1305">
        <v>1</v>
      </c>
      <c r="D10" s="1535">
        <f>G10/'Puerto Rico'!M105</f>
        <v>6.0933529905480848</v>
      </c>
      <c r="E10" s="1534">
        <f t="shared" si="2"/>
        <v>354.80199975705091</v>
      </c>
      <c r="F10" s="1534">
        <f>Valuation!P71</f>
        <v>2579</v>
      </c>
      <c r="G10" s="1534">
        <f>'New Format'!G322</f>
        <v>2933.8019997570509</v>
      </c>
      <c r="H10" s="1305">
        <f t="shared" ca="1" si="1"/>
        <v>0.30404602996199548</v>
      </c>
      <c r="I10" s="1203" t="s">
        <v>330</v>
      </c>
      <c r="J10" s="1305"/>
      <c r="K10" s="1203"/>
      <c r="M10" s="59"/>
    </row>
    <row r="11" spans="2:13">
      <c r="B11" s="1203" t="s">
        <v>7823</v>
      </c>
      <c r="C11" s="1305">
        <v>0.88500000000000001</v>
      </c>
      <c r="D11" s="1535">
        <f>G11/Master!Q72</f>
        <v>5.8010965358047901</v>
      </c>
      <c r="E11" s="1534">
        <f t="shared" ca="1" si="2"/>
        <v>955.19824551572401</v>
      </c>
      <c r="F11" s="1534">
        <f ca="1">'Costa Rica'!K255</f>
        <v>327.44362441657756</v>
      </c>
      <c r="G11" s="1534">
        <f>'New Format'!G323</f>
        <v>1282.6418699323017</v>
      </c>
      <c r="H11" s="1305">
        <f t="shared" ca="1" si="1"/>
        <v>0.13292722837064022</v>
      </c>
      <c r="I11" s="1203" t="s">
        <v>330</v>
      </c>
      <c r="J11" s="1305"/>
      <c r="K11" s="1203"/>
      <c r="M11" s="1203"/>
    </row>
    <row r="12" spans="2:13">
      <c r="B12" s="1203" t="s">
        <v>4073</v>
      </c>
      <c r="C12" s="1305">
        <v>1</v>
      </c>
      <c r="D12" s="1535">
        <f>G12/Master!Q73</f>
        <v>11.96561666346977</v>
      </c>
      <c r="E12" s="1534">
        <f t="shared" si="2"/>
        <v>-1005.1117997314607</v>
      </c>
      <c r="F12" s="1341"/>
      <c r="G12" s="1534">
        <f>'New Format'!G324</f>
        <v>-1005.1117997314607</v>
      </c>
      <c r="H12" s="1305">
        <f t="shared" ca="1" si="1"/>
        <v>-0.10416526145991234</v>
      </c>
      <c r="I12" s="1203" t="s">
        <v>330</v>
      </c>
      <c r="J12" s="1305"/>
      <c r="K12" s="1203"/>
    </row>
    <row r="13" spans="2:13">
      <c r="B13" s="1622"/>
      <c r="C13" s="1305"/>
      <c r="D13" s="1203"/>
      <c r="E13" s="1305"/>
      <c r="F13" s="1203"/>
      <c r="G13" s="1534"/>
      <c r="H13" s="1305"/>
      <c r="I13" s="1203"/>
      <c r="J13" s="1203"/>
      <c r="K13" s="1203"/>
    </row>
    <row r="14" spans="2:13">
      <c r="B14" s="1623" t="s">
        <v>7044</v>
      </c>
      <c r="C14" s="1305"/>
      <c r="D14" s="1203"/>
      <c r="E14" s="1305"/>
      <c r="F14" s="1203"/>
      <c r="G14" s="1534"/>
      <c r="H14" s="1305"/>
      <c r="I14" s="1203"/>
      <c r="J14" s="1203"/>
      <c r="K14" s="1203"/>
    </row>
    <row r="15" spans="2:13">
      <c r="B15" s="1622" t="s">
        <v>1415</v>
      </c>
      <c r="C15" s="1305"/>
      <c r="D15" s="1535">
        <f>G15/Master!Q85</f>
        <v>2.6830227161033386</v>
      </c>
      <c r="E15" s="1305"/>
      <c r="F15" s="1203"/>
      <c r="G15" s="1624">
        <f>SUM(G3:G9)-G16-G17</f>
        <v>3177.3709522021809</v>
      </c>
      <c r="H15" s="1305"/>
      <c r="I15" s="1203"/>
      <c r="J15" s="1203"/>
      <c r="K15" s="1203"/>
    </row>
    <row r="16" spans="2:13">
      <c r="B16" s="1622" t="s">
        <v>52</v>
      </c>
      <c r="C16" s="1305"/>
      <c r="D16" s="1535">
        <f>G16/'Puerto Rico'!M105</f>
        <v>5.990207619878464</v>
      </c>
      <c r="E16" s="1305"/>
      <c r="F16" s="1203"/>
      <c r="G16" s="1624">
        <f>E46*F46</f>
        <v>2884.1400000000012</v>
      </c>
      <c r="H16" s="1305"/>
      <c r="I16" s="1203"/>
      <c r="J16" s="1203"/>
      <c r="K16" s="1203"/>
    </row>
    <row r="17" spans="2:14">
      <c r="B17" s="1622" t="s">
        <v>0</v>
      </c>
      <c r="C17" s="1305"/>
      <c r="D17" s="1535">
        <f>G17/Master!Q72</f>
        <v>6.1493931435026603</v>
      </c>
      <c r="E17" s="1305"/>
      <c r="F17" s="1203"/>
      <c r="G17" s="1624">
        <f>G7</f>
        <v>1359.6514162191741</v>
      </c>
      <c r="H17" s="1305"/>
      <c r="I17" s="1203"/>
      <c r="J17" s="1203"/>
      <c r="K17" s="1203"/>
    </row>
    <row r="18" spans="2:14">
      <c r="B18" s="1622"/>
      <c r="C18" s="1305"/>
      <c r="D18" s="1535"/>
      <c r="E18" s="1305"/>
      <c r="F18" s="1203"/>
      <c r="G18" s="1624"/>
      <c r="H18" s="1305"/>
      <c r="I18" s="1203"/>
      <c r="J18" s="1203"/>
      <c r="K18" s="1203"/>
    </row>
    <row r="19" spans="2:14">
      <c r="B19" s="1522" t="s">
        <v>333</v>
      </c>
      <c r="C19" s="1203"/>
      <c r="D19" s="1203"/>
      <c r="E19" s="1203"/>
      <c r="F19" s="1203"/>
      <c r="G19" s="1203"/>
      <c r="H19" s="1203"/>
      <c r="I19" s="1203"/>
      <c r="J19" s="1203"/>
      <c r="K19" s="1203"/>
    </row>
    <row r="20" spans="2:14">
      <c r="B20" s="1203" t="s">
        <v>4127</v>
      </c>
      <c r="C20" s="1203"/>
      <c r="D20" s="1203"/>
      <c r="E20" s="1203"/>
      <c r="F20" s="1203"/>
      <c r="G20" s="1534">
        <f>(1-C9)*E9</f>
        <v>31.27980205692235</v>
      </c>
      <c r="H20" s="1305">
        <f t="shared" ref="H20:H25" ca="1" si="3">G20/G$28</f>
        <v>3.2416978494771861E-3</v>
      </c>
      <c r="I20" s="1203"/>
      <c r="J20" s="1203"/>
      <c r="K20" s="1203"/>
    </row>
    <row r="21" spans="2:14">
      <c r="B21" s="1203" t="str">
        <f>B3</f>
        <v>Jamaica</v>
      </c>
      <c r="C21" s="1203"/>
      <c r="D21" s="1203"/>
      <c r="E21" s="1203"/>
      <c r="F21" s="1203"/>
      <c r="G21" s="1534">
        <f>(1-C3)*E3</f>
        <v>91.690256128427094</v>
      </c>
      <c r="H21" s="1305">
        <f t="shared" ca="1" si="3"/>
        <v>9.5023653144811326E-3</v>
      </c>
      <c r="I21" s="1203"/>
      <c r="J21" s="1203"/>
      <c r="K21" s="1203"/>
    </row>
    <row r="22" spans="2:14">
      <c r="B22" s="1203" t="str">
        <f>B6</f>
        <v>Bahamas</v>
      </c>
      <c r="C22" s="1203"/>
      <c r="D22" s="1203"/>
      <c r="E22" s="1203"/>
      <c r="F22" s="1203"/>
      <c r="G22" s="1534">
        <f>(1-C6)*E6</f>
        <v>246.80091465758213</v>
      </c>
      <c r="H22" s="1305">
        <f t="shared" ca="1" si="3"/>
        <v>2.557733558666914E-2</v>
      </c>
      <c r="I22" s="1203"/>
      <c r="J22" s="1203"/>
      <c r="K22" s="1203"/>
    </row>
    <row r="23" spans="2:14">
      <c r="B23" s="1203" t="str">
        <f>B7</f>
        <v>Panama (inc Claro)</v>
      </c>
      <c r="C23" s="1203"/>
      <c r="D23" s="1203"/>
      <c r="E23" s="1203"/>
      <c r="F23" s="1203"/>
      <c r="G23" s="1534">
        <f>(1-C7)*E7</f>
        <v>667.92222227177876</v>
      </c>
      <c r="H23" s="1305">
        <f t="shared" ca="1" si="3"/>
        <v>6.922045183074553E-2</v>
      </c>
      <c r="I23" s="1203"/>
      <c r="J23" s="1203"/>
      <c r="K23" s="1203"/>
    </row>
    <row r="24" spans="2:14">
      <c r="B24" s="1308" t="str">
        <f>B11</f>
        <v xml:space="preserve">Costa Rica </v>
      </c>
      <c r="C24" s="1308"/>
      <c r="D24" s="1308"/>
      <c r="E24" s="1308"/>
      <c r="F24" s="1308"/>
      <c r="G24" s="1537">
        <f ca="1">(1-C11)*E11</f>
        <v>109.84779823430826</v>
      </c>
      <c r="H24" s="1331">
        <f t="shared" ca="1" si="3"/>
        <v>1.1384131224933886E-2</v>
      </c>
      <c r="I24" s="1203"/>
      <c r="J24" s="1305"/>
      <c r="K24" s="1203"/>
    </row>
    <row r="25" spans="2:14">
      <c r="B25" s="1203" t="s">
        <v>16</v>
      </c>
      <c r="C25" s="1203"/>
      <c r="D25" s="1203"/>
      <c r="E25" s="1203"/>
      <c r="F25" s="1203"/>
      <c r="G25" s="1534">
        <f ca="1">SUM(G20:G24)</f>
        <v>1147.5409933490187</v>
      </c>
      <c r="H25" s="1305">
        <f t="shared" ca="1" si="3"/>
        <v>0.11892598180630688</v>
      </c>
      <c r="I25" s="1203"/>
      <c r="J25" s="1305"/>
      <c r="K25" s="1203"/>
    </row>
    <row r="26" spans="2:14">
      <c r="B26" s="1203"/>
      <c r="C26" s="1203"/>
      <c r="D26" s="1203"/>
      <c r="E26" s="1203"/>
      <c r="F26" s="1203"/>
      <c r="G26" s="1203"/>
      <c r="H26" s="1203"/>
      <c r="I26" s="1203"/>
      <c r="J26" s="1203"/>
      <c r="K26" s="1203"/>
    </row>
    <row r="27" spans="2:14">
      <c r="B27" s="1308" t="s">
        <v>7885</v>
      </c>
      <c r="C27" s="1331">
        <v>0.45</v>
      </c>
      <c r="D27" s="1308"/>
      <c r="E27" s="1308"/>
      <c r="F27" s="1308"/>
      <c r="G27" s="1537">
        <f>C72</f>
        <v>164.25</v>
      </c>
      <c r="H27" s="1308"/>
      <c r="I27" s="1203"/>
      <c r="J27" s="1203"/>
      <c r="K27" s="1203"/>
      <c r="N27">
        <v>11</v>
      </c>
    </row>
    <row r="28" spans="2:14">
      <c r="B28" s="1204" t="s">
        <v>334</v>
      </c>
      <c r="C28" s="1204"/>
      <c r="D28" s="1204"/>
      <c r="E28" s="1204"/>
      <c r="F28" s="1204"/>
      <c r="G28" s="1863">
        <f ca="1">G3+G4+G5+G6+G7+G8+G9+G10+G11+G12-G25+G27</f>
        <v>9649.203445030229</v>
      </c>
      <c r="H28" s="1203"/>
      <c r="I28" s="1534"/>
      <c r="J28" s="1305"/>
      <c r="K28" s="1203"/>
    </row>
    <row r="29" spans="2:14">
      <c r="B29" s="1203"/>
      <c r="C29" s="1203"/>
      <c r="D29" s="1203"/>
      <c r="E29" s="1203"/>
      <c r="F29" s="1203"/>
      <c r="G29" s="1534"/>
      <c r="H29" s="1203"/>
      <c r="I29" s="1203"/>
      <c r="J29" s="1305"/>
      <c r="K29" s="1203"/>
    </row>
    <row r="30" spans="2:14">
      <c r="B30" s="1203" t="s">
        <v>7922</v>
      </c>
      <c r="C30" s="1203"/>
      <c r="D30" s="1203"/>
      <c r="E30" s="1203"/>
      <c r="F30" s="1203"/>
      <c r="G30" s="1534">
        <f ca="1">Valuation!P13</f>
        <v>7028.2399585298035</v>
      </c>
      <c r="H30" s="1620"/>
      <c r="I30" s="1203"/>
      <c r="J30" s="1620"/>
      <c r="K30" s="1203"/>
    </row>
    <row r="31" spans="2:14">
      <c r="B31" s="1203" t="s">
        <v>7888</v>
      </c>
      <c r="C31" s="1203"/>
      <c r="D31" s="1203"/>
      <c r="E31" s="1203"/>
      <c r="F31" s="1203"/>
      <c r="G31" s="1534">
        <f>-NPV(10%,Master!R452:W452)</f>
        <v>73.966942148760324</v>
      </c>
      <c r="H31" s="1620"/>
      <c r="I31" s="1203"/>
      <c r="J31" s="1305"/>
      <c r="K31" s="1534"/>
    </row>
    <row r="32" spans="2:14">
      <c r="B32" s="1203" t="s">
        <v>7911</v>
      </c>
      <c r="C32" s="1203"/>
      <c r="D32" s="1203"/>
      <c r="E32" s="1203"/>
      <c r="F32" s="1203"/>
      <c r="G32" s="1534">
        <f>-NPV(10%,Master!R453:W453)</f>
        <v>27.954545454545453</v>
      </c>
      <c r="H32" s="1620"/>
      <c r="I32" s="1203"/>
      <c r="J32" s="1305"/>
      <c r="K32" s="1534"/>
    </row>
    <row r="33" spans="2:14">
      <c r="B33" s="1203" t="s">
        <v>394</v>
      </c>
      <c r="C33" s="1203"/>
      <c r="D33" s="1203"/>
      <c r="E33" s="1203"/>
      <c r="F33" s="1203"/>
      <c r="G33" s="1534">
        <f ca="1">G28-G30-G31-G32</f>
        <v>2519.0419988971198</v>
      </c>
      <c r="H33" s="1203"/>
      <c r="I33" s="1203"/>
      <c r="J33" s="1203"/>
      <c r="K33" s="1203"/>
    </row>
    <row r="34" spans="2:14">
      <c r="B34" s="1203"/>
      <c r="C34" s="1203"/>
      <c r="D34" s="1203"/>
      <c r="E34" s="1203"/>
      <c r="F34" s="1203"/>
      <c r="G34" s="1534"/>
      <c r="H34" s="1203"/>
      <c r="I34" s="1203"/>
      <c r="J34" s="1203"/>
      <c r="K34" s="1203"/>
    </row>
    <row r="35" spans="2:14">
      <c r="B35" s="1203" t="s">
        <v>335</v>
      </c>
      <c r="C35" s="1203"/>
      <c r="D35" s="1203"/>
      <c r="E35" s="1203"/>
      <c r="F35" s="1203"/>
      <c r="G35" s="1534">
        <f>Valuation!$P$5</f>
        <v>169.7</v>
      </c>
      <c r="H35" s="1620"/>
      <c r="I35" s="1203"/>
      <c r="J35" s="1203"/>
      <c r="K35" s="1203"/>
    </row>
    <row r="36" spans="2:14">
      <c r="B36" s="1204" t="s">
        <v>395</v>
      </c>
      <c r="C36" s="1204"/>
      <c r="D36" s="1204"/>
      <c r="E36" s="1204"/>
      <c r="F36" s="1204"/>
      <c r="G36" s="1626">
        <f ca="1">G33/G35</f>
        <v>14.844089563330112</v>
      </c>
      <c r="H36" s="1620"/>
      <c r="I36" s="1534"/>
      <c r="J36" s="1203"/>
      <c r="K36" s="1203"/>
      <c r="L36" s="1203"/>
    </row>
    <row r="37" spans="2:14">
      <c r="B37" s="1203"/>
      <c r="C37" s="1203"/>
      <c r="D37" s="1203"/>
      <c r="E37" s="1203"/>
      <c r="F37" s="1203"/>
      <c r="G37" s="1535"/>
      <c r="H37" s="1620"/>
      <c r="I37" s="1534"/>
      <c r="J37" s="1203"/>
      <c r="K37" s="1203"/>
      <c r="L37" s="1203"/>
    </row>
    <row r="38" spans="2:14">
      <c r="B38" s="1203" t="s">
        <v>336</v>
      </c>
      <c r="C38" s="1203"/>
      <c r="D38" s="1203"/>
      <c r="E38" s="1203"/>
      <c r="F38" s="1203"/>
      <c r="G38" s="1535">
        <f>Valuation!B2</f>
        <v>6.8</v>
      </c>
      <c r="H38" s="1203"/>
      <c r="I38" s="1203"/>
      <c r="J38" s="1203"/>
      <c r="K38" s="1203"/>
    </row>
    <row r="39" spans="2:14">
      <c r="B39" s="1203" t="s">
        <v>337</v>
      </c>
      <c r="C39" s="1203"/>
      <c r="D39" s="1203"/>
      <c r="E39" s="1203"/>
      <c r="F39" s="1203"/>
      <c r="G39" s="1305">
        <f ca="1">G36/G38-1</f>
        <v>1.182954347548546</v>
      </c>
      <c r="H39" s="1203"/>
      <c r="I39" s="1203"/>
      <c r="J39" s="1203"/>
      <c r="K39" s="1203"/>
    </row>
    <row r="40" spans="2:14">
      <c r="B40" s="1203"/>
      <c r="C40" s="1203"/>
      <c r="D40" s="1203"/>
      <c r="E40" s="1203"/>
      <c r="F40" s="1203"/>
      <c r="G40" s="1203"/>
      <c r="H40" s="1203"/>
      <c r="I40" s="1203"/>
      <c r="J40" s="1203"/>
      <c r="K40" s="1203"/>
    </row>
    <row r="41" spans="2:14">
      <c r="B41" s="1203"/>
      <c r="C41" s="1203"/>
      <c r="D41" s="1203"/>
      <c r="E41" s="1203"/>
      <c r="F41" s="1203"/>
      <c r="G41" s="1203"/>
      <c r="H41" s="1203"/>
      <c r="I41" s="1203"/>
      <c r="J41" s="1203"/>
      <c r="K41" s="1203"/>
    </row>
    <row r="42" spans="2:14">
      <c r="B42" s="1203"/>
      <c r="C42" s="1203"/>
      <c r="D42" s="1203"/>
      <c r="E42" s="1203"/>
      <c r="F42" s="1203"/>
      <c r="G42" s="1203"/>
      <c r="H42" s="1203"/>
      <c r="I42" s="1203"/>
      <c r="J42" s="1203"/>
      <c r="K42" s="1203"/>
    </row>
    <row r="43" spans="2:14">
      <c r="B43" s="1307"/>
      <c r="C43" s="1872" t="s">
        <v>8</v>
      </c>
      <c r="D43" s="1872"/>
      <c r="E43" s="1872"/>
      <c r="F43" s="1203"/>
      <c r="G43" s="1521" t="s">
        <v>7030</v>
      </c>
      <c r="H43" s="1203"/>
      <c r="I43" s="1203"/>
      <c r="J43" s="1203"/>
      <c r="K43" s="1203"/>
    </row>
    <row r="44" spans="2:14">
      <c r="B44" s="1538" t="s">
        <v>4963</v>
      </c>
      <c r="C44" s="1205">
        <v>2023</v>
      </c>
      <c r="D44" s="1205">
        <v>2024</v>
      </c>
      <c r="E44" s="1205">
        <v>2025</v>
      </c>
      <c r="F44" s="1539" t="s">
        <v>7330</v>
      </c>
      <c r="G44" s="1539" t="s">
        <v>331</v>
      </c>
      <c r="H44" s="1539" t="s">
        <v>7309</v>
      </c>
      <c r="I44" s="1539" t="s">
        <v>1044</v>
      </c>
      <c r="J44" s="1539" t="s">
        <v>332</v>
      </c>
      <c r="K44" s="1539" t="s">
        <v>306</v>
      </c>
      <c r="L44" s="1539" t="s">
        <v>7045</v>
      </c>
    </row>
    <row r="45" spans="2:14">
      <c r="B45" s="1653" t="str">
        <f>B15</f>
        <v>Caribbean</v>
      </c>
      <c r="C45" s="1654">
        <f>'New quarts'!AR291+'New quarts'!AS291+'New quarts'!AT291+'New quarts'!AU291</f>
        <v>596.9</v>
      </c>
      <c r="D45" s="1654">
        <f>D48-D47-D46</f>
        <v>592.62563021067433</v>
      </c>
      <c r="E45" s="1654">
        <f>E48-E47-E46</f>
        <v>621.60131024977829</v>
      </c>
      <c r="F45" s="1655">
        <f>G15/E45</f>
        <v>5.1115898564071829</v>
      </c>
      <c r="G45" s="1656">
        <f>G15</f>
        <v>3177.3709522021809</v>
      </c>
      <c r="H45" s="1657"/>
      <c r="I45" s="1657"/>
      <c r="J45" s="1657"/>
      <c r="K45" s="1657"/>
      <c r="L45" s="1657"/>
    </row>
    <row r="46" spans="2:14">
      <c r="B46" s="1307" t="str">
        <f>B16</f>
        <v>Networks</v>
      </c>
      <c r="C46" s="1543">
        <f>'New quarts'!AR292+'New quarts'!AS292+'New quarts'!AT292+'New quarts'!AU292</f>
        <v>261.60000000000002</v>
      </c>
      <c r="D46" s="1543">
        <f>C46*1.05</f>
        <v>274.68000000000006</v>
      </c>
      <c r="E46" s="1543">
        <f>D46*1.05</f>
        <v>288.4140000000001</v>
      </c>
      <c r="F46" s="1535">
        <v>10</v>
      </c>
      <c r="G46" s="1534">
        <f>G16</f>
        <v>2884.1400000000012</v>
      </c>
      <c r="H46" s="1203"/>
      <c r="I46" s="1203"/>
      <c r="J46" s="1203"/>
      <c r="K46" s="1203"/>
      <c r="L46" s="1203"/>
    </row>
    <row r="47" spans="2:14">
      <c r="B47" s="1658" t="str">
        <f>B17</f>
        <v>Panama</v>
      </c>
      <c r="C47" s="1659">
        <f>'New quarts'!AR293+'New quarts'!AS293+'New quarts'!AT293+'New quarts'!AU293</f>
        <v>227.7</v>
      </c>
      <c r="D47" s="1659">
        <f>Master!P66</f>
        <v>254.67856820343255</v>
      </c>
      <c r="E47" s="1659">
        <f>Master!Q66</f>
        <v>274.23517452315855</v>
      </c>
      <c r="F47" s="1660">
        <f>G17/E47</f>
        <v>4.9579760093990224</v>
      </c>
      <c r="G47" s="1661">
        <f>G17</f>
        <v>1359.6514162191741</v>
      </c>
      <c r="H47" s="1662"/>
      <c r="I47" s="1662"/>
      <c r="J47" s="1662"/>
      <c r="K47" s="1662"/>
      <c r="L47" s="1662"/>
    </row>
    <row r="48" spans="2:14">
      <c r="B48" s="1307" t="s">
        <v>29</v>
      </c>
      <c r="C48" s="1543">
        <f>SUM(C45:C47)</f>
        <v>1086.2</v>
      </c>
      <c r="D48" s="1543">
        <f>Master!P85</f>
        <v>1121.9841984141069</v>
      </c>
      <c r="E48" s="1543">
        <f>Master!Q85</f>
        <v>1184.2504847729369</v>
      </c>
      <c r="F48" s="1535">
        <f>G48/D48</f>
        <v>6.6143198620006958</v>
      </c>
      <c r="G48" s="1534">
        <f>SUM(G45:G47)</f>
        <v>7421.1623684213564</v>
      </c>
      <c r="H48" s="1534">
        <f>CWC!H31</f>
        <v>3918.8479452982028</v>
      </c>
      <c r="I48" s="1534">
        <f>G21+G22+G23+G20</f>
        <v>1037.6931951147103</v>
      </c>
      <c r="J48" s="1534">
        <f>G48-H48-I48</f>
        <v>2464.6212280084433</v>
      </c>
      <c r="K48" s="1534"/>
      <c r="L48" s="1217">
        <f>J48/G$35</f>
        <v>14.523401461452231</v>
      </c>
      <c r="N48" s="60"/>
    </row>
    <row r="49" spans="2:14">
      <c r="B49" s="1657"/>
      <c r="C49" s="1663"/>
      <c r="D49" s="1663"/>
      <c r="E49" s="1663"/>
      <c r="F49" s="1657"/>
      <c r="G49" s="1657"/>
      <c r="H49" s="1657"/>
      <c r="I49" s="1657"/>
      <c r="J49" s="1657"/>
      <c r="K49" s="1657"/>
      <c r="L49" s="1657"/>
      <c r="N49" s="60"/>
    </row>
    <row r="50" spans="2:14">
      <c r="B50" s="1203" t="s">
        <v>469</v>
      </c>
      <c r="C50" s="1543">
        <f>Master!O71</f>
        <v>485.5</v>
      </c>
      <c r="D50" s="1543">
        <f>Master!P71</f>
        <v>323.91267200000004</v>
      </c>
      <c r="E50" s="1543">
        <f>Master!Q71</f>
        <v>481.47579900720001</v>
      </c>
      <c r="F50" s="1535">
        <f>G50/E50</f>
        <v>6.0933529905480848</v>
      </c>
      <c r="G50" s="1534">
        <f>G10</f>
        <v>2933.8019997570509</v>
      </c>
      <c r="H50" s="1534">
        <f>'Puerto Rico'!L132+G31</f>
        <v>2820.3402881487605</v>
      </c>
      <c r="I50" s="1534">
        <v>0</v>
      </c>
      <c r="J50" s="1534">
        <f>G50-H50-I50</f>
        <v>113.46171160829044</v>
      </c>
      <c r="K50" s="1534"/>
      <c r="L50" s="1217">
        <f>J50/G$35</f>
        <v>0.66860171837531202</v>
      </c>
      <c r="N50" s="60"/>
    </row>
    <row r="51" spans="2:14">
      <c r="B51" s="1657" t="s">
        <v>7823</v>
      </c>
      <c r="C51" s="1654">
        <f>Master!O72</f>
        <v>203.1</v>
      </c>
      <c r="D51" s="1654">
        <f>Master!P72</f>
        <v>217.20216313251501</v>
      </c>
      <c r="E51" s="1654">
        <f>Master!Q72</f>
        <v>221.10334865412818</v>
      </c>
      <c r="F51" s="1655">
        <f>G51/E51</f>
        <v>5.8010965358047901</v>
      </c>
      <c r="G51" s="1656">
        <f>G11</f>
        <v>1282.6418699323017</v>
      </c>
      <c r="H51" s="1656">
        <f>459-25</f>
        <v>434</v>
      </c>
      <c r="I51" s="1656">
        <f ca="1">G24</f>
        <v>109.84779823430826</v>
      </c>
      <c r="J51" s="1656">
        <f ca="1">G51-H51-I51</f>
        <v>738.79407169799345</v>
      </c>
      <c r="K51" s="1656"/>
      <c r="L51" s="1664">
        <f ca="1">J51/G$35</f>
        <v>4.3535301808956604</v>
      </c>
      <c r="N51" s="60"/>
    </row>
    <row r="52" spans="2:14">
      <c r="B52" s="1203" t="s">
        <v>7303</v>
      </c>
      <c r="C52" s="1543">
        <f>Master!O73</f>
        <v>-73.200000000000045</v>
      </c>
      <c r="D52" s="1543">
        <f>Master!P73</f>
        <v>-84</v>
      </c>
      <c r="E52" s="1543">
        <f>Master!Q73</f>
        <v>-84</v>
      </c>
      <c r="F52" s="1535">
        <f>G52/E52</f>
        <v>11.96561666346977</v>
      </c>
      <c r="G52" s="1534">
        <f>G12</f>
        <v>-1005.1117997314607</v>
      </c>
      <c r="H52" s="1534">
        <f ca="1">H55-H48-H50-H51</f>
        <v>-43.026787313854129</v>
      </c>
      <c r="I52" s="1203"/>
      <c r="J52" s="1534">
        <f ca="1">G52-H52-I52</f>
        <v>-962.08501241760655</v>
      </c>
      <c r="K52" s="1534"/>
      <c r="L52" s="1217">
        <f ca="1">J52/G$35</f>
        <v>-5.6693282994555485</v>
      </c>
      <c r="N52" s="60"/>
    </row>
    <row r="53" spans="2:14">
      <c r="B53" s="1657"/>
      <c r="C53" s="1654"/>
      <c r="D53" s="1654"/>
      <c r="E53" s="1654"/>
      <c r="F53" s="1655"/>
      <c r="G53" s="1656"/>
      <c r="H53" s="1656"/>
      <c r="I53" s="1657"/>
      <c r="J53" s="1656"/>
      <c r="K53" s="1656"/>
      <c r="L53" s="1664"/>
      <c r="N53" s="60"/>
    </row>
    <row r="54" spans="2:14">
      <c r="B54" s="1308" t="s">
        <v>7919</v>
      </c>
      <c r="C54" s="1544"/>
      <c r="D54" s="1544"/>
      <c r="E54" s="1544"/>
      <c r="F54" s="1536"/>
      <c r="G54" s="1537">
        <f>G27</f>
        <v>164.25</v>
      </c>
      <c r="H54" s="1537" t="s">
        <v>72</v>
      </c>
      <c r="I54" s="1308"/>
      <c r="J54" s="1537">
        <f>G54</f>
        <v>164.25</v>
      </c>
      <c r="K54" s="1537"/>
      <c r="L54" s="1414">
        <f>J54/G$35</f>
        <v>0.96788450206246324</v>
      </c>
      <c r="N54" s="60"/>
    </row>
    <row r="55" spans="2:14">
      <c r="B55" s="1665" t="s">
        <v>7310</v>
      </c>
      <c r="C55" s="1666"/>
      <c r="D55" s="1667"/>
      <c r="E55" s="1667"/>
      <c r="F55" s="1665"/>
      <c r="G55" s="1667">
        <f>G48+G50+G51+G52+G54</f>
        <v>10796.744438379248</v>
      </c>
      <c r="H55" s="1667">
        <f ca="1">G30+G31+G32</f>
        <v>7130.1614461331092</v>
      </c>
      <c r="I55" s="1667">
        <f ca="1">I48+I50+I51+I52+I54</f>
        <v>1147.5409933490187</v>
      </c>
      <c r="J55" s="1667">
        <f ca="1">J48+J50+J51+J52+J54</f>
        <v>2519.0419988971207</v>
      </c>
      <c r="K55" s="1667">
        <f>G35</f>
        <v>169.7</v>
      </c>
      <c r="L55" s="1858">
        <f ca="1">L48+L50+L51+L52+L54</f>
        <v>14.844089563330119</v>
      </c>
    </row>
    <row r="56" spans="2:14">
      <c r="B56" s="1203" t="s">
        <v>7917</v>
      </c>
      <c r="C56" s="1203"/>
      <c r="D56" s="1203"/>
      <c r="E56" s="1203"/>
      <c r="F56" s="1203"/>
      <c r="G56" s="1203"/>
      <c r="H56" s="1203"/>
      <c r="I56" s="1534"/>
      <c r="J56" s="1203"/>
    </row>
    <row r="60" spans="2:14">
      <c r="B60" s="13" t="s">
        <v>3411</v>
      </c>
    </row>
    <row r="61" spans="2:14">
      <c r="B61" t="s">
        <v>7606</v>
      </c>
    </row>
    <row r="62" spans="2:14">
      <c r="B62" t="s">
        <v>7607</v>
      </c>
    </row>
    <row r="64" spans="2:14">
      <c r="B64" s="13" t="s">
        <v>0</v>
      </c>
    </row>
    <row r="66" spans="2:4">
      <c r="B66" t="s">
        <v>4681</v>
      </c>
    </row>
    <row r="67" spans="2:4">
      <c r="B67" t="s">
        <v>5498</v>
      </c>
      <c r="C67" s="62">
        <v>3</v>
      </c>
    </row>
    <row r="68" spans="2:4">
      <c r="B68" t="s">
        <v>7913</v>
      </c>
      <c r="C68">
        <v>150</v>
      </c>
      <c r="D68">
        <v>500</v>
      </c>
    </row>
    <row r="69" spans="2:4">
      <c r="B69" t="s">
        <v>331</v>
      </c>
      <c r="C69">
        <f>C68*C67</f>
        <v>450</v>
      </c>
      <c r="D69">
        <f>C67*D68</f>
        <v>1500</v>
      </c>
    </row>
    <row r="70" spans="2:4">
      <c r="B70" t="s">
        <v>2046</v>
      </c>
      <c r="C70">
        <v>85</v>
      </c>
    </row>
    <row r="71" spans="2:4">
      <c r="B71" t="s">
        <v>332</v>
      </c>
      <c r="C71">
        <f>C69-C70</f>
        <v>365</v>
      </c>
    </row>
    <row r="72" spans="2:4">
      <c r="B72" t="s">
        <v>7914</v>
      </c>
      <c r="C72" s="16">
        <f>0.45*C71</f>
        <v>164.25</v>
      </c>
    </row>
  </sheetData>
  <mergeCells count="1">
    <mergeCell ref="C43:E43"/>
  </mergeCells>
  <pageMargins left="0.70866141732283472" right="0.70866141732283472" top="0.74803149606299213" bottom="0.74803149606299213" header="0.31496062992125984" footer="0.31496062992125984"/>
  <pageSetup paperSize="9" scale="2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72"/>
  <sheetViews>
    <sheetView zoomScale="72" zoomScaleNormal="72" workbookViewId="0">
      <selection activeCell="P5" sqref="P5"/>
    </sheetView>
  </sheetViews>
  <sheetFormatPr defaultRowHeight="15" outlineLevelRow="1" outlineLevelCol="1"/>
  <cols>
    <col min="1" max="1" width="28.42578125" bestFit="1" customWidth="1"/>
    <col min="3" max="3" width="9.140625" bestFit="1" customWidth="1"/>
    <col min="4" max="4" width="9.140625" hidden="1" customWidth="1" outlineLevel="1"/>
    <col min="5" max="5" width="10" hidden="1" customWidth="1" outlineLevel="1"/>
    <col min="6" max="9" width="9" hidden="1" customWidth="1" outlineLevel="1"/>
    <col min="10" max="10" width="8.85546875" collapsed="1"/>
  </cols>
  <sheetData>
    <row r="1" spans="1:23">
      <c r="G1" s="5"/>
    </row>
    <row r="2" spans="1:23" ht="15.75">
      <c r="A2" s="22" t="s">
        <v>2082</v>
      </c>
      <c r="B2" s="39">
        <v>6.8</v>
      </c>
      <c r="C2" s="40"/>
      <c r="D2" s="24"/>
      <c r="E2" s="24"/>
      <c r="F2" s="22"/>
      <c r="G2" s="22"/>
      <c r="H2" s="22"/>
      <c r="I2" s="22"/>
      <c r="J2" s="22"/>
      <c r="K2" s="22"/>
      <c r="L2" s="23"/>
    </row>
    <row r="3" spans="1:23" ht="15.75" hidden="1" outlineLevel="1">
      <c r="A3" s="22"/>
      <c r="B3" s="1082">
        <v>1</v>
      </c>
      <c r="C3" s="40"/>
      <c r="D3" s="24"/>
      <c r="E3" s="24"/>
      <c r="F3" s="22"/>
      <c r="G3" s="23"/>
      <c r="H3" s="22"/>
      <c r="I3" s="23"/>
      <c r="J3" s="22"/>
      <c r="K3" s="22"/>
      <c r="L3" s="22"/>
    </row>
    <row r="4" spans="1:23" ht="15.75" collapsed="1">
      <c r="A4" s="18"/>
      <c r="B4" s="1083"/>
      <c r="C4" s="1084"/>
      <c r="D4" s="1392">
        <f t="shared" ref="D4:J4" si="0">E4-1</f>
        <v>2013</v>
      </c>
      <c r="E4" s="1392">
        <f t="shared" si="0"/>
        <v>2014</v>
      </c>
      <c r="F4" s="1392">
        <f t="shared" si="0"/>
        <v>2015</v>
      </c>
      <c r="G4" s="1392">
        <f t="shared" si="0"/>
        <v>2016</v>
      </c>
      <c r="H4" s="1392">
        <f t="shared" si="0"/>
        <v>2017</v>
      </c>
      <c r="I4" s="1392">
        <f t="shared" si="0"/>
        <v>2018</v>
      </c>
      <c r="J4" s="1392">
        <f t="shared" si="0"/>
        <v>2019</v>
      </c>
      <c r="K4" s="1392">
        <f>L4-1</f>
        <v>2020</v>
      </c>
      <c r="L4" s="1392">
        <v>2021</v>
      </c>
      <c r="M4" s="1392">
        <f>L4+1</f>
        <v>2022</v>
      </c>
      <c r="N4" s="1392">
        <f>M4+1</f>
        <v>2023</v>
      </c>
      <c r="O4" s="1392">
        <f>N4+1</f>
        <v>2024</v>
      </c>
      <c r="P4" s="1392">
        <f>O4+1</f>
        <v>2025</v>
      </c>
      <c r="Q4" s="1392">
        <f>P4+1</f>
        <v>2026</v>
      </c>
      <c r="R4" s="1392">
        <f t="shared" ref="R4:T4" si="1">Q4+1</f>
        <v>2027</v>
      </c>
      <c r="S4" s="1392">
        <f t="shared" si="1"/>
        <v>2028</v>
      </c>
      <c r="T4" s="1392">
        <f t="shared" si="1"/>
        <v>2029</v>
      </c>
      <c r="U4" s="1392">
        <f t="shared" ref="U4" si="2">T4+1</f>
        <v>2030</v>
      </c>
    </row>
    <row r="5" spans="1:23" ht="15.75">
      <c r="A5" s="22" t="s">
        <v>306</v>
      </c>
      <c r="B5" s="41"/>
      <c r="C5" s="40"/>
      <c r="D5" s="40"/>
      <c r="E5" s="40"/>
      <c r="F5" s="40">
        <v>174</v>
      </c>
      <c r="G5" s="40">
        <f>Master!H470</f>
        <v>172.73599999999999</v>
      </c>
      <c r="H5" s="40">
        <f>Master!I470</f>
        <v>171.21257300000002</v>
      </c>
      <c r="I5" s="40">
        <f>Master!J470</f>
        <v>180.983</v>
      </c>
      <c r="J5" s="40">
        <f>Master!K470</f>
        <v>181.92400000000001</v>
      </c>
      <c r="K5" s="40">
        <f>Master!L470</f>
        <v>232.03</v>
      </c>
      <c r="L5" s="40">
        <f>Master!M470</f>
        <v>229.73000000000002</v>
      </c>
      <c r="M5" s="40">
        <f>Master!N470</f>
        <v>215.5</v>
      </c>
      <c r="N5" s="40">
        <f>Master!O470</f>
        <v>204.7</v>
      </c>
      <c r="O5" s="40">
        <f>Master!P470</f>
        <v>184.7</v>
      </c>
      <c r="P5" s="40">
        <f>Master!Q470</f>
        <v>169.7</v>
      </c>
      <c r="Q5" s="40">
        <f>Master!R470</f>
        <v>159.69999999999999</v>
      </c>
      <c r="R5" s="40">
        <f>Master!S470</f>
        <v>149.69999999999999</v>
      </c>
      <c r="S5" s="40">
        <f>Master!T470</f>
        <v>139.69999999999999</v>
      </c>
      <c r="T5" s="40">
        <f>Master!U470</f>
        <v>129.69999999999999</v>
      </c>
      <c r="U5" s="40">
        <f>Master!V470</f>
        <v>119.69999999999999</v>
      </c>
    </row>
    <row r="6" spans="1:23" ht="15.75">
      <c r="A6" s="22"/>
      <c r="B6" s="41"/>
      <c r="C6" s="22"/>
      <c r="D6" s="22"/>
      <c r="E6" s="22"/>
      <c r="F6" s="22"/>
      <c r="G6" s="22"/>
      <c r="H6" s="22"/>
      <c r="I6" s="22"/>
      <c r="J6" s="22"/>
      <c r="K6" s="22"/>
      <c r="L6" s="22"/>
    </row>
    <row r="7" spans="1:23" ht="15.75">
      <c r="A7" s="42" t="s">
        <v>401</v>
      </c>
      <c r="B7" s="41"/>
      <c r="C7" s="22"/>
      <c r="D7" s="22"/>
      <c r="E7" s="22"/>
      <c r="F7" s="22"/>
      <c r="G7" s="22"/>
      <c r="H7" s="22"/>
      <c r="I7" s="22"/>
      <c r="J7" s="22"/>
      <c r="K7" s="22"/>
      <c r="L7" s="21"/>
      <c r="M7" s="6"/>
    </row>
    <row r="8" spans="1:23" ht="15.75">
      <c r="A8" s="22" t="s">
        <v>283</v>
      </c>
      <c r="B8" s="40"/>
      <c r="C8" s="40"/>
      <c r="D8" s="40"/>
      <c r="E8" s="40"/>
      <c r="F8" s="40"/>
      <c r="G8" s="40">
        <f>G5*$B$2*$B$3</f>
        <v>1174.6047999999998</v>
      </c>
      <c r="H8" s="40">
        <f>H5*$B$2*$B$3</f>
        <v>1164.2454964000001</v>
      </c>
      <c r="I8" s="40">
        <f>I5*$B$2*$B$3</f>
        <v>1230.6844000000001</v>
      </c>
      <c r="J8" s="40">
        <f>J5*$B$2*$B$3</f>
        <v>1237.0832</v>
      </c>
      <c r="K8" s="40">
        <f t="shared" ref="K8:P8" si="3">K5*$B$2*$B$3</f>
        <v>1577.8039999999999</v>
      </c>
      <c r="L8" s="40">
        <f t="shared" si="3"/>
        <v>1562.164</v>
      </c>
      <c r="M8" s="40">
        <f t="shared" si="3"/>
        <v>1465.3999999999999</v>
      </c>
      <c r="N8" s="40">
        <f t="shared" si="3"/>
        <v>1391.9599999999998</v>
      </c>
      <c r="O8" s="40">
        <f t="shared" si="3"/>
        <v>1255.9599999999998</v>
      </c>
      <c r="P8" s="40">
        <f t="shared" si="3"/>
        <v>1153.9599999999998</v>
      </c>
      <c r="Q8" s="40">
        <f t="shared" ref="Q8:T8" si="4">Q5*$B$2*$B$3</f>
        <v>1085.9599999999998</v>
      </c>
      <c r="R8" s="40">
        <f t="shared" si="4"/>
        <v>1017.9599999999999</v>
      </c>
      <c r="S8" s="40">
        <f t="shared" si="4"/>
        <v>949.95999999999992</v>
      </c>
      <c r="T8" s="40">
        <f t="shared" si="4"/>
        <v>881.95999999999992</v>
      </c>
      <c r="U8" s="40">
        <f t="shared" ref="U8" si="5">U5*$B$2*$B$3</f>
        <v>813.95999999999992</v>
      </c>
      <c r="V8" s="40"/>
      <c r="W8" s="23"/>
    </row>
    <row r="9" spans="1:23" ht="15.75">
      <c r="A9" s="22" t="s">
        <v>284</v>
      </c>
      <c r="B9" s="40"/>
      <c r="C9" s="40"/>
      <c r="D9" s="40"/>
      <c r="E9" s="40"/>
      <c r="F9" s="40"/>
      <c r="G9" s="40">
        <f ca="1">-LiLAC!Q203</f>
        <v>-31.492576756516623</v>
      </c>
      <c r="H9" s="40">
        <f ca="1">-LiLAC!R203</f>
        <v>-32.082820061461078</v>
      </c>
      <c r="I9" s="40">
        <f ca="1">-LiLAC!S203</f>
        <v>-32.378868195634233</v>
      </c>
      <c r="J9" s="40">
        <f ca="1">-LiLAC!T203</f>
        <v>-17.321090810969999</v>
      </c>
      <c r="K9" s="40">
        <f ca="1">-LiLAC!U203</f>
        <v>-18.498924986115959</v>
      </c>
      <c r="L9" s="40">
        <f>-LiLAC!V203</f>
        <v>0</v>
      </c>
      <c r="M9" s="40">
        <f>-LiLAC!W203</f>
        <v>0</v>
      </c>
      <c r="N9" s="40">
        <f>-LiLAC!X203</f>
        <v>0</v>
      </c>
      <c r="O9" s="40">
        <f>-LiLAC!Y203</f>
        <v>0</v>
      </c>
      <c r="P9" s="40">
        <f>-LiLAC!Z203</f>
        <v>0</v>
      </c>
      <c r="Q9" s="40">
        <f>-LiLAC!AA203</f>
        <v>0</v>
      </c>
      <c r="R9" s="40">
        <f>-LiLAC!AB203</f>
        <v>0</v>
      </c>
      <c r="S9" s="40">
        <f>-LiLAC!AC203</f>
        <v>0</v>
      </c>
      <c r="T9" s="40">
        <f>-LiLAC!AD203</f>
        <v>0</v>
      </c>
      <c r="U9" s="40">
        <f>-LiLAC!AE203</f>
        <v>0</v>
      </c>
      <c r="V9" s="46"/>
    </row>
    <row r="10" spans="1:23" ht="15.75">
      <c r="A10" s="22" t="s">
        <v>285</v>
      </c>
      <c r="B10" s="41"/>
      <c r="C10" s="40"/>
      <c r="D10" s="40"/>
      <c r="E10" s="40"/>
      <c r="F10" s="40"/>
      <c r="G10" s="40">
        <f>NPV($B$207,D219:H219)</f>
        <v>0</v>
      </c>
      <c r="H10" s="40">
        <f>NPV($B$207,D219:I219)</f>
        <v>0</v>
      </c>
      <c r="I10" s="40">
        <f>NPV($B$207,D219:J219)</f>
        <v>0</v>
      </c>
      <c r="J10" s="40">
        <f>NPV($B$207,D219:K219)</f>
        <v>0</v>
      </c>
      <c r="K10" s="40">
        <f t="shared" ref="K10:O10" si="6">NPV($B$207,D219:L219)</f>
        <v>0</v>
      </c>
      <c r="L10" s="40">
        <f t="shared" si="6"/>
        <v>0</v>
      </c>
      <c r="M10" s="40">
        <f t="shared" si="6"/>
        <v>0</v>
      </c>
      <c r="N10" s="40">
        <f t="shared" si="6"/>
        <v>0</v>
      </c>
      <c r="O10" s="40">
        <f t="shared" si="6"/>
        <v>0</v>
      </c>
      <c r="P10" s="40">
        <f t="shared" ref="P10:U10" si="7">NPV($B$207,I219:V219)</f>
        <v>0</v>
      </c>
      <c r="Q10" s="40">
        <f t="shared" si="7"/>
        <v>0</v>
      </c>
      <c r="R10" s="40">
        <f t="shared" si="7"/>
        <v>0</v>
      </c>
      <c r="S10" s="40">
        <f t="shared" si="7"/>
        <v>0</v>
      </c>
      <c r="T10" s="40">
        <f t="shared" si="7"/>
        <v>0</v>
      </c>
      <c r="U10" s="40">
        <f t="shared" si="7"/>
        <v>0</v>
      </c>
    </row>
    <row r="11" spans="1:23" ht="15.75">
      <c r="A11" s="22" t="s">
        <v>286</v>
      </c>
      <c r="B11" s="40"/>
      <c r="C11" s="40"/>
      <c r="D11" s="40"/>
      <c r="E11" s="40"/>
      <c r="F11" s="40"/>
      <c r="G11" s="40">
        <f ca="1">SOP!$G$25</f>
        <v>1147.5409933490187</v>
      </c>
      <c r="H11" s="40">
        <f t="shared" ref="H11:Q11" ca="1" si="8">G11</f>
        <v>1147.5409933490187</v>
      </c>
      <c r="I11" s="40">
        <f t="shared" ca="1" si="8"/>
        <v>1147.5409933490187</v>
      </c>
      <c r="J11" s="40">
        <f t="shared" ca="1" si="8"/>
        <v>1147.5409933490187</v>
      </c>
      <c r="K11" s="40">
        <f t="shared" ca="1" si="8"/>
        <v>1147.5409933490187</v>
      </c>
      <c r="L11" s="40">
        <f t="shared" ca="1" si="8"/>
        <v>1147.5409933490187</v>
      </c>
      <c r="M11" s="40">
        <f t="shared" ca="1" si="8"/>
        <v>1147.5409933490187</v>
      </c>
      <c r="N11" s="40">
        <f t="shared" ca="1" si="8"/>
        <v>1147.5409933490187</v>
      </c>
      <c r="O11" s="40">
        <f t="shared" ca="1" si="8"/>
        <v>1147.5409933490187</v>
      </c>
      <c r="P11" s="40">
        <f t="shared" ca="1" si="8"/>
        <v>1147.5409933490187</v>
      </c>
      <c r="Q11" s="40">
        <f t="shared" ca="1" si="8"/>
        <v>1147.5409933490187</v>
      </c>
      <c r="R11" s="40">
        <f t="shared" ref="R11" ca="1" si="9">Q11</f>
        <v>1147.5409933490187</v>
      </c>
      <c r="S11" s="40">
        <f t="shared" ref="S11" ca="1" si="10">R11</f>
        <v>1147.5409933490187</v>
      </c>
      <c r="T11" s="40">
        <f t="shared" ref="T11:U11" ca="1" si="11">S11</f>
        <v>1147.5409933490187</v>
      </c>
      <c r="U11" s="40">
        <f t="shared" ca="1" si="11"/>
        <v>1147.5409933490187</v>
      </c>
    </row>
    <row r="12" spans="1:23" ht="15.75">
      <c r="A12" s="22" t="s">
        <v>287</v>
      </c>
      <c r="B12" s="40"/>
      <c r="C12" s="40"/>
      <c r="D12" s="40"/>
      <c r="E12" s="40"/>
      <c r="F12" s="40"/>
      <c r="G12" s="40">
        <v>0</v>
      </c>
      <c r="H12" s="40">
        <v>0</v>
      </c>
      <c r="I12" s="40">
        <v>0</v>
      </c>
      <c r="J12" s="40">
        <v>0</v>
      </c>
      <c r="K12" s="40">
        <v>0</v>
      </c>
      <c r="L12" s="40">
        <v>0</v>
      </c>
      <c r="M12" s="40">
        <v>0</v>
      </c>
      <c r="N12" s="40">
        <v>0</v>
      </c>
      <c r="O12" s="40">
        <v>0</v>
      </c>
      <c r="P12" s="40">
        <v>0</v>
      </c>
      <c r="Q12" s="40">
        <v>0</v>
      </c>
      <c r="R12" s="40">
        <v>0</v>
      </c>
      <c r="S12" s="40">
        <v>0</v>
      </c>
      <c r="T12" s="40">
        <v>0</v>
      </c>
      <c r="U12" s="40">
        <v>0</v>
      </c>
    </row>
    <row r="13" spans="1:23" ht="15.75">
      <c r="A13" s="22" t="s">
        <v>288</v>
      </c>
      <c r="B13" s="40"/>
      <c r="C13" s="40"/>
      <c r="D13" s="40"/>
      <c r="E13" s="40"/>
      <c r="F13" s="40"/>
      <c r="G13" s="40" t="e">
        <f>Master!H240</f>
        <v>#REF!</v>
      </c>
      <c r="H13" s="40">
        <f>Master!I240</f>
        <v>5985.1</v>
      </c>
      <c r="I13" s="40">
        <f>Master!J240</f>
        <v>6066</v>
      </c>
      <c r="J13" s="40">
        <f>Master!K240</f>
        <v>6060.1</v>
      </c>
      <c r="K13" s="40">
        <f>Master!L240</f>
        <v>7781.4</v>
      </c>
      <c r="L13" s="40">
        <f>Master!M240</f>
        <v>8031.1</v>
      </c>
      <c r="M13" s="40">
        <f>Master!N240</f>
        <v>6269.5</v>
      </c>
      <c r="N13" s="40">
        <f>Master!O240</f>
        <v>7251.1</v>
      </c>
      <c r="O13" s="40">
        <f ca="1">Master!P240</f>
        <v>7300.3337002453673</v>
      </c>
      <c r="P13" s="40">
        <f ca="1">Master!Q240</f>
        <v>7028.2399585298035</v>
      </c>
      <c r="Q13" s="40">
        <f ca="1">Master!R240</f>
        <v>6789.235635422111</v>
      </c>
      <c r="R13" s="40">
        <f ca="1">Master!S240</f>
        <v>6522.5434559154164</v>
      </c>
      <c r="S13" s="40">
        <f ca="1">Master!T240</f>
        <v>6264.2058547659653</v>
      </c>
      <c r="T13" s="40">
        <f ca="1">Master!U240</f>
        <v>6035.1382602211888</v>
      </c>
      <c r="U13" s="40">
        <f ca="1">Master!V240</f>
        <v>5787.0322183308062</v>
      </c>
    </row>
    <row r="14" spans="1:23" ht="15.75">
      <c r="A14" s="31" t="s">
        <v>289</v>
      </c>
      <c r="B14" s="43"/>
      <c r="C14" s="43"/>
      <c r="D14" s="43"/>
      <c r="E14" s="43"/>
      <c r="F14" s="43"/>
      <c r="G14" s="43">
        <v>0</v>
      </c>
      <c r="H14" s="43">
        <f>G14-Master!H485</f>
        <v>0</v>
      </c>
      <c r="I14" s="43">
        <f>H14-Master!I485</f>
        <v>0</v>
      </c>
      <c r="J14" s="43">
        <f>I14-Master!J485</f>
        <v>0</v>
      </c>
      <c r="K14" s="43">
        <f>J14-Master!K485</f>
        <v>0</v>
      </c>
      <c r="L14" s="43">
        <f>K14-Master!L485</f>
        <v>0</v>
      </c>
      <c r="M14" s="43">
        <f>L14-Master!M485</f>
        <v>0</v>
      </c>
      <c r="N14" s="43">
        <f>M14-Master!N485</f>
        <v>0</v>
      </c>
      <c r="O14" s="43">
        <f>N14-Master!O485</f>
        <v>0</v>
      </c>
      <c r="P14" s="43">
        <f>O14-Master!P485</f>
        <v>0</v>
      </c>
      <c r="Q14" s="43">
        <f>P14-Master!Q485</f>
        <v>0</v>
      </c>
      <c r="R14" s="43">
        <f>Q14-Master!R485</f>
        <v>0</v>
      </c>
      <c r="S14" s="43">
        <f>R14-Master!S485</f>
        <v>0</v>
      </c>
      <c r="T14" s="43">
        <f>S14-Master!T485</f>
        <v>0</v>
      </c>
      <c r="U14" s="43">
        <f>T14-Master!U485</f>
        <v>0</v>
      </c>
    </row>
    <row r="15" spans="1:23" ht="15.75">
      <c r="A15" s="22" t="s">
        <v>290</v>
      </c>
      <c r="B15" s="40"/>
      <c r="C15" s="40"/>
      <c r="D15" s="40"/>
      <c r="E15" s="40"/>
      <c r="F15" s="40"/>
      <c r="G15" s="40" t="e">
        <f t="shared" ref="G15:O15" ca="1" si="12">SUM(G8:G14)</f>
        <v>#REF!</v>
      </c>
      <c r="H15" s="40">
        <f t="shared" ca="1" si="12"/>
        <v>8264.803669687557</v>
      </c>
      <c r="I15" s="40">
        <f t="shared" ca="1" si="12"/>
        <v>8411.8465251533853</v>
      </c>
      <c r="J15" s="40">
        <f ca="1">SUM(J8:J14)</f>
        <v>8427.40310253805</v>
      </c>
      <c r="K15" s="40">
        <f t="shared" ca="1" si="12"/>
        <v>10488.246068362903</v>
      </c>
      <c r="L15" s="40">
        <f t="shared" ca="1" si="12"/>
        <v>10740.804993349018</v>
      </c>
      <c r="M15" s="40">
        <f t="shared" ca="1" si="12"/>
        <v>8882.4409933490188</v>
      </c>
      <c r="N15" s="40">
        <f t="shared" ca="1" si="12"/>
        <v>9790.6009933490186</v>
      </c>
      <c r="O15" s="40">
        <f t="shared" ca="1" si="12"/>
        <v>9703.8346935943846</v>
      </c>
      <c r="P15" s="40">
        <f ca="1">SUM(P8:P14)</f>
        <v>9329.7409518788227</v>
      </c>
      <c r="Q15" s="40">
        <f ca="1">SUM(Q8:Q14)</f>
        <v>9022.7366287711302</v>
      </c>
      <c r="R15" s="40">
        <f t="shared" ref="R15:U15" ca="1" si="13">SUM(R8:R14)</f>
        <v>8688.0444492644347</v>
      </c>
      <c r="S15" s="40">
        <f t="shared" ca="1" si="13"/>
        <v>8361.7068481149836</v>
      </c>
      <c r="T15" s="40">
        <f t="shared" ca="1" si="13"/>
        <v>8064.6392535702071</v>
      </c>
      <c r="U15" s="40">
        <f t="shared" ca="1" si="13"/>
        <v>7748.5332116798254</v>
      </c>
    </row>
    <row r="16" spans="1:23" ht="15.75">
      <c r="A16" s="22"/>
      <c r="B16" s="40" t="s">
        <v>72</v>
      </c>
      <c r="C16" s="40"/>
      <c r="D16" s="24"/>
      <c r="E16" s="24"/>
      <c r="F16" s="44"/>
      <c r="G16" s="22"/>
      <c r="H16" s="22"/>
      <c r="I16" s="40"/>
      <c r="J16" s="22"/>
      <c r="K16" s="22"/>
      <c r="L16" s="22"/>
      <c r="M16" s="40"/>
      <c r="N16" s="40"/>
    </row>
    <row r="17" spans="1:30" ht="15.75" hidden="1" outlineLevel="1">
      <c r="A17" s="22" t="s">
        <v>6055</v>
      </c>
      <c r="B17" s="40"/>
      <c r="C17" s="40"/>
      <c r="D17" s="24"/>
      <c r="E17" s="24"/>
      <c r="F17" s="44"/>
      <c r="G17" s="22"/>
      <c r="H17" s="22"/>
      <c r="I17" s="40"/>
      <c r="J17" s="22"/>
      <c r="K17" s="22"/>
      <c r="L17" s="22">
        <f t="shared" ref="L17:U17" si="14">6.4+12.8+1.1+2.3+0.6+1.2</f>
        <v>24.400000000000006</v>
      </c>
      <c r="M17" s="22">
        <f t="shared" si="14"/>
        <v>24.400000000000006</v>
      </c>
      <c r="N17" s="22">
        <f t="shared" si="14"/>
        <v>24.400000000000006</v>
      </c>
      <c r="O17" s="22">
        <f t="shared" si="14"/>
        <v>24.400000000000006</v>
      </c>
      <c r="P17" s="22">
        <f t="shared" si="14"/>
        <v>24.400000000000006</v>
      </c>
      <c r="Q17" s="22">
        <f t="shared" si="14"/>
        <v>24.400000000000006</v>
      </c>
      <c r="R17" s="22">
        <f t="shared" si="14"/>
        <v>24.400000000000006</v>
      </c>
      <c r="S17" s="22">
        <f t="shared" si="14"/>
        <v>24.400000000000006</v>
      </c>
      <c r="T17" s="22">
        <f t="shared" si="14"/>
        <v>24.400000000000006</v>
      </c>
      <c r="U17" s="22">
        <f t="shared" si="14"/>
        <v>24.400000000000006</v>
      </c>
    </row>
    <row r="18" spans="1:30" ht="15.75" hidden="1" outlineLevel="1">
      <c r="A18" s="22" t="s">
        <v>6056</v>
      </c>
      <c r="B18" s="40"/>
      <c r="C18" s="40"/>
      <c r="D18" s="24"/>
      <c r="E18" s="24"/>
      <c r="F18" s="44"/>
      <c r="G18" s="22"/>
      <c r="H18" s="22"/>
      <c r="I18" s="40"/>
      <c r="J18" s="22"/>
      <c r="K18" s="22"/>
      <c r="L18" s="1177">
        <v>0.25</v>
      </c>
      <c r="M18" s="1177">
        <v>0.25</v>
      </c>
      <c r="N18" s="1177">
        <v>0.25</v>
      </c>
      <c r="O18" s="1177">
        <v>0.25</v>
      </c>
      <c r="P18" s="1177">
        <v>0.25</v>
      </c>
      <c r="Q18" s="1177">
        <v>0.25</v>
      </c>
      <c r="R18" s="1177">
        <v>0.25</v>
      </c>
      <c r="S18" s="1177">
        <v>0.25</v>
      </c>
      <c r="T18" s="1177">
        <v>0.25</v>
      </c>
      <c r="U18" s="1177">
        <v>0.25</v>
      </c>
    </row>
    <row r="19" spans="1:30" ht="15.75" hidden="1" outlineLevel="1">
      <c r="A19" s="22" t="s">
        <v>6057</v>
      </c>
      <c r="B19" s="40"/>
      <c r="C19" s="40"/>
      <c r="D19" s="24"/>
      <c r="E19" s="24"/>
      <c r="F19" s="44"/>
      <c r="G19" s="22"/>
      <c r="H19" s="22"/>
      <c r="I19" s="40"/>
      <c r="J19" s="22"/>
      <c r="K19" s="22"/>
      <c r="L19" s="40">
        <f t="shared" ref="L19:Q19" si="15">L5+L17*L18</f>
        <v>235.83</v>
      </c>
      <c r="M19" s="40">
        <f t="shared" si="15"/>
        <v>221.6</v>
      </c>
      <c r="N19" s="40">
        <f t="shared" si="15"/>
        <v>210.79999999999998</v>
      </c>
      <c r="O19" s="40">
        <f t="shared" si="15"/>
        <v>190.79999999999998</v>
      </c>
      <c r="P19" s="40">
        <f t="shared" si="15"/>
        <v>175.79999999999998</v>
      </c>
      <c r="Q19" s="40">
        <f t="shared" si="15"/>
        <v>165.79999999999998</v>
      </c>
      <c r="R19" s="40">
        <f t="shared" ref="R19:T19" si="16">R5+R17*R18</f>
        <v>155.79999999999998</v>
      </c>
      <c r="S19" s="40">
        <f t="shared" si="16"/>
        <v>145.79999999999998</v>
      </c>
      <c r="T19" s="40">
        <f t="shared" si="16"/>
        <v>135.79999999999998</v>
      </c>
      <c r="U19" s="40">
        <f t="shared" ref="U19" si="17">U5+U17*U18</f>
        <v>125.79999999999998</v>
      </c>
    </row>
    <row r="20" spans="1:30" ht="15.75" hidden="1" outlineLevel="1">
      <c r="A20" s="22" t="s">
        <v>6060</v>
      </c>
      <c r="B20" s="40"/>
      <c r="C20" s="40"/>
      <c r="D20" s="24"/>
      <c r="E20" s="24"/>
      <c r="F20" s="44"/>
      <c r="G20" s="22"/>
      <c r="H20" s="22"/>
      <c r="I20" s="40"/>
      <c r="J20" s="22"/>
      <c r="K20" s="22"/>
      <c r="L20" s="45">
        <f>(6.4*16.2+12.8*16.3+1.1*13.4+2.3*13.5+0.6*12+1.2*11)/L17</f>
        <v>15.512704918032785</v>
      </c>
      <c r="M20" s="40"/>
      <c r="N20" s="40"/>
      <c r="O20" s="40"/>
      <c r="P20" s="40"/>
      <c r="Q20" s="40"/>
      <c r="R20" s="40"/>
      <c r="S20" s="40"/>
      <c r="T20" s="40"/>
      <c r="U20" s="40"/>
    </row>
    <row r="21" spans="1:30" ht="15.75" hidden="1" outlineLevel="1">
      <c r="A21" s="22"/>
      <c r="B21" s="40"/>
      <c r="C21" s="40"/>
      <c r="D21" s="24"/>
      <c r="E21" s="24"/>
      <c r="F21" s="44"/>
      <c r="G21" s="22"/>
      <c r="H21" s="22"/>
      <c r="I21" s="40"/>
      <c r="J21" s="22"/>
      <c r="K21" s="22"/>
      <c r="L21" s="22"/>
    </row>
    <row r="22" spans="1:30" ht="15.75" collapsed="1">
      <c r="A22" s="42" t="s">
        <v>249</v>
      </c>
      <c r="B22" s="40"/>
      <c r="C22" s="40"/>
      <c r="D22" s="23"/>
      <c r="E22" s="23"/>
      <c r="F22" s="22"/>
      <c r="G22" s="22"/>
      <c r="H22" s="23"/>
      <c r="I22" s="23"/>
      <c r="J22" s="22"/>
      <c r="K22" s="22"/>
      <c r="L22" s="40"/>
      <c r="N22" s="558"/>
      <c r="Z22" s="552"/>
      <c r="AA22" s="552">
        <v>2022</v>
      </c>
      <c r="AB22" s="552">
        <f>AA22+1</f>
        <v>2023</v>
      </c>
      <c r="AC22" s="552">
        <f>AB22+1</f>
        <v>2024</v>
      </c>
      <c r="AD22" s="552">
        <f>AC22+1</f>
        <v>2025</v>
      </c>
    </row>
    <row r="23" spans="1:30" ht="15.75">
      <c r="A23" s="22" t="s">
        <v>5960</v>
      </c>
      <c r="B23" s="40"/>
      <c r="C23" s="40"/>
      <c r="D23" s="40"/>
      <c r="E23" s="40"/>
      <c r="F23" s="40"/>
      <c r="G23" s="40"/>
      <c r="H23" s="40">
        <f>Master!I74</f>
        <v>1367.1</v>
      </c>
      <c r="I23" s="40">
        <f>Master!J74</f>
        <v>1412.5717613715995</v>
      </c>
      <c r="J23" s="40">
        <f>Master!K74</f>
        <v>1506.5</v>
      </c>
      <c r="K23" s="40">
        <f>Master!L74</f>
        <v>1485</v>
      </c>
      <c r="L23" s="40">
        <f>Master!M74</f>
        <v>1818.4935611038109</v>
      </c>
      <c r="M23" s="40">
        <f>Master!N74</f>
        <v>1718</v>
      </c>
      <c r="N23" s="40">
        <f>Master!O74</f>
        <v>1701.6</v>
      </c>
      <c r="O23" s="40">
        <f>Master!P74</f>
        <v>1579.0990335466222</v>
      </c>
      <c r="P23" s="40">
        <f>Master!Q74</f>
        <v>1802.8296324342652</v>
      </c>
      <c r="Q23" s="40">
        <f>Master!R74</f>
        <v>1887.8361378059224</v>
      </c>
      <c r="R23" s="40">
        <f>Master!S74</f>
        <v>1945.9434392102044</v>
      </c>
      <c r="S23" s="40">
        <f>Master!T74</f>
        <v>2001.7655162215337</v>
      </c>
      <c r="T23" s="40">
        <f>Master!U74</f>
        <v>2047.0473245054468</v>
      </c>
      <c r="U23" s="40">
        <f>Master!V74</f>
        <v>2093.9095377424046</v>
      </c>
      <c r="V23" s="1531">
        <f>(Q23/N23)^(1/3)-1</f>
        <v>3.5227037479960144E-2</v>
      </c>
      <c r="W23" s="1532" t="s">
        <v>7164</v>
      </c>
      <c r="Z23" t="s">
        <v>5954</v>
      </c>
      <c r="AA23" s="16">
        <f>-'Puerto Rico'!J76-Analysis!F3333</f>
        <v>-20</v>
      </c>
      <c r="AB23" s="16">
        <f>-'Puerto Rico'!K76-Analysis!G3333</f>
        <v>-35</v>
      </c>
      <c r="AC23" s="16">
        <f>-'Puerto Rico'!L76-Analysis!H3333</f>
        <v>-23</v>
      </c>
      <c r="AD23" s="16">
        <f>-'Puerto Rico'!M76-Analysis!I3333</f>
        <v>0</v>
      </c>
    </row>
    <row r="24" spans="1:30" ht="15.75">
      <c r="A24" s="22" t="s">
        <v>3331</v>
      </c>
      <c r="B24" s="40"/>
      <c r="C24" s="40"/>
      <c r="D24" s="40"/>
      <c r="E24" s="40"/>
      <c r="F24" s="40"/>
      <c r="G24" s="40"/>
      <c r="H24" s="40">
        <f>-Master!I121</f>
        <v>-776.5462392108509</v>
      </c>
      <c r="I24" s="40">
        <f>-Master!J121</f>
        <v>-771.39999999999986</v>
      </c>
      <c r="J24" s="40">
        <f>-Master!K121</f>
        <v>-727.09999999999991</v>
      </c>
      <c r="K24" s="40">
        <f>-Master!L121</f>
        <v>-631</v>
      </c>
      <c r="L24" s="40">
        <f>-Master!M121</f>
        <v>-855.89999999999986</v>
      </c>
      <c r="M24" s="40">
        <f>-Master!N121</f>
        <v>-816.3</v>
      </c>
      <c r="N24" s="40">
        <f>-Master!O121</f>
        <v>-730.9</v>
      </c>
      <c r="O24" s="40">
        <f>-Master!P121</f>
        <v>-714.74571124892748</v>
      </c>
      <c r="P24" s="40">
        <f>-Master!Q121</f>
        <v>-721.45592028503188</v>
      </c>
      <c r="Q24" s="40">
        <f>-Master!R121</f>
        <v>-736.00690545819975</v>
      </c>
      <c r="R24" s="40">
        <f>-Master!S121</f>
        <v>-750.3269320788105</v>
      </c>
      <c r="S24" s="40">
        <f>-Master!T121</f>
        <v>-765.10060611735639</v>
      </c>
      <c r="T24" s="40">
        <f>-Master!U121</f>
        <v>-781.09371326153314</v>
      </c>
      <c r="U24" s="40">
        <f>-Master!V121</f>
        <v>-797.62702720519997</v>
      </c>
      <c r="Z24" t="s">
        <v>399</v>
      </c>
      <c r="AA24" s="16">
        <f>'Puerto Rico'!J78+Analysis!F3329</f>
        <v>0</v>
      </c>
      <c r="AB24" s="16">
        <f>'Puerto Rico'!K78+Analysis!G3329</f>
        <v>27</v>
      </c>
      <c r="AC24" s="16">
        <f>'Puerto Rico'!L78+Analysis!H3329</f>
        <v>90</v>
      </c>
      <c r="AD24" s="16">
        <f>'Puerto Rico'!M78+Analysis!I3329</f>
        <v>140</v>
      </c>
    </row>
    <row r="25" spans="1:30" ht="15.75">
      <c r="A25" s="22" t="s">
        <v>6050</v>
      </c>
      <c r="B25" s="40"/>
      <c r="C25" s="40"/>
      <c r="D25" s="40"/>
      <c r="E25" s="40"/>
      <c r="F25" s="40"/>
      <c r="G25" s="40"/>
      <c r="H25" s="40">
        <f>Master!I18</f>
        <v>-381.8</v>
      </c>
      <c r="I25" s="40">
        <f>Master!J18</f>
        <v>-443.7</v>
      </c>
      <c r="J25" s="40">
        <f>Master!K18</f>
        <v>-499.2</v>
      </c>
      <c r="K25" s="40">
        <f>Master!L18</f>
        <v>-533.4</v>
      </c>
      <c r="L25" s="40">
        <f>Master!M18</f>
        <v>-527.4</v>
      </c>
      <c r="M25" s="40">
        <f>Master!N18</f>
        <v>-556.70000000000005</v>
      </c>
      <c r="N25" s="40">
        <f>Master!O18</f>
        <v>-601.70000000000005</v>
      </c>
      <c r="O25" s="40">
        <f ca="1">Master!P18</f>
        <v>-619.35390955854734</v>
      </c>
      <c r="P25" s="40">
        <f ca="1">Master!Q18</f>
        <v>-653.82239239434932</v>
      </c>
      <c r="Q25" s="40">
        <f ca="1">Master!R18</f>
        <v>-711.84928438857503</v>
      </c>
      <c r="R25" s="40">
        <f ca="1">Master!S18</f>
        <v>-710.13856933186582</v>
      </c>
      <c r="S25" s="40">
        <f ca="1">Master!T18</f>
        <v>-708.77727418787708</v>
      </c>
      <c r="T25" s="40">
        <f ca="1">Master!U18</f>
        <v>-707.15437937684771</v>
      </c>
      <c r="U25" s="40">
        <f ca="1">Master!V18</f>
        <v>-705.114302427398</v>
      </c>
      <c r="Z25" t="s">
        <v>3411</v>
      </c>
      <c r="AA25">
        <v>0</v>
      </c>
      <c r="AB25">
        <v>5</v>
      </c>
      <c r="AC25">
        <v>10</v>
      </c>
      <c r="AD25">
        <v>15</v>
      </c>
    </row>
    <row r="26" spans="1:30" ht="15.75">
      <c r="A26" s="22" t="s">
        <v>6043</v>
      </c>
      <c r="B26" s="40"/>
      <c r="C26" s="40"/>
      <c r="D26" s="40"/>
      <c r="E26" s="40"/>
      <c r="F26" s="40"/>
      <c r="G26" s="40"/>
      <c r="H26" s="40">
        <f>-SUM(H23:H25)*0.33</f>
        <v>-68.888741060419179</v>
      </c>
      <c r="I26" s="40">
        <f t="shared" ref="I26:M26" si="18">-SUM(I23:I25)*0.33</f>
        <v>-65.165681252627877</v>
      </c>
      <c r="J26" s="40">
        <f t="shared" si="18"/>
        <v>-92.466000000000037</v>
      </c>
      <c r="K26" s="40">
        <f t="shared" si="18"/>
        <v>-105.79800000000002</v>
      </c>
      <c r="L26" s="40">
        <f t="shared" si="18"/>
        <v>-143.61387516425765</v>
      </c>
      <c r="M26" s="40">
        <f t="shared" si="18"/>
        <v>-113.85000000000001</v>
      </c>
      <c r="N26" s="40">
        <f>-SUM(N23:N25)*0.27</f>
        <v>-99.629999999999981</v>
      </c>
      <c r="O26" s="40">
        <f ca="1">-SUM(O23:O25)*0.3</f>
        <v>-73.499823821744215</v>
      </c>
      <c r="P26" s="40">
        <f t="shared" ref="P26:Q26" ca="1" si="19">-SUM(P23:P25)*0.3</f>
        <v>-128.2653959264652</v>
      </c>
      <c r="Q26" s="40">
        <f t="shared" ca="1" si="19"/>
        <v>-131.99398438774426</v>
      </c>
      <c r="R26" s="40">
        <f t="shared" ref="R26:T26" ca="1" si="20">-SUM(R23:R25)*0.3</f>
        <v>-145.64338133985845</v>
      </c>
      <c r="S26" s="40">
        <f t="shared" ca="1" si="20"/>
        <v>-158.36629077489007</v>
      </c>
      <c r="T26" s="40">
        <f t="shared" ca="1" si="20"/>
        <v>-167.63976956011979</v>
      </c>
      <c r="U26" s="40">
        <f t="shared" ref="U26" ca="1" si="21">-SUM(U23:U25)*0.3</f>
        <v>-177.35046243294198</v>
      </c>
      <c r="Z26" s="3" t="s">
        <v>6315</v>
      </c>
      <c r="AA26" s="64">
        <f>SUM(AA23:AA25)</f>
        <v>-20</v>
      </c>
      <c r="AB26" s="64">
        <f t="shared" ref="AB26:AD26" si="22">SUM(AB23:AB25)</f>
        <v>-3</v>
      </c>
      <c r="AC26" s="64">
        <f t="shared" si="22"/>
        <v>77</v>
      </c>
      <c r="AD26" s="64">
        <f t="shared" si="22"/>
        <v>155</v>
      </c>
    </row>
    <row r="27" spans="1:30" ht="15.75">
      <c r="A27" s="31" t="s">
        <v>7034</v>
      </c>
      <c r="B27" s="43"/>
      <c r="C27" s="43"/>
      <c r="D27" s="43"/>
      <c r="E27" s="43"/>
      <c r="F27" s="43"/>
      <c r="G27" s="43"/>
      <c r="H27" s="43">
        <f>AVERAGE(Master!$H$209:H209)</f>
        <v>-46</v>
      </c>
      <c r="I27" s="43">
        <f>AVERAGE(Master!$H$209:I209)</f>
        <v>-54</v>
      </c>
      <c r="J27" s="43">
        <f>AVERAGE(Master!$H$209:J209)</f>
        <v>-45.333333333333336</v>
      </c>
      <c r="K27" s="43">
        <f>Master!L209</f>
        <v>-18.8</v>
      </c>
      <c r="L27" s="43">
        <f>Master!M209</f>
        <v>-47.6</v>
      </c>
      <c r="M27" s="43">
        <f>Master!N209</f>
        <v>-1.9</v>
      </c>
      <c r="N27" s="43">
        <f>Master!O209</f>
        <v>-75.400000000000006</v>
      </c>
      <c r="O27" s="43">
        <f>Master!P209</f>
        <v>-35</v>
      </c>
      <c r="P27" s="43">
        <f>Master!Q209</f>
        <v>-50</v>
      </c>
      <c r="Q27" s="43">
        <f>Master!R209</f>
        <v>-50</v>
      </c>
      <c r="R27" s="43">
        <f>Master!S209</f>
        <v>-50</v>
      </c>
      <c r="S27" s="43">
        <f>Master!T209</f>
        <v>-50</v>
      </c>
      <c r="T27" s="43">
        <f>Master!U209</f>
        <v>-50</v>
      </c>
      <c r="U27" s="43">
        <f>Master!V209</f>
        <v>-50</v>
      </c>
      <c r="Z27" t="s">
        <v>260</v>
      </c>
      <c r="AB27" s="16">
        <f>AB26-AA26</f>
        <v>17</v>
      </c>
      <c r="AC27" s="16">
        <f>AC26-AB26</f>
        <v>80</v>
      </c>
      <c r="AD27" s="16">
        <f>AD26-AC26</f>
        <v>78</v>
      </c>
    </row>
    <row r="28" spans="1:30" ht="15.75">
      <c r="A28" s="22" t="s">
        <v>4011</v>
      </c>
      <c r="B28" s="40"/>
      <c r="C28" s="40"/>
      <c r="D28" s="40"/>
      <c r="E28" s="40"/>
      <c r="F28" s="40"/>
      <c r="G28" s="40"/>
      <c r="H28" s="40">
        <f t="shared" ref="H28:O28" si="23">SUM(H23:H27)</f>
        <v>93.865019728729806</v>
      </c>
      <c r="I28" s="40">
        <f t="shared" si="23"/>
        <v>78.306080118971721</v>
      </c>
      <c r="J28" s="40">
        <f t="shared" si="23"/>
        <v>142.40066666666672</v>
      </c>
      <c r="K28" s="40">
        <f t="shared" si="23"/>
        <v>196.00200000000001</v>
      </c>
      <c r="L28" s="40">
        <f t="shared" si="23"/>
        <v>243.97968593955338</v>
      </c>
      <c r="M28" s="40">
        <f t="shared" si="23"/>
        <v>229.24999999999997</v>
      </c>
      <c r="N28" s="40">
        <f t="shared" si="23"/>
        <v>193.96999999999989</v>
      </c>
      <c r="O28" s="40">
        <f t="shared" ca="1" si="23"/>
        <v>136.49958891740317</v>
      </c>
      <c r="P28" s="40">
        <f ca="1">SUM(P23:P27)</f>
        <v>249.28592382841885</v>
      </c>
      <c r="Q28" s="40">
        <f ca="1">SUM(Q23:Q27)</f>
        <v>257.98596357140332</v>
      </c>
      <c r="R28" s="40">
        <f t="shared" ref="R28:U28" ca="1" si="24">SUM(R23:R27)</f>
        <v>289.83455645966967</v>
      </c>
      <c r="S28" s="40">
        <f t="shared" ca="1" si="24"/>
        <v>319.52134514141017</v>
      </c>
      <c r="T28" s="40">
        <f t="shared" ca="1" si="24"/>
        <v>341.15946230694612</v>
      </c>
      <c r="U28" s="40">
        <f t="shared" ca="1" si="24"/>
        <v>363.81774567686466</v>
      </c>
      <c r="V28" s="486"/>
      <c r="Z28" t="s">
        <v>6919</v>
      </c>
      <c r="AC28" s="486">
        <f>O27-N27</f>
        <v>40.400000000000006</v>
      </c>
      <c r="AD28" s="486">
        <f>P27-O27</f>
        <v>-15</v>
      </c>
    </row>
    <row r="29" spans="1:30" ht="15.75">
      <c r="A29" s="22" t="s">
        <v>1948</v>
      </c>
      <c r="B29" s="40"/>
      <c r="C29" s="40"/>
      <c r="D29" s="40"/>
      <c r="E29" s="40"/>
      <c r="F29" s="45"/>
      <c r="G29" s="45"/>
      <c r="H29" s="45">
        <f t="shared" ref="H29:O29" si="25">H28/H5</f>
        <v>0.54823672166138049</v>
      </c>
      <c r="I29" s="45">
        <f t="shared" si="25"/>
        <v>0.43267091450010065</v>
      </c>
      <c r="J29" s="45">
        <f t="shared" si="25"/>
        <v>0.78274810726823685</v>
      </c>
      <c r="K29" s="45">
        <f t="shared" si="25"/>
        <v>0.84472697496013449</v>
      </c>
      <c r="L29" s="45">
        <f t="shared" si="25"/>
        <v>1.0620279717039713</v>
      </c>
      <c r="M29" s="45">
        <f t="shared" si="25"/>
        <v>1.0638051044083525</v>
      </c>
      <c r="N29" s="45">
        <f t="shared" si="25"/>
        <v>0.94758182706399563</v>
      </c>
      <c r="O29" s="45">
        <f t="shared" ca="1" si="25"/>
        <v>0.73903404936330908</v>
      </c>
      <c r="P29" s="45">
        <f ca="1">P28/P5</f>
        <v>1.4689801050584494</v>
      </c>
      <c r="Q29" s="45">
        <f ca="1">Q28/Q5</f>
        <v>1.6154412246174286</v>
      </c>
      <c r="R29" s="45">
        <f t="shared" ref="R29:U29" ca="1" si="26">R28/R5</f>
        <v>1.9361025815609199</v>
      </c>
      <c r="S29" s="45">
        <f t="shared" ca="1" si="26"/>
        <v>2.2871964577051553</v>
      </c>
      <c r="T29" s="45">
        <f t="shared" ca="1" si="26"/>
        <v>2.6303736492439951</v>
      </c>
      <c r="U29" s="45">
        <f t="shared" ca="1" si="26"/>
        <v>3.0394130800072237</v>
      </c>
      <c r="Z29" t="s">
        <v>4715</v>
      </c>
      <c r="AC29" s="486">
        <f ca="1">AC30-AC27-AC28</f>
        <v>-300.935312347165</v>
      </c>
      <c r="AD29" s="486">
        <f ca="1">AD30-AD27-AD28</f>
        <v>299.59728175037037</v>
      </c>
    </row>
    <row r="30" spans="1:30" ht="15.75" outlineLevel="1">
      <c r="A30" s="22" t="s">
        <v>5402</v>
      </c>
      <c r="B30" s="40"/>
      <c r="C30" s="40"/>
      <c r="D30" s="40"/>
      <c r="E30" s="40"/>
      <c r="F30" s="45"/>
      <c r="G30" s="45"/>
      <c r="H30" s="45"/>
      <c r="I30" s="45"/>
      <c r="J30" s="45"/>
      <c r="K30" s="40">
        <f>K28-Analysis!E2176</f>
        <v>176.00200000000001</v>
      </c>
      <c r="L30" s="40">
        <f>L28-Analysis!F2176</f>
        <v>193.97968593955338</v>
      </c>
      <c r="M30" s="40">
        <f>M28-Analysis!G2176</f>
        <v>229.24999999999997</v>
      </c>
      <c r="N30" s="40">
        <f>N28-Analysis!H2176</f>
        <v>193.96999999999989</v>
      </c>
      <c r="O30" s="40">
        <f ca="1">O28-Analysis!I2176</f>
        <v>136.49958891740317</v>
      </c>
      <c r="P30" s="40">
        <f ca="1">P28-Analysis!J2176</f>
        <v>249.28592382841885</v>
      </c>
      <c r="Q30" s="40">
        <f ca="1">Q28-Analysis!K2176</f>
        <v>257.98596357140332</v>
      </c>
      <c r="R30" s="40">
        <f ca="1">R28-Analysis!L2176</f>
        <v>289.83455645966967</v>
      </c>
      <c r="S30" s="40">
        <f ca="1">S28-Analysis!M2176</f>
        <v>319.52134514141017</v>
      </c>
      <c r="T30" s="40">
        <f ca="1">T28-Analysis!N2176</f>
        <v>341.15946230694612</v>
      </c>
      <c r="U30" s="40">
        <f ca="1">U28-Analysis!O2176</f>
        <v>363.81774567686466</v>
      </c>
      <c r="Z30" t="s">
        <v>6315</v>
      </c>
      <c r="AC30" s="486">
        <f ca="1">O32-N32</f>
        <v>-180.53531234716502</v>
      </c>
      <c r="AD30" s="486">
        <f ca="1">P32-O32</f>
        <v>362.59728175037037</v>
      </c>
    </row>
    <row r="31" spans="1:30" ht="15.75">
      <c r="A31" s="22"/>
      <c r="B31" s="40"/>
      <c r="C31" s="40"/>
      <c r="D31" s="40"/>
      <c r="E31" s="40"/>
      <c r="F31" s="45"/>
      <c r="G31" s="45"/>
      <c r="H31" s="45"/>
      <c r="I31" s="40"/>
      <c r="J31" s="40"/>
      <c r="K31" s="40"/>
      <c r="L31" s="40"/>
      <c r="M31" s="40"/>
      <c r="N31" s="1525"/>
      <c r="O31" s="1525"/>
      <c r="P31" s="1525"/>
      <c r="Q31" s="40"/>
      <c r="R31" s="40"/>
      <c r="S31" s="40"/>
      <c r="T31" s="40"/>
      <c r="U31" s="40"/>
      <c r="V31" s="1523"/>
    </row>
    <row r="32" spans="1:30" ht="15.75" outlineLevel="1">
      <c r="A32" s="22" t="s">
        <v>7424</v>
      </c>
      <c r="B32" s="40"/>
      <c r="C32" s="40"/>
      <c r="D32" s="40"/>
      <c r="E32" s="40"/>
      <c r="F32" s="45"/>
      <c r="G32" s="40"/>
      <c r="H32" s="40">
        <f>Master!I211</f>
        <v>-112.5462392108509</v>
      </c>
      <c r="I32" s="40">
        <f>Master!J211</f>
        <v>19.400000000000091</v>
      </c>
      <c r="J32" s="40">
        <f>Master!K211</f>
        <v>223.30000000000018</v>
      </c>
      <c r="K32" s="40">
        <f>Master!L211</f>
        <v>145.80000000000024</v>
      </c>
      <c r="L32" s="40">
        <f>Master!M211</f>
        <v>199.80000000000007</v>
      </c>
      <c r="M32" s="40">
        <f>Master!N211</f>
        <v>187.70000000000016</v>
      </c>
      <c r="N32" s="40">
        <f>Master!O211</f>
        <v>197</v>
      </c>
      <c r="O32" s="40">
        <f ca="1">Master!P211</f>
        <v>16.464687652834982</v>
      </c>
      <c r="P32" s="40">
        <f ca="1">Master!Q211</f>
        <v>379.06196940320535</v>
      </c>
      <c r="Q32" s="40">
        <f ca="1">Master!R211</f>
        <v>336.57756864285136</v>
      </c>
      <c r="R32" s="40">
        <f ca="1">Master!S211</f>
        <v>330.14487183102835</v>
      </c>
      <c r="S32" s="40">
        <f ca="1">Master!T211</f>
        <v>368.39546922415855</v>
      </c>
      <c r="T32" s="40">
        <f ca="1">Master!U211</f>
        <v>445.7785000646885</v>
      </c>
      <c r="U32" s="40">
        <f ca="1">Master!V211</f>
        <v>476.87736382832384</v>
      </c>
      <c r="V32" s="1523"/>
      <c r="X32">
        <v>200</v>
      </c>
      <c r="Y32">
        <v>400</v>
      </c>
      <c r="Z32">
        <v>400</v>
      </c>
    </row>
    <row r="33" spans="1:23" ht="15.75" outlineLevel="1">
      <c r="A33" s="22" t="s">
        <v>2799</v>
      </c>
      <c r="B33" s="40"/>
      <c r="C33" s="40"/>
      <c r="D33" s="40"/>
      <c r="E33" s="40"/>
      <c r="F33" s="45"/>
      <c r="G33" s="40"/>
      <c r="H33" s="45">
        <f t="shared" ref="H33:Q33" si="27">H32/H5</f>
        <v>-0.65734798116053594</v>
      </c>
      <c r="I33" s="45">
        <f t="shared" si="27"/>
        <v>0.10719238823535962</v>
      </c>
      <c r="J33" s="45">
        <f t="shared" si="27"/>
        <v>1.2274356324619082</v>
      </c>
      <c r="K33" s="45">
        <f t="shared" si="27"/>
        <v>0.62836702150584078</v>
      </c>
      <c r="L33" s="45">
        <f t="shared" si="27"/>
        <v>0.86971662386279569</v>
      </c>
      <c r="M33" s="45">
        <f t="shared" si="27"/>
        <v>0.87099767981438592</v>
      </c>
      <c r="N33" s="45">
        <f t="shared" si="27"/>
        <v>0.96238397655105035</v>
      </c>
      <c r="O33" s="45">
        <f t="shared" ca="1" si="27"/>
        <v>8.9142867638521833E-2</v>
      </c>
      <c r="P33" s="45">
        <f t="shared" ca="1" si="27"/>
        <v>2.233718146159136</v>
      </c>
      <c r="Q33" s="45">
        <f t="shared" ca="1" si="27"/>
        <v>2.1075614817961892</v>
      </c>
      <c r="R33" s="45">
        <f t="shared" ref="R33:T33" ca="1" si="28">R32/R5</f>
        <v>2.2053765653375308</v>
      </c>
      <c r="S33" s="45">
        <f t="shared" ca="1" si="28"/>
        <v>2.6370470237949792</v>
      </c>
      <c r="T33" s="45">
        <f t="shared" ca="1" si="28"/>
        <v>3.4369969164586625</v>
      </c>
      <c r="U33" s="45">
        <f t="shared" ref="U33" ca="1" si="29">U32/U5</f>
        <v>3.9839378765941844</v>
      </c>
    </row>
    <row r="34" spans="1:23" ht="15.75" outlineLevel="1">
      <c r="A34" s="19" t="s">
        <v>6061</v>
      </c>
      <c r="B34" s="41"/>
      <c r="C34" s="41"/>
      <c r="D34" s="41"/>
      <c r="E34" s="41"/>
      <c r="F34" s="49"/>
      <c r="G34" s="41"/>
      <c r="H34" s="49"/>
      <c r="I34" s="49"/>
      <c r="J34" s="49"/>
      <c r="K34" s="49"/>
      <c r="L34" s="1265">
        <f t="shared" ref="L34:Q34" si="30">L32/L8</f>
        <v>0.12789950350923468</v>
      </c>
      <c r="M34" s="1265">
        <f t="shared" si="30"/>
        <v>0.12808789409035087</v>
      </c>
      <c r="N34" s="1265">
        <f t="shared" si="30"/>
        <v>0.14152705537515448</v>
      </c>
      <c r="O34" s="1265">
        <f ca="1">O32/O8</f>
        <v>1.3109245240959095E-2</v>
      </c>
      <c r="P34" s="1265">
        <f t="shared" ca="1" si="30"/>
        <v>0.32848796267046121</v>
      </c>
      <c r="Q34" s="1265">
        <f t="shared" ca="1" si="30"/>
        <v>0.30993551202885133</v>
      </c>
      <c r="R34" s="1265">
        <f t="shared" ref="R34:T34" ca="1" si="31">R32/R8</f>
        <v>0.32432008313787219</v>
      </c>
      <c r="S34" s="1265">
        <f t="shared" ca="1" si="31"/>
        <v>0.38780103291102636</v>
      </c>
      <c r="T34" s="1265">
        <f t="shared" ca="1" si="31"/>
        <v>0.50544072300862686</v>
      </c>
      <c r="U34" s="1265">
        <f t="shared" ref="U34" ca="1" si="32">U32/U8</f>
        <v>0.58587321714620355</v>
      </c>
    </row>
    <row r="35" spans="1:23" ht="15.75" outlineLevel="1">
      <c r="A35" s="19"/>
      <c r="B35" s="41"/>
      <c r="C35" s="41"/>
      <c r="D35" s="41"/>
      <c r="E35" s="41"/>
      <c r="F35" s="49"/>
      <c r="G35" s="41"/>
      <c r="H35" s="49"/>
      <c r="I35" s="49"/>
      <c r="J35" s="49"/>
      <c r="K35" s="49"/>
      <c r="L35" s="1265"/>
      <c r="M35" s="1265"/>
      <c r="N35" s="1265"/>
      <c r="O35" s="1265"/>
      <c r="P35" s="1265"/>
      <c r="Q35" s="1265"/>
      <c r="R35" s="1265"/>
      <c r="S35" s="1265"/>
      <c r="T35" s="1265"/>
      <c r="U35" s="1265"/>
    </row>
    <row r="36" spans="1:23" ht="15.75" outlineLevel="1">
      <c r="A36" s="22" t="s">
        <v>7425</v>
      </c>
      <c r="B36" s="41"/>
      <c r="C36" s="41"/>
      <c r="D36" s="41"/>
      <c r="E36" s="41"/>
      <c r="F36" s="49"/>
      <c r="G36" s="41"/>
      <c r="H36" s="49"/>
      <c r="I36" s="49"/>
      <c r="J36" s="49"/>
      <c r="K36" s="49"/>
      <c r="L36" s="40">
        <f t="shared" ref="L36:Q36" si="33">L32-L27</f>
        <v>247.40000000000006</v>
      </c>
      <c r="M36" s="40">
        <f t="shared" si="33"/>
        <v>189.60000000000016</v>
      </c>
      <c r="N36" s="40">
        <f t="shared" si="33"/>
        <v>272.39999999999998</v>
      </c>
      <c r="O36" s="40">
        <f t="shared" ca="1" si="33"/>
        <v>51.464687652834982</v>
      </c>
      <c r="P36" s="40">
        <f t="shared" ca="1" si="33"/>
        <v>429.06196940320535</v>
      </c>
      <c r="Q36" s="40">
        <f t="shared" ca="1" si="33"/>
        <v>386.57756864285136</v>
      </c>
      <c r="R36" s="40">
        <f t="shared" ref="R36:T36" ca="1" si="34">R32-R27</f>
        <v>380.14487183102835</v>
      </c>
      <c r="S36" s="40">
        <f t="shared" ca="1" si="34"/>
        <v>418.39546922415855</v>
      </c>
      <c r="T36" s="40">
        <f t="shared" ca="1" si="34"/>
        <v>495.7785000646885</v>
      </c>
      <c r="U36" s="40">
        <f t="shared" ref="U36" ca="1" si="35">U32-U27</f>
        <v>526.87736382832384</v>
      </c>
    </row>
    <row r="37" spans="1:23" ht="16.5" outlineLevel="1" thickBot="1">
      <c r="A37" s="22" t="s">
        <v>6061</v>
      </c>
      <c r="B37" s="41"/>
      <c r="C37" s="41"/>
      <c r="D37" s="41"/>
      <c r="E37" s="41"/>
      <c r="F37" s="49"/>
      <c r="G37" s="41"/>
      <c r="H37" s="49"/>
      <c r="I37" s="49"/>
      <c r="J37" s="49"/>
      <c r="K37" s="49"/>
      <c r="L37" s="40"/>
      <c r="M37" s="1265">
        <f>M36/M8</f>
        <v>0.1293844684045313</v>
      </c>
      <c r="N37" s="1265">
        <f>N36/N8</f>
        <v>0.19569527859995978</v>
      </c>
      <c r="O37" s="1265">
        <f ca="1">O36/O8</f>
        <v>4.0976374767377137E-2</v>
      </c>
      <c r="P37" s="1265">
        <f t="shared" ref="P37:Q37" ca="1" si="36">P36/P8</f>
        <v>0.3718170208700522</v>
      </c>
      <c r="Q37" s="1265">
        <f t="shared" ca="1" si="36"/>
        <v>0.35597772352835411</v>
      </c>
      <c r="R37" s="1265">
        <f t="shared" ref="R37:T37" ca="1" si="37">R36/R8</f>
        <v>0.37343792666806985</v>
      </c>
      <c r="S37" s="1265">
        <f t="shared" ca="1" si="37"/>
        <v>0.44043482801818873</v>
      </c>
      <c r="T37" s="1265">
        <f t="shared" ca="1" si="37"/>
        <v>0.56213263647409017</v>
      </c>
      <c r="U37" s="1265">
        <f t="shared" ref="U37" ca="1" si="38">U36/U8</f>
        <v>0.64730129715013496</v>
      </c>
    </row>
    <row r="38" spans="1:23" ht="16.5" outlineLevel="1" thickBot="1">
      <c r="A38" s="22"/>
      <c r="B38" s="41"/>
      <c r="C38" s="41"/>
      <c r="D38" s="41"/>
      <c r="E38" s="41"/>
      <c r="F38" s="49"/>
      <c r="G38" s="41"/>
      <c r="H38" s="49"/>
      <c r="I38" s="49"/>
      <c r="J38" s="49"/>
      <c r="K38" s="49"/>
      <c r="L38" s="40"/>
      <c r="M38" s="1524"/>
      <c r="N38" s="1525"/>
      <c r="O38" s="1525"/>
      <c r="P38" s="1525"/>
      <c r="Q38" s="1530">
        <f ca="1">SUM(O36:Q36)</f>
        <v>867.1042256988917</v>
      </c>
      <c r="R38" s="1530">
        <f t="shared" ref="R38:U38" ca="1" si="39">SUM(P36:R36)</f>
        <v>1195.7844098770852</v>
      </c>
      <c r="S38" s="1530">
        <f t="shared" ca="1" si="39"/>
        <v>1185.1179096980381</v>
      </c>
      <c r="T38" s="1530">
        <f t="shared" ca="1" si="39"/>
        <v>1294.3188411198753</v>
      </c>
      <c r="U38" s="1530">
        <f t="shared" ca="1" si="39"/>
        <v>1441.051333117171</v>
      </c>
      <c r="V38" s="1523" t="s">
        <v>7335</v>
      </c>
      <c r="W38" s="1523" t="s">
        <v>7163</v>
      </c>
    </row>
    <row r="39" spans="1:23" ht="15.75" outlineLevel="1">
      <c r="A39" s="22"/>
      <c r="B39" s="41"/>
      <c r="C39" s="41"/>
      <c r="D39" s="41"/>
      <c r="E39" s="41"/>
      <c r="F39" s="49"/>
      <c r="G39" s="41"/>
      <c r="H39" s="49"/>
      <c r="I39" s="49"/>
      <c r="J39" s="49"/>
      <c r="K39" s="49"/>
      <c r="L39" s="40"/>
      <c r="M39" s="1524"/>
      <c r="N39" s="1524"/>
      <c r="O39" s="1524"/>
      <c r="P39" s="1524"/>
      <c r="Q39" s="40"/>
      <c r="R39" s="40"/>
      <c r="S39" s="40"/>
      <c r="T39" s="40"/>
      <c r="U39" s="40"/>
    </row>
    <row r="40" spans="1:23" ht="15.75" outlineLevel="1">
      <c r="A40" s="22" t="s">
        <v>6059</v>
      </c>
      <c r="B40" s="40"/>
      <c r="C40" s="40"/>
      <c r="D40" s="40"/>
      <c r="E40" s="40"/>
      <c r="F40" s="45"/>
      <c r="G40" s="40"/>
      <c r="H40" s="40"/>
      <c r="I40" s="45"/>
      <c r="J40" s="40"/>
      <c r="K40" s="40"/>
      <c r="L40" s="40">
        <f>L32+Master!M14</f>
        <v>81.800000000000068</v>
      </c>
      <c r="M40" s="40">
        <f>M32+Master!N14</f>
        <v>93.700000000000159</v>
      </c>
      <c r="N40" s="40">
        <f>N32+Master!O14</f>
        <v>108</v>
      </c>
      <c r="O40" s="40">
        <f ca="1">O32+Master!P14</f>
        <v>-58.535312347165018</v>
      </c>
      <c r="P40" s="40">
        <f ca="1">P32+Master!Q14</f>
        <v>299.06196940320535</v>
      </c>
      <c r="Q40" s="40">
        <f ca="1">Q32+Master!R14</f>
        <v>256.57756864285136</v>
      </c>
      <c r="R40" s="40">
        <f ca="1">R32+Master!S14</f>
        <v>250.14487183102835</v>
      </c>
      <c r="S40" s="40">
        <f ca="1">S32+Master!T14</f>
        <v>288.39546922415855</v>
      </c>
      <c r="T40" s="40">
        <f ca="1">T32+Master!U14</f>
        <v>365.7785000646885</v>
      </c>
      <c r="U40" s="40">
        <f ca="1">U32+Master!V14</f>
        <v>396.87736382832384</v>
      </c>
    </row>
    <row r="41" spans="1:23" ht="15.75" outlineLevel="1">
      <c r="A41" s="22" t="s">
        <v>6229</v>
      </c>
      <c r="B41" s="40"/>
      <c r="C41" s="40"/>
      <c r="D41" s="40"/>
      <c r="E41" s="40"/>
      <c r="F41" s="45"/>
      <c r="G41" s="40"/>
      <c r="H41" s="40"/>
      <c r="I41" s="45"/>
      <c r="J41" s="40"/>
      <c r="K41" s="40"/>
      <c r="L41" s="40">
        <f t="shared" ref="L41:Q41" si="40">L5+L139</f>
        <v>234.96700000000001</v>
      </c>
      <c r="M41" s="40">
        <f t="shared" si="40"/>
        <v>220.73699999999999</v>
      </c>
      <c r="N41" s="40">
        <f t="shared" ca="1" si="40"/>
        <v>207.62457647278572</v>
      </c>
      <c r="O41" s="40">
        <f t="shared" ca="1" si="40"/>
        <v>189.11792309790445</v>
      </c>
      <c r="P41" s="40">
        <f t="shared" ca="1" si="40"/>
        <v>174.98857862496408</v>
      </c>
      <c r="Q41" s="40">
        <f t="shared" ca="1" si="40"/>
        <v>164.98857862496408</v>
      </c>
      <c r="R41" s="40">
        <f t="shared" ref="R41:T41" ca="1" si="41">R5+R139</f>
        <v>157.28714361999269</v>
      </c>
      <c r="S41" s="40">
        <f t="shared" ca="1" si="41"/>
        <v>150.20497970638235</v>
      </c>
      <c r="T41" s="40">
        <f t="shared" ca="1" si="41"/>
        <v>143.69624239449084</v>
      </c>
      <c r="U41" s="40">
        <f t="shared" ref="U41" ca="1" si="42">U5+U139</f>
        <v>133.69624239449084</v>
      </c>
    </row>
    <row r="42" spans="1:23" ht="15.75" outlineLevel="1">
      <c r="A42" s="22" t="s">
        <v>877</v>
      </c>
      <c r="B42" s="40"/>
      <c r="C42" s="40"/>
      <c r="D42" s="40"/>
      <c r="E42" s="40"/>
      <c r="F42" s="45"/>
      <c r="G42" s="40"/>
      <c r="H42" s="40"/>
      <c r="I42" s="45"/>
      <c r="J42" s="40"/>
      <c r="K42" s="40"/>
      <c r="L42" s="40">
        <f t="shared" ref="L42:Q42" si="43">L41*$B$2</f>
        <v>1597.7755999999999</v>
      </c>
      <c r="M42" s="40">
        <f t="shared" si="43"/>
        <v>1501.0115999999998</v>
      </c>
      <c r="N42" s="40">
        <f t="shared" ca="1" si="43"/>
        <v>1411.8471200149429</v>
      </c>
      <c r="O42" s="40">
        <f t="shared" ca="1" si="43"/>
        <v>1286.0018770657503</v>
      </c>
      <c r="P42" s="40">
        <f t="shared" ca="1" si="43"/>
        <v>1189.9223346497556</v>
      </c>
      <c r="Q42" s="40">
        <f t="shared" ca="1" si="43"/>
        <v>1121.9223346497556</v>
      </c>
      <c r="R42" s="40">
        <f t="shared" ref="R42:T42" ca="1" si="44">R41*$B$2</f>
        <v>1069.5525766159503</v>
      </c>
      <c r="S42" s="40">
        <f t="shared" ca="1" si="44"/>
        <v>1021.3938620033999</v>
      </c>
      <c r="T42" s="40">
        <f t="shared" ca="1" si="44"/>
        <v>977.13444828253762</v>
      </c>
      <c r="U42" s="40">
        <f t="shared" ref="U42" ca="1" si="45">U41*$B$2</f>
        <v>909.13444828253762</v>
      </c>
    </row>
    <row r="43" spans="1:23" ht="15.75" outlineLevel="1">
      <c r="A43" s="19" t="s">
        <v>6058</v>
      </c>
      <c r="B43" s="41"/>
      <c r="C43" s="41"/>
      <c r="D43" s="41"/>
      <c r="E43" s="41"/>
      <c r="F43" s="49"/>
      <c r="G43" s="41"/>
      <c r="H43" s="41"/>
      <c r="I43" s="49"/>
      <c r="J43" s="41"/>
      <c r="K43" s="41"/>
      <c r="L43" s="1265">
        <f t="shared" ref="L43:Q43" si="46">L40/L42</f>
        <v>5.1196175482965234E-2</v>
      </c>
      <c r="M43" s="1265">
        <f t="shared" si="46"/>
        <v>6.2424567538318938E-2</v>
      </c>
      <c r="N43" s="1265">
        <f t="shared" ca="1" si="46"/>
        <v>7.6495534444874558E-2</v>
      </c>
      <c r="O43" s="1265">
        <f t="shared" ca="1" si="46"/>
        <v>-4.551728375445617E-2</v>
      </c>
      <c r="P43" s="1265">
        <f t="shared" ca="1" si="46"/>
        <v>0.25132898231650719</v>
      </c>
      <c r="Q43" s="1265">
        <f t="shared" ca="1" si="46"/>
        <v>0.22869459027478078</v>
      </c>
      <c r="R43" s="1265">
        <f t="shared" ref="R43:T43" ca="1" si="47">R40/R42</f>
        <v>0.2338780507850145</v>
      </c>
      <c r="S43" s="1265">
        <f t="shared" ca="1" si="47"/>
        <v>0.28235480939594543</v>
      </c>
      <c r="T43" s="1265">
        <f t="shared" ca="1" si="47"/>
        <v>0.37433794367561174</v>
      </c>
      <c r="U43" s="1265">
        <f t="shared" ref="U43" ca="1" si="48">U40/U42</f>
        <v>0.43654419275176742</v>
      </c>
    </row>
    <row r="44" spans="1:23" ht="15.75" outlineLevel="1">
      <c r="A44" s="22"/>
      <c r="B44" s="40"/>
      <c r="C44" s="40"/>
      <c r="D44" s="40"/>
      <c r="E44" s="40"/>
      <c r="F44" s="45"/>
      <c r="G44" s="40"/>
      <c r="H44" s="40"/>
      <c r="I44" s="45"/>
      <c r="J44" s="40"/>
      <c r="K44" s="40"/>
      <c r="L44" s="40"/>
      <c r="M44" s="40"/>
      <c r="N44" s="40"/>
      <c r="O44" s="40"/>
      <c r="P44" s="40"/>
      <c r="Q44" s="40"/>
      <c r="R44" s="40"/>
      <c r="S44" s="40"/>
      <c r="T44" s="40"/>
      <c r="U44" s="40"/>
    </row>
    <row r="45" spans="1:23" ht="15.75" outlineLevel="1">
      <c r="A45" s="22" t="s">
        <v>2407</v>
      </c>
      <c r="B45" s="40"/>
      <c r="C45" s="40"/>
      <c r="D45" s="22"/>
      <c r="E45" s="22"/>
      <c r="F45" s="30"/>
      <c r="G45" s="30"/>
      <c r="H45" s="30">
        <f>Master!I16*(1-Master!I394)-Master!I12-Master!I13+Master!I121</f>
        <v>-758.91054575783369</v>
      </c>
      <c r="I45" s="30">
        <f>Master!J16*(1-Master!J394)-Master!J12-Master!J13+Master!J121</f>
        <v>-714.92581325219248</v>
      </c>
      <c r="J45" s="30">
        <f>Master!K16*(1-Master!K394)-Master!K12-Master!K13+Master!K121</f>
        <v>-268.48936170212789</v>
      </c>
      <c r="K45" s="30">
        <f>Master!L16*(1-Master!L394)-Master!L12-Master!L13+Master!L121</f>
        <v>-646.31999999999994</v>
      </c>
      <c r="L45" s="30">
        <f>Master!M16*(1-Master!M394)-Master!M12-Master!M13+Master!M121</f>
        <v>-731.32386333771365</v>
      </c>
      <c r="M45" s="30">
        <f>Master!N16*(1-Master!N394)-Master!N12-Master!N13+Master!N121</f>
        <v>-662.00000000000023</v>
      </c>
      <c r="N45" s="30">
        <f>Master!O16*(1-Master!O394)-Master!O12-Master!O13+Master!O121</f>
        <v>-53.8599999999999</v>
      </c>
      <c r="O45" s="30">
        <f ca="1">Master!P16*(1-Master!P394)-Master!P12-Master!P13+Master!P121</f>
        <v>-832.53853145415462</v>
      </c>
      <c r="P45" s="30">
        <f ca="1">Master!Q16*(1-Master!Q394)-Master!Q12-Master!Q13+Master!Q121</f>
        <v>593.63610644634809</v>
      </c>
      <c r="Q45" s="30">
        <f ca="1">Master!R16*(1-Master!R394)-Master!R12-Master!R13+Master!R121</f>
        <v>708.61522872869887</v>
      </c>
      <c r="R45" s="30">
        <f ca="1">Master!S16*(1-Master!S394)-Master!S12-Master!S13+Master!S121</f>
        <v>779.46056028587645</v>
      </c>
      <c r="S45" s="30">
        <f ca="1">Master!T16*(1-Master!T394)-Master!T12-Master!T13+Master!T121</f>
        <v>838.01401698948803</v>
      </c>
      <c r="T45" s="30">
        <f ca="1">Master!U16*(1-Master!U394)-Master!U12-Master!U13+Master!U121</f>
        <v>868.34217067993814</v>
      </c>
      <c r="U45" s="30">
        <f ca="1">Master!V16*(1-Master!V394)-Master!V12-Master!V13+Master!V121</f>
        <v>898.0338206732639</v>
      </c>
    </row>
    <row r="46" spans="1:23" ht="15.75" outlineLevel="1">
      <c r="A46" s="22"/>
      <c r="B46" s="40"/>
      <c r="C46" s="40"/>
      <c r="D46" s="22"/>
      <c r="E46" s="22"/>
      <c r="F46" s="22"/>
      <c r="G46" s="22"/>
      <c r="H46" s="22"/>
      <c r="I46" s="21"/>
      <c r="J46" s="22"/>
      <c r="K46" s="22"/>
      <c r="L46" s="22"/>
    </row>
    <row r="47" spans="1:23" ht="15.75" outlineLevel="1">
      <c r="A47" s="22" t="s">
        <v>292</v>
      </c>
      <c r="B47" s="40"/>
      <c r="C47" s="40"/>
      <c r="D47" s="40"/>
      <c r="E47" s="40"/>
      <c r="F47" s="40"/>
      <c r="G47" s="40"/>
      <c r="H47" s="40">
        <f t="shared" ref="H47:Q47" si="49">H8</f>
        <v>1164.2454964000001</v>
      </c>
      <c r="I47" s="40">
        <f t="shared" si="49"/>
        <v>1230.6844000000001</v>
      </c>
      <c r="J47" s="40">
        <f t="shared" si="49"/>
        <v>1237.0832</v>
      </c>
      <c r="K47" s="40">
        <f t="shared" si="49"/>
        <v>1577.8039999999999</v>
      </c>
      <c r="L47" s="40">
        <f t="shared" si="49"/>
        <v>1562.164</v>
      </c>
      <c r="M47" s="40">
        <f t="shared" si="49"/>
        <v>1465.3999999999999</v>
      </c>
      <c r="N47" s="40">
        <f t="shared" si="49"/>
        <v>1391.9599999999998</v>
      </c>
      <c r="O47" s="40">
        <f t="shared" si="49"/>
        <v>1255.9599999999998</v>
      </c>
      <c r="P47" s="40">
        <f t="shared" si="49"/>
        <v>1153.9599999999998</v>
      </c>
      <c r="Q47" s="40">
        <f t="shared" si="49"/>
        <v>1085.9599999999998</v>
      </c>
      <c r="R47" s="40">
        <f t="shared" ref="R47:T47" si="50">R8</f>
        <v>1017.9599999999999</v>
      </c>
      <c r="S47" s="40">
        <f t="shared" si="50"/>
        <v>949.95999999999992</v>
      </c>
      <c r="T47" s="40">
        <f t="shared" si="50"/>
        <v>881.95999999999992</v>
      </c>
      <c r="U47" s="40">
        <f t="shared" ref="U47" si="51">U8</f>
        <v>813.95999999999992</v>
      </c>
    </row>
    <row r="48" spans="1:23" ht="15.75" outlineLevel="1">
      <c r="A48" s="22" t="s">
        <v>293</v>
      </c>
      <c r="B48" s="40"/>
      <c r="C48" s="40"/>
      <c r="D48" s="40"/>
      <c r="E48" s="40"/>
      <c r="F48" s="40"/>
      <c r="G48" s="40"/>
      <c r="H48" s="40"/>
      <c r="I48" s="40"/>
      <c r="J48" s="40"/>
      <c r="K48" s="40"/>
      <c r="L48" s="40"/>
      <c r="M48" s="40"/>
      <c r="N48" s="40"/>
      <c r="O48" s="40"/>
      <c r="P48" s="40"/>
      <c r="Q48" s="40"/>
      <c r="R48" s="40"/>
      <c r="S48" s="40"/>
      <c r="T48" s="40"/>
      <c r="U48" s="40"/>
    </row>
    <row r="49" spans="1:32" ht="15.75" outlineLevel="1">
      <c r="A49" s="22" t="s">
        <v>294</v>
      </c>
      <c r="B49" s="40"/>
      <c r="C49" s="40"/>
      <c r="D49" s="40"/>
      <c r="E49" s="40"/>
      <c r="F49" s="40"/>
      <c r="G49" s="40"/>
      <c r="H49" s="40">
        <f t="shared" ref="H49:Q49" si="52">H10+H12</f>
        <v>0</v>
      </c>
      <c r="I49" s="40">
        <f t="shared" si="52"/>
        <v>0</v>
      </c>
      <c r="J49" s="40">
        <f t="shared" si="52"/>
        <v>0</v>
      </c>
      <c r="K49" s="40">
        <f t="shared" si="52"/>
        <v>0</v>
      </c>
      <c r="L49" s="40">
        <f t="shared" si="52"/>
        <v>0</v>
      </c>
      <c r="M49" s="40">
        <f t="shared" si="52"/>
        <v>0</v>
      </c>
      <c r="N49" s="40">
        <f t="shared" si="52"/>
        <v>0</v>
      </c>
      <c r="O49" s="40">
        <f t="shared" si="52"/>
        <v>0</v>
      </c>
      <c r="P49" s="40">
        <f t="shared" si="52"/>
        <v>0</v>
      </c>
      <c r="Q49" s="40">
        <f t="shared" si="52"/>
        <v>0</v>
      </c>
      <c r="R49" s="40">
        <f t="shared" ref="R49:T49" si="53">R10+R12</f>
        <v>0</v>
      </c>
      <c r="S49" s="40">
        <f t="shared" si="53"/>
        <v>0</v>
      </c>
      <c r="T49" s="40">
        <f t="shared" si="53"/>
        <v>0</v>
      </c>
      <c r="U49" s="40">
        <f t="shared" ref="U49" si="54">U10+U12</f>
        <v>0</v>
      </c>
    </row>
    <row r="50" spans="1:32" ht="15.75" outlineLevel="1">
      <c r="A50" s="22" t="s">
        <v>295</v>
      </c>
      <c r="B50" s="40"/>
      <c r="C50" s="40"/>
      <c r="D50" s="40"/>
      <c r="E50" s="40"/>
      <c r="F50" s="40"/>
      <c r="G50" s="40"/>
      <c r="H50" s="40">
        <f t="shared" ref="H50:O50" si="55">SUM(H47:H49)</f>
        <v>1164.2454964000001</v>
      </c>
      <c r="I50" s="40">
        <f t="shared" si="55"/>
        <v>1230.6844000000001</v>
      </c>
      <c r="J50" s="40">
        <f t="shared" si="55"/>
        <v>1237.0832</v>
      </c>
      <c r="K50" s="40">
        <f t="shared" si="55"/>
        <v>1577.8039999999999</v>
      </c>
      <c r="L50" s="40">
        <f t="shared" si="55"/>
        <v>1562.164</v>
      </c>
      <c r="M50" s="40">
        <f t="shared" si="55"/>
        <v>1465.3999999999999</v>
      </c>
      <c r="N50" s="40">
        <f t="shared" si="55"/>
        <v>1391.9599999999998</v>
      </c>
      <c r="O50" s="40">
        <f t="shared" si="55"/>
        <v>1255.9599999999998</v>
      </c>
      <c r="P50" s="40">
        <f>SUM(P47:P49)</f>
        <v>1153.9599999999998</v>
      </c>
      <c r="Q50" s="40">
        <f>SUM(Q47:Q49)</f>
        <v>1085.9599999999998</v>
      </c>
      <c r="R50" s="40">
        <f t="shared" ref="R50:U50" si="56">SUM(R47:R49)</f>
        <v>1017.9599999999999</v>
      </c>
      <c r="S50" s="40">
        <f t="shared" si="56"/>
        <v>949.95999999999992</v>
      </c>
      <c r="T50" s="40">
        <f t="shared" si="56"/>
        <v>881.95999999999992</v>
      </c>
      <c r="U50" s="40">
        <f t="shared" si="56"/>
        <v>813.95999999999992</v>
      </c>
    </row>
    <row r="51" spans="1:32" ht="15.75" outlineLevel="1">
      <c r="A51" s="22"/>
      <c r="B51" s="40"/>
      <c r="C51" s="40"/>
      <c r="D51" s="22"/>
      <c r="E51" s="22"/>
      <c r="F51" s="22"/>
      <c r="G51" s="22"/>
      <c r="H51" s="22"/>
      <c r="I51" s="22"/>
      <c r="J51" s="22"/>
      <c r="K51" s="22"/>
      <c r="L51" s="22"/>
      <c r="M51" s="22"/>
      <c r="N51" s="22"/>
      <c r="O51" s="22"/>
      <c r="P51" s="22"/>
      <c r="Q51" s="22"/>
      <c r="R51" s="22"/>
      <c r="S51" s="22"/>
      <c r="T51" s="22"/>
      <c r="U51" s="22"/>
    </row>
    <row r="52" spans="1:32" ht="15.75" outlineLevel="1">
      <c r="A52" s="22" t="s">
        <v>296</v>
      </c>
      <c r="B52" s="40"/>
      <c r="C52" s="45"/>
      <c r="D52" s="46"/>
      <c r="E52" s="46"/>
      <c r="F52" s="46"/>
      <c r="G52" s="46"/>
      <c r="H52" s="46">
        <f>Master!I33</f>
        <v>0.37621903434964882</v>
      </c>
      <c r="I52" s="46">
        <f>Master!J33</f>
        <v>2.146942155752761</v>
      </c>
      <c r="J52" s="46">
        <f>Master!K33</f>
        <v>1.8561229185438692</v>
      </c>
      <c r="K52" s="46">
        <f>Master!L33</f>
        <v>0.90831348410692969</v>
      </c>
      <c r="L52" s="46">
        <f>Master!M33</f>
        <v>0.80948354601442674</v>
      </c>
      <c r="M52" s="46">
        <f>Master!N33</f>
        <v>0.85394065988365542</v>
      </c>
      <c r="N52" s="46">
        <f>Master!O33</f>
        <v>0.38267491670632986</v>
      </c>
      <c r="O52" s="46">
        <f ca="1">Master!P33</f>
        <v>-0.4594122669069543</v>
      </c>
      <c r="P52" s="46">
        <f ca="1">Master!Q33</f>
        <v>0.96471572401087835</v>
      </c>
      <c r="Q52" s="46">
        <f ca="1">Master!R33</f>
        <v>1.4632579113773188</v>
      </c>
      <c r="R52" s="46">
        <f ca="1">Master!S33</f>
        <v>1.8329720512782832</v>
      </c>
      <c r="S52" s="46">
        <f ca="1">Master!T33</f>
        <v>2.2101001760270131</v>
      </c>
      <c r="T52" s="46">
        <f ca="1">Master!U33</f>
        <v>2.5243926923503195</v>
      </c>
      <c r="U52" s="46">
        <f ca="1">Master!V33</f>
        <v>2.8926782665549573</v>
      </c>
    </row>
    <row r="53" spans="1:32" ht="15.75" outlineLevel="1">
      <c r="A53" s="22" t="s">
        <v>88</v>
      </c>
      <c r="B53" s="40"/>
      <c r="C53" s="45"/>
      <c r="D53" s="46"/>
      <c r="E53" s="46"/>
      <c r="F53" s="46"/>
      <c r="G53" s="46"/>
      <c r="H53" s="46">
        <f>Master!I34</f>
        <v>2.6700000000000002E-2</v>
      </c>
      <c r="I53" s="46">
        <f>Master!J34</f>
        <v>2.6700000000000002E-2</v>
      </c>
      <c r="J53" s="46">
        <f>Master!K34</f>
        <v>2.6700000000000002E-2</v>
      </c>
      <c r="K53" s="46">
        <f>Master!L34</f>
        <v>2.6700000000000002E-2</v>
      </c>
      <c r="L53" s="46">
        <f>Master!M34</f>
        <v>2.6700000000000002E-2</v>
      </c>
      <c r="M53" s="46">
        <f>Master!N34</f>
        <v>2.6700000000000002E-2</v>
      </c>
      <c r="N53" s="46">
        <f>Master!O34</f>
        <v>2.6700000000000002E-2</v>
      </c>
      <c r="O53" s="46">
        <f>Master!P34</f>
        <v>2.6700000000000002E-2</v>
      </c>
      <c r="P53" s="46">
        <f>Master!Q34</f>
        <v>2.6700000000000002E-2</v>
      </c>
      <c r="Q53" s="46">
        <f>Master!R34</f>
        <v>2.6700000000000002E-2</v>
      </c>
      <c r="R53" s="46">
        <f>Master!S34</f>
        <v>2.6700000000000002E-2</v>
      </c>
      <c r="S53" s="46">
        <f>Master!T34</f>
        <v>2.6700000000000002E-2</v>
      </c>
      <c r="T53" s="46">
        <f>Master!U34</f>
        <v>2.6700000000000002E-2</v>
      </c>
      <c r="U53" s="46">
        <f>Master!V34</f>
        <v>2.6700000000000002E-2</v>
      </c>
    </row>
    <row r="54" spans="1:32" ht="15.75">
      <c r="A54" s="22"/>
      <c r="B54" s="40"/>
      <c r="C54" s="40"/>
      <c r="D54" s="21"/>
      <c r="E54" s="21"/>
      <c r="F54" s="21"/>
      <c r="G54" s="21"/>
      <c r="H54" s="21"/>
      <c r="I54" s="21"/>
      <c r="J54" s="21"/>
      <c r="K54" s="21"/>
      <c r="L54" s="21"/>
      <c r="M54" s="21"/>
      <c r="N54" s="21"/>
      <c r="O54" s="21"/>
      <c r="P54" s="21"/>
      <c r="Q54" s="21"/>
      <c r="R54" s="21"/>
      <c r="S54" s="21"/>
      <c r="T54" s="21"/>
      <c r="U54" s="21"/>
    </row>
    <row r="55" spans="1:32" ht="15.75">
      <c r="A55" s="22" t="s">
        <v>297</v>
      </c>
      <c r="B55" s="41"/>
      <c r="C55" s="46"/>
      <c r="D55" s="45"/>
      <c r="E55" s="45"/>
      <c r="F55" s="45"/>
      <c r="G55" s="45"/>
      <c r="H55" s="45">
        <f ca="1">H15/Master!I3</f>
        <v>2.3045374004373773</v>
      </c>
      <c r="I55" s="45">
        <f ca="1">I15/Master!J3</f>
        <v>2.2773082834121641</v>
      </c>
      <c r="J55" s="45">
        <f ca="1">J15/Master!K3</f>
        <v>2.179256575350534</v>
      </c>
      <c r="K55" s="45">
        <f ca="1">K15/Master!L3</f>
        <v>2.7857227273208243</v>
      </c>
      <c r="L55" s="45">
        <f ca="1">L15/Master!M3</f>
        <v>2.2417329344803698</v>
      </c>
      <c r="M55" s="45">
        <f ca="1">M15/Master!N3</f>
        <v>1.8447437161680205</v>
      </c>
      <c r="N55" s="45">
        <f ca="1">N15/Master!O3</f>
        <v>2.1703356151158295</v>
      </c>
      <c r="O55" s="45">
        <f ca="1">O15/Master!P3</f>
        <v>2.1713268331316473</v>
      </c>
      <c r="P55" s="45">
        <f ca="1">P15/Master!Q3</f>
        <v>2.0305730061781793</v>
      </c>
      <c r="Q55" s="45">
        <f ca="1">Q15/Master!R3</f>
        <v>1.9193339174112747</v>
      </c>
      <c r="R55" s="45">
        <f ca="1">R15/Master!S3</f>
        <v>1.810897350209882</v>
      </c>
      <c r="S55" s="45">
        <f ca="1">S15/Master!T3</f>
        <v>1.7074893552623296</v>
      </c>
      <c r="T55" s="45">
        <f ca="1">T15/Master!U3</f>
        <v>1.6114456486855926</v>
      </c>
      <c r="U55" s="45">
        <f ca="1">U15/Master!V3</f>
        <v>1.5146653342481948</v>
      </c>
      <c r="V55" s="45"/>
    </row>
    <row r="56" spans="1:32" ht="15.75">
      <c r="A56" s="22" t="s">
        <v>298</v>
      </c>
      <c r="B56" s="40"/>
      <c r="C56" s="45"/>
      <c r="D56" s="45"/>
      <c r="E56" s="45"/>
      <c r="F56" s="45"/>
      <c r="G56" s="45"/>
      <c r="H56" s="45">
        <f ca="1">H15/H23</f>
        <v>6.0455004532861949</v>
      </c>
      <c r="I56" s="45">
        <f ca="1">I15/I23</f>
        <v>5.9549870351262921</v>
      </c>
      <c r="J56" s="45">
        <f ca="1">J15/J23</f>
        <v>5.5940279472539327</v>
      </c>
      <c r="K56" s="45">
        <f ca="1">K15/(K23+Analysis!E2172*0.75)</f>
        <v>6.1874053554270105</v>
      </c>
      <c r="L56" s="45">
        <f t="shared" ref="L56:Q56" ca="1" si="57">L15/L23</f>
        <v>5.9064300380747223</v>
      </c>
      <c r="M56" s="45">
        <f t="shared" ca="1" si="57"/>
        <v>5.1702217656280665</v>
      </c>
      <c r="N56" s="45">
        <f t="shared" ca="1" si="57"/>
        <v>5.7537617497349665</v>
      </c>
      <c r="O56" s="45">
        <f t="shared" ca="1" si="57"/>
        <v>6.1451717007259399</v>
      </c>
      <c r="P56" s="45">
        <f t="shared" ca="1" si="57"/>
        <v>5.1750541393539047</v>
      </c>
      <c r="Q56" s="45">
        <f t="shared" ca="1" si="57"/>
        <v>4.7794066699335032</v>
      </c>
      <c r="R56" s="45">
        <f t="shared" ref="R56:T56" ca="1" si="58">R15/R23</f>
        <v>4.4646952599971925</v>
      </c>
      <c r="S56" s="45">
        <f t="shared" ca="1" si="58"/>
        <v>4.1771659968937147</v>
      </c>
      <c r="T56" s="45">
        <f t="shared" ca="1" si="58"/>
        <v>3.9396447541917827</v>
      </c>
      <c r="U56" s="45">
        <f t="shared" ref="U56" ca="1" si="59">U15/U23</f>
        <v>3.7005100134526727</v>
      </c>
      <c r="V56" s="45"/>
      <c r="W56" s="46"/>
    </row>
    <row r="57" spans="1:32" ht="15.75">
      <c r="A57" s="22" t="s">
        <v>299</v>
      </c>
      <c r="B57" s="30"/>
      <c r="C57" s="45"/>
      <c r="D57" s="45"/>
      <c r="E57" s="45"/>
      <c r="F57" s="45"/>
      <c r="G57" s="45"/>
      <c r="H57" s="45">
        <f ca="1">H15/Master!I150</f>
        <v>13.995006413376171</v>
      </c>
      <c r="I57" s="45">
        <f ca="1">I15/Master!J150</f>
        <v>13.119490021143006</v>
      </c>
      <c r="J57" s="45">
        <f ca="1">J15/Master!K150</f>
        <v>10.812680398432191</v>
      </c>
      <c r="K57" s="45">
        <f ca="1">K15/Master!L150</f>
        <v>12.281318581221198</v>
      </c>
      <c r="L57" s="45">
        <f ca="1">L15/Master!M150</f>
        <v>11.158193268021117</v>
      </c>
      <c r="M57" s="45">
        <f ca="1">M15/Master!N150</f>
        <v>9.8507718679705203</v>
      </c>
      <c r="N57" s="45">
        <f ca="1">N15/Master!O150</f>
        <v>10.086124439424147</v>
      </c>
      <c r="O57" s="45">
        <f ca="1">O15/Master!P150</f>
        <v>11.226699132478437</v>
      </c>
      <c r="P57" s="45">
        <f ca="1">P15/Master!Q150</f>
        <v>8.627675009165829</v>
      </c>
      <c r="Q57" s="45">
        <f ca="1">Q15/Master!R150</f>
        <v>7.8333978469885546</v>
      </c>
      <c r="R57" s="45">
        <f ca="1">R15/Master!S150</f>
        <v>7.2665812134941108</v>
      </c>
      <c r="S57" s="45">
        <f ca="1">S15/Master!T150</f>
        <v>6.7614976213811939</v>
      </c>
      <c r="T57" s="45">
        <f ca="1">T15/Master!U150</f>
        <v>6.3704066104333563</v>
      </c>
      <c r="U57" s="45">
        <f ca="1">U15/Master!V150</f>
        <v>5.9775034752792298</v>
      </c>
    </row>
    <row r="58" spans="1:32" ht="15.75">
      <c r="A58" s="22" t="s">
        <v>300</v>
      </c>
      <c r="B58" s="47"/>
      <c r="C58" s="45"/>
      <c r="D58" s="45"/>
      <c r="E58" s="45"/>
      <c r="F58" s="45"/>
      <c r="G58" s="45"/>
      <c r="H58" s="45">
        <f ca="1">H57/(1-Master!I394)</f>
        <v>60.803701333398671</v>
      </c>
      <c r="I58" s="45">
        <f ca="1">I57/(1-Master!J394)</f>
        <v>20.76874711379298</v>
      </c>
      <c r="J58" s="45">
        <f ca="1">J57/(1-Master!K394)</f>
        <v>27.041620886354263</v>
      </c>
      <c r="K58" s="45">
        <f ca="1">K57/(1-Master!L394)</f>
        <v>61.406592906106006</v>
      </c>
      <c r="L58" s="45">
        <f ca="1">L57/(1-Master!M394)</f>
        <v>18.596988780035197</v>
      </c>
      <c r="M58" s="45">
        <f ca="1">M57/(1-Master!N394)</f>
        <v>17.910494305400945</v>
      </c>
      <c r="N58" s="45">
        <f ca="1">N57/(1-Master!O394)</f>
        <v>16.810207399040245</v>
      </c>
      <c r="O58" s="45">
        <f ca="1">O57/(1-Master!P394)</f>
        <v>18.711165220797398</v>
      </c>
      <c r="P58" s="45">
        <f ca="1">P57/(1-Master!Q394)</f>
        <v>12.687757366420337</v>
      </c>
      <c r="Q58" s="45">
        <f ca="1">Q57/(1-Master!R394)</f>
        <v>11.519702716159641</v>
      </c>
      <c r="R58" s="45">
        <f ca="1">R57/(1-Master!S394)</f>
        <v>10.686148843373694</v>
      </c>
      <c r="S58" s="45">
        <f ca="1">S57/(1-Master!T394)</f>
        <v>9.9433788549723392</v>
      </c>
      <c r="T58" s="45">
        <f ca="1">T57/(1-Master!U394)</f>
        <v>9.3682450153431418</v>
      </c>
      <c r="U58" s="45">
        <f ca="1">U57/(1-Master!V394)</f>
        <v>8.7904462871752962</v>
      </c>
    </row>
    <row r="59" spans="1:32" ht="15.75" hidden="1" outlineLevel="1">
      <c r="A59" s="22" t="s">
        <v>2408</v>
      </c>
      <c r="B59" s="47"/>
      <c r="C59" s="45"/>
      <c r="D59" s="45"/>
      <c r="E59" s="45"/>
      <c r="F59" s="45"/>
      <c r="G59" s="45"/>
      <c r="H59" s="45">
        <f ca="1">H15/Master!I16</f>
        <v>-55.692747100320432</v>
      </c>
      <c r="I59" s="45">
        <f ca="1">I15/Master!J16</f>
        <v>-356.00819246182061</v>
      </c>
      <c r="J59" s="45">
        <f ca="1">J15/Master!K16</f>
        <v>25.05173336069576</v>
      </c>
      <c r="K59" s="45">
        <f ca="1">K15/Master!L16</f>
        <v>114.75105107618037</v>
      </c>
      <c r="L59" s="45">
        <f ca="1">L15/Master!M16</f>
        <v>151.72008337875295</v>
      </c>
      <c r="M59" s="45">
        <f ca="1">M15/Master!N16</f>
        <v>94.49405312073435</v>
      </c>
      <c r="N59" s="45">
        <f ca="1">N15/Master!O16</f>
        <v>18.922692294837688</v>
      </c>
      <c r="O59" s="45">
        <f ca="1">O15/Master!P16</f>
        <v>-359.52437913406521</v>
      </c>
      <c r="P59" s="45">
        <f ca="1">P15/Master!Q16</f>
        <v>9.8268766852842742</v>
      </c>
      <c r="Q59" s="45">
        <f ca="1">Q15/Master!R16</f>
        <v>8.5137154613467434</v>
      </c>
      <c r="R59" s="45">
        <f ca="1">R15/Master!S16</f>
        <v>7.7020164117422825</v>
      </c>
      <c r="S59" s="45">
        <f ca="1">S15/Master!T16</f>
        <v>7.0425707686706467</v>
      </c>
      <c r="T59" s="45">
        <f ca="1">T15/Master!U16</f>
        <v>6.5952498492255494</v>
      </c>
      <c r="U59" s="45">
        <f ca="1">U15/Master!V16</f>
        <v>6.1568534487786204</v>
      </c>
    </row>
    <row r="60" spans="1:32" ht="15.75" hidden="1" outlineLevel="1">
      <c r="A60" s="22" t="s">
        <v>2409</v>
      </c>
      <c r="B60" s="47"/>
      <c r="C60" s="45"/>
      <c r="D60" s="45"/>
      <c r="E60" s="45"/>
      <c r="F60" s="45"/>
      <c r="G60" s="45"/>
      <c r="H60" s="45">
        <f t="shared" ref="H60:Q60" ca="1" si="60">H15/H45</f>
        <v>-10.890352909030248</v>
      </c>
      <c r="I60" s="45">
        <f t="shared" ca="1" si="60"/>
        <v>-11.766041132139229</v>
      </c>
      <c r="J60" s="40">
        <f t="shared" ca="1" si="60"/>
        <v>-31.388219812924003</v>
      </c>
      <c r="K60" s="45">
        <f t="shared" ca="1" si="60"/>
        <v>-16.227636570681558</v>
      </c>
      <c r="L60" s="45">
        <f t="shared" ca="1" si="60"/>
        <v>-14.686796823952518</v>
      </c>
      <c r="M60" s="45">
        <f t="shared" ca="1" si="60"/>
        <v>-13.417584582098211</v>
      </c>
      <c r="N60" s="45">
        <f t="shared" ca="1" si="60"/>
        <v>-181.77870392404449</v>
      </c>
      <c r="O60" s="45">
        <f t="shared" ca="1" si="60"/>
        <v>-11.655718416594086</v>
      </c>
      <c r="P60" s="45">
        <f t="shared" ca="1" si="60"/>
        <v>15.716262623796503</v>
      </c>
      <c r="Q60" s="45">
        <f t="shared" ca="1" si="60"/>
        <v>12.73291380564668</v>
      </c>
      <c r="R60" s="45">
        <f t="shared" ref="R60:T60" ca="1" si="61">R15/R45</f>
        <v>11.146227136980466</v>
      </c>
      <c r="S60" s="45">
        <f t="shared" ca="1" si="61"/>
        <v>9.9780035638948892</v>
      </c>
      <c r="T60" s="45">
        <f t="shared" ca="1" si="61"/>
        <v>9.287397901285102</v>
      </c>
      <c r="U60" s="45">
        <f t="shared" ref="U60" ca="1" si="62">U15/U45</f>
        <v>8.6283311756239662</v>
      </c>
    </row>
    <row r="61" spans="1:32" ht="15.75" collapsed="1">
      <c r="A61" s="22"/>
      <c r="B61" s="47"/>
      <c r="C61" s="47"/>
      <c r="D61" s="22"/>
      <c r="E61" s="22"/>
      <c r="F61" s="22"/>
      <c r="G61" s="22"/>
      <c r="H61" s="22"/>
      <c r="I61" s="22"/>
      <c r="J61" s="22"/>
      <c r="K61" s="22"/>
      <c r="L61" s="22"/>
      <c r="M61" s="22"/>
      <c r="N61" s="22"/>
      <c r="O61" s="22"/>
      <c r="P61" s="22"/>
      <c r="Q61" s="22"/>
      <c r="R61" s="22"/>
      <c r="S61" s="22"/>
      <c r="T61" s="22"/>
      <c r="U61" s="22"/>
    </row>
    <row r="62" spans="1:32" ht="15.75">
      <c r="A62" s="22" t="s">
        <v>301</v>
      </c>
      <c r="B62" s="41"/>
      <c r="C62" s="45"/>
      <c r="D62" s="45"/>
      <c r="E62" s="45"/>
      <c r="F62" s="45"/>
      <c r="G62" s="45"/>
      <c r="H62" s="45">
        <f t="shared" ref="H62:U62" si="63">1/H63</f>
        <v>12.403401179317633</v>
      </c>
      <c r="I62" s="45">
        <f t="shared" si="63"/>
        <v>15.716332603166968</v>
      </c>
      <c r="J62" s="45">
        <f t="shared" si="63"/>
        <v>8.6873413513981639</v>
      </c>
      <c r="K62" s="45">
        <f t="shared" si="63"/>
        <v>8.0499382659360599</v>
      </c>
      <c r="L62" s="45">
        <f t="shared" si="63"/>
        <v>6.4028445400451517</v>
      </c>
      <c r="M62" s="45">
        <f t="shared" si="63"/>
        <v>6.3921483097055614</v>
      </c>
      <c r="N62" s="45">
        <f t="shared" si="63"/>
        <v>7.1761612620508357</v>
      </c>
      <c r="O62" s="45">
        <f t="shared" ca="1" si="63"/>
        <v>9.2011998714515517</v>
      </c>
      <c r="P62" s="45">
        <f t="shared" ca="1" si="63"/>
        <v>4.6290620115167815</v>
      </c>
      <c r="Q62" s="45">
        <f t="shared" ca="1" si="63"/>
        <v>4.209376296937319</v>
      </c>
      <c r="R62" s="45">
        <f t="shared" ca="1" si="63"/>
        <v>3.5122105950180216</v>
      </c>
      <c r="S62" s="45">
        <f t="shared" ca="1" si="63"/>
        <v>2.9730721106584634</v>
      </c>
      <c r="T62" s="45">
        <f t="shared" ca="1" si="63"/>
        <v>2.5851840486443631</v>
      </c>
      <c r="U62" s="45">
        <f t="shared" ca="1" si="63"/>
        <v>2.2372740463378618</v>
      </c>
    </row>
    <row r="63" spans="1:32" ht="15.75">
      <c r="A63" s="22" t="s">
        <v>302</v>
      </c>
      <c r="B63" s="41"/>
      <c r="C63" s="48"/>
      <c r="D63" s="29"/>
      <c r="E63" s="29"/>
      <c r="F63" s="48"/>
      <c r="G63" s="48"/>
      <c r="H63" s="48">
        <f t="shared" ref="H63:Q63" si="64">H28/H50</f>
        <v>8.0623047303144194E-2</v>
      </c>
      <c r="I63" s="48">
        <f t="shared" si="64"/>
        <v>6.3628075661779512E-2</v>
      </c>
      <c r="J63" s="48">
        <f t="shared" si="64"/>
        <v>0.11511001577474071</v>
      </c>
      <c r="K63" s="48">
        <f t="shared" si="64"/>
        <v>0.12422455514119626</v>
      </c>
      <c r="L63" s="48">
        <f t="shared" si="64"/>
        <v>0.15618058407411345</v>
      </c>
      <c r="M63" s="48">
        <f t="shared" si="64"/>
        <v>0.15644192711887539</v>
      </c>
      <c r="N63" s="48">
        <f t="shared" si="64"/>
        <v>0.13935026868588171</v>
      </c>
      <c r="O63" s="48">
        <f t="shared" ca="1" si="64"/>
        <v>0.10868147784754546</v>
      </c>
      <c r="P63" s="48">
        <f t="shared" ca="1" si="64"/>
        <v>0.21602648603800728</v>
      </c>
      <c r="Q63" s="48">
        <f t="shared" ca="1" si="64"/>
        <v>0.23756488597315129</v>
      </c>
      <c r="R63" s="48">
        <f t="shared" ref="R63:T63" ca="1" si="65">R28/R50</f>
        <v>0.28472096787660583</v>
      </c>
      <c r="S63" s="48">
        <f t="shared" ca="1" si="65"/>
        <v>0.33635242025075812</v>
      </c>
      <c r="T63" s="48">
        <f t="shared" ca="1" si="65"/>
        <v>0.38681965430058751</v>
      </c>
      <c r="U63" s="48">
        <f t="shared" ref="U63" ca="1" si="66">U28/U50</f>
        <v>0.44697251176576819</v>
      </c>
    </row>
    <row r="64" spans="1:32" ht="15.75">
      <c r="A64" s="22" t="s">
        <v>303</v>
      </c>
      <c r="B64" s="41"/>
      <c r="C64" s="48"/>
      <c r="D64" s="29"/>
      <c r="E64" s="29"/>
      <c r="F64" s="48"/>
      <c r="G64" s="48"/>
      <c r="H64" s="48">
        <f>Master!I485/H8</f>
        <v>0</v>
      </c>
      <c r="I64" s="48">
        <f>Master!J485/I8</f>
        <v>0</v>
      </c>
      <c r="J64" s="48">
        <f>Master!K485/J8</f>
        <v>0</v>
      </c>
      <c r="K64" s="48">
        <f>Master!L485/K8</f>
        <v>0</v>
      </c>
      <c r="L64" s="48">
        <f>Master!M485/L8</f>
        <v>0</v>
      </c>
      <c r="M64" s="48">
        <f>Master!N485/M8</f>
        <v>0</v>
      </c>
      <c r="N64" s="48">
        <f>Master!O485/N8</f>
        <v>0</v>
      </c>
      <c r="O64" s="48">
        <f>Master!P485/O8</f>
        <v>0</v>
      </c>
      <c r="P64" s="48">
        <f>Master!Q485/P8</f>
        <v>0</v>
      </c>
      <c r="Q64" s="48">
        <f>Master!R485/Q8</f>
        <v>0</v>
      </c>
      <c r="R64" s="48">
        <f>Master!S485/R8</f>
        <v>0</v>
      </c>
      <c r="S64" s="48">
        <f>Master!T485/S8</f>
        <v>0</v>
      </c>
      <c r="T64" s="48">
        <f>Master!U485/T8</f>
        <v>0</v>
      </c>
      <c r="U64" s="48">
        <f>Master!V485/U8</f>
        <v>0</v>
      </c>
      <c r="AA64" s="558"/>
      <c r="AB64" s="558"/>
      <c r="AC64" s="558"/>
      <c r="AD64" s="558"/>
      <c r="AE64" s="558"/>
      <c r="AF64" s="558"/>
    </row>
    <row r="65" spans="1:21" ht="15.75">
      <c r="A65" s="22" t="s">
        <v>304</v>
      </c>
      <c r="B65" s="49"/>
      <c r="C65" s="45"/>
      <c r="D65" s="45"/>
      <c r="E65" s="45"/>
      <c r="F65" s="45"/>
      <c r="G65" s="45"/>
      <c r="H65" s="45">
        <f>H8/Master!I466</f>
        <v>17.994520809891853</v>
      </c>
      <c r="I65" s="45">
        <f>I8/Master!J466</f>
        <v>3.2551608602960007</v>
      </c>
      <c r="J65" s="45">
        <f>J8/Master!K466</f>
        <v>3.6730498812351544</v>
      </c>
      <c r="K65" s="45">
        <f>K8/Master!L466</f>
        <v>8.3925744680851064</v>
      </c>
      <c r="L65" s="45">
        <f>L8/Master!M466</f>
        <v>8.358575815954886</v>
      </c>
      <c r="M65" s="45">
        <f>M8/Master!N466</f>
        <v>7.7085744345081544</v>
      </c>
      <c r="N65" s="45">
        <f>N8/Master!O466</f>
        <v>17.312935323383101</v>
      </c>
      <c r="O65" s="45">
        <f ca="1">O8/Master!P466</f>
        <v>-14.041298415736426</v>
      </c>
      <c r="P65" s="45">
        <f ca="1">P8/Master!Q466</f>
        <v>6.7503715904804595</v>
      </c>
      <c r="Q65" s="45">
        <f ca="1">Q8/Master!R466</f>
        <v>4.5060846789837772</v>
      </c>
      <c r="R65" s="45">
        <f ca="1">R8/Master!S466</f>
        <v>3.5899182290482021</v>
      </c>
      <c r="S65" s="45">
        <f ca="1">S8/Master!T466</f>
        <v>2.9704676602608906</v>
      </c>
      <c r="T65" s="45">
        <f ca="1">T8/Master!U466</f>
        <v>2.5937276917036529</v>
      </c>
      <c r="U65" s="45">
        <f ca="1">U8/Master!V466</f>
        <v>2.2565059187470546</v>
      </c>
    </row>
    <row r="66" spans="1:21" ht="15.75">
      <c r="A66" s="22" t="s">
        <v>3947</v>
      </c>
      <c r="B66" s="49"/>
      <c r="C66" s="45"/>
      <c r="D66" s="45"/>
      <c r="E66" s="45"/>
      <c r="F66" s="45"/>
      <c r="G66" s="45"/>
      <c r="H66" s="45"/>
      <c r="I66" s="21"/>
      <c r="J66" s="21"/>
      <c r="K66" s="21">
        <f>-Master!L215/J8</f>
        <v>8.6251272347728919E-3</v>
      </c>
      <c r="L66" s="21">
        <f>-Master!M215/K8</f>
        <v>4.1196498424392387E-2</v>
      </c>
      <c r="M66" s="21">
        <f>-Master!N215/L8</f>
        <v>0.11736923908117201</v>
      </c>
      <c r="N66" s="21">
        <f>-Master!O215/M8</f>
        <v>6.8308994131295223E-2</v>
      </c>
      <c r="O66" s="21">
        <f>-Master!P215/N8</f>
        <v>0.10776171729072676</v>
      </c>
      <c r="P66" s="21">
        <f>-Master!Q215/O8</f>
        <v>0.10748749960189817</v>
      </c>
      <c r="Q66" s="21">
        <f>-Master!R215/P8</f>
        <v>8.4231689140004867E-2</v>
      </c>
      <c r="R66" s="21">
        <f>-Master!S215/Q8</f>
        <v>9.6666543887436049E-2</v>
      </c>
      <c r="S66" s="21">
        <f>-Master!T215/R8</f>
        <v>0.11137380643640225</v>
      </c>
      <c r="T66" s="21">
        <f>-Master!U215/S8</f>
        <v>0.1288938548991537</v>
      </c>
      <c r="U66" s="21">
        <f>-Master!V215/T8</f>
        <v>0.14993823632817821</v>
      </c>
    </row>
    <row r="67" spans="1:21" ht="15.75" outlineLevel="1">
      <c r="A67" s="22"/>
      <c r="B67" s="49"/>
      <c r="C67" s="45"/>
      <c r="D67" s="45"/>
      <c r="E67" s="45"/>
      <c r="F67" s="45"/>
      <c r="G67" s="45"/>
      <c r="H67" s="45"/>
      <c r="I67" s="23"/>
      <c r="J67" s="45"/>
      <c r="K67" s="45"/>
      <c r="L67" s="45"/>
      <c r="M67" s="45"/>
      <c r="N67" s="45"/>
      <c r="O67" s="45"/>
      <c r="P67" s="45"/>
      <c r="Q67" s="45"/>
      <c r="R67" s="45"/>
      <c r="S67" s="45"/>
      <c r="T67" s="45"/>
      <c r="U67" s="45"/>
    </row>
    <row r="68" spans="1:21" ht="15.75" outlineLevel="1">
      <c r="A68" s="22" t="s">
        <v>305</v>
      </c>
      <c r="B68" s="49"/>
      <c r="C68" s="45"/>
      <c r="D68" s="45"/>
      <c r="E68" s="45"/>
      <c r="F68" s="45"/>
      <c r="G68" s="45"/>
      <c r="H68" s="45">
        <f>H13/H23</f>
        <v>4.3779533318703834</v>
      </c>
      <c r="I68" s="45">
        <f>I13/I23</f>
        <v>4.2942951047739673</v>
      </c>
      <c r="J68" s="45">
        <f>J13/J23</f>
        <v>4.0226352472618654</v>
      </c>
      <c r="K68" s="45">
        <f>K13/(K23+Analysis!E2172*0.75)</f>
        <v>4.5905364651913514</v>
      </c>
      <c r="L68" s="45">
        <f t="shared" ref="L68:Q68" si="67">L13/L23</f>
        <v>4.4163477791613337</v>
      </c>
      <c r="M68" s="45">
        <f t="shared" si="67"/>
        <v>3.6493015133876603</v>
      </c>
      <c r="N68" s="45">
        <f t="shared" si="67"/>
        <v>4.261342266102492</v>
      </c>
      <c r="O68" s="45">
        <f t="shared" ca="1" si="67"/>
        <v>4.6231006068371636</v>
      </c>
      <c r="P68" s="45">
        <f t="shared" ca="1" si="67"/>
        <v>3.8984493221580476</v>
      </c>
      <c r="Q68" s="45">
        <f t="shared" ca="1" si="67"/>
        <v>3.5963055794199832</v>
      </c>
      <c r="R68" s="45">
        <f t="shared" ref="R68:T68" ca="1" si="68">R13/R23</f>
        <v>3.3518669271100223</v>
      </c>
      <c r="S68" s="45">
        <f t="shared" ca="1" si="68"/>
        <v>3.1293404766958282</v>
      </c>
      <c r="T68" s="45">
        <f t="shared" ca="1" si="68"/>
        <v>2.9482162859518839</v>
      </c>
      <c r="U68" s="45">
        <f t="shared" ref="U68" ca="1" si="69">U13/U23</f>
        <v>2.7637450969205788</v>
      </c>
    </row>
    <row r="69" spans="1:21" ht="15.75" outlineLevel="1">
      <c r="A69" s="22"/>
      <c r="B69" s="49"/>
      <c r="C69" s="45"/>
      <c r="D69" s="45"/>
      <c r="E69" s="45"/>
      <c r="F69" s="45"/>
      <c r="G69" s="45"/>
      <c r="H69" s="45"/>
      <c r="I69" s="45"/>
      <c r="J69" s="45"/>
      <c r="K69" s="45"/>
      <c r="L69" s="45"/>
      <c r="M69" s="45"/>
      <c r="N69" s="45"/>
      <c r="O69" s="45"/>
      <c r="P69" s="45"/>
      <c r="Q69" s="45"/>
      <c r="R69" s="45"/>
      <c r="S69" s="45"/>
      <c r="T69" s="45"/>
      <c r="U69" s="45"/>
    </row>
    <row r="70" spans="1:21" ht="15.75" outlineLevel="1">
      <c r="A70" s="22" t="s">
        <v>2535</v>
      </c>
      <c r="B70" s="49"/>
      <c r="C70" s="45"/>
      <c r="D70" s="45"/>
      <c r="E70" s="45"/>
      <c r="F70" s="45"/>
      <c r="G70" s="45"/>
      <c r="H70" s="45"/>
      <c r="I70" s="944">
        <f>1611.8-112.2-27</f>
        <v>1472.6</v>
      </c>
      <c r="J70" s="944">
        <f>1585-122</f>
        <v>1463</v>
      </c>
      <c r="K70" s="944">
        <f>1494-74.3</f>
        <v>1419.7</v>
      </c>
      <c r="L70" s="944">
        <f>1522-142</f>
        <v>1380</v>
      </c>
      <c r="M70" s="40"/>
      <c r="N70" s="40"/>
      <c r="O70" s="40"/>
      <c r="P70" s="40"/>
      <c r="Q70" s="40"/>
      <c r="R70" s="40"/>
      <c r="S70" s="40"/>
      <c r="T70" s="40"/>
      <c r="U70" s="40"/>
    </row>
    <row r="71" spans="1:21" ht="15.75" outlineLevel="1">
      <c r="A71" s="22" t="s">
        <v>2536</v>
      </c>
      <c r="B71" s="49"/>
      <c r="C71" s="45"/>
      <c r="D71" s="45"/>
      <c r="E71" s="45"/>
      <c r="F71" s="45"/>
      <c r="G71" s="45"/>
      <c r="H71" s="45"/>
      <c r="I71" s="944">
        <f>942.5-19.8</f>
        <v>922.7</v>
      </c>
      <c r="J71" s="944">
        <f>2200-1306</f>
        <v>894</v>
      </c>
      <c r="K71" s="944">
        <f>2300.5-79.4</f>
        <v>2221.1</v>
      </c>
      <c r="L71" s="944">
        <f>2607-158</f>
        <v>2449</v>
      </c>
      <c r="M71" s="944">
        <f>2623-72.3</f>
        <v>2550.6999999999998</v>
      </c>
      <c r="N71" s="944">
        <f>2707-128</f>
        <v>2579</v>
      </c>
      <c r="O71" s="40">
        <f t="shared" ref="O71:Q72" si="70">N71</f>
        <v>2579</v>
      </c>
      <c r="P71" s="40">
        <f t="shared" si="70"/>
        <v>2579</v>
      </c>
      <c r="Q71" s="40">
        <f t="shared" si="70"/>
        <v>2579</v>
      </c>
      <c r="R71" s="40">
        <f t="shared" ref="R71:R73" si="71">Q71</f>
        <v>2579</v>
      </c>
      <c r="S71" s="40">
        <f t="shared" ref="S71:S73" si="72">R71</f>
        <v>2579</v>
      </c>
      <c r="T71" s="40">
        <f t="shared" ref="T71:U73" si="73">S71</f>
        <v>2579</v>
      </c>
      <c r="U71" s="40">
        <f t="shared" si="73"/>
        <v>2579</v>
      </c>
    </row>
    <row r="72" spans="1:21" ht="15.75" outlineLevel="1">
      <c r="A72" s="22" t="s">
        <v>2163</v>
      </c>
      <c r="B72" s="49"/>
      <c r="C72" s="45"/>
      <c r="D72" s="45"/>
      <c r="E72" s="45"/>
      <c r="F72" s="45"/>
      <c r="G72" s="45"/>
      <c r="H72" s="45"/>
      <c r="I72" s="944">
        <f>4043-416.2</f>
        <v>3626.8</v>
      </c>
      <c r="J72" s="944">
        <f>4199.6-452</f>
        <v>3747.6000000000004</v>
      </c>
      <c r="K72" s="944">
        <f>4194-503.5</f>
        <v>3690.5</v>
      </c>
      <c r="L72" s="944">
        <f>4265-563</f>
        <v>3702</v>
      </c>
      <c r="M72" s="944">
        <f>4519.6-536.2</f>
        <v>3983.4000000000005</v>
      </c>
      <c r="N72" s="944">
        <f>4870-738</f>
        <v>4132</v>
      </c>
      <c r="O72" s="40">
        <f t="shared" si="70"/>
        <v>4132</v>
      </c>
      <c r="P72" s="40">
        <f t="shared" si="70"/>
        <v>4132</v>
      </c>
      <c r="Q72" s="40">
        <f t="shared" si="70"/>
        <v>4132</v>
      </c>
      <c r="R72" s="40">
        <f t="shared" si="71"/>
        <v>4132</v>
      </c>
      <c r="S72" s="40">
        <f t="shared" si="72"/>
        <v>4132</v>
      </c>
      <c r="T72" s="40">
        <f t="shared" si="73"/>
        <v>4132</v>
      </c>
      <c r="U72" s="40">
        <f t="shared" si="73"/>
        <v>4132</v>
      </c>
    </row>
    <row r="73" spans="1:21" ht="15.75" outlineLevel="1">
      <c r="A73" s="22" t="s">
        <v>4074</v>
      </c>
      <c r="B73" s="49"/>
      <c r="C73" s="45"/>
      <c r="D73" s="45"/>
      <c r="E73" s="45"/>
      <c r="F73" s="45"/>
      <c r="G73" s="45"/>
      <c r="H73" s="45"/>
      <c r="I73" s="944">
        <f>124.7-8.5</f>
        <v>116.2</v>
      </c>
      <c r="J73" s="944">
        <f>124.8-13.5</f>
        <v>111.3</v>
      </c>
      <c r="K73" s="944">
        <f>119.6-7.6</f>
        <v>112</v>
      </c>
      <c r="L73" s="944">
        <f>409-24</f>
        <v>385</v>
      </c>
      <c r="M73" s="944">
        <f>428.3-16</f>
        <v>412.3</v>
      </c>
      <c r="N73" s="944">
        <f>451-31</f>
        <v>420</v>
      </c>
      <c r="O73" s="40">
        <f>N73</f>
        <v>420</v>
      </c>
      <c r="P73" s="40">
        <f>O73</f>
        <v>420</v>
      </c>
      <c r="Q73" s="40">
        <f>P73</f>
        <v>420</v>
      </c>
      <c r="R73" s="40">
        <f t="shared" si="71"/>
        <v>420</v>
      </c>
      <c r="S73" s="40">
        <f t="shared" si="72"/>
        <v>420</v>
      </c>
      <c r="T73" s="40">
        <f t="shared" si="73"/>
        <v>420</v>
      </c>
      <c r="U73" s="40">
        <f t="shared" si="73"/>
        <v>420</v>
      </c>
    </row>
    <row r="74" spans="1:21" ht="15.75" outlineLevel="1">
      <c r="A74" s="22" t="s">
        <v>4076</v>
      </c>
      <c r="B74" s="49"/>
      <c r="C74" s="45"/>
      <c r="D74" s="45"/>
      <c r="E74" s="45"/>
      <c r="F74" s="45"/>
      <c r="G74" s="45"/>
      <c r="H74" s="45"/>
      <c r="I74" s="689">
        <f>1.6-74.3</f>
        <v>-72.7</v>
      </c>
      <c r="J74" s="689">
        <f>406.7-562.7</f>
        <v>-156.00000000000006</v>
      </c>
      <c r="K74" s="43">
        <f t="shared" ref="K74:P74" si="74">K75-K70-K71-K72-K73</f>
        <v>338.10000000000036</v>
      </c>
      <c r="L74" s="43">
        <f t="shared" si="74"/>
        <v>115.10000000000036</v>
      </c>
      <c r="M74" s="43">
        <f t="shared" si="74"/>
        <v>-676.90000000000032</v>
      </c>
      <c r="N74" s="43">
        <f t="shared" si="74"/>
        <v>120.10000000000036</v>
      </c>
      <c r="O74" s="43">
        <f t="shared" ca="1" si="74"/>
        <v>169.33370024536725</v>
      </c>
      <c r="P74" s="43">
        <f t="shared" ca="1" si="74"/>
        <v>-102.76004147019648</v>
      </c>
      <c r="Q74" s="43">
        <f t="shared" ref="Q74:T74" ca="1" si="75">Q75-Q70-Q71-Q72-Q73</f>
        <v>-341.76436457788895</v>
      </c>
      <c r="R74" s="43">
        <f t="shared" ca="1" si="75"/>
        <v>-608.45654408458358</v>
      </c>
      <c r="S74" s="43">
        <f t="shared" ca="1" si="75"/>
        <v>-866.79414523403284</v>
      </c>
      <c r="T74" s="43">
        <f t="shared" ca="1" si="75"/>
        <v>-1095.8617397788066</v>
      </c>
      <c r="U74" s="43">
        <f t="shared" ref="U74" ca="1" si="76">U75-U70-U71-U72-U73</f>
        <v>-1343.9677816691901</v>
      </c>
    </row>
    <row r="75" spans="1:21" ht="15.75" outlineLevel="1">
      <c r="A75" s="22" t="s">
        <v>2537</v>
      </c>
      <c r="B75" s="49"/>
      <c r="C75" s="45"/>
      <c r="D75" s="45"/>
      <c r="E75" s="45"/>
      <c r="F75" s="45"/>
      <c r="G75" s="40"/>
      <c r="H75" s="40"/>
      <c r="I75" s="40">
        <f>SUM(I70:I74)</f>
        <v>6065.6</v>
      </c>
      <c r="J75" s="40">
        <f>SUM(J70:J74)</f>
        <v>6059.9000000000005</v>
      </c>
      <c r="K75" s="40">
        <f t="shared" ref="K75:Q75" si="77">K13</f>
        <v>7781.4</v>
      </c>
      <c r="L75" s="40">
        <f t="shared" si="77"/>
        <v>8031.1</v>
      </c>
      <c r="M75" s="40">
        <f t="shared" si="77"/>
        <v>6269.5</v>
      </c>
      <c r="N75" s="40">
        <f t="shared" si="77"/>
        <v>7251.1</v>
      </c>
      <c r="O75" s="40">
        <f t="shared" ca="1" si="77"/>
        <v>7300.3337002453673</v>
      </c>
      <c r="P75" s="40">
        <f t="shared" ca="1" si="77"/>
        <v>7028.2399585298035</v>
      </c>
      <c r="Q75" s="40">
        <f t="shared" ca="1" si="77"/>
        <v>6789.235635422111</v>
      </c>
      <c r="R75" s="40">
        <f t="shared" ref="R75:T75" ca="1" si="78">R13</f>
        <v>6522.5434559154164</v>
      </c>
      <c r="S75" s="40">
        <f t="shared" ca="1" si="78"/>
        <v>6264.2058547659653</v>
      </c>
      <c r="T75" s="40">
        <f t="shared" ca="1" si="78"/>
        <v>6035.1382602211888</v>
      </c>
      <c r="U75" s="40">
        <f t="shared" ref="U75" ca="1" si="79">U13</f>
        <v>5787.0322183308062</v>
      </c>
    </row>
    <row r="76" spans="1:21" ht="15.75" outlineLevel="1">
      <c r="A76" s="22"/>
      <c r="B76" s="49"/>
      <c r="C76" s="45"/>
      <c r="D76" s="45"/>
      <c r="E76" s="45"/>
      <c r="F76" s="45"/>
      <c r="G76" s="45"/>
      <c r="H76" s="45"/>
      <c r="I76" s="45"/>
      <c r="J76" s="45"/>
      <c r="K76" s="45"/>
      <c r="L76" s="45"/>
      <c r="M76" s="45"/>
      <c r="N76" s="45"/>
      <c r="O76" s="45"/>
      <c r="P76" s="45"/>
      <c r="Q76" s="45"/>
      <c r="R76" s="45"/>
      <c r="S76" s="45"/>
      <c r="T76" s="45"/>
      <c r="U76" s="45"/>
    </row>
    <row r="77" spans="1:21" ht="15.75" outlineLevel="1">
      <c r="A77" s="22" t="s">
        <v>2538</v>
      </c>
      <c r="B77" s="49"/>
      <c r="C77" s="45"/>
      <c r="D77" s="45"/>
      <c r="E77" s="45"/>
      <c r="F77" s="45"/>
      <c r="G77" s="45"/>
      <c r="H77" s="45"/>
      <c r="I77" s="40">
        <f>I70</f>
        <v>1472.6</v>
      </c>
      <c r="J77" s="40">
        <f>J70</f>
        <v>1463</v>
      </c>
      <c r="K77" s="40">
        <f t="shared" ref="K77:P77" si="80">K70</f>
        <v>1419.7</v>
      </c>
      <c r="L77" s="40">
        <f t="shared" si="80"/>
        <v>1380</v>
      </c>
      <c r="M77" s="40">
        <f t="shared" si="80"/>
        <v>0</v>
      </c>
      <c r="N77" s="40">
        <f t="shared" si="80"/>
        <v>0</v>
      </c>
      <c r="O77" s="40">
        <f t="shared" si="80"/>
        <v>0</v>
      </c>
      <c r="P77" s="40">
        <f t="shared" si="80"/>
        <v>0</v>
      </c>
      <c r="Q77" s="40">
        <f t="shared" ref="Q77:T77" si="81">Q70</f>
        <v>0</v>
      </c>
      <c r="R77" s="40">
        <f t="shared" si="81"/>
        <v>0</v>
      </c>
      <c r="S77" s="40">
        <f t="shared" si="81"/>
        <v>0</v>
      </c>
      <c r="T77" s="40">
        <f t="shared" si="81"/>
        <v>0</v>
      </c>
      <c r="U77" s="40">
        <f t="shared" ref="U77" si="82">U70</f>
        <v>0</v>
      </c>
    </row>
    <row r="78" spans="1:21" ht="15.75" outlineLevel="1">
      <c r="A78" s="22" t="s">
        <v>2539</v>
      </c>
      <c r="B78" s="49"/>
      <c r="C78" s="45"/>
      <c r="D78" s="45"/>
      <c r="E78" s="45"/>
      <c r="F78" s="45"/>
      <c r="G78" s="45"/>
      <c r="H78" s="45"/>
      <c r="I78" s="40">
        <f>I71</f>
        <v>922.7</v>
      </c>
      <c r="J78" s="40">
        <f>J71</f>
        <v>894</v>
      </c>
      <c r="K78" s="40">
        <f t="shared" ref="K78:P78" si="83">K71</f>
        <v>2221.1</v>
      </c>
      <c r="L78" s="40">
        <f t="shared" si="83"/>
        <v>2449</v>
      </c>
      <c r="M78" s="40">
        <f>M71</f>
        <v>2550.6999999999998</v>
      </c>
      <c r="N78" s="40">
        <f t="shared" si="83"/>
        <v>2579</v>
      </c>
      <c r="O78" s="40">
        <f t="shared" si="83"/>
        <v>2579</v>
      </c>
      <c r="P78" s="40">
        <f t="shared" si="83"/>
        <v>2579</v>
      </c>
      <c r="Q78" s="40">
        <f t="shared" ref="Q78:T78" si="84">Q71</f>
        <v>2579</v>
      </c>
      <c r="R78" s="40">
        <f t="shared" si="84"/>
        <v>2579</v>
      </c>
      <c r="S78" s="40">
        <f t="shared" si="84"/>
        <v>2579</v>
      </c>
      <c r="T78" s="40">
        <f t="shared" si="84"/>
        <v>2579</v>
      </c>
      <c r="U78" s="40">
        <f t="shared" ref="U78" si="85">U71</f>
        <v>2579</v>
      </c>
    </row>
    <row r="79" spans="1:21" ht="15.75" outlineLevel="1">
      <c r="A79" s="22" t="s">
        <v>2540</v>
      </c>
      <c r="B79" s="49"/>
      <c r="C79" s="45"/>
      <c r="D79" s="45"/>
      <c r="E79" s="45"/>
      <c r="F79" s="45"/>
      <c r="G79" s="45"/>
      <c r="H79" s="45"/>
      <c r="I79" s="40">
        <f>I72-100</f>
        <v>3526.8</v>
      </c>
      <c r="J79" s="40">
        <f>J72-0</f>
        <v>3747.6000000000004</v>
      </c>
      <c r="K79" s="40">
        <f>K72*0.85</f>
        <v>3136.9249999999997</v>
      </c>
      <c r="L79" s="944">
        <v>3500</v>
      </c>
      <c r="M79" s="40">
        <f>M72-(L72-L79)</f>
        <v>3781.4000000000005</v>
      </c>
      <c r="N79" s="40">
        <f>N72-(M72-M79)</f>
        <v>3930</v>
      </c>
      <c r="O79" s="40">
        <f>O72-(N72-N79)</f>
        <v>3930</v>
      </c>
      <c r="P79" s="40">
        <f>P72*0.85</f>
        <v>3512.2</v>
      </c>
      <c r="Q79" s="40">
        <f>Q72*0.85</f>
        <v>3512.2</v>
      </c>
      <c r="R79" s="40">
        <f t="shared" ref="R79:T79" si="86">R72*0.85</f>
        <v>3512.2</v>
      </c>
      <c r="S79" s="40">
        <f t="shared" si="86"/>
        <v>3512.2</v>
      </c>
      <c r="T79" s="40">
        <f t="shared" si="86"/>
        <v>3512.2</v>
      </c>
      <c r="U79" s="40">
        <f t="shared" ref="U79" si="87">U72*0.85</f>
        <v>3512.2</v>
      </c>
    </row>
    <row r="80" spans="1:21" ht="15.75" outlineLevel="1">
      <c r="A80" s="22" t="s">
        <v>4075</v>
      </c>
      <c r="B80" s="49"/>
      <c r="C80" s="45"/>
      <c r="D80" s="45"/>
      <c r="E80" s="45"/>
      <c r="F80" s="45"/>
      <c r="G80" s="45"/>
      <c r="H80" s="45"/>
      <c r="I80" s="40">
        <f t="shared" ref="I80:P80" si="88">I73*0.8</f>
        <v>92.960000000000008</v>
      </c>
      <c r="J80" s="40">
        <f t="shared" si="88"/>
        <v>89.04</v>
      </c>
      <c r="K80" s="40">
        <f t="shared" si="88"/>
        <v>89.600000000000009</v>
      </c>
      <c r="L80" s="40">
        <f t="shared" si="88"/>
        <v>308</v>
      </c>
      <c r="M80" s="40">
        <f t="shared" si="88"/>
        <v>329.84000000000003</v>
      </c>
      <c r="N80" s="40">
        <f t="shared" si="88"/>
        <v>336</v>
      </c>
      <c r="O80" s="40">
        <f t="shared" si="88"/>
        <v>336</v>
      </c>
      <c r="P80" s="40">
        <f t="shared" si="88"/>
        <v>336</v>
      </c>
      <c r="Q80" s="40">
        <f t="shared" ref="Q80:T80" si="89">Q73*0.8</f>
        <v>336</v>
      </c>
      <c r="R80" s="40">
        <f t="shared" si="89"/>
        <v>336</v>
      </c>
      <c r="S80" s="40">
        <f t="shared" si="89"/>
        <v>336</v>
      </c>
      <c r="T80" s="40">
        <f t="shared" si="89"/>
        <v>336</v>
      </c>
      <c r="U80" s="40">
        <f t="shared" ref="U80" si="90">U73*0.8</f>
        <v>336</v>
      </c>
    </row>
    <row r="81" spans="1:23" ht="15.75" outlineLevel="1">
      <c r="A81" s="22" t="s">
        <v>4298</v>
      </c>
      <c r="B81" s="49"/>
      <c r="C81" s="45"/>
      <c r="D81" s="45"/>
      <c r="E81" s="45"/>
      <c r="F81" s="45"/>
      <c r="G81" s="45"/>
      <c r="H81" s="45"/>
      <c r="I81" s="43">
        <f>I74</f>
        <v>-72.7</v>
      </c>
      <c r="J81" s="43">
        <f t="shared" ref="J81:P81" si="91">J74</f>
        <v>-156.00000000000006</v>
      </c>
      <c r="K81" s="43">
        <f t="shared" si="91"/>
        <v>338.10000000000036</v>
      </c>
      <c r="L81" s="43">
        <f t="shared" si="91"/>
        <v>115.10000000000036</v>
      </c>
      <c r="M81" s="43">
        <f t="shared" si="91"/>
        <v>-676.90000000000032</v>
      </c>
      <c r="N81" s="43">
        <f t="shared" si="91"/>
        <v>120.10000000000036</v>
      </c>
      <c r="O81" s="43">
        <f t="shared" ca="1" si="91"/>
        <v>169.33370024536725</v>
      </c>
      <c r="P81" s="43">
        <f t="shared" ca="1" si="91"/>
        <v>-102.76004147019648</v>
      </c>
      <c r="Q81" s="43">
        <f t="shared" ref="Q81:T81" ca="1" si="92">Q74</f>
        <v>-341.76436457788895</v>
      </c>
      <c r="R81" s="43">
        <f t="shared" ca="1" si="92"/>
        <v>-608.45654408458358</v>
      </c>
      <c r="S81" s="43">
        <f t="shared" ca="1" si="92"/>
        <v>-866.79414523403284</v>
      </c>
      <c r="T81" s="43">
        <f t="shared" ca="1" si="92"/>
        <v>-1095.8617397788066</v>
      </c>
      <c r="U81" s="43">
        <f t="shared" ref="U81" ca="1" si="93">U74</f>
        <v>-1343.9677816691901</v>
      </c>
    </row>
    <row r="82" spans="1:23" ht="15.75" outlineLevel="1">
      <c r="A82" s="22" t="s">
        <v>2541</v>
      </c>
      <c r="B82" s="49"/>
      <c r="C82" s="45"/>
      <c r="D82" s="45"/>
      <c r="E82" s="45"/>
      <c r="F82" s="45"/>
      <c r="G82" s="45"/>
      <c r="H82" s="45"/>
      <c r="I82" s="40">
        <f>SUM(I77:I81)-0.6*300</f>
        <v>5762.3600000000006</v>
      </c>
      <c r="J82" s="40">
        <f>SUM(J77:J81)</f>
        <v>6037.64</v>
      </c>
      <c r="K82" s="40">
        <f t="shared" ref="K82:P82" si="94">SUM(K77:K81)</f>
        <v>7205.4250000000011</v>
      </c>
      <c r="L82" s="40">
        <f t="shared" si="94"/>
        <v>7752.1</v>
      </c>
      <c r="M82" s="40">
        <f t="shared" si="94"/>
        <v>5985.04</v>
      </c>
      <c r="N82" s="40">
        <f t="shared" si="94"/>
        <v>6965.1</v>
      </c>
      <c r="O82" s="40">
        <f t="shared" ca="1" si="94"/>
        <v>7014.3337002453673</v>
      </c>
      <c r="P82" s="40">
        <f t="shared" ca="1" si="94"/>
        <v>6324.4399585298033</v>
      </c>
      <c r="Q82" s="40">
        <f t="shared" ref="Q82:T82" ca="1" si="95">SUM(Q77:Q81)</f>
        <v>6085.4356354221109</v>
      </c>
      <c r="R82" s="40">
        <f t="shared" ca="1" si="95"/>
        <v>5818.7434559154162</v>
      </c>
      <c r="S82" s="40">
        <f t="shared" ca="1" si="95"/>
        <v>5560.405854765967</v>
      </c>
      <c r="T82" s="40">
        <f t="shared" ca="1" si="95"/>
        <v>5331.3382602211932</v>
      </c>
      <c r="U82" s="40">
        <f t="shared" ref="U82" ca="1" si="96">SUM(U77:U81)</f>
        <v>5083.2322183308097</v>
      </c>
    </row>
    <row r="83" spans="1:23" ht="15.75">
      <c r="A83" s="22"/>
      <c r="B83" s="49"/>
      <c r="C83" s="45"/>
      <c r="D83" s="45"/>
      <c r="E83" s="45"/>
      <c r="F83" s="45"/>
      <c r="G83" s="45"/>
      <c r="H83" s="45"/>
      <c r="I83" s="45"/>
      <c r="L83" s="45"/>
      <c r="M83" s="45"/>
      <c r="N83" s="45"/>
      <c r="O83" s="45"/>
      <c r="P83" s="45"/>
      <c r="Q83" s="45"/>
      <c r="R83" s="45"/>
      <c r="S83" s="45"/>
      <c r="T83" s="45"/>
      <c r="U83" s="45"/>
    </row>
    <row r="84" spans="1:23" ht="15.75">
      <c r="A84" s="22" t="s">
        <v>282</v>
      </c>
      <c r="B84" s="49"/>
      <c r="C84" s="45"/>
      <c r="D84" s="45"/>
      <c r="E84" s="45"/>
      <c r="F84" s="40"/>
      <c r="G84" s="40"/>
      <c r="H84" s="40"/>
      <c r="I84" s="40">
        <f>Master!J84</f>
        <v>1244.6558613715995</v>
      </c>
      <c r="J84" s="40">
        <f>Master!K84</f>
        <v>1328.2097159999998</v>
      </c>
      <c r="K84" s="40">
        <f>Master!L84+10/12*'Puerto Rico'!H73</f>
        <v>1601.1351066666668</v>
      </c>
      <c r="L84" s="40">
        <f>Master!M84+0.5*Analysis!I2280</f>
        <v>1687.1845060877336</v>
      </c>
      <c r="M84" s="40">
        <f>Master!N84</f>
        <v>1550.9752100000001</v>
      </c>
      <c r="N84" s="40">
        <f>Master!O84</f>
        <v>1506.91075</v>
      </c>
      <c r="O84" s="40">
        <f>Master!P84</f>
        <v>1368.1546169601884</v>
      </c>
      <c r="P84" s="40">
        <f>Master!Q84</f>
        <v>1578.5005985688013</v>
      </c>
      <c r="Q84" s="40">
        <f>Master!R84</f>
        <v>1653.8220337248219</v>
      </c>
      <c r="R84" s="40">
        <f>Master!S84</f>
        <v>1706.818440271647</v>
      </c>
      <c r="S84" s="40">
        <f>Master!T84</f>
        <v>1757.6417896069775</v>
      </c>
      <c r="T84" s="40">
        <f>Master!U84</f>
        <v>1797.8187007181364</v>
      </c>
      <c r="U84" s="40">
        <f>Master!V84</f>
        <v>1839.4619914327895</v>
      </c>
    </row>
    <row r="85" spans="1:23" ht="15.75">
      <c r="A85" s="22" t="s">
        <v>2853</v>
      </c>
      <c r="B85" s="49"/>
      <c r="C85" s="45"/>
      <c r="D85" s="23"/>
      <c r="E85" s="23"/>
      <c r="F85" s="45"/>
      <c r="G85" s="45"/>
      <c r="H85" s="45"/>
      <c r="I85" s="45">
        <f>I82/I84</f>
        <v>4.6296813270536745</v>
      </c>
      <c r="J85" s="45">
        <f t="shared" ref="J85:O85" si="97">J82/J84</f>
        <v>4.545697812076539</v>
      </c>
      <c r="K85" s="45">
        <f t="shared" si="97"/>
        <v>4.5001979970326556</v>
      </c>
      <c r="L85" s="45">
        <f t="shared" si="97"/>
        <v>4.594696058450463</v>
      </c>
      <c r="M85" s="45">
        <f t="shared" si="97"/>
        <v>3.8588882410312668</v>
      </c>
      <c r="N85" s="45">
        <f t="shared" si="97"/>
        <v>4.6221051910340414</v>
      </c>
      <c r="O85" s="45">
        <f t="shared" ca="1" si="97"/>
        <v>5.1268574569664125</v>
      </c>
      <c r="P85" s="45">
        <f ca="1">P82/P84</f>
        <v>4.0066123283475861</v>
      </c>
      <c r="Q85" s="45">
        <f ca="1">Q82/Q84</f>
        <v>3.6796193975697515</v>
      </c>
      <c r="R85" s="45">
        <f t="shared" ref="R85:U85" ca="1" si="98">R82/R84</f>
        <v>3.4091168214642327</v>
      </c>
      <c r="S85" s="45">
        <f t="shared" ca="1" si="98"/>
        <v>3.1635603384289794</v>
      </c>
      <c r="T85" s="45">
        <f t="shared" ca="1" si="98"/>
        <v>2.9654482168260889</v>
      </c>
      <c r="U85" s="45">
        <f t="shared" ca="1" si="98"/>
        <v>2.7634342226182071</v>
      </c>
    </row>
    <row r="86" spans="1:23" ht="15.75">
      <c r="A86" s="22"/>
      <c r="B86" s="49"/>
      <c r="C86" s="45"/>
      <c r="D86" s="23"/>
      <c r="E86" s="23"/>
      <c r="F86" s="45"/>
      <c r="G86" s="45"/>
      <c r="H86" s="45"/>
      <c r="I86" s="45"/>
      <c r="J86" s="45"/>
      <c r="K86" s="45"/>
      <c r="L86" s="45"/>
      <c r="M86" s="45"/>
      <c r="N86" s="45"/>
      <c r="O86" s="45"/>
      <c r="P86" s="45"/>
      <c r="Q86" s="45"/>
      <c r="R86" s="45"/>
      <c r="S86" s="45"/>
      <c r="T86" s="45"/>
      <c r="U86" s="45"/>
    </row>
    <row r="87" spans="1:23" ht="15.75">
      <c r="A87" s="22" t="s">
        <v>4691</v>
      </c>
      <c r="B87" s="49"/>
      <c r="C87" s="45"/>
      <c r="D87" s="23"/>
      <c r="E87" s="23"/>
      <c r="F87" s="45"/>
      <c r="G87" s="45"/>
      <c r="H87" s="45"/>
      <c r="I87" s="40">
        <f>Master!J71</f>
        <v>135.80000000000001</v>
      </c>
      <c r="J87" s="40">
        <f>Master!K71</f>
        <v>203.20000000000002</v>
      </c>
      <c r="K87" s="40">
        <f>Master!L71+0.5*Analysis!E2172</f>
        <v>416.96399999999994</v>
      </c>
      <c r="L87" s="40">
        <f>Master!M71</f>
        <v>585.90000000000009</v>
      </c>
      <c r="M87" s="40">
        <f>Master!N71</f>
        <v>544.79999999999995</v>
      </c>
      <c r="N87" s="40">
        <f>Master!O71</f>
        <v>485.5</v>
      </c>
      <c r="O87" s="40">
        <f>Master!P71</f>
        <v>323.91267200000004</v>
      </c>
      <c r="P87" s="40">
        <f>Master!Q71</f>
        <v>481.47579900720001</v>
      </c>
      <c r="Q87" s="40">
        <f>Master!R71</f>
        <v>516.62807306073091</v>
      </c>
      <c r="R87" s="40">
        <f>Master!S71</f>
        <v>535.47001665344442</v>
      </c>
      <c r="S87" s="40">
        <f>Master!T71</f>
        <v>553.38226646477506</v>
      </c>
      <c r="T87" s="40">
        <f>Master!U71</f>
        <v>559.40300859698652</v>
      </c>
      <c r="U87" s="40">
        <f>Master!V71</f>
        <v>565.55641141247179</v>
      </c>
    </row>
    <row r="88" spans="1:23" ht="15.75">
      <c r="A88" s="22" t="s">
        <v>4692</v>
      </c>
      <c r="B88" s="49"/>
      <c r="C88" s="45"/>
      <c r="D88" s="23"/>
      <c r="E88" s="23"/>
      <c r="F88" s="45"/>
      <c r="G88" s="45"/>
      <c r="H88" s="45"/>
      <c r="I88" s="45">
        <f t="shared" ref="I88:P88" si="99">I78/I87</f>
        <v>6.7945508100147274</v>
      </c>
      <c r="J88" s="45">
        <f t="shared" si="99"/>
        <v>4.3996062992125982</v>
      </c>
      <c r="K88" s="45">
        <f t="shared" si="99"/>
        <v>5.3268387678552589</v>
      </c>
      <c r="L88" s="45">
        <f t="shared" si="99"/>
        <v>4.1798941798941796</v>
      </c>
      <c r="M88" s="45">
        <f t="shared" si="99"/>
        <v>4.6819016152716593</v>
      </c>
      <c r="N88" s="45">
        <f t="shared" si="99"/>
        <v>5.3120494335736357</v>
      </c>
      <c r="O88" s="45">
        <f t="shared" si="99"/>
        <v>7.9620225540296232</v>
      </c>
      <c r="P88" s="45">
        <f t="shared" si="99"/>
        <v>5.3564478325138696</v>
      </c>
      <c r="Q88" s="45">
        <f t="shared" ref="Q88:T88" si="100">Q78/Q87</f>
        <v>4.9919857910950807</v>
      </c>
      <c r="R88" s="45">
        <f t="shared" si="100"/>
        <v>4.8163294298308506</v>
      </c>
      <c r="S88" s="45">
        <f t="shared" si="100"/>
        <v>4.6604312358537845</v>
      </c>
      <c r="T88" s="45">
        <f t="shared" si="100"/>
        <v>4.610271951286558</v>
      </c>
      <c r="U88" s="45">
        <f t="shared" ref="U88" si="101">U78/U87</f>
        <v>4.5601109773629336</v>
      </c>
    </row>
    <row r="89" spans="1:23" ht="15.75">
      <c r="A89" s="23"/>
      <c r="B89" s="23"/>
      <c r="C89" s="23"/>
      <c r="D89" s="23"/>
      <c r="E89" s="23"/>
      <c r="F89" s="23"/>
      <c r="G89" s="23"/>
      <c r="H89" s="23"/>
      <c r="I89" s="23"/>
      <c r="J89" s="23"/>
      <c r="K89" s="23"/>
      <c r="L89" s="23"/>
      <c r="M89" s="23"/>
      <c r="N89" s="23"/>
      <c r="O89" s="23"/>
      <c r="P89" s="23"/>
      <c r="Q89" s="23"/>
      <c r="R89" s="23"/>
      <c r="S89" s="23"/>
      <c r="T89" s="23"/>
      <c r="U89" s="23"/>
    </row>
    <row r="90" spans="1:23" ht="16.5" thickBot="1">
      <c r="A90" s="23" t="s">
        <v>2085</v>
      </c>
      <c r="B90" s="23"/>
      <c r="C90" s="23"/>
      <c r="D90" s="23"/>
      <c r="E90" s="23"/>
      <c r="F90" s="40"/>
      <c r="G90" s="40"/>
      <c r="H90" s="40"/>
      <c r="I90" s="40">
        <f t="shared" ref="I90:Q90" ca="1" si="102">I15-I11-I13+I82</f>
        <v>6960.6655318043668</v>
      </c>
      <c r="J90" s="40">
        <f t="shared" ca="1" si="102"/>
        <v>7257.4021091890309</v>
      </c>
      <c r="K90" s="40">
        <f t="shared" ca="1" si="102"/>
        <v>8764.7300750138857</v>
      </c>
      <c r="L90" s="40">
        <f t="shared" ca="1" si="102"/>
        <v>9314.2639999999992</v>
      </c>
      <c r="M90" s="40">
        <f t="shared" ca="1" si="102"/>
        <v>7450.44</v>
      </c>
      <c r="N90" s="40">
        <f t="shared" ca="1" si="102"/>
        <v>8357.06</v>
      </c>
      <c r="O90" s="40">
        <f t="shared" ca="1" si="102"/>
        <v>8270.2937002453655</v>
      </c>
      <c r="P90" s="40">
        <f t="shared" ca="1" si="102"/>
        <v>7478.3999585298034</v>
      </c>
      <c r="Q90" s="40">
        <f t="shared" ca="1" si="102"/>
        <v>7171.3956354221109</v>
      </c>
      <c r="R90" s="40">
        <f t="shared" ref="R90:T90" ca="1" si="103">R15-R11-R13+R82</f>
        <v>6836.7034559154154</v>
      </c>
      <c r="S90" s="40">
        <f t="shared" ca="1" si="103"/>
        <v>6510.3658547659661</v>
      </c>
      <c r="T90" s="40">
        <f t="shared" ca="1" si="103"/>
        <v>6213.2982602211923</v>
      </c>
      <c r="U90" s="40">
        <f t="shared" ref="U90" ca="1" si="104">U15-U11-U13+U82</f>
        <v>5897.1922183308097</v>
      </c>
      <c r="V90" s="45"/>
    </row>
    <row r="91" spans="1:23" ht="16.5" thickBot="1">
      <c r="A91" s="1368" t="s">
        <v>2086</v>
      </c>
      <c r="B91" s="1369"/>
      <c r="C91" s="1369"/>
      <c r="D91" s="1369"/>
      <c r="E91" s="1369"/>
      <c r="F91" s="1370"/>
      <c r="G91" s="1370"/>
      <c r="H91" s="1370"/>
      <c r="I91" s="1370">
        <f ca="1">I90/I84</f>
        <v>5.5924418530707571</v>
      </c>
      <c r="J91" s="1370">
        <f t="shared" ref="J91:O91" ca="1" si="105">J90/J84</f>
        <v>5.4640483515248066</v>
      </c>
      <c r="K91" s="1370">
        <f ca="1">K90/K84</f>
        <v>5.4740727615802482</v>
      </c>
      <c r="L91" s="1370">
        <f t="shared" ca="1" si="105"/>
        <v>5.520595978917588</v>
      </c>
      <c r="M91" s="1370">
        <f t="shared" ca="1" si="105"/>
        <v>4.8037131425201824</v>
      </c>
      <c r="N91" s="1370">
        <f t="shared" ca="1" si="105"/>
        <v>5.5458228033743868</v>
      </c>
      <c r="O91" s="1370">
        <f t="shared" ca="1" si="105"/>
        <v>6.0448531165436403</v>
      </c>
      <c r="P91" s="1370">
        <f ca="1">P90/P84</f>
        <v>4.7376605148647633</v>
      </c>
      <c r="Q91" s="1371">
        <f ca="1">Q90/Q84</f>
        <v>4.3362559508717693</v>
      </c>
      <c r="R91" s="1371">
        <f t="shared" ref="R91:U91" ca="1" si="106">R90/R84</f>
        <v>4.005524720501219</v>
      </c>
      <c r="S91" s="1371">
        <f t="shared" ca="1" si="106"/>
        <v>3.7040345156004371</v>
      </c>
      <c r="T91" s="1371">
        <f t="shared" ca="1" si="106"/>
        <v>3.4560204862366257</v>
      </c>
      <c r="U91" s="1371">
        <f t="shared" ca="1" si="106"/>
        <v>3.2059331727411133</v>
      </c>
      <c r="V91" s="45"/>
      <c r="W91" s="46">
        <f ca="1">((O91*4)+(P91*8))/12</f>
        <v>5.1733913820910553</v>
      </c>
    </row>
    <row r="92" spans="1:23" ht="15.75">
      <c r="I92" s="40"/>
      <c r="J92" s="40"/>
      <c r="K92" s="40"/>
      <c r="M92" s="45"/>
      <c r="N92" s="45"/>
    </row>
    <row r="93" spans="1:23" ht="15.75">
      <c r="A93" s="1262" t="s">
        <v>6218</v>
      </c>
      <c r="I93" s="40"/>
      <c r="J93" s="40"/>
      <c r="K93" s="40"/>
    </row>
    <row r="94" spans="1:23" ht="15.75">
      <c r="A94" s="1262"/>
      <c r="I94" s="40"/>
      <c r="J94" s="40"/>
      <c r="K94" s="40"/>
      <c r="M94" s="45"/>
      <c r="N94" s="45"/>
    </row>
    <row r="95" spans="1:23" ht="15.75">
      <c r="A95" s="12" t="s">
        <v>6224</v>
      </c>
      <c r="I95" s="40"/>
      <c r="J95" s="40"/>
      <c r="K95" s="40"/>
    </row>
    <row r="96" spans="1:23" ht="15.75">
      <c r="A96" t="s">
        <v>6219</v>
      </c>
      <c r="I96" s="40"/>
      <c r="J96" s="40"/>
      <c r="K96" s="40"/>
      <c r="L96" s="1267">
        <v>2.7330000000000001</v>
      </c>
      <c r="M96" s="1268">
        <f t="shared" ref="M96:Q97" si="107">L96</f>
        <v>2.7330000000000001</v>
      </c>
      <c r="N96" s="1268">
        <f t="shared" si="107"/>
        <v>2.7330000000000001</v>
      </c>
      <c r="O96" s="1268">
        <f t="shared" si="107"/>
        <v>2.7330000000000001</v>
      </c>
      <c r="P96" s="1268">
        <f t="shared" si="107"/>
        <v>2.7330000000000001</v>
      </c>
      <c r="Q96" s="1268">
        <f t="shared" si="107"/>
        <v>2.7330000000000001</v>
      </c>
      <c r="R96" s="1268">
        <f t="shared" ref="R96:R97" si="108">Q96</f>
        <v>2.7330000000000001</v>
      </c>
      <c r="S96" s="1268">
        <f t="shared" ref="S96:S97" si="109">R96</f>
        <v>2.7330000000000001</v>
      </c>
      <c r="T96" s="1268">
        <f t="shared" ref="T96:U97" si="110">S96</f>
        <v>2.7330000000000001</v>
      </c>
      <c r="U96" s="1268">
        <f t="shared" si="110"/>
        <v>2.7330000000000001</v>
      </c>
    </row>
    <row r="97" spans="1:21" ht="15.75">
      <c r="A97" t="s">
        <v>6220</v>
      </c>
      <c r="I97" s="40"/>
      <c r="J97" s="40"/>
      <c r="K97" s="40"/>
      <c r="L97" s="1267">
        <v>5.4660000000000002</v>
      </c>
      <c r="M97" s="1268">
        <f t="shared" si="107"/>
        <v>5.4660000000000002</v>
      </c>
      <c r="N97" s="1268">
        <f t="shared" si="107"/>
        <v>5.4660000000000002</v>
      </c>
      <c r="O97" s="1268">
        <f t="shared" si="107"/>
        <v>5.4660000000000002</v>
      </c>
      <c r="P97" s="1268">
        <f t="shared" si="107"/>
        <v>5.4660000000000002</v>
      </c>
      <c r="Q97" s="1268">
        <f t="shared" si="107"/>
        <v>5.4660000000000002</v>
      </c>
      <c r="R97" s="1268">
        <f t="shared" si="108"/>
        <v>5.4660000000000002</v>
      </c>
      <c r="S97" s="1268">
        <f t="shared" si="109"/>
        <v>5.4660000000000002</v>
      </c>
      <c r="T97" s="1268">
        <f t="shared" si="110"/>
        <v>5.4660000000000002</v>
      </c>
      <c r="U97" s="1268">
        <f t="shared" si="110"/>
        <v>5.4660000000000002</v>
      </c>
    </row>
    <row r="98" spans="1:21" ht="15.75">
      <c r="I98" s="40"/>
      <c r="J98" s="40"/>
    </row>
    <row r="99" spans="1:21" ht="15.75">
      <c r="A99" s="12" t="s">
        <v>6222</v>
      </c>
      <c r="I99" s="40"/>
      <c r="J99" s="40"/>
      <c r="K99" s="40"/>
    </row>
    <row r="100" spans="1:21" ht="15.75">
      <c r="A100" t="s">
        <v>6219</v>
      </c>
      <c r="I100" s="40"/>
      <c r="J100" s="40"/>
      <c r="K100" s="1261">
        <v>5.2560000000000002</v>
      </c>
      <c r="L100">
        <v>6.3869999999999996</v>
      </c>
      <c r="M100" s="567">
        <f t="shared" ref="M100:Q101" si="111">L100</f>
        <v>6.3869999999999996</v>
      </c>
      <c r="N100" s="567">
        <f t="shared" si="111"/>
        <v>6.3869999999999996</v>
      </c>
      <c r="O100" s="567">
        <f t="shared" si="111"/>
        <v>6.3869999999999996</v>
      </c>
      <c r="P100" s="567">
        <f t="shared" si="111"/>
        <v>6.3869999999999996</v>
      </c>
      <c r="Q100" s="567">
        <f t="shared" si="111"/>
        <v>6.3869999999999996</v>
      </c>
      <c r="R100" s="567">
        <f t="shared" ref="R100:R101" si="112">Q100</f>
        <v>6.3869999999999996</v>
      </c>
      <c r="S100" s="567">
        <f t="shared" ref="S100:S101" si="113">R100</f>
        <v>6.3869999999999996</v>
      </c>
      <c r="T100" s="567">
        <f t="shared" ref="T100:U101" si="114">S100</f>
        <v>6.3869999999999996</v>
      </c>
      <c r="U100" s="567">
        <f t="shared" si="114"/>
        <v>6.3869999999999996</v>
      </c>
    </row>
    <row r="101" spans="1:21" ht="15.75">
      <c r="A101" t="s">
        <v>6220</v>
      </c>
      <c r="I101" s="40"/>
      <c r="J101" s="40"/>
      <c r="K101" s="1261">
        <v>10.509</v>
      </c>
      <c r="L101">
        <v>12.773</v>
      </c>
      <c r="M101" s="567">
        <f t="shared" si="111"/>
        <v>12.773</v>
      </c>
      <c r="N101" s="567">
        <f t="shared" si="111"/>
        <v>12.773</v>
      </c>
      <c r="O101" s="567">
        <f t="shared" si="111"/>
        <v>12.773</v>
      </c>
      <c r="P101" s="567">
        <f t="shared" si="111"/>
        <v>12.773</v>
      </c>
      <c r="Q101" s="567">
        <f t="shared" si="111"/>
        <v>12.773</v>
      </c>
      <c r="R101" s="567">
        <f t="shared" si="112"/>
        <v>12.773</v>
      </c>
      <c r="S101" s="567">
        <f t="shared" si="113"/>
        <v>12.773</v>
      </c>
      <c r="T101" s="567">
        <f t="shared" si="114"/>
        <v>12.773</v>
      </c>
      <c r="U101" s="567">
        <f t="shared" si="114"/>
        <v>12.773</v>
      </c>
    </row>
    <row r="102" spans="1:21" ht="15.75">
      <c r="I102" s="40"/>
      <c r="J102" s="40"/>
      <c r="K102" s="40"/>
    </row>
    <row r="103" spans="1:21" ht="15.75">
      <c r="A103" s="12" t="s">
        <v>6230</v>
      </c>
      <c r="I103" s="40"/>
      <c r="J103" s="40"/>
      <c r="K103" s="40"/>
    </row>
    <row r="104" spans="1:21" ht="15.75">
      <c r="A104" t="s">
        <v>6219</v>
      </c>
      <c r="I104" s="40"/>
      <c r="J104" s="40"/>
      <c r="K104" s="40"/>
      <c r="M104" s="569">
        <v>0</v>
      </c>
      <c r="N104" s="569">
        <v>0.33300000000000002</v>
      </c>
      <c r="O104" s="569">
        <v>0.33300000000000002</v>
      </c>
      <c r="P104" s="569">
        <f>100%-M104-N104-O104</f>
        <v>0.33400000000000002</v>
      </c>
      <c r="Q104" s="569">
        <f>100%-N104-O104-P104</f>
        <v>0</v>
      </c>
      <c r="R104" s="569">
        <f t="shared" ref="R104:U104" si="115">100%-O104-P104-Q104</f>
        <v>0.33300000000000002</v>
      </c>
      <c r="S104" s="569">
        <f t="shared" si="115"/>
        <v>0.33299999999999991</v>
      </c>
      <c r="T104" s="569">
        <f t="shared" si="115"/>
        <v>0.33400000000000013</v>
      </c>
      <c r="U104" s="569">
        <f t="shared" si="115"/>
        <v>0</v>
      </c>
    </row>
    <row r="105" spans="1:21" ht="15.75">
      <c r="A105" t="s">
        <v>6220</v>
      </c>
      <c r="I105" s="40"/>
      <c r="J105" s="40"/>
      <c r="K105" s="40"/>
      <c r="M105" s="5">
        <f>M104</f>
        <v>0</v>
      </c>
      <c r="N105" s="5">
        <f>N104</f>
        <v>0.33300000000000002</v>
      </c>
      <c r="O105" s="5">
        <f>O104</f>
        <v>0.33300000000000002</v>
      </c>
      <c r="P105" s="5">
        <f>P104</f>
        <v>0.33400000000000002</v>
      </c>
      <c r="Q105" s="5">
        <f>Q104</f>
        <v>0</v>
      </c>
      <c r="R105" s="5">
        <f t="shared" ref="R105:U105" si="116">R104</f>
        <v>0.33300000000000002</v>
      </c>
      <c r="S105" s="5">
        <f t="shared" si="116"/>
        <v>0.33299999999999991</v>
      </c>
      <c r="T105" s="5">
        <f t="shared" si="116"/>
        <v>0.33400000000000013</v>
      </c>
      <c r="U105" s="5">
        <f t="shared" si="116"/>
        <v>0</v>
      </c>
    </row>
    <row r="106" spans="1:21" ht="15.75">
      <c r="I106" s="40"/>
      <c r="J106" s="40"/>
      <c r="K106" s="40"/>
    </row>
    <row r="107" spans="1:21" ht="15.75">
      <c r="A107" s="12" t="s">
        <v>6231</v>
      </c>
      <c r="I107" s="40"/>
      <c r="J107" s="40"/>
      <c r="K107" s="40"/>
    </row>
    <row r="108" spans="1:21" ht="15.75">
      <c r="A108" t="s">
        <v>6219</v>
      </c>
      <c r="I108" s="40"/>
      <c r="J108" s="40"/>
      <c r="K108" s="40"/>
      <c r="M108" s="1266">
        <f t="shared" ref="M108:P109" si="117">(M96+M100)*M104</f>
        <v>0</v>
      </c>
      <c r="N108" s="1266">
        <f t="shared" si="117"/>
        <v>3.0369600000000001</v>
      </c>
      <c r="O108" s="1266">
        <f t="shared" si="117"/>
        <v>3.0369600000000001</v>
      </c>
      <c r="P108" s="1266">
        <f t="shared" si="117"/>
        <v>3.0460799999999999</v>
      </c>
      <c r="Q108" s="1266">
        <f t="shared" ref="Q108:T108" si="118">(Q96+Q100)*Q104</f>
        <v>0</v>
      </c>
      <c r="R108" s="1266">
        <f t="shared" si="118"/>
        <v>3.0369600000000001</v>
      </c>
      <c r="S108" s="1266">
        <f t="shared" si="118"/>
        <v>3.0369599999999988</v>
      </c>
      <c r="T108" s="1266">
        <f t="shared" si="118"/>
        <v>3.0460800000000008</v>
      </c>
      <c r="U108" s="1266">
        <f t="shared" ref="U108" si="119">(U96+U100)*U104</f>
        <v>0</v>
      </c>
    </row>
    <row r="109" spans="1:21" ht="15.75">
      <c r="A109" t="s">
        <v>6220</v>
      </c>
      <c r="I109" s="40"/>
      <c r="J109" s="40"/>
      <c r="K109" s="40"/>
      <c r="M109" s="1266">
        <f t="shared" si="117"/>
        <v>0</v>
      </c>
      <c r="N109" s="1266">
        <f t="shared" si="117"/>
        <v>6.0735870000000007</v>
      </c>
      <c r="O109" s="1266">
        <f t="shared" si="117"/>
        <v>6.0735870000000007</v>
      </c>
      <c r="P109" s="1266">
        <f t="shared" si="117"/>
        <v>6.0918260000000002</v>
      </c>
      <c r="Q109" s="1266">
        <f t="shared" ref="Q109:T109" si="120">(Q97+Q101)*Q105</f>
        <v>0</v>
      </c>
      <c r="R109" s="1266">
        <f t="shared" si="120"/>
        <v>6.0735870000000007</v>
      </c>
      <c r="S109" s="1266">
        <f t="shared" si="120"/>
        <v>6.073586999999999</v>
      </c>
      <c r="T109" s="1266">
        <f t="shared" si="120"/>
        <v>6.0918260000000028</v>
      </c>
      <c r="U109" s="1266">
        <f t="shared" ref="U109" si="121">(U97+U101)*U105</f>
        <v>0</v>
      </c>
    </row>
    <row r="110" spans="1:21" ht="15.75">
      <c r="I110" s="40"/>
      <c r="J110" s="40"/>
      <c r="K110" s="40"/>
    </row>
    <row r="111" spans="1:21" ht="15.75">
      <c r="A111" s="13" t="s">
        <v>6225</v>
      </c>
      <c r="I111" s="40"/>
      <c r="J111" s="40"/>
      <c r="K111" s="40"/>
    </row>
    <row r="112" spans="1:21" ht="15.75">
      <c r="A112" t="str">
        <f>A100</f>
        <v>Class A</v>
      </c>
      <c r="I112" s="40"/>
      <c r="J112" s="40"/>
      <c r="K112" s="40"/>
      <c r="L112">
        <v>16.21</v>
      </c>
      <c r="M112" s="567">
        <f t="shared" ref="M112:Q113" si="122">L112</f>
        <v>16.21</v>
      </c>
      <c r="N112" s="567">
        <f t="shared" si="122"/>
        <v>16.21</v>
      </c>
      <c r="O112" s="567">
        <f t="shared" si="122"/>
        <v>16.21</v>
      </c>
      <c r="P112" s="567">
        <f t="shared" si="122"/>
        <v>16.21</v>
      </c>
      <c r="Q112" s="567">
        <f t="shared" si="122"/>
        <v>16.21</v>
      </c>
      <c r="R112" s="567">
        <f t="shared" ref="R112:R113" si="123">Q112</f>
        <v>16.21</v>
      </c>
      <c r="S112" s="567">
        <f t="shared" ref="S112:S113" si="124">R112</f>
        <v>16.21</v>
      </c>
      <c r="T112" s="567">
        <f t="shared" ref="T112:U113" si="125">S112</f>
        <v>16.21</v>
      </c>
      <c r="U112" s="567">
        <f t="shared" si="125"/>
        <v>16.21</v>
      </c>
    </row>
    <row r="113" spans="1:21" ht="15.75">
      <c r="A113" t="str">
        <f>A101</f>
        <v>Class C</v>
      </c>
      <c r="I113" s="40"/>
      <c r="J113" s="40"/>
      <c r="K113" s="40"/>
      <c r="L113">
        <v>16.27</v>
      </c>
      <c r="M113" s="567">
        <f t="shared" si="122"/>
        <v>16.27</v>
      </c>
      <c r="N113" s="567">
        <f t="shared" si="122"/>
        <v>16.27</v>
      </c>
      <c r="O113" s="567">
        <f t="shared" si="122"/>
        <v>16.27</v>
      </c>
      <c r="P113" s="567">
        <f t="shared" si="122"/>
        <v>16.27</v>
      </c>
      <c r="Q113" s="567">
        <f t="shared" si="122"/>
        <v>16.27</v>
      </c>
      <c r="R113" s="567">
        <f t="shared" si="123"/>
        <v>16.27</v>
      </c>
      <c r="S113" s="567">
        <f t="shared" si="124"/>
        <v>16.27</v>
      </c>
      <c r="T113" s="567">
        <f t="shared" si="125"/>
        <v>16.27</v>
      </c>
      <c r="U113" s="567">
        <f t="shared" si="125"/>
        <v>16.27</v>
      </c>
    </row>
    <row r="114" spans="1:21" ht="15.75">
      <c r="I114" s="40"/>
      <c r="J114" s="40"/>
      <c r="K114" s="40"/>
    </row>
    <row r="115" spans="1:21" ht="15.75">
      <c r="A115" t="s">
        <v>6227</v>
      </c>
      <c r="I115" s="40"/>
      <c r="J115" s="40"/>
      <c r="K115" s="40"/>
      <c r="L115" s="558">
        <f>B2</f>
        <v>6.8</v>
      </c>
      <c r="M115" s="558">
        <f>L115</f>
        <v>6.8</v>
      </c>
      <c r="N115" s="1069">
        <f ca="1">SOP!$G$36</f>
        <v>14.844089563330112</v>
      </c>
      <c r="O115" s="62">
        <f ca="1">N115*1.1</f>
        <v>16.328498519663125</v>
      </c>
      <c r="P115" s="62">
        <f ca="1">O115*1.1</f>
        <v>17.961348371629438</v>
      </c>
      <c r="Q115" s="62">
        <f ca="1">P115*1.1</f>
        <v>19.757483208792383</v>
      </c>
      <c r="R115" s="62">
        <f t="shared" ref="R115:T115" ca="1" si="126">Q115*1.1</f>
        <v>21.733231529671624</v>
      </c>
      <c r="S115" s="62">
        <f t="shared" ca="1" si="126"/>
        <v>23.906554682638788</v>
      </c>
      <c r="T115" s="62">
        <f t="shared" ca="1" si="126"/>
        <v>26.297210150902668</v>
      </c>
      <c r="U115" s="62">
        <f t="shared" ref="U115" ca="1" si="127">T115*1.1</f>
        <v>28.926931165992936</v>
      </c>
    </row>
    <row r="116" spans="1:21" ht="15.75">
      <c r="A116" t="s">
        <v>6228</v>
      </c>
      <c r="I116" s="40"/>
      <c r="J116" s="40"/>
      <c r="K116" s="40"/>
    </row>
    <row r="117" spans="1:21" ht="15.75">
      <c r="A117" t="str">
        <f>A112</f>
        <v>Class A</v>
      </c>
      <c r="I117" s="40"/>
      <c r="J117" s="40"/>
      <c r="K117" s="40"/>
      <c r="L117" s="558"/>
      <c r="M117" s="558">
        <f>M115-M112</f>
        <v>-9.41</v>
      </c>
      <c r="N117" s="558">
        <f ca="1">N115-N112</f>
        <v>-1.3659104366698891</v>
      </c>
      <c r="O117" s="558">
        <f ca="1">O115-O112</f>
        <v>0.11849851966312386</v>
      </c>
      <c r="P117" s="558">
        <f ca="1">P115-P112</f>
        <v>1.7513483716294367</v>
      </c>
      <c r="Q117" s="558">
        <f ca="1">Q115-Q112</f>
        <v>3.5474832087923822</v>
      </c>
      <c r="R117" s="558">
        <f t="shared" ref="R117:T117" ca="1" si="128">R115-R112</f>
        <v>5.523231529671623</v>
      </c>
      <c r="S117" s="558">
        <f t="shared" ca="1" si="128"/>
        <v>7.6965546826387872</v>
      </c>
      <c r="T117" s="558">
        <f t="shared" ca="1" si="128"/>
        <v>10.087210150902667</v>
      </c>
      <c r="U117" s="558">
        <f t="shared" ref="U117" ca="1" si="129">U115-U112</f>
        <v>12.716931165992936</v>
      </c>
    </row>
    <row r="118" spans="1:21" ht="15.75">
      <c r="A118" t="str">
        <f>A113</f>
        <v>Class C</v>
      </c>
      <c r="I118" s="40"/>
      <c r="J118" s="40"/>
      <c r="K118" s="40"/>
      <c r="L118" s="558"/>
      <c r="M118" s="558">
        <f>M115-M113</f>
        <v>-9.4699999999999989</v>
      </c>
      <c r="N118" s="558">
        <f ca="1">N115-N113</f>
        <v>-1.4259104366698878</v>
      </c>
      <c r="O118" s="558">
        <f ca="1">O115-O113</f>
        <v>5.8498519663125137E-2</v>
      </c>
      <c r="P118" s="558">
        <f ca="1">P115-P113</f>
        <v>1.691348371629438</v>
      </c>
      <c r="Q118" s="558">
        <f ca="1">Q115-Q113</f>
        <v>3.4874832087923835</v>
      </c>
      <c r="R118" s="558">
        <f t="shared" ref="R118:T118" ca="1" si="130">R115-R113</f>
        <v>5.4632315296716243</v>
      </c>
      <c r="S118" s="558">
        <f t="shared" ca="1" si="130"/>
        <v>7.6365546826387884</v>
      </c>
      <c r="T118" s="558">
        <f t="shared" ca="1" si="130"/>
        <v>10.027210150902668</v>
      </c>
      <c r="U118" s="558">
        <f t="shared" ref="U118" ca="1" si="131">U115-U113</f>
        <v>12.656931165992937</v>
      </c>
    </row>
    <row r="119" spans="1:21" ht="15.75">
      <c r="I119" s="40"/>
      <c r="J119" s="40"/>
      <c r="K119" s="40"/>
      <c r="L119" s="558"/>
      <c r="M119" s="558"/>
      <c r="N119" s="558"/>
      <c r="O119" s="558"/>
      <c r="P119" s="558"/>
      <c r="Q119" s="558"/>
      <c r="R119" s="558"/>
      <c r="S119" s="558"/>
      <c r="T119" s="558"/>
      <c r="U119" s="558"/>
    </row>
    <row r="120" spans="1:21" ht="15.75">
      <c r="A120" t="s">
        <v>6232</v>
      </c>
      <c r="I120" s="40"/>
      <c r="J120" s="40"/>
      <c r="K120" s="40"/>
      <c r="L120" s="558"/>
      <c r="M120" s="558"/>
      <c r="N120" s="558"/>
      <c r="O120" s="558"/>
      <c r="P120" s="558"/>
      <c r="Q120" s="558"/>
      <c r="R120" s="558"/>
      <c r="S120" s="558"/>
      <c r="T120" s="558"/>
      <c r="U120" s="558"/>
    </row>
    <row r="121" spans="1:21" ht="15.75">
      <c r="A121" t="str">
        <f>A117</f>
        <v>Class A</v>
      </c>
      <c r="I121" s="40"/>
      <c r="J121" s="40"/>
      <c r="K121" s="40"/>
      <c r="L121" s="558"/>
      <c r="M121" s="558">
        <f>M117*M108/M115</f>
        <v>0</v>
      </c>
      <c r="N121" s="558">
        <f ca="1">N117*N108/N115</f>
        <v>-0.27945232626435185</v>
      </c>
      <c r="O121" s="558">
        <f ca="1">O117*O108/O115</f>
        <v>2.2039703396044115E-2</v>
      </c>
      <c r="P121" s="558">
        <f ca="1">P117*P108/P115</f>
        <v>0.29701262608320705</v>
      </c>
      <c r="Q121" s="558">
        <f ca="1">Q117*Q108/Q115</f>
        <v>0</v>
      </c>
      <c r="R121" s="558">
        <f t="shared" ref="R121:T121" ca="1" si="132">R117*R108/R115</f>
        <v>0.77180575762287362</v>
      </c>
      <c r="S121" s="558">
        <f t="shared" ca="1" si="132"/>
        <v>0.97772887056624846</v>
      </c>
      <c r="T121" s="558">
        <f t="shared" ca="1" si="132"/>
        <v>1.1684299939097114</v>
      </c>
      <c r="U121" s="558">
        <f t="shared" ref="U121" ca="1" si="133">U117*U108/U115</f>
        <v>0</v>
      </c>
    </row>
    <row r="122" spans="1:21" ht="15.75">
      <c r="A122" t="str">
        <f>A118</f>
        <v>Class C</v>
      </c>
      <c r="I122" s="40"/>
      <c r="J122" s="40"/>
      <c r="K122" s="40"/>
      <c r="L122" s="558"/>
      <c r="M122" s="558">
        <f>M118*M109/M115</f>
        <v>0</v>
      </c>
      <c r="N122" s="558">
        <f ca="1">N118*N109/N115</f>
        <v>-0.58342352721426793</v>
      </c>
      <c r="O122" s="558">
        <f ca="1">O118*O109/O115</f>
        <v>2.1759247987029943E-2</v>
      </c>
      <c r="P122" s="558">
        <f ca="1">P118*P109/P115</f>
        <v>0.57364290097643478</v>
      </c>
      <c r="Q122" s="558">
        <f ca="1">Q118*Q109/Q115</f>
        <v>0</v>
      </c>
      <c r="R122" s="558">
        <f t="shared" ref="R122:T122" ca="1" si="134">R118*R109/R115</f>
        <v>1.5267592374057335</v>
      </c>
      <c r="S122" s="558">
        <f t="shared" ca="1" si="134"/>
        <v>1.9401072158233941</v>
      </c>
      <c r="T122" s="558">
        <f t="shared" ca="1" si="134"/>
        <v>2.3228326941987829</v>
      </c>
      <c r="U122" s="558">
        <f t="shared" ref="U122" ca="1" si="135">U118*U109/U115</f>
        <v>0</v>
      </c>
    </row>
    <row r="123" spans="1:21" ht="15.75">
      <c r="I123" s="40"/>
      <c r="J123" s="40"/>
      <c r="K123" s="40"/>
    </row>
    <row r="124" spans="1:21" ht="15.75">
      <c r="A124" t="s">
        <v>6233</v>
      </c>
      <c r="I124" s="40"/>
      <c r="J124" s="40"/>
      <c r="K124" s="40"/>
    </row>
    <row r="125" spans="1:21" ht="15.75">
      <c r="A125" t="str">
        <f>A121</f>
        <v>Class A</v>
      </c>
      <c r="I125" s="40"/>
      <c r="J125" s="40"/>
      <c r="K125" s="40"/>
      <c r="M125" s="558">
        <f>M121</f>
        <v>0</v>
      </c>
      <c r="N125" s="558">
        <f t="shared" ref="N125:Q126" ca="1" si="136">M125+N121</f>
        <v>-0.27945232626435185</v>
      </c>
      <c r="O125" s="558">
        <f t="shared" ca="1" si="136"/>
        <v>-0.25741262286830774</v>
      </c>
      <c r="P125" s="558">
        <f t="shared" ca="1" si="136"/>
        <v>3.9600003214899315E-2</v>
      </c>
      <c r="Q125" s="558">
        <f t="shared" ca="1" si="136"/>
        <v>3.9600003214899315E-2</v>
      </c>
      <c r="R125" s="558">
        <f t="shared" ref="R125:R126" ca="1" si="137">Q125+R121</f>
        <v>0.81140576083777294</v>
      </c>
      <c r="S125" s="558">
        <f t="shared" ref="S125:S126" ca="1" si="138">R125+S121</f>
        <v>1.7891346314040213</v>
      </c>
      <c r="T125" s="558">
        <f t="shared" ref="T125:U126" ca="1" si="139">S125+T121</f>
        <v>2.9575646253137329</v>
      </c>
      <c r="U125" s="558">
        <f t="shared" ca="1" si="139"/>
        <v>2.9575646253137329</v>
      </c>
    </row>
    <row r="126" spans="1:21" ht="15.75">
      <c r="A126" t="str">
        <f>A122</f>
        <v>Class C</v>
      </c>
      <c r="I126" s="40"/>
      <c r="J126" s="40"/>
      <c r="K126" s="40"/>
      <c r="M126" s="558">
        <f>M122</f>
        <v>0</v>
      </c>
      <c r="N126" s="558">
        <f t="shared" ca="1" si="136"/>
        <v>-0.58342352721426793</v>
      </c>
      <c r="O126" s="558">
        <f t="shared" ca="1" si="136"/>
        <v>-0.56166427922723794</v>
      </c>
      <c r="P126" s="558">
        <f t="shared" ca="1" si="136"/>
        <v>1.1978621749196838E-2</v>
      </c>
      <c r="Q126" s="558">
        <f t="shared" ca="1" si="136"/>
        <v>1.1978621749196838E-2</v>
      </c>
      <c r="R126" s="558">
        <f t="shared" ca="1" si="137"/>
        <v>1.5387378591549303</v>
      </c>
      <c r="S126" s="558">
        <f t="shared" ca="1" si="138"/>
        <v>3.4788450749783246</v>
      </c>
      <c r="T126" s="558">
        <f t="shared" ca="1" si="139"/>
        <v>5.8016777691771075</v>
      </c>
      <c r="U126" s="558">
        <f t="shared" ca="1" si="139"/>
        <v>5.8016777691771075</v>
      </c>
    </row>
    <row r="127" spans="1:21" ht="15.75">
      <c r="I127" s="40"/>
      <c r="J127" s="40"/>
      <c r="K127" s="40"/>
    </row>
    <row r="128" spans="1:21" ht="15.75">
      <c r="A128" s="12" t="s">
        <v>6221</v>
      </c>
      <c r="I128" s="40"/>
      <c r="J128" s="40"/>
      <c r="K128" s="40"/>
    </row>
    <row r="129" spans="1:21" ht="15.75">
      <c r="A129" t="str">
        <f>A100</f>
        <v>Class A</v>
      </c>
      <c r="I129" s="40"/>
      <c r="J129" s="40"/>
      <c r="K129" s="40"/>
      <c r="L129">
        <v>1.1339999999999999</v>
      </c>
      <c r="M129" s="567">
        <f t="shared" ref="M129:Q130" si="140">L129</f>
        <v>1.1339999999999999</v>
      </c>
      <c r="N129" s="567">
        <f t="shared" si="140"/>
        <v>1.1339999999999999</v>
      </c>
      <c r="O129" s="567">
        <f t="shared" si="140"/>
        <v>1.1339999999999999</v>
      </c>
      <c r="P129" s="567">
        <f t="shared" si="140"/>
        <v>1.1339999999999999</v>
      </c>
      <c r="Q129" s="567">
        <f t="shared" si="140"/>
        <v>1.1339999999999999</v>
      </c>
      <c r="R129" s="567">
        <f t="shared" ref="R129:R130" si="141">Q129</f>
        <v>1.1339999999999999</v>
      </c>
      <c r="S129" s="567">
        <f t="shared" ref="S129:S130" si="142">R129</f>
        <v>1.1339999999999999</v>
      </c>
      <c r="T129" s="567">
        <f t="shared" ref="T129:U130" si="143">S129</f>
        <v>1.1339999999999999</v>
      </c>
      <c r="U129" s="567">
        <f t="shared" si="143"/>
        <v>1.1339999999999999</v>
      </c>
    </row>
    <row r="130" spans="1:21" ht="15.75">
      <c r="A130" t="str">
        <f>A101</f>
        <v>Class C</v>
      </c>
      <c r="I130" s="40"/>
      <c r="J130" s="40"/>
      <c r="K130" s="40"/>
      <c r="L130">
        <v>2.2669999999999999</v>
      </c>
      <c r="M130" s="567">
        <f t="shared" si="140"/>
        <v>2.2669999999999999</v>
      </c>
      <c r="N130" s="567">
        <f t="shared" si="140"/>
        <v>2.2669999999999999</v>
      </c>
      <c r="O130" s="567">
        <f t="shared" si="140"/>
        <v>2.2669999999999999</v>
      </c>
      <c r="P130" s="567">
        <f t="shared" si="140"/>
        <v>2.2669999999999999</v>
      </c>
      <c r="Q130" s="567">
        <f t="shared" si="140"/>
        <v>2.2669999999999999</v>
      </c>
      <c r="R130" s="567">
        <f t="shared" si="141"/>
        <v>2.2669999999999999</v>
      </c>
      <c r="S130" s="567">
        <f t="shared" si="142"/>
        <v>2.2669999999999999</v>
      </c>
      <c r="T130" s="567">
        <f t="shared" si="143"/>
        <v>2.2669999999999999</v>
      </c>
      <c r="U130" s="567">
        <f t="shared" si="143"/>
        <v>2.2669999999999999</v>
      </c>
    </row>
    <row r="131" spans="1:21" ht="15.75">
      <c r="I131" s="40"/>
      <c r="J131" s="40"/>
      <c r="K131" s="40"/>
    </row>
    <row r="132" spans="1:21" ht="15.75">
      <c r="A132" s="12" t="s">
        <v>6223</v>
      </c>
      <c r="I132" s="40"/>
      <c r="J132" s="40"/>
      <c r="K132" s="40"/>
    </row>
    <row r="133" spans="1:21" ht="15.75">
      <c r="A133" t="str">
        <f>A129</f>
        <v>Class A</v>
      </c>
      <c r="I133" s="40"/>
      <c r="J133" s="40"/>
      <c r="K133" s="40"/>
      <c r="L133">
        <v>0.59499999999999997</v>
      </c>
      <c r="M133" s="567">
        <f t="shared" ref="M133:Q134" si="144">L133</f>
        <v>0.59499999999999997</v>
      </c>
      <c r="N133" s="567">
        <f t="shared" si="144"/>
        <v>0.59499999999999997</v>
      </c>
      <c r="O133" s="567">
        <f t="shared" si="144"/>
        <v>0.59499999999999997</v>
      </c>
      <c r="P133" s="567">
        <f t="shared" si="144"/>
        <v>0.59499999999999997</v>
      </c>
      <c r="Q133" s="567">
        <f t="shared" si="144"/>
        <v>0.59499999999999997</v>
      </c>
      <c r="R133" s="567">
        <f t="shared" ref="R133:R134" si="145">Q133</f>
        <v>0.59499999999999997</v>
      </c>
      <c r="S133" s="567">
        <f t="shared" ref="S133:S134" si="146">R133</f>
        <v>0.59499999999999997</v>
      </c>
      <c r="T133" s="567">
        <f t="shared" ref="T133:U134" si="147">S133</f>
        <v>0.59499999999999997</v>
      </c>
      <c r="U133" s="567">
        <f t="shared" si="147"/>
        <v>0.59499999999999997</v>
      </c>
    </row>
    <row r="134" spans="1:21" ht="15.75">
      <c r="A134" t="str">
        <f>A130</f>
        <v>Class C</v>
      </c>
      <c r="I134" s="40"/>
      <c r="J134" s="40"/>
      <c r="K134" s="40"/>
      <c r="L134">
        <v>1.2410000000000001</v>
      </c>
      <c r="M134" s="567">
        <f t="shared" si="144"/>
        <v>1.2410000000000001</v>
      </c>
      <c r="N134" s="567">
        <f t="shared" si="144"/>
        <v>1.2410000000000001</v>
      </c>
      <c r="O134" s="567">
        <f t="shared" si="144"/>
        <v>1.2410000000000001</v>
      </c>
      <c r="P134" s="567">
        <f t="shared" si="144"/>
        <v>1.2410000000000001</v>
      </c>
      <c r="Q134" s="567">
        <f t="shared" si="144"/>
        <v>1.2410000000000001</v>
      </c>
      <c r="R134" s="567">
        <f t="shared" si="145"/>
        <v>1.2410000000000001</v>
      </c>
      <c r="S134" s="567">
        <f t="shared" si="146"/>
        <v>1.2410000000000001</v>
      </c>
      <c r="T134" s="567">
        <f t="shared" si="147"/>
        <v>1.2410000000000001</v>
      </c>
      <c r="U134" s="567">
        <f t="shared" si="147"/>
        <v>1.2410000000000001</v>
      </c>
    </row>
    <row r="135" spans="1:21" ht="15.75">
      <c r="I135" s="40"/>
      <c r="J135" s="40"/>
      <c r="K135" s="40"/>
    </row>
    <row r="136" spans="1:21" ht="15.75">
      <c r="A136" s="12" t="s">
        <v>6226</v>
      </c>
      <c r="I136" s="40"/>
      <c r="J136" s="40"/>
      <c r="K136" s="40"/>
    </row>
    <row r="137" spans="1:21" ht="15.75">
      <c r="A137" t="str">
        <f>A133</f>
        <v>Class A</v>
      </c>
      <c r="I137" s="40"/>
      <c r="J137" s="40"/>
      <c r="K137" s="40"/>
      <c r="L137" s="558">
        <f>L125+L129+L133</f>
        <v>1.7289999999999999</v>
      </c>
      <c r="M137" s="558">
        <f>M125+M129+M133</f>
        <v>1.7289999999999999</v>
      </c>
      <c r="N137" s="558" t="s">
        <v>4498</v>
      </c>
      <c r="O137" s="558">
        <f t="shared" ref="O137:Q138" ca="1" si="148">O125+O129+O133</f>
        <v>1.4715873771316921</v>
      </c>
      <c r="P137" s="558">
        <f t="shared" ca="1" si="148"/>
        <v>1.7686000032148992</v>
      </c>
      <c r="Q137" s="558">
        <f t="shared" ca="1" si="148"/>
        <v>1.7686000032148992</v>
      </c>
      <c r="R137" s="558">
        <f t="shared" ref="R137:T137" ca="1" si="149">R125+R129+R133</f>
        <v>2.540405760837773</v>
      </c>
      <c r="S137" s="558">
        <f t="shared" ca="1" si="149"/>
        <v>3.5181346314040214</v>
      </c>
      <c r="T137" s="558">
        <f t="shared" ca="1" si="149"/>
        <v>4.686564625313733</v>
      </c>
      <c r="U137" s="558">
        <f t="shared" ref="U137" ca="1" si="150">U125+U129+U133</f>
        <v>4.686564625313733</v>
      </c>
    </row>
    <row r="138" spans="1:21" ht="15.75">
      <c r="A138" s="3" t="str">
        <f>A134</f>
        <v>Class C</v>
      </c>
      <c r="B138" s="3"/>
      <c r="C138" s="3"/>
      <c r="D138" s="3"/>
      <c r="E138" s="3"/>
      <c r="F138" s="3"/>
      <c r="G138" s="3"/>
      <c r="H138" s="3"/>
      <c r="I138" s="43"/>
      <c r="J138" s="43"/>
      <c r="K138" s="43"/>
      <c r="L138" s="1263">
        <f>L126+L130+L134</f>
        <v>3.508</v>
      </c>
      <c r="M138" s="1263">
        <f>M126+M130+M134</f>
        <v>3.508</v>
      </c>
      <c r="N138" s="1263">
        <f ca="1">N126+N130+N134</f>
        <v>2.924576472785732</v>
      </c>
      <c r="O138" s="1263">
        <f t="shared" ca="1" si="148"/>
        <v>2.9463357207727618</v>
      </c>
      <c r="P138" s="1263">
        <f t="shared" ca="1" si="148"/>
        <v>3.5199786217491966</v>
      </c>
      <c r="Q138" s="1263">
        <f t="shared" ca="1" si="148"/>
        <v>3.5199786217491966</v>
      </c>
      <c r="R138" s="1263">
        <f t="shared" ref="R138:T138" ca="1" si="151">R126+R130+R134</f>
        <v>5.0467378591549306</v>
      </c>
      <c r="S138" s="1263">
        <f t="shared" ca="1" si="151"/>
        <v>6.9868450749783246</v>
      </c>
      <c r="T138" s="1263">
        <f t="shared" ca="1" si="151"/>
        <v>9.3096777691771067</v>
      </c>
      <c r="U138" s="1263">
        <f t="shared" ref="U138" ca="1" si="152">U126+U130+U134</f>
        <v>9.3096777691771067</v>
      </c>
    </row>
    <row r="139" spans="1:21" ht="15.75">
      <c r="A139" s="12" t="s">
        <v>16</v>
      </c>
      <c r="B139" s="12"/>
      <c r="C139" s="12"/>
      <c r="D139" s="12"/>
      <c r="E139" s="12"/>
      <c r="F139" s="12"/>
      <c r="G139" s="12"/>
      <c r="H139" s="12"/>
      <c r="I139" s="41"/>
      <c r="J139" s="41"/>
      <c r="K139" s="41"/>
      <c r="L139" s="1264">
        <f t="shared" ref="L139:Q139" si="153">SUM(L137:L138)</f>
        <v>5.2370000000000001</v>
      </c>
      <c r="M139" s="1264">
        <f t="shared" si="153"/>
        <v>5.2370000000000001</v>
      </c>
      <c r="N139" s="1264">
        <f t="shared" ca="1" si="153"/>
        <v>2.924576472785732</v>
      </c>
      <c r="O139" s="1264">
        <f t="shared" ca="1" si="153"/>
        <v>4.4179230979044544</v>
      </c>
      <c r="P139" s="1264">
        <f t="shared" ca="1" si="153"/>
        <v>5.2885786249640958</v>
      </c>
      <c r="Q139" s="1264">
        <f t="shared" ca="1" si="153"/>
        <v>5.2885786249640958</v>
      </c>
      <c r="R139" s="1264">
        <f t="shared" ref="R139:T139" ca="1" si="154">SUM(R137:R138)</f>
        <v>7.5871436199927036</v>
      </c>
      <c r="S139" s="1264">
        <f t="shared" ca="1" si="154"/>
        <v>10.504979706382347</v>
      </c>
      <c r="T139" s="1264">
        <f t="shared" ca="1" si="154"/>
        <v>13.996242394490839</v>
      </c>
      <c r="U139" s="1264">
        <f t="shared" ref="U139" ca="1" si="155">SUM(U137:U138)</f>
        <v>13.996242394490839</v>
      </c>
    </row>
    <row r="140" spans="1:21" ht="15.75">
      <c r="I140" s="40"/>
      <c r="J140" s="40"/>
      <c r="K140" s="40"/>
    </row>
    <row r="141" spans="1:21" ht="15.75">
      <c r="I141" s="40"/>
      <c r="J141" s="40"/>
      <c r="K141" s="40"/>
    </row>
    <row r="142" spans="1:21" ht="16.5">
      <c r="A142" s="3"/>
      <c r="B142" s="623"/>
      <c r="C142" s="627" t="s">
        <v>1154</v>
      </c>
      <c r="D142" s="627" t="s">
        <v>2585</v>
      </c>
      <c r="E142" s="627" t="s">
        <v>16</v>
      </c>
      <c r="F142" s="624"/>
      <c r="K142" s="40"/>
    </row>
    <row r="143" spans="1:21" ht="16.5">
      <c r="A143" s="23" t="s">
        <v>4865</v>
      </c>
      <c r="B143" s="624" t="s">
        <v>3142</v>
      </c>
      <c r="C143" s="1065">
        <v>1.939689</v>
      </c>
      <c r="D143" s="1065">
        <v>0.702851</v>
      </c>
      <c r="E143" s="1065">
        <v>48.797179</v>
      </c>
      <c r="F143" s="624"/>
      <c r="K143" s="48"/>
    </row>
    <row r="144" spans="1:21" ht="16.5">
      <c r="B144" s="624" t="s">
        <v>3143</v>
      </c>
      <c r="C144" s="1065">
        <v>1.535757</v>
      </c>
      <c r="D144" s="1065">
        <v>0.175867</v>
      </c>
      <c r="E144" s="1065">
        <v>1.9346049999999999</v>
      </c>
      <c r="F144" s="624"/>
    </row>
    <row r="145" spans="2:11" ht="16.5">
      <c r="B145" s="623" t="s">
        <v>3144</v>
      </c>
      <c r="C145" s="1066">
        <v>6.7845740000000001</v>
      </c>
      <c r="D145" s="1066">
        <v>1.392072</v>
      </c>
      <c r="E145" s="1066">
        <v>131.19285600000001</v>
      </c>
      <c r="F145" s="624"/>
      <c r="K145" s="48"/>
    </row>
    <row r="146" spans="2:11" ht="16.5">
      <c r="B146" s="624" t="s">
        <v>16</v>
      </c>
      <c r="C146" s="1065">
        <f>C143+C144+C145</f>
        <v>10.260020000000001</v>
      </c>
      <c r="D146" s="1065">
        <f>D143+D144+D145</f>
        <v>2.2707899999999999</v>
      </c>
      <c r="E146" s="1065">
        <f>E143+E144+E145</f>
        <v>181.92464000000001</v>
      </c>
      <c r="F146" s="624"/>
    </row>
    <row r="147" spans="2:11" ht="16.5">
      <c r="B147" s="624"/>
      <c r="C147" s="1019">
        <f>C146/E146</f>
        <v>5.6397088376813606E-2</v>
      </c>
      <c r="D147" s="1019">
        <f>D146/E146</f>
        <v>1.2482036517977992E-2</v>
      </c>
      <c r="E147" s="624"/>
      <c r="F147" s="624"/>
    </row>
    <row r="148" spans="2:11" ht="16.5">
      <c r="B148" s="624" t="s">
        <v>4866</v>
      </c>
      <c r="C148" s="1065">
        <f>C143+10*C144</f>
        <v>17.297259</v>
      </c>
      <c r="D148" s="1065">
        <f>D143+10*D144</f>
        <v>2.4615209999999998</v>
      </c>
      <c r="E148" s="1065">
        <f>E143+10*E144</f>
        <v>68.143228999999991</v>
      </c>
    </row>
    <row r="149" spans="2:11" ht="16.5">
      <c r="C149" s="1019">
        <f>C148/E148</f>
        <v>0.25383679719668117</v>
      </c>
      <c r="D149" s="1019">
        <f>D148/E148</f>
        <v>3.6122752562840837E-2</v>
      </c>
    </row>
    <row r="151" spans="2:11" ht="16.5">
      <c r="B151" s="623" t="s">
        <v>5134</v>
      </c>
      <c r="C151" s="3"/>
      <c r="D151" s="3"/>
      <c r="E151" s="3"/>
    </row>
    <row r="152" spans="2:11" ht="16.5">
      <c r="B152" s="624" t="str">
        <f>B145</f>
        <v>C</v>
      </c>
      <c r="C152" s="1065">
        <f>C145/E145*E152</f>
        <v>2.5350249015292809</v>
      </c>
      <c r="D152" s="1065">
        <f>D145/E145*E152</f>
        <v>0.52014130654653756</v>
      </c>
      <c r="E152" s="1065">
        <f>Notes!D2737</f>
        <v>49.019607843137258</v>
      </c>
    </row>
    <row r="153" spans="2:11" ht="16.5">
      <c r="B153" s="624" t="s">
        <v>5095</v>
      </c>
      <c r="C153" s="1065">
        <f>Notes!D2735</f>
        <v>7.14</v>
      </c>
      <c r="D153" s="1065">
        <f>C153</f>
        <v>7.14</v>
      </c>
      <c r="E153" s="1065">
        <f>D153</f>
        <v>7.14</v>
      </c>
      <c r="G153" s="1065"/>
    </row>
    <row r="154" spans="2:11" ht="16.5">
      <c r="B154" s="624" t="s">
        <v>3155</v>
      </c>
      <c r="C154" s="1071">
        <f>C152*C153</f>
        <v>18.100077796919066</v>
      </c>
      <c r="D154" s="1071">
        <f>D152*D153</f>
        <v>3.713808928742278</v>
      </c>
      <c r="E154" s="1071">
        <f>E152*E153</f>
        <v>350</v>
      </c>
      <c r="G154" s="1065"/>
    </row>
    <row r="156" spans="2:11" ht="16.5">
      <c r="B156" s="623" t="s">
        <v>5328</v>
      </c>
      <c r="C156" s="627"/>
      <c r="D156" s="627"/>
      <c r="E156" s="627"/>
    </row>
    <row r="157" spans="2:11" ht="16.5">
      <c r="B157" s="624" t="str">
        <f t="shared" ref="B157:E158" si="156">B143</f>
        <v>A</v>
      </c>
      <c r="C157" s="1065">
        <f t="shared" si="156"/>
        <v>1.939689</v>
      </c>
      <c r="D157" s="1065">
        <f t="shared" si="156"/>
        <v>0.702851</v>
      </c>
      <c r="E157" s="1065">
        <f t="shared" si="156"/>
        <v>48.797179</v>
      </c>
    </row>
    <row r="158" spans="2:11" ht="16.5">
      <c r="B158" s="624" t="str">
        <f t="shared" si="156"/>
        <v>B</v>
      </c>
      <c r="C158" s="1065">
        <f t="shared" si="156"/>
        <v>1.535757</v>
      </c>
      <c r="D158" s="1065">
        <f t="shared" si="156"/>
        <v>0.175867</v>
      </c>
      <c r="E158" s="1065">
        <f t="shared" si="156"/>
        <v>1.9346049999999999</v>
      </c>
    </row>
    <row r="159" spans="2:11" ht="16.5">
      <c r="B159" s="623" t="str">
        <f>B145</f>
        <v>C</v>
      </c>
      <c r="C159" s="1066">
        <f>C145+C152</f>
        <v>9.3195989015292806</v>
      </c>
      <c r="D159" s="1066">
        <f>D145+D152</f>
        <v>1.9122133065465374</v>
      </c>
      <c r="E159" s="1066">
        <f>E145+E152</f>
        <v>180.21246384313727</v>
      </c>
    </row>
    <row r="160" spans="2:11" ht="16.5">
      <c r="B160" s="624" t="s">
        <v>16</v>
      </c>
      <c r="C160" s="1065">
        <f>C157+C158+C159</f>
        <v>12.79504490152928</v>
      </c>
      <c r="D160" s="1065">
        <f>D157+D158+D159</f>
        <v>2.7909313065465375</v>
      </c>
      <c r="E160" s="1065">
        <f>E157+E158+E159</f>
        <v>230.94424784313728</v>
      </c>
    </row>
    <row r="162" spans="2:5" ht="16.5">
      <c r="B162" s="623" t="s">
        <v>5330</v>
      </c>
      <c r="C162" s="627"/>
      <c r="D162" s="627"/>
      <c r="E162" s="627"/>
    </row>
    <row r="163" spans="2:5" ht="16.5">
      <c r="B163" s="624" t="str">
        <f>B157</f>
        <v>A</v>
      </c>
    </row>
    <row r="164" spans="2:5" ht="16.5">
      <c r="B164" s="624" t="str">
        <f>B158</f>
        <v>B</v>
      </c>
      <c r="C164" s="1065"/>
      <c r="D164" s="1065"/>
      <c r="E164" s="1065"/>
    </row>
    <row r="165" spans="2:5" ht="16.5">
      <c r="B165" s="623" t="s">
        <v>3144</v>
      </c>
      <c r="C165" s="1066">
        <f>4.226117+0.20059+2.011791+2.823461</f>
        <v>9.2619590000000009</v>
      </c>
      <c r="D165" s="1066"/>
      <c r="E165" s="1066"/>
    </row>
    <row r="167" spans="2:5" ht="15.75">
      <c r="B167" s="53" t="s">
        <v>5329</v>
      </c>
      <c r="C167" s="79" t="s">
        <v>1156</v>
      </c>
      <c r="D167" s="79" t="s">
        <v>1122</v>
      </c>
      <c r="E167" s="79" t="s">
        <v>4353</v>
      </c>
    </row>
    <row r="168" spans="2:5" ht="15.75">
      <c r="B168" s="53" t="s">
        <v>3144</v>
      </c>
      <c r="C168" s="53">
        <v>84.244</v>
      </c>
      <c r="D168" s="53">
        <v>12.18</v>
      </c>
      <c r="E168" s="949">
        <f>C168*D168/1000</f>
        <v>1.02609192</v>
      </c>
    </row>
    <row r="169" spans="2:5" ht="15.75">
      <c r="B169" s="53" t="s">
        <v>3144</v>
      </c>
      <c r="C169" s="53">
        <v>51.079000000000001</v>
      </c>
      <c r="D169" s="53">
        <v>11.83</v>
      </c>
      <c r="E169" s="949">
        <f>C169*D169/1000</f>
        <v>0.60426457</v>
      </c>
    </row>
    <row r="170" spans="2:5" ht="15.75">
      <c r="B170" s="50" t="s">
        <v>3144</v>
      </c>
      <c r="C170" s="50">
        <v>89.677000000000007</v>
      </c>
      <c r="D170" s="50">
        <v>11.74</v>
      </c>
      <c r="E170" s="1092">
        <f>C170*D170/1000</f>
        <v>1.0528079800000001</v>
      </c>
    </row>
    <row r="171" spans="2:5" ht="15.75">
      <c r="B171" s="53" t="s">
        <v>16</v>
      </c>
      <c r="C171" s="53">
        <f>SUM(C168:C170)</f>
        <v>225</v>
      </c>
      <c r="D171" s="53"/>
      <c r="E171" s="949">
        <f>SUM(E168:E170)</f>
        <v>2.6831644700000004</v>
      </c>
    </row>
    <row r="172" spans="2:5" ht="15.75">
      <c r="C172" s="56">
        <f>C171/1000/C160</f>
        <v>1.7584932427482745E-2</v>
      </c>
    </row>
  </sheetData>
  <pageMargins left="0.70866141732283472" right="0.70866141732283472" top="0.74803149606299213" bottom="0.74803149606299213" header="0.31496062992125984" footer="0.31496062992125984"/>
  <pageSetup paperSize="9" scale="3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68A6-C5B4-403C-B75D-B241FED21088}">
  <dimension ref="B1:AH324"/>
  <sheetViews>
    <sheetView topLeftCell="A234" zoomScale="72" zoomScaleNormal="72" workbookViewId="0">
      <selection activeCell="L296" sqref="L296"/>
    </sheetView>
  </sheetViews>
  <sheetFormatPr defaultRowHeight="15"/>
  <cols>
    <col min="2" max="2" width="27" customWidth="1"/>
    <col min="3" max="3" width="9" customWidth="1"/>
    <col min="24" max="24" width="9.140625" customWidth="1"/>
  </cols>
  <sheetData>
    <row r="1" spans="2:18">
      <c r="R1">
        <f ca="1">SOP!G36</f>
        <v>14.844089563330112</v>
      </c>
    </row>
    <row r="2" spans="2:18" ht="15.75">
      <c r="B2" s="636" t="s">
        <v>3871</v>
      </c>
      <c r="C2" s="636">
        <v>2016</v>
      </c>
      <c r="D2" s="636">
        <v>2017</v>
      </c>
      <c r="E2" s="636">
        <f>D2+1</f>
        <v>2018</v>
      </c>
      <c r="F2" s="636">
        <f>E2+1</f>
        <v>2019</v>
      </c>
      <c r="G2" s="636">
        <f t="shared" ref="G2:Q2" si="0">F2+1</f>
        <v>2020</v>
      </c>
      <c r="H2" s="636">
        <f t="shared" si="0"/>
        <v>2021</v>
      </c>
      <c r="I2" s="636">
        <f t="shared" si="0"/>
        <v>2022</v>
      </c>
      <c r="J2" s="636">
        <f t="shared" si="0"/>
        <v>2023</v>
      </c>
      <c r="K2" s="636">
        <f t="shared" si="0"/>
        <v>2024</v>
      </c>
      <c r="L2" s="636">
        <f t="shared" si="0"/>
        <v>2025</v>
      </c>
      <c r="M2" s="636">
        <f t="shared" si="0"/>
        <v>2026</v>
      </c>
      <c r="N2" s="636">
        <f t="shared" si="0"/>
        <v>2027</v>
      </c>
      <c r="O2" s="636">
        <f t="shared" si="0"/>
        <v>2028</v>
      </c>
      <c r="P2" s="636">
        <f t="shared" si="0"/>
        <v>2029</v>
      </c>
      <c r="Q2" s="636">
        <f t="shared" si="0"/>
        <v>2030</v>
      </c>
    </row>
    <row r="3" spans="2:18" ht="15.75">
      <c r="B3" s="58" t="s">
        <v>32</v>
      </c>
      <c r="C3" s="53"/>
      <c r="D3" s="53"/>
      <c r="E3" s="53"/>
      <c r="F3" s="53"/>
      <c r="G3" s="53"/>
      <c r="H3" s="53"/>
      <c r="I3" s="53"/>
      <c r="J3" s="53"/>
      <c r="K3" s="53"/>
      <c r="L3" s="53"/>
      <c r="M3" s="53"/>
      <c r="N3" s="53"/>
      <c r="O3" s="53"/>
      <c r="P3" s="53"/>
      <c r="Q3" s="53"/>
    </row>
    <row r="4" spans="2:18" ht="15.75">
      <c r="B4" s="53"/>
      <c r="C4" s="53"/>
      <c r="D4" s="53"/>
      <c r="E4" s="53"/>
      <c r="F4" s="53"/>
      <c r="G4" s="53"/>
      <c r="H4" s="53"/>
      <c r="I4" s="53"/>
      <c r="J4" s="53"/>
      <c r="K4" s="53"/>
      <c r="L4" s="53"/>
      <c r="M4" s="53"/>
      <c r="N4" s="53"/>
      <c r="O4" s="53"/>
      <c r="P4" s="53"/>
      <c r="Q4" s="53"/>
    </row>
    <row r="5" spans="2:18" ht="15.75">
      <c r="B5" s="53" t="s">
        <v>557</v>
      </c>
      <c r="C5" s="702">
        <v>424.3</v>
      </c>
      <c r="D5" s="702">
        <v>458.3</v>
      </c>
      <c r="E5" s="702">
        <v>494.6</v>
      </c>
      <c r="F5" s="702">
        <v>562.9</v>
      </c>
      <c r="G5" s="702">
        <v>613.70000000000005</v>
      </c>
      <c r="H5" s="702">
        <v>646.4</v>
      </c>
      <c r="I5" s="702">
        <v>685.7</v>
      </c>
      <c r="J5" s="702">
        <v>742.1</v>
      </c>
      <c r="K5" s="53"/>
      <c r="L5" s="53"/>
      <c r="M5" s="53"/>
      <c r="N5" s="53"/>
      <c r="O5" s="53"/>
      <c r="P5" s="53"/>
      <c r="Q5" s="53"/>
    </row>
    <row r="6" spans="2:18" ht="15.75">
      <c r="B6" s="53"/>
      <c r="C6" s="53"/>
      <c r="D6" s="621">
        <f t="shared" ref="D6:J6" si="1">D5-C5</f>
        <v>34</v>
      </c>
      <c r="E6" s="621">
        <f t="shared" si="1"/>
        <v>36.300000000000011</v>
      </c>
      <c r="F6" s="621">
        <f t="shared" si="1"/>
        <v>68.299999999999955</v>
      </c>
      <c r="G6" s="621">
        <f t="shared" si="1"/>
        <v>50.800000000000068</v>
      </c>
      <c r="H6" s="621">
        <f t="shared" si="1"/>
        <v>32.699999999999932</v>
      </c>
      <c r="I6" s="621">
        <f t="shared" si="1"/>
        <v>39.300000000000068</v>
      </c>
      <c r="J6" s="621">
        <f t="shared" si="1"/>
        <v>56.399999999999977</v>
      </c>
      <c r="K6" s="53"/>
      <c r="L6" s="53"/>
      <c r="M6" s="53"/>
      <c r="N6" s="53"/>
      <c r="O6" s="53"/>
      <c r="P6" s="53"/>
      <c r="Q6" s="53"/>
    </row>
    <row r="7" spans="2:18" ht="15.75">
      <c r="B7" s="53" t="s">
        <v>2302</v>
      </c>
      <c r="C7" s="702">
        <v>424.3</v>
      </c>
      <c r="D7" s="702">
        <v>448.3</v>
      </c>
      <c r="E7" s="702">
        <v>479.6</v>
      </c>
      <c r="F7" s="702">
        <v>552.9</v>
      </c>
      <c r="G7" s="702">
        <v>613.70000000000005</v>
      </c>
      <c r="H7" s="702">
        <v>613.70000000000005</v>
      </c>
      <c r="I7" s="702">
        <v>685.7</v>
      </c>
      <c r="J7" s="702">
        <v>742.1</v>
      </c>
      <c r="K7" s="53"/>
      <c r="L7" s="53"/>
      <c r="M7" s="53"/>
      <c r="N7" s="53"/>
      <c r="O7" s="53"/>
      <c r="P7" s="53"/>
      <c r="Q7" s="53"/>
    </row>
    <row r="8" spans="2:18" ht="15.75">
      <c r="B8" s="53" t="s">
        <v>2303</v>
      </c>
      <c r="C8" s="702">
        <v>295.89999999999998</v>
      </c>
      <c r="D8" s="702">
        <v>233.3</v>
      </c>
      <c r="E8" s="702">
        <v>246</v>
      </c>
      <c r="F8" s="702">
        <v>259.7</v>
      </c>
      <c r="G8" s="702">
        <v>296.7</v>
      </c>
      <c r="H8" s="702">
        <v>330.2</v>
      </c>
      <c r="I8" s="702">
        <v>331.8</v>
      </c>
      <c r="J8" s="702">
        <v>348.2</v>
      </c>
      <c r="K8" s="621">
        <f t="shared" ref="K8:Q8" si="2">K17/K19</f>
        <v>352.34181297573082</v>
      </c>
      <c r="L8" s="621">
        <f t="shared" si="2"/>
        <v>355.37146552851243</v>
      </c>
      <c r="M8" s="621">
        <f t="shared" si="2"/>
        <v>358.30658503270683</v>
      </c>
      <c r="N8" s="621">
        <f t="shared" si="2"/>
        <v>361.14874643422741</v>
      </c>
      <c r="O8" s="621">
        <f t="shared" si="2"/>
        <v>363.89950275897706</v>
      </c>
      <c r="P8" s="621">
        <f t="shared" si="2"/>
        <v>366.56038539251676</v>
      </c>
      <c r="Q8" s="621">
        <f t="shared" si="2"/>
        <v>369.13290435634423</v>
      </c>
    </row>
    <row r="9" spans="2:18" ht="15.75">
      <c r="B9" s="53"/>
      <c r="C9" s="53"/>
      <c r="D9" s="53"/>
      <c r="E9" s="53"/>
      <c r="F9" s="53"/>
      <c r="G9" s="53"/>
      <c r="H9" s="53"/>
      <c r="I9" s="53"/>
      <c r="J9" s="53"/>
      <c r="K9" s="53"/>
      <c r="L9" s="53"/>
      <c r="M9" s="53"/>
      <c r="N9" s="53"/>
      <c r="O9" s="53"/>
      <c r="P9" s="53"/>
      <c r="Q9" s="53"/>
    </row>
    <row r="10" spans="2:18" ht="15.75">
      <c r="B10" s="53"/>
      <c r="C10" s="53"/>
      <c r="D10" s="621"/>
      <c r="E10" s="621"/>
      <c r="F10" s="53"/>
      <c r="G10" s="53"/>
      <c r="H10" s="53"/>
      <c r="I10" s="53"/>
      <c r="J10" s="53"/>
      <c r="K10" s="53"/>
      <c r="L10" s="53"/>
      <c r="M10" s="53"/>
      <c r="N10" s="53"/>
      <c r="O10" s="53"/>
      <c r="P10" s="53"/>
      <c r="Q10" s="53"/>
    </row>
    <row r="11" spans="2:18" ht="15.75">
      <c r="B11" s="53" t="s">
        <v>1568</v>
      </c>
      <c r="C11" s="702">
        <v>102.5</v>
      </c>
      <c r="D11" s="702">
        <v>102.5</v>
      </c>
      <c r="E11" s="702">
        <v>118.1</v>
      </c>
      <c r="F11" s="702">
        <v>119.2</v>
      </c>
      <c r="G11" s="702">
        <v>128.4</v>
      </c>
      <c r="H11" s="702">
        <v>138.80000000000001</v>
      </c>
      <c r="I11" s="702">
        <v>132</v>
      </c>
      <c r="J11" s="702">
        <v>130</v>
      </c>
      <c r="K11" s="621">
        <f t="shared" ref="K11:Q11" si="3">J11+K12</f>
        <v>135</v>
      </c>
      <c r="L11" s="621">
        <f t="shared" si="3"/>
        <v>140</v>
      </c>
      <c r="M11" s="621">
        <f t="shared" si="3"/>
        <v>145</v>
      </c>
      <c r="N11" s="621">
        <f t="shared" si="3"/>
        <v>150</v>
      </c>
      <c r="O11" s="621">
        <f t="shared" si="3"/>
        <v>155</v>
      </c>
      <c r="P11" s="621">
        <f t="shared" si="3"/>
        <v>160</v>
      </c>
      <c r="Q11" s="621">
        <f t="shared" si="3"/>
        <v>165</v>
      </c>
    </row>
    <row r="12" spans="2:18" ht="15.75">
      <c r="B12" s="53"/>
      <c r="C12" s="53"/>
      <c r="D12" s="621">
        <f t="shared" ref="D12:J12" si="4">D11-C11</f>
        <v>0</v>
      </c>
      <c r="E12" s="621">
        <f t="shared" si="4"/>
        <v>15.599999999999994</v>
      </c>
      <c r="F12" s="621">
        <f t="shared" si="4"/>
        <v>1.1000000000000085</v>
      </c>
      <c r="G12" s="621">
        <f t="shared" si="4"/>
        <v>9.2000000000000028</v>
      </c>
      <c r="H12" s="621">
        <f t="shared" si="4"/>
        <v>10.400000000000006</v>
      </c>
      <c r="I12" s="621">
        <f t="shared" si="4"/>
        <v>-6.8000000000000114</v>
      </c>
      <c r="J12" s="621">
        <f t="shared" si="4"/>
        <v>-2</v>
      </c>
      <c r="K12" s="702">
        <v>5</v>
      </c>
      <c r="L12" s="702">
        <v>5</v>
      </c>
      <c r="M12" s="702">
        <v>5</v>
      </c>
      <c r="N12" s="702">
        <v>5</v>
      </c>
      <c r="O12" s="702">
        <v>5</v>
      </c>
      <c r="P12" s="702">
        <v>5</v>
      </c>
      <c r="Q12" s="702">
        <v>5</v>
      </c>
    </row>
    <row r="13" spans="2:18" ht="15.75">
      <c r="B13" s="53" t="s">
        <v>1567</v>
      </c>
      <c r="C13" s="702">
        <v>172.3</v>
      </c>
      <c r="D13" s="702">
        <v>168.5</v>
      </c>
      <c r="E13" s="702">
        <v>190.6</v>
      </c>
      <c r="F13" s="702">
        <v>211.8</v>
      </c>
      <c r="G13" s="702">
        <v>259.60000000000002</v>
      </c>
      <c r="H13" s="702">
        <v>300.2</v>
      </c>
      <c r="I13" s="702">
        <v>308.2</v>
      </c>
      <c r="J13" s="702">
        <v>330.9</v>
      </c>
      <c r="K13" s="621">
        <f t="shared" ref="K13:Q13" si="5">J13+K14</f>
        <v>340.9</v>
      </c>
      <c r="L13" s="621">
        <f t="shared" si="5"/>
        <v>350.9</v>
      </c>
      <c r="M13" s="621">
        <f t="shared" si="5"/>
        <v>360.9</v>
      </c>
      <c r="N13" s="621">
        <f t="shared" si="5"/>
        <v>370.9</v>
      </c>
      <c r="O13" s="621">
        <f t="shared" si="5"/>
        <v>380.9</v>
      </c>
      <c r="P13" s="621">
        <f t="shared" si="5"/>
        <v>390.9</v>
      </c>
      <c r="Q13" s="621">
        <f t="shared" si="5"/>
        <v>400.9</v>
      </c>
    </row>
    <row r="14" spans="2:18" ht="15.75">
      <c r="B14" s="53"/>
      <c r="C14" s="53"/>
      <c r="D14" s="621">
        <f t="shared" ref="D14:J14" si="6">D13-C13</f>
        <v>-3.8000000000000114</v>
      </c>
      <c r="E14" s="621">
        <f t="shared" si="6"/>
        <v>22.099999999999994</v>
      </c>
      <c r="F14" s="621">
        <f t="shared" si="6"/>
        <v>21.200000000000017</v>
      </c>
      <c r="G14" s="621">
        <f t="shared" si="6"/>
        <v>47.800000000000011</v>
      </c>
      <c r="H14" s="621">
        <f t="shared" si="6"/>
        <v>40.599999999999966</v>
      </c>
      <c r="I14" s="621">
        <f t="shared" si="6"/>
        <v>8</v>
      </c>
      <c r="J14" s="621">
        <f t="shared" si="6"/>
        <v>22.699999999999989</v>
      </c>
      <c r="K14" s="702">
        <v>10</v>
      </c>
      <c r="L14" s="702">
        <v>10</v>
      </c>
      <c r="M14" s="702">
        <v>10</v>
      </c>
      <c r="N14" s="702">
        <v>10</v>
      </c>
      <c r="O14" s="702">
        <v>10</v>
      </c>
      <c r="P14" s="702">
        <v>10</v>
      </c>
      <c r="Q14" s="702">
        <v>10</v>
      </c>
    </row>
    <row r="15" spans="2:18" ht="15.75">
      <c r="B15" s="53" t="s">
        <v>565</v>
      </c>
      <c r="C15" s="702">
        <v>221.2</v>
      </c>
      <c r="D15" s="702">
        <v>176.9</v>
      </c>
      <c r="E15" s="702">
        <v>196.7</v>
      </c>
      <c r="F15" s="702">
        <v>211.1</v>
      </c>
      <c r="G15" s="702">
        <v>246.2</v>
      </c>
      <c r="H15" s="702">
        <v>294.39999999999998</v>
      </c>
      <c r="I15" s="702">
        <v>300.89999999999998</v>
      </c>
      <c r="J15" s="702">
        <v>326.89999999999998</v>
      </c>
      <c r="K15" s="621">
        <f t="shared" ref="K15:Q15" si="7">J15+K16</f>
        <v>326.89999999999998</v>
      </c>
      <c r="L15" s="621">
        <f t="shared" si="7"/>
        <v>326.89999999999998</v>
      </c>
      <c r="M15" s="621">
        <f t="shared" si="7"/>
        <v>326.89999999999998</v>
      </c>
      <c r="N15" s="621">
        <f t="shared" si="7"/>
        <v>326.89999999999998</v>
      </c>
      <c r="O15" s="621">
        <f t="shared" si="7"/>
        <v>326.89999999999998</v>
      </c>
      <c r="P15" s="621">
        <f t="shared" si="7"/>
        <v>326.89999999999998</v>
      </c>
      <c r="Q15" s="621">
        <f t="shared" si="7"/>
        <v>326.89999999999998</v>
      </c>
    </row>
    <row r="16" spans="2:18" ht="15.75">
      <c r="B16" s="50"/>
      <c r="C16" s="50"/>
      <c r="D16" s="622">
        <f t="shared" ref="D16:J16" si="8">D15-C15</f>
        <v>-44.299999999999983</v>
      </c>
      <c r="E16" s="622">
        <f t="shared" si="8"/>
        <v>19.799999999999983</v>
      </c>
      <c r="F16" s="622">
        <f t="shared" si="8"/>
        <v>14.400000000000006</v>
      </c>
      <c r="G16" s="622">
        <f t="shared" si="8"/>
        <v>35.099999999999994</v>
      </c>
      <c r="H16" s="622">
        <f t="shared" si="8"/>
        <v>48.199999999999989</v>
      </c>
      <c r="I16" s="622">
        <f t="shared" si="8"/>
        <v>6.5</v>
      </c>
      <c r="J16" s="622">
        <f t="shared" si="8"/>
        <v>26</v>
      </c>
      <c r="K16" s="932">
        <v>0</v>
      </c>
      <c r="L16" s="932">
        <v>0</v>
      </c>
      <c r="M16" s="932">
        <v>0</v>
      </c>
      <c r="N16" s="932">
        <v>0</v>
      </c>
      <c r="O16" s="932">
        <v>0</v>
      </c>
      <c r="P16" s="932">
        <v>0</v>
      </c>
      <c r="Q16" s="932">
        <v>0</v>
      </c>
    </row>
    <row r="17" spans="2:17" ht="15.75">
      <c r="B17" s="53" t="s">
        <v>571</v>
      </c>
      <c r="C17" s="639">
        <f>C11+C13+C15</f>
        <v>496</v>
      </c>
      <c r="D17" s="639">
        <f>D11+D13+D15</f>
        <v>447.9</v>
      </c>
      <c r="E17" s="639">
        <f>E11+E13+E15</f>
        <v>505.4</v>
      </c>
      <c r="F17" s="639">
        <f>F11+F13+F15</f>
        <v>542.1</v>
      </c>
      <c r="G17" s="639">
        <f t="shared" ref="G17:Q17" si="9">G11+G13+G15</f>
        <v>634.20000000000005</v>
      </c>
      <c r="H17" s="639">
        <f t="shared" si="9"/>
        <v>733.4</v>
      </c>
      <c r="I17" s="639">
        <f t="shared" si="9"/>
        <v>741.09999999999991</v>
      </c>
      <c r="J17" s="639">
        <f t="shared" si="9"/>
        <v>787.8</v>
      </c>
      <c r="K17" s="639">
        <f t="shared" si="9"/>
        <v>802.8</v>
      </c>
      <c r="L17" s="639">
        <f t="shared" si="9"/>
        <v>817.8</v>
      </c>
      <c r="M17" s="639">
        <f t="shared" si="9"/>
        <v>832.8</v>
      </c>
      <c r="N17" s="639">
        <f t="shared" si="9"/>
        <v>847.8</v>
      </c>
      <c r="O17" s="639">
        <f t="shared" si="9"/>
        <v>862.8</v>
      </c>
      <c r="P17" s="639">
        <f t="shared" si="9"/>
        <v>877.8</v>
      </c>
      <c r="Q17" s="639">
        <f t="shared" si="9"/>
        <v>892.8</v>
      </c>
    </row>
    <row r="18" spans="2:17" ht="15.75">
      <c r="B18" s="53"/>
      <c r="C18" s="53"/>
      <c r="D18" s="621">
        <f t="shared" ref="D18:Q18" si="10">D17-C17</f>
        <v>-48.100000000000023</v>
      </c>
      <c r="E18" s="621">
        <f t="shared" si="10"/>
        <v>57.5</v>
      </c>
      <c r="F18" s="621">
        <f t="shared" si="10"/>
        <v>36.700000000000045</v>
      </c>
      <c r="G18" s="621">
        <f t="shared" si="10"/>
        <v>92.100000000000023</v>
      </c>
      <c r="H18" s="621">
        <f t="shared" si="10"/>
        <v>99.199999999999932</v>
      </c>
      <c r="I18" s="621">
        <f t="shared" si="10"/>
        <v>7.6999999999999318</v>
      </c>
      <c r="J18" s="621">
        <f t="shared" si="10"/>
        <v>46.700000000000045</v>
      </c>
      <c r="K18" s="621">
        <f t="shared" si="10"/>
        <v>15</v>
      </c>
      <c r="L18" s="621">
        <f t="shared" si="10"/>
        <v>15</v>
      </c>
      <c r="M18" s="621">
        <f t="shared" si="10"/>
        <v>15</v>
      </c>
      <c r="N18" s="621">
        <f t="shared" si="10"/>
        <v>15</v>
      </c>
      <c r="O18" s="621">
        <f t="shared" si="10"/>
        <v>15</v>
      </c>
      <c r="P18" s="621">
        <f t="shared" si="10"/>
        <v>15</v>
      </c>
      <c r="Q18" s="621">
        <f t="shared" si="10"/>
        <v>15</v>
      </c>
    </row>
    <row r="19" spans="2:17" ht="15.75">
      <c r="B19" s="53" t="s">
        <v>4048</v>
      </c>
      <c r="C19" s="685">
        <f t="shared" ref="C19:I19" si="11">C17/C8</f>
        <v>1.6762419736397434</v>
      </c>
      <c r="D19" s="685">
        <f t="shared" si="11"/>
        <v>1.9198456922417486</v>
      </c>
      <c r="E19" s="685">
        <f t="shared" si="11"/>
        <v>2.0544715447154469</v>
      </c>
      <c r="F19" s="685">
        <f t="shared" si="11"/>
        <v>2.0874085483249907</v>
      </c>
      <c r="G19" s="685">
        <f t="shared" si="11"/>
        <v>2.1375126390293229</v>
      </c>
      <c r="H19" s="685">
        <f t="shared" si="11"/>
        <v>2.2210781344639612</v>
      </c>
      <c r="I19" s="685">
        <f t="shared" si="11"/>
        <v>2.2335744424352018</v>
      </c>
      <c r="J19" s="974">
        <f t="shared" ref="J19:Q19" si="12">I19*1.01</f>
        <v>2.2559101868595537</v>
      </c>
      <c r="K19" s="974">
        <f t="shared" si="12"/>
        <v>2.2784692887281492</v>
      </c>
      <c r="L19" s="974">
        <f t="shared" si="12"/>
        <v>2.3012539816154307</v>
      </c>
      <c r="M19" s="974">
        <f t="shared" si="12"/>
        <v>2.3242665214315852</v>
      </c>
      <c r="N19" s="974">
        <f t="shared" si="12"/>
        <v>2.347509186645901</v>
      </c>
      <c r="O19" s="974">
        <f t="shared" si="12"/>
        <v>2.3709842785123603</v>
      </c>
      <c r="P19" s="974">
        <f t="shared" si="12"/>
        <v>2.3946941212974839</v>
      </c>
      <c r="Q19" s="974">
        <f t="shared" si="12"/>
        <v>2.4186410625104586</v>
      </c>
    </row>
    <row r="20" spans="2:17" ht="15.75">
      <c r="B20" s="53"/>
      <c r="C20" s="53"/>
      <c r="D20" s="621"/>
      <c r="E20" s="621"/>
      <c r="F20" s="53"/>
      <c r="G20" s="53"/>
      <c r="H20" s="53"/>
      <c r="I20" s="53"/>
      <c r="J20" s="53"/>
      <c r="K20" s="53"/>
      <c r="L20" s="53"/>
      <c r="M20" s="53"/>
      <c r="N20" s="53"/>
      <c r="O20" s="53"/>
      <c r="P20" s="53"/>
      <c r="Q20" s="53"/>
    </row>
    <row r="21" spans="2:17" ht="15.75">
      <c r="B21" s="53" t="s">
        <v>5</v>
      </c>
      <c r="C21" s="764">
        <v>944.8</v>
      </c>
      <c r="D21" s="764">
        <v>953.7</v>
      </c>
      <c r="E21" s="764">
        <v>935.9</v>
      </c>
      <c r="F21" s="764">
        <v>1073.0999999999999</v>
      </c>
      <c r="G21" s="764">
        <v>992.3</v>
      </c>
      <c r="H21" s="764">
        <v>1111.5</v>
      </c>
      <c r="I21" s="764">
        <v>1193.7</v>
      </c>
      <c r="J21" s="764">
        <v>1227.5</v>
      </c>
      <c r="K21" s="630">
        <f t="shared" ref="K21:Q21" si="13">J21+K22</f>
        <v>1227.5</v>
      </c>
      <c r="L21" s="630">
        <f t="shared" si="13"/>
        <v>1227.5</v>
      </c>
      <c r="M21" s="630">
        <f t="shared" si="13"/>
        <v>1227.5</v>
      </c>
      <c r="N21" s="630">
        <f t="shared" si="13"/>
        <v>1227.5</v>
      </c>
      <c r="O21" s="630">
        <f t="shared" si="13"/>
        <v>1227.5</v>
      </c>
      <c r="P21" s="630">
        <f t="shared" si="13"/>
        <v>1227.5</v>
      </c>
      <c r="Q21" s="630">
        <f t="shared" si="13"/>
        <v>1227.5</v>
      </c>
    </row>
    <row r="22" spans="2:17" ht="15.75">
      <c r="B22" s="53"/>
      <c r="C22" s="53"/>
      <c r="D22" s="621"/>
      <c r="E22" s="621">
        <f t="shared" ref="E22:J22" si="14">E21-D21</f>
        <v>-17.800000000000068</v>
      </c>
      <c r="F22" s="621">
        <f t="shared" si="14"/>
        <v>137.19999999999993</v>
      </c>
      <c r="G22" s="621">
        <f t="shared" si="14"/>
        <v>-80.799999999999955</v>
      </c>
      <c r="H22" s="621">
        <f t="shared" si="14"/>
        <v>119.20000000000005</v>
      </c>
      <c r="I22" s="621">
        <f t="shared" si="14"/>
        <v>82.200000000000045</v>
      </c>
      <c r="J22" s="621">
        <f t="shared" si="14"/>
        <v>33.799999999999955</v>
      </c>
      <c r="K22" s="702">
        <v>0</v>
      </c>
      <c r="L22" s="702">
        <v>0</v>
      </c>
      <c r="M22" s="702">
        <v>0</v>
      </c>
      <c r="N22" s="702">
        <v>0</v>
      </c>
      <c r="O22" s="702">
        <v>0</v>
      </c>
      <c r="P22" s="702">
        <v>0</v>
      </c>
      <c r="Q22" s="702">
        <v>0</v>
      </c>
    </row>
    <row r="23" spans="2:17" ht="15.75">
      <c r="B23" s="53" t="s">
        <v>573</v>
      </c>
      <c r="C23" s="630">
        <f>C17+C21</f>
        <v>1440.8</v>
      </c>
      <c r="D23" s="630">
        <f>D17+D21</f>
        <v>1401.6</v>
      </c>
      <c r="E23" s="630">
        <f>E17+E21</f>
        <v>1441.3</v>
      </c>
      <c r="F23" s="630">
        <f t="shared" ref="F23:Q23" si="15">F17+F21</f>
        <v>1615.1999999999998</v>
      </c>
      <c r="G23" s="630">
        <f t="shared" si="15"/>
        <v>1626.5</v>
      </c>
      <c r="H23" s="630">
        <f t="shared" si="15"/>
        <v>1844.9</v>
      </c>
      <c r="I23" s="630">
        <f t="shared" si="15"/>
        <v>1934.8</v>
      </c>
      <c r="J23" s="630">
        <f t="shared" si="15"/>
        <v>2015.3</v>
      </c>
      <c r="K23" s="630">
        <f t="shared" si="15"/>
        <v>2030.3</v>
      </c>
      <c r="L23" s="630">
        <f t="shared" si="15"/>
        <v>2045.3</v>
      </c>
      <c r="M23" s="630">
        <f t="shared" si="15"/>
        <v>2060.3000000000002</v>
      </c>
      <c r="N23" s="630">
        <f t="shared" si="15"/>
        <v>2075.3000000000002</v>
      </c>
      <c r="O23" s="630">
        <f t="shared" si="15"/>
        <v>2090.3000000000002</v>
      </c>
      <c r="P23" s="630">
        <f t="shared" si="15"/>
        <v>2105.3000000000002</v>
      </c>
      <c r="Q23" s="630">
        <f t="shared" si="15"/>
        <v>2120.3000000000002</v>
      </c>
    </row>
    <row r="24" spans="2:17" ht="15.75">
      <c r="B24" s="53"/>
      <c r="C24" s="53"/>
      <c r="D24" s="53"/>
      <c r="E24" s="53"/>
      <c r="F24" s="53"/>
      <c r="G24" s="53"/>
      <c r="H24" s="53"/>
      <c r="I24" s="53"/>
      <c r="J24" s="53"/>
      <c r="K24" s="53"/>
      <c r="L24" s="53"/>
      <c r="M24" s="53"/>
      <c r="N24" s="53"/>
      <c r="O24" s="53"/>
      <c r="P24" s="53"/>
      <c r="Q24" s="53"/>
    </row>
    <row r="25" spans="2:17" ht="15.75">
      <c r="B25" s="53" t="s">
        <v>4053</v>
      </c>
      <c r="C25" s="764">
        <v>328.6</v>
      </c>
      <c r="D25" s="764">
        <v>352.4</v>
      </c>
      <c r="E25" s="764">
        <v>362</v>
      </c>
      <c r="F25" s="764">
        <v>383.6</v>
      </c>
      <c r="G25" s="764">
        <v>376</v>
      </c>
      <c r="H25" s="764">
        <v>402</v>
      </c>
      <c r="I25" s="764">
        <v>429</v>
      </c>
      <c r="J25" s="764">
        <v>406</v>
      </c>
      <c r="K25" s="630">
        <f t="shared" ref="K25:Q25" si="16">K31/K28</f>
        <v>418.15461377811107</v>
      </c>
      <c r="L25" s="630">
        <f t="shared" si="16"/>
        <v>431.58031198993291</v>
      </c>
      <c r="M25" s="630">
        <f t="shared" si="16"/>
        <v>447.67070050843608</v>
      </c>
      <c r="N25" s="630">
        <f t="shared" si="16"/>
        <v>468.80095587235178</v>
      </c>
      <c r="O25" s="630">
        <f t="shared" si="16"/>
        <v>495.57799926280796</v>
      </c>
      <c r="P25" s="630">
        <f t="shared" si="16"/>
        <v>523.8573257556609</v>
      </c>
      <c r="Q25" s="630">
        <f t="shared" si="16"/>
        <v>553.72205267751224</v>
      </c>
    </row>
    <row r="26" spans="2:17" ht="15.75">
      <c r="B26" s="53" t="s">
        <v>78</v>
      </c>
      <c r="C26" s="53"/>
      <c r="D26" s="56">
        <f t="shared" ref="D26:I26" si="17">D25/C25-1</f>
        <v>7.2428484479610367E-2</v>
      </c>
      <c r="E26" s="56">
        <f t="shared" si="17"/>
        <v>2.7241770715096481E-2</v>
      </c>
      <c r="F26" s="56">
        <f t="shared" si="17"/>
        <v>5.9668508287292976E-2</v>
      </c>
      <c r="G26" s="56">
        <f t="shared" si="17"/>
        <v>-1.9812304483837417E-2</v>
      </c>
      <c r="H26" s="56">
        <f t="shared" si="17"/>
        <v>6.9148936170212671E-2</v>
      </c>
      <c r="I26" s="56">
        <f t="shared" si="17"/>
        <v>6.7164179104477695E-2</v>
      </c>
      <c r="J26" s="56">
        <f t="shared" ref="J26:Q26" si="18">J25/I25-1</f>
        <v>-5.3613053613053574E-2</v>
      </c>
      <c r="K26" s="56">
        <f t="shared" si="18"/>
        <v>2.9937472359879536E-2</v>
      </c>
      <c r="L26" s="56">
        <f t="shared" si="18"/>
        <v>3.2107019196842002E-2</v>
      </c>
      <c r="M26" s="56">
        <f t="shared" si="18"/>
        <v>3.7282489658329254E-2</v>
      </c>
      <c r="N26" s="56">
        <f t="shared" si="18"/>
        <v>4.7200442959338895E-2</v>
      </c>
      <c r="O26" s="56">
        <f t="shared" si="18"/>
        <v>5.7118150155280878E-2</v>
      </c>
      <c r="P26" s="56">
        <f t="shared" si="18"/>
        <v>5.7063321081483709E-2</v>
      </c>
      <c r="Q26" s="56">
        <f t="shared" si="18"/>
        <v>5.7009276101602113E-2</v>
      </c>
    </row>
    <row r="27" spans="2:17" ht="15.75">
      <c r="B27" s="53"/>
      <c r="C27" s="53"/>
      <c r="D27" s="53"/>
      <c r="E27" s="53"/>
      <c r="F27" s="53"/>
      <c r="G27" s="53"/>
      <c r="H27" s="53"/>
      <c r="I27" s="53"/>
      <c r="J27" s="53"/>
      <c r="K27" s="53"/>
      <c r="L27" s="53"/>
      <c r="M27" s="53"/>
      <c r="N27" s="53"/>
      <c r="O27" s="53"/>
      <c r="P27" s="53"/>
      <c r="Q27" s="53"/>
    </row>
    <row r="28" spans="2:17" ht="15.75">
      <c r="B28" s="53" t="s">
        <v>4066</v>
      </c>
      <c r="C28" s="764">
        <v>125</v>
      </c>
      <c r="D28" s="764">
        <v>128</v>
      </c>
      <c r="E28" s="764">
        <v>129</v>
      </c>
      <c r="F28" s="764">
        <v>133</v>
      </c>
      <c r="G28" s="764">
        <v>142</v>
      </c>
      <c r="H28" s="764">
        <v>151</v>
      </c>
      <c r="I28" s="764">
        <v>153</v>
      </c>
      <c r="J28" s="764">
        <v>154</v>
      </c>
      <c r="K28" s="764">
        <v>154.66999999999999</v>
      </c>
      <c r="L28" s="481">
        <f t="shared" ref="L28:Q28" si="19">(1+L29)*K28</f>
        <v>157.76339999999999</v>
      </c>
      <c r="M28" s="481">
        <f t="shared" si="19"/>
        <v>159.34103399999998</v>
      </c>
      <c r="N28" s="481">
        <f t="shared" si="19"/>
        <v>160.93444433999997</v>
      </c>
      <c r="O28" s="481">
        <f t="shared" si="19"/>
        <v>162.54378878339998</v>
      </c>
      <c r="P28" s="481">
        <f t="shared" si="19"/>
        <v>164.16922667123399</v>
      </c>
      <c r="Q28" s="481">
        <f t="shared" si="19"/>
        <v>165.81091893794633</v>
      </c>
    </row>
    <row r="29" spans="2:17" ht="15.75">
      <c r="B29" s="53" t="s">
        <v>78</v>
      </c>
      <c r="C29" s="53"/>
      <c r="D29" s="56">
        <f t="shared" ref="D29:K29" si="20">D28/C28-1</f>
        <v>2.4000000000000021E-2</v>
      </c>
      <c r="E29" s="56">
        <f t="shared" si="20"/>
        <v>7.8125E-3</v>
      </c>
      <c r="F29" s="56">
        <f t="shared" si="20"/>
        <v>3.1007751937984551E-2</v>
      </c>
      <c r="G29" s="56">
        <f t="shared" si="20"/>
        <v>6.7669172932330879E-2</v>
      </c>
      <c r="H29" s="56">
        <f t="shared" si="20"/>
        <v>6.3380281690140761E-2</v>
      </c>
      <c r="I29" s="56">
        <f t="shared" si="20"/>
        <v>1.3245033112582849E-2</v>
      </c>
      <c r="J29" s="56">
        <f t="shared" si="20"/>
        <v>6.5359477124182774E-3</v>
      </c>
      <c r="K29" s="56">
        <f t="shared" si="20"/>
        <v>4.3506493506493271E-3</v>
      </c>
      <c r="L29" s="784">
        <v>0.02</v>
      </c>
      <c r="M29" s="784">
        <v>0.01</v>
      </c>
      <c r="N29" s="784">
        <v>0.01</v>
      </c>
      <c r="O29" s="784">
        <v>0.01</v>
      </c>
      <c r="P29" s="784">
        <v>0.01</v>
      </c>
      <c r="Q29" s="784">
        <v>0.01</v>
      </c>
    </row>
    <row r="30" spans="2:17" ht="15.75">
      <c r="B30" s="53"/>
      <c r="C30" s="53"/>
      <c r="D30" s="53"/>
      <c r="E30" s="53"/>
      <c r="F30" s="53"/>
      <c r="G30" s="53"/>
      <c r="H30" s="53"/>
      <c r="I30" s="53"/>
      <c r="J30" s="53"/>
      <c r="K30" s="53"/>
      <c r="L30" s="53"/>
      <c r="M30" s="53"/>
      <c r="N30" s="53"/>
      <c r="O30" s="53"/>
      <c r="P30" s="53"/>
      <c r="Q30" s="53"/>
    </row>
    <row r="31" spans="2:17" ht="15.75">
      <c r="B31" s="53" t="s">
        <v>4065</v>
      </c>
      <c r="C31" s="630">
        <f t="shared" ref="C31:J31" si="21">C25*C28</f>
        <v>41075</v>
      </c>
      <c r="D31" s="630">
        <f t="shared" si="21"/>
        <v>45107.199999999997</v>
      </c>
      <c r="E31" s="630">
        <f t="shared" si="21"/>
        <v>46698</v>
      </c>
      <c r="F31" s="630">
        <f t="shared" si="21"/>
        <v>51018.8</v>
      </c>
      <c r="G31" s="630">
        <f t="shared" si="21"/>
        <v>53392</v>
      </c>
      <c r="H31" s="630">
        <f t="shared" si="21"/>
        <v>60702</v>
      </c>
      <c r="I31" s="630">
        <f t="shared" si="21"/>
        <v>65637</v>
      </c>
      <c r="J31" s="630">
        <f t="shared" si="21"/>
        <v>62524</v>
      </c>
      <c r="K31" s="630">
        <f t="shared" ref="K31:Q31" si="22">K34*12*AVERAGE(J23,K23)/1000</f>
        <v>64675.974113060438</v>
      </c>
      <c r="L31" s="630">
        <f t="shared" si="22"/>
        <v>68087.577392592575</v>
      </c>
      <c r="M31" s="630">
        <f t="shared" si="22"/>
        <v>71332.312310518522</v>
      </c>
      <c r="N31" s="630">
        <f t="shared" si="22"/>
        <v>75446.221339377778</v>
      </c>
      <c r="O31" s="630">
        <f t="shared" si="22"/>
        <v>80553.125637873803</v>
      </c>
      <c r="P31" s="630">
        <f t="shared" si="22"/>
        <v>86001.252055367557</v>
      </c>
      <c r="Q31" s="630">
        <f t="shared" si="22"/>
        <v>91813.162390664234</v>
      </c>
    </row>
    <row r="32" spans="2:17" ht="15.75">
      <c r="B32" s="53"/>
      <c r="C32" s="630"/>
      <c r="D32" s="630"/>
      <c r="E32" s="56">
        <f t="shared" ref="E32:Q32" si="23">E31/D31-1</f>
        <v>3.526709704880826E-2</v>
      </c>
      <c r="F32" s="56">
        <f t="shared" si="23"/>
        <v>9.252644652875941E-2</v>
      </c>
      <c r="G32" s="56">
        <f t="shared" si="23"/>
        <v>4.6516186190188602E-2</v>
      </c>
      <c r="H32" s="56">
        <f t="shared" si="23"/>
        <v>0.13691189691339534</v>
      </c>
      <c r="I32" s="56">
        <f t="shared" si="23"/>
        <v>8.1298803993278712E-2</v>
      </c>
      <c r="J32" s="56">
        <f t="shared" si="23"/>
        <v>-4.7427518015753289E-2</v>
      </c>
      <c r="K32" s="56">
        <f t="shared" si="23"/>
        <v>3.4418369155211348E-2</v>
      </c>
      <c r="L32" s="56">
        <f t="shared" si="23"/>
        <v>5.2749159580778748E-2</v>
      </c>
      <c r="M32" s="56">
        <f t="shared" si="23"/>
        <v>4.7655314554912565E-2</v>
      </c>
      <c r="N32" s="56">
        <f t="shared" si="23"/>
        <v>5.7672447388932069E-2</v>
      </c>
      <c r="O32" s="56">
        <f t="shared" si="23"/>
        <v>6.7689331656833662E-2</v>
      </c>
      <c r="P32" s="56">
        <f t="shared" si="23"/>
        <v>6.7633954292298792E-2</v>
      </c>
      <c r="Q32" s="56">
        <f t="shared" si="23"/>
        <v>6.7579368862618061E-2</v>
      </c>
    </row>
    <row r="33" spans="2:17" ht="15.75">
      <c r="B33" s="53"/>
      <c r="C33" s="53"/>
      <c r="D33" s="53"/>
      <c r="E33" s="53"/>
      <c r="F33" s="53"/>
      <c r="G33" s="53"/>
      <c r="H33" s="53"/>
      <c r="I33" s="53"/>
      <c r="J33" s="53"/>
      <c r="K33" s="53"/>
      <c r="L33" s="53"/>
      <c r="M33" s="53"/>
      <c r="N33" s="53"/>
      <c r="O33" s="53"/>
      <c r="P33" s="53"/>
      <c r="Q33" s="53"/>
    </row>
    <row r="34" spans="2:17" ht="15.75">
      <c r="B34" s="53" t="s">
        <v>4024</v>
      </c>
      <c r="C34" s="53"/>
      <c r="D34" s="621">
        <f t="shared" ref="D34:H34" si="24">D31*1000/12/(AVERAGE(C23,D23))</f>
        <v>2644.9010226100013</v>
      </c>
      <c r="E34" s="621">
        <f t="shared" si="24"/>
        <v>2737.6974216469102</v>
      </c>
      <c r="F34" s="621">
        <f t="shared" si="24"/>
        <v>2781.9837504771253</v>
      </c>
      <c r="G34" s="621">
        <f t="shared" si="24"/>
        <v>2745.0617474370442</v>
      </c>
      <c r="H34" s="621">
        <f t="shared" si="24"/>
        <v>2914.3861266347872</v>
      </c>
      <c r="I34" s="621">
        <f>I31*1000/12/(AVERAGE(H23,I23))</f>
        <v>2894.2773235971108</v>
      </c>
      <c r="J34" s="621">
        <f>J31*1000/12/(AVERAGE(I23,J23))</f>
        <v>2638.0766731643926</v>
      </c>
      <c r="K34" s="621">
        <f t="shared" ref="K34:Q34" si="25">(1+K35)*J34</f>
        <v>2664.4574398960367</v>
      </c>
      <c r="L34" s="621">
        <f t="shared" si="25"/>
        <v>2784.358024691358</v>
      </c>
      <c r="M34" s="621">
        <f t="shared" si="25"/>
        <v>2895.7323456790123</v>
      </c>
      <c r="N34" s="621">
        <f t="shared" si="25"/>
        <v>3040.5189629629631</v>
      </c>
      <c r="O34" s="621">
        <f t="shared" si="25"/>
        <v>3222.9501007407412</v>
      </c>
      <c r="P34" s="621">
        <f t="shared" si="25"/>
        <v>3416.3271067851856</v>
      </c>
      <c r="Q34" s="621">
        <f t="shared" si="25"/>
        <v>3621.3067331922971</v>
      </c>
    </row>
    <row r="35" spans="2:17" ht="15.75">
      <c r="B35" s="53"/>
      <c r="C35" s="53"/>
      <c r="D35" s="53"/>
      <c r="E35" s="54">
        <f t="shared" ref="E35:J35" si="26">E34/D34-1</f>
        <v>3.5085017640976712E-2</v>
      </c>
      <c r="F35" s="54">
        <f t="shared" si="26"/>
        <v>1.6176487759401059E-2</v>
      </c>
      <c r="G35" s="54">
        <f t="shared" si="26"/>
        <v>-1.3271825557481742E-2</v>
      </c>
      <c r="H35" s="54">
        <f t="shared" si="26"/>
        <v>6.1683267910397355E-2</v>
      </c>
      <c r="I35" s="54">
        <f t="shared" si="26"/>
        <v>-6.8998417381624932E-3</v>
      </c>
      <c r="J35" s="54">
        <f t="shared" si="26"/>
        <v>-8.8519731106590394E-2</v>
      </c>
      <c r="K35" s="784">
        <v>0.01</v>
      </c>
      <c r="L35" s="784">
        <v>4.4999999999999998E-2</v>
      </c>
      <c r="M35" s="784">
        <v>0.04</v>
      </c>
      <c r="N35" s="784">
        <v>0.05</v>
      </c>
      <c r="O35" s="784">
        <v>0.06</v>
      </c>
      <c r="P35" s="784">
        <v>0.06</v>
      </c>
      <c r="Q35" s="784">
        <v>0.06</v>
      </c>
    </row>
    <row r="36" spans="2:17" ht="15.75">
      <c r="B36" s="53"/>
      <c r="C36" s="53"/>
      <c r="D36" s="53"/>
      <c r="E36" s="53"/>
      <c r="F36" s="53"/>
      <c r="G36" s="53"/>
      <c r="H36" s="53"/>
      <c r="I36" s="53"/>
      <c r="J36" s="53"/>
      <c r="K36" s="53"/>
      <c r="L36" s="53"/>
      <c r="M36" s="53"/>
      <c r="N36" s="53"/>
      <c r="O36" s="53"/>
      <c r="P36" s="53"/>
      <c r="Q36" s="53"/>
    </row>
    <row r="37" spans="2:17" ht="15.75">
      <c r="B37" s="53" t="s">
        <v>8</v>
      </c>
      <c r="C37" s="481">
        <f t="shared" ref="C37:H37" si="27">C38*C25</f>
        <v>124.86800000000001</v>
      </c>
      <c r="D37" s="481">
        <f t="shared" si="27"/>
        <v>133.91200000000001</v>
      </c>
      <c r="E37" s="481">
        <f t="shared" si="27"/>
        <v>144.80000000000001</v>
      </c>
      <c r="F37" s="481">
        <f t="shared" si="27"/>
        <v>161.11199999999999</v>
      </c>
      <c r="G37" s="481">
        <f t="shared" si="27"/>
        <v>161.68</v>
      </c>
      <c r="H37" s="481">
        <f t="shared" si="27"/>
        <v>172.85999999999999</v>
      </c>
      <c r="I37" s="481">
        <f t="shared" ref="I37" si="28">I38*I25</f>
        <v>188.76</v>
      </c>
      <c r="J37" s="481">
        <f t="shared" ref="J37:Q37" si="29">J38*J25</f>
        <v>192.85</v>
      </c>
      <c r="K37" s="481">
        <f t="shared" si="29"/>
        <v>188.16957620014998</v>
      </c>
      <c r="L37" s="481">
        <f t="shared" si="29"/>
        <v>207.1585497551678</v>
      </c>
      <c r="M37" s="481">
        <f t="shared" si="29"/>
        <v>219.35864324913368</v>
      </c>
      <c r="N37" s="481">
        <f t="shared" si="29"/>
        <v>234.40047793617589</v>
      </c>
      <c r="O37" s="481">
        <f t="shared" si="29"/>
        <v>247.78899963140398</v>
      </c>
      <c r="P37" s="481">
        <f t="shared" si="29"/>
        <v>261.92866287783045</v>
      </c>
      <c r="Q37" s="481">
        <f t="shared" si="29"/>
        <v>276.86102633875612</v>
      </c>
    </row>
    <row r="38" spans="2:17" ht="15.75">
      <c r="B38" s="53" t="s">
        <v>251</v>
      </c>
      <c r="C38" s="784">
        <v>0.38</v>
      </c>
      <c r="D38" s="784">
        <v>0.38</v>
      </c>
      <c r="E38" s="784">
        <v>0.4</v>
      </c>
      <c r="F38" s="784">
        <v>0.42</v>
      </c>
      <c r="G38" s="784">
        <v>0.43</v>
      </c>
      <c r="H38" s="784">
        <v>0.43</v>
      </c>
      <c r="I38" s="784">
        <v>0.44</v>
      </c>
      <c r="J38" s="933">
        <v>0.47499999999999998</v>
      </c>
      <c r="K38" s="933">
        <v>0.45</v>
      </c>
      <c r="L38" s="933">
        <v>0.48</v>
      </c>
      <c r="M38" s="933">
        <v>0.49</v>
      </c>
      <c r="N38" s="933">
        <v>0.5</v>
      </c>
      <c r="O38" s="933">
        <v>0.5</v>
      </c>
      <c r="P38" s="933">
        <v>0.5</v>
      </c>
      <c r="Q38" s="933">
        <v>0.5</v>
      </c>
    </row>
    <row r="40" spans="2:17" ht="15.75">
      <c r="B40" s="53" t="s">
        <v>19</v>
      </c>
      <c r="C40" s="481">
        <f t="shared" ref="C40:H40" si="30">C41*C25</f>
        <v>65.720000000000013</v>
      </c>
      <c r="D40" s="481">
        <f t="shared" si="30"/>
        <v>70.48</v>
      </c>
      <c r="E40" s="481">
        <f t="shared" si="30"/>
        <v>65.16</v>
      </c>
      <c r="F40" s="481">
        <f t="shared" si="30"/>
        <v>69.048000000000002</v>
      </c>
      <c r="G40" s="481">
        <f t="shared" si="30"/>
        <v>52.640000000000008</v>
      </c>
      <c r="H40" s="481">
        <f t="shared" si="30"/>
        <v>72.36</v>
      </c>
      <c r="I40" s="481">
        <f t="shared" ref="I40" si="31">I41*I25</f>
        <v>68.64</v>
      </c>
      <c r="J40" s="481">
        <f t="shared" ref="J40:Q40" si="32">J41*J25</f>
        <v>64.960000000000008</v>
      </c>
      <c r="K40" s="481">
        <f t="shared" si="32"/>
        <v>66.904738204497775</v>
      </c>
      <c r="L40" s="481">
        <f t="shared" si="32"/>
        <v>69.052849918389271</v>
      </c>
      <c r="M40" s="481">
        <f t="shared" si="32"/>
        <v>71.627312081349771</v>
      </c>
      <c r="N40" s="481">
        <f t="shared" si="32"/>
        <v>75.008152939576291</v>
      </c>
      <c r="O40" s="481">
        <f t="shared" si="32"/>
        <v>79.292479882049278</v>
      </c>
      <c r="P40" s="481">
        <f t="shared" si="32"/>
        <v>83.817172120905738</v>
      </c>
      <c r="Q40" s="481">
        <f t="shared" si="32"/>
        <v>88.595528428401963</v>
      </c>
    </row>
    <row r="41" spans="2:17" ht="15.75">
      <c r="B41" s="53" t="s">
        <v>251</v>
      </c>
      <c r="C41" s="784">
        <v>0.2</v>
      </c>
      <c r="D41" s="784">
        <v>0.2</v>
      </c>
      <c r="E41" s="784">
        <v>0.18</v>
      </c>
      <c r="F41" s="784">
        <v>0.18</v>
      </c>
      <c r="G41" s="784">
        <v>0.14000000000000001</v>
      </c>
      <c r="H41" s="784">
        <v>0.18</v>
      </c>
      <c r="I41" s="784">
        <v>0.16</v>
      </c>
      <c r="J41" s="933">
        <v>0.16</v>
      </c>
      <c r="K41" s="933">
        <v>0.16</v>
      </c>
      <c r="L41" s="933">
        <v>0.16</v>
      </c>
      <c r="M41" s="933">
        <v>0.16</v>
      </c>
      <c r="N41" s="933">
        <v>0.16</v>
      </c>
      <c r="O41" s="933">
        <v>0.16</v>
      </c>
      <c r="P41" s="933">
        <v>0.16</v>
      </c>
      <c r="Q41" s="933">
        <v>0.16</v>
      </c>
    </row>
    <row r="43" spans="2:17" ht="15.75">
      <c r="B43" s="53" t="s">
        <v>27</v>
      </c>
      <c r="C43" s="481">
        <f>C37-C40</f>
        <v>59.147999999999996</v>
      </c>
      <c r="D43" s="481">
        <f t="shared" ref="D43:I43" si="33">D37-D40</f>
        <v>63.432000000000002</v>
      </c>
      <c r="E43" s="481">
        <f t="shared" si="33"/>
        <v>79.640000000000015</v>
      </c>
      <c r="F43" s="481">
        <f t="shared" si="33"/>
        <v>92.063999999999993</v>
      </c>
      <c r="G43" s="481">
        <f t="shared" si="33"/>
        <v>109.03999999999999</v>
      </c>
      <c r="H43" s="481">
        <f t="shared" si="33"/>
        <v>100.49999999999999</v>
      </c>
      <c r="I43" s="481">
        <f t="shared" si="33"/>
        <v>120.11999999999999</v>
      </c>
      <c r="J43" s="481">
        <f t="shared" ref="J43:Q43" si="34">J37-J40</f>
        <v>127.88999999999999</v>
      </c>
      <c r="K43" s="481">
        <f t="shared" si="34"/>
        <v>121.2648379956522</v>
      </c>
      <c r="L43" s="481">
        <f t="shared" si="34"/>
        <v>138.10569983677851</v>
      </c>
      <c r="M43" s="481">
        <f t="shared" si="34"/>
        <v>147.73133116778391</v>
      </c>
      <c r="N43" s="481">
        <f t="shared" si="34"/>
        <v>159.3923249965996</v>
      </c>
      <c r="O43" s="481">
        <f t="shared" si="34"/>
        <v>168.49651974935472</v>
      </c>
      <c r="P43" s="481">
        <f t="shared" si="34"/>
        <v>178.1114907569247</v>
      </c>
      <c r="Q43" s="481">
        <f t="shared" si="34"/>
        <v>188.26549791035416</v>
      </c>
    </row>
    <row r="45" spans="2:17" ht="15.75">
      <c r="B45" s="636" t="s">
        <v>3871</v>
      </c>
      <c r="C45" s="636">
        <v>2016</v>
      </c>
      <c r="D45" s="636">
        <v>2017</v>
      </c>
      <c r="E45" s="636">
        <f>D45+1</f>
        <v>2018</v>
      </c>
      <c r="F45" s="636">
        <f>E45+1</f>
        <v>2019</v>
      </c>
      <c r="G45" s="636">
        <f t="shared" ref="G45:Q45" si="35">F45+1</f>
        <v>2020</v>
      </c>
      <c r="H45" s="636">
        <f t="shared" si="35"/>
        <v>2021</v>
      </c>
      <c r="I45" s="636">
        <f t="shared" si="35"/>
        <v>2022</v>
      </c>
      <c r="J45" s="636">
        <f t="shared" si="35"/>
        <v>2023</v>
      </c>
      <c r="K45" s="636">
        <f t="shared" si="35"/>
        <v>2024</v>
      </c>
      <c r="L45" s="636">
        <f t="shared" si="35"/>
        <v>2025</v>
      </c>
      <c r="M45" s="636">
        <f t="shared" si="35"/>
        <v>2026</v>
      </c>
      <c r="N45" s="636">
        <f t="shared" si="35"/>
        <v>2027</v>
      </c>
      <c r="O45" s="636">
        <f t="shared" si="35"/>
        <v>2028</v>
      </c>
      <c r="P45" s="636">
        <f t="shared" si="35"/>
        <v>2029</v>
      </c>
      <c r="Q45" s="636">
        <f t="shared" si="35"/>
        <v>2030</v>
      </c>
    </row>
    <row r="46" spans="2:17" ht="15.75">
      <c r="B46" s="58" t="s">
        <v>2060</v>
      </c>
      <c r="C46" s="53"/>
      <c r="D46" s="53"/>
      <c r="E46" s="53"/>
      <c r="F46" s="53"/>
      <c r="G46" s="53"/>
      <c r="H46" s="53"/>
      <c r="I46" s="53"/>
      <c r="J46" s="53"/>
      <c r="K46" s="53"/>
      <c r="L46" s="53"/>
      <c r="M46" s="53"/>
      <c r="N46" s="53"/>
      <c r="O46" s="53"/>
      <c r="P46" s="53"/>
      <c r="Q46" s="53"/>
    </row>
    <row r="47" spans="2:17" ht="15.75">
      <c r="B47" s="53"/>
      <c r="C47" s="53"/>
      <c r="D47" s="53"/>
      <c r="E47" s="53"/>
      <c r="F47" s="53"/>
      <c r="G47" s="53"/>
      <c r="H47" s="53"/>
      <c r="I47" s="53"/>
      <c r="J47" s="53"/>
      <c r="K47" s="53"/>
      <c r="L47" s="53"/>
      <c r="M47" s="53"/>
      <c r="N47" s="53"/>
      <c r="O47" s="53"/>
      <c r="P47" s="53"/>
      <c r="Q47" s="53"/>
    </row>
    <row r="48" spans="2:17" ht="15.75">
      <c r="B48" s="53" t="s">
        <v>557</v>
      </c>
      <c r="C48" s="702">
        <v>310.5</v>
      </c>
      <c r="D48" s="702">
        <v>316</v>
      </c>
      <c r="E48" s="702">
        <v>324.5</v>
      </c>
      <c r="F48" s="702">
        <v>329.6</v>
      </c>
      <c r="G48" s="702">
        <v>334.6</v>
      </c>
      <c r="H48" s="702">
        <v>337.6</v>
      </c>
      <c r="I48" s="702">
        <v>340.9</v>
      </c>
      <c r="J48" s="702">
        <v>341.7</v>
      </c>
      <c r="K48" s="53"/>
      <c r="L48" s="53"/>
      <c r="M48" s="53"/>
      <c r="N48" s="53"/>
      <c r="O48" s="53"/>
      <c r="P48" s="53"/>
      <c r="Q48" s="53"/>
    </row>
    <row r="49" spans="2:17" ht="15.75">
      <c r="B49" s="53"/>
      <c r="C49" s="53"/>
      <c r="D49" s="621">
        <f>D48-C48</f>
        <v>5.5</v>
      </c>
      <c r="E49" s="621">
        <f>E48-D48</f>
        <v>8.5</v>
      </c>
      <c r="F49" s="621">
        <f>F48-E48</f>
        <v>5.1000000000000227</v>
      </c>
      <c r="G49" s="621">
        <f>G48-F48</f>
        <v>5</v>
      </c>
      <c r="H49" s="621">
        <f>H48-G48</f>
        <v>3</v>
      </c>
      <c r="I49" s="53"/>
      <c r="J49" s="53"/>
      <c r="K49" s="53"/>
      <c r="L49" s="53"/>
      <c r="M49" s="53"/>
      <c r="N49" s="53"/>
      <c r="O49" s="53"/>
      <c r="P49" s="53"/>
      <c r="Q49" s="53"/>
    </row>
    <row r="50" spans="2:17" ht="15.75">
      <c r="B50" s="53" t="s">
        <v>2302</v>
      </c>
      <c r="C50" s="702">
        <v>310.5</v>
      </c>
      <c r="D50" s="702">
        <v>316</v>
      </c>
      <c r="E50" s="702">
        <v>324.5</v>
      </c>
      <c r="F50" s="702">
        <v>329.6</v>
      </c>
      <c r="G50" s="702">
        <v>334.6</v>
      </c>
      <c r="H50" s="702">
        <v>334.6</v>
      </c>
      <c r="I50" s="702">
        <v>340.9</v>
      </c>
      <c r="J50" s="702">
        <v>341.7</v>
      </c>
      <c r="K50" s="53"/>
      <c r="L50" s="53"/>
      <c r="M50" s="53"/>
      <c r="N50" s="53"/>
      <c r="O50" s="53"/>
      <c r="P50" s="53"/>
      <c r="Q50" s="53"/>
    </row>
    <row r="51" spans="2:17" ht="15.75">
      <c r="B51" s="53" t="s">
        <v>2303</v>
      </c>
      <c r="C51" s="702">
        <v>166.4</v>
      </c>
      <c r="D51" s="702">
        <v>156.30000000000001</v>
      </c>
      <c r="E51" s="702">
        <v>156.1</v>
      </c>
      <c r="F51" s="702">
        <v>158.9</v>
      </c>
      <c r="G51" s="702">
        <v>157</v>
      </c>
      <c r="H51" s="702">
        <v>159.6</v>
      </c>
      <c r="I51" s="702">
        <v>155.6</v>
      </c>
      <c r="J51" s="702">
        <v>147.4</v>
      </c>
      <c r="K51" s="621">
        <f t="shared" ref="K51:Q51" si="36">K60/K62</f>
        <v>146.39637355365767</v>
      </c>
      <c r="L51" s="621">
        <f t="shared" si="36"/>
        <v>145.39817133456376</v>
      </c>
      <c r="M51" s="621">
        <f t="shared" si="36"/>
        <v>144.40538431738176</v>
      </c>
      <c r="N51" s="621">
        <f t="shared" si="36"/>
        <v>143.41800312375983</v>
      </c>
      <c r="O51" s="621">
        <f t="shared" si="36"/>
        <v>142.43601803020596</v>
      </c>
      <c r="P51" s="621">
        <f t="shared" si="36"/>
        <v>141.45941897584177</v>
      </c>
      <c r="Q51" s="621">
        <f t="shared" si="36"/>
        <v>140.48819557003668</v>
      </c>
    </row>
    <row r="52" spans="2:17" ht="15.75">
      <c r="B52" s="53"/>
      <c r="C52" s="53"/>
      <c r="D52" s="53"/>
      <c r="E52" s="53"/>
      <c r="F52" s="53"/>
      <c r="G52" s="53"/>
      <c r="H52" s="53"/>
      <c r="I52" s="53"/>
      <c r="J52" s="53"/>
      <c r="K52" s="53"/>
      <c r="L52" s="53"/>
      <c r="M52" s="53"/>
      <c r="N52" s="53"/>
      <c r="O52" s="53"/>
      <c r="P52" s="53"/>
      <c r="Q52" s="53"/>
    </row>
    <row r="53" spans="2:17" ht="15.75">
      <c r="B53" s="53"/>
      <c r="C53" s="53"/>
      <c r="D53" s="621"/>
      <c r="E53" s="621"/>
      <c r="F53" s="53"/>
      <c r="G53" s="53"/>
      <c r="H53" s="53"/>
      <c r="I53" s="53"/>
      <c r="J53" s="53"/>
      <c r="K53" s="53"/>
      <c r="L53" s="53"/>
      <c r="M53" s="53"/>
      <c r="N53" s="53"/>
      <c r="O53" s="53"/>
      <c r="P53" s="53"/>
      <c r="Q53" s="53"/>
    </row>
    <row r="54" spans="2:17" ht="15.75">
      <c r="B54" s="53" t="s">
        <v>1568</v>
      </c>
      <c r="C54" s="702">
        <v>117.2</v>
      </c>
      <c r="D54" s="702">
        <v>107.4</v>
      </c>
      <c r="E54" s="702">
        <v>107.8</v>
      </c>
      <c r="F54" s="702">
        <v>109.5</v>
      </c>
      <c r="G54" s="702">
        <v>106.2</v>
      </c>
      <c r="H54" s="702">
        <v>104.5</v>
      </c>
      <c r="I54" s="702">
        <v>101.8</v>
      </c>
      <c r="J54" s="702">
        <v>97.1</v>
      </c>
      <c r="K54" s="621">
        <f t="shared" ref="K54:Q54" si="37">J54+K55</f>
        <v>97.1</v>
      </c>
      <c r="L54" s="621">
        <f t="shared" si="37"/>
        <v>97.1</v>
      </c>
      <c r="M54" s="621">
        <f t="shared" si="37"/>
        <v>97.1</v>
      </c>
      <c r="N54" s="621">
        <f t="shared" si="37"/>
        <v>97.1</v>
      </c>
      <c r="O54" s="621">
        <f t="shared" si="37"/>
        <v>97.1</v>
      </c>
      <c r="P54" s="621">
        <f t="shared" si="37"/>
        <v>97.1</v>
      </c>
      <c r="Q54" s="621">
        <f t="shared" si="37"/>
        <v>97.1</v>
      </c>
    </row>
    <row r="55" spans="2:17" ht="15.75">
      <c r="B55" s="53"/>
      <c r="C55" s="53"/>
      <c r="D55" s="621">
        <f t="shared" ref="D55:J55" si="38">D54-C54</f>
        <v>-9.7999999999999972</v>
      </c>
      <c r="E55" s="621">
        <f t="shared" si="38"/>
        <v>0.39999999999999147</v>
      </c>
      <c r="F55" s="621">
        <f t="shared" si="38"/>
        <v>1.7000000000000028</v>
      </c>
      <c r="G55" s="621">
        <f t="shared" si="38"/>
        <v>-3.2999999999999972</v>
      </c>
      <c r="H55" s="621">
        <f t="shared" si="38"/>
        <v>-1.7000000000000028</v>
      </c>
      <c r="I55" s="621">
        <f t="shared" si="38"/>
        <v>-2.7000000000000028</v>
      </c>
      <c r="J55" s="621">
        <f t="shared" si="38"/>
        <v>-4.7000000000000028</v>
      </c>
      <c r="K55" s="702">
        <v>0</v>
      </c>
      <c r="L55" s="702">
        <v>0</v>
      </c>
      <c r="M55" s="702">
        <v>0</v>
      </c>
      <c r="N55" s="702">
        <v>0</v>
      </c>
      <c r="O55" s="702">
        <v>0</v>
      </c>
      <c r="P55" s="702">
        <v>0</v>
      </c>
      <c r="Q55" s="702">
        <v>0</v>
      </c>
    </row>
    <row r="56" spans="2:17" ht="15.75">
      <c r="B56" s="53" t="s">
        <v>1567</v>
      </c>
      <c r="C56" s="702">
        <v>123.5</v>
      </c>
      <c r="D56" s="702">
        <v>124.3</v>
      </c>
      <c r="E56" s="702">
        <v>129.69999999999999</v>
      </c>
      <c r="F56" s="702">
        <v>137.69999999999999</v>
      </c>
      <c r="G56" s="702">
        <v>140.1</v>
      </c>
      <c r="H56" s="702">
        <v>143.30000000000001</v>
      </c>
      <c r="I56" s="702">
        <v>140.30000000000001</v>
      </c>
      <c r="J56" s="702">
        <v>131.19999999999999</v>
      </c>
      <c r="K56" s="621">
        <f t="shared" ref="K56:Q56" si="39">J56+K57</f>
        <v>132.19999999999999</v>
      </c>
      <c r="L56" s="621">
        <f t="shared" si="39"/>
        <v>133.19999999999999</v>
      </c>
      <c r="M56" s="621">
        <f t="shared" si="39"/>
        <v>134.19999999999999</v>
      </c>
      <c r="N56" s="621">
        <f t="shared" si="39"/>
        <v>135.19999999999999</v>
      </c>
      <c r="O56" s="621">
        <f t="shared" si="39"/>
        <v>136.19999999999999</v>
      </c>
      <c r="P56" s="621">
        <f t="shared" si="39"/>
        <v>137.19999999999999</v>
      </c>
      <c r="Q56" s="621">
        <f t="shared" si="39"/>
        <v>138.19999999999999</v>
      </c>
    </row>
    <row r="57" spans="2:17" ht="15.75">
      <c r="B57" s="53"/>
      <c r="C57" s="53"/>
      <c r="D57" s="621">
        <f t="shared" ref="D57:J57" si="40">D56-C56</f>
        <v>0.79999999999999716</v>
      </c>
      <c r="E57" s="621">
        <f t="shared" si="40"/>
        <v>5.3999999999999915</v>
      </c>
      <c r="F57" s="621">
        <f t="shared" si="40"/>
        <v>8</v>
      </c>
      <c r="G57" s="621">
        <f t="shared" si="40"/>
        <v>2.4000000000000057</v>
      </c>
      <c r="H57" s="621">
        <f t="shared" si="40"/>
        <v>3.2000000000000171</v>
      </c>
      <c r="I57" s="621">
        <f t="shared" si="40"/>
        <v>-3</v>
      </c>
      <c r="J57" s="621">
        <f t="shared" si="40"/>
        <v>-9.1000000000000227</v>
      </c>
      <c r="K57" s="702">
        <v>1</v>
      </c>
      <c r="L57" s="702">
        <v>1</v>
      </c>
      <c r="M57" s="702">
        <v>1</v>
      </c>
      <c r="N57" s="702">
        <v>1</v>
      </c>
      <c r="O57" s="702">
        <v>1</v>
      </c>
      <c r="P57" s="702">
        <v>1</v>
      </c>
      <c r="Q57" s="702">
        <v>1</v>
      </c>
    </row>
    <row r="58" spans="2:17" ht="15.75">
      <c r="B58" s="53" t="s">
        <v>565</v>
      </c>
      <c r="C58" s="702">
        <v>30.7</v>
      </c>
      <c r="D58" s="702">
        <v>49.5</v>
      </c>
      <c r="E58" s="702">
        <v>64</v>
      </c>
      <c r="F58" s="702">
        <v>81.599999999999994</v>
      </c>
      <c r="G58" s="702">
        <v>86.2</v>
      </c>
      <c r="H58" s="702">
        <v>87.2</v>
      </c>
      <c r="I58" s="702">
        <v>94.2</v>
      </c>
      <c r="J58" s="702">
        <v>91.9</v>
      </c>
      <c r="K58" s="621">
        <f t="shared" ref="K58:Q58" si="41">J58+K59</f>
        <v>91.9</v>
      </c>
      <c r="L58" s="621">
        <f t="shared" si="41"/>
        <v>91.9</v>
      </c>
      <c r="M58" s="621">
        <f t="shared" si="41"/>
        <v>91.9</v>
      </c>
      <c r="N58" s="621">
        <f t="shared" si="41"/>
        <v>91.9</v>
      </c>
      <c r="O58" s="621">
        <f t="shared" si="41"/>
        <v>91.9</v>
      </c>
      <c r="P58" s="621">
        <f t="shared" si="41"/>
        <v>91.9</v>
      </c>
      <c r="Q58" s="621">
        <f t="shared" si="41"/>
        <v>91.9</v>
      </c>
    </row>
    <row r="59" spans="2:17" ht="15.75">
      <c r="B59" s="50"/>
      <c r="C59" s="50"/>
      <c r="D59" s="622">
        <f t="shared" ref="D59:J59" si="42">D58-C58</f>
        <v>18.8</v>
      </c>
      <c r="E59" s="622">
        <f t="shared" si="42"/>
        <v>14.5</v>
      </c>
      <c r="F59" s="622">
        <f t="shared" si="42"/>
        <v>17.599999999999994</v>
      </c>
      <c r="G59" s="622">
        <f t="shared" si="42"/>
        <v>4.6000000000000085</v>
      </c>
      <c r="H59" s="622">
        <f t="shared" si="42"/>
        <v>1</v>
      </c>
      <c r="I59" s="622">
        <f t="shared" si="42"/>
        <v>7</v>
      </c>
      <c r="J59" s="622">
        <f t="shared" si="42"/>
        <v>-2.2999999999999972</v>
      </c>
      <c r="K59" s="932">
        <v>0</v>
      </c>
      <c r="L59" s="932">
        <v>0</v>
      </c>
      <c r="M59" s="932">
        <v>0</v>
      </c>
      <c r="N59" s="932">
        <v>0</v>
      </c>
      <c r="O59" s="932">
        <v>0</v>
      </c>
      <c r="P59" s="932">
        <v>0</v>
      </c>
      <c r="Q59" s="932">
        <v>0</v>
      </c>
    </row>
    <row r="60" spans="2:17" ht="15.75">
      <c r="B60" s="53" t="s">
        <v>571</v>
      </c>
      <c r="C60" s="639">
        <f>C54+C56+C58</f>
        <v>271.39999999999998</v>
      </c>
      <c r="D60" s="639">
        <f>D54+D56+D58</f>
        <v>281.2</v>
      </c>
      <c r="E60" s="639">
        <f>E54+E56+E58</f>
        <v>301.5</v>
      </c>
      <c r="F60" s="639">
        <f>F54+F56+F58</f>
        <v>328.79999999999995</v>
      </c>
      <c r="G60" s="639">
        <f t="shared" ref="G60:Q60" si="43">G54+G56+G58</f>
        <v>332.5</v>
      </c>
      <c r="H60" s="639">
        <f t="shared" si="43"/>
        <v>335</v>
      </c>
      <c r="I60" s="639">
        <f t="shared" si="43"/>
        <v>336.3</v>
      </c>
      <c r="J60" s="639">
        <f t="shared" ref="J60" si="44">J54+J56+J58</f>
        <v>320.2</v>
      </c>
      <c r="K60" s="639">
        <f t="shared" si="43"/>
        <v>321.2</v>
      </c>
      <c r="L60" s="639">
        <f t="shared" si="43"/>
        <v>322.2</v>
      </c>
      <c r="M60" s="639">
        <f t="shared" si="43"/>
        <v>323.2</v>
      </c>
      <c r="N60" s="639">
        <f t="shared" si="43"/>
        <v>324.2</v>
      </c>
      <c r="O60" s="639">
        <f t="shared" si="43"/>
        <v>325.2</v>
      </c>
      <c r="P60" s="639">
        <f t="shared" si="43"/>
        <v>326.2</v>
      </c>
      <c r="Q60" s="639">
        <f t="shared" si="43"/>
        <v>327.2</v>
      </c>
    </row>
    <row r="61" spans="2:17" ht="15.75">
      <c r="B61" s="53"/>
      <c r="C61" s="53"/>
      <c r="D61" s="621">
        <f t="shared" ref="D61:Q61" si="45">D60-C60</f>
        <v>9.8000000000000114</v>
      </c>
      <c r="E61" s="621">
        <f t="shared" si="45"/>
        <v>20.300000000000011</v>
      </c>
      <c r="F61" s="621">
        <f t="shared" si="45"/>
        <v>27.299999999999955</v>
      </c>
      <c r="G61" s="621">
        <f t="shared" si="45"/>
        <v>3.7000000000000455</v>
      </c>
      <c r="H61" s="621">
        <f t="shared" si="45"/>
        <v>2.5</v>
      </c>
      <c r="I61" s="621">
        <f t="shared" si="45"/>
        <v>1.3000000000000114</v>
      </c>
      <c r="J61" s="621">
        <f t="shared" si="45"/>
        <v>-16.100000000000023</v>
      </c>
      <c r="K61" s="621">
        <f t="shared" si="45"/>
        <v>1</v>
      </c>
      <c r="L61" s="621">
        <f t="shared" si="45"/>
        <v>1</v>
      </c>
      <c r="M61" s="621">
        <f t="shared" si="45"/>
        <v>1</v>
      </c>
      <c r="N61" s="621">
        <f t="shared" si="45"/>
        <v>1</v>
      </c>
      <c r="O61" s="621">
        <f t="shared" si="45"/>
        <v>1</v>
      </c>
      <c r="P61" s="621">
        <f t="shared" si="45"/>
        <v>1</v>
      </c>
      <c r="Q61" s="621">
        <f t="shared" si="45"/>
        <v>1</v>
      </c>
    </row>
    <row r="62" spans="2:17" ht="15.75">
      <c r="B62" s="53" t="s">
        <v>4048</v>
      </c>
      <c r="C62" s="685">
        <f t="shared" ref="C62:I62" si="46">C60/C51</f>
        <v>1.6310096153846152</v>
      </c>
      <c r="D62" s="685">
        <f t="shared" si="46"/>
        <v>1.7991042866282787</v>
      </c>
      <c r="E62" s="685">
        <f t="shared" si="46"/>
        <v>1.931454196028187</v>
      </c>
      <c r="F62" s="685">
        <f t="shared" si="46"/>
        <v>2.0692259282567651</v>
      </c>
      <c r="G62" s="685">
        <f t="shared" si="46"/>
        <v>2.1178343949044587</v>
      </c>
      <c r="H62" s="685">
        <f t="shared" si="46"/>
        <v>2.0989974937343359</v>
      </c>
      <c r="I62" s="685">
        <f t="shared" si="46"/>
        <v>2.1613110539845759</v>
      </c>
      <c r="J62" s="685">
        <f t="shared" ref="J62" si="47">J60/J51</f>
        <v>2.1723202170963365</v>
      </c>
      <c r="K62" s="974">
        <f t="shared" ref="K62:Q62" si="48">J62*1.01</f>
        <v>2.1940434192672997</v>
      </c>
      <c r="L62" s="974">
        <f t="shared" si="48"/>
        <v>2.215983853459973</v>
      </c>
      <c r="M62" s="974">
        <f t="shared" si="48"/>
        <v>2.2381436919945727</v>
      </c>
      <c r="N62" s="974">
        <f t="shared" si="48"/>
        <v>2.2605251289145185</v>
      </c>
      <c r="O62" s="974">
        <f t="shared" si="48"/>
        <v>2.2831303802036635</v>
      </c>
      <c r="P62" s="974">
        <f t="shared" si="48"/>
        <v>2.3059616840057</v>
      </c>
      <c r="Q62" s="974">
        <f t="shared" si="48"/>
        <v>2.3290213008457572</v>
      </c>
    </row>
    <row r="63" spans="2:17" ht="15.75">
      <c r="B63" s="53"/>
      <c r="C63" s="53"/>
      <c r="D63" s="621"/>
      <c r="E63" s="621"/>
      <c r="F63" s="53"/>
      <c r="G63" s="53"/>
      <c r="H63" s="53"/>
      <c r="I63" s="53"/>
      <c r="J63" s="53"/>
      <c r="K63" s="53"/>
      <c r="L63" s="53"/>
      <c r="M63" s="53"/>
      <c r="N63" s="53"/>
      <c r="O63" s="53"/>
      <c r="P63" s="53"/>
      <c r="Q63" s="53"/>
    </row>
    <row r="64" spans="2:17" ht="15.75">
      <c r="B64" s="53" t="s">
        <v>5</v>
      </c>
      <c r="C64" s="764">
        <v>0</v>
      </c>
      <c r="D64" s="764">
        <v>0</v>
      </c>
      <c r="E64" s="764">
        <v>0</v>
      </c>
      <c r="F64" s="764">
        <v>0</v>
      </c>
      <c r="G64" s="764">
        <v>0</v>
      </c>
      <c r="H64" s="764">
        <v>0</v>
      </c>
      <c r="I64" s="764">
        <v>0</v>
      </c>
      <c r="J64" s="764">
        <v>0</v>
      </c>
      <c r="K64" s="630">
        <f t="shared" ref="K64:Q64" si="49">J64+K65</f>
        <v>0</v>
      </c>
      <c r="L64" s="630">
        <f t="shared" si="49"/>
        <v>0</v>
      </c>
      <c r="M64" s="630">
        <f t="shared" si="49"/>
        <v>0</v>
      </c>
      <c r="N64" s="630">
        <f t="shared" si="49"/>
        <v>0</v>
      </c>
      <c r="O64" s="630">
        <f t="shared" si="49"/>
        <v>0</v>
      </c>
      <c r="P64" s="630">
        <f t="shared" si="49"/>
        <v>0</v>
      </c>
      <c r="Q64" s="630">
        <f t="shared" si="49"/>
        <v>0</v>
      </c>
    </row>
    <row r="65" spans="2:17" ht="15.75">
      <c r="B65" s="53"/>
      <c r="C65" s="53"/>
      <c r="D65" s="621"/>
      <c r="E65" s="621">
        <f t="shared" ref="E65:J65" si="50">E64-D64</f>
        <v>0</v>
      </c>
      <c r="F65" s="621">
        <f t="shared" si="50"/>
        <v>0</v>
      </c>
      <c r="G65" s="621">
        <f t="shared" si="50"/>
        <v>0</v>
      </c>
      <c r="H65" s="621">
        <f t="shared" si="50"/>
        <v>0</v>
      </c>
      <c r="I65" s="621">
        <f t="shared" si="50"/>
        <v>0</v>
      </c>
      <c r="J65" s="621">
        <f t="shared" si="50"/>
        <v>0</v>
      </c>
      <c r="K65" s="702">
        <v>0</v>
      </c>
      <c r="L65" s="702">
        <v>0</v>
      </c>
      <c r="M65" s="702">
        <v>0</v>
      </c>
      <c r="N65" s="702">
        <v>0</v>
      </c>
      <c r="O65" s="702">
        <v>0</v>
      </c>
      <c r="P65" s="702">
        <v>0</v>
      </c>
      <c r="Q65" s="702">
        <v>0</v>
      </c>
    </row>
    <row r="66" spans="2:17" ht="15.75">
      <c r="B66" s="53" t="s">
        <v>573</v>
      </c>
      <c r="C66" s="630">
        <f t="shared" ref="C66:H66" si="51">C60+C64</f>
        <v>271.39999999999998</v>
      </c>
      <c r="D66" s="630">
        <f t="shared" si="51"/>
        <v>281.2</v>
      </c>
      <c r="E66" s="630">
        <f t="shared" si="51"/>
        <v>301.5</v>
      </c>
      <c r="F66" s="630">
        <f t="shared" si="51"/>
        <v>328.79999999999995</v>
      </c>
      <c r="G66" s="630">
        <f t="shared" si="51"/>
        <v>332.5</v>
      </c>
      <c r="H66" s="630">
        <f t="shared" si="51"/>
        <v>335</v>
      </c>
      <c r="I66" s="630">
        <f t="shared" ref="I66" si="52">I60+I64</f>
        <v>336.3</v>
      </c>
      <c r="J66" s="630">
        <f t="shared" ref="J66:Q66" si="53">J60+J64</f>
        <v>320.2</v>
      </c>
      <c r="K66" s="630">
        <f t="shared" si="53"/>
        <v>321.2</v>
      </c>
      <c r="L66" s="630">
        <f t="shared" si="53"/>
        <v>322.2</v>
      </c>
      <c r="M66" s="630">
        <f t="shared" si="53"/>
        <v>323.2</v>
      </c>
      <c r="N66" s="630">
        <f t="shared" si="53"/>
        <v>324.2</v>
      </c>
      <c r="O66" s="630">
        <f t="shared" si="53"/>
        <v>325.2</v>
      </c>
      <c r="P66" s="630">
        <f t="shared" si="53"/>
        <v>326.2</v>
      </c>
      <c r="Q66" s="630">
        <f t="shared" si="53"/>
        <v>327.2</v>
      </c>
    </row>
    <row r="67" spans="2:17" ht="15.75">
      <c r="B67" s="53"/>
      <c r="C67" s="53"/>
      <c r="D67" s="53"/>
      <c r="E67" s="53"/>
      <c r="F67" s="53"/>
      <c r="G67" s="53"/>
      <c r="H67" s="53"/>
      <c r="I67" s="53"/>
      <c r="J67" s="53"/>
      <c r="K67" s="53"/>
      <c r="L67" s="53"/>
      <c r="M67" s="53"/>
      <c r="N67" s="53"/>
      <c r="O67" s="53"/>
      <c r="P67" s="53"/>
      <c r="Q67" s="53"/>
    </row>
    <row r="68" spans="2:17" ht="15.75">
      <c r="B68" s="53" t="s">
        <v>15</v>
      </c>
      <c r="C68" s="764">
        <v>168.4</v>
      </c>
      <c r="D68" s="764">
        <v>161.4</v>
      </c>
      <c r="E68" s="764">
        <v>157</v>
      </c>
      <c r="F68" s="764">
        <v>161.30000000000001</v>
      </c>
      <c r="G68" s="764">
        <v>161</v>
      </c>
      <c r="H68" s="764">
        <v>158.19999999999999</v>
      </c>
      <c r="I68" s="764">
        <v>159.30000000000001</v>
      </c>
      <c r="J68" s="764">
        <v>156.5</v>
      </c>
      <c r="K68" s="630">
        <f t="shared" ref="K68:Q68" si="54">K71*12*AVERAGE(J66,K66)/1000</f>
        <v>157.48739223153083</v>
      </c>
      <c r="L68" s="630">
        <f t="shared" si="54"/>
        <v>161.13803543031224</v>
      </c>
      <c r="M68" s="630">
        <f t="shared" si="54"/>
        <v>164.87170940015233</v>
      </c>
      <c r="N68" s="630">
        <f t="shared" si="54"/>
        <v>168.69027511461385</v>
      </c>
      <c r="O68" s="630">
        <f t="shared" si="54"/>
        <v>172.59563477389378</v>
      </c>
      <c r="P68" s="630">
        <f t="shared" si="54"/>
        <v>176.58973270949912</v>
      </c>
      <c r="Q68" s="630">
        <f t="shared" si="54"/>
        <v>180.67455630861906</v>
      </c>
    </row>
    <row r="69" spans="2:17" ht="15.75">
      <c r="B69" s="53" t="s">
        <v>78</v>
      </c>
      <c r="C69" s="53"/>
      <c r="D69" s="56">
        <f t="shared" ref="D69:Q69" si="55">D68/C68-1</f>
        <v>-4.1567695961995277E-2</v>
      </c>
      <c r="E69" s="56">
        <f t="shared" si="55"/>
        <v>-2.7261462205700138E-2</v>
      </c>
      <c r="F69" s="56">
        <f t="shared" si="55"/>
        <v>2.7388535031847239E-2</v>
      </c>
      <c r="G69" s="56">
        <f t="shared" si="55"/>
        <v>-1.8598884066957089E-3</v>
      </c>
      <c r="H69" s="56">
        <f t="shared" si="55"/>
        <v>-1.7391304347826209E-2</v>
      </c>
      <c r="I69" s="56">
        <f t="shared" si="55"/>
        <v>6.9532237673832764E-3</v>
      </c>
      <c r="J69" s="56">
        <f t="shared" si="55"/>
        <v>-1.7576898932831209E-2</v>
      </c>
      <c r="K69" s="56">
        <f t="shared" si="55"/>
        <v>6.3092155369381953E-3</v>
      </c>
      <c r="L69" s="56">
        <f t="shared" si="55"/>
        <v>2.3180542563143058E-2</v>
      </c>
      <c r="M69" s="56">
        <f t="shared" si="55"/>
        <v>2.3170655890581537E-2</v>
      </c>
      <c r="N69" s="56">
        <f t="shared" si="55"/>
        <v>2.3160830492717555E-2</v>
      </c>
      <c r="O69" s="56">
        <f t="shared" si="55"/>
        <v>2.3151065801668036E-2</v>
      </c>
      <c r="P69" s="56">
        <f t="shared" si="55"/>
        <v>2.3141361256544757E-2</v>
      </c>
      <c r="Q69" s="56">
        <f t="shared" si="55"/>
        <v>2.313171630334665E-2</v>
      </c>
    </row>
    <row r="70" spans="2:17" ht="15.75">
      <c r="B70" s="53"/>
      <c r="C70" s="53"/>
      <c r="D70" s="53"/>
      <c r="E70" s="53"/>
      <c r="F70" s="53"/>
      <c r="G70" s="53"/>
      <c r="H70" s="53"/>
      <c r="I70" s="53"/>
      <c r="J70" s="53"/>
      <c r="K70" s="53"/>
      <c r="L70" s="53"/>
      <c r="M70" s="53"/>
      <c r="N70" s="53"/>
      <c r="O70" s="53"/>
      <c r="P70" s="53"/>
      <c r="Q70" s="53"/>
    </row>
    <row r="71" spans="2:17" ht="15.75">
      <c r="B71" s="53" t="s">
        <v>4024</v>
      </c>
      <c r="C71" s="53"/>
      <c r="D71" s="621">
        <f t="shared" ref="D71:J71" si="56">D68*1000/12/(AVERAGE(C66,D66))</f>
        <v>48.678972131740871</v>
      </c>
      <c r="E71" s="621">
        <f t="shared" si="56"/>
        <v>44.90589783193181</v>
      </c>
      <c r="F71" s="621">
        <f t="shared" si="56"/>
        <v>42.65164736368925</v>
      </c>
      <c r="G71" s="621">
        <f t="shared" si="56"/>
        <v>40.57664196784112</v>
      </c>
      <c r="H71" s="621">
        <f t="shared" si="56"/>
        <v>39.500624219725346</v>
      </c>
      <c r="I71" s="621">
        <f t="shared" si="56"/>
        <v>39.550126619991062</v>
      </c>
      <c r="J71" s="621">
        <f t="shared" si="56"/>
        <v>39.730896166539729</v>
      </c>
      <c r="K71" s="621">
        <f t="shared" ref="K71:Q71" si="57">(1+K72)*J71</f>
        <v>40.922823051535921</v>
      </c>
      <c r="L71" s="621">
        <f t="shared" si="57"/>
        <v>41.741279512566642</v>
      </c>
      <c r="M71" s="621">
        <f t="shared" si="57"/>
        <v>42.576105102817976</v>
      </c>
      <c r="N71" s="621">
        <f t="shared" si="57"/>
        <v>43.427627204874334</v>
      </c>
      <c r="O71" s="621">
        <f t="shared" si="57"/>
        <v>44.296179748971824</v>
      </c>
      <c r="P71" s="621">
        <f t="shared" si="57"/>
        <v>45.182103343951262</v>
      </c>
      <c r="Q71" s="621">
        <f t="shared" si="57"/>
        <v>46.085745410830285</v>
      </c>
    </row>
    <row r="72" spans="2:17" ht="15.75">
      <c r="B72" s="53"/>
      <c r="C72" s="53"/>
      <c r="D72" s="53"/>
      <c r="E72" s="54">
        <f t="shared" ref="E72:J72" si="58">E71/D71-1</f>
        <v>-7.7509325578977162E-2</v>
      </c>
      <c r="F72" s="54">
        <f t="shared" si="58"/>
        <v>-5.0199429853946764E-2</v>
      </c>
      <c r="G72" s="54">
        <f t="shared" si="58"/>
        <v>-4.8650064513443669E-2</v>
      </c>
      <c r="H72" s="54">
        <f t="shared" si="58"/>
        <v>-2.651815665201096E-2</v>
      </c>
      <c r="I72" s="54">
        <f t="shared" si="58"/>
        <v>1.2532055187370883E-3</v>
      </c>
      <c r="J72" s="54">
        <f t="shared" si="58"/>
        <v>4.5706439396655529E-3</v>
      </c>
      <c r="K72" s="784">
        <v>0.03</v>
      </c>
      <c r="L72" s="784">
        <v>0.02</v>
      </c>
      <c r="M72" s="784">
        <v>0.02</v>
      </c>
      <c r="N72" s="784">
        <v>0.02</v>
      </c>
      <c r="O72" s="784">
        <v>0.02</v>
      </c>
      <c r="P72" s="784">
        <v>0.02</v>
      </c>
      <c r="Q72" s="784">
        <v>0.02</v>
      </c>
    </row>
    <row r="73" spans="2:17" ht="15.75">
      <c r="B73" s="53"/>
      <c r="C73" s="53"/>
      <c r="D73" s="53"/>
      <c r="E73" s="53"/>
      <c r="F73" s="53"/>
      <c r="G73" s="53"/>
      <c r="H73" s="53"/>
      <c r="I73" s="53"/>
      <c r="J73" s="53"/>
      <c r="K73" s="53"/>
      <c r="L73" s="53"/>
      <c r="M73" s="53"/>
      <c r="N73" s="53"/>
      <c r="O73" s="53"/>
      <c r="P73" s="53"/>
      <c r="Q73" s="53"/>
    </row>
    <row r="74" spans="2:17" ht="15.75">
      <c r="B74" s="53" t="s">
        <v>8</v>
      </c>
      <c r="C74" s="481">
        <f t="shared" ref="C74:H74" si="59">C75*C68</f>
        <v>67.36</v>
      </c>
      <c r="D74" s="481">
        <f t="shared" si="59"/>
        <v>64.56</v>
      </c>
      <c r="E74" s="481">
        <f t="shared" si="59"/>
        <v>62.800000000000004</v>
      </c>
      <c r="F74" s="481">
        <f t="shared" si="59"/>
        <v>64.52000000000001</v>
      </c>
      <c r="G74" s="481">
        <f t="shared" si="59"/>
        <v>64.400000000000006</v>
      </c>
      <c r="H74" s="481">
        <f t="shared" si="59"/>
        <v>61.698</v>
      </c>
      <c r="I74" s="481">
        <f t="shared" ref="I74" si="60">I75*I68</f>
        <v>62.12700000000001</v>
      </c>
      <c r="J74" s="481">
        <f t="shared" ref="J74:Q74" si="61">J75*J68</f>
        <v>60.643750000000004</v>
      </c>
      <c r="K74" s="481">
        <f t="shared" si="61"/>
        <v>60.632646009139371</v>
      </c>
      <c r="L74" s="481">
        <f t="shared" si="61"/>
        <v>64.455214172124897</v>
      </c>
      <c r="M74" s="481">
        <f t="shared" si="61"/>
        <v>65.948683760060931</v>
      </c>
      <c r="N74" s="481">
        <f t="shared" si="61"/>
        <v>67.476110045845545</v>
      </c>
      <c r="O74" s="481">
        <f t="shared" si="61"/>
        <v>69.038253909557511</v>
      </c>
      <c r="P74" s="481">
        <f t="shared" si="61"/>
        <v>70.635893083799644</v>
      </c>
      <c r="Q74" s="481">
        <f t="shared" si="61"/>
        <v>72.26982252344763</v>
      </c>
    </row>
    <row r="75" spans="2:17" ht="15.75">
      <c r="B75" s="53" t="s">
        <v>251</v>
      </c>
      <c r="C75" s="784">
        <v>0.4</v>
      </c>
      <c r="D75" s="784">
        <v>0.4</v>
      </c>
      <c r="E75" s="784">
        <v>0.4</v>
      </c>
      <c r="F75" s="784">
        <v>0.4</v>
      </c>
      <c r="G75" s="784">
        <v>0.4</v>
      </c>
      <c r="H75" s="784">
        <v>0.39</v>
      </c>
      <c r="I75" s="784">
        <v>0.39</v>
      </c>
      <c r="J75" s="933">
        <f t="shared" ref="J75:K75" si="62">I75-0.25%</f>
        <v>0.38750000000000001</v>
      </c>
      <c r="K75" s="933">
        <f t="shared" si="62"/>
        <v>0.38500000000000001</v>
      </c>
      <c r="L75" s="933">
        <v>0.4</v>
      </c>
      <c r="M75" s="933">
        <v>0.4</v>
      </c>
      <c r="N75" s="933">
        <v>0.4</v>
      </c>
      <c r="O75" s="933">
        <v>0.4</v>
      </c>
      <c r="P75" s="933">
        <v>0.4</v>
      </c>
      <c r="Q75" s="933">
        <v>0.4</v>
      </c>
    </row>
    <row r="77" spans="2:17" ht="15.75">
      <c r="B77" s="53" t="s">
        <v>19</v>
      </c>
      <c r="C77" s="481">
        <f t="shared" ref="C77:H77" si="63">C78*C68</f>
        <v>30.312000000000001</v>
      </c>
      <c r="D77" s="481">
        <f t="shared" si="63"/>
        <v>29.052</v>
      </c>
      <c r="E77" s="481">
        <f t="shared" si="63"/>
        <v>28.259999999999998</v>
      </c>
      <c r="F77" s="481">
        <f t="shared" si="63"/>
        <v>29.034000000000002</v>
      </c>
      <c r="G77" s="481">
        <f t="shared" si="63"/>
        <v>28.98</v>
      </c>
      <c r="H77" s="481">
        <f t="shared" si="63"/>
        <v>28.475999999999996</v>
      </c>
      <c r="I77" s="481">
        <f t="shared" ref="I77" si="64">I78*I68</f>
        <v>28.673999999999999</v>
      </c>
      <c r="J77" s="481">
        <f t="shared" ref="J77:Q77" si="65">J78*J68</f>
        <v>28.169999999999998</v>
      </c>
      <c r="K77" s="481">
        <f t="shared" si="65"/>
        <v>26.772856679360245</v>
      </c>
      <c r="L77" s="481">
        <f t="shared" si="65"/>
        <v>27.393466023153085</v>
      </c>
      <c r="M77" s="481">
        <f t="shared" si="65"/>
        <v>28.028190598025898</v>
      </c>
      <c r="N77" s="481">
        <f t="shared" si="65"/>
        <v>28.677346769484359</v>
      </c>
      <c r="O77" s="481">
        <f t="shared" si="65"/>
        <v>29.341257911561943</v>
      </c>
      <c r="P77" s="481">
        <f t="shared" si="65"/>
        <v>30.020254560614852</v>
      </c>
      <c r="Q77" s="481">
        <f t="shared" si="65"/>
        <v>30.714674572465242</v>
      </c>
    </row>
    <row r="78" spans="2:17" ht="15.75">
      <c r="B78" s="53" t="s">
        <v>251</v>
      </c>
      <c r="C78" s="784">
        <v>0.18</v>
      </c>
      <c r="D78" s="784">
        <v>0.18</v>
      </c>
      <c r="E78" s="784">
        <v>0.18</v>
      </c>
      <c r="F78" s="784">
        <v>0.18</v>
      </c>
      <c r="G78" s="784">
        <v>0.18</v>
      </c>
      <c r="H78" s="784">
        <v>0.18</v>
      </c>
      <c r="I78" s="784">
        <v>0.18</v>
      </c>
      <c r="J78" s="933">
        <v>0.18</v>
      </c>
      <c r="K78" s="933">
        <v>0.17</v>
      </c>
      <c r="L78" s="933">
        <v>0.17</v>
      </c>
      <c r="M78" s="933">
        <v>0.17</v>
      </c>
      <c r="N78" s="933">
        <v>0.17</v>
      </c>
      <c r="O78" s="933">
        <v>0.17</v>
      </c>
      <c r="P78" s="933">
        <v>0.17</v>
      </c>
      <c r="Q78" s="933">
        <v>0.17</v>
      </c>
    </row>
    <row r="80" spans="2:17" ht="15.75">
      <c r="B80" s="53" t="s">
        <v>27</v>
      </c>
      <c r="C80" s="481">
        <f>C74-C77</f>
        <v>37.048000000000002</v>
      </c>
      <c r="D80" s="481">
        <f t="shared" ref="D80:Q80" si="66">D74-D77</f>
        <v>35.508000000000003</v>
      </c>
      <c r="E80" s="481">
        <f t="shared" si="66"/>
        <v>34.540000000000006</v>
      </c>
      <c r="F80" s="481">
        <f t="shared" si="66"/>
        <v>35.486000000000004</v>
      </c>
      <c r="G80" s="481">
        <f t="shared" si="66"/>
        <v>35.42</v>
      </c>
      <c r="H80" s="481">
        <f t="shared" si="66"/>
        <v>33.222000000000008</v>
      </c>
      <c r="I80" s="481">
        <f t="shared" si="66"/>
        <v>33.45300000000001</v>
      </c>
      <c r="J80" s="481">
        <f t="shared" si="66"/>
        <v>32.47375000000001</v>
      </c>
      <c r="K80" s="481">
        <f t="shared" si="66"/>
        <v>33.859789329779126</v>
      </c>
      <c r="L80" s="481">
        <f t="shared" si="66"/>
        <v>37.061748148971816</v>
      </c>
      <c r="M80" s="481">
        <f t="shared" si="66"/>
        <v>37.920493162035029</v>
      </c>
      <c r="N80" s="481">
        <f t="shared" si="66"/>
        <v>38.798763276361186</v>
      </c>
      <c r="O80" s="481">
        <f t="shared" si="66"/>
        <v>39.696995997995572</v>
      </c>
      <c r="P80" s="481">
        <f t="shared" si="66"/>
        <v>40.615638523184792</v>
      </c>
      <c r="Q80" s="481">
        <f t="shared" si="66"/>
        <v>41.555147950982388</v>
      </c>
    </row>
    <row r="82" spans="2:17" ht="15.75">
      <c r="B82" s="636" t="s">
        <v>3871</v>
      </c>
      <c r="C82" s="636">
        <v>2016</v>
      </c>
      <c r="D82" s="636">
        <v>2017</v>
      </c>
      <c r="E82" s="636">
        <f>D82+1</f>
        <v>2018</v>
      </c>
      <c r="F82" s="636">
        <f>E82+1</f>
        <v>2019</v>
      </c>
      <c r="G82" s="636">
        <f t="shared" ref="G82:Q82" si="67">F82+1</f>
        <v>2020</v>
      </c>
      <c r="H82" s="636">
        <f t="shared" si="67"/>
        <v>2021</v>
      </c>
      <c r="I82" s="636">
        <f t="shared" si="67"/>
        <v>2022</v>
      </c>
      <c r="J82" s="636">
        <f t="shared" si="67"/>
        <v>2023</v>
      </c>
      <c r="K82" s="636">
        <f t="shared" si="67"/>
        <v>2024</v>
      </c>
      <c r="L82" s="636">
        <f t="shared" si="67"/>
        <v>2025</v>
      </c>
      <c r="M82" s="636">
        <f t="shared" si="67"/>
        <v>2026</v>
      </c>
      <c r="N82" s="636">
        <f t="shared" si="67"/>
        <v>2027</v>
      </c>
      <c r="O82" s="636">
        <f t="shared" si="67"/>
        <v>2028</v>
      </c>
      <c r="P82" s="636">
        <f t="shared" si="67"/>
        <v>2029</v>
      </c>
      <c r="Q82" s="636">
        <f t="shared" si="67"/>
        <v>2030</v>
      </c>
    </row>
    <row r="83" spans="2:17" ht="15.75">
      <c r="B83" s="58" t="s">
        <v>33</v>
      </c>
      <c r="C83" s="53"/>
      <c r="D83" s="53"/>
      <c r="E83" s="53"/>
      <c r="F83" s="53"/>
      <c r="G83" s="53"/>
      <c r="H83" s="53"/>
      <c r="I83" s="53"/>
      <c r="J83" s="53"/>
      <c r="K83" s="53"/>
      <c r="L83" s="53"/>
      <c r="M83" s="53"/>
      <c r="N83" s="53"/>
      <c r="O83" s="53"/>
      <c r="P83" s="53"/>
      <c r="Q83" s="53"/>
    </row>
    <row r="84" spans="2:17" ht="15.75">
      <c r="B84" s="53"/>
      <c r="C84" s="53"/>
      <c r="D84" s="53"/>
      <c r="E84" s="53"/>
      <c r="F84" s="53"/>
      <c r="G84" s="53"/>
      <c r="H84" s="53"/>
      <c r="I84" s="53"/>
      <c r="J84" s="53"/>
      <c r="K84" s="53"/>
      <c r="L84" s="53"/>
      <c r="M84" s="53"/>
      <c r="N84" s="53"/>
      <c r="O84" s="53"/>
      <c r="P84" s="53"/>
      <c r="Q84" s="53"/>
    </row>
    <row r="85" spans="2:17" ht="15.75">
      <c r="B85" s="53" t="s">
        <v>557</v>
      </c>
      <c r="C85" s="702">
        <v>121.8</v>
      </c>
      <c r="D85" s="702">
        <v>124.5</v>
      </c>
      <c r="E85" s="702">
        <v>124.7</v>
      </c>
      <c r="F85" s="702">
        <v>140.4</v>
      </c>
      <c r="G85" s="702">
        <v>140.4</v>
      </c>
      <c r="H85" s="702">
        <v>140.4</v>
      </c>
      <c r="I85" s="702">
        <v>140.4</v>
      </c>
      <c r="J85" s="702">
        <v>140.4</v>
      </c>
      <c r="K85" s="53"/>
      <c r="L85" s="53"/>
      <c r="M85" s="53"/>
      <c r="N85" s="53"/>
      <c r="O85" s="53"/>
      <c r="P85" s="53"/>
      <c r="Q85" s="53"/>
    </row>
    <row r="86" spans="2:17" ht="15.75">
      <c r="B86" s="53"/>
      <c r="C86" s="53"/>
      <c r="D86" s="621">
        <f t="shared" ref="D86:J86" si="68">D85-C85</f>
        <v>2.7000000000000028</v>
      </c>
      <c r="E86" s="621">
        <f t="shared" si="68"/>
        <v>0.20000000000000284</v>
      </c>
      <c r="F86" s="621">
        <f t="shared" si="68"/>
        <v>15.700000000000003</v>
      </c>
      <c r="G86" s="621">
        <f t="shared" si="68"/>
        <v>0</v>
      </c>
      <c r="H86" s="621">
        <f t="shared" si="68"/>
        <v>0</v>
      </c>
      <c r="I86" s="621">
        <f t="shared" si="68"/>
        <v>0</v>
      </c>
      <c r="J86" s="621">
        <f t="shared" si="68"/>
        <v>0</v>
      </c>
      <c r="K86" s="53"/>
      <c r="L86" s="53"/>
      <c r="M86" s="53"/>
      <c r="N86" s="53"/>
      <c r="O86" s="53"/>
      <c r="P86" s="53"/>
      <c r="Q86" s="53"/>
    </row>
    <row r="87" spans="2:17" ht="15.75">
      <c r="B87" s="53" t="s">
        <v>2302</v>
      </c>
      <c r="C87" s="702">
        <v>121.8</v>
      </c>
      <c r="D87" s="702">
        <v>124.5</v>
      </c>
      <c r="E87" s="702">
        <v>124.7</v>
      </c>
      <c r="F87" s="702">
        <v>140.4</v>
      </c>
      <c r="G87" s="702">
        <v>140.4</v>
      </c>
      <c r="H87" s="702">
        <v>140.4</v>
      </c>
      <c r="I87" s="702">
        <v>140.4</v>
      </c>
      <c r="J87" s="702">
        <v>140.4</v>
      </c>
      <c r="K87" s="53"/>
      <c r="L87" s="53"/>
      <c r="M87" s="53"/>
      <c r="N87" s="53"/>
      <c r="O87" s="53"/>
      <c r="P87" s="53"/>
      <c r="Q87" s="53"/>
    </row>
    <row r="88" spans="2:17" ht="15.75">
      <c r="B88" s="53" t="s">
        <v>2303</v>
      </c>
      <c r="C88" s="702">
        <v>92.2</v>
      </c>
      <c r="D88" s="702">
        <v>85.5</v>
      </c>
      <c r="E88" s="702">
        <v>83.9</v>
      </c>
      <c r="F88" s="702">
        <v>82.5</v>
      </c>
      <c r="G88" s="702">
        <v>82.4</v>
      </c>
      <c r="H88" s="702">
        <v>83.7</v>
      </c>
      <c r="I88" s="702">
        <v>84.3</v>
      </c>
      <c r="J88" s="702">
        <v>85.2</v>
      </c>
      <c r="K88" s="621">
        <f t="shared" ref="K88:Q88" si="69">K97/K99</f>
        <v>83.175573568672277</v>
      </c>
      <c r="L88" s="621">
        <f t="shared" si="69"/>
        <v>82.352053038289384</v>
      </c>
      <c r="M88" s="621">
        <f t="shared" si="69"/>
        <v>81.536686176524142</v>
      </c>
      <c r="N88" s="621">
        <f t="shared" si="69"/>
        <v>80.729392253984287</v>
      </c>
      <c r="O88" s="621">
        <f t="shared" si="69"/>
        <v>79.9300913405785</v>
      </c>
      <c r="P88" s="621">
        <f t="shared" si="69"/>
        <v>79.138704297602487</v>
      </c>
      <c r="Q88" s="621">
        <f t="shared" si="69"/>
        <v>78.355152769903441</v>
      </c>
    </row>
    <row r="89" spans="2:17" ht="15.75">
      <c r="B89" s="53"/>
      <c r="C89" s="53"/>
      <c r="D89" s="53"/>
      <c r="E89" s="53"/>
      <c r="F89" s="53"/>
      <c r="G89" s="53"/>
      <c r="H89" s="53"/>
      <c r="I89" s="53"/>
      <c r="J89" s="53"/>
      <c r="K89" s="53"/>
      <c r="L89" s="53"/>
      <c r="M89" s="53"/>
      <c r="N89" s="53"/>
      <c r="O89" s="53"/>
      <c r="P89" s="53"/>
      <c r="Q89" s="53"/>
    </row>
    <row r="90" spans="2:17" ht="15.75">
      <c r="B90" s="53"/>
      <c r="C90" s="53"/>
      <c r="D90" s="621"/>
      <c r="E90" s="621"/>
      <c r="F90" s="53"/>
      <c r="G90" s="53"/>
      <c r="H90" s="53"/>
      <c r="I90" s="53"/>
      <c r="J90" s="53"/>
      <c r="K90" s="53"/>
      <c r="L90" s="53"/>
      <c r="M90" s="53"/>
      <c r="N90" s="53"/>
      <c r="O90" s="53"/>
      <c r="P90" s="53"/>
      <c r="Q90" s="53"/>
    </row>
    <row r="91" spans="2:17" ht="15.75">
      <c r="B91" s="53" t="s">
        <v>1568</v>
      </c>
      <c r="C91" s="702">
        <v>18.399999999999999</v>
      </c>
      <c r="D91" s="702">
        <v>17.7</v>
      </c>
      <c r="E91" s="702">
        <v>20.6</v>
      </c>
      <c r="F91" s="702">
        <v>29.4</v>
      </c>
      <c r="G91" s="702">
        <v>33.700000000000003</v>
      </c>
      <c r="H91" s="702">
        <v>36.6</v>
      </c>
      <c r="I91" s="702">
        <v>38.799999999999997</v>
      </c>
      <c r="J91" s="702">
        <v>38.799999999999997</v>
      </c>
      <c r="K91" s="621">
        <f t="shared" ref="K91:Q91" si="70">J91+K92</f>
        <v>38.799999999999997</v>
      </c>
      <c r="L91" s="621">
        <f t="shared" si="70"/>
        <v>38.799999999999997</v>
      </c>
      <c r="M91" s="621">
        <f t="shared" si="70"/>
        <v>38.799999999999997</v>
      </c>
      <c r="N91" s="621">
        <f t="shared" si="70"/>
        <v>38.799999999999997</v>
      </c>
      <c r="O91" s="621">
        <f t="shared" si="70"/>
        <v>38.799999999999997</v>
      </c>
      <c r="P91" s="621">
        <f t="shared" si="70"/>
        <v>38.799999999999997</v>
      </c>
      <c r="Q91" s="621">
        <f t="shared" si="70"/>
        <v>38.799999999999997</v>
      </c>
    </row>
    <row r="92" spans="2:17" ht="15.75">
      <c r="B92" s="53"/>
      <c r="C92" s="53"/>
      <c r="D92" s="621">
        <f t="shared" ref="D92:J92" si="71">D91-C91</f>
        <v>-0.69999999999999929</v>
      </c>
      <c r="E92" s="621">
        <f t="shared" si="71"/>
        <v>2.9000000000000021</v>
      </c>
      <c r="F92" s="621">
        <f t="shared" si="71"/>
        <v>8.7999999999999972</v>
      </c>
      <c r="G92" s="621">
        <f t="shared" si="71"/>
        <v>4.3000000000000043</v>
      </c>
      <c r="H92" s="621">
        <f t="shared" si="71"/>
        <v>2.8999999999999986</v>
      </c>
      <c r="I92" s="621">
        <f t="shared" si="71"/>
        <v>2.1999999999999957</v>
      </c>
      <c r="J92" s="621">
        <f t="shared" si="71"/>
        <v>0</v>
      </c>
      <c r="K92" s="702">
        <v>0</v>
      </c>
      <c r="L92" s="702">
        <v>0</v>
      </c>
      <c r="M92" s="702">
        <v>0</v>
      </c>
      <c r="N92" s="702">
        <v>0</v>
      </c>
      <c r="O92" s="702">
        <v>0</v>
      </c>
      <c r="P92" s="702">
        <v>0</v>
      </c>
      <c r="Q92" s="702">
        <v>0</v>
      </c>
    </row>
    <row r="93" spans="2:17" ht="15.75">
      <c r="B93" s="53" t="s">
        <v>1567</v>
      </c>
      <c r="C93" s="702">
        <v>62.5</v>
      </c>
      <c r="D93" s="702">
        <v>62</v>
      </c>
      <c r="E93" s="702">
        <v>64</v>
      </c>
      <c r="F93" s="702">
        <v>66.7</v>
      </c>
      <c r="G93" s="702">
        <v>69.400000000000006</v>
      </c>
      <c r="H93" s="702">
        <v>73</v>
      </c>
      <c r="I93" s="702">
        <v>75.7</v>
      </c>
      <c r="J93" s="702">
        <v>78</v>
      </c>
      <c r="K93" s="621">
        <f t="shared" ref="K93:Q93" si="72">J93+K94</f>
        <v>79</v>
      </c>
      <c r="L93" s="621">
        <f t="shared" si="72"/>
        <v>80</v>
      </c>
      <c r="M93" s="621">
        <f t="shared" si="72"/>
        <v>81</v>
      </c>
      <c r="N93" s="621">
        <f t="shared" si="72"/>
        <v>82</v>
      </c>
      <c r="O93" s="621">
        <f t="shared" si="72"/>
        <v>83</v>
      </c>
      <c r="P93" s="621">
        <f t="shared" si="72"/>
        <v>84</v>
      </c>
      <c r="Q93" s="621">
        <f t="shared" si="72"/>
        <v>85</v>
      </c>
    </row>
    <row r="94" spans="2:17" ht="15.75">
      <c r="B94" s="53"/>
      <c r="C94" s="53"/>
      <c r="D94" s="621">
        <f t="shared" ref="D94:J94" si="73">D93-C93</f>
        <v>-0.5</v>
      </c>
      <c r="E94" s="621">
        <f t="shared" si="73"/>
        <v>2</v>
      </c>
      <c r="F94" s="621">
        <f t="shared" si="73"/>
        <v>2.7000000000000028</v>
      </c>
      <c r="G94" s="621">
        <f t="shared" si="73"/>
        <v>2.7000000000000028</v>
      </c>
      <c r="H94" s="621">
        <f t="shared" si="73"/>
        <v>3.5999999999999943</v>
      </c>
      <c r="I94" s="621">
        <f t="shared" si="73"/>
        <v>2.7000000000000028</v>
      </c>
      <c r="J94" s="621">
        <f t="shared" si="73"/>
        <v>2.2999999999999972</v>
      </c>
      <c r="K94" s="702">
        <v>1</v>
      </c>
      <c r="L94" s="702">
        <v>1</v>
      </c>
      <c r="M94" s="702">
        <v>1</v>
      </c>
      <c r="N94" s="702">
        <v>1</v>
      </c>
      <c r="O94" s="702">
        <v>1</v>
      </c>
      <c r="P94" s="702">
        <v>1</v>
      </c>
      <c r="Q94" s="702">
        <v>1</v>
      </c>
    </row>
    <row r="95" spans="2:17" ht="15.75">
      <c r="B95" s="53" t="s">
        <v>565</v>
      </c>
      <c r="C95" s="702">
        <v>81.599999999999994</v>
      </c>
      <c r="D95" s="702">
        <v>75.099999999999994</v>
      </c>
      <c r="E95" s="702">
        <v>73.900000000000006</v>
      </c>
      <c r="F95" s="702">
        <v>72.7</v>
      </c>
      <c r="G95" s="702">
        <v>71.099999999999994</v>
      </c>
      <c r="H95" s="702">
        <v>71.3</v>
      </c>
      <c r="I95" s="702">
        <v>70.3</v>
      </c>
      <c r="J95" s="702">
        <v>69.2</v>
      </c>
      <c r="K95" s="621">
        <f t="shared" ref="K95:Q95" si="74">J95+K96</f>
        <v>68.2</v>
      </c>
      <c r="L95" s="621">
        <f t="shared" si="74"/>
        <v>67.2</v>
      </c>
      <c r="M95" s="621">
        <f t="shared" si="74"/>
        <v>66.2</v>
      </c>
      <c r="N95" s="621">
        <f t="shared" si="74"/>
        <v>65.2</v>
      </c>
      <c r="O95" s="621">
        <f t="shared" si="74"/>
        <v>64.2</v>
      </c>
      <c r="P95" s="621">
        <f t="shared" si="74"/>
        <v>63.2</v>
      </c>
      <c r="Q95" s="621">
        <f t="shared" si="74"/>
        <v>62.2</v>
      </c>
    </row>
    <row r="96" spans="2:17" ht="15.75">
      <c r="B96" s="50"/>
      <c r="C96" s="50"/>
      <c r="D96" s="622">
        <f t="shared" ref="D96:J96" si="75">D95-C95</f>
        <v>-6.5</v>
      </c>
      <c r="E96" s="622">
        <f t="shared" si="75"/>
        <v>-1.1999999999999886</v>
      </c>
      <c r="F96" s="622">
        <f t="shared" si="75"/>
        <v>-1.2000000000000028</v>
      </c>
      <c r="G96" s="622">
        <f t="shared" si="75"/>
        <v>-1.6000000000000085</v>
      </c>
      <c r="H96" s="622">
        <f t="shared" si="75"/>
        <v>0.20000000000000284</v>
      </c>
      <c r="I96" s="622">
        <f t="shared" si="75"/>
        <v>-1</v>
      </c>
      <c r="J96" s="622">
        <f t="shared" si="75"/>
        <v>-1.0999999999999943</v>
      </c>
      <c r="K96" s="932">
        <v>-1</v>
      </c>
      <c r="L96" s="932">
        <v>-1</v>
      </c>
      <c r="M96" s="932">
        <v>-1</v>
      </c>
      <c r="N96" s="932">
        <v>-1</v>
      </c>
      <c r="O96" s="932">
        <v>-1</v>
      </c>
      <c r="P96" s="932">
        <v>-1</v>
      </c>
      <c r="Q96" s="932">
        <v>-1</v>
      </c>
    </row>
    <row r="97" spans="2:17" ht="15.75">
      <c r="B97" s="53" t="s">
        <v>571</v>
      </c>
      <c r="C97" s="639">
        <f>C91+C93+C95</f>
        <v>162.5</v>
      </c>
      <c r="D97" s="639">
        <f>D91+D93+D95</f>
        <v>154.80000000000001</v>
      </c>
      <c r="E97" s="639">
        <f>E91+E93+E95</f>
        <v>158.5</v>
      </c>
      <c r="F97" s="639">
        <f>F91+F93+F95</f>
        <v>168.8</v>
      </c>
      <c r="G97" s="639">
        <f>G91+G93+G95</f>
        <v>174.2</v>
      </c>
      <c r="H97" s="639">
        <f t="shared" ref="H97:Q97" si="76">H91+H93+H95</f>
        <v>180.89999999999998</v>
      </c>
      <c r="I97" s="639">
        <f t="shared" si="76"/>
        <v>184.8</v>
      </c>
      <c r="J97" s="639">
        <f t="shared" si="76"/>
        <v>186</v>
      </c>
      <c r="K97" s="639">
        <f t="shared" si="76"/>
        <v>186</v>
      </c>
      <c r="L97" s="639">
        <f t="shared" si="76"/>
        <v>186</v>
      </c>
      <c r="M97" s="639">
        <f t="shared" si="76"/>
        <v>186</v>
      </c>
      <c r="N97" s="639">
        <f t="shared" si="76"/>
        <v>186</v>
      </c>
      <c r="O97" s="639">
        <f t="shared" si="76"/>
        <v>186</v>
      </c>
      <c r="P97" s="639">
        <f t="shared" si="76"/>
        <v>186</v>
      </c>
      <c r="Q97" s="639">
        <f t="shared" si="76"/>
        <v>186</v>
      </c>
    </row>
    <row r="98" spans="2:17" ht="15.75">
      <c r="B98" s="53"/>
      <c r="C98" s="53"/>
      <c r="D98" s="621">
        <f t="shared" ref="D98:Q98" si="77">D97-C97</f>
        <v>-7.6999999999999886</v>
      </c>
      <c r="E98" s="621">
        <f t="shared" si="77"/>
        <v>3.6999999999999886</v>
      </c>
      <c r="F98" s="621">
        <f t="shared" si="77"/>
        <v>10.300000000000011</v>
      </c>
      <c r="G98" s="621">
        <f t="shared" si="77"/>
        <v>5.3999999999999773</v>
      </c>
      <c r="H98" s="621">
        <f t="shared" si="77"/>
        <v>6.6999999999999886</v>
      </c>
      <c r="I98" s="621">
        <f t="shared" si="77"/>
        <v>3.9000000000000341</v>
      </c>
      <c r="J98" s="621">
        <f t="shared" si="77"/>
        <v>1.1999999999999886</v>
      </c>
      <c r="K98" s="621">
        <f t="shared" si="77"/>
        <v>0</v>
      </c>
      <c r="L98" s="621">
        <f t="shared" si="77"/>
        <v>0</v>
      </c>
      <c r="M98" s="621">
        <f t="shared" si="77"/>
        <v>0</v>
      </c>
      <c r="N98" s="621">
        <f t="shared" si="77"/>
        <v>0</v>
      </c>
      <c r="O98" s="621">
        <f t="shared" si="77"/>
        <v>0</v>
      </c>
      <c r="P98" s="621">
        <f t="shared" si="77"/>
        <v>0</v>
      </c>
      <c r="Q98" s="621">
        <f t="shared" si="77"/>
        <v>0</v>
      </c>
    </row>
    <row r="99" spans="2:17" ht="15.75">
      <c r="B99" s="53" t="s">
        <v>4048</v>
      </c>
      <c r="C99" s="685">
        <f t="shared" ref="C99:H99" si="78">C97/C88</f>
        <v>1.762472885032538</v>
      </c>
      <c r="D99" s="685">
        <f t="shared" si="78"/>
        <v>1.8105263157894738</v>
      </c>
      <c r="E99" s="685">
        <f t="shared" si="78"/>
        <v>1.8891537544696066</v>
      </c>
      <c r="F99" s="685">
        <f t="shared" si="78"/>
        <v>2.0460606060606064</v>
      </c>
      <c r="G99" s="685">
        <f t="shared" si="78"/>
        <v>2.1140776699029122</v>
      </c>
      <c r="H99" s="685">
        <f t="shared" si="78"/>
        <v>2.161290322580645</v>
      </c>
      <c r="I99" s="685">
        <f t="shared" ref="I99" si="79">I97/I88</f>
        <v>2.1921708185053381</v>
      </c>
      <c r="J99" s="974">
        <f t="shared" ref="J99:Q99" si="80">I99*1.01</f>
        <v>2.2140925266903917</v>
      </c>
      <c r="K99" s="974">
        <f t="shared" si="80"/>
        <v>2.2362334519572955</v>
      </c>
      <c r="L99" s="974">
        <f t="shared" si="80"/>
        <v>2.2585957864768686</v>
      </c>
      <c r="M99" s="974">
        <f t="shared" si="80"/>
        <v>2.2811817443416373</v>
      </c>
      <c r="N99" s="974">
        <f t="shared" si="80"/>
        <v>2.3039935617850538</v>
      </c>
      <c r="O99" s="974">
        <f t="shared" si="80"/>
        <v>2.3270334974029043</v>
      </c>
      <c r="P99" s="974">
        <f t="shared" si="80"/>
        <v>2.3503038323769334</v>
      </c>
      <c r="Q99" s="974">
        <f t="shared" si="80"/>
        <v>2.3738068707007027</v>
      </c>
    </row>
    <row r="100" spans="2:17" ht="15.75">
      <c r="B100" s="53"/>
      <c r="C100" s="53"/>
      <c r="D100" s="621"/>
      <c r="E100" s="621"/>
      <c r="F100" s="53"/>
      <c r="G100" s="53"/>
      <c r="H100" s="53"/>
      <c r="I100" s="53"/>
      <c r="J100" s="53"/>
      <c r="K100" s="53"/>
      <c r="L100" s="53"/>
      <c r="M100" s="53"/>
      <c r="N100" s="53"/>
      <c r="O100" s="53"/>
      <c r="P100" s="53"/>
      <c r="Q100" s="53"/>
    </row>
    <row r="101" spans="2:17" ht="15.75">
      <c r="B101" s="53" t="s">
        <v>5</v>
      </c>
      <c r="C101" s="764">
        <v>131.5</v>
      </c>
      <c r="D101" s="764">
        <v>124.3</v>
      </c>
      <c r="E101" s="764">
        <v>122.1</v>
      </c>
      <c r="F101" s="764">
        <v>123.2</v>
      </c>
      <c r="G101" s="764">
        <v>118.6</v>
      </c>
      <c r="H101" s="764">
        <v>122.4</v>
      </c>
      <c r="I101" s="764">
        <v>128</v>
      </c>
      <c r="J101" s="764">
        <v>131.1</v>
      </c>
      <c r="K101" s="630">
        <f t="shared" ref="K101:Q101" si="81">J101+K102</f>
        <v>131.1</v>
      </c>
      <c r="L101" s="630">
        <f t="shared" si="81"/>
        <v>131.1</v>
      </c>
      <c r="M101" s="630">
        <f t="shared" si="81"/>
        <v>131.1</v>
      </c>
      <c r="N101" s="630">
        <f t="shared" si="81"/>
        <v>131.1</v>
      </c>
      <c r="O101" s="630">
        <f t="shared" si="81"/>
        <v>131.1</v>
      </c>
      <c r="P101" s="630">
        <f t="shared" si="81"/>
        <v>131.1</v>
      </c>
      <c r="Q101" s="630">
        <f t="shared" si="81"/>
        <v>131.1</v>
      </c>
    </row>
    <row r="102" spans="2:17" ht="15.75">
      <c r="B102" s="53"/>
      <c r="C102" s="53"/>
      <c r="D102" s="621"/>
      <c r="E102" s="621">
        <f t="shared" ref="E102:J102" si="82">E101-D101</f>
        <v>-2.2000000000000028</v>
      </c>
      <c r="F102" s="621">
        <f t="shared" si="82"/>
        <v>1.1000000000000085</v>
      </c>
      <c r="G102" s="621">
        <f t="shared" si="82"/>
        <v>-4.6000000000000085</v>
      </c>
      <c r="H102" s="621">
        <f t="shared" si="82"/>
        <v>3.8000000000000114</v>
      </c>
      <c r="I102" s="621">
        <f t="shared" si="82"/>
        <v>5.5999999999999943</v>
      </c>
      <c r="J102" s="621">
        <f t="shared" si="82"/>
        <v>3.0999999999999943</v>
      </c>
      <c r="K102" s="702">
        <v>0</v>
      </c>
      <c r="L102" s="702">
        <v>0</v>
      </c>
      <c r="M102" s="702">
        <v>0</v>
      </c>
      <c r="N102" s="702">
        <v>0</v>
      </c>
      <c r="O102" s="702">
        <v>0</v>
      </c>
      <c r="P102" s="702">
        <v>0</v>
      </c>
      <c r="Q102" s="702">
        <v>0</v>
      </c>
    </row>
    <row r="103" spans="2:17" ht="15.75">
      <c r="B103" s="53" t="s">
        <v>573</v>
      </c>
      <c r="C103" s="630">
        <f>C97+C101</f>
        <v>294</v>
      </c>
      <c r="D103" s="630">
        <f>D97+D101</f>
        <v>279.10000000000002</v>
      </c>
      <c r="E103" s="630">
        <f>E97+E101</f>
        <v>280.60000000000002</v>
      </c>
      <c r="F103" s="630">
        <f>F97+F101</f>
        <v>292</v>
      </c>
      <c r="G103" s="630">
        <f t="shared" ref="G103:Q103" si="83">G97+G101</f>
        <v>292.79999999999995</v>
      </c>
      <c r="H103" s="630">
        <f>H97+H101</f>
        <v>303.29999999999995</v>
      </c>
      <c r="I103" s="630">
        <f t="shared" si="83"/>
        <v>312.8</v>
      </c>
      <c r="J103" s="630">
        <f t="shared" si="83"/>
        <v>317.10000000000002</v>
      </c>
      <c r="K103" s="630">
        <f t="shared" si="83"/>
        <v>317.10000000000002</v>
      </c>
      <c r="L103" s="630">
        <f t="shared" si="83"/>
        <v>317.10000000000002</v>
      </c>
      <c r="M103" s="630">
        <f t="shared" si="83"/>
        <v>317.10000000000002</v>
      </c>
      <c r="N103" s="630">
        <f t="shared" si="83"/>
        <v>317.10000000000002</v>
      </c>
      <c r="O103" s="630">
        <f t="shared" si="83"/>
        <v>317.10000000000002</v>
      </c>
      <c r="P103" s="630">
        <f t="shared" si="83"/>
        <v>317.10000000000002</v>
      </c>
      <c r="Q103" s="630">
        <f t="shared" si="83"/>
        <v>317.10000000000002</v>
      </c>
    </row>
    <row r="104" spans="2:17" ht="15.75">
      <c r="B104" s="53"/>
      <c r="C104" s="53"/>
      <c r="D104" s="53"/>
      <c r="E104" s="53"/>
      <c r="F104" s="53"/>
      <c r="G104" s="53"/>
      <c r="H104" s="53"/>
      <c r="I104" s="53"/>
      <c r="J104" s="53"/>
      <c r="K104" s="53"/>
      <c r="L104" s="53"/>
      <c r="M104" s="53"/>
      <c r="N104" s="53"/>
      <c r="O104" s="53"/>
      <c r="P104" s="53"/>
      <c r="Q104" s="53"/>
    </row>
    <row r="105" spans="2:17" ht="15.75">
      <c r="B105" s="53" t="s">
        <v>15</v>
      </c>
      <c r="C105" s="764">
        <v>171.4</v>
      </c>
      <c r="D105" s="764">
        <v>163.1</v>
      </c>
      <c r="E105" s="764">
        <v>151</v>
      </c>
      <c r="F105" s="764">
        <v>150.19999999999999</v>
      </c>
      <c r="G105" s="764">
        <v>139</v>
      </c>
      <c r="H105" s="764">
        <v>141.6</v>
      </c>
      <c r="I105" s="764">
        <v>148</v>
      </c>
      <c r="J105" s="764">
        <v>157.6</v>
      </c>
      <c r="K105" s="630">
        <f t="shared" ref="K105:Q105" si="84">K108*12*AVERAGE(J103,K103)/1000</f>
        <v>161.84937037625019</v>
      </c>
      <c r="L105" s="630">
        <f t="shared" si="84"/>
        <v>165.08635778377518</v>
      </c>
      <c r="M105" s="630">
        <f t="shared" si="84"/>
        <v>166.73722136161297</v>
      </c>
      <c r="N105" s="630">
        <f t="shared" si="84"/>
        <v>166.73722136161297</v>
      </c>
      <c r="O105" s="630">
        <f t="shared" si="84"/>
        <v>166.73722136161297</v>
      </c>
      <c r="P105" s="630">
        <f t="shared" si="84"/>
        <v>166.73722136161297</v>
      </c>
      <c r="Q105" s="630">
        <f t="shared" si="84"/>
        <v>166.73722136161297</v>
      </c>
    </row>
    <row r="106" spans="2:17" ht="15.75">
      <c r="B106" s="53" t="s">
        <v>78</v>
      </c>
      <c r="C106" s="53"/>
      <c r="D106" s="56">
        <f t="shared" ref="D106:Q106" si="85">D105/C105-1</f>
        <v>-4.8424737456242761E-2</v>
      </c>
      <c r="E106" s="56">
        <f t="shared" si="85"/>
        <v>-7.4187614960147141E-2</v>
      </c>
      <c r="F106" s="56">
        <f t="shared" si="85"/>
        <v>-5.2980132450332063E-3</v>
      </c>
      <c r="G106" s="56">
        <f t="shared" si="85"/>
        <v>-7.4567243675099815E-2</v>
      </c>
      <c r="H106" s="56">
        <f t="shared" si="85"/>
        <v>1.8705035971223083E-2</v>
      </c>
      <c r="I106" s="56">
        <f t="shared" si="85"/>
        <v>4.5197740112994378E-2</v>
      </c>
      <c r="J106" s="56">
        <f t="shared" si="85"/>
        <v>6.4864864864864868E-2</v>
      </c>
      <c r="K106" s="56">
        <f t="shared" si="85"/>
        <v>2.6963010001587628E-2</v>
      </c>
      <c r="L106" s="56">
        <f t="shared" si="85"/>
        <v>2.0000000000000018E-2</v>
      </c>
      <c r="M106" s="56">
        <f t="shared" si="85"/>
        <v>1.0000000000000231E-2</v>
      </c>
      <c r="N106" s="56">
        <f t="shared" si="85"/>
        <v>0</v>
      </c>
      <c r="O106" s="56">
        <f t="shared" si="85"/>
        <v>0</v>
      </c>
      <c r="P106" s="56">
        <f t="shared" si="85"/>
        <v>0</v>
      </c>
      <c r="Q106" s="56">
        <f t="shared" si="85"/>
        <v>0</v>
      </c>
    </row>
    <row r="107" spans="2:17" ht="15.75">
      <c r="B107" s="53"/>
      <c r="C107" s="53"/>
      <c r="D107" s="53"/>
      <c r="E107" s="53"/>
      <c r="F107" s="53"/>
      <c r="G107" s="53"/>
      <c r="H107" s="53"/>
      <c r="I107" s="53"/>
      <c r="J107" s="53"/>
      <c r="K107" s="53"/>
      <c r="L107" s="53"/>
      <c r="M107" s="53"/>
      <c r="N107" s="53"/>
      <c r="O107" s="53"/>
      <c r="P107" s="53"/>
      <c r="Q107" s="53"/>
    </row>
    <row r="108" spans="2:17" ht="15.75">
      <c r="B108" s="53" t="s">
        <v>4024</v>
      </c>
      <c r="C108" s="53"/>
      <c r="D108" s="621">
        <f t="shared" ref="D108:J108" si="86">D105*1000/12/(AVERAGE(C103,D103))</f>
        <v>47.432094457046468</v>
      </c>
      <c r="E108" s="621">
        <f t="shared" si="86"/>
        <v>44.964564349949377</v>
      </c>
      <c r="F108" s="621">
        <f t="shared" si="86"/>
        <v>43.718709977878682</v>
      </c>
      <c r="G108" s="621">
        <f t="shared" si="86"/>
        <v>39.614683082535343</v>
      </c>
      <c r="H108" s="621">
        <f t="shared" si="86"/>
        <v>39.590672705921833</v>
      </c>
      <c r="I108" s="621">
        <f t="shared" si="86"/>
        <v>40.036790564302336</v>
      </c>
      <c r="J108" s="621">
        <f t="shared" si="86"/>
        <v>41.699740699581938</v>
      </c>
      <c r="K108" s="621">
        <f t="shared" ref="K108:Q108" si="87">(1+K109)*J108</f>
        <v>42.533735513573575</v>
      </c>
      <c r="L108" s="621">
        <f t="shared" si="87"/>
        <v>43.384410223845045</v>
      </c>
      <c r="M108" s="621">
        <f t="shared" si="87"/>
        <v>43.818254326083498</v>
      </c>
      <c r="N108" s="621">
        <f t="shared" si="87"/>
        <v>43.818254326083498</v>
      </c>
      <c r="O108" s="621">
        <f t="shared" si="87"/>
        <v>43.818254326083498</v>
      </c>
      <c r="P108" s="621">
        <f t="shared" si="87"/>
        <v>43.818254326083498</v>
      </c>
      <c r="Q108" s="621">
        <f t="shared" si="87"/>
        <v>43.818254326083498</v>
      </c>
    </row>
    <row r="109" spans="2:17" ht="15.75">
      <c r="B109" s="53"/>
      <c r="C109" s="53"/>
      <c r="D109" s="53"/>
      <c r="E109" s="54">
        <f t="shared" ref="E109:J109" si="88">E108/D108-1</f>
        <v>-5.2022372938467565E-2</v>
      </c>
      <c r="F109" s="54">
        <f t="shared" si="88"/>
        <v>-2.7707471207204071E-2</v>
      </c>
      <c r="G109" s="54">
        <f t="shared" si="88"/>
        <v>-9.3873467387760146E-2</v>
      </c>
      <c r="H109" s="54">
        <f t="shared" si="88"/>
        <v>-6.060979097948227E-4</v>
      </c>
      <c r="I109" s="54">
        <f t="shared" si="88"/>
        <v>1.1268256583924607E-2</v>
      </c>
      <c r="J109" s="54">
        <f t="shared" si="88"/>
        <v>4.1535550473476901E-2</v>
      </c>
      <c r="K109" s="784">
        <v>0.02</v>
      </c>
      <c r="L109" s="784">
        <v>0.02</v>
      </c>
      <c r="M109" s="784">
        <v>0.01</v>
      </c>
      <c r="N109" s="784">
        <v>0</v>
      </c>
      <c r="O109" s="784">
        <v>0</v>
      </c>
      <c r="P109" s="784">
        <v>0</v>
      </c>
      <c r="Q109" s="784">
        <v>0</v>
      </c>
    </row>
    <row r="110" spans="2:17" ht="15.75">
      <c r="B110" s="53"/>
      <c r="C110" s="53"/>
      <c r="D110" s="53"/>
      <c r="E110" s="53"/>
      <c r="F110" s="53"/>
      <c r="G110" s="53"/>
      <c r="H110" s="53"/>
      <c r="I110" s="53"/>
      <c r="J110" s="53"/>
      <c r="K110" s="53"/>
      <c r="L110" s="53"/>
      <c r="M110" s="53"/>
      <c r="N110" s="53"/>
      <c r="O110" s="53"/>
      <c r="P110" s="53"/>
      <c r="Q110" s="53"/>
    </row>
    <row r="111" spans="2:17" ht="15.75">
      <c r="B111" s="53" t="s">
        <v>8</v>
      </c>
      <c r="C111" s="481">
        <f t="shared" ref="C111:H111" si="89">C112*C105</f>
        <v>68.56</v>
      </c>
      <c r="D111" s="481">
        <f t="shared" si="89"/>
        <v>66.870999999999995</v>
      </c>
      <c r="E111" s="481">
        <f t="shared" si="89"/>
        <v>63.419999999999995</v>
      </c>
      <c r="F111" s="481">
        <f t="shared" si="89"/>
        <v>63.083999999999996</v>
      </c>
      <c r="G111" s="481">
        <f t="shared" si="89"/>
        <v>58.379999999999995</v>
      </c>
      <c r="H111" s="481">
        <f t="shared" si="89"/>
        <v>58.055999999999997</v>
      </c>
      <c r="I111" s="481">
        <f t="shared" ref="I111" si="90">I112*I105</f>
        <v>60.68</v>
      </c>
      <c r="J111" s="481">
        <f t="shared" ref="J111:Q111" si="91">J112*J105</f>
        <v>64.616</v>
      </c>
      <c r="K111" s="481">
        <f t="shared" si="91"/>
        <v>66.358241854262573</v>
      </c>
      <c r="L111" s="481">
        <f t="shared" si="91"/>
        <v>67.685406691347822</v>
      </c>
      <c r="M111" s="481">
        <f t="shared" si="91"/>
        <v>68.362260758261314</v>
      </c>
      <c r="N111" s="481">
        <f t="shared" si="91"/>
        <v>68.362260758261314</v>
      </c>
      <c r="O111" s="481">
        <f t="shared" si="91"/>
        <v>68.362260758261314</v>
      </c>
      <c r="P111" s="481">
        <f t="shared" si="91"/>
        <v>68.362260758261314</v>
      </c>
      <c r="Q111" s="481">
        <f t="shared" si="91"/>
        <v>68.362260758261314</v>
      </c>
    </row>
    <row r="112" spans="2:17" ht="15.75">
      <c r="B112" s="53" t="s">
        <v>251</v>
      </c>
      <c r="C112" s="784">
        <v>0.4</v>
      </c>
      <c r="D112" s="784">
        <v>0.41</v>
      </c>
      <c r="E112" s="784">
        <v>0.42</v>
      </c>
      <c r="F112" s="784">
        <v>0.42</v>
      </c>
      <c r="G112" s="784">
        <v>0.42</v>
      </c>
      <c r="H112" s="784">
        <v>0.41</v>
      </c>
      <c r="I112" s="784">
        <v>0.41</v>
      </c>
      <c r="J112" s="933">
        <f t="shared" ref="J112:Q112" si="92">I112</f>
        <v>0.41</v>
      </c>
      <c r="K112" s="933">
        <f t="shared" si="92"/>
        <v>0.41</v>
      </c>
      <c r="L112" s="933">
        <f t="shared" si="92"/>
        <v>0.41</v>
      </c>
      <c r="M112" s="933">
        <f t="shared" si="92"/>
        <v>0.41</v>
      </c>
      <c r="N112" s="933">
        <f t="shared" si="92"/>
        <v>0.41</v>
      </c>
      <c r="O112" s="933">
        <f t="shared" si="92"/>
        <v>0.41</v>
      </c>
      <c r="P112" s="933">
        <f t="shared" si="92"/>
        <v>0.41</v>
      </c>
      <c r="Q112" s="933">
        <f t="shared" si="92"/>
        <v>0.41</v>
      </c>
    </row>
    <row r="114" spans="2:17" ht="15.75">
      <c r="B114" s="53" t="s">
        <v>19</v>
      </c>
      <c r="C114" s="481">
        <f t="shared" ref="C114:H114" si="93">C115*C105</f>
        <v>30.852</v>
      </c>
      <c r="D114" s="481">
        <f t="shared" si="93"/>
        <v>29.357999999999997</v>
      </c>
      <c r="E114" s="481">
        <f t="shared" si="93"/>
        <v>25.67</v>
      </c>
      <c r="F114" s="481">
        <f t="shared" si="93"/>
        <v>25.533999999999999</v>
      </c>
      <c r="G114" s="481">
        <f t="shared" si="93"/>
        <v>23.630000000000003</v>
      </c>
      <c r="H114" s="481">
        <f t="shared" si="93"/>
        <v>24.071999999999999</v>
      </c>
      <c r="I114" s="481">
        <f t="shared" ref="I114" si="94">I115*I105</f>
        <v>25.16</v>
      </c>
      <c r="J114" s="481">
        <f t="shared" ref="J114:Q114" si="95">J115*J105</f>
        <v>26.792000000000002</v>
      </c>
      <c r="K114" s="481">
        <f t="shared" si="95"/>
        <v>27.514392963962536</v>
      </c>
      <c r="L114" s="481">
        <f t="shared" si="95"/>
        <v>28.064680823241783</v>
      </c>
      <c r="M114" s="481">
        <f t="shared" si="95"/>
        <v>28.345327631474206</v>
      </c>
      <c r="N114" s="481">
        <f t="shared" si="95"/>
        <v>28.345327631474206</v>
      </c>
      <c r="O114" s="481">
        <f t="shared" si="95"/>
        <v>28.345327631474206</v>
      </c>
      <c r="P114" s="481">
        <f t="shared" si="95"/>
        <v>28.345327631474206</v>
      </c>
      <c r="Q114" s="481">
        <f t="shared" si="95"/>
        <v>28.345327631474206</v>
      </c>
    </row>
    <row r="115" spans="2:17" ht="15.75">
      <c r="B115" s="53" t="s">
        <v>251</v>
      </c>
      <c r="C115" s="784">
        <v>0.18</v>
      </c>
      <c r="D115" s="784">
        <v>0.18</v>
      </c>
      <c r="E115" s="784">
        <v>0.17</v>
      </c>
      <c r="F115" s="784">
        <v>0.17</v>
      </c>
      <c r="G115" s="784">
        <v>0.17</v>
      </c>
      <c r="H115" s="784">
        <v>0.17</v>
      </c>
      <c r="I115" s="784">
        <v>0.17</v>
      </c>
      <c r="J115" s="933">
        <f t="shared" ref="J115:Q115" si="96">I115</f>
        <v>0.17</v>
      </c>
      <c r="K115" s="933">
        <f t="shared" si="96"/>
        <v>0.17</v>
      </c>
      <c r="L115" s="933">
        <f t="shared" si="96"/>
        <v>0.17</v>
      </c>
      <c r="M115" s="933">
        <f t="shared" si="96"/>
        <v>0.17</v>
      </c>
      <c r="N115" s="933">
        <f t="shared" si="96"/>
        <v>0.17</v>
      </c>
      <c r="O115" s="933">
        <f t="shared" si="96"/>
        <v>0.17</v>
      </c>
      <c r="P115" s="933">
        <f t="shared" si="96"/>
        <v>0.17</v>
      </c>
      <c r="Q115" s="933">
        <f t="shared" si="96"/>
        <v>0.17</v>
      </c>
    </row>
    <row r="117" spans="2:17" ht="15.75">
      <c r="B117" s="53" t="s">
        <v>27</v>
      </c>
      <c r="C117" s="481">
        <f>C111-C114</f>
        <v>37.707999999999998</v>
      </c>
      <c r="D117" s="481">
        <f t="shared" ref="D117:Q117" si="97">D111-D114</f>
        <v>37.512999999999998</v>
      </c>
      <c r="E117" s="481">
        <f t="shared" si="97"/>
        <v>37.749999999999993</v>
      </c>
      <c r="F117" s="481">
        <f t="shared" si="97"/>
        <v>37.549999999999997</v>
      </c>
      <c r="G117" s="481">
        <f t="shared" si="97"/>
        <v>34.749999999999993</v>
      </c>
      <c r="H117" s="481">
        <f t="shared" si="97"/>
        <v>33.983999999999995</v>
      </c>
      <c r="I117" s="481">
        <f t="shared" si="97"/>
        <v>35.519999999999996</v>
      </c>
      <c r="J117" s="481">
        <f t="shared" si="97"/>
        <v>37.823999999999998</v>
      </c>
      <c r="K117" s="481">
        <f t="shared" si="97"/>
        <v>38.843848890300038</v>
      </c>
      <c r="L117" s="481">
        <f t="shared" si="97"/>
        <v>39.620725868106035</v>
      </c>
      <c r="M117" s="481">
        <f t="shared" si="97"/>
        <v>40.016933126787109</v>
      </c>
      <c r="N117" s="481">
        <f t="shared" si="97"/>
        <v>40.016933126787109</v>
      </c>
      <c r="O117" s="481">
        <f t="shared" si="97"/>
        <v>40.016933126787109</v>
      </c>
      <c r="P117" s="481">
        <f t="shared" si="97"/>
        <v>40.016933126787109</v>
      </c>
      <c r="Q117" s="481">
        <f t="shared" si="97"/>
        <v>40.016933126787109</v>
      </c>
    </row>
    <row r="119" spans="2:17" ht="15.75">
      <c r="B119" s="636" t="s">
        <v>3871</v>
      </c>
      <c r="C119" s="636">
        <v>2016</v>
      </c>
      <c r="D119" s="636">
        <v>2017</v>
      </c>
      <c r="E119" s="636">
        <f>D119+1</f>
        <v>2018</v>
      </c>
      <c r="F119" s="636">
        <f>E119+1</f>
        <v>2019</v>
      </c>
      <c r="G119" s="636">
        <f t="shared" ref="G119:Q119" si="98">F119+1</f>
        <v>2020</v>
      </c>
      <c r="H119" s="636">
        <f t="shared" si="98"/>
        <v>2021</v>
      </c>
      <c r="I119" s="636">
        <f t="shared" si="98"/>
        <v>2022</v>
      </c>
      <c r="J119" s="636">
        <f t="shared" si="98"/>
        <v>2023</v>
      </c>
      <c r="K119" s="636">
        <f t="shared" si="98"/>
        <v>2024</v>
      </c>
      <c r="L119" s="636">
        <f t="shared" si="98"/>
        <v>2025</v>
      </c>
      <c r="M119" s="636">
        <f t="shared" si="98"/>
        <v>2026</v>
      </c>
      <c r="N119" s="636">
        <f t="shared" si="98"/>
        <v>2027</v>
      </c>
      <c r="O119" s="636">
        <f t="shared" si="98"/>
        <v>2028</v>
      </c>
      <c r="P119" s="636">
        <f t="shared" si="98"/>
        <v>2029</v>
      </c>
      <c r="Q119" s="636">
        <f t="shared" si="98"/>
        <v>2030</v>
      </c>
    </row>
    <row r="120" spans="2:17" ht="15.75">
      <c r="B120" s="58" t="s">
        <v>31</v>
      </c>
      <c r="C120" s="53"/>
      <c r="D120" s="53"/>
      <c r="E120" s="53"/>
      <c r="F120" s="53"/>
      <c r="G120" s="53"/>
      <c r="H120" s="53"/>
      <c r="I120" s="53"/>
      <c r="J120" s="53"/>
      <c r="K120" s="53"/>
      <c r="L120" s="53"/>
      <c r="M120" s="53"/>
      <c r="N120" s="53"/>
      <c r="O120" s="53"/>
      <c r="P120" s="53"/>
      <c r="Q120" s="53"/>
    </row>
    <row r="121" spans="2:17" ht="15.75">
      <c r="B121" s="53"/>
      <c r="C121" s="53"/>
      <c r="D121" s="53"/>
      <c r="E121" s="53"/>
      <c r="F121" s="53"/>
      <c r="G121" s="53"/>
      <c r="H121" s="53"/>
      <c r="I121" s="53"/>
      <c r="J121" s="53"/>
      <c r="K121" s="53"/>
      <c r="L121" s="53"/>
      <c r="M121" s="53"/>
      <c r="N121" s="53"/>
      <c r="O121" s="53"/>
      <c r="P121" s="53"/>
      <c r="Q121" s="53"/>
    </row>
    <row r="122" spans="2:17" ht="15.75">
      <c r="B122" s="53" t="s">
        <v>557</v>
      </c>
      <c r="C122" s="702">
        <v>155</v>
      </c>
      <c r="D122" s="702">
        <v>128.9</v>
      </c>
      <c r="E122" s="702">
        <v>128.9</v>
      </c>
      <c r="F122" s="702">
        <v>128.9</v>
      </c>
      <c r="G122" s="702">
        <v>120.9</v>
      </c>
      <c r="H122" s="702">
        <v>120.9</v>
      </c>
      <c r="I122" s="702">
        <v>120.9</v>
      </c>
      <c r="J122" s="702">
        <v>125.7</v>
      </c>
      <c r="K122" s="53"/>
      <c r="L122" s="53"/>
      <c r="M122" s="53"/>
      <c r="N122" s="53"/>
      <c r="O122" s="53"/>
      <c r="P122" s="53"/>
      <c r="Q122" s="53"/>
    </row>
    <row r="123" spans="2:17" ht="15.75">
      <c r="B123" s="53"/>
      <c r="C123" s="53"/>
      <c r="D123" s="621">
        <f t="shared" ref="D123:J123" si="99">D122-C122</f>
        <v>-26.099999999999994</v>
      </c>
      <c r="E123" s="621">
        <f t="shared" si="99"/>
        <v>0</v>
      </c>
      <c r="F123" s="621">
        <f t="shared" si="99"/>
        <v>0</v>
      </c>
      <c r="G123" s="621">
        <f t="shared" si="99"/>
        <v>-8</v>
      </c>
      <c r="H123" s="621">
        <f t="shared" si="99"/>
        <v>0</v>
      </c>
      <c r="I123" s="621">
        <f t="shared" si="99"/>
        <v>0</v>
      </c>
      <c r="J123" s="621">
        <f t="shared" si="99"/>
        <v>4.7999999999999972</v>
      </c>
      <c r="K123" s="53"/>
      <c r="L123" s="53"/>
      <c r="M123" s="53"/>
      <c r="N123" s="53"/>
      <c r="O123" s="53"/>
      <c r="P123" s="53"/>
      <c r="Q123" s="53"/>
    </row>
    <row r="124" spans="2:17" ht="15.75">
      <c r="B124" s="53" t="s">
        <v>2302</v>
      </c>
      <c r="C124" s="702">
        <v>155</v>
      </c>
      <c r="D124" s="702">
        <v>128.9</v>
      </c>
      <c r="E124" s="702">
        <v>128.9</v>
      </c>
      <c r="F124" s="702">
        <v>128.9</v>
      </c>
      <c r="G124" s="702">
        <v>120.9</v>
      </c>
      <c r="H124" s="702">
        <v>120.9</v>
      </c>
      <c r="I124" s="702">
        <v>120.9</v>
      </c>
      <c r="J124" s="702">
        <v>125.7</v>
      </c>
      <c r="K124" s="53"/>
      <c r="L124" s="53"/>
      <c r="M124" s="53"/>
      <c r="N124" s="53"/>
      <c r="O124" s="53"/>
      <c r="P124" s="53"/>
      <c r="Q124" s="53"/>
    </row>
    <row r="125" spans="2:17" ht="15.75">
      <c r="B125" s="53" t="s">
        <v>2303</v>
      </c>
      <c r="C125" s="702">
        <v>55.2</v>
      </c>
      <c r="D125" s="702">
        <v>47.4</v>
      </c>
      <c r="E125" s="702">
        <v>47.3</v>
      </c>
      <c r="F125" s="702">
        <v>45.4</v>
      </c>
      <c r="G125" s="702">
        <v>35.299999999999997</v>
      </c>
      <c r="H125" s="702">
        <v>38.9</v>
      </c>
      <c r="I125" s="702">
        <v>35.9</v>
      </c>
      <c r="J125" s="702">
        <v>33.9</v>
      </c>
      <c r="K125" s="621">
        <f t="shared" ref="K125:Q125" si="100">K134/K136</f>
        <v>34.064570391465374</v>
      </c>
      <c r="L125" s="621">
        <f t="shared" si="100"/>
        <v>34.222558759690287</v>
      </c>
      <c r="M125" s="621">
        <f t="shared" si="100"/>
        <v>34.374079308998134</v>
      </c>
      <c r="N125" s="621">
        <f t="shared" si="100"/>
        <v>34.519244627473732</v>
      </c>
      <c r="O125" s="621">
        <f t="shared" si="100"/>
        <v>34.658165707772568</v>
      </c>
      <c r="P125" s="621">
        <f t="shared" si="100"/>
        <v>34.790951967676556</v>
      </c>
      <c r="Q125" s="621">
        <f t="shared" si="100"/>
        <v>34.917711270399053</v>
      </c>
    </row>
    <row r="126" spans="2:17" ht="15.75">
      <c r="B126" s="53"/>
      <c r="C126" s="53"/>
      <c r="D126" s="53"/>
      <c r="E126" s="53"/>
      <c r="F126" s="53"/>
      <c r="G126" s="53"/>
      <c r="H126" s="53"/>
      <c r="I126" s="53"/>
      <c r="J126" s="53"/>
      <c r="K126" s="53"/>
      <c r="L126" s="53"/>
      <c r="M126" s="53"/>
      <c r="N126" s="53"/>
      <c r="O126" s="53"/>
      <c r="P126" s="53"/>
      <c r="Q126" s="53"/>
    </row>
    <row r="127" spans="2:17" ht="15.75">
      <c r="B127" s="53"/>
      <c r="C127" s="53"/>
      <c r="D127" s="621"/>
      <c r="E127" s="621"/>
      <c r="F127" s="53"/>
      <c r="G127" s="53"/>
      <c r="H127" s="53"/>
      <c r="I127" s="53"/>
      <c r="J127" s="53"/>
      <c r="K127" s="53"/>
      <c r="L127" s="53"/>
      <c r="M127" s="53"/>
      <c r="N127" s="53"/>
      <c r="O127" s="53"/>
      <c r="P127" s="53"/>
      <c r="Q127" s="53"/>
    </row>
    <row r="128" spans="2:17" ht="15.75">
      <c r="B128" s="53" t="s">
        <v>1568</v>
      </c>
      <c r="C128" s="702">
        <v>1.6</v>
      </c>
      <c r="D128" s="702">
        <v>6.2</v>
      </c>
      <c r="E128" s="702">
        <v>6.9</v>
      </c>
      <c r="F128" s="702">
        <v>7</v>
      </c>
      <c r="G128" s="702">
        <v>7.4</v>
      </c>
      <c r="H128" s="702">
        <v>9.4</v>
      </c>
      <c r="I128" s="702">
        <v>5.6</v>
      </c>
      <c r="J128" s="702">
        <v>7.6</v>
      </c>
      <c r="K128" s="621">
        <f t="shared" ref="K128:Q128" si="101">J128+K129</f>
        <v>9.6</v>
      </c>
      <c r="L128" s="621">
        <f t="shared" si="101"/>
        <v>11.6</v>
      </c>
      <c r="M128" s="621">
        <f t="shared" si="101"/>
        <v>13.6</v>
      </c>
      <c r="N128" s="621">
        <f t="shared" si="101"/>
        <v>15.6</v>
      </c>
      <c r="O128" s="621">
        <f t="shared" si="101"/>
        <v>17.600000000000001</v>
      </c>
      <c r="P128" s="621">
        <f t="shared" si="101"/>
        <v>19.600000000000001</v>
      </c>
      <c r="Q128" s="621">
        <f t="shared" si="101"/>
        <v>21.6</v>
      </c>
    </row>
    <row r="129" spans="2:17" ht="15.75">
      <c r="B129" s="53"/>
      <c r="C129" s="53"/>
      <c r="D129" s="621">
        <f t="shared" ref="D129:J129" si="102">D128-C128</f>
        <v>4.5999999999999996</v>
      </c>
      <c r="E129" s="621">
        <f t="shared" si="102"/>
        <v>0.70000000000000018</v>
      </c>
      <c r="F129" s="621">
        <f t="shared" si="102"/>
        <v>9.9999999999999645E-2</v>
      </c>
      <c r="G129" s="621">
        <f t="shared" si="102"/>
        <v>0.40000000000000036</v>
      </c>
      <c r="H129" s="621">
        <f t="shared" si="102"/>
        <v>2</v>
      </c>
      <c r="I129" s="621">
        <f t="shared" si="102"/>
        <v>-3.8000000000000007</v>
      </c>
      <c r="J129" s="621">
        <f t="shared" si="102"/>
        <v>2</v>
      </c>
      <c r="K129" s="702">
        <v>2</v>
      </c>
      <c r="L129" s="702">
        <v>2</v>
      </c>
      <c r="M129" s="702">
        <v>2</v>
      </c>
      <c r="N129" s="702">
        <v>2</v>
      </c>
      <c r="O129" s="702">
        <v>2</v>
      </c>
      <c r="P129" s="702">
        <v>2</v>
      </c>
      <c r="Q129" s="702">
        <v>2</v>
      </c>
    </row>
    <row r="130" spans="2:17" ht="15.75">
      <c r="B130" s="53" t="s">
        <v>1567</v>
      </c>
      <c r="C130" s="702">
        <v>26.4</v>
      </c>
      <c r="D130" s="702">
        <v>26.6</v>
      </c>
      <c r="E130" s="702">
        <v>26.6</v>
      </c>
      <c r="F130" s="702">
        <v>26.2</v>
      </c>
      <c r="G130" s="702">
        <v>26.4</v>
      </c>
      <c r="H130" s="702">
        <v>30</v>
      </c>
      <c r="I130" s="702">
        <v>23.1</v>
      </c>
      <c r="J130" s="702">
        <v>26.2</v>
      </c>
      <c r="K130" s="621">
        <f t="shared" ref="K130:Q130" si="103">J130+K131</f>
        <v>26.2</v>
      </c>
      <c r="L130" s="621">
        <f t="shared" si="103"/>
        <v>26.2</v>
      </c>
      <c r="M130" s="621">
        <f t="shared" si="103"/>
        <v>26.2</v>
      </c>
      <c r="N130" s="621">
        <f t="shared" si="103"/>
        <v>26.2</v>
      </c>
      <c r="O130" s="621">
        <f t="shared" si="103"/>
        <v>26.2</v>
      </c>
      <c r="P130" s="621">
        <f t="shared" si="103"/>
        <v>26.2</v>
      </c>
      <c r="Q130" s="621">
        <f t="shared" si="103"/>
        <v>26.2</v>
      </c>
    </row>
    <row r="131" spans="2:17" ht="15.75">
      <c r="B131" s="53"/>
      <c r="C131" s="53"/>
      <c r="D131" s="621">
        <f t="shared" ref="D131:J131" si="104">D130-C130</f>
        <v>0.20000000000000284</v>
      </c>
      <c r="E131" s="621">
        <f t="shared" si="104"/>
        <v>0</v>
      </c>
      <c r="F131" s="621">
        <f t="shared" si="104"/>
        <v>-0.40000000000000213</v>
      </c>
      <c r="G131" s="621">
        <f t="shared" si="104"/>
        <v>0.19999999999999929</v>
      </c>
      <c r="H131" s="621">
        <f t="shared" si="104"/>
        <v>3.6000000000000014</v>
      </c>
      <c r="I131" s="621">
        <f t="shared" si="104"/>
        <v>-6.8999999999999986</v>
      </c>
      <c r="J131" s="621">
        <f t="shared" si="104"/>
        <v>3.0999999999999979</v>
      </c>
      <c r="K131" s="702">
        <v>0</v>
      </c>
      <c r="L131" s="702">
        <v>0</v>
      </c>
      <c r="M131" s="702">
        <v>0</v>
      </c>
      <c r="N131" s="702">
        <v>0</v>
      </c>
      <c r="O131" s="702">
        <v>0</v>
      </c>
      <c r="P131" s="702">
        <v>0</v>
      </c>
      <c r="Q131" s="702">
        <v>0</v>
      </c>
    </row>
    <row r="132" spans="2:17" ht="15.75">
      <c r="B132" s="53" t="s">
        <v>565</v>
      </c>
      <c r="C132" s="702">
        <v>55.1</v>
      </c>
      <c r="D132" s="702">
        <v>47.4</v>
      </c>
      <c r="E132" s="702">
        <v>45.6</v>
      </c>
      <c r="F132" s="702">
        <v>42.7</v>
      </c>
      <c r="G132" s="702">
        <v>34.4</v>
      </c>
      <c r="H132" s="702">
        <v>33</v>
      </c>
      <c r="I132" s="702">
        <v>33.6</v>
      </c>
      <c r="J132" s="702">
        <v>33.299999999999997</v>
      </c>
      <c r="K132" s="621">
        <f t="shared" ref="K132:Q132" si="105">J132+K133</f>
        <v>32.299999999999997</v>
      </c>
      <c r="L132" s="621">
        <f t="shared" si="105"/>
        <v>31.299999999999997</v>
      </c>
      <c r="M132" s="621">
        <f t="shared" si="105"/>
        <v>30.299999999999997</v>
      </c>
      <c r="N132" s="621">
        <f t="shared" si="105"/>
        <v>29.299999999999997</v>
      </c>
      <c r="O132" s="621">
        <f t="shared" si="105"/>
        <v>28.299999999999997</v>
      </c>
      <c r="P132" s="621">
        <f t="shared" si="105"/>
        <v>27.299999999999997</v>
      </c>
      <c r="Q132" s="621">
        <f t="shared" si="105"/>
        <v>26.299999999999997</v>
      </c>
    </row>
    <row r="133" spans="2:17" ht="15.75">
      <c r="B133" s="50"/>
      <c r="C133" s="50"/>
      <c r="D133" s="622">
        <f t="shared" ref="D133:J133" si="106">D132-C132</f>
        <v>-7.7000000000000028</v>
      </c>
      <c r="E133" s="622">
        <f t="shared" si="106"/>
        <v>-1.7999999999999972</v>
      </c>
      <c r="F133" s="622">
        <f t="shared" si="106"/>
        <v>-2.8999999999999986</v>
      </c>
      <c r="G133" s="622">
        <f t="shared" si="106"/>
        <v>-8.3000000000000043</v>
      </c>
      <c r="H133" s="622">
        <f t="shared" si="106"/>
        <v>-1.3999999999999986</v>
      </c>
      <c r="I133" s="622">
        <f t="shared" si="106"/>
        <v>0.60000000000000142</v>
      </c>
      <c r="J133" s="622">
        <f t="shared" si="106"/>
        <v>-0.30000000000000426</v>
      </c>
      <c r="K133" s="932">
        <v>-1</v>
      </c>
      <c r="L133" s="932">
        <v>-1</v>
      </c>
      <c r="M133" s="932">
        <v>-1</v>
      </c>
      <c r="N133" s="932">
        <v>-1</v>
      </c>
      <c r="O133" s="932">
        <v>-1</v>
      </c>
      <c r="P133" s="932">
        <v>-1</v>
      </c>
      <c r="Q133" s="932">
        <v>-1</v>
      </c>
    </row>
    <row r="134" spans="2:17" ht="15.75">
      <c r="B134" s="53" t="s">
        <v>571</v>
      </c>
      <c r="C134" s="639">
        <f t="shared" ref="C134:H134" si="107">C128+C130+C132</f>
        <v>83.1</v>
      </c>
      <c r="D134" s="639">
        <f t="shared" si="107"/>
        <v>80.2</v>
      </c>
      <c r="E134" s="639">
        <f t="shared" si="107"/>
        <v>79.099999999999994</v>
      </c>
      <c r="F134" s="639">
        <f t="shared" si="107"/>
        <v>75.900000000000006</v>
      </c>
      <c r="G134" s="639">
        <f t="shared" si="107"/>
        <v>68.199999999999989</v>
      </c>
      <c r="H134" s="639">
        <f t="shared" si="107"/>
        <v>72.400000000000006</v>
      </c>
      <c r="I134" s="639">
        <f t="shared" ref="I134:J134" si="108">I128+I130+I132</f>
        <v>62.300000000000004</v>
      </c>
      <c r="J134" s="639">
        <f t="shared" si="108"/>
        <v>67.099999999999994</v>
      </c>
      <c r="K134" s="639">
        <f t="shared" ref="K134:Q134" si="109">K128+K130+K132</f>
        <v>68.099999999999994</v>
      </c>
      <c r="L134" s="639">
        <f t="shared" si="109"/>
        <v>69.099999999999994</v>
      </c>
      <c r="M134" s="639">
        <f t="shared" si="109"/>
        <v>70.099999999999994</v>
      </c>
      <c r="N134" s="639">
        <f t="shared" si="109"/>
        <v>71.099999999999994</v>
      </c>
      <c r="O134" s="639">
        <f t="shared" si="109"/>
        <v>72.099999999999994</v>
      </c>
      <c r="P134" s="639">
        <f t="shared" si="109"/>
        <v>73.099999999999994</v>
      </c>
      <c r="Q134" s="639">
        <f t="shared" si="109"/>
        <v>74.099999999999994</v>
      </c>
    </row>
    <row r="135" spans="2:17" ht="15.75">
      <c r="B135" s="53"/>
      <c r="C135" s="53"/>
      <c r="D135" s="621">
        <f t="shared" ref="D135:Q135" si="110">D134-C134</f>
        <v>-2.8999999999999915</v>
      </c>
      <c r="E135" s="621">
        <f t="shared" si="110"/>
        <v>-1.1000000000000085</v>
      </c>
      <c r="F135" s="621">
        <f t="shared" si="110"/>
        <v>-3.1999999999999886</v>
      </c>
      <c r="G135" s="621">
        <f t="shared" si="110"/>
        <v>-7.7000000000000171</v>
      </c>
      <c r="H135" s="621">
        <f t="shared" si="110"/>
        <v>4.2000000000000171</v>
      </c>
      <c r="I135" s="621">
        <f t="shared" si="110"/>
        <v>-10.100000000000001</v>
      </c>
      <c r="J135" s="621">
        <f t="shared" si="110"/>
        <v>4.7999999999999901</v>
      </c>
      <c r="K135" s="621">
        <f t="shared" si="110"/>
        <v>1</v>
      </c>
      <c r="L135" s="621">
        <f t="shared" si="110"/>
        <v>1</v>
      </c>
      <c r="M135" s="621">
        <f t="shared" si="110"/>
        <v>1</v>
      </c>
      <c r="N135" s="621">
        <f t="shared" si="110"/>
        <v>1</v>
      </c>
      <c r="O135" s="621">
        <f t="shared" si="110"/>
        <v>1</v>
      </c>
      <c r="P135" s="621">
        <f t="shared" si="110"/>
        <v>1</v>
      </c>
      <c r="Q135" s="621">
        <f t="shared" si="110"/>
        <v>1</v>
      </c>
    </row>
    <row r="136" spans="2:17" ht="15.75">
      <c r="B136" s="53" t="s">
        <v>4048</v>
      </c>
      <c r="C136" s="685">
        <f t="shared" ref="C136:H136" si="111">C134/C125</f>
        <v>1.5054347826086956</v>
      </c>
      <c r="D136" s="685">
        <f t="shared" si="111"/>
        <v>1.6919831223628694</v>
      </c>
      <c r="E136" s="685">
        <f t="shared" si="111"/>
        <v>1.6723044397463003</v>
      </c>
      <c r="F136" s="685">
        <f t="shared" si="111"/>
        <v>1.6718061674008813</v>
      </c>
      <c r="G136" s="685">
        <f t="shared" si="111"/>
        <v>1.9320113314447591</v>
      </c>
      <c r="H136" s="685">
        <f t="shared" si="111"/>
        <v>1.8611825192802058</v>
      </c>
      <c r="I136" s="685">
        <f t="shared" ref="I136:J136" si="112">I134/I125</f>
        <v>1.7353760445682453</v>
      </c>
      <c r="J136" s="685">
        <f t="shared" si="112"/>
        <v>1.9793510324483774</v>
      </c>
      <c r="K136" s="974">
        <f t="shared" ref="K136:Q136" si="113">J136*1.01</f>
        <v>1.9991445427728611</v>
      </c>
      <c r="L136" s="974">
        <f t="shared" si="113"/>
        <v>2.0191359882005897</v>
      </c>
      <c r="M136" s="974">
        <f t="shared" si="113"/>
        <v>2.0393273480825957</v>
      </c>
      <c r="N136" s="974">
        <f t="shared" si="113"/>
        <v>2.0597206215634216</v>
      </c>
      <c r="O136" s="974">
        <f t="shared" si="113"/>
        <v>2.0803178277790559</v>
      </c>
      <c r="P136" s="974">
        <f t="shared" si="113"/>
        <v>2.1011210060568466</v>
      </c>
      <c r="Q136" s="974">
        <f t="shared" si="113"/>
        <v>2.1221322161174152</v>
      </c>
    </row>
    <row r="137" spans="2:17" ht="15.75">
      <c r="B137" s="53"/>
      <c r="C137" s="53"/>
      <c r="D137" s="621"/>
      <c r="E137" s="621"/>
      <c r="F137" s="53"/>
      <c r="G137" s="53"/>
      <c r="H137" s="53"/>
      <c r="I137" s="53"/>
      <c r="J137" s="53"/>
      <c r="K137" s="53"/>
      <c r="L137" s="53"/>
      <c r="M137" s="53"/>
      <c r="N137" s="53"/>
      <c r="O137" s="53"/>
      <c r="P137" s="53"/>
      <c r="Q137" s="53"/>
    </row>
    <row r="138" spans="2:17" ht="15.75">
      <c r="B138" s="53" t="s">
        <v>5</v>
      </c>
      <c r="C138" s="702">
        <v>315.2</v>
      </c>
      <c r="D138" s="702">
        <v>254.9</v>
      </c>
      <c r="E138" s="702">
        <v>224.3</v>
      </c>
      <c r="F138" s="702">
        <v>201.1</v>
      </c>
      <c r="G138" s="702">
        <v>181.1</v>
      </c>
      <c r="H138" s="702">
        <v>176.4</v>
      </c>
      <c r="I138" s="702">
        <v>170.4</v>
      </c>
      <c r="J138" s="702">
        <v>162.4</v>
      </c>
      <c r="K138" s="630">
        <f t="shared" ref="K138:Q138" si="114">J138+K139</f>
        <v>167.4</v>
      </c>
      <c r="L138" s="630">
        <f t="shared" si="114"/>
        <v>172.4</v>
      </c>
      <c r="M138" s="630">
        <f t="shared" si="114"/>
        <v>177.4</v>
      </c>
      <c r="N138" s="630">
        <f t="shared" si="114"/>
        <v>182.4</v>
      </c>
      <c r="O138" s="630">
        <f t="shared" si="114"/>
        <v>187.4</v>
      </c>
      <c r="P138" s="630">
        <f t="shared" si="114"/>
        <v>192.4</v>
      </c>
      <c r="Q138" s="630">
        <f t="shared" si="114"/>
        <v>197.4</v>
      </c>
    </row>
    <row r="139" spans="2:17" ht="15.75">
      <c r="B139" s="53"/>
      <c r="C139" s="53"/>
      <c r="D139" s="621"/>
      <c r="E139" s="621">
        <f t="shared" ref="E139:J139" si="115">E138-D138</f>
        <v>-30.599999999999994</v>
      </c>
      <c r="F139" s="621">
        <f t="shared" si="115"/>
        <v>-23.200000000000017</v>
      </c>
      <c r="G139" s="621">
        <f t="shared" si="115"/>
        <v>-20</v>
      </c>
      <c r="H139" s="621">
        <f t="shared" si="115"/>
        <v>-4.6999999999999886</v>
      </c>
      <c r="I139" s="621">
        <f t="shared" si="115"/>
        <v>-6</v>
      </c>
      <c r="J139" s="621">
        <f t="shared" si="115"/>
        <v>-8</v>
      </c>
      <c r="K139" s="702">
        <v>5</v>
      </c>
      <c r="L139" s="702">
        <v>5</v>
      </c>
      <c r="M139" s="702">
        <v>5</v>
      </c>
      <c r="N139" s="702">
        <v>5</v>
      </c>
      <c r="O139" s="702">
        <v>5</v>
      </c>
      <c r="P139" s="702">
        <v>5</v>
      </c>
      <c r="Q139" s="702">
        <v>5</v>
      </c>
    </row>
    <row r="140" spans="2:17" ht="15.75">
      <c r="B140" s="53" t="s">
        <v>573</v>
      </c>
      <c r="C140" s="630">
        <f>C134+C138</f>
        <v>398.29999999999995</v>
      </c>
      <c r="D140" s="630">
        <f>D134+D138</f>
        <v>335.1</v>
      </c>
      <c r="E140" s="630">
        <f>E134+E138</f>
        <v>303.39999999999998</v>
      </c>
      <c r="F140" s="630">
        <f t="shared" ref="F140:Q140" si="116">F134+F138</f>
        <v>277</v>
      </c>
      <c r="G140" s="630">
        <f t="shared" si="116"/>
        <v>249.29999999999998</v>
      </c>
      <c r="H140" s="630">
        <f t="shared" si="116"/>
        <v>248.8</v>
      </c>
      <c r="I140" s="630">
        <f t="shared" si="116"/>
        <v>232.70000000000002</v>
      </c>
      <c r="J140" s="630">
        <f t="shared" si="116"/>
        <v>229.5</v>
      </c>
      <c r="K140" s="630">
        <f t="shared" si="116"/>
        <v>235.5</v>
      </c>
      <c r="L140" s="630">
        <f t="shared" si="116"/>
        <v>241.5</v>
      </c>
      <c r="M140" s="630">
        <f t="shared" si="116"/>
        <v>247.5</v>
      </c>
      <c r="N140" s="630">
        <f t="shared" si="116"/>
        <v>253.5</v>
      </c>
      <c r="O140" s="630">
        <f t="shared" si="116"/>
        <v>259.5</v>
      </c>
      <c r="P140" s="630">
        <f t="shared" si="116"/>
        <v>265.5</v>
      </c>
      <c r="Q140" s="630">
        <f t="shared" si="116"/>
        <v>271.5</v>
      </c>
    </row>
    <row r="141" spans="2:17" ht="15.75">
      <c r="B141" s="53"/>
      <c r="C141" s="53"/>
      <c r="D141" s="53"/>
      <c r="E141" s="53"/>
      <c r="F141" s="53"/>
      <c r="G141" s="53"/>
      <c r="H141" s="53"/>
      <c r="I141" s="53"/>
      <c r="J141" s="53"/>
      <c r="K141" s="53"/>
      <c r="L141" s="53"/>
      <c r="M141" s="53"/>
      <c r="N141" s="53"/>
      <c r="O141" s="53"/>
      <c r="P141" s="53"/>
      <c r="Q141" s="53"/>
    </row>
    <row r="142" spans="2:17" ht="15.75">
      <c r="B142" s="53" t="s">
        <v>15</v>
      </c>
      <c r="C142" s="764">
        <v>306.60000000000002</v>
      </c>
      <c r="D142" s="764">
        <v>261.3</v>
      </c>
      <c r="E142" s="764">
        <v>229</v>
      </c>
      <c r="F142" s="764">
        <v>207.3</v>
      </c>
      <c r="G142" s="764">
        <v>181</v>
      </c>
      <c r="H142" s="764">
        <v>189.9</v>
      </c>
      <c r="I142" s="764">
        <v>194.7</v>
      </c>
      <c r="J142" s="764">
        <v>193</v>
      </c>
      <c r="K142" s="630">
        <f t="shared" ref="K142:Q142" si="117">K145*12*AVERAGE(J140,K140)/1000</f>
        <v>203.87765036780618</v>
      </c>
      <c r="L142" s="630">
        <f t="shared" si="117"/>
        <v>211.2303991778451</v>
      </c>
      <c r="M142" s="630">
        <f t="shared" si="117"/>
        <v>216.54437148420598</v>
      </c>
      <c r="N142" s="630">
        <f t="shared" si="117"/>
        <v>221.85834379056686</v>
      </c>
      <c r="O142" s="630">
        <f t="shared" si="117"/>
        <v>227.17231609692774</v>
      </c>
      <c r="P142" s="630">
        <f t="shared" si="117"/>
        <v>232.48628840328863</v>
      </c>
      <c r="Q142" s="630">
        <f t="shared" si="117"/>
        <v>237.80026070964951</v>
      </c>
    </row>
    <row r="143" spans="2:17" ht="15.75">
      <c r="B143" s="53" t="s">
        <v>78</v>
      </c>
      <c r="C143" s="53"/>
      <c r="D143" s="56">
        <f t="shared" ref="D143:Q143" si="118">D142/C142-1</f>
        <v>-0.14774951076320941</v>
      </c>
      <c r="E143" s="56">
        <f t="shared" si="118"/>
        <v>-0.12361270570225802</v>
      </c>
      <c r="F143" s="56">
        <f t="shared" si="118"/>
        <v>-9.4759825327510816E-2</v>
      </c>
      <c r="G143" s="56">
        <f t="shared" si="118"/>
        <v>-0.12686927158707195</v>
      </c>
      <c r="H143" s="56">
        <f t="shared" si="118"/>
        <v>4.917127071823213E-2</v>
      </c>
      <c r="I143" s="56">
        <f t="shared" si="118"/>
        <v>2.5276461295418606E-2</v>
      </c>
      <c r="J143" s="56">
        <f t="shared" si="118"/>
        <v>-8.7313816127374544E-3</v>
      </c>
      <c r="K143" s="56">
        <f t="shared" si="118"/>
        <v>5.6360882734747042E-2</v>
      </c>
      <c r="L143" s="56">
        <f t="shared" si="118"/>
        <v>3.6064516129032054E-2</v>
      </c>
      <c r="M143" s="56">
        <f t="shared" si="118"/>
        <v>2.515723270440251E-2</v>
      </c>
      <c r="N143" s="56">
        <f t="shared" si="118"/>
        <v>2.4539877300613577E-2</v>
      </c>
      <c r="O143" s="56">
        <f t="shared" si="118"/>
        <v>2.39520958083832E-2</v>
      </c>
      <c r="P143" s="56">
        <f t="shared" si="118"/>
        <v>2.3391812865497075E-2</v>
      </c>
      <c r="Q143" s="56">
        <f t="shared" si="118"/>
        <v>2.2857142857142909E-2</v>
      </c>
    </row>
    <row r="144" spans="2:17" ht="15.75">
      <c r="B144" s="53"/>
      <c r="C144" s="53"/>
      <c r="D144" s="53"/>
      <c r="E144" s="53"/>
      <c r="F144" s="53"/>
      <c r="G144" s="53"/>
      <c r="H144" s="53"/>
      <c r="I144" s="53"/>
      <c r="J144" s="53"/>
      <c r="K144" s="53"/>
      <c r="L144" s="53"/>
      <c r="M144" s="53"/>
      <c r="N144" s="53"/>
      <c r="O144" s="53"/>
      <c r="P144" s="53"/>
      <c r="Q144" s="53"/>
    </row>
    <row r="145" spans="2:17" ht="15.75">
      <c r="B145" s="53" t="s">
        <v>4024</v>
      </c>
      <c r="C145" s="53"/>
      <c r="D145" s="621">
        <f t="shared" ref="D145:J145" si="119">D142*1000/12/(AVERAGE(C140,D140))</f>
        <v>59.380965366784842</v>
      </c>
      <c r="E145" s="621">
        <f t="shared" si="119"/>
        <v>59.775515531192895</v>
      </c>
      <c r="F145" s="621">
        <f t="shared" si="119"/>
        <v>59.527911784975878</v>
      </c>
      <c r="G145" s="621">
        <f t="shared" si="119"/>
        <v>57.318386218253224</v>
      </c>
      <c r="H145" s="621">
        <f t="shared" si="119"/>
        <v>63.541457538646853</v>
      </c>
      <c r="I145" s="621">
        <f t="shared" si="119"/>
        <v>67.393561786085144</v>
      </c>
      <c r="J145" s="621">
        <f t="shared" si="119"/>
        <v>69.594692052502523</v>
      </c>
      <c r="K145" s="621">
        <f t="shared" ref="K145:Q145" si="120">(1+K146)*J145</f>
        <v>73.074426655127652</v>
      </c>
      <c r="L145" s="621">
        <f t="shared" si="120"/>
        <v>73.805170921678936</v>
      </c>
      <c r="M145" s="621">
        <f t="shared" si="120"/>
        <v>73.805170921678936</v>
      </c>
      <c r="N145" s="621">
        <f t="shared" si="120"/>
        <v>73.805170921678936</v>
      </c>
      <c r="O145" s="621">
        <f t="shared" si="120"/>
        <v>73.805170921678936</v>
      </c>
      <c r="P145" s="621">
        <f t="shared" si="120"/>
        <v>73.805170921678936</v>
      </c>
      <c r="Q145" s="621">
        <f t="shared" si="120"/>
        <v>73.805170921678936</v>
      </c>
    </row>
    <row r="146" spans="2:17" ht="15.75">
      <c r="B146" s="53"/>
      <c r="C146" s="53"/>
      <c r="D146" s="53"/>
      <c r="E146" s="54">
        <f t="shared" ref="E146:J146" si="121">E145/D145-1</f>
        <v>6.6443878433264381E-3</v>
      </c>
      <c r="F146" s="54">
        <f t="shared" si="121"/>
        <v>-4.1422268635693538E-3</v>
      </c>
      <c r="G146" s="54">
        <f t="shared" si="121"/>
        <v>-3.7117471459502949E-2</v>
      </c>
      <c r="H146" s="54">
        <f t="shared" si="121"/>
        <v>0.10857024649469049</v>
      </c>
      <c r="I146" s="54">
        <f t="shared" si="121"/>
        <v>6.0623479483381093E-2</v>
      </c>
      <c r="J146" s="54">
        <f t="shared" si="121"/>
        <v>3.2660838930045344E-2</v>
      </c>
      <c r="K146" s="784">
        <v>0.05</v>
      </c>
      <c r="L146" s="784">
        <v>0.01</v>
      </c>
      <c r="M146" s="784">
        <v>0</v>
      </c>
      <c r="N146" s="784">
        <v>0</v>
      </c>
      <c r="O146" s="784">
        <v>0</v>
      </c>
      <c r="P146" s="784">
        <v>0</v>
      </c>
      <c r="Q146" s="784">
        <v>0</v>
      </c>
    </row>
    <row r="147" spans="2:17" ht="15.75">
      <c r="B147" s="53"/>
      <c r="C147" s="53"/>
      <c r="D147" s="53"/>
      <c r="E147" s="53"/>
      <c r="F147" s="53"/>
      <c r="G147" s="53"/>
      <c r="H147" s="53"/>
      <c r="I147" s="53"/>
      <c r="J147" s="53"/>
      <c r="K147" s="53"/>
      <c r="L147" s="53"/>
      <c r="M147" s="53"/>
      <c r="N147" s="53"/>
      <c r="O147" s="53"/>
      <c r="P147" s="53"/>
      <c r="Q147" s="53"/>
    </row>
    <row r="148" spans="2:17" ht="15.75">
      <c r="B148" s="53" t="s">
        <v>8</v>
      </c>
      <c r="C148" s="481">
        <f t="shared" ref="C148:H148" si="122">C149*C142</f>
        <v>147.16800000000001</v>
      </c>
      <c r="D148" s="481">
        <f t="shared" si="122"/>
        <v>117.58500000000001</v>
      </c>
      <c r="E148" s="481">
        <f t="shared" si="122"/>
        <v>96.179999999999993</v>
      </c>
      <c r="F148" s="481">
        <f t="shared" si="122"/>
        <v>87.066000000000003</v>
      </c>
      <c r="G148" s="481">
        <f t="shared" si="122"/>
        <v>76.02</v>
      </c>
      <c r="H148" s="481">
        <f t="shared" si="122"/>
        <v>77.858999999999995</v>
      </c>
      <c r="I148" s="481">
        <f t="shared" ref="I148" si="123">I149*I142</f>
        <v>79.826999999999984</v>
      </c>
      <c r="J148" s="481">
        <f t="shared" ref="J148:Q148" si="124">J149*J142</f>
        <v>79.13</v>
      </c>
      <c r="K148" s="481">
        <f t="shared" si="124"/>
        <v>81.551060147122485</v>
      </c>
      <c r="L148" s="481">
        <f t="shared" si="124"/>
        <v>84.49215967113804</v>
      </c>
      <c r="M148" s="481">
        <f t="shared" si="124"/>
        <v>86.617748593682393</v>
      </c>
      <c r="N148" s="481">
        <f t="shared" si="124"/>
        <v>88.743337516226745</v>
      </c>
      <c r="O148" s="481">
        <f t="shared" si="124"/>
        <v>90.868926438771098</v>
      </c>
      <c r="P148" s="481">
        <f t="shared" si="124"/>
        <v>92.99451536131545</v>
      </c>
      <c r="Q148" s="481">
        <f t="shared" si="124"/>
        <v>95.120104283859803</v>
      </c>
    </row>
    <row r="149" spans="2:17" ht="15.75">
      <c r="B149" s="53" t="s">
        <v>251</v>
      </c>
      <c r="C149" s="784">
        <v>0.48</v>
      </c>
      <c r="D149" s="784">
        <v>0.45</v>
      </c>
      <c r="E149" s="784">
        <v>0.42</v>
      </c>
      <c r="F149" s="784">
        <v>0.42</v>
      </c>
      <c r="G149" s="784">
        <v>0.42</v>
      </c>
      <c r="H149" s="784">
        <v>0.41</v>
      </c>
      <c r="I149" s="784">
        <v>0.41</v>
      </c>
      <c r="J149" s="933">
        <f t="shared" ref="J149:Q149" si="125">I149</f>
        <v>0.41</v>
      </c>
      <c r="K149" s="933">
        <v>0.4</v>
      </c>
      <c r="L149" s="933">
        <f t="shared" si="125"/>
        <v>0.4</v>
      </c>
      <c r="M149" s="933">
        <f t="shared" si="125"/>
        <v>0.4</v>
      </c>
      <c r="N149" s="933">
        <f t="shared" si="125"/>
        <v>0.4</v>
      </c>
      <c r="O149" s="933">
        <f t="shared" si="125"/>
        <v>0.4</v>
      </c>
      <c r="P149" s="933">
        <f t="shared" si="125"/>
        <v>0.4</v>
      </c>
      <c r="Q149" s="933">
        <f t="shared" si="125"/>
        <v>0.4</v>
      </c>
    </row>
    <row r="151" spans="2:17" ht="15.75">
      <c r="B151" s="53" t="s">
        <v>19</v>
      </c>
      <c r="C151" s="481">
        <f t="shared" ref="C151:H151" si="126">C152*C142</f>
        <v>45.99</v>
      </c>
      <c r="D151" s="481">
        <f t="shared" si="126"/>
        <v>39.195</v>
      </c>
      <c r="E151" s="481">
        <f t="shared" si="126"/>
        <v>34.35</v>
      </c>
      <c r="F151" s="481">
        <f t="shared" si="126"/>
        <v>31.094999999999999</v>
      </c>
      <c r="G151" s="481">
        <f t="shared" si="126"/>
        <v>28.96</v>
      </c>
      <c r="H151" s="481">
        <f t="shared" si="126"/>
        <v>30.384</v>
      </c>
      <c r="I151" s="481">
        <f t="shared" ref="I151" si="127">I152*I142</f>
        <v>31.151999999999997</v>
      </c>
      <c r="J151" s="481">
        <f t="shared" ref="J151:Q151" si="128">J152*J142</f>
        <v>30.88</v>
      </c>
      <c r="K151" s="481">
        <f t="shared" si="128"/>
        <v>32.62042405884899</v>
      </c>
      <c r="L151" s="481">
        <f t="shared" si="128"/>
        <v>33.796863868455219</v>
      </c>
      <c r="M151" s="481">
        <f t="shared" si="128"/>
        <v>34.64709943747296</v>
      </c>
      <c r="N151" s="481">
        <f t="shared" si="128"/>
        <v>35.497335006490701</v>
      </c>
      <c r="O151" s="481">
        <f t="shared" si="128"/>
        <v>36.347570575508442</v>
      </c>
      <c r="P151" s="481">
        <f t="shared" si="128"/>
        <v>37.197806144526183</v>
      </c>
      <c r="Q151" s="481">
        <f t="shared" si="128"/>
        <v>38.048041713543924</v>
      </c>
    </row>
    <row r="152" spans="2:17" ht="15.75">
      <c r="B152" s="53" t="s">
        <v>251</v>
      </c>
      <c r="C152" s="784">
        <v>0.15</v>
      </c>
      <c r="D152" s="784">
        <v>0.15</v>
      </c>
      <c r="E152" s="784">
        <v>0.15</v>
      </c>
      <c r="F152" s="784">
        <v>0.15</v>
      </c>
      <c r="G152" s="784">
        <v>0.16</v>
      </c>
      <c r="H152" s="784">
        <v>0.16</v>
      </c>
      <c r="I152" s="784">
        <v>0.16</v>
      </c>
      <c r="J152" s="933">
        <v>0.16</v>
      </c>
      <c r="K152" s="933">
        <v>0.16</v>
      </c>
      <c r="L152" s="933">
        <v>0.16</v>
      </c>
      <c r="M152" s="933">
        <v>0.16</v>
      </c>
      <c r="N152" s="933">
        <v>0.16</v>
      </c>
      <c r="O152" s="933">
        <v>0.16</v>
      </c>
      <c r="P152" s="933">
        <v>0.16</v>
      </c>
      <c r="Q152" s="933">
        <v>0.16</v>
      </c>
    </row>
    <row r="154" spans="2:17" ht="15.75">
      <c r="B154" s="53" t="s">
        <v>27</v>
      </c>
      <c r="C154" s="481">
        <f>C148-C151</f>
        <v>101.178</v>
      </c>
      <c r="D154" s="481">
        <f t="shared" ref="D154:Q154" si="129">D148-D151</f>
        <v>78.390000000000015</v>
      </c>
      <c r="E154" s="481">
        <f t="shared" si="129"/>
        <v>61.829999999999991</v>
      </c>
      <c r="F154" s="481">
        <f t="shared" si="129"/>
        <v>55.971000000000004</v>
      </c>
      <c r="G154" s="481">
        <f t="shared" si="129"/>
        <v>47.059999999999995</v>
      </c>
      <c r="H154" s="481">
        <f>H148-H151</f>
        <v>47.474999999999994</v>
      </c>
      <c r="I154" s="481">
        <f>I148-I151</f>
        <v>48.674999999999983</v>
      </c>
      <c r="J154" s="481">
        <f t="shared" si="129"/>
        <v>48.25</v>
      </c>
      <c r="K154" s="481">
        <f t="shared" si="129"/>
        <v>48.930636088273495</v>
      </c>
      <c r="L154" s="481">
        <f t="shared" si="129"/>
        <v>50.695295802682821</v>
      </c>
      <c r="M154" s="481">
        <f t="shared" si="129"/>
        <v>51.970649156209433</v>
      </c>
      <c r="N154" s="481">
        <f t="shared" si="129"/>
        <v>53.246002509736044</v>
      </c>
      <c r="O154" s="481">
        <f t="shared" si="129"/>
        <v>54.521355863262656</v>
      </c>
      <c r="P154" s="481">
        <f t="shared" si="129"/>
        <v>55.796709216789267</v>
      </c>
      <c r="Q154" s="481">
        <f t="shared" si="129"/>
        <v>57.072062570315879</v>
      </c>
    </row>
    <row r="155" spans="2:17" ht="15.75">
      <c r="B155" s="53"/>
      <c r="C155" s="481"/>
      <c r="D155" s="481"/>
      <c r="E155" s="481"/>
      <c r="F155" s="481"/>
      <c r="G155" s="481"/>
      <c r="H155" s="481"/>
      <c r="I155" s="481"/>
      <c r="J155" s="481"/>
      <c r="K155" s="481"/>
      <c r="L155" s="481"/>
      <c r="M155" s="481"/>
      <c r="N155" s="481"/>
      <c r="O155" s="481"/>
      <c r="P155" s="481"/>
      <c r="Q155" s="481"/>
    </row>
    <row r="156" spans="2:17" ht="15.75">
      <c r="B156" s="636" t="s">
        <v>3871</v>
      </c>
      <c r="C156" s="636">
        <v>2016</v>
      </c>
      <c r="D156" s="636">
        <v>2017</v>
      </c>
      <c r="E156" s="636">
        <f>D156+1</f>
        <v>2018</v>
      </c>
      <c r="F156" s="636">
        <f>E156+1</f>
        <v>2019</v>
      </c>
      <c r="G156" s="636">
        <f t="shared" ref="G156:Q156" si="130">F156+1</f>
        <v>2020</v>
      </c>
      <c r="H156" s="636">
        <f t="shared" si="130"/>
        <v>2021</v>
      </c>
      <c r="I156" s="636">
        <f t="shared" si="130"/>
        <v>2022</v>
      </c>
      <c r="J156" s="636">
        <f t="shared" si="130"/>
        <v>2023</v>
      </c>
      <c r="K156" s="636">
        <f t="shared" si="130"/>
        <v>2024</v>
      </c>
      <c r="L156" s="636">
        <f t="shared" si="130"/>
        <v>2025</v>
      </c>
      <c r="M156" s="636">
        <f t="shared" si="130"/>
        <v>2026</v>
      </c>
      <c r="N156" s="636">
        <f t="shared" si="130"/>
        <v>2027</v>
      </c>
      <c r="O156" s="636">
        <f t="shared" si="130"/>
        <v>2028</v>
      </c>
      <c r="P156" s="636">
        <f t="shared" si="130"/>
        <v>2029</v>
      </c>
      <c r="Q156" s="636">
        <f t="shared" si="130"/>
        <v>2030</v>
      </c>
    </row>
    <row r="157" spans="2:17" ht="15.75">
      <c r="B157" s="58" t="s">
        <v>0</v>
      </c>
      <c r="C157" s="53"/>
      <c r="D157" s="53"/>
      <c r="E157" s="53"/>
      <c r="F157" s="53"/>
      <c r="G157" s="53"/>
      <c r="H157" s="53"/>
      <c r="I157" s="53"/>
      <c r="J157" s="53"/>
      <c r="K157" s="53"/>
      <c r="L157" s="53"/>
      <c r="M157" s="53"/>
      <c r="N157" s="53"/>
      <c r="O157" s="53"/>
      <c r="P157" s="53"/>
      <c r="Q157" s="53"/>
    </row>
    <row r="158" spans="2:17" ht="15.75">
      <c r="B158" s="53"/>
      <c r="C158" s="53"/>
      <c r="D158" s="53"/>
      <c r="E158" s="53"/>
      <c r="F158" s="53"/>
      <c r="G158" s="53"/>
      <c r="H158" s="53"/>
      <c r="I158" s="53"/>
      <c r="J158" s="53"/>
      <c r="K158" s="53"/>
      <c r="L158" s="53"/>
      <c r="M158" s="53"/>
      <c r="N158" s="53"/>
      <c r="O158" s="53"/>
      <c r="P158" s="53"/>
      <c r="Q158" s="53"/>
    </row>
    <row r="159" spans="2:17" ht="15.75">
      <c r="B159" s="53" t="s">
        <v>557</v>
      </c>
      <c r="C159" s="702">
        <v>527.79999999999995</v>
      </c>
      <c r="D159" s="702">
        <v>541.5</v>
      </c>
      <c r="E159" s="702">
        <v>546</v>
      </c>
      <c r="F159" s="702">
        <v>617</v>
      </c>
      <c r="G159" s="702">
        <v>687.9</v>
      </c>
      <c r="H159" s="702">
        <v>774.3</v>
      </c>
      <c r="I159" s="702">
        <v>829.2</v>
      </c>
      <c r="J159" s="702">
        <v>953.6</v>
      </c>
      <c r="K159" s="53"/>
      <c r="L159" s="53"/>
      <c r="M159" s="53"/>
      <c r="N159" s="53"/>
      <c r="O159" s="53"/>
      <c r="P159" s="53"/>
      <c r="Q159" s="53"/>
    </row>
    <row r="160" spans="2:17" ht="15.75">
      <c r="B160" s="53"/>
      <c r="C160" s="53"/>
      <c r="D160" s="621">
        <f>D159-C159</f>
        <v>13.700000000000045</v>
      </c>
      <c r="E160" s="621">
        <f>E159-D159</f>
        <v>4.5</v>
      </c>
      <c r="F160" s="621">
        <f>F159-E159</f>
        <v>71</v>
      </c>
      <c r="G160" s="621">
        <f>G159-F159</f>
        <v>70.899999999999977</v>
      </c>
      <c r="H160" s="621">
        <f>H159-G159</f>
        <v>86.399999999999977</v>
      </c>
      <c r="I160" s="53"/>
      <c r="J160" s="53"/>
      <c r="K160" s="53"/>
      <c r="L160" s="53"/>
      <c r="M160" s="53"/>
      <c r="N160" s="53"/>
      <c r="O160" s="53"/>
      <c r="P160" s="53"/>
      <c r="Q160" s="53"/>
    </row>
    <row r="161" spans="2:17" ht="15.75">
      <c r="B161" s="53" t="s">
        <v>2302</v>
      </c>
      <c r="C161" s="702">
        <v>416.8</v>
      </c>
      <c r="D161" s="702">
        <v>541.5</v>
      </c>
      <c r="E161" s="702">
        <v>546</v>
      </c>
      <c r="F161" s="702">
        <v>617</v>
      </c>
      <c r="G161" s="702">
        <v>687.9</v>
      </c>
      <c r="H161" s="702">
        <v>687.9</v>
      </c>
      <c r="I161" s="702">
        <v>829.2</v>
      </c>
      <c r="J161" s="702">
        <f>J159</f>
        <v>953.6</v>
      </c>
      <c r="K161" s="53"/>
      <c r="L161" s="53"/>
      <c r="M161" s="53"/>
      <c r="N161" s="53"/>
      <c r="O161" s="53"/>
      <c r="P161" s="53"/>
      <c r="Q161" s="53"/>
    </row>
    <row r="162" spans="2:17" ht="15.75">
      <c r="B162" s="53" t="s">
        <v>2303</v>
      </c>
      <c r="C162" s="702">
        <v>336</v>
      </c>
      <c r="D162" s="702">
        <v>179.2</v>
      </c>
      <c r="E162" s="702">
        <v>175.8</v>
      </c>
      <c r="F162" s="702">
        <v>189.4</v>
      </c>
      <c r="G162" s="702">
        <v>184.7</v>
      </c>
      <c r="H162" s="702">
        <v>200.2</v>
      </c>
      <c r="I162" s="702">
        <v>251.7</v>
      </c>
      <c r="J162" s="702">
        <v>260.39999999999998</v>
      </c>
      <c r="K162" s="481">
        <f t="shared" ref="K162:Q162" si="131">K171/K173</f>
        <v>259.89931466958137</v>
      </c>
      <c r="L162" s="481">
        <f t="shared" si="131"/>
        <v>259.38301699103459</v>
      </c>
      <c r="M162" s="481">
        <f t="shared" si="131"/>
        <v>258.85146520175323</v>
      </c>
      <c r="N162" s="481">
        <f t="shared" si="131"/>
        <v>258.30501197579349</v>
      </c>
      <c r="O162" s="481">
        <f t="shared" si="131"/>
        <v>257.7440044989213</v>
      </c>
      <c r="P162" s="481">
        <f t="shared" si="131"/>
        <v>257.16878454271892</v>
      </c>
      <c r="Q162" s="481">
        <f t="shared" si="131"/>
        <v>256.57968853776191</v>
      </c>
    </row>
    <row r="163" spans="2:17" ht="15.75">
      <c r="B163" s="53"/>
      <c r="C163" s="53"/>
      <c r="D163" s="53"/>
      <c r="E163" s="53"/>
      <c r="F163" s="53"/>
      <c r="G163" s="53"/>
      <c r="H163" s="53"/>
      <c r="I163" s="53"/>
      <c r="J163" s="53"/>
      <c r="K163" s="53"/>
      <c r="L163" s="53"/>
      <c r="M163" s="53"/>
      <c r="N163" s="53"/>
      <c r="O163" s="53"/>
      <c r="P163" s="53"/>
      <c r="Q163" s="53"/>
    </row>
    <row r="164" spans="2:17" ht="15.75">
      <c r="B164" s="53"/>
      <c r="C164" s="53"/>
      <c r="D164" s="621"/>
      <c r="E164" s="621"/>
      <c r="F164" s="53"/>
      <c r="G164" s="53"/>
      <c r="H164" s="53"/>
      <c r="I164" s="53"/>
      <c r="J164" s="53"/>
      <c r="K164" s="53"/>
      <c r="L164" s="53"/>
      <c r="M164" s="53"/>
      <c r="N164" s="53"/>
      <c r="O164" s="53"/>
      <c r="P164" s="53"/>
      <c r="Q164" s="53"/>
    </row>
    <row r="165" spans="2:17" ht="15.75">
      <c r="B165" s="53" t="s">
        <v>1568</v>
      </c>
      <c r="C165" s="702">
        <v>82.5</v>
      </c>
      <c r="D165" s="702">
        <v>77.599999999999994</v>
      </c>
      <c r="E165" s="702">
        <v>86.4</v>
      </c>
      <c r="F165" s="702">
        <v>106.9</v>
      </c>
      <c r="G165" s="702">
        <v>89.9</v>
      </c>
      <c r="H165" s="702">
        <v>108.2</v>
      </c>
      <c r="I165" s="702">
        <v>159.30000000000001</v>
      </c>
      <c r="J165" s="702">
        <v>166.9</v>
      </c>
      <c r="K165" s="621">
        <f t="shared" ref="K165:Q165" si="132">J165+K166</f>
        <v>169.9</v>
      </c>
      <c r="L165" s="621">
        <f t="shared" si="132"/>
        <v>172.9</v>
      </c>
      <c r="M165" s="621">
        <f t="shared" si="132"/>
        <v>175.9</v>
      </c>
      <c r="N165" s="621">
        <f t="shared" si="132"/>
        <v>178.9</v>
      </c>
      <c r="O165" s="621">
        <f t="shared" si="132"/>
        <v>181.9</v>
      </c>
      <c r="P165" s="621">
        <f t="shared" si="132"/>
        <v>184.9</v>
      </c>
      <c r="Q165" s="621">
        <f t="shared" si="132"/>
        <v>187.9</v>
      </c>
    </row>
    <row r="166" spans="2:17" ht="15.75">
      <c r="B166" s="53"/>
      <c r="C166" s="53"/>
      <c r="D166" s="621">
        <f t="shared" ref="D166:J166" si="133">D165-C165</f>
        <v>-4.9000000000000057</v>
      </c>
      <c r="E166" s="621">
        <f t="shared" si="133"/>
        <v>8.8000000000000114</v>
      </c>
      <c r="F166" s="621">
        <f t="shared" si="133"/>
        <v>20.5</v>
      </c>
      <c r="G166" s="621">
        <f t="shared" si="133"/>
        <v>-17</v>
      </c>
      <c r="H166" s="621">
        <f t="shared" si="133"/>
        <v>18.299999999999997</v>
      </c>
      <c r="I166" s="621">
        <f t="shared" si="133"/>
        <v>51.100000000000009</v>
      </c>
      <c r="J166" s="621">
        <f t="shared" si="133"/>
        <v>7.5999999999999943</v>
      </c>
      <c r="K166" s="702">
        <v>3</v>
      </c>
      <c r="L166" s="702">
        <v>3</v>
      </c>
      <c r="M166" s="702">
        <v>3</v>
      </c>
      <c r="N166" s="702">
        <v>3</v>
      </c>
      <c r="O166" s="702">
        <v>3</v>
      </c>
      <c r="P166" s="702">
        <v>3</v>
      </c>
      <c r="Q166" s="702">
        <v>3</v>
      </c>
    </row>
    <row r="167" spans="2:17" ht="15.75">
      <c r="B167" s="53" t="s">
        <v>1567</v>
      </c>
      <c r="C167" s="702">
        <v>95.7</v>
      </c>
      <c r="D167" s="702">
        <v>104.5</v>
      </c>
      <c r="E167" s="702">
        <v>112</v>
      </c>
      <c r="F167" s="702">
        <v>135</v>
      </c>
      <c r="G167" s="702">
        <v>155.9</v>
      </c>
      <c r="H167" s="702">
        <v>179.4</v>
      </c>
      <c r="I167" s="702">
        <v>207.4</v>
      </c>
      <c r="J167" s="702">
        <v>232.5</v>
      </c>
      <c r="K167" s="621">
        <f t="shared" ref="K167:Q167" si="134">J167+K168</f>
        <v>236.5</v>
      </c>
      <c r="L167" s="621">
        <f t="shared" si="134"/>
        <v>240.5</v>
      </c>
      <c r="M167" s="621">
        <f t="shared" si="134"/>
        <v>244.5</v>
      </c>
      <c r="N167" s="621">
        <f t="shared" si="134"/>
        <v>248.5</v>
      </c>
      <c r="O167" s="621">
        <f t="shared" si="134"/>
        <v>252.5</v>
      </c>
      <c r="P167" s="621">
        <f t="shared" si="134"/>
        <v>256.5</v>
      </c>
      <c r="Q167" s="621">
        <f t="shared" si="134"/>
        <v>260.5</v>
      </c>
    </row>
    <row r="168" spans="2:17" ht="15.75">
      <c r="B168" s="53"/>
      <c r="C168" s="53"/>
      <c r="D168" s="621">
        <f t="shared" ref="D168:J168" si="135">D167-C167</f>
        <v>8.7999999999999972</v>
      </c>
      <c r="E168" s="621">
        <f t="shared" si="135"/>
        <v>7.5</v>
      </c>
      <c r="F168" s="621">
        <f t="shared" si="135"/>
        <v>23</v>
      </c>
      <c r="G168" s="621">
        <f t="shared" si="135"/>
        <v>20.900000000000006</v>
      </c>
      <c r="H168" s="621">
        <f t="shared" si="135"/>
        <v>23.5</v>
      </c>
      <c r="I168" s="621">
        <f t="shared" si="135"/>
        <v>28</v>
      </c>
      <c r="J168" s="621">
        <f t="shared" si="135"/>
        <v>25.099999999999994</v>
      </c>
      <c r="K168" s="702">
        <v>4</v>
      </c>
      <c r="L168" s="702">
        <v>4</v>
      </c>
      <c r="M168" s="702">
        <v>4</v>
      </c>
      <c r="N168" s="702">
        <v>4</v>
      </c>
      <c r="O168" s="702">
        <v>4</v>
      </c>
      <c r="P168" s="702">
        <v>4</v>
      </c>
      <c r="Q168" s="702">
        <v>4</v>
      </c>
    </row>
    <row r="169" spans="2:17" ht="15.75">
      <c r="B169" s="53" t="s">
        <v>565</v>
      </c>
      <c r="C169" s="702">
        <v>275.2</v>
      </c>
      <c r="D169" s="702">
        <v>125.2</v>
      </c>
      <c r="E169" s="702">
        <v>123.9</v>
      </c>
      <c r="F169" s="702">
        <v>144.69999999999999</v>
      </c>
      <c r="G169" s="702">
        <v>159.69999999999999</v>
      </c>
      <c r="H169" s="702">
        <v>179.5</v>
      </c>
      <c r="I169" s="702">
        <v>199.9</v>
      </c>
      <c r="J169" s="702">
        <v>221.1</v>
      </c>
      <c r="K169" s="621">
        <f t="shared" ref="K169:Q169" si="136">J169+K170</f>
        <v>219.1</v>
      </c>
      <c r="L169" s="621">
        <f t="shared" si="136"/>
        <v>217.1</v>
      </c>
      <c r="M169" s="621">
        <f t="shared" si="136"/>
        <v>215.1</v>
      </c>
      <c r="N169" s="621">
        <f t="shared" si="136"/>
        <v>213.1</v>
      </c>
      <c r="O169" s="621">
        <f t="shared" si="136"/>
        <v>211.1</v>
      </c>
      <c r="P169" s="621">
        <f t="shared" si="136"/>
        <v>209.1</v>
      </c>
      <c r="Q169" s="621">
        <f t="shared" si="136"/>
        <v>207.1</v>
      </c>
    </row>
    <row r="170" spans="2:17" ht="15.75">
      <c r="B170" s="50"/>
      <c r="C170" s="50"/>
      <c r="D170" s="622">
        <f t="shared" ref="D170:J170" si="137">D169-C169</f>
        <v>-150</v>
      </c>
      <c r="E170" s="622">
        <f t="shared" si="137"/>
        <v>-1.2999999999999972</v>
      </c>
      <c r="F170" s="622">
        <f t="shared" si="137"/>
        <v>20.799999999999983</v>
      </c>
      <c r="G170" s="622">
        <f t="shared" si="137"/>
        <v>15</v>
      </c>
      <c r="H170" s="622">
        <f t="shared" si="137"/>
        <v>19.800000000000011</v>
      </c>
      <c r="I170" s="622">
        <f t="shared" si="137"/>
        <v>20.400000000000006</v>
      </c>
      <c r="J170" s="622">
        <f t="shared" si="137"/>
        <v>21.199999999999989</v>
      </c>
      <c r="K170" s="932">
        <v>-2</v>
      </c>
      <c r="L170" s="932">
        <v>-2</v>
      </c>
      <c r="M170" s="932">
        <v>-2</v>
      </c>
      <c r="N170" s="932">
        <v>-2</v>
      </c>
      <c r="O170" s="932">
        <v>-2</v>
      </c>
      <c r="P170" s="932">
        <v>-2</v>
      </c>
      <c r="Q170" s="932">
        <v>-2</v>
      </c>
    </row>
    <row r="171" spans="2:17" ht="15.75">
      <c r="B171" s="53" t="s">
        <v>571</v>
      </c>
      <c r="C171" s="639">
        <f t="shared" ref="C171:H171" si="138">C165+C167+C169</f>
        <v>453.4</v>
      </c>
      <c r="D171" s="639">
        <f t="shared" si="138"/>
        <v>307.3</v>
      </c>
      <c r="E171" s="639">
        <f t="shared" si="138"/>
        <v>322.3</v>
      </c>
      <c r="F171" s="639">
        <f t="shared" si="138"/>
        <v>386.6</v>
      </c>
      <c r="G171" s="639">
        <f t="shared" si="138"/>
        <v>405.5</v>
      </c>
      <c r="H171" s="639">
        <f t="shared" si="138"/>
        <v>467.1</v>
      </c>
      <c r="I171" s="639">
        <f t="shared" ref="I171:J171" si="139">I165+I167+I169</f>
        <v>566.6</v>
      </c>
      <c r="J171" s="639">
        <f t="shared" si="139"/>
        <v>620.5</v>
      </c>
      <c r="K171" s="639">
        <f t="shared" ref="K171:Q171" si="140">K165+K167+K169</f>
        <v>625.5</v>
      </c>
      <c r="L171" s="639">
        <f t="shared" si="140"/>
        <v>630.5</v>
      </c>
      <c r="M171" s="639">
        <f t="shared" si="140"/>
        <v>635.5</v>
      </c>
      <c r="N171" s="639">
        <f t="shared" si="140"/>
        <v>640.5</v>
      </c>
      <c r="O171" s="639">
        <f t="shared" si="140"/>
        <v>645.5</v>
      </c>
      <c r="P171" s="639">
        <f t="shared" si="140"/>
        <v>650.5</v>
      </c>
      <c r="Q171" s="639">
        <f t="shared" si="140"/>
        <v>655.5</v>
      </c>
    </row>
    <row r="172" spans="2:17" ht="15.75">
      <c r="B172" s="53"/>
      <c r="C172" s="53"/>
      <c r="D172" s="621">
        <f t="shared" ref="D172:Q172" si="141">D171-C171</f>
        <v>-146.09999999999997</v>
      </c>
      <c r="E172" s="621">
        <f t="shared" si="141"/>
        <v>15</v>
      </c>
      <c r="F172" s="621">
        <f t="shared" si="141"/>
        <v>64.300000000000011</v>
      </c>
      <c r="G172" s="621">
        <f t="shared" si="141"/>
        <v>18.899999999999977</v>
      </c>
      <c r="H172" s="621">
        <f t="shared" si="141"/>
        <v>61.600000000000023</v>
      </c>
      <c r="I172" s="621">
        <f t="shared" si="141"/>
        <v>99.5</v>
      </c>
      <c r="J172" s="621">
        <f t="shared" si="141"/>
        <v>53.899999999999977</v>
      </c>
      <c r="K172" s="621">
        <f t="shared" si="141"/>
        <v>5</v>
      </c>
      <c r="L172" s="621">
        <f t="shared" si="141"/>
        <v>5</v>
      </c>
      <c r="M172" s="621">
        <f t="shared" si="141"/>
        <v>5</v>
      </c>
      <c r="N172" s="621">
        <f t="shared" si="141"/>
        <v>5</v>
      </c>
      <c r="O172" s="621">
        <f t="shared" si="141"/>
        <v>5</v>
      </c>
      <c r="P172" s="621">
        <f t="shared" si="141"/>
        <v>5</v>
      </c>
      <c r="Q172" s="621">
        <f t="shared" si="141"/>
        <v>5</v>
      </c>
    </row>
    <row r="173" spans="2:17" ht="15.75">
      <c r="B173" s="53" t="s">
        <v>4048</v>
      </c>
      <c r="C173" s="685">
        <f t="shared" ref="C173:H173" si="142">C171/C162</f>
        <v>1.3494047619047618</v>
      </c>
      <c r="D173" s="685">
        <f t="shared" si="142"/>
        <v>1.7148437500000002</v>
      </c>
      <c r="E173" s="685">
        <f t="shared" si="142"/>
        <v>1.8333333333333333</v>
      </c>
      <c r="F173" s="685">
        <f t="shared" si="142"/>
        <v>2.041182682154171</v>
      </c>
      <c r="G173" s="685">
        <f t="shared" si="142"/>
        <v>2.1954520844612886</v>
      </c>
      <c r="H173" s="685">
        <f t="shared" si="142"/>
        <v>2.3331668331668336</v>
      </c>
      <c r="I173" s="685">
        <f t="shared" ref="I173:J173" si="143">I171/I162</f>
        <v>2.251092570520461</v>
      </c>
      <c r="J173" s="685">
        <f t="shared" si="143"/>
        <v>2.3828725038402458</v>
      </c>
      <c r="K173" s="974">
        <f t="shared" ref="K173:Q173" si="144">J173*1.01</f>
        <v>2.4067012288786485</v>
      </c>
      <c r="L173" s="974">
        <f t="shared" si="144"/>
        <v>2.430768241167435</v>
      </c>
      <c r="M173" s="974">
        <f t="shared" si="144"/>
        <v>2.4550759235791095</v>
      </c>
      <c r="N173" s="974">
        <f t="shared" si="144"/>
        <v>2.4796266828149007</v>
      </c>
      <c r="O173" s="974">
        <f t="shared" si="144"/>
        <v>2.5044229496430499</v>
      </c>
      <c r="P173" s="974">
        <f t="shared" si="144"/>
        <v>2.5294671791394805</v>
      </c>
      <c r="Q173" s="974">
        <f t="shared" si="144"/>
        <v>2.5547618509308752</v>
      </c>
    </row>
    <row r="174" spans="2:17" ht="15.75">
      <c r="B174" s="53"/>
      <c r="C174" s="53"/>
      <c r="D174" s="621"/>
      <c r="E174" s="621"/>
      <c r="F174" s="53"/>
      <c r="G174" s="53"/>
      <c r="H174" s="53"/>
      <c r="I174" s="53"/>
      <c r="J174" s="53"/>
      <c r="K174" s="53"/>
      <c r="L174" s="53"/>
      <c r="M174" s="53"/>
      <c r="N174" s="53"/>
      <c r="O174" s="53"/>
      <c r="P174" s="53"/>
      <c r="Q174" s="53"/>
    </row>
    <row r="175" spans="2:17" ht="15.75">
      <c r="B175" s="53" t="s">
        <v>5</v>
      </c>
      <c r="C175" s="764">
        <v>1736.3</v>
      </c>
      <c r="D175" s="764">
        <v>1682.3</v>
      </c>
      <c r="E175" s="764">
        <v>1569.3</v>
      </c>
      <c r="F175" s="764">
        <v>1527.9</v>
      </c>
      <c r="G175" s="764">
        <v>1461.9</v>
      </c>
      <c r="H175" s="764">
        <v>1712.2</v>
      </c>
      <c r="I175" s="764">
        <v>2178.9</v>
      </c>
      <c r="J175" s="764">
        <v>1856.4</v>
      </c>
      <c r="K175" s="630">
        <f t="shared" ref="K175:Q175" si="145">J175+K176</f>
        <v>1856.4</v>
      </c>
      <c r="L175" s="630">
        <f t="shared" si="145"/>
        <v>1856.4</v>
      </c>
      <c r="M175" s="630">
        <f t="shared" si="145"/>
        <v>1856.4</v>
      </c>
      <c r="N175" s="630">
        <f t="shared" si="145"/>
        <v>1856.4</v>
      </c>
      <c r="O175" s="630">
        <f t="shared" si="145"/>
        <v>1856.4</v>
      </c>
      <c r="P175" s="630">
        <f t="shared" si="145"/>
        <v>1856.4</v>
      </c>
      <c r="Q175" s="630">
        <f t="shared" si="145"/>
        <v>1856.4</v>
      </c>
    </row>
    <row r="176" spans="2:17" ht="15.75">
      <c r="B176" s="53"/>
      <c r="C176" s="53"/>
      <c r="D176" s="621"/>
      <c r="E176" s="621">
        <f t="shared" ref="E176:J176" si="146">E175-D175</f>
        <v>-113</v>
      </c>
      <c r="F176" s="621">
        <f t="shared" si="146"/>
        <v>-41.399999999999864</v>
      </c>
      <c r="G176" s="621">
        <f t="shared" si="146"/>
        <v>-66</v>
      </c>
      <c r="H176" s="621">
        <f t="shared" si="146"/>
        <v>250.29999999999995</v>
      </c>
      <c r="I176" s="621">
        <f t="shared" si="146"/>
        <v>466.70000000000005</v>
      </c>
      <c r="J176" s="621">
        <f t="shared" si="146"/>
        <v>-322.5</v>
      </c>
      <c r="K176" s="702">
        <v>0</v>
      </c>
      <c r="L176" s="702">
        <v>0</v>
      </c>
      <c r="M176" s="702">
        <v>0</v>
      </c>
      <c r="N176" s="702">
        <v>0</v>
      </c>
      <c r="O176" s="702">
        <v>0</v>
      </c>
      <c r="P176" s="702">
        <v>0</v>
      </c>
      <c r="Q176" s="702">
        <v>0</v>
      </c>
    </row>
    <row r="177" spans="2:17" ht="15.75">
      <c r="B177" s="53" t="s">
        <v>573</v>
      </c>
      <c r="C177" s="630">
        <f>C171+C175</f>
        <v>2189.6999999999998</v>
      </c>
      <c r="D177" s="630">
        <f>D171+D175</f>
        <v>1989.6</v>
      </c>
      <c r="E177" s="630">
        <f>E171+E175</f>
        <v>1891.6</v>
      </c>
      <c r="F177" s="630">
        <f t="shared" ref="F177:Q177" si="147">F171+F175</f>
        <v>1914.5</v>
      </c>
      <c r="G177" s="630">
        <f t="shared" si="147"/>
        <v>1867.4</v>
      </c>
      <c r="H177" s="630">
        <f t="shared" si="147"/>
        <v>2179.3000000000002</v>
      </c>
      <c r="I177" s="630">
        <f t="shared" ref="I177" si="148">I171+I175</f>
        <v>2745.5</v>
      </c>
      <c r="J177" s="630">
        <f t="shared" si="147"/>
        <v>2476.9</v>
      </c>
      <c r="K177" s="630">
        <f t="shared" si="147"/>
        <v>2481.9</v>
      </c>
      <c r="L177" s="630">
        <f t="shared" si="147"/>
        <v>2486.9</v>
      </c>
      <c r="M177" s="630">
        <f t="shared" si="147"/>
        <v>2491.9</v>
      </c>
      <c r="N177" s="630">
        <f t="shared" si="147"/>
        <v>2496.9</v>
      </c>
      <c r="O177" s="630">
        <f t="shared" si="147"/>
        <v>2501.9</v>
      </c>
      <c r="P177" s="630">
        <f t="shared" si="147"/>
        <v>2506.9</v>
      </c>
      <c r="Q177" s="630">
        <f t="shared" si="147"/>
        <v>2511.9</v>
      </c>
    </row>
    <row r="178" spans="2:17" ht="15.75">
      <c r="B178" s="53"/>
      <c r="C178" s="53"/>
      <c r="D178" s="53"/>
      <c r="E178" s="53"/>
      <c r="F178" s="53"/>
      <c r="G178" s="53"/>
      <c r="H178" s="53"/>
      <c r="I178" s="53"/>
      <c r="J178" s="53"/>
      <c r="K178" s="53"/>
      <c r="L178" s="53"/>
      <c r="M178" s="53"/>
      <c r="N178" s="53"/>
      <c r="O178" s="53"/>
      <c r="P178" s="53"/>
      <c r="Q178" s="53"/>
    </row>
    <row r="179" spans="2:17" ht="15.75">
      <c r="B179" s="53" t="s">
        <v>15</v>
      </c>
      <c r="C179" s="764">
        <v>650</v>
      </c>
      <c r="D179" s="764">
        <v>625</v>
      </c>
      <c r="E179" s="764">
        <v>597</v>
      </c>
      <c r="F179" s="764">
        <v>580.4</v>
      </c>
      <c r="G179" s="764">
        <v>498</v>
      </c>
      <c r="H179" s="764">
        <v>545.4</v>
      </c>
      <c r="I179" s="764">
        <f>642-0.5*Analysis!F3314</f>
        <v>561.92214999999999</v>
      </c>
      <c r="J179" s="630">
        <f>J199-J194</f>
        <v>580.84274300000004</v>
      </c>
      <c r="K179" s="630">
        <f t="shared" ref="K179:Q179" si="149">K182*12*AVERAGE(J177,K177)/1000</f>
        <v>590.13151109979856</v>
      </c>
      <c r="L179" s="630">
        <f t="shared" si="149"/>
        <v>609.06122770090747</v>
      </c>
      <c r="M179" s="630">
        <f t="shared" si="149"/>
        <v>622.4927389484028</v>
      </c>
      <c r="N179" s="630">
        <f t="shared" si="149"/>
        <v>629.9804558982986</v>
      </c>
      <c r="O179" s="630">
        <f t="shared" si="149"/>
        <v>637.5556779132977</v>
      </c>
      <c r="P179" s="630">
        <f t="shared" si="149"/>
        <v>645.21940632300698</v>
      </c>
      <c r="Q179" s="630">
        <f t="shared" si="149"/>
        <v>652.97265373311893</v>
      </c>
    </row>
    <row r="180" spans="2:17" ht="15.75">
      <c r="B180" s="53" t="s">
        <v>78</v>
      </c>
      <c r="C180" s="53"/>
      <c r="D180" s="56">
        <f t="shared" ref="D180:Q180" si="150">D179/C179-1</f>
        <v>-3.8461538461538436E-2</v>
      </c>
      <c r="E180" s="56">
        <f t="shared" si="150"/>
        <v>-4.4799999999999951E-2</v>
      </c>
      <c r="F180" s="56">
        <f t="shared" si="150"/>
        <v>-2.7805695142378628E-2</v>
      </c>
      <c r="G180" s="56">
        <f t="shared" si="150"/>
        <v>-0.14197105444521019</v>
      </c>
      <c r="H180" s="56">
        <f t="shared" si="150"/>
        <v>9.5180722891566205E-2</v>
      </c>
      <c r="I180" s="56">
        <f t="shared" si="150"/>
        <v>3.0293637697103026E-2</v>
      </c>
      <c r="J180" s="56">
        <f t="shared" si="150"/>
        <v>3.3671199827235876E-2</v>
      </c>
      <c r="K180" s="56">
        <f t="shared" si="150"/>
        <v>1.5991881127450869E-2</v>
      </c>
      <c r="L180" s="56">
        <f t="shared" si="150"/>
        <v>3.207711543115277E-2</v>
      </c>
      <c r="M180" s="56">
        <f t="shared" si="150"/>
        <v>2.205280953147648E-2</v>
      </c>
      <c r="N180" s="56">
        <f t="shared" si="150"/>
        <v>1.2028601269381989E-2</v>
      </c>
      <c r="O180" s="56">
        <f t="shared" si="150"/>
        <v>1.2024534958306798E-2</v>
      </c>
      <c r="P180" s="56">
        <f t="shared" si="150"/>
        <v>1.2020484916380081E-2</v>
      </c>
      <c r="Q180" s="56">
        <f t="shared" si="150"/>
        <v>1.2016451046158672E-2</v>
      </c>
    </row>
    <row r="181" spans="2:17" ht="15.75">
      <c r="B181" s="53"/>
      <c r="C181" s="53"/>
      <c r="D181" s="53"/>
      <c r="E181" s="53"/>
      <c r="F181" s="53"/>
      <c r="G181" s="53"/>
      <c r="H181" s="53"/>
      <c r="I181" s="53"/>
      <c r="J181" s="53"/>
      <c r="K181" s="53"/>
      <c r="L181" s="53"/>
      <c r="M181" s="53"/>
      <c r="N181" s="53"/>
      <c r="O181" s="53"/>
      <c r="P181" s="53"/>
      <c r="Q181" s="53"/>
    </row>
    <row r="182" spans="2:17" ht="15.75">
      <c r="B182" s="53" t="s">
        <v>4024</v>
      </c>
      <c r="C182" s="53"/>
      <c r="D182" s="621">
        <f t="shared" ref="D182:J182" si="151">D179*1000/12/(AVERAGE(C177,D177))</f>
        <v>24.924429130875193</v>
      </c>
      <c r="E182" s="621">
        <f t="shared" si="151"/>
        <v>25.636401113057818</v>
      </c>
      <c r="F182" s="621">
        <f t="shared" si="151"/>
        <v>25.415342038657244</v>
      </c>
      <c r="G182" s="621">
        <f t="shared" si="151"/>
        <v>21.946640577487507</v>
      </c>
      <c r="H182" s="621">
        <f t="shared" si="151"/>
        <v>22.462747423826819</v>
      </c>
      <c r="I182" s="621">
        <f t="shared" si="151"/>
        <v>19.016750257201647</v>
      </c>
      <c r="J182" s="621">
        <f t="shared" si="151"/>
        <v>18.536903307546979</v>
      </c>
      <c r="K182" s="621">
        <f t="shared" ref="K182:Q182" si="152">(1+K183)*J182</f>
        <v>19.834486539075268</v>
      </c>
      <c r="L182" s="621">
        <f t="shared" si="152"/>
        <v>20.429521135247526</v>
      </c>
      <c r="M182" s="621">
        <f t="shared" si="152"/>
        <v>20.838111557952477</v>
      </c>
      <c r="N182" s="621">
        <f t="shared" si="152"/>
        <v>21.046492673532001</v>
      </c>
      <c r="O182" s="621">
        <f t="shared" si="152"/>
        <v>21.25695760026732</v>
      </c>
      <c r="P182" s="621">
        <f t="shared" si="152"/>
        <v>21.469527176269995</v>
      </c>
      <c r="Q182" s="621">
        <f t="shared" si="152"/>
        <v>21.684222448032695</v>
      </c>
    </row>
    <row r="183" spans="2:17" ht="15.75">
      <c r="B183" s="53"/>
      <c r="C183" s="53"/>
      <c r="D183" s="53"/>
      <c r="E183" s="54">
        <f t="shared" ref="E183:J183" si="153">E182/D182-1</f>
        <v>2.8565227249304215E-2</v>
      </c>
      <c r="F183" s="54">
        <f t="shared" si="153"/>
        <v>-8.6228590910906178E-3</v>
      </c>
      <c r="G183" s="54">
        <f t="shared" si="153"/>
        <v>-0.13648061300508063</v>
      </c>
      <c r="H183" s="54">
        <f t="shared" si="153"/>
        <v>2.3516439544224665E-2</v>
      </c>
      <c r="I183" s="54">
        <f t="shared" si="153"/>
        <v>-0.15340942501850485</v>
      </c>
      <c r="J183" s="54">
        <f t="shared" si="153"/>
        <v>-2.5232857515860241E-2</v>
      </c>
      <c r="K183" s="784">
        <v>7.0000000000000007E-2</v>
      </c>
      <c r="L183" s="784">
        <v>0.03</v>
      </c>
      <c r="M183" s="784">
        <v>0.02</v>
      </c>
      <c r="N183" s="784">
        <v>0.01</v>
      </c>
      <c r="O183" s="784">
        <v>0.01</v>
      </c>
      <c r="P183" s="784">
        <v>0.01</v>
      </c>
      <c r="Q183" s="784">
        <v>0.01</v>
      </c>
    </row>
    <row r="184" spans="2:17" ht="15.75">
      <c r="B184" s="53"/>
      <c r="C184" s="53"/>
      <c r="D184" s="53"/>
      <c r="E184" s="53"/>
      <c r="F184" s="53"/>
      <c r="G184" s="53"/>
      <c r="H184" s="53"/>
      <c r="I184" s="53"/>
      <c r="J184" s="53"/>
      <c r="K184" s="53"/>
      <c r="L184" s="53"/>
      <c r="M184" s="53"/>
      <c r="N184" s="53"/>
      <c r="O184" s="53"/>
      <c r="P184" s="53"/>
      <c r="Q184" s="53"/>
    </row>
    <row r="185" spans="2:17" ht="15.75">
      <c r="B185" s="53" t="s">
        <v>8</v>
      </c>
      <c r="C185" s="481">
        <f>C186*C179</f>
        <v>260</v>
      </c>
      <c r="D185" s="481">
        <f>D186*D179</f>
        <v>231.25</v>
      </c>
      <c r="E185" s="481">
        <f>E186*E179</f>
        <v>208.95</v>
      </c>
      <c r="F185" s="764">
        <v>227.6</v>
      </c>
      <c r="G185" s="764">
        <v>177.2</v>
      </c>
      <c r="H185" s="764">
        <v>200.1</v>
      </c>
      <c r="I185" s="764">
        <f>188.5-0.5*Analysis!F3330</f>
        <v>188.5</v>
      </c>
      <c r="J185" s="481">
        <f>J200-J195</f>
        <v>204.5242743</v>
      </c>
      <c r="K185" s="481">
        <f t="shared" ref="K185:Q185" si="154">K186*K179</f>
        <v>197.69405621843254</v>
      </c>
      <c r="L185" s="481">
        <f t="shared" si="154"/>
        <v>207.08081741830856</v>
      </c>
      <c r="M185" s="481">
        <f t="shared" si="154"/>
        <v>217.87245863194096</v>
      </c>
      <c r="N185" s="481">
        <f t="shared" si="154"/>
        <v>220.49315956440449</v>
      </c>
      <c r="O185" s="481">
        <f t="shared" si="154"/>
        <v>223.14448726965418</v>
      </c>
      <c r="P185" s="481">
        <f t="shared" si="154"/>
        <v>225.82679221305241</v>
      </c>
      <c r="Q185" s="481">
        <f t="shared" si="154"/>
        <v>228.54042880659162</v>
      </c>
    </row>
    <row r="186" spans="2:17" ht="15.75">
      <c r="B186" s="53" t="s">
        <v>251</v>
      </c>
      <c r="C186" s="784">
        <v>0.4</v>
      </c>
      <c r="D186" s="784">
        <v>0.37</v>
      </c>
      <c r="E186" s="784">
        <v>0.35</v>
      </c>
      <c r="F186" s="54">
        <f>F185/F179</f>
        <v>0.3921433494141971</v>
      </c>
      <c r="G186" s="54">
        <f>G185/G179</f>
        <v>0.35582329317269074</v>
      </c>
      <c r="H186" s="54">
        <f>H185/H179</f>
        <v>0.36688668866886687</v>
      </c>
      <c r="I186" s="54">
        <f>I185/I179</f>
        <v>0.33545572104605592</v>
      </c>
      <c r="J186" s="54">
        <f>J185/J179</f>
        <v>0.35211643214073862</v>
      </c>
      <c r="K186" s="933">
        <v>0.33500000000000002</v>
      </c>
      <c r="L186" s="933">
        <v>0.34</v>
      </c>
      <c r="M186" s="933">
        <v>0.35</v>
      </c>
      <c r="N186" s="933">
        <v>0.35</v>
      </c>
      <c r="O186" s="933">
        <v>0.35</v>
      </c>
      <c r="P186" s="933">
        <v>0.35</v>
      </c>
      <c r="Q186" s="933">
        <v>0.35</v>
      </c>
    </row>
    <row r="188" spans="2:17" ht="15.75">
      <c r="B188" s="53" t="s">
        <v>19</v>
      </c>
      <c r="C188" s="481">
        <f>C189*C179</f>
        <v>130</v>
      </c>
      <c r="D188" s="481">
        <f>D189*D179</f>
        <v>125</v>
      </c>
      <c r="E188" s="481">
        <f>E189*E179</f>
        <v>107.46</v>
      </c>
      <c r="F188" s="764">
        <v>89.7</v>
      </c>
      <c r="G188" s="764">
        <v>70.400000000000006</v>
      </c>
      <c r="H188" s="764">
        <v>88.9</v>
      </c>
      <c r="I188" s="764">
        <f>98.4-Analysis!F3320</f>
        <v>79.18131600000001</v>
      </c>
      <c r="J188" s="481">
        <f>J202-J196</f>
        <v>99.206701729999992</v>
      </c>
      <c r="K188" s="481">
        <f t="shared" ref="K188:Q188" si="155">K189*K179</f>
        <v>100.79320351111262</v>
      </c>
      <c r="L188" s="481">
        <f t="shared" si="155"/>
        <v>104.02635873481427</v>
      </c>
      <c r="M188" s="481">
        <f t="shared" si="155"/>
        <v>106.32043221024617</v>
      </c>
      <c r="N188" s="481">
        <f t="shared" si="155"/>
        <v>107.59931829609157</v>
      </c>
      <c r="O188" s="481">
        <f t="shared" si="155"/>
        <v>108.8931500604329</v>
      </c>
      <c r="P188" s="481">
        <f t="shared" si="155"/>
        <v>110.20209852823145</v>
      </c>
      <c r="Q188" s="481">
        <f t="shared" si="155"/>
        <v>111.52633665037989</v>
      </c>
    </row>
    <row r="189" spans="2:17" ht="15.75">
      <c r="B189" s="53" t="s">
        <v>251</v>
      </c>
      <c r="C189" s="784">
        <v>0.2</v>
      </c>
      <c r="D189" s="784">
        <v>0.2</v>
      </c>
      <c r="E189" s="784">
        <v>0.18</v>
      </c>
      <c r="F189" s="811">
        <f>F188/F179</f>
        <v>0.15454858718125433</v>
      </c>
      <c r="G189" s="811">
        <f>G188/G179</f>
        <v>0.14136546184738957</v>
      </c>
      <c r="H189" s="811">
        <f>H188/H179</f>
        <v>0.162999633296663</v>
      </c>
      <c r="I189" s="811">
        <f>I188/I179</f>
        <v>0.14091154086024196</v>
      </c>
      <c r="J189" s="811">
        <f>J188/J179</f>
        <v>0.17079786728092078</v>
      </c>
      <c r="K189" s="933">
        <f t="shared" ref="K189:Q189" si="156">J189</f>
        <v>0.17079786728092078</v>
      </c>
      <c r="L189" s="933">
        <f t="shared" si="156"/>
        <v>0.17079786728092078</v>
      </c>
      <c r="M189" s="933">
        <f t="shared" si="156"/>
        <v>0.17079786728092078</v>
      </c>
      <c r="N189" s="933">
        <f t="shared" si="156"/>
        <v>0.17079786728092078</v>
      </c>
      <c r="O189" s="933">
        <f t="shared" si="156"/>
        <v>0.17079786728092078</v>
      </c>
      <c r="P189" s="933">
        <f t="shared" si="156"/>
        <v>0.17079786728092078</v>
      </c>
      <c r="Q189" s="933">
        <f t="shared" si="156"/>
        <v>0.17079786728092078</v>
      </c>
    </row>
    <row r="190" spans="2:17" ht="15.75">
      <c r="B190" s="53"/>
      <c r="C190" s="53"/>
      <c r="D190" s="53"/>
      <c r="E190" s="53"/>
      <c r="F190" s="53"/>
      <c r="G190" s="53"/>
      <c r="H190" s="53"/>
      <c r="I190" s="53"/>
      <c r="J190" s="53"/>
      <c r="K190" s="53"/>
      <c r="L190" s="53"/>
      <c r="M190" s="53"/>
      <c r="N190" s="53"/>
      <c r="O190" s="53"/>
      <c r="P190" s="53"/>
      <c r="Q190" s="53"/>
    </row>
    <row r="191" spans="2:17" ht="15.75">
      <c r="B191" s="53" t="s">
        <v>27</v>
      </c>
      <c r="C191" s="481">
        <f>C185-C188</f>
        <v>130</v>
      </c>
      <c r="D191" s="481">
        <f t="shared" ref="D191:Q191" si="157">D185-D188</f>
        <v>106.25</v>
      </c>
      <c r="E191" s="481">
        <f t="shared" si="157"/>
        <v>101.49</v>
      </c>
      <c r="F191" s="481">
        <f t="shared" si="157"/>
        <v>137.89999999999998</v>
      </c>
      <c r="G191" s="481">
        <f t="shared" si="157"/>
        <v>106.79999999999998</v>
      </c>
      <c r="H191" s="481">
        <f t="shared" si="157"/>
        <v>111.19999999999999</v>
      </c>
      <c r="I191" s="481">
        <f t="shared" si="157"/>
        <v>109.31868399999999</v>
      </c>
      <c r="J191" s="481">
        <f t="shared" si="157"/>
        <v>105.31757257000001</v>
      </c>
      <c r="K191" s="481">
        <f t="shared" si="157"/>
        <v>96.900852707319913</v>
      </c>
      <c r="L191" s="481">
        <f t="shared" si="157"/>
        <v>103.05445868349429</v>
      </c>
      <c r="M191" s="481">
        <f t="shared" si="157"/>
        <v>111.55202642169479</v>
      </c>
      <c r="N191" s="481">
        <f t="shared" si="157"/>
        <v>112.89384126831293</v>
      </c>
      <c r="O191" s="481">
        <f t="shared" si="157"/>
        <v>114.25133720922128</v>
      </c>
      <c r="P191" s="481">
        <f t="shared" si="157"/>
        <v>115.62469368482097</v>
      </c>
      <c r="Q191" s="481">
        <f t="shared" si="157"/>
        <v>117.01409215621173</v>
      </c>
    </row>
    <row r="192" spans="2:17" ht="15.75">
      <c r="B192" s="53"/>
      <c r="C192" s="53"/>
      <c r="D192" s="53"/>
      <c r="E192" s="53"/>
      <c r="F192" s="53"/>
      <c r="G192" s="53"/>
      <c r="H192" s="53"/>
      <c r="I192" s="53"/>
      <c r="J192" s="53"/>
      <c r="K192" s="53"/>
      <c r="L192" s="53"/>
      <c r="M192" s="53"/>
      <c r="N192" s="53"/>
      <c r="O192" s="53"/>
      <c r="P192" s="53"/>
      <c r="Q192" s="53"/>
    </row>
    <row r="193" spans="2:17" ht="15.75">
      <c r="B193" s="636" t="s">
        <v>1366</v>
      </c>
      <c r="C193" s="636">
        <f t="shared" ref="C193:H193" si="158">C156</f>
        <v>2016</v>
      </c>
      <c r="D193" s="636">
        <f t="shared" si="158"/>
        <v>2017</v>
      </c>
      <c r="E193" s="636">
        <f t="shared" si="158"/>
        <v>2018</v>
      </c>
      <c r="F193" s="636">
        <f t="shared" si="158"/>
        <v>2019</v>
      </c>
      <c r="G193" s="636">
        <f t="shared" si="158"/>
        <v>2020</v>
      </c>
      <c r="H193" s="636">
        <f t="shared" si="158"/>
        <v>2021</v>
      </c>
      <c r="I193" s="636">
        <f>I156</f>
        <v>2022</v>
      </c>
      <c r="J193" s="636">
        <f t="shared" ref="J193:Q193" si="159">J156</f>
        <v>2023</v>
      </c>
      <c r="K193" s="636">
        <f t="shared" si="159"/>
        <v>2024</v>
      </c>
      <c r="L193" s="636">
        <f t="shared" si="159"/>
        <v>2025</v>
      </c>
      <c r="M193" s="636">
        <f t="shared" si="159"/>
        <v>2026</v>
      </c>
      <c r="N193" s="636">
        <f t="shared" si="159"/>
        <v>2027</v>
      </c>
      <c r="O193" s="636">
        <f t="shared" si="159"/>
        <v>2028</v>
      </c>
      <c r="P193" s="636">
        <f t="shared" si="159"/>
        <v>2029</v>
      </c>
      <c r="Q193" s="636">
        <f t="shared" si="159"/>
        <v>2030</v>
      </c>
    </row>
    <row r="194" spans="2:17" ht="15.75">
      <c r="B194" s="53" t="s">
        <v>15</v>
      </c>
      <c r="C194" s="53"/>
      <c r="D194" s="53"/>
      <c r="E194" s="53"/>
      <c r="F194" s="53"/>
      <c r="G194" s="53"/>
      <c r="H194" s="53"/>
      <c r="I194" s="630">
        <f>0.5*Analysis!F3314</f>
        <v>80.077849999999998</v>
      </c>
      <c r="J194" s="630">
        <f>Analysis!G3314</f>
        <v>161.75725700000001</v>
      </c>
      <c r="K194" s="630">
        <f>Analysis!H3314</f>
        <v>169.84511985000003</v>
      </c>
      <c r="L194" s="630">
        <f>Analysis!I3314</f>
        <v>171.54357104850004</v>
      </c>
      <c r="M194" s="984">
        <f>L194*1.025</f>
        <v>175.83216032471253</v>
      </c>
      <c r="N194" s="984">
        <f t="shared" ref="N194:Q196" si="160">M194*1.025</f>
        <v>180.22796433283034</v>
      </c>
      <c r="O194" s="984">
        <f t="shared" si="160"/>
        <v>184.73366344115109</v>
      </c>
      <c r="P194" s="984">
        <f t="shared" si="160"/>
        <v>189.35200502717984</v>
      </c>
      <c r="Q194" s="984">
        <f t="shared" si="160"/>
        <v>194.08580515285931</v>
      </c>
    </row>
    <row r="195" spans="2:17" ht="15.75">
      <c r="B195" s="53" t="s">
        <v>8</v>
      </c>
      <c r="C195" s="53"/>
      <c r="D195" s="53"/>
      <c r="E195" s="53"/>
      <c r="F195" s="53"/>
      <c r="G195" s="53"/>
      <c r="H195" s="53"/>
      <c r="I195" s="630">
        <f>0.5*Analysis!F3318</f>
        <v>-1.6992215000000002</v>
      </c>
      <c r="J195" s="630">
        <f>Analysis!G3318</f>
        <v>23.175725700000001</v>
      </c>
      <c r="K195" s="630">
        <f>Analysis!H3318</f>
        <v>56.984511985000005</v>
      </c>
      <c r="L195" s="630">
        <f>Analysis!I3318</f>
        <v>67.154357104850007</v>
      </c>
      <c r="M195" s="984">
        <f>L195*1.025</f>
        <v>68.833216032471256</v>
      </c>
      <c r="N195" s="984">
        <f t="shared" si="160"/>
        <v>70.554046433283034</v>
      </c>
      <c r="O195" s="984">
        <f t="shared" si="160"/>
        <v>72.317897594115109</v>
      </c>
      <c r="P195" s="984">
        <f t="shared" si="160"/>
        <v>74.125845033967977</v>
      </c>
      <c r="Q195" s="984">
        <f t="shared" si="160"/>
        <v>75.97899115981717</v>
      </c>
    </row>
    <row r="196" spans="2:17" ht="15.75">
      <c r="B196" s="53" t="s">
        <v>19</v>
      </c>
      <c r="C196" s="53"/>
      <c r="D196" s="53"/>
      <c r="E196" s="53"/>
      <c r="F196" s="53"/>
      <c r="G196" s="53"/>
      <c r="H196" s="53"/>
      <c r="I196" s="630">
        <f>0.5*Analysis!F3320</f>
        <v>9.6093419999999998</v>
      </c>
      <c r="J196" s="630">
        <f>Analysis!G3320</f>
        <v>17.793298270000001</v>
      </c>
      <c r="K196" s="630">
        <f>Analysis!H3320</f>
        <v>10.190707191000001</v>
      </c>
      <c r="L196" s="630">
        <f>Analysis!I3320</f>
        <v>0</v>
      </c>
      <c r="M196" s="984">
        <f>L196*1.025</f>
        <v>0</v>
      </c>
      <c r="N196" s="984">
        <f t="shared" si="160"/>
        <v>0</v>
      </c>
      <c r="O196" s="984">
        <f t="shared" si="160"/>
        <v>0</v>
      </c>
      <c r="P196" s="984">
        <f t="shared" si="160"/>
        <v>0</v>
      </c>
      <c r="Q196" s="984">
        <f t="shared" si="160"/>
        <v>0</v>
      </c>
    </row>
    <row r="197" spans="2:17" ht="15.75">
      <c r="B197" s="53"/>
      <c r="C197" s="53"/>
      <c r="D197" s="53"/>
      <c r="E197" s="53"/>
      <c r="F197" s="53"/>
      <c r="G197" s="53"/>
      <c r="H197" s="53"/>
      <c r="I197" s="53"/>
      <c r="J197" s="53"/>
      <c r="K197" s="53"/>
      <c r="L197" s="53"/>
      <c r="M197" s="53"/>
      <c r="N197" s="53"/>
      <c r="O197" s="53"/>
      <c r="P197" s="53"/>
      <c r="Q197" s="53"/>
    </row>
    <row r="198" spans="2:17" ht="15.75">
      <c r="B198" s="636" t="s">
        <v>6842</v>
      </c>
      <c r="C198" s="636">
        <f>C193</f>
        <v>2016</v>
      </c>
      <c r="D198" s="636">
        <f t="shared" ref="D198:Q198" si="161">D193</f>
        <v>2017</v>
      </c>
      <c r="E198" s="636">
        <f t="shared" si="161"/>
        <v>2018</v>
      </c>
      <c r="F198" s="636">
        <f t="shared" si="161"/>
        <v>2019</v>
      </c>
      <c r="G198" s="636">
        <f t="shared" si="161"/>
        <v>2020</v>
      </c>
      <c r="H198" s="636">
        <f t="shared" si="161"/>
        <v>2021</v>
      </c>
      <c r="I198" s="636">
        <f t="shared" si="161"/>
        <v>2022</v>
      </c>
      <c r="J198" s="636">
        <f t="shared" si="161"/>
        <v>2023</v>
      </c>
      <c r="K198" s="636">
        <f t="shared" si="161"/>
        <v>2024</v>
      </c>
      <c r="L198" s="636">
        <f t="shared" si="161"/>
        <v>2025</v>
      </c>
      <c r="M198" s="636">
        <f t="shared" si="161"/>
        <v>2026</v>
      </c>
      <c r="N198" s="636">
        <f t="shared" si="161"/>
        <v>2027</v>
      </c>
      <c r="O198" s="636">
        <f t="shared" si="161"/>
        <v>2028</v>
      </c>
      <c r="P198" s="636">
        <f t="shared" si="161"/>
        <v>2029</v>
      </c>
      <c r="Q198" s="636">
        <f t="shared" si="161"/>
        <v>2030</v>
      </c>
    </row>
    <row r="199" spans="2:17" ht="15.75">
      <c r="B199" s="53" t="s">
        <v>15</v>
      </c>
      <c r="C199" s="53"/>
      <c r="D199" s="53"/>
      <c r="E199" s="53"/>
      <c r="F199" s="53"/>
      <c r="G199" s="630">
        <f>G179+G194</f>
        <v>498</v>
      </c>
      <c r="H199" s="630">
        <f>H179+H194</f>
        <v>545.4</v>
      </c>
      <c r="I199" s="630">
        <f>I179+I194</f>
        <v>642</v>
      </c>
      <c r="J199" s="764">
        <v>742.6</v>
      </c>
      <c r="K199" s="630">
        <f t="shared" ref="K199:P199" si="162">K179+K194</f>
        <v>759.97663094979862</v>
      </c>
      <c r="L199" s="630">
        <f t="shared" si="162"/>
        <v>780.60479874940756</v>
      </c>
      <c r="M199" s="630">
        <f t="shared" si="162"/>
        <v>798.32489927311531</v>
      </c>
      <c r="N199" s="630">
        <f t="shared" si="162"/>
        <v>810.20842023112891</v>
      </c>
      <c r="O199" s="630">
        <f t="shared" si="162"/>
        <v>822.28934135444877</v>
      </c>
      <c r="P199" s="630">
        <f t="shared" si="162"/>
        <v>834.57141135018685</v>
      </c>
      <c r="Q199" s="630">
        <f t="shared" ref="Q199" si="163">Q179+Q194</f>
        <v>847.05845888597821</v>
      </c>
    </row>
    <row r="200" spans="2:17" ht="15.75">
      <c r="B200" s="53" t="s">
        <v>8</v>
      </c>
      <c r="C200" s="53"/>
      <c r="D200" s="53"/>
      <c r="E200" s="53"/>
      <c r="F200" s="53"/>
      <c r="G200" s="630">
        <f>G185+G195</f>
        <v>177.2</v>
      </c>
      <c r="H200" s="630">
        <f>H185+H195</f>
        <v>200.1</v>
      </c>
      <c r="I200" s="630">
        <f>I185+I195</f>
        <v>186.80077850000001</v>
      </c>
      <c r="J200" s="764">
        <v>227.7</v>
      </c>
      <c r="K200" s="630">
        <f t="shared" ref="K200:P200" si="164">K185+K195</f>
        <v>254.67856820343255</v>
      </c>
      <c r="L200" s="630">
        <f t="shared" si="164"/>
        <v>274.23517452315855</v>
      </c>
      <c r="M200" s="630">
        <f t="shared" si="164"/>
        <v>286.70567466441219</v>
      </c>
      <c r="N200" s="630">
        <f t="shared" si="164"/>
        <v>291.04720599768751</v>
      </c>
      <c r="O200" s="630">
        <f t="shared" si="164"/>
        <v>295.46238486376927</v>
      </c>
      <c r="P200" s="630">
        <f t="shared" si="164"/>
        <v>299.95263724702039</v>
      </c>
      <c r="Q200" s="630">
        <f t="shared" ref="Q200" si="165">Q185+Q195</f>
        <v>304.5194199664088</v>
      </c>
    </row>
    <row r="201" spans="2:17" ht="15.75">
      <c r="B201" s="53" t="s">
        <v>251</v>
      </c>
      <c r="C201" s="53"/>
      <c r="D201" s="53"/>
      <c r="E201" s="53"/>
      <c r="F201" s="53"/>
      <c r="G201" s="56">
        <f>G200/G199</f>
        <v>0.35582329317269074</v>
      </c>
      <c r="H201" s="56">
        <f t="shared" ref="H201:Q201" si="166">H200/H199</f>
        <v>0.36688668866886687</v>
      </c>
      <c r="I201" s="56">
        <f t="shared" si="166"/>
        <v>0.29096694470404988</v>
      </c>
      <c r="J201" s="56">
        <f t="shared" si="166"/>
        <v>0.30662537032049553</v>
      </c>
      <c r="K201" s="56">
        <f t="shared" si="166"/>
        <v>0.33511368354200843</v>
      </c>
      <c r="L201" s="56">
        <f t="shared" si="166"/>
        <v>0.35131115637836924</v>
      </c>
      <c r="M201" s="56">
        <f t="shared" si="166"/>
        <v>0.35913407551920434</v>
      </c>
      <c r="N201" s="56">
        <f t="shared" si="166"/>
        <v>0.35922510644194516</v>
      </c>
      <c r="O201" s="56">
        <f t="shared" si="166"/>
        <v>0.35931681222705997</v>
      </c>
      <c r="P201" s="56">
        <f t="shared" si="166"/>
        <v>0.3594091927517033</v>
      </c>
      <c r="Q201" s="56">
        <f t="shared" si="166"/>
        <v>0.35950224777508527</v>
      </c>
    </row>
    <row r="202" spans="2:17" ht="15.75">
      <c r="B202" s="53" t="s">
        <v>19</v>
      </c>
      <c r="C202" s="53"/>
      <c r="D202" s="53"/>
      <c r="E202" s="53"/>
      <c r="F202" s="53"/>
      <c r="G202" s="630">
        <f>G188+G196</f>
        <v>70.400000000000006</v>
      </c>
      <c r="H202" s="630">
        <f>H188+H196</f>
        <v>88.9</v>
      </c>
      <c r="I202" s="630">
        <f>I188+I196</f>
        <v>88.790658000000008</v>
      </c>
      <c r="J202" s="764">
        <v>117</v>
      </c>
      <c r="K202" s="630">
        <f t="shared" ref="K202:P202" si="167">K188+K196</f>
        <v>110.98391070211262</v>
      </c>
      <c r="L202" s="630">
        <f t="shared" si="167"/>
        <v>104.02635873481427</v>
      </c>
      <c r="M202" s="630">
        <f t="shared" si="167"/>
        <v>106.32043221024617</v>
      </c>
      <c r="N202" s="630">
        <f t="shared" si="167"/>
        <v>107.59931829609157</v>
      </c>
      <c r="O202" s="630">
        <f t="shared" si="167"/>
        <v>108.8931500604329</v>
      </c>
      <c r="P202" s="630">
        <f t="shared" si="167"/>
        <v>110.20209852823145</v>
      </c>
      <c r="Q202" s="630">
        <f t="shared" ref="Q202" si="168">Q188+Q196</f>
        <v>111.52633665037989</v>
      </c>
    </row>
    <row r="203" spans="2:17" ht="15.75">
      <c r="B203" s="53" t="s">
        <v>91</v>
      </c>
      <c r="C203" s="53"/>
      <c r="D203" s="53"/>
      <c r="E203" s="53"/>
      <c r="F203" s="53"/>
      <c r="G203" s="56">
        <f>G202/G199</f>
        <v>0.14136546184738957</v>
      </c>
      <c r="H203" s="56">
        <f>H202/H199</f>
        <v>0.162999633296663</v>
      </c>
      <c r="I203" s="56">
        <f>I202/I199</f>
        <v>0.13830320560747664</v>
      </c>
      <c r="J203" s="56">
        <f t="shared" ref="J203:Q203" si="169">J202/J199</f>
        <v>0.15755453810934553</v>
      </c>
      <c r="K203" s="56">
        <f t="shared" si="169"/>
        <v>0.14603595187316204</v>
      </c>
      <c r="L203" s="56">
        <f t="shared" si="169"/>
        <v>0.13326379609947692</v>
      </c>
      <c r="M203" s="56">
        <f t="shared" si="169"/>
        <v>0.13317940140292786</v>
      </c>
      <c r="N203" s="56">
        <f t="shared" si="169"/>
        <v>0.13280449278149517</v>
      </c>
      <c r="O203" s="56">
        <f t="shared" si="169"/>
        <v>0.13242680475593613</v>
      </c>
      <c r="P203" s="56">
        <f t="shared" si="169"/>
        <v>0.13204633783218647</v>
      </c>
      <c r="Q203" s="56">
        <f t="shared" si="169"/>
        <v>0.13166309300193454</v>
      </c>
    </row>
    <row r="204" spans="2:17" ht="15.75">
      <c r="B204" s="53"/>
      <c r="C204" s="53"/>
      <c r="D204" s="53"/>
      <c r="E204" s="53"/>
      <c r="F204" s="53"/>
      <c r="G204" s="53"/>
      <c r="H204" s="53"/>
      <c r="I204" s="53"/>
      <c r="J204" s="53"/>
      <c r="K204" s="53"/>
      <c r="L204" s="53"/>
      <c r="M204" s="53"/>
      <c r="N204" s="53"/>
      <c r="O204" s="53"/>
      <c r="P204" s="53"/>
      <c r="Q204" s="53"/>
    </row>
    <row r="205" spans="2:17" ht="15.75">
      <c r="B205" s="58" t="s">
        <v>4027</v>
      </c>
    </row>
    <row r="206" spans="2:17" ht="15.75">
      <c r="B206" s="636" t="s">
        <v>3871</v>
      </c>
      <c r="C206" s="636">
        <f t="shared" ref="C206:Q206" si="170">C45</f>
        <v>2016</v>
      </c>
      <c r="D206" s="636">
        <f t="shared" si="170"/>
        <v>2017</v>
      </c>
      <c r="E206" s="636">
        <f t="shared" si="170"/>
        <v>2018</v>
      </c>
      <c r="F206" s="636">
        <f t="shared" si="170"/>
        <v>2019</v>
      </c>
      <c r="G206" s="636">
        <f t="shared" si="170"/>
        <v>2020</v>
      </c>
      <c r="H206" s="636">
        <f t="shared" si="170"/>
        <v>2021</v>
      </c>
      <c r="I206" s="636">
        <f t="shared" si="170"/>
        <v>2022</v>
      </c>
      <c r="J206" s="636">
        <f t="shared" si="170"/>
        <v>2023</v>
      </c>
      <c r="K206" s="636">
        <f t="shared" si="170"/>
        <v>2024</v>
      </c>
      <c r="L206" s="636">
        <f t="shared" si="170"/>
        <v>2025</v>
      </c>
      <c r="M206" s="636">
        <f t="shared" si="170"/>
        <v>2026</v>
      </c>
      <c r="N206" s="636">
        <f t="shared" si="170"/>
        <v>2027</v>
      </c>
      <c r="O206" s="636">
        <f t="shared" si="170"/>
        <v>2028</v>
      </c>
      <c r="P206" s="636">
        <f t="shared" si="170"/>
        <v>2029</v>
      </c>
      <c r="Q206" s="636">
        <f t="shared" si="170"/>
        <v>2030</v>
      </c>
    </row>
    <row r="207" spans="2:17" ht="15.75">
      <c r="B207" s="53" t="s">
        <v>4025</v>
      </c>
      <c r="C207" s="764">
        <v>289.7</v>
      </c>
      <c r="D207" s="764">
        <v>341.1</v>
      </c>
      <c r="E207" s="764">
        <v>351</v>
      </c>
      <c r="F207" s="764">
        <v>346.4</v>
      </c>
      <c r="G207" s="764">
        <v>354</v>
      </c>
      <c r="H207" s="764">
        <v>355.8</v>
      </c>
      <c r="I207" s="764">
        <v>451</v>
      </c>
      <c r="J207" s="764">
        <v>453</v>
      </c>
      <c r="K207" s="481">
        <f t="shared" ref="K207:Q207" si="171">K208+K210</f>
        <v>458.47930000000002</v>
      </c>
      <c r="L207" s="481">
        <f t="shared" si="171"/>
        <v>470.677572</v>
      </c>
      <c r="M207" s="481">
        <f t="shared" si="171"/>
        <v>486.33021660000003</v>
      </c>
      <c r="N207" s="481">
        <f t="shared" si="171"/>
        <v>504.17083253880003</v>
      </c>
      <c r="O207" s="481">
        <f t="shared" si="171"/>
        <v>522.83872032562806</v>
      </c>
      <c r="P207" s="481">
        <f t="shared" si="171"/>
        <v>542.37459596339636</v>
      </c>
      <c r="Q207" s="481">
        <f t="shared" si="171"/>
        <v>562.82120477926799</v>
      </c>
    </row>
    <row r="208" spans="2:17" ht="15.75">
      <c r="B208" s="821" t="s">
        <v>4031</v>
      </c>
      <c r="D208" s="764">
        <v>211</v>
      </c>
      <c r="E208" s="764">
        <v>240</v>
      </c>
      <c r="F208" s="764">
        <v>243</v>
      </c>
      <c r="G208" s="764">
        <v>254</v>
      </c>
      <c r="H208" s="764">
        <v>258.2</v>
      </c>
      <c r="I208" s="481">
        <f t="shared" ref="I208:Q208" si="172">(1+I209)*H208</f>
        <v>296.92999999999995</v>
      </c>
      <c r="J208" s="481">
        <f t="shared" si="172"/>
        <v>302.86859999999996</v>
      </c>
      <c r="K208" s="481">
        <f t="shared" si="172"/>
        <v>302.86859999999996</v>
      </c>
      <c r="L208" s="481">
        <f t="shared" si="172"/>
        <v>311.95465799999994</v>
      </c>
      <c r="M208" s="481">
        <f t="shared" si="172"/>
        <v>324.43284431999996</v>
      </c>
      <c r="N208" s="481">
        <f t="shared" si="172"/>
        <v>340.65448653599998</v>
      </c>
      <c r="O208" s="481">
        <f t="shared" si="172"/>
        <v>357.68721086279999</v>
      </c>
      <c r="P208" s="481">
        <f t="shared" si="172"/>
        <v>375.57157140594001</v>
      </c>
      <c r="Q208" s="481">
        <f t="shared" si="172"/>
        <v>394.35014997623705</v>
      </c>
    </row>
    <row r="209" spans="2:17" ht="15.75">
      <c r="B209" s="821" t="s">
        <v>78</v>
      </c>
      <c r="E209" s="54">
        <f>E208/D208-1</f>
        <v>0.13744075829383884</v>
      </c>
      <c r="F209" s="54">
        <f>F208/E208-1</f>
        <v>1.2499999999999956E-2</v>
      </c>
      <c r="G209" s="54">
        <f>G208/F208-1</f>
        <v>4.5267489711934061E-2</v>
      </c>
      <c r="H209" s="54">
        <f>H208/G208-1</f>
        <v>1.6535433070866024E-2</v>
      </c>
      <c r="I209" s="784">
        <v>0.15</v>
      </c>
      <c r="J209" s="784">
        <v>0.02</v>
      </c>
      <c r="K209" s="784">
        <v>0</v>
      </c>
      <c r="L209" s="784">
        <v>0.03</v>
      </c>
      <c r="M209" s="784">
        <v>0.04</v>
      </c>
      <c r="N209" s="784">
        <v>0.05</v>
      </c>
      <c r="O209" s="784">
        <v>0.05</v>
      </c>
      <c r="P209" s="784">
        <v>0.05</v>
      </c>
      <c r="Q209" s="784">
        <v>0.05</v>
      </c>
    </row>
    <row r="210" spans="2:17" ht="15.75">
      <c r="B210" s="821" t="s">
        <v>4032</v>
      </c>
      <c r="D210" s="481">
        <f t="shared" ref="D210:I210" si="173">D207-D208</f>
        <v>130.10000000000002</v>
      </c>
      <c r="E210" s="481">
        <f t="shared" si="173"/>
        <v>111</v>
      </c>
      <c r="F210" s="481">
        <f t="shared" si="173"/>
        <v>103.39999999999998</v>
      </c>
      <c r="G210" s="481">
        <f t="shared" si="173"/>
        <v>100</v>
      </c>
      <c r="H210" s="481">
        <f t="shared" si="173"/>
        <v>97.600000000000023</v>
      </c>
      <c r="I210" s="481">
        <f t="shared" si="173"/>
        <v>154.07000000000005</v>
      </c>
      <c r="J210" s="481">
        <f t="shared" ref="J210:Q210" si="174">(1+J211)*I210</f>
        <v>155.61070000000007</v>
      </c>
      <c r="K210" s="481">
        <f t="shared" si="174"/>
        <v>155.61070000000007</v>
      </c>
      <c r="L210" s="481">
        <f t="shared" si="174"/>
        <v>158.72291400000006</v>
      </c>
      <c r="M210" s="481">
        <f t="shared" si="174"/>
        <v>161.89737228000007</v>
      </c>
      <c r="N210" s="481">
        <f t="shared" si="174"/>
        <v>163.51634600280008</v>
      </c>
      <c r="O210" s="481">
        <f t="shared" si="174"/>
        <v>165.15150946282807</v>
      </c>
      <c r="P210" s="481">
        <f t="shared" si="174"/>
        <v>166.80302455745635</v>
      </c>
      <c r="Q210" s="481">
        <f t="shared" si="174"/>
        <v>168.47105480303091</v>
      </c>
    </row>
    <row r="211" spans="2:17" ht="15.75">
      <c r="B211" s="821"/>
      <c r="D211" s="481"/>
      <c r="E211" s="54">
        <f>E210/D210-1</f>
        <v>-0.14681014604150666</v>
      </c>
      <c r="F211" s="54">
        <f>F210/E210-1</f>
        <v>-6.8468468468468657E-2</v>
      </c>
      <c r="G211" s="54">
        <f>G210/F210-1</f>
        <v>-3.2882011605415595E-2</v>
      </c>
      <c r="H211" s="54">
        <f>H210/G210-1</f>
        <v>-2.3999999999999799E-2</v>
      </c>
      <c r="I211" s="54">
        <f>I210/H210-1</f>
        <v>0.57858606557377068</v>
      </c>
      <c r="J211" s="784">
        <v>0.01</v>
      </c>
      <c r="K211" s="784">
        <v>0</v>
      </c>
      <c r="L211" s="784">
        <v>0.02</v>
      </c>
      <c r="M211" s="784">
        <v>0.02</v>
      </c>
      <c r="N211" s="784">
        <v>0.01</v>
      </c>
      <c r="O211" s="784">
        <v>0.01</v>
      </c>
      <c r="P211" s="784">
        <v>0.01</v>
      </c>
      <c r="Q211" s="784">
        <v>0.01</v>
      </c>
    </row>
    <row r="212" spans="2:17" ht="15.75">
      <c r="B212" s="821"/>
      <c r="D212" s="481"/>
      <c r="E212" s="54"/>
      <c r="F212" s="54"/>
      <c r="G212" s="54"/>
      <c r="H212" s="54"/>
      <c r="I212" s="54"/>
      <c r="J212" s="54"/>
      <c r="K212" s="54"/>
      <c r="L212" s="54"/>
      <c r="M212" s="54"/>
      <c r="N212" s="54"/>
      <c r="O212" s="54"/>
      <c r="P212" s="54"/>
      <c r="Q212" s="54"/>
    </row>
    <row r="213" spans="2:17" ht="15.75">
      <c r="B213" s="53" t="s">
        <v>557</v>
      </c>
      <c r="C213" s="702">
        <v>354.3</v>
      </c>
      <c r="D213" s="702">
        <v>362.4</v>
      </c>
      <c r="E213" s="702">
        <v>345.2</v>
      </c>
      <c r="F213" s="702">
        <v>331.7</v>
      </c>
      <c r="G213" s="702">
        <v>331.7</v>
      </c>
      <c r="H213" s="702">
        <v>336</v>
      </c>
      <c r="I213" s="702">
        <v>336</v>
      </c>
      <c r="J213" s="702">
        <v>338.7</v>
      </c>
      <c r="K213" s="54"/>
      <c r="L213" s="54"/>
      <c r="M213" s="54"/>
      <c r="N213" s="54"/>
      <c r="O213" s="54"/>
      <c r="P213" s="54"/>
      <c r="Q213" s="54"/>
    </row>
    <row r="214" spans="2:17" ht="15.75">
      <c r="B214" s="53"/>
      <c r="C214" s="53"/>
      <c r="D214" s="621">
        <f>D213-C213</f>
        <v>8.0999999999999659</v>
      </c>
      <c r="E214" s="621">
        <f>E213-D213</f>
        <v>-17.199999999999989</v>
      </c>
      <c r="F214" s="54"/>
      <c r="G214" s="54"/>
      <c r="H214" s="54"/>
      <c r="I214" s="54"/>
      <c r="J214" s="54"/>
      <c r="K214" s="54"/>
      <c r="L214" s="54"/>
      <c r="M214" s="54"/>
      <c r="N214" s="54"/>
      <c r="O214" s="54"/>
      <c r="P214" s="54"/>
      <c r="Q214" s="54"/>
    </row>
    <row r="215" spans="2:17" ht="15.75">
      <c r="B215" s="53" t="s">
        <v>2302</v>
      </c>
      <c r="C215" s="702">
        <v>334.5</v>
      </c>
      <c r="D215" s="702">
        <v>342.6</v>
      </c>
      <c r="E215" s="702">
        <v>325.39999999999998</v>
      </c>
      <c r="F215" s="702">
        <v>311.89999999999998</v>
      </c>
      <c r="G215" s="702">
        <v>311.89999999999998</v>
      </c>
      <c r="H215" s="702">
        <v>316.2</v>
      </c>
      <c r="I215" s="702">
        <v>316.10000000000002</v>
      </c>
      <c r="J215" s="702">
        <v>338.7</v>
      </c>
      <c r="K215" s="54"/>
      <c r="L215" s="54"/>
      <c r="M215" s="54"/>
      <c r="N215" s="54"/>
      <c r="O215" s="54"/>
      <c r="P215" s="54"/>
      <c r="Q215" s="54"/>
    </row>
    <row r="216" spans="2:17" ht="15.75">
      <c r="B216" s="53" t="s">
        <v>2303</v>
      </c>
      <c r="C216" s="702">
        <v>211.8</v>
      </c>
      <c r="D216" s="702">
        <v>207.9</v>
      </c>
      <c r="E216" s="702">
        <v>204.8</v>
      </c>
      <c r="F216" s="702">
        <v>241.4</v>
      </c>
      <c r="G216" s="702">
        <v>233.9</v>
      </c>
      <c r="H216" s="702">
        <v>221.3</v>
      </c>
      <c r="I216" s="702">
        <v>215.1</v>
      </c>
      <c r="J216" s="702">
        <v>217.5</v>
      </c>
      <c r="K216" s="643">
        <f t="shared" ref="K216:Q216" si="175">J216</f>
        <v>217.5</v>
      </c>
      <c r="L216" s="643">
        <f t="shared" si="175"/>
        <v>217.5</v>
      </c>
      <c r="M216" s="643">
        <f t="shared" si="175"/>
        <v>217.5</v>
      </c>
      <c r="N216" s="643">
        <f t="shared" si="175"/>
        <v>217.5</v>
      </c>
      <c r="O216" s="643">
        <f t="shared" si="175"/>
        <v>217.5</v>
      </c>
      <c r="P216" s="643">
        <f t="shared" si="175"/>
        <v>217.5</v>
      </c>
      <c r="Q216" s="643">
        <f t="shared" si="175"/>
        <v>217.5</v>
      </c>
    </row>
    <row r="217" spans="2:17" ht="15.75">
      <c r="B217" s="821"/>
    </row>
    <row r="218" spans="2:17" ht="15.75">
      <c r="B218" s="53" t="s">
        <v>4026</v>
      </c>
      <c r="C218" s="764">
        <v>424.2</v>
      </c>
      <c r="D218" s="764">
        <v>366.4</v>
      </c>
      <c r="E218" s="764">
        <v>480.4</v>
      </c>
      <c r="F218" s="764">
        <f>429.2+124.6</f>
        <v>553.79999999999995</v>
      </c>
      <c r="G218" s="764">
        <f>357.2+139.7</f>
        <v>496.9</v>
      </c>
      <c r="H218" s="764">
        <f>422.3+137.9</f>
        <v>560.20000000000005</v>
      </c>
      <c r="I218" s="764">
        <f>430.3+134</f>
        <v>564.29999999999995</v>
      </c>
      <c r="J218" s="764">
        <f>456.4+135.6</f>
        <v>592</v>
      </c>
      <c r="K218" s="481">
        <f t="shared" ref="K218:Q218" si="176">(1+K219)*J218</f>
        <v>597.91999999999996</v>
      </c>
      <c r="L218" s="481">
        <f t="shared" si="176"/>
        <v>603.89919999999995</v>
      </c>
      <c r="M218" s="481">
        <f t="shared" si="176"/>
        <v>609.93819199999996</v>
      </c>
      <c r="N218" s="481">
        <f t="shared" si="176"/>
        <v>616.03757392</v>
      </c>
      <c r="O218" s="481">
        <f t="shared" si="176"/>
        <v>622.19794965920005</v>
      </c>
      <c r="P218" s="481">
        <f t="shared" si="176"/>
        <v>628.41992915579203</v>
      </c>
      <c r="Q218" s="481">
        <f t="shared" si="176"/>
        <v>634.70412844734994</v>
      </c>
    </row>
    <row r="219" spans="2:17" ht="15.75">
      <c r="B219" s="821" t="s">
        <v>78</v>
      </c>
      <c r="E219" s="54">
        <f t="shared" ref="E219:J219" si="177">E218/D218-1</f>
        <v>0.31113537117903922</v>
      </c>
      <c r="F219" s="54">
        <f t="shared" si="177"/>
        <v>0.15278934221482099</v>
      </c>
      <c r="G219" s="54">
        <f t="shared" si="177"/>
        <v>-0.10274467316720837</v>
      </c>
      <c r="H219" s="54">
        <f t="shared" si="177"/>
        <v>0.12738981686456041</v>
      </c>
      <c r="I219" s="54">
        <f t="shared" si="177"/>
        <v>7.3188147090323952E-3</v>
      </c>
      <c r="J219" s="54">
        <f t="shared" si="177"/>
        <v>4.9087364876838624E-2</v>
      </c>
      <c r="K219" s="784">
        <v>0.01</v>
      </c>
      <c r="L219" s="784">
        <v>0.01</v>
      </c>
      <c r="M219" s="784">
        <v>0.01</v>
      </c>
      <c r="N219" s="784">
        <v>0.01</v>
      </c>
      <c r="O219" s="784">
        <v>0.01</v>
      </c>
      <c r="P219" s="784">
        <v>0.01</v>
      </c>
      <c r="Q219" s="784">
        <v>0.01</v>
      </c>
    </row>
    <row r="220" spans="2:17" ht="15.75">
      <c r="B220" s="53"/>
    </row>
    <row r="221" spans="2:17" ht="15.75">
      <c r="B221" s="53" t="s">
        <v>1417</v>
      </c>
      <c r="C221" s="764">
        <v>-48.8</v>
      </c>
      <c r="D221" s="764">
        <v>-11.6</v>
      </c>
      <c r="E221" s="764">
        <v>0</v>
      </c>
      <c r="F221" s="764">
        <v>0</v>
      </c>
      <c r="G221" s="764">
        <v>-6</v>
      </c>
      <c r="H221" s="764">
        <v>-56</v>
      </c>
      <c r="I221" s="764">
        <v>-58</v>
      </c>
      <c r="J221" s="764">
        <v>-68</v>
      </c>
      <c r="K221" s="643">
        <f t="shared" ref="K221:Q221" si="178">J221</f>
        <v>-68</v>
      </c>
      <c r="L221" s="643">
        <f t="shared" si="178"/>
        <v>-68</v>
      </c>
      <c r="M221" s="643">
        <f t="shared" si="178"/>
        <v>-68</v>
      </c>
      <c r="N221" s="643">
        <f t="shared" si="178"/>
        <v>-68</v>
      </c>
      <c r="O221" s="643">
        <f t="shared" si="178"/>
        <v>-68</v>
      </c>
      <c r="P221" s="643">
        <f t="shared" si="178"/>
        <v>-68</v>
      </c>
      <c r="Q221" s="643">
        <f t="shared" si="178"/>
        <v>-68</v>
      </c>
    </row>
    <row r="223" spans="2:17" ht="16.5" thickBot="1">
      <c r="B223" s="940" t="s">
        <v>4061</v>
      </c>
      <c r="C223" s="942">
        <f t="shared" ref="C223:H223" si="179">C25+C68+C105+C142+C179+C207+C218+C221</f>
        <v>2290.1</v>
      </c>
      <c r="D223" s="942">
        <f t="shared" si="179"/>
        <v>2259.1000000000004</v>
      </c>
      <c r="E223" s="942">
        <f t="shared" si="179"/>
        <v>2327.4</v>
      </c>
      <c r="F223" s="942">
        <f t="shared" si="179"/>
        <v>2383</v>
      </c>
      <c r="G223" s="942">
        <f t="shared" si="179"/>
        <v>2199.9</v>
      </c>
      <c r="H223" s="942">
        <f t="shared" si="179"/>
        <v>2297.1</v>
      </c>
      <c r="I223" s="942">
        <f t="shared" ref="I223:Q223" si="180">I25+I68+I105+I142+I199+I207+I218+I221</f>
        <v>2530.3000000000002</v>
      </c>
      <c r="J223" s="942">
        <f t="shared" si="180"/>
        <v>2632.7</v>
      </c>
      <c r="K223" s="942">
        <f t="shared" si="180"/>
        <v>2689.7449577034972</v>
      </c>
      <c r="L223" s="942">
        <f t="shared" si="180"/>
        <v>2756.216675131273</v>
      </c>
      <c r="M223" s="942">
        <f t="shared" si="180"/>
        <v>2822.4173106275225</v>
      </c>
      <c r="N223" s="942">
        <f t="shared" si="180"/>
        <v>2888.5036228290742</v>
      </c>
      <c r="O223" s="942">
        <f t="shared" si="180"/>
        <v>2961.409182834519</v>
      </c>
      <c r="P223" s="942">
        <f t="shared" si="180"/>
        <v>3037.036504699437</v>
      </c>
      <c r="Q223" s="942">
        <f t="shared" si="180"/>
        <v>3115.51788316999</v>
      </c>
    </row>
    <row r="224" spans="2:17" ht="16.5" thickTop="1">
      <c r="B224" s="58"/>
      <c r="C224" s="630"/>
      <c r="D224" s="630"/>
      <c r="E224" s="630"/>
      <c r="F224" s="630"/>
      <c r="G224" s="630"/>
      <c r="H224" s="630"/>
      <c r="I224" s="630"/>
      <c r="J224" s="630"/>
      <c r="K224" s="630"/>
      <c r="L224" s="630"/>
      <c r="M224" s="630"/>
      <c r="N224" s="630"/>
      <c r="O224" s="630"/>
      <c r="P224" s="630"/>
      <c r="Q224" s="630"/>
    </row>
    <row r="225" spans="2:17" ht="15.75">
      <c r="B225" s="58" t="s">
        <v>4275</v>
      </c>
      <c r="C225" s="630"/>
      <c r="D225" s="630"/>
      <c r="E225" s="630"/>
      <c r="F225" s="630"/>
      <c r="G225" s="630"/>
      <c r="H225" s="630"/>
      <c r="I225" s="630"/>
      <c r="J225" s="630"/>
      <c r="K225" s="630"/>
      <c r="L225" s="630"/>
      <c r="M225" s="630"/>
      <c r="N225" s="630"/>
      <c r="O225" s="630"/>
      <c r="P225" s="630"/>
      <c r="Q225" s="630"/>
    </row>
    <row r="226" spans="2:17" ht="15.75">
      <c r="B226" s="53" t="s">
        <v>4271</v>
      </c>
      <c r="C226" s="630"/>
      <c r="D226" s="630">
        <f>'New quarts'!O95+'New quarts'!P95+'New quarts'!Q95+'New quarts'!R95</f>
        <v>488.4</v>
      </c>
      <c r="E226" s="630">
        <f>'New quarts'!S95+'New quarts'!T95+'New quarts'!U95+'New quarts'!V95</f>
        <v>498.29999999999995</v>
      </c>
      <c r="F226" s="630">
        <f>'New quarts'!X95+'New quarts'!Y95+'New quarts'!Z95+'New quarts'!AA95</f>
        <v>543</v>
      </c>
      <c r="G226" s="630">
        <f>'New quarts'!AC95+'New quarts'!AD95+'New quarts'!AE95+'New quarts'!AF95</f>
        <v>552.6</v>
      </c>
      <c r="H226" s="630">
        <f>'New quarts'!AH95+'New quarts'!AI95+'New quarts'!AJ95+'New quarts'!AK95</f>
        <v>561.29999999999995</v>
      </c>
      <c r="I226" s="630">
        <f t="shared" ref="I226:Q226" si="181">I230*12*AVERAGE(H229,I229)/1000</f>
        <v>602.24835896042293</v>
      </c>
      <c r="J226" s="630">
        <f t="shared" si="181"/>
        <v>637.5868518158012</v>
      </c>
      <c r="K226" s="630">
        <f t="shared" si="181"/>
        <v>662.46567746387427</v>
      </c>
      <c r="L226" s="630">
        <f t="shared" si="181"/>
        <v>682.84758887966905</v>
      </c>
      <c r="M226" s="630">
        <f t="shared" si="181"/>
        <v>703.84632210368352</v>
      </c>
      <c r="N226" s="630">
        <f t="shared" si="181"/>
        <v>725.42305254721998</v>
      </c>
      <c r="O226" s="630">
        <f t="shared" si="181"/>
        <v>747.59286083932147</v>
      </c>
      <c r="P226" s="630">
        <f t="shared" si="181"/>
        <v>770.37121092751522</v>
      </c>
      <c r="Q226" s="630">
        <f t="shared" si="181"/>
        <v>793.7739597266243</v>
      </c>
    </row>
    <row r="227" spans="2:17" ht="15.75">
      <c r="B227" s="53" t="s">
        <v>78</v>
      </c>
      <c r="C227" s="630"/>
      <c r="D227" s="630"/>
      <c r="E227" s="56">
        <f>E226/D226-1</f>
        <v>2.0270270270270174E-2</v>
      </c>
      <c r="F227" s="56">
        <f t="shared" ref="F227:Q227" si="182">F226/E226-1</f>
        <v>8.9704996989765196E-2</v>
      </c>
      <c r="G227" s="56">
        <f t="shared" si="182"/>
        <v>1.7679558011049812E-2</v>
      </c>
      <c r="H227" s="56">
        <f t="shared" si="182"/>
        <v>1.5743756786101848E-2</v>
      </c>
      <c r="I227" s="56">
        <f t="shared" si="182"/>
        <v>7.295271505509171E-2</v>
      </c>
      <c r="J227" s="56">
        <f t="shared" si="182"/>
        <v>5.8677607551107513E-2</v>
      </c>
      <c r="K227" s="56">
        <f t="shared" si="182"/>
        <v>3.9020292807513179E-2</v>
      </c>
      <c r="L227" s="56">
        <f t="shared" si="182"/>
        <v>3.0766743258040297E-2</v>
      </c>
      <c r="M227" s="56">
        <f t="shared" si="182"/>
        <v>3.0751713216805143E-2</v>
      </c>
      <c r="N227" s="56">
        <f t="shared" si="182"/>
        <v>3.0655456689816951E-2</v>
      </c>
      <c r="O227" s="56">
        <f t="shared" si="182"/>
        <v>3.0561212818169148E-2</v>
      </c>
      <c r="P227" s="56">
        <f t="shared" si="182"/>
        <v>3.0468924037905465E-2</v>
      </c>
      <c r="Q227" s="56">
        <f t="shared" si="182"/>
        <v>3.0378535006432283E-2</v>
      </c>
    </row>
    <row r="228" spans="2:17" ht="15.75">
      <c r="B228" s="53"/>
      <c r="C228" s="630"/>
      <c r="D228" s="630"/>
      <c r="E228" s="630"/>
      <c r="F228" s="630"/>
      <c r="G228" s="630"/>
      <c r="H228" s="630"/>
      <c r="I228" s="630"/>
      <c r="J228" s="630"/>
      <c r="K228" s="630"/>
      <c r="L228" s="630"/>
      <c r="M228" s="630"/>
      <c r="N228" s="630"/>
      <c r="O228" s="630"/>
      <c r="P228" s="630"/>
      <c r="Q228" s="630"/>
    </row>
    <row r="229" spans="2:17" ht="15.75">
      <c r="B229" s="53" t="s">
        <v>2304</v>
      </c>
      <c r="C229" s="630">
        <f t="shared" ref="C229:Q229" si="183">C8+C51+C88+C125+C162+C216</f>
        <v>1157.5</v>
      </c>
      <c r="D229" s="630">
        <f t="shared" si="183"/>
        <v>909.6</v>
      </c>
      <c r="E229" s="630">
        <f t="shared" si="183"/>
        <v>913.89999999999986</v>
      </c>
      <c r="F229" s="630">
        <f t="shared" si="183"/>
        <v>977.3</v>
      </c>
      <c r="G229" s="630">
        <f t="shared" si="183"/>
        <v>989.99999999999989</v>
      </c>
      <c r="H229" s="630">
        <f t="shared" si="183"/>
        <v>1033.8999999999999</v>
      </c>
      <c r="I229" s="630">
        <f t="shared" si="183"/>
        <v>1074.3999999999999</v>
      </c>
      <c r="J229" s="630">
        <f t="shared" si="183"/>
        <v>1092.5999999999999</v>
      </c>
      <c r="K229" s="630">
        <f t="shared" si="183"/>
        <v>1093.3776451591075</v>
      </c>
      <c r="L229" s="630">
        <f t="shared" si="183"/>
        <v>1094.2272656520904</v>
      </c>
      <c r="M229" s="630">
        <f t="shared" si="183"/>
        <v>1094.9742000373642</v>
      </c>
      <c r="N229" s="630">
        <f t="shared" si="183"/>
        <v>1095.6203984152389</v>
      </c>
      <c r="O229" s="630">
        <f t="shared" si="183"/>
        <v>1096.1677823364553</v>
      </c>
      <c r="P229" s="630">
        <f t="shared" si="183"/>
        <v>1096.6182451763566</v>
      </c>
      <c r="Q229" s="630">
        <f t="shared" si="183"/>
        <v>1096.9736525044452</v>
      </c>
    </row>
    <row r="230" spans="2:17" ht="15.75">
      <c r="B230" s="53" t="s">
        <v>4274</v>
      </c>
      <c r="C230" s="630"/>
      <c r="D230" s="639">
        <f>D226/AVERAGE(C229,D229)/12*1000</f>
        <v>39.378839920661797</v>
      </c>
      <c r="E230" s="639">
        <f>E226/AVERAGE(D229,E229)/12*1000</f>
        <v>45.544282972306007</v>
      </c>
      <c r="F230" s="639">
        <f>F226/AVERAGE(E229,F229)/12*1000</f>
        <v>47.853214890016929</v>
      </c>
      <c r="G230" s="639">
        <f>G226/AVERAGE(F229,G229)/12*1000</f>
        <v>46.815432318405954</v>
      </c>
      <c r="H230" s="639">
        <f>H226/AVERAGE(G229,H229)/12*1000</f>
        <v>46.222639458471271</v>
      </c>
      <c r="I230" s="639">
        <f t="shared" ref="I230:Q230" si="184">(1+I231)*H230</f>
        <v>47.609318642225411</v>
      </c>
      <c r="J230" s="639">
        <f t="shared" si="184"/>
        <v>49.037598201492173</v>
      </c>
      <c r="K230" s="639">
        <f t="shared" si="184"/>
        <v>50.50872614753694</v>
      </c>
      <c r="L230" s="639">
        <f t="shared" si="184"/>
        <v>52.023987931963049</v>
      </c>
      <c r="M230" s="639">
        <f t="shared" si="184"/>
        <v>53.584707569921939</v>
      </c>
      <c r="N230" s="639">
        <f t="shared" si="184"/>
        <v>55.192248797019602</v>
      </c>
      <c r="O230" s="639">
        <f t="shared" si="184"/>
        <v>56.848016260930194</v>
      </c>
      <c r="P230" s="639">
        <f t="shared" si="184"/>
        <v>58.553456748758101</v>
      </c>
      <c r="Q230" s="639">
        <f t="shared" si="184"/>
        <v>60.310060451220849</v>
      </c>
    </row>
    <row r="231" spans="2:17" ht="15.75">
      <c r="B231" s="53" t="s">
        <v>78</v>
      </c>
      <c r="C231" s="630"/>
      <c r="D231" s="630"/>
      <c r="E231" s="56">
        <f>E230/D230-1</f>
        <v>0.15656741194169221</v>
      </c>
      <c r="F231" s="56">
        <f>F230/E230-1</f>
        <v>5.0696416037879111E-2</v>
      </c>
      <c r="G231" s="56">
        <f>G230/F230-1</f>
        <v>-2.1686788943985347E-2</v>
      </c>
      <c r="H231" s="56">
        <f>H230/G230-1</f>
        <v>-1.2662338690005437E-2</v>
      </c>
      <c r="I231" s="784">
        <v>0.03</v>
      </c>
      <c r="J231" s="784">
        <v>0.03</v>
      </c>
      <c r="K231" s="784">
        <v>0.03</v>
      </c>
      <c r="L231" s="784">
        <v>0.03</v>
      </c>
      <c r="M231" s="784">
        <v>0.03</v>
      </c>
      <c r="N231" s="784">
        <v>0.03</v>
      </c>
      <c r="O231" s="784">
        <v>0.03</v>
      </c>
      <c r="P231" s="784">
        <v>0.03</v>
      </c>
      <c r="Q231" s="784">
        <v>0.03</v>
      </c>
    </row>
    <row r="232" spans="2:17" ht="15.75">
      <c r="B232" s="53"/>
      <c r="C232" s="630"/>
      <c r="F232" s="630"/>
      <c r="G232" s="630"/>
      <c r="H232" s="630"/>
      <c r="I232" s="630"/>
      <c r="J232" s="630"/>
      <c r="K232" s="630"/>
      <c r="L232" s="630"/>
      <c r="M232" s="630"/>
      <c r="N232" s="630"/>
      <c r="O232" s="630"/>
      <c r="P232" s="630"/>
      <c r="Q232" s="630"/>
    </row>
    <row r="233" spans="2:17" ht="15.75">
      <c r="B233" s="53" t="s">
        <v>2412</v>
      </c>
      <c r="C233" s="630"/>
      <c r="D233" s="630">
        <f>'New quarts'!O104+'New quarts'!P104+'New quarts'!Q104+'New quarts'!R104</f>
        <v>821.8</v>
      </c>
      <c r="E233" s="630">
        <f>'New quarts'!S104+'New quarts'!T104+'New quarts'!U104+'New quarts'!V104</f>
        <v>842.49999999999989</v>
      </c>
      <c r="F233" s="630">
        <f>'New quarts'!X104+'New quarts'!Y104+'New quarts'!Z104+'New quarts'!AA104</f>
        <v>896.2</v>
      </c>
      <c r="G233" s="630">
        <f>'New quarts'!AC104+'New quarts'!AD104+'New quarts'!AE104+'New quarts'!AF104</f>
        <v>799.5</v>
      </c>
      <c r="H233" s="630">
        <f>'New quarts'!AH104+'New quarts'!AI104+'New quarts'!AJ104+'New quarts'!AK104</f>
        <v>861.2</v>
      </c>
      <c r="I233" s="630">
        <f t="shared" ref="I233:Q233" si="185">(1+I234)*H233</f>
        <v>861.2</v>
      </c>
      <c r="J233" s="630">
        <f t="shared" si="185"/>
        <v>878.42400000000009</v>
      </c>
      <c r="K233" s="630">
        <f t="shared" si="185"/>
        <v>895.99248000000011</v>
      </c>
      <c r="L233" s="630">
        <f t="shared" si="185"/>
        <v>913.91232960000013</v>
      </c>
      <c r="M233" s="630">
        <f t="shared" si="185"/>
        <v>932.19057619200021</v>
      </c>
      <c r="N233" s="630">
        <f t="shared" si="185"/>
        <v>950.83438771584019</v>
      </c>
      <c r="O233" s="630">
        <f t="shared" si="185"/>
        <v>969.85107547015707</v>
      </c>
      <c r="P233" s="630">
        <f t="shared" si="185"/>
        <v>989.24809697956027</v>
      </c>
      <c r="Q233" s="630">
        <f t="shared" si="185"/>
        <v>1009.0330589191515</v>
      </c>
    </row>
    <row r="234" spans="2:17" ht="15.75">
      <c r="B234" s="53" t="s">
        <v>78</v>
      </c>
      <c r="C234" s="630"/>
      <c r="D234" s="54"/>
      <c r="E234" s="54">
        <f>E233/D233-1</f>
        <v>2.5188610367485875E-2</v>
      </c>
      <c r="F234" s="54">
        <f>F233/E233-1</f>
        <v>6.373887240356102E-2</v>
      </c>
      <c r="G234" s="54">
        <f>G233/F233-1</f>
        <v>-0.10790002231644724</v>
      </c>
      <c r="H234" s="54">
        <f>H233/G233-1</f>
        <v>7.7173233270794395E-2</v>
      </c>
      <c r="I234" s="784">
        <v>0</v>
      </c>
      <c r="J234" s="784">
        <v>0.02</v>
      </c>
      <c r="K234" s="784">
        <v>0.02</v>
      </c>
      <c r="L234" s="784">
        <v>0.02</v>
      </c>
      <c r="M234" s="784">
        <v>0.02</v>
      </c>
      <c r="N234" s="784">
        <v>0.02</v>
      </c>
      <c r="O234" s="784">
        <v>0.02</v>
      </c>
      <c r="P234" s="784">
        <v>0.02</v>
      </c>
      <c r="Q234" s="784">
        <v>0.02</v>
      </c>
    </row>
    <row r="235" spans="2:17" ht="15.75">
      <c r="B235" s="53"/>
      <c r="C235" s="630"/>
      <c r="D235" s="630"/>
      <c r="E235" s="630"/>
      <c r="F235" s="630"/>
      <c r="G235" s="630"/>
      <c r="H235" s="630"/>
      <c r="I235" s="630"/>
      <c r="J235" s="630"/>
      <c r="K235" s="630"/>
      <c r="L235" s="630"/>
      <c r="M235" s="630"/>
      <c r="N235" s="630"/>
      <c r="O235" s="630"/>
      <c r="P235" s="630"/>
      <c r="Q235" s="630"/>
    </row>
    <row r="236" spans="2:17" ht="15.75">
      <c r="B236" s="53" t="s">
        <v>4276</v>
      </c>
      <c r="C236" s="630"/>
      <c r="D236" s="630">
        <f>'New quarts'!O103+'New quarts'!P103+'New quarts'!Q103+'New quarts'!R103</f>
        <v>211.2</v>
      </c>
      <c r="E236" s="630">
        <f>'New quarts'!S103+'New quarts'!T103+'New quarts'!U103+'New quarts'!V103</f>
        <v>240.19999999999996</v>
      </c>
      <c r="F236" s="630">
        <f>'New quarts'!X103+'New quarts'!Y103+'New quarts'!Z103+'New quarts'!AA103</f>
        <v>243.3</v>
      </c>
      <c r="G236" s="630">
        <f>'New quarts'!AC103+'New quarts'!AD103+'New quarts'!AE103+'New quarts'!AF103</f>
        <v>254.1</v>
      </c>
      <c r="H236" s="630">
        <f>'New quarts'!AH103+'New quarts'!AI103+'New quarts'!AJ103+'New quarts'!AK103</f>
        <v>258.2</v>
      </c>
      <c r="I236" s="630">
        <f t="shared" ref="I236:Q236" si="186">(1+I237)*H236</f>
        <v>268.52800000000002</v>
      </c>
      <c r="J236" s="630">
        <f t="shared" si="186"/>
        <v>279.26912000000004</v>
      </c>
      <c r="K236" s="630">
        <f t="shared" si="186"/>
        <v>290.43988480000007</v>
      </c>
      <c r="L236" s="630">
        <f t="shared" si="186"/>
        <v>302.05748019200007</v>
      </c>
      <c r="M236" s="630">
        <f t="shared" si="186"/>
        <v>314.13977939968009</v>
      </c>
      <c r="N236" s="630">
        <f t="shared" si="186"/>
        <v>326.7053705756673</v>
      </c>
      <c r="O236" s="630">
        <f t="shared" si="186"/>
        <v>339.77358539869402</v>
      </c>
      <c r="P236" s="630">
        <f t="shared" si="186"/>
        <v>353.3645288146418</v>
      </c>
      <c r="Q236" s="630">
        <f t="shared" si="186"/>
        <v>367.49910996722747</v>
      </c>
    </row>
    <row r="237" spans="2:17" ht="15.75">
      <c r="B237" s="53" t="s">
        <v>78</v>
      </c>
      <c r="C237" s="630"/>
      <c r="D237" s="630"/>
      <c r="E237" s="630"/>
      <c r="F237" s="54">
        <f>F236/E236-1</f>
        <v>1.2905911740216602E-2</v>
      </c>
      <c r="G237" s="54">
        <f>G236/F236-1</f>
        <v>4.4389642416769348E-2</v>
      </c>
      <c r="H237" s="54">
        <f>H236/G236-1</f>
        <v>1.6135379771743397E-2</v>
      </c>
      <c r="I237" s="784">
        <v>0.04</v>
      </c>
      <c r="J237" s="784">
        <v>0.04</v>
      </c>
      <c r="K237" s="784">
        <v>0.04</v>
      </c>
      <c r="L237" s="784">
        <v>0.04</v>
      </c>
      <c r="M237" s="784">
        <v>0.04</v>
      </c>
      <c r="N237" s="784">
        <v>0.04</v>
      </c>
      <c r="O237" s="784">
        <v>0.04</v>
      </c>
      <c r="P237" s="784">
        <v>0.04</v>
      </c>
      <c r="Q237" s="784">
        <v>0.04</v>
      </c>
    </row>
    <row r="238" spans="2:17" ht="15.75">
      <c r="B238" s="53"/>
      <c r="C238" s="630"/>
      <c r="D238" s="630"/>
      <c r="E238" s="630"/>
      <c r="F238" s="630"/>
      <c r="G238" s="630"/>
      <c r="H238" s="630"/>
      <c r="I238" s="630"/>
      <c r="J238" s="630"/>
      <c r="K238" s="630"/>
      <c r="L238" s="630"/>
      <c r="M238" s="630"/>
      <c r="N238" s="630"/>
      <c r="O238" s="630"/>
      <c r="P238" s="630"/>
      <c r="Q238" s="630"/>
    </row>
    <row r="239" spans="2:17" ht="15.75">
      <c r="B239" s="53" t="s">
        <v>4272</v>
      </c>
      <c r="C239" s="630"/>
      <c r="D239" s="630">
        <f>D245-D242-D226-D233-D236</f>
        <v>633.79999999999973</v>
      </c>
      <c r="E239" s="630">
        <f>E245-E242-E226-E233-E236</f>
        <v>588.50000000000023</v>
      </c>
      <c r="F239" s="630">
        <f>F245-F226-F233-F242-F236</f>
        <v>553.09999999999991</v>
      </c>
      <c r="G239" s="630">
        <f t="shared" ref="G239" si="187">G245-G226-G233-G242-G236</f>
        <v>463.30000000000018</v>
      </c>
      <c r="H239" s="630">
        <f t="shared" ref="H239:Q239" si="188">H245-H226-H233-H242-H236</f>
        <v>466.39999999999992</v>
      </c>
      <c r="I239" s="630">
        <f t="shared" si="188"/>
        <v>648.32364103957707</v>
      </c>
      <c r="J239" s="630">
        <f t="shared" si="188"/>
        <v>687.42002818419849</v>
      </c>
      <c r="K239" s="630">
        <f t="shared" si="188"/>
        <v>690.84691543962276</v>
      </c>
      <c r="L239" s="630">
        <f t="shared" si="188"/>
        <v>707.39927645960381</v>
      </c>
      <c r="M239" s="630">
        <f t="shared" si="188"/>
        <v>722.24063293215863</v>
      </c>
      <c r="N239" s="630">
        <f t="shared" si="188"/>
        <v>735.54081199034681</v>
      </c>
      <c r="O239" s="630">
        <f t="shared" si="188"/>
        <v>754.19166112634662</v>
      </c>
      <c r="P239" s="630">
        <f t="shared" si="188"/>
        <v>774.05266797771992</v>
      </c>
      <c r="Q239" s="630">
        <f t="shared" si="188"/>
        <v>795.21175455698699</v>
      </c>
    </row>
    <row r="240" spans="2:17" ht="15.75">
      <c r="B240" s="53" t="s">
        <v>78</v>
      </c>
      <c r="C240" s="630"/>
      <c r="D240" s="630"/>
      <c r="E240" s="54">
        <f>E239/D239-1</f>
        <v>-7.1473650994003712E-2</v>
      </c>
      <c r="F240" s="54">
        <f>F239/E239-1</f>
        <v>-6.0152931180969094E-2</v>
      </c>
      <c r="G240" s="54">
        <f t="shared" ref="G240" si="189">G239/F239-1</f>
        <v>-0.1623576206834203</v>
      </c>
      <c r="H240" s="54">
        <f t="shared" ref="H240:Q240" si="190">H239/G239-1</f>
        <v>6.6911288581905648E-3</v>
      </c>
      <c r="I240" s="54">
        <f t="shared" si="190"/>
        <v>0.3900592646646166</v>
      </c>
      <c r="J240" s="54">
        <f t="shared" si="190"/>
        <v>6.0303812277971103E-2</v>
      </c>
      <c r="K240" s="54">
        <f t="shared" si="190"/>
        <v>4.9851431656366962E-3</v>
      </c>
      <c r="L240" s="54">
        <f t="shared" si="190"/>
        <v>2.3959520770890252E-2</v>
      </c>
      <c r="M240" s="54">
        <f t="shared" si="190"/>
        <v>2.0980169144126037E-2</v>
      </c>
      <c r="N240" s="54">
        <f t="shared" si="190"/>
        <v>1.8415163107331711E-2</v>
      </c>
      <c r="O240" s="54">
        <f t="shared" si="190"/>
        <v>2.5356647560495382E-2</v>
      </c>
      <c r="P240" s="54">
        <f t="shared" si="190"/>
        <v>2.6334163946750477E-2</v>
      </c>
      <c r="Q240" s="54">
        <f t="shared" si="190"/>
        <v>2.7335461079860401E-2</v>
      </c>
    </row>
    <row r="241" spans="2:17" ht="15.75">
      <c r="B241" s="53"/>
      <c r="C241" s="630"/>
      <c r="D241" s="630"/>
      <c r="E241" s="630"/>
      <c r="F241" s="630"/>
      <c r="G241" s="630"/>
      <c r="H241" s="630"/>
      <c r="I241" s="630"/>
      <c r="J241" s="630"/>
      <c r="K241" s="630"/>
      <c r="L241" s="630"/>
      <c r="M241" s="630"/>
      <c r="N241" s="630"/>
      <c r="O241" s="630"/>
      <c r="P241" s="630"/>
      <c r="Q241" s="630"/>
    </row>
    <row r="242" spans="2:17" ht="15.75">
      <c r="B242" s="53" t="s">
        <v>4273</v>
      </c>
      <c r="C242" s="630"/>
      <c r="D242" s="630">
        <f>SUM('New quarts'!O96:R96)+SUM('New quarts'!O100:R100)</f>
        <v>164.8</v>
      </c>
      <c r="E242" s="630">
        <f>SUM('New quarts'!S96:V96)+SUM('New quarts'!S100:V100)</f>
        <v>157.89999999999998</v>
      </c>
      <c r="F242" s="630">
        <f>SUM('New quarts'!X96:AA96)+SUM('New quarts'!X100:AA100)</f>
        <v>147.4</v>
      </c>
      <c r="G242" s="630">
        <f>SUM('New quarts'!AC96:AF96)+SUM('New quarts'!AC100:AF100)</f>
        <v>130.39999999999998</v>
      </c>
      <c r="H242" s="984">
        <v>150</v>
      </c>
      <c r="I242" s="984">
        <v>150</v>
      </c>
      <c r="J242" s="984">
        <v>150</v>
      </c>
      <c r="K242" s="630">
        <f t="shared" ref="K242:Q242" si="191">(1+K243)*J242</f>
        <v>150</v>
      </c>
      <c r="L242" s="630">
        <f t="shared" si="191"/>
        <v>150</v>
      </c>
      <c r="M242" s="630">
        <f t="shared" si="191"/>
        <v>150</v>
      </c>
      <c r="N242" s="630">
        <f t="shared" si="191"/>
        <v>150</v>
      </c>
      <c r="O242" s="630">
        <f t="shared" si="191"/>
        <v>150</v>
      </c>
      <c r="P242" s="630">
        <f t="shared" si="191"/>
        <v>150</v>
      </c>
      <c r="Q242" s="630">
        <f t="shared" si="191"/>
        <v>150</v>
      </c>
    </row>
    <row r="243" spans="2:17" ht="15.75">
      <c r="B243" s="53" t="s">
        <v>78</v>
      </c>
      <c r="C243" s="630"/>
      <c r="D243" s="630"/>
      <c r="E243" s="54">
        <f t="shared" ref="E243:J243" si="192">E242/D242-1</f>
        <v>-4.1868932038835127E-2</v>
      </c>
      <c r="F243" s="54">
        <f t="shared" si="192"/>
        <v>-6.6497783407219568E-2</v>
      </c>
      <c r="G243" s="54">
        <f t="shared" si="192"/>
        <v>-0.11533242876526473</v>
      </c>
      <c r="H243" s="54">
        <f t="shared" si="192"/>
        <v>0.15030674846625791</v>
      </c>
      <c r="I243" s="54">
        <f t="shared" si="192"/>
        <v>0</v>
      </c>
      <c r="J243" s="54">
        <f t="shared" si="192"/>
        <v>0</v>
      </c>
      <c r="K243" s="784">
        <v>0</v>
      </c>
      <c r="L243" s="784">
        <v>0</v>
      </c>
      <c r="M243" s="784">
        <v>0</v>
      </c>
      <c r="N243" s="784">
        <v>0</v>
      </c>
      <c r="O243" s="784">
        <v>0</v>
      </c>
      <c r="P243" s="784">
        <v>0</v>
      </c>
      <c r="Q243" s="784">
        <v>0</v>
      </c>
    </row>
    <row r="244" spans="2:17" ht="15.75">
      <c r="B244" s="53"/>
      <c r="C244" s="630"/>
      <c r="D244" s="630"/>
      <c r="E244" s="630"/>
      <c r="F244" s="630"/>
      <c r="G244" s="630"/>
      <c r="H244" s="630"/>
      <c r="I244" s="630"/>
      <c r="J244" s="630"/>
      <c r="K244" s="630"/>
      <c r="L244" s="630"/>
      <c r="M244" s="630"/>
      <c r="N244" s="630"/>
      <c r="O244" s="630"/>
      <c r="P244" s="630"/>
      <c r="Q244" s="630"/>
    </row>
    <row r="245" spans="2:17" ht="16.5" thickBot="1">
      <c r="B245" s="940" t="s">
        <v>16</v>
      </c>
      <c r="C245" s="942"/>
      <c r="D245" s="941">
        <v>2320</v>
      </c>
      <c r="E245" s="942">
        <f>E223</f>
        <v>2327.4</v>
      </c>
      <c r="F245" s="942">
        <f t="shared" ref="F245:I245" si="193">F223</f>
        <v>2383</v>
      </c>
      <c r="G245" s="942">
        <f t="shared" si="193"/>
        <v>2199.9</v>
      </c>
      <c r="H245" s="942">
        <f t="shared" si="193"/>
        <v>2297.1</v>
      </c>
      <c r="I245" s="942">
        <f t="shared" si="193"/>
        <v>2530.3000000000002</v>
      </c>
      <c r="J245" s="942">
        <f t="shared" ref="J245:Q245" si="194">J223</f>
        <v>2632.7</v>
      </c>
      <c r="K245" s="942">
        <f t="shared" si="194"/>
        <v>2689.7449577034972</v>
      </c>
      <c r="L245" s="942">
        <f t="shared" si="194"/>
        <v>2756.216675131273</v>
      </c>
      <c r="M245" s="942">
        <f t="shared" si="194"/>
        <v>2822.4173106275225</v>
      </c>
      <c r="N245" s="942">
        <f t="shared" si="194"/>
        <v>2888.5036228290742</v>
      </c>
      <c r="O245" s="942">
        <f t="shared" si="194"/>
        <v>2961.409182834519</v>
      </c>
      <c r="P245" s="942">
        <f t="shared" si="194"/>
        <v>3037.036504699437</v>
      </c>
      <c r="Q245" s="942">
        <f t="shared" si="194"/>
        <v>3115.51788316999</v>
      </c>
    </row>
    <row r="246" spans="2:17" ht="16.5" thickTop="1">
      <c r="B246" s="58"/>
      <c r="C246" s="630"/>
      <c r="D246" s="630"/>
      <c r="E246" s="630"/>
      <c r="F246" s="630"/>
      <c r="G246" s="630"/>
      <c r="H246" s="630"/>
      <c r="I246" s="630"/>
      <c r="J246" s="630"/>
      <c r="K246" s="630"/>
      <c r="L246" s="630"/>
      <c r="M246" s="630"/>
      <c r="N246" s="630"/>
      <c r="O246" s="630"/>
      <c r="P246" s="630"/>
      <c r="Q246" s="630"/>
    </row>
    <row r="247" spans="2:17" ht="15.75">
      <c r="B247" s="58" t="s">
        <v>4028</v>
      </c>
    </row>
    <row r="248" spans="2:17" ht="15.75">
      <c r="B248" s="53" t="s">
        <v>4025</v>
      </c>
      <c r="C248" s="630">
        <f t="shared" ref="C248:Q248" si="195">C256*C207</f>
        <v>101.395</v>
      </c>
      <c r="D248" s="630">
        <f t="shared" si="195"/>
        <v>119.38500000000001</v>
      </c>
      <c r="E248" s="630">
        <f t="shared" si="195"/>
        <v>129.87</v>
      </c>
      <c r="F248" s="630">
        <f t="shared" si="195"/>
        <v>135.096</v>
      </c>
      <c r="G248" s="630">
        <f t="shared" si="195"/>
        <v>145.13999999999999</v>
      </c>
      <c r="H248" s="630">
        <f t="shared" si="195"/>
        <v>145.87799999999999</v>
      </c>
      <c r="I248" s="630">
        <f>I256*I207</f>
        <v>184.91</v>
      </c>
      <c r="J248" s="630">
        <f t="shared" si="195"/>
        <v>190.26</v>
      </c>
      <c r="K248" s="630">
        <f>K256*K207</f>
        <v>192.561306</v>
      </c>
      <c r="L248" s="630">
        <f t="shared" si="195"/>
        <v>202.39135596</v>
      </c>
      <c r="M248" s="630">
        <f t="shared" si="195"/>
        <v>209.12199313800002</v>
      </c>
      <c r="N248" s="630">
        <f t="shared" si="195"/>
        <v>216.79345799168402</v>
      </c>
      <c r="O248" s="630">
        <f t="shared" si="195"/>
        <v>224.82064974002006</v>
      </c>
      <c r="P248" s="630">
        <f t="shared" si="195"/>
        <v>233.22107626426043</v>
      </c>
      <c r="Q248" s="630">
        <f t="shared" si="195"/>
        <v>242.01311805508524</v>
      </c>
    </row>
    <row r="249" spans="2:17" ht="15.75">
      <c r="B249" s="53" t="s">
        <v>4026</v>
      </c>
      <c r="C249" s="630">
        <f t="shared" ref="C249:H249" si="196">C252-C248-C185-C148-C111-C74-C37</f>
        <v>141.649</v>
      </c>
      <c r="D249" s="630">
        <f t="shared" si="196"/>
        <v>142.43699999999998</v>
      </c>
      <c r="E249" s="630">
        <f t="shared" si="196"/>
        <v>196.68000000000006</v>
      </c>
      <c r="F249" s="630">
        <f t="shared" si="196"/>
        <v>186.22199999999984</v>
      </c>
      <c r="G249" s="630">
        <f t="shared" si="196"/>
        <v>203.18000000000012</v>
      </c>
      <c r="H249" s="630">
        <f t="shared" si="196"/>
        <v>230.84900000000002</v>
      </c>
      <c r="I249" s="630">
        <f>I252-I248-I200-I148-I111-I74-I37</f>
        <v>237.1952215</v>
      </c>
      <c r="J249" s="630">
        <f>J252-J248-J200-J148-J111-J74-J37</f>
        <v>271.00025000000005</v>
      </c>
      <c r="K249" s="630">
        <f t="shared" ref="K249:Q249" si="197">K257*K218</f>
        <v>278.03280000000001</v>
      </c>
      <c r="L249" s="630">
        <f t="shared" si="197"/>
        <v>283.83262399999995</v>
      </c>
      <c r="M249" s="630">
        <f t="shared" si="197"/>
        <v>286.67095023999997</v>
      </c>
      <c r="N249" s="630">
        <f t="shared" si="197"/>
        <v>289.53765974239997</v>
      </c>
      <c r="O249" s="630">
        <f t="shared" si="197"/>
        <v>292.43303633982401</v>
      </c>
      <c r="P249" s="630">
        <f t="shared" si="197"/>
        <v>295.35736670322223</v>
      </c>
      <c r="Q249" s="630">
        <f t="shared" si="197"/>
        <v>298.31094037025446</v>
      </c>
    </row>
    <row r="252" spans="2:17" ht="16.5" thickBot="1">
      <c r="B252" s="940" t="s">
        <v>1089</v>
      </c>
      <c r="C252" s="941">
        <v>911</v>
      </c>
      <c r="D252" s="941">
        <v>876</v>
      </c>
      <c r="E252" s="941">
        <f>915.7-13</f>
        <v>902.7</v>
      </c>
      <c r="F252" s="941">
        <f>'New quarts'!X211+'New quarts'!Y211+'New quarts'!Z211+'New quarts'!AA211-17.5</f>
        <v>924.69999999999993</v>
      </c>
      <c r="G252" s="941">
        <v>886</v>
      </c>
      <c r="H252" s="941">
        <f>747.2+200.1</f>
        <v>947.30000000000007</v>
      </c>
      <c r="I252" s="941">
        <f>188.8+535.2+276.3</f>
        <v>1000.3</v>
      </c>
      <c r="J252" s="941">
        <v>1086.2</v>
      </c>
      <c r="K252" s="942">
        <f t="shared" ref="K252:Q252" si="198">K37+K74+K111+K148+K200+K248+K249</f>
        <v>1121.9841984141069</v>
      </c>
      <c r="L252" s="942">
        <f t="shared" si="198"/>
        <v>1184.2504847729369</v>
      </c>
      <c r="M252" s="942">
        <f t="shared" si="198"/>
        <v>1222.7859544035505</v>
      </c>
      <c r="N252" s="942">
        <f t="shared" si="198"/>
        <v>1256.3605099882809</v>
      </c>
      <c r="O252" s="942">
        <f t="shared" si="198"/>
        <v>1288.7745116816072</v>
      </c>
      <c r="P252" s="942">
        <f t="shared" si="198"/>
        <v>1322.4524122957098</v>
      </c>
      <c r="Q252" s="942">
        <f t="shared" si="198"/>
        <v>1357.4566922960732</v>
      </c>
    </row>
    <row r="253" spans="2:17" ht="16.5" thickTop="1">
      <c r="B253" s="58" t="s">
        <v>251</v>
      </c>
      <c r="C253" s="56">
        <f>C252/C223</f>
        <v>0.39779922274136503</v>
      </c>
      <c r="D253" s="56">
        <f t="shared" ref="D253:I253" si="199">D252/D223</f>
        <v>0.38776503917489258</v>
      </c>
      <c r="E253" s="56">
        <f t="shared" si="199"/>
        <v>0.38785769528228925</v>
      </c>
      <c r="F253" s="56">
        <f t="shared" si="199"/>
        <v>0.388040285354595</v>
      </c>
      <c r="G253" s="56">
        <f t="shared" si="199"/>
        <v>0.40274557934451566</v>
      </c>
      <c r="H253" s="56">
        <f t="shared" si="199"/>
        <v>0.41238953463062128</v>
      </c>
      <c r="I253" s="56">
        <f t="shared" si="199"/>
        <v>0.39532861716002049</v>
      </c>
      <c r="J253" s="56">
        <f t="shared" ref="J253:Q253" si="200">J252/J223</f>
        <v>0.41258024081741185</v>
      </c>
      <c r="K253" s="56">
        <f t="shared" si="200"/>
        <v>0.41713404655735703</v>
      </c>
      <c r="L253" s="56">
        <f t="shared" si="200"/>
        <v>0.42966523476117258</v>
      </c>
      <c r="M253" s="56">
        <f t="shared" si="200"/>
        <v>0.43324066565184233</v>
      </c>
      <c r="N253" s="56">
        <f t="shared" si="200"/>
        <v>0.4349520284685568</v>
      </c>
      <c r="O253" s="56">
        <f t="shared" si="200"/>
        <v>0.43518961147005497</v>
      </c>
      <c r="P253" s="56">
        <f t="shared" si="200"/>
        <v>0.43544172427607597</v>
      </c>
      <c r="Q253" s="56">
        <f t="shared" si="200"/>
        <v>0.43570820107599018</v>
      </c>
    </row>
    <row r="255" spans="2:17" ht="15.75">
      <c r="B255" s="58" t="s">
        <v>4029</v>
      </c>
    </row>
    <row r="256" spans="2:17" ht="15.75">
      <c r="B256" s="53" t="s">
        <v>4025</v>
      </c>
      <c r="C256" s="784">
        <v>0.35</v>
      </c>
      <c r="D256" s="784">
        <v>0.35</v>
      </c>
      <c r="E256" s="784">
        <v>0.37</v>
      </c>
      <c r="F256" s="784">
        <v>0.39</v>
      </c>
      <c r="G256" s="784">
        <v>0.41</v>
      </c>
      <c r="H256" s="784">
        <v>0.41</v>
      </c>
      <c r="I256" s="784">
        <v>0.41</v>
      </c>
      <c r="J256" s="784">
        <v>0.42</v>
      </c>
      <c r="K256" s="933">
        <v>0.42</v>
      </c>
      <c r="L256" s="933">
        <v>0.43</v>
      </c>
      <c r="M256" s="933">
        <v>0.43</v>
      </c>
      <c r="N256" s="933">
        <v>0.43</v>
      </c>
      <c r="O256" s="933">
        <v>0.43</v>
      </c>
      <c r="P256" s="933">
        <v>0.43</v>
      </c>
      <c r="Q256" s="933">
        <v>0.43</v>
      </c>
    </row>
    <row r="257" spans="2:17" ht="15.75">
      <c r="B257" s="53" t="s">
        <v>4026</v>
      </c>
      <c r="C257" s="54">
        <f t="shared" ref="C257:H257" si="201">C249/C218</f>
        <v>0.33392032060348892</v>
      </c>
      <c r="D257" s="54">
        <f t="shared" si="201"/>
        <v>0.38874727074235804</v>
      </c>
      <c r="E257" s="54">
        <f t="shared" si="201"/>
        <v>0.40940882597835154</v>
      </c>
      <c r="F257" s="54">
        <f t="shared" si="201"/>
        <v>0.33626218851570938</v>
      </c>
      <c r="G257" s="54">
        <f t="shared" si="201"/>
        <v>0.40889514992956355</v>
      </c>
      <c r="H257" s="54">
        <f t="shared" si="201"/>
        <v>0.41208318457693682</v>
      </c>
      <c r="I257" s="54">
        <f t="shared" ref="I257:J257" si="202">I249/I218</f>
        <v>0.42033532075137342</v>
      </c>
      <c r="J257" s="54">
        <f t="shared" si="202"/>
        <v>0.45777069256756764</v>
      </c>
      <c r="K257" s="933">
        <v>0.46500000000000002</v>
      </c>
      <c r="L257" s="933">
        <v>0.47</v>
      </c>
      <c r="M257" s="933">
        <v>0.47</v>
      </c>
      <c r="N257" s="933">
        <v>0.47</v>
      </c>
      <c r="O257" s="933">
        <v>0.47</v>
      </c>
      <c r="P257" s="933">
        <v>0.47</v>
      </c>
      <c r="Q257" s="933">
        <v>0.47</v>
      </c>
    </row>
    <row r="259" spans="2:17" ht="15.75">
      <c r="B259" s="58" t="s">
        <v>4030</v>
      </c>
    </row>
    <row r="260" spans="2:17" ht="15.75">
      <c r="B260" s="53" t="s">
        <v>4025</v>
      </c>
      <c r="C260" s="630">
        <f t="shared" ref="C260:Q260" si="203">C267*C207</f>
        <v>49.249000000000002</v>
      </c>
      <c r="D260" s="630">
        <f t="shared" si="203"/>
        <v>57.987000000000009</v>
      </c>
      <c r="E260" s="630">
        <f t="shared" si="203"/>
        <v>49.140000000000008</v>
      </c>
      <c r="F260" s="630">
        <f t="shared" si="203"/>
        <v>48.496000000000002</v>
      </c>
      <c r="G260" s="630">
        <f t="shared" si="203"/>
        <v>42.48</v>
      </c>
      <c r="H260" s="630">
        <f t="shared" si="203"/>
        <v>56.928000000000004</v>
      </c>
      <c r="I260" s="630">
        <f t="shared" si="203"/>
        <v>67.649999999999991</v>
      </c>
      <c r="J260" s="630">
        <f t="shared" si="203"/>
        <v>67.95</v>
      </c>
      <c r="K260" s="630">
        <f t="shared" si="203"/>
        <v>71.06429150000001</v>
      </c>
      <c r="L260" s="630">
        <f t="shared" si="203"/>
        <v>72.955023659999995</v>
      </c>
      <c r="M260" s="630">
        <f t="shared" si="203"/>
        <v>75.381183573000001</v>
      </c>
      <c r="N260" s="630">
        <f t="shared" si="203"/>
        <v>78.146479043514006</v>
      </c>
      <c r="O260" s="630">
        <f t="shared" si="203"/>
        <v>81.040001650472348</v>
      </c>
      <c r="P260" s="630">
        <f t="shared" si="203"/>
        <v>84.068062374326431</v>
      </c>
      <c r="Q260" s="630">
        <f t="shared" si="203"/>
        <v>87.237286740786544</v>
      </c>
    </row>
    <row r="261" spans="2:17" ht="15.75">
      <c r="B261" s="53" t="s">
        <v>4026</v>
      </c>
      <c r="C261" s="630"/>
      <c r="D261" s="630">
        <f>D263-D40-D77-D114-D151-D188-D260</f>
        <v>80.727999999999966</v>
      </c>
      <c r="E261" s="630">
        <f>E263-E40-E77-E114-E151-E188-E260</f>
        <v>68.659999999999968</v>
      </c>
      <c r="F261" s="630">
        <f>F263-F40-F77-F114-F151-F188-F260</f>
        <v>103.09299999999999</v>
      </c>
      <c r="G261" s="630">
        <f>G263-G40-G77-G114-G151-G188-G260</f>
        <v>70.11000000000007</v>
      </c>
      <c r="H261" s="630">
        <f>H263-H40-H77-H114-H151-H188-H260</f>
        <v>55.979999999999983</v>
      </c>
      <c r="I261" s="630">
        <f>I263-I40-I77-I114-I151-I202-I260</f>
        <v>40.01465800000004</v>
      </c>
      <c r="J261" s="630">
        <f>J263-J40-J77-J114-J151-J202-J260</f>
        <v>63.847999999999999</v>
      </c>
      <c r="K261" s="630">
        <f t="shared" ref="K261:Q261" si="204">K268*K218</f>
        <v>64.48648</v>
      </c>
      <c r="L261" s="630">
        <f t="shared" si="204"/>
        <v>65.131344799999994</v>
      </c>
      <c r="M261" s="630">
        <f t="shared" si="204"/>
        <v>65.78265824799999</v>
      </c>
      <c r="N261" s="630">
        <f t="shared" si="204"/>
        <v>66.440484830480003</v>
      </c>
      <c r="O261" s="630">
        <f t="shared" si="204"/>
        <v>67.104889678784801</v>
      </c>
      <c r="P261" s="630">
        <f t="shared" si="204"/>
        <v>67.775938575572653</v>
      </c>
      <c r="Q261" s="630">
        <f t="shared" si="204"/>
        <v>68.453697961328373</v>
      </c>
    </row>
    <row r="263" spans="2:17" ht="16.5" thickBot="1">
      <c r="B263" s="940" t="s">
        <v>4063</v>
      </c>
      <c r="C263" s="941">
        <v>282.60000000000002</v>
      </c>
      <c r="D263" s="941">
        <v>431.8</v>
      </c>
      <c r="E263" s="941">
        <v>378.7</v>
      </c>
      <c r="F263" s="941">
        <v>396</v>
      </c>
      <c r="G263" s="941">
        <f>246.8+G188</f>
        <v>317.20000000000005</v>
      </c>
      <c r="H263" s="941">
        <f>268.2+H188</f>
        <v>357.1</v>
      </c>
      <c r="I263" s="941">
        <f>230.7+40.2+I188</f>
        <v>350.08131600000002</v>
      </c>
      <c r="J263" s="941">
        <f>235.1+47.5+J202</f>
        <v>399.6</v>
      </c>
      <c r="K263" s="942">
        <f t="shared" ref="K263:Q263" si="205">K40+K77+K114+K151+K202+K260+K261</f>
        <v>400.34709410878224</v>
      </c>
      <c r="L263" s="942">
        <f t="shared" si="205"/>
        <v>400.42058782805361</v>
      </c>
      <c r="M263" s="942">
        <f t="shared" si="205"/>
        <v>410.13220377956895</v>
      </c>
      <c r="N263" s="942">
        <f t="shared" si="205"/>
        <v>419.71444451711108</v>
      </c>
      <c r="O263" s="942">
        <f t="shared" si="205"/>
        <v>430.36467739028387</v>
      </c>
      <c r="P263" s="942">
        <f t="shared" si="205"/>
        <v>441.42665993565146</v>
      </c>
      <c r="Q263" s="942">
        <f t="shared" si="205"/>
        <v>452.92089369838016</v>
      </c>
    </row>
    <row r="264" spans="2:17" ht="16.5" thickTop="1">
      <c r="B264" s="58" t="s">
        <v>4064</v>
      </c>
      <c r="C264" s="56"/>
      <c r="D264" s="56">
        <f>D263/D223</f>
        <v>0.19113806383072904</v>
      </c>
      <c r="E264" s="56">
        <f>E263/E223</f>
        <v>0.16271375784136805</v>
      </c>
      <c r="F264" s="56">
        <f t="shared" ref="F264:G264" si="206">F263/F223</f>
        <v>0.16617708770457407</v>
      </c>
      <c r="G264" s="56">
        <f t="shared" si="206"/>
        <v>0.14418837219873631</v>
      </c>
      <c r="H264" s="56">
        <f t="shared" ref="H264:Q264" si="207">H263/H223</f>
        <v>0.15545688041443562</v>
      </c>
      <c r="I264" s="56">
        <f t="shared" si="207"/>
        <v>0.13835565585108484</v>
      </c>
      <c r="J264" s="56">
        <f t="shared" si="207"/>
        <v>0.15178334029703347</v>
      </c>
      <c r="K264" s="56">
        <f t="shared" si="207"/>
        <v>0.14884202792617124</v>
      </c>
      <c r="L264" s="56">
        <f t="shared" si="207"/>
        <v>0.14527906729574605</v>
      </c>
      <c r="M264" s="56">
        <f t="shared" si="207"/>
        <v>0.14531238957302955</v>
      </c>
      <c r="N264" s="56">
        <f t="shared" si="207"/>
        <v>0.14530514734339575</v>
      </c>
      <c r="O264" s="56">
        <f t="shared" si="207"/>
        <v>0.14532428679050674</v>
      </c>
      <c r="P264" s="56">
        <f t="shared" si="207"/>
        <v>0.1453478281385813</v>
      </c>
      <c r="Q264" s="56">
        <f t="shared" si="207"/>
        <v>0.14537579647514023</v>
      </c>
    </row>
    <row r="265" spans="2:17" ht="15.75">
      <c r="B265" s="58"/>
      <c r="C265" s="56"/>
      <c r="D265" s="56"/>
      <c r="E265" s="56"/>
      <c r="F265" s="56"/>
      <c r="G265" s="56"/>
      <c r="H265" s="56"/>
      <c r="I265" s="56"/>
      <c r="J265" s="56"/>
      <c r="K265" s="56"/>
      <c r="L265" s="56"/>
      <c r="M265" s="56"/>
      <c r="N265" s="56"/>
      <c r="O265" s="56"/>
      <c r="P265" s="56"/>
      <c r="Q265" s="56"/>
    </row>
    <row r="266" spans="2:17" ht="15.75">
      <c r="B266" s="58" t="s">
        <v>4034</v>
      </c>
    </row>
    <row r="267" spans="2:17" ht="15.75">
      <c r="B267" s="53" t="s">
        <v>4025</v>
      </c>
      <c r="C267" s="784">
        <v>0.17</v>
      </c>
      <c r="D267" s="784">
        <v>0.17</v>
      </c>
      <c r="E267" s="784">
        <v>0.14000000000000001</v>
      </c>
      <c r="F267" s="784">
        <v>0.14000000000000001</v>
      </c>
      <c r="G267" s="784">
        <v>0.12</v>
      </c>
      <c r="H267" s="784">
        <v>0.16</v>
      </c>
      <c r="I267" s="784">
        <v>0.15</v>
      </c>
      <c r="J267" s="784">
        <v>0.15</v>
      </c>
      <c r="K267" s="933">
        <v>0.155</v>
      </c>
      <c r="L267" s="933">
        <v>0.155</v>
      </c>
      <c r="M267" s="933">
        <v>0.155</v>
      </c>
      <c r="N267" s="933">
        <v>0.155</v>
      </c>
      <c r="O267" s="933">
        <v>0.155</v>
      </c>
      <c r="P267" s="933">
        <v>0.155</v>
      </c>
      <c r="Q267" s="933">
        <v>0.155</v>
      </c>
    </row>
    <row r="268" spans="2:17" ht="15.75">
      <c r="B268" s="53" t="s">
        <v>4026</v>
      </c>
      <c r="C268" s="784">
        <v>0.17</v>
      </c>
      <c r="D268" s="54">
        <f t="shared" ref="D268:J268" si="208">D261/D218</f>
        <v>0.22032751091703048</v>
      </c>
      <c r="E268" s="54">
        <f t="shared" si="208"/>
        <v>0.14292256452955865</v>
      </c>
      <c r="F268" s="54">
        <f t="shared" si="208"/>
        <v>0.1861556518598772</v>
      </c>
      <c r="G268" s="54">
        <f t="shared" si="208"/>
        <v>0.1410947876836387</v>
      </c>
      <c r="H268" s="54">
        <f t="shared" si="208"/>
        <v>9.9928596929667934E-2</v>
      </c>
      <c r="I268" s="54">
        <f t="shared" si="208"/>
        <v>7.0910256955520196E-2</v>
      </c>
      <c r="J268" s="54">
        <f t="shared" si="208"/>
        <v>0.10785135135135135</v>
      </c>
      <c r="K268" s="933">
        <f>J268</f>
        <v>0.10785135135135135</v>
      </c>
      <c r="L268" s="933">
        <f t="shared" ref="L268:Q268" si="209">K268</f>
        <v>0.10785135135135135</v>
      </c>
      <c r="M268" s="933">
        <f t="shared" si="209"/>
        <v>0.10785135135135135</v>
      </c>
      <c r="N268" s="933">
        <f t="shared" si="209"/>
        <v>0.10785135135135135</v>
      </c>
      <c r="O268" s="933">
        <f t="shared" si="209"/>
        <v>0.10785135135135135</v>
      </c>
      <c r="P268" s="933">
        <f t="shared" si="209"/>
        <v>0.10785135135135135</v>
      </c>
      <c r="Q268" s="933">
        <f t="shared" si="209"/>
        <v>0.10785135135135135</v>
      </c>
    </row>
    <row r="269" spans="2:17" ht="15.75">
      <c r="B269" s="53"/>
    </row>
    <row r="270" spans="2:17" ht="15.75">
      <c r="B270" s="58" t="s">
        <v>4057</v>
      </c>
    </row>
    <row r="271" spans="2:17" ht="15.75">
      <c r="B271" s="53" t="str">
        <f>B267</f>
        <v>Networks &amp; LatAm</v>
      </c>
      <c r="C271" s="630">
        <f t="shared" ref="C271:Q271" si="210">C248-C260</f>
        <v>52.145999999999994</v>
      </c>
      <c r="D271" s="630">
        <f t="shared" si="210"/>
        <v>61.397999999999996</v>
      </c>
      <c r="E271" s="630">
        <f t="shared" si="210"/>
        <v>80.72999999999999</v>
      </c>
      <c r="F271" s="630">
        <f t="shared" si="210"/>
        <v>86.6</v>
      </c>
      <c r="G271" s="630">
        <f t="shared" si="210"/>
        <v>102.66</v>
      </c>
      <c r="H271" s="630">
        <f t="shared" si="210"/>
        <v>88.949999999999989</v>
      </c>
      <c r="I271" s="630">
        <f t="shared" si="210"/>
        <v>117.26</v>
      </c>
      <c r="J271" s="630">
        <f t="shared" si="210"/>
        <v>122.30999999999999</v>
      </c>
      <c r="K271" s="630">
        <f t="shared" si="210"/>
        <v>121.49701449999999</v>
      </c>
      <c r="L271" s="630">
        <f t="shared" si="210"/>
        <v>129.4363323</v>
      </c>
      <c r="M271" s="630">
        <f t="shared" si="210"/>
        <v>133.74080956500001</v>
      </c>
      <c r="N271" s="630">
        <f t="shared" si="210"/>
        <v>138.64697894817002</v>
      </c>
      <c r="O271" s="630">
        <f t="shared" si="210"/>
        <v>143.7806480895477</v>
      </c>
      <c r="P271" s="630">
        <f t="shared" si="210"/>
        <v>149.15301388993402</v>
      </c>
      <c r="Q271" s="630">
        <f t="shared" si="210"/>
        <v>154.7758313142987</v>
      </c>
    </row>
    <row r="272" spans="2:17" ht="15.75">
      <c r="B272" s="53" t="str">
        <f>B268</f>
        <v>Ventures/Other</v>
      </c>
      <c r="C272" s="630">
        <f t="shared" ref="C272:Q272" si="211">C249-C261</f>
        <v>141.649</v>
      </c>
      <c r="D272" s="630">
        <f t="shared" si="211"/>
        <v>61.709000000000017</v>
      </c>
      <c r="E272" s="630">
        <f t="shared" si="211"/>
        <v>128.0200000000001</v>
      </c>
      <c r="F272" s="630">
        <f t="shared" si="211"/>
        <v>83.128999999999849</v>
      </c>
      <c r="G272" s="630">
        <f t="shared" si="211"/>
        <v>133.07000000000005</v>
      </c>
      <c r="H272" s="630">
        <f t="shared" si="211"/>
        <v>174.86900000000003</v>
      </c>
      <c r="I272" s="630">
        <f t="shared" si="211"/>
        <v>197.18056349999995</v>
      </c>
      <c r="J272" s="630">
        <f t="shared" si="211"/>
        <v>207.15225000000004</v>
      </c>
      <c r="K272" s="630">
        <f t="shared" si="211"/>
        <v>213.54632000000001</v>
      </c>
      <c r="L272" s="630">
        <f t="shared" si="211"/>
        <v>218.70127919999996</v>
      </c>
      <c r="M272" s="630">
        <f t="shared" si="211"/>
        <v>220.88829199199998</v>
      </c>
      <c r="N272" s="630">
        <f t="shared" si="211"/>
        <v>223.09717491191998</v>
      </c>
      <c r="O272" s="630">
        <f t="shared" si="211"/>
        <v>225.32814666103923</v>
      </c>
      <c r="P272" s="630">
        <f t="shared" si="211"/>
        <v>227.58142812764959</v>
      </c>
      <c r="Q272" s="630">
        <f t="shared" si="211"/>
        <v>229.85724240892608</v>
      </c>
    </row>
    <row r="273" spans="2:17" ht="15.75">
      <c r="B273" s="53"/>
    </row>
    <row r="274" spans="2:17" ht="15.75">
      <c r="B274" s="636" t="s">
        <v>4058</v>
      </c>
      <c r="C274" s="636">
        <f>C287</f>
        <v>2016</v>
      </c>
      <c r="D274" s="636">
        <f t="shared" ref="D274:Q274" si="212">D287</f>
        <v>2017</v>
      </c>
      <c r="E274" s="636">
        <f t="shared" si="212"/>
        <v>2018</v>
      </c>
      <c r="F274" s="636">
        <f t="shared" si="212"/>
        <v>2019</v>
      </c>
      <c r="G274" s="636">
        <f t="shared" si="212"/>
        <v>2020</v>
      </c>
      <c r="H274" s="636">
        <f t="shared" si="212"/>
        <v>2021</v>
      </c>
      <c r="I274" s="636">
        <f t="shared" si="212"/>
        <v>2022</v>
      </c>
      <c r="J274" s="636">
        <f t="shared" si="212"/>
        <v>2023</v>
      </c>
      <c r="K274" s="636">
        <f t="shared" si="212"/>
        <v>2024</v>
      </c>
      <c r="L274" s="636">
        <f t="shared" si="212"/>
        <v>2025</v>
      </c>
      <c r="M274" s="636">
        <f t="shared" si="212"/>
        <v>2026</v>
      </c>
      <c r="N274" s="636">
        <f t="shared" si="212"/>
        <v>2027</v>
      </c>
      <c r="O274" s="636">
        <f t="shared" si="212"/>
        <v>2028</v>
      </c>
      <c r="P274" s="636">
        <f t="shared" si="212"/>
        <v>2029</v>
      </c>
      <c r="Q274" s="636">
        <f t="shared" si="212"/>
        <v>2030</v>
      </c>
    </row>
    <row r="275" spans="2:17" ht="15.75">
      <c r="B275" s="53" t="str">
        <f>B288</f>
        <v>Jamaica</v>
      </c>
      <c r="C275" s="943">
        <v>0.3</v>
      </c>
      <c r="D275" s="933">
        <f t="shared" ref="D275:Q275" si="213">C275</f>
        <v>0.3</v>
      </c>
      <c r="E275" s="933">
        <f t="shared" si="213"/>
        <v>0.3</v>
      </c>
      <c r="F275" s="933">
        <f t="shared" si="213"/>
        <v>0.3</v>
      </c>
      <c r="G275" s="933">
        <f t="shared" si="213"/>
        <v>0.3</v>
      </c>
      <c r="H275" s="933">
        <f t="shared" si="213"/>
        <v>0.3</v>
      </c>
      <c r="I275" s="933">
        <f t="shared" si="213"/>
        <v>0.3</v>
      </c>
      <c r="J275" s="933">
        <f t="shared" si="213"/>
        <v>0.3</v>
      </c>
      <c r="K275" s="933">
        <f t="shared" si="213"/>
        <v>0.3</v>
      </c>
      <c r="L275" s="933">
        <f t="shared" si="213"/>
        <v>0.3</v>
      </c>
      <c r="M275" s="933">
        <f t="shared" si="213"/>
        <v>0.3</v>
      </c>
      <c r="N275" s="933">
        <f t="shared" si="213"/>
        <v>0.3</v>
      </c>
      <c r="O275" s="933">
        <f t="shared" si="213"/>
        <v>0.3</v>
      </c>
      <c r="P275" s="933">
        <f t="shared" si="213"/>
        <v>0.3</v>
      </c>
      <c r="Q275" s="933">
        <f t="shared" si="213"/>
        <v>0.3</v>
      </c>
    </row>
    <row r="276" spans="2:17" ht="15.75">
      <c r="B276" s="53" t="str">
        <f t="shared" ref="B276:B281" si="214">B289</f>
        <v>Trinidad and Tobago</v>
      </c>
      <c r="C276" s="943">
        <v>0.25</v>
      </c>
      <c r="D276" s="933">
        <f t="shared" ref="D276:Q276" si="215">C276</f>
        <v>0.25</v>
      </c>
      <c r="E276" s="933">
        <f t="shared" si="215"/>
        <v>0.25</v>
      </c>
      <c r="F276" s="933">
        <f t="shared" si="215"/>
        <v>0.25</v>
      </c>
      <c r="G276" s="933">
        <f t="shared" si="215"/>
        <v>0.25</v>
      </c>
      <c r="H276" s="933">
        <f t="shared" si="215"/>
        <v>0.25</v>
      </c>
      <c r="I276" s="933">
        <f t="shared" si="215"/>
        <v>0.25</v>
      </c>
      <c r="J276" s="933">
        <f t="shared" si="215"/>
        <v>0.25</v>
      </c>
      <c r="K276" s="933">
        <f t="shared" si="215"/>
        <v>0.25</v>
      </c>
      <c r="L276" s="933">
        <f t="shared" si="215"/>
        <v>0.25</v>
      </c>
      <c r="M276" s="933">
        <f t="shared" si="215"/>
        <v>0.25</v>
      </c>
      <c r="N276" s="933">
        <f t="shared" si="215"/>
        <v>0.25</v>
      </c>
      <c r="O276" s="933">
        <f t="shared" si="215"/>
        <v>0.25</v>
      </c>
      <c r="P276" s="933">
        <f t="shared" si="215"/>
        <v>0.25</v>
      </c>
      <c r="Q276" s="933">
        <f t="shared" si="215"/>
        <v>0.25</v>
      </c>
    </row>
    <row r="277" spans="2:17" ht="15.75">
      <c r="B277" s="53" t="str">
        <f t="shared" si="214"/>
        <v>Barbados</v>
      </c>
      <c r="C277" s="943">
        <v>0.25</v>
      </c>
      <c r="D277" s="933">
        <f t="shared" ref="D277:Q277" si="216">C277</f>
        <v>0.25</v>
      </c>
      <c r="E277" s="933">
        <f t="shared" si="216"/>
        <v>0.25</v>
      </c>
      <c r="F277" s="933">
        <f t="shared" si="216"/>
        <v>0.25</v>
      </c>
      <c r="G277" s="933">
        <f t="shared" si="216"/>
        <v>0.25</v>
      </c>
      <c r="H277" s="933">
        <f t="shared" si="216"/>
        <v>0.25</v>
      </c>
      <c r="I277" s="933">
        <f t="shared" si="216"/>
        <v>0.25</v>
      </c>
      <c r="J277" s="933">
        <f t="shared" si="216"/>
        <v>0.25</v>
      </c>
      <c r="K277" s="933">
        <f t="shared" si="216"/>
        <v>0.25</v>
      </c>
      <c r="L277" s="933">
        <f t="shared" si="216"/>
        <v>0.25</v>
      </c>
      <c r="M277" s="933">
        <f t="shared" si="216"/>
        <v>0.25</v>
      </c>
      <c r="N277" s="933">
        <f t="shared" si="216"/>
        <v>0.25</v>
      </c>
      <c r="O277" s="933">
        <f t="shared" si="216"/>
        <v>0.25</v>
      </c>
      <c r="P277" s="933">
        <f t="shared" si="216"/>
        <v>0.25</v>
      </c>
      <c r="Q277" s="933">
        <f t="shared" si="216"/>
        <v>0.25</v>
      </c>
    </row>
    <row r="278" spans="2:17" ht="15.75">
      <c r="B278" s="53" t="str">
        <f t="shared" si="214"/>
        <v>Bahamas</v>
      </c>
      <c r="C278" s="943">
        <v>0.1</v>
      </c>
      <c r="D278" s="933">
        <f t="shared" ref="D278:Q278" si="217">C278</f>
        <v>0.1</v>
      </c>
      <c r="E278" s="933">
        <f t="shared" si="217"/>
        <v>0.1</v>
      </c>
      <c r="F278" s="933">
        <f t="shared" si="217"/>
        <v>0.1</v>
      </c>
      <c r="G278" s="933">
        <f t="shared" si="217"/>
        <v>0.1</v>
      </c>
      <c r="H278" s="933">
        <f t="shared" si="217"/>
        <v>0.1</v>
      </c>
      <c r="I278" s="933">
        <f t="shared" si="217"/>
        <v>0.1</v>
      </c>
      <c r="J278" s="933">
        <f t="shared" si="217"/>
        <v>0.1</v>
      </c>
      <c r="K278" s="933">
        <f t="shared" si="217"/>
        <v>0.1</v>
      </c>
      <c r="L278" s="933">
        <f t="shared" si="217"/>
        <v>0.1</v>
      </c>
      <c r="M278" s="933">
        <f t="shared" si="217"/>
        <v>0.1</v>
      </c>
      <c r="N278" s="933">
        <f t="shared" si="217"/>
        <v>0.1</v>
      </c>
      <c r="O278" s="933">
        <f t="shared" si="217"/>
        <v>0.1</v>
      </c>
      <c r="P278" s="933">
        <f t="shared" si="217"/>
        <v>0.1</v>
      </c>
      <c r="Q278" s="933">
        <f t="shared" si="217"/>
        <v>0.1</v>
      </c>
    </row>
    <row r="279" spans="2:17" ht="15.75">
      <c r="B279" s="53" t="str">
        <f t="shared" si="214"/>
        <v>Panama</v>
      </c>
      <c r="C279" s="943">
        <v>0.25</v>
      </c>
      <c r="D279" s="933">
        <f>C279</f>
        <v>0.25</v>
      </c>
      <c r="E279" s="933">
        <f t="shared" ref="E279:Q279" si="218">D279</f>
        <v>0.25</v>
      </c>
      <c r="F279" s="933">
        <f t="shared" si="218"/>
        <v>0.25</v>
      </c>
      <c r="G279" s="933">
        <f t="shared" si="218"/>
        <v>0.25</v>
      </c>
      <c r="H279" s="933">
        <f t="shared" si="218"/>
        <v>0.25</v>
      </c>
      <c r="I279" s="933">
        <f t="shared" si="218"/>
        <v>0.25</v>
      </c>
      <c r="J279" s="933">
        <f t="shared" si="218"/>
        <v>0.25</v>
      </c>
      <c r="K279" s="933">
        <f t="shared" si="218"/>
        <v>0.25</v>
      </c>
      <c r="L279" s="933">
        <f t="shared" si="218"/>
        <v>0.25</v>
      </c>
      <c r="M279" s="933">
        <f t="shared" si="218"/>
        <v>0.25</v>
      </c>
      <c r="N279" s="933">
        <f t="shared" si="218"/>
        <v>0.25</v>
      </c>
      <c r="O279" s="933">
        <f t="shared" si="218"/>
        <v>0.25</v>
      </c>
      <c r="P279" s="933">
        <f t="shared" si="218"/>
        <v>0.25</v>
      </c>
      <c r="Q279" s="933">
        <f t="shared" si="218"/>
        <v>0.25</v>
      </c>
    </row>
    <row r="280" spans="2:17" ht="15.75">
      <c r="B280" s="53" t="str">
        <f t="shared" si="214"/>
        <v>Networks &amp; LatAm</v>
      </c>
      <c r="C280" s="943">
        <v>0.28000000000000003</v>
      </c>
      <c r="D280" s="933">
        <f t="shared" ref="D280:Q280" si="219">C280</f>
        <v>0.28000000000000003</v>
      </c>
      <c r="E280" s="933">
        <f t="shared" si="219"/>
        <v>0.28000000000000003</v>
      </c>
      <c r="F280" s="933">
        <f t="shared" si="219"/>
        <v>0.28000000000000003</v>
      </c>
      <c r="G280" s="933">
        <f t="shared" si="219"/>
        <v>0.28000000000000003</v>
      </c>
      <c r="H280" s="933">
        <f t="shared" si="219"/>
        <v>0.28000000000000003</v>
      </c>
      <c r="I280" s="933">
        <f t="shared" si="219"/>
        <v>0.28000000000000003</v>
      </c>
      <c r="J280" s="933">
        <f t="shared" si="219"/>
        <v>0.28000000000000003</v>
      </c>
      <c r="K280" s="933">
        <f t="shared" si="219"/>
        <v>0.28000000000000003</v>
      </c>
      <c r="L280" s="933">
        <f t="shared" si="219"/>
        <v>0.28000000000000003</v>
      </c>
      <c r="M280" s="933">
        <f t="shared" si="219"/>
        <v>0.28000000000000003</v>
      </c>
      <c r="N280" s="933">
        <f t="shared" si="219"/>
        <v>0.28000000000000003</v>
      </c>
      <c r="O280" s="933">
        <f t="shared" si="219"/>
        <v>0.28000000000000003</v>
      </c>
      <c r="P280" s="933">
        <f t="shared" si="219"/>
        <v>0.28000000000000003</v>
      </c>
      <c r="Q280" s="933">
        <f t="shared" si="219"/>
        <v>0.28000000000000003</v>
      </c>
    </row>
    <row r="281" spans="2:17" ht="15.75">
      <c r="B281" s="53" t="str">
        <f t="shared" si="214"/>
        <v>Ventures/Other</v>
      </c>
      <c r="C281" s="943">
        <v>0.25</v>
      </c>
      <c r="D281" s="933">
        <f t="shared" ref="D281:Q281" si="220">C281</f>
        <v>0.25</v>
      </c>
      <c r="E281" s="933">
        <f t="shared" si="220"/>
        <v>0.25</v>
      </c>
      <c r="F281" s="933">
        <f t="shared" si="220"/>
        <v>0.25</v>
      </c>
      <c r="G281" s="933">
        <f t="shared" si="220"/>
        <v>0.25</v>
      </c>
      <c r="H281" s="933">
        <f t="shared" si="220"/>
        <v>0.25</v>
      </c>
      <c r="I281" s="933">
        <f t="shared" si="220"/>
        <v>0.25</v>
      </c>
      <c r="J281" s="933">
        <f t="shared" si="220"/>
        <v>0.25</v>
      </c>
      <c r="K281" s="933">
        <f t="shared" si="220"/>
        <v>0.25</v>
      </c>
      <c r="L281" s="933">
        <f t="shared" si="220"/>
        <v>0.25</v>
      </c>
      <c r="M281" s="933">
        <f t="shared" si="220"/>
        <v>0.25</v>
      </c>
      <c r="N281" s="933">
        <f t="shared" si="220"/>
        <v>0.25</v>
      </c>
      <c r="O281" s="933">
        <f t="shared" si="220"/>
        <v>0.25</v>
      </c>
      <c r="P281" s="933">
        <f t="shared" si="220"/>
        <v>0.25</v>
      </c>
      <c r="Q281" s="933">
        <f t="shared" si="220"/>
        <v>0.25</v>
      </c>
    </row>
    <row r="282" spans="2:17" ht="15.75">
      <c r="B282" s="53" t="s">
        <v>468</v>
      </c>
      <c r="C282" s="943">
        <v>0.28000000000000003</v>
      </c>
      <c r="D282" s="933">
        <f t="shared" ref="D282:Q282" si="221">C282</f>
        <v>0.28000000000000003</v>
      </c>
      <c r="E282" s="933">
        <f t="shared" si="221"/>
        <v>0.28000000000000003</v>
      </c>
      <c r="F282" s="933">
        <f t="shared" si="221"/>
        <v>0.28000000000000003</v>
      </c>
      <c r="G282" s="933">
        <f t="shared" si="221"/>
        <v>0.28000000000000003</v>
      </c>
      <c r="H282" s="933">
        <f t="shared" si="221"/>
        <v>0.28000000000000003</v>
      </c>
      <c r="I282" s="933">
        <f t="shared" si="221"/>
        <v>0.28000000000000003</v>
      </c>
      <c r="J282" s="933">
        <f t="shared" si="221"/>
        <v>0.28000000000000003</v>
      </c>
      <c r="K282" s="933">
        <f t="shared" si="221"/>
        <v>0.28000000000000003</v>
      </c>
      <c r="L282" s="933">
        <f t="shared" si="221"/>
        <v>0.28000000000000003</v>
      </c>
      <c r="M282" s="933">
        <f t="shared" si="221"/>
        <v>0.28000000000000003</v>
      </c>
      <c r="N282" s="933">
        <f t="shared" si="221"/>
        <v>0.28000000000000003</v>
      </c>
      <c r="O282" s="933">
        <f t="shared" si="221"/>
        <v>0.28000000000000003</v>
      </c>
      <c r="P282" s="933">
        <f t="shared" si="221"/>
        <v>0.28000000000000003</v>
      </c>
      <c r="Q282" s="933">
        <f t="shared" si="221"/>
        <v>0.28000000000000003</v>
      </c>
    </row>
    <row r="283" spans="2:17" ht="15.75">
      <c r="B283" s="53" t="s">
        <v>469</v>
      </c>
      <c r="C283" s="943">
        <v>0.37</v>
      </c>
      <c r="D283" s="933">
        <f t="shared" ref="D283:Q283" si="222">C283</f>
        <v>0.37</v>
      </c>
      <c r="E283" s="933">
        <f t="shared" si="222"/>
        <v>0.37</v>
      </c>
      <c r="F283" s="933">
        <f t="shared" si="222"/>
        <v>0.37</v>
      </c>
      <c r="G283" s="933">
        <f t="shared" si="222"/>
        <v>0.37</v>
      </c>
      <c r="H283" s="933">
        <f t="shared" si="222"/>
        <v>0.37</v>
      </c>
      <c r="I283" s="933">
        <f t="shared" si="222"/>
        <v>0.37</v>
      </c>
      <c r="J283" s="933">
        <f t="shared" si="222"/>
        <v>0.37</v>
      </c>
      <c r="K283" s="933">
        <f t="shared" si="222"/>
        <v>0.37</v>
      </c>
      <c r="L283" s="933">
        <f t="shared" si="222"/>
        <v>0.37</v>
      </c>
      <c r="M283" s="933">
        <f t="shared" si="222"/>
        <v>0.37</v>
      </c>
      <c r="N283" s="933">
        <f t="shared" si="222"/>
        <v>0.37</v>
      </c>
      <c r="O283" s="933">
        <f t="shared" si="222"/>
        <v>0.37</v>
      </c>
      <c r="P283" s="933">
        <f t="shared" si="222"/>
        <v>0.37</v>
      </c>
      <c r="Q283" s="933">
        <f t="shared" si="222"/>
        <v>0.37</v>
      </c>
    </row>
    <row r="284" spans="2:17" ht="15.75">
      <c r="B284" s="53" t="s">
        <v>3434</v>
      </c>
      <c r="C284" s="943">
        <v>0.28000000000000003</v>
      </c>
      <c r="D284" s="933">
        <f t="shared" ref="D284:Q285" si="223">C284</f>
        <v>0.28000000000000003</v>
      </c>
      <c r="E284" s="933">
        <f t="shared" si="223"/>
        <v>0.28000000000000003</v>
      </c>
      <c r="F284" s="933">
        <f t="shared" si="223"/>
        <v>0.28000000000000003</v>
      </c>
      <c r="G284" s="933">
        <f t="shared" si="223"/>
        <v>0.28000000000000003</v>
      </c>
      <c r="H284" s="933">
        <f t="shared" si="223"/>
        <v>0.28000000000000003</v>
      </c>
      <c r="I284" s="933">
        <f t="shared" si="223"/>
        <v>0.28000000000000003</v>
      </c>
      <c r="J284" s="933">
        <f t="shared" si="223"/>
        <v>0.28000000000000003</v>
      </c>
      <c r="K284" s="933">
        <f t="shared" si="223"/>
        <v>0.28000000000000003</v>
      </c>
      <c r="L284" s="933">
        <f t="shared" si="223"/>
        <v>0.28000000000000003</v>
      </c>
      <c r="M284" s="933">
        <f t="shared" si="223"/>
        <v>0.28000000000000003</v>
      </c>
      <c r="N284" s="933">
        <f t="shared" si="223"/>
        <v>0.28000000000000003</v>
      </c>
      <c r="O284" s="933">
        <f t="shared" si="223"/>
        <v>0.28000000000000003</v>
      </c>
      <c r="P284" s="933">
        <f t="shared" si="223"/>
        <v>0.28000000000000003</v>
      </c>
      <c r="Q284" s="933">
        <f t="shared" si="223"/>
        <v>0.28000000000000003</v>
      </c>
    </row>
    <row r="285" spans="2:17" ht="15.75">
      <c r="B285" s="53" t="s">
        <v>4</v>
      </c>
      <c r="C285" s="943">
        <v>0.25</v>
      </c>
      <c r="D285" s="933">
        <f t="shared" si="223"/>
        <v>0.25</v>
      </c>
      <c r="E285" s="933">
        <f t="shared" si="223"/>
        <v>0.25</v>
      </c>
      <c r="F285" s="933">
        <f t="shared" si="223"/>
        <v>0.25</v>
      </c>
      <c r="G285" s="933">
        <f t="shared" si="223"/>
        <v>0.25</v>
      </c>
      <c r="H285" s="933">
        <f t="shared" si="223"/>
        <v>0.25</v>
      </c>
      <c r="I285" s="933">
        <f t="shared" si="223"/>
        <v>0.25</v>
      </c>
      <c r="J285" s="933">
        <f t="shared" si="223"/>
        <v>0.25</v>
      </c>
      <c r="K285" s="933">
        <f t="shared" si="223"/>
        <v>0.25</v>
      </c>
      <c r="L285" s="933">
        <f t="shared" si="223"/>
        <v>0.25</v>
      </c>
      <c r="M285" s="933">
        <f t="shared" si="223"/>
        <v>0.25</v>
      </c>
      <c r="N285" s="933">
        <f t="shared" si="223"/>
        <v>0.25</v>
      </c>
      <c r="O285" s="933">
        <f t="shared" si="223"/>
        <v>0.25</v>
      </c>
      <c r="P285" s="933">
        <f t="shared" si="223"/>
        <v>0.25</v>
      </c>
      <c r="Q285" s="933">
        <f t="shared" si="223"/>
        <v>0.25</v>
      </c>
    </row>
    <row r="286" spans="2:17" ht="15.75">
      <c r="B286" s="53"/>
    </row>
    <row r="287" spans="2:17" ht="15.75">
      <c r="B287" s="636" t="s">
        <v>377</v>
      </c>
      <c r="C287" s="636">
        <f t="shared" ref="C287:Q287" si="224">C206</f>
        <v>2016</v>
      </c>
      <c r="D287" s="636">
        <f t="shared" si="224"/>
        <v>2017</v>
      </c>
      <c r="E287" s="636">
        <f t="shared" si="224"/>
        <v>2018</v>
      </c>
      <c r="F287" s="636">
        <f t="shared" si="224"/>
        <v>2019</v>
      </c>
      <c r="G287" s="636">
        <f t="shared" si="224"/>
        <v>2020</v>
      </c>
      <c r="H287" s="636">
        <f t="shared" si="224"/>
        <v>2021</v>
      </c>
      <c r="I287" s="636">
        <f t="shared" si="224"/>
        <v>2022</v>
      </c>
      <c r="J287" s="636">
        <f t="shared" si="224"/>
        <v>2023</v>
      </c>
      <c r="K287" s="636">
        <f t="shared" si="224"/>
        <v>2024</v>
      </c>
      <c r="L287" s="636">
        <f t="shared" si="224"/>
        <v>2025</v>
      </c>
      <c r="M287" s="636">
        <f t="shared" si="224"/>
        <v>2026</v>
      </c>
      <c r="N287" s="636">
        <f t="shared" si="224"/>
        <v>2027</v>
      </c>
      <c r="O287" s="636">
        <f t="shared" si="224"/>
        <v>2028</v>
      </c>
      <c r="P287" s="636">
        <f t="shared" si="224"/>
        <v>2029</v>
      </c>
      <c r="Q287" s="636">
        <f t="shared" si="224"/>
        <v>2030</v>
      </c>
    </row>
    <row r="288" spans="2:17" ht="15.75">
      <c r="B288" s="53" t="str">
        <f>B301</f>
        <v>Jamaica</v>
      </c>
      <c r="C288" s="630"/>
      <c r="D288" s="630">
        <f t="shared" ref="D288:I288" si="225">(1-D275)*D43</f>
        <v>44.4024</v>
      </c>
      <c r="E288" s="630">
        <f t="shared" si="225"/>
        <v>55.748000000000005</v>
      </c>
      <c r="F288" s="630">
        <f t="shared" si="225"/>
        <v>64.444799999999987</v>
      </c>
      <c r="G288" s="630">
        <f t="shared" si="225"/>
        <v>76.327999999999989</v>
      </c>
      <c r="H288" s="630">
        <f t="shared" si="225"/>
        <v>70.34999999999998</v>
      </c>
      <c r="I288" s="630">
        <f t="shared" si="225"/>
        <v>84.083999999999989</v>
      </c>
      <c r="J288" s="630">
        <f t="shared" ref="J288:Q288" si="226">(1-J275)*J43</f>
        <v>89.522999999999982</v>
      </c>
      <c r="K288" s="630">
        <f t="shared" si="226"/>
        <v>84.885386596956536</v>
      </c>
      <c r="L288" s="630">
        <f t="shared" si="226"/>
        <v>96.673989885744959</v>
      </c>
      <c r="M288" s="630">
        <f>(1-M275)*M43</f>
        <v>103.41193181744873</v>
      </c>
      <c r="N288" s="630">
        <f t="shared" si="226"/>
        <v>111.57462749761972</v>
      </c>
      <c r="O288" s="630">
        <f t="shared" si="226"/>
        <v>117.9475638245483</v>
      </c>
      <c r="P288" s="630">
        <f t="shared" si="226"/>
        <v>124.67804352984727</v>
      </c>
      <c r="Q288" s="630">
        <f t="shared" si="226"/>
        <v>131.78584853724792</v>
      </c>
    </row>
    <row r="289" spans="2:18" ht="15.75">
      <c r="B289" s="53" t="str">
        <f t="shared" ref="B289:B295" si="227">B302</f>
        <v>Trinidad and Tobago</v>
      </c>
      <c r="C289" s="630"/>
      <c r="D289" s="630">
        <f t="shared" ref="D289:Q289" si="228">(1-D276)*D80</f>
        <v>26.631</v>
      </c>
      <c r="E289" s="630">
        <f t="shared" si="228"/>
        <v>25.905000000000005</v>
      </c>
      <c r="F289" s="630">
        <f t="shared" si="228"/>
        <v>26.614500000000003</v>
      </c>
      <c r="G289" s="630">
        <f t="shared" si="228"/>
        <v>26.565000000000001</v>
      </c>
      <c r="H289" s="630">
        <f t="shared" si="228"/>
        <v>24.916500000000006</v>
      </c>
      <c r="I289" s="630">
        <f t="shared" si="228"/>
        <v>25.089750000000009</v>
      </c>
      <c r="J289" s="630">
        <f t="shared" si="228"/>
        <v>24.355312500000007</v>
      </c>
      <c r="K289" s="630">
        <f t="shared" si="228"/>
        <v>25.394841997334346</v>
      </c>
      <c r="L289" s="630">
        <f t="shared" si="228"/>
        <v>27.796311111728862</v>
      </c>
      <c r="M289" s="630">
        <f>(1-M276)*M80</f>
        <v>28.440369871526272</v>
      </c>
      <c r="N289" s="630">
        <f t="shared" si="228"/>
        <v>29.099072457270889</v>
      </c>
      <c r="O289" s="630">
        <f t="shared" si="228"/>
        <v>29.772746998496679</v>
      </c>
      <c r="P289" s="630">
        <f t="shared" si="228"/>
        <v>30.461728892388592</v>
      </c>
      <c r="Q289" s="630">
        <f t="shared" si="228"/>
        <v>31.166360963236791</v>
      </c>
    </row>
    <row r="290" spans="2:18" ht="15.75">
      <c r="B290" s="53" t="str">
        <f t="shared" si="227"/>
        <v>Barbados</v>
      </c>
      <c r="C290" s="630"/>
      <c r="D290" s="630">
        <f t="shared" ref="D290:Q290" si="229">(1-D277)*D117</f>
        <v>28.134749999999997</v>
      </c>
      <c r="E290" s="630">
        <f t="shared" si="229"/>
        <v>28.312499999999993</v>
      </c>
      <c r="F290" s="630">
        <f t="shared" si="229"/>
        <v>28.162499999999998</v>
      </c>
      <c r="G290" s="630">
        <f t="shared" si="229"/>
        <v>26.062499999999993</v>
      </c>
      <c r="H290" s="630">
        <f t="shared" si="229"/>
        <v>25.487999999999996</v>
      </c>
      <c r="I290" s="630">
        <f t="shared" si="229"/>
        <v>26.639999999999997</v>
      </c>
      <c r="J290" s="630">
        <f t="shared" si="229"/>
        <v>28.367999999999999</v>
      </c>
      <c r="K290" s="630">
        <f t="shared" si="229"/>
        <v>29.132886667725028</v>
      </c>
      <c r="L290" s="630">
        <f t="shared" si="229"/>
        <v>29.715544401079526</v>
      </c>
      <c r="M290" s="630">
        <f>(1-M277)*M117</f>
        <v>30.012699845090332</v>
      </c>
      <c r="N290" s="630">
        <f t="shared" si="229"/>
        <v>30.012699845090332</v>
      </c>
      <c r="O290" s="630">
        <f t="shared" si="229"/>
        <v>30.012699845090332</v>
      </c>
      <c r="P290" s="630">
        <f t="shared" si="229"/>
        <v>30.012699845090332</v>
      </c>
      <c r="Q290" s="630">
        <f t="shared" si="229"/>
        <v>30.012699845090332</v>
      </c>
    </row>
    <row r="291" spans="2:18" ht="15.75">
      <c r="B291" s="53" t="str">
        <f t="shared" si="227"/>
        <v>Bahamas</v>
      </c>
      <c r="C291" s="630"/>
      <c r="D291" s="630">
        <f t="shared" ref="D291:Q291" si="230">(1-D278)*D154</f>
        <v>70.551000000000016</v>
      </c>
      <c r="E291" s="630">
        <f t="shared" si="230"/>
        <v>55.646999999999991</v>
      </c>
      <c r="F291" s="630">
        <f t="shared" si="230"/>
        <v>50.373900000000006</v>
      </c>
      <c r="G291" s="630">
        <f t="shared" si="230"/>
        <v>42.353999999999999</v>
      </c>
      <c r="H291" s="630">
        <f t="shared" si="230"/>
        <v>42.727499999999999</v>
      </c>
      <c r="I291" s="630">
        <f t="shared" si="230"/>
        <v>43.807499999999983</v>
      </c>
      <c r="J291" s="630">
        <f t="shared" si="230"/>
        <v>43.425000000000004</v>
      </c>
      <c r="K291" s="630">
        <f t="shared" si="230"/>
        <v>44.037572479446148</v>
      </c>
      <c r="L291" s="630">
        <f t="shared" si="230"/>
        <v>45.625766222414541</v>
      </c>
      <c r="M291" s="630">
        <f t="shared" si="230"/>
        <v>46.773584240588491</v>
      </c>
      <c r="N291" s="630">
        <f t="shared" si="230"/>
        <v>47.921402258762441</v>
      </c>
      <c r="O291" s="630">
        <f t="shared" si="230"/>
        <v>49.069220276936392</v>
      </c>
      <c r="P291" s="630">
        <f t="shared" si="230"/>
        <v>50.217038295110342</v>
      </c>
      <c r="Q291" s="630">
        <f t="shared" si="230"/>
        <v>51.364856313284292</v>
      </c>
    </row>
    <row r="292" spans="2:18" ht="15.75">
      <c r="B292" s="53" t="str">
        <f t="shared" si="227"/>
        <v>Panama</v>
      </c>
      <c r="C292" s="630"/>
      <c r="D292" s="630">
        <f t="shared" ref="D292:Q292" si="231">(1-D279)*D191</f>
        <v>79.6875</v>
      </c>
      <c r="E292" s="630">
        <f t="shared" si="231"/>
        <v>76.117499999999993</v>
      </c>
      <c r="F292" s="630">
        <f t="shared" si="231"/>
        <v>103.42499999999998</v>
      </c>
      <c r="G292" s="630">
        <f>(1-G279)*G191</f>
        <v>80.099999999999994</v>
      </c>
      <c r="H292" s="630">
        <f t="shared" si="231"/>
        <v>83.399999999999991</v>
      </c>
      <c r="I292" s="630">
        <f t="shared" si="231"/>
        <v>81.989013</v>
      </c>
      <c r="J292" s="630">
        <f t="shared" si="231"/>
        <v>78.9881794275</v>
      </c>
      <c r="K292" s="630">
        <f t="shared" si="231"/>
        <v>72.675639530489931</v>
      </c>
      <c r="L292" s="630">
        <f t="shared" si="231"/>
        <v>77.29084401262071</v>
      </c>
      <c r="M292" s="630">
        <f t="shared" si="231"/>
        <v>83.664019816271093</v>
      </c>
      <c r="N292" s="630">
        <f t="shared" si="231"/>
        <v>84.670380951234691</v>
      </c>
      <c r="O292" s="630">
        <f t="shared" si="231"/>
        <v>85.688502906915957</v>
      </c>
      <c r="P292" s="630">
        <f t="shared" si="231"/>
        <v>86.71852026361573</v>
      </c>
      <c r="Q292" s="630">
        <f t="shared" si="231"/>
        <v>87.760569117158795</v>
      </c>
    </row>
    <row r="293" spans="2:18" ht="15.75">
      <c r="B293" s="53" t="str">
        <f t="shared" si="227"/>
        <v>Networks &amp; LatAm</v>
      </c>
      <c r="C293" s="630"/>
      <c r="D293" s="630">
        <f t="shared" ref="D293:Q293" si="232">(1-D280)*D271</f>
        <v>44.206559999999996</v>
      </c>
      <c r="E293" s="630">
        <f t="shared" si="232"/>
        <v>58.125599999999991</v>
      </c>
      <c r="F293" s="630">
        <f t="shared" si="232"/>
        <v>62.351999999999997</v>
      </c>
      <c r="G293" s="630">
        <f t="shared" si="232"/>
        <v>73.915199999999999</v>
      </c>
      <c r="H293" s="630">
        <f t="shared" si="232"/>
        <v>64.043999999999983</v>
      </c>
      <c r="I293" s="630">
        <f t="shared" si="232"/>
        <v>84.427199999999999</v>
      </c>
      <c r="J293" s="630">
        <f t="shared" si="232"/>
        <v>88.063199999999995</v>
      </c>
      <c r="K293" s="630">
        <f t="shared" si="232"/>
        <v>87.477850439999997</v>
      </c>
      <c r="L293" s="630">
        <f t="shared" si="232"/>
        <v>93.194159256000006</v>
      </c>
      <c r="M293" s="630">
        <f t="shared" si="232"/>
        <v>96.293382886800003</v>
      </c>
      <c r="N293" s="630">
        <f t="shared" si="232"/>
        <v>99.825824842682408</v>
      </c>
      <c r="O293" s="630">
        <f t="shared" si="232"/>
        <v>103.52206662447433</v>
      </c>
      <c r="P293" s="630">
        <f t="shared" si="232"/>
        <v>107.39017000075249</v>
      </c>
      <c r="Q293" s="630">
        <f t="shared" si="232"/>
        <v>111.43859854629505</v>
      </c>
    </row>
    <row r="294" spans="2:18" ht="15.75">
      <c r="B294" s="53" t="str">
        <f t="shared" si="227"/>
        <v>Ventures/Other</v>
      </c>
      <c r="C294" s="630"/>
      <c r="D294" s="630">
        <f t="shared" ref="D294:Q294" si="233">(1-D281)*D272</f>
        <v>46.281750000000017</v>
      </c>
      <c r="E294" s="630">
        <f t="shared" si="233"/>
        <v>96.015000000000072</v>
      </c>
      <c r="F294" s="630">
        <f t="shared" si="233"/>
        <v>62.346749999999886</v>
      </c>
      <c r="G294" s="630">
        <f t="shared" si="233"/>
        <v>99.802500000000038</v>
      </c>
      <c r="H294" s="630">
        <f t="shared" si="233"/>
        <v>131.15175000000002</v>
      </c>
      <c r="I294" s="630">
        <f t="shared" si="233"/>
        <v>147.88542262499996</v>
      </c>
      <c r="J294" s="630">
        <f t="shared" si="233"/>
        <v>155.36418750000001</v>
      </c>
      <c r="K294" s="630">
        <f t="shared" si="233"/>
        <v>160.15974</v>
      </c>
      <c r="L294" s="630">
        <f t="shared" si="233"/>
        <v>164.02595939999998</v>
      </c>
      <c r="M294" s="630">
        <f t="shared" si="233"/>
        <v>165.66621899399999</v>
      </c>
      <c r="N294" s="630">
        <f t="shared" si="233"/>
        <v>167.32288118393998</v>
      </c>
      <c r="O294" s="630">
        <f t="shared" si="233"/>
        <v>168.99610999577942</v>
      </c>
      <c r="P294" s="630">
        <f t="shared" si="233"/>
        <v>170.68607109573719</v>
      </c>
      <c r="Q294" s="630">
        <f t="shared" si="233"/>
        <v>172.39293180669455</v>
      </c>
    </row>
    <row r="295" spans="2:18" ht="15.75">
      <c r="B295" s="53" t="str">
        <f t="shared" si="227"/>
        <v>Chile</v>
      </c>
      <c r="C295" s="630"/>
      <c r="D295" s="630">
        <f>(1-D282)*Chile!E93</f>
        <v>122.40443896424169</v>
      </c>
      <c r="E295" s="630">
        <f>(1-E282)*Chile!F93</f>
        <v>146.49966818755163</v>
      </c>
      <c r="F295" s="630">
        <f>(1-F282)*Chile!G93</f>
        <v>138.22200000000001</v>
      </c>
      <c r="G295" s="630">
        <f>(1-G282)*Chile!H93</f>
        <v>96.909090909090892</v>
      </c>
      <c r="H295" s="630">
        <f>(1-H282)*Chile!I93</f>
        <v>42.403363994743785</v>
      </c>
      <c r="I295" s="630">
        <f>(1-I282)*Chile!J93</f>
        <v>-10.721649484536075</v>
      </c>
      <c r="J295" s="630">
        <f>(1-J282)*Chile!K93</f>
        <v>-17.984680851063828</v>
      </c>
      <c r="K295" s="630">
        <f>(1-K282)*Chile!L93</f>
        <v>1.9533989404677981</v>
      </c>
      <c r="L295" s="630">
        <f>(1-L282)*Chile!M93</f>
        <v>7.991750631716446</v>
      </c>
      <c r="M295" s="630">
        <f>(1-M282)*Chile!N93</f>
        <v>22.533611089837937</v>
      </c>
      <c r="N295" s="630">
        <f>(1-N282)*Chile!O93</f>
        <v>33.609998607973608</v>
      </c>
      <c r="O295" s="630">
        <f>(1-O282)*Chile!P93</f>
        <v>40.932250470313313</v>
      </c>
      <c r="P295" s="630">
        <f>(1-P282)*Chile!Q93</f>
        <v>46.403085381179551</v>
      </c>
      <c r="Q295" s="630">
        <f>(1-Q282)*Chile!R93</f>
        <v>47.600706209999267</v>
      </c>
    </row>
    <row r="296" spans="2:18" ht="15.75">
      <c r="B296" s="53" t="s">
        <v>469</v>
      </c>
      <c r="C296" s="630"/>
      <c r="D296" s="630"/>
      <c r="E296" s="630"/>
      <c r="F296" s="630"/>
      <c r="G296" s="630"/>
      <c r="H296" s="630"/>
      <c r="I296" s="630">
        <f>(1-I283)*'Puerto Rico'!J119</f>
        <v>196.11900000000006</v>
      </c>
      <c r="J296" s="630">
        <f>(1-J283)*'Puerto Rico'!K119</f>
        <v>167.89500000000001</v>
      </c>
      <c r="K296" s="630">
        <f>(1-K283)*'Puerto Rico'!L119</f>
        <v>75.161661120000005</v>
      </c>
      <c r="L296" s="630">
        <f>(1-L283)*'Puerto Rico'!M119</f>
        <v>169.53375163283999</v>
      </c>
      <c r="M296" s="630">
        <f>(1-M283)*'Puerto Rico'!N119</f>
        <v>197.57764692450573</v>
      </c>
      <c r="N296" s="630">
        <f>(1-N283)*'Puerto Rico'!O119</f>
        <v>207.97282645122738</v>
      </c>
      <c r="O296" s="630">
        <f>(1-O283)*'Puerto Rico'!P119</f>
        <v>218.11761592731901</v>
      </c>
      <c r="P296" s="630">
        <f>(1-P283)*'Puerto Rico'!Q119</f>
        <v>220.28508309491514</v>
      </c>
      <c r="Q296" s="630">
        <f>(1-Q283)*'Puerto Rico'!R119</f>
        <v>222.5003081084898</v>
      </c>
    </row>
    <row r="297" spans="2:18" ht="15.75">
      <c r="B297" s="53" t="str">
        <f>B310</f>
        <v>Costa Rica</v>
      </c>
      <c r="C297" s="630"/>
      <c r="D297" s="630">
        <f>(1-D284)*'Costa Rica'!C61</f>
        <v>8.2191780821917746</v>
      </c>
      <c r="E297" s="630">
        <f>(1-E284)*'Costa Rica'!D61</f>
        <v>11.146523167561984</v>
      </c>
      <c r="F297" s="630">
        <f>(1-F284)*'Costa Rica'!E61</f>
        <v>9.9540000000000024</v>
      </c>
      <c r="G297" s="630">
        <f>(1-G284)*'Costa Rica'!F61</f>
        <v>22.639272727272729</v>
      </c>
      <c r="H297" s="630">
        <f>(1-H284)*'Costa Rica'!G61</f>
        <v>20.725557526493439</v>
      </c>
      <c r="I297" s="630">
        <f>(1-I284)*'Costa Rica'!H61</f>
        <v>16.980699750393345</v>
      </c>
      <c r="J297" s="630">
        <f>(1-J284)*'Costa Rica'!I61</f>
        <v>27.398560722842465</v>
      </c>
      <c r="K297" s="630">
        <f>(1-K284)*'Costa Rica'!J250</f>
        <v>95.336635674506311</v>
      </c>
      <c r="L297" s="630">
        <f>(1-L284)*'Costa Rica'!K250</f>
        <v>98.958687938171948</v>
      </c>
      <c r="M297" s="630">
        <f>(1-M284)*'Costa Rica'!L250</f>
        <v>96.883321784515559</v>
      </c>
      <c r="N297" s="630">
        <f>(1-N284)*'Costa Rica'!M250</f>
        <v>99.255487765386917</v>
      </c>
      <c r="O297" s="630">
        <f>(1-O284)*'Costa Rica'!N250</f>
        <v>101.5463792397473</v>
      </c>
      <c r="P297" s="630">
        <f>(1-P284)*'Costa Rica'!O250</f>
        <v>103.87367771647286</v>
      </c>
      <c r="Q297" s="630">
        <f>(1-Q284)*'Costa Rica'!P250</f>
        <v>106.25156618674568</v>
      </c>
      <c r="R297" s="603"/>
    </row>
    <row r="298" spans="2:18" ht="15.75">
      <c r="B298" s="53" t="s">
        <v>6421</v>
      </c>
      <c r="C298" s="630"/>
      <c r="D298" s="630">
        <f>(1-D285)*Master!I149</f>
        <v>-18.825000000000003</v>
      </c>
      <c r="E298" s="630">
        <f>(1-E285)*Master!J149</f>
        <v>-46.650000000000006</v>
      </c>
      <c r="F298" s="630">
        <f>(1-F285)*Master!K149</f>
        <v>-52.724999999999994</v>
      </c>
      <c r="G298" s="630">
        <f>(1-G285)*Master!L149</f>
        <v>-46.353295454545503</v>
      </c>
      <c r="H298" s="630">
        <f>(1-H285)*Master!M149</f>
        <v>-66.300000000000011</v>
      </c>
      <c r="I298" s="764">
        <f>(1-I285)*Master!N149+(Master!N14*0.7)</f>
        <v>-156.70642262499979</v>
      </c>
      <c r="J298" s="764">
        <f>(1-J285)*Master!O149+(Master!O14*0.7)</f>
        <v>-145.02499999999998</v>
      </c>
      <c r="K298" s="764">
        <f>(1-K285)*Master!P149+(Master!P14*0.7)</f>
        <v>-134.25</v>
      </c>
      <c r="L298" s="764">
        <f>(1-L285)*Master!Q149+(Master!Q14*0.7)</f>
        <v>-137.75</v>
      </c>
      <c r="M298" s="764">
        <f>L298*0.9</f>
        <v>-123.97500000000001</v>
      </c>
      <c r="N298" s="764">
        <f>M298*0.9</f>
        <v>-111.57750000000001</v>
      </c>
      <c r="O298" s="764">
        <f>N298*0.9</f>
        <v>-100.41975000000002</v>
      </c>
      <c r="P298" s="764">
        <f>O298*0.9</f>
        <v>-90.377775000000028</v>
      </c>
      <c r="Q298" s="764">
        <f>P298*0.9</f>
        <v>-81.339997500000024</v>
      </c>
    </row>
    <row r="299" spans="2:18" ht="15.75">
      <c r="B299" s="53"/>
    </row>
    <row r="300" spans="2:18" ht="15.75">
      <c r="B300" s="70" t="s">
        <v>378</v>
      </c>
      <c r="C300" s="71" t="s">
        <v>379</v>
      </c>
      <c r="D300" s="71" t="s">
        <v>380</v>
      </c>
      <c r="E300" s="71" t="s">
        <v>381</v>
      </c>
      <c r="F300" s="71" t="s">
        <v>67</v>
      </c>
      <c r="G300" s="71" t="s">
        <v>382</v>
      </c>
      <c r="H300" s="71" t="s">
        <v>383</v>
      </c>
      <c r="I300" s="71" t="s">
        <v>384</v>
      </c>
      <c r="J300" s="71" t="s">
        <v>385</v>
      </c>
      <c r="K300" s="71" t="s">
        <v>386</v>
      </c>
      <c r="L300" s="71" t="s">
        <v>378</v>
      </c>
    </row>
    <row r="301" spans="2:18" ht="15.75">
      <c r="B301" s="53" t="str">
        <f>B3</f>
        <v>Jamaica</v>
      </c>
      <c r="C301" s="75">
        <v>7.0000000000000007E-2</v>
      </c>
      <c r="D301" s="75">
        <v>0.02</v>
      </c>
      <c r="E301" s="76">
        <f t="shared" ref="E301:E306" si="234">C301+D301</f>
        <v>9.0000000000000011E-2</v>
      </c>
      <c r="F301" s="76">
        <f t="shared" ref="F301:F311" si="235">F275</f>
        <v>0.3</v>
      </c>
      <c r="G301" s="48">
        <f t="shared" ref="G301:G311" si="236">E301*(1-F301)</f>
        <v>6.3E-2</v>
      </c>
      <c r="H301" s="1440">
        <v>0.04</v>
      </c>
      <c r="I301" s="1441">
        <v>1.2</v>
      </c>
      <c r="J301" s="76">
        <f t="shared" ref="J301:J306" si="237">C301+H301*I301</f>
        <v>0.11800000000000001</v>
      </c>
      <c r="K301" s="1440">
        <v>0.3</v>
      </c>
      <c r="L301" s="1442">
        <f t="shared" ref="L301:L306" si="238">G301*K301+J301*(1-K301)</f>
        <v>0.10150000000000001</v>
      </c>
    </row>
    <row r="302" spans="2:18" ht="15.75">
      <c r="B302" s="53" t="str">
        <f>B46</f>
        <v>Trinidad and Tobago</v>
      </c>
      <c r="C302" s="75">
        <v>0.05</v>
      </c>
      <c r="D302" s="75">
        <v>0.01</v>
      </c>
      <c r="E302" s="76">
        <f t="shared" si="234"/>
        <v>6.0000000000000005E-2</v>
      </c>
      <c r="F302" s="76">
        <f t="shared" si="235"/>
        <v>0.25</v>
      </c>
      <c r="G302" s="48">
        <f t="shared" si="236"/>
        <v>4.5000000000000005E-2</v>
      </c>
      <c r="H302" s="1440">
        <v>0.04</v>
      </c>
      <c r="I302" s="1441">
        <v>1.2</v>
      </c>
      <c r="J302" s="76">
        <f t="shared" si="237"/>
        <v>9.8000000000000004E-2</v>
      </c>
      <c r="K302" s="1440">
        <v>0.3</v>
      </c>
      <c r="L302" s="1442">
        <f t="shared" si="238"/>
        <v>8.2099999999999992E-2</v>
      </c>
    </row>
    <row r="303" spans="2:18" ht="15.75">
      <c r="B303" s="53" t="str">
        <f>B83</f>
        <v>Barbados</v>
      </c>
      <c r="C303" s="75">
        <v>0.05</v>
      </c>
      <c r="D303" s="75">
        <v>0.01</v>
      </c>
      <c r="E303" s="76">
        <f t="shared" si="234"/>
        <v>6.0000000000000005E-2</v>
      </c>
      <c r="F303" s="76">
        <f t="shared" si="235"/>
        <v>0.25</v>
      </c>
      <c r="G303" s="48">
        <f t="shared" si="236"/>
        <v>4.5000000000000005E-2</v>
      </c>
      <c r="H303" s="1440">
        <v>0.04</v>
      </c>
      <c r="I303" s="1441">
        <v>1.2</v>
      </c>
      <c r="J303" s="76">
        <f t="shared" si="237"/>
        <v>9.8000000000000004E-2</v>
      </c>
      <c r="K303" s="1440">
        <v>0.3</v>
      </c>
      <c r="L303" s="1442">
        <f t="shared" si="238"/>
        <v>8.2099999999999992E-2</v>
      </c>
    </row>
    <row r="304" spans="2:18" ht="15.75">
      <c r="B304" s="53" t="str">
        <f>B120</f>
        <v>Bahamas</v>
      </c>
      <c r="C304" s="75">
        <v>0.06</v>
      </c>
      <c r="D304" s="75">
        <v>0.01</v>
      </c>
      <c r="E304" s="76">
        <f t="shared" si="234"/>
        <v>6.9999999999999993E-2</v>
      </c>
      <c r="F304" s="76">
        <f t="shared" si="235"/>
        <v>0.1</v>
      </c>
      <c r="G304" s="48">
        <f t="shared" si="236"/>
        <v>6.3E-2</v>
      </c>
      <c r="H304" s="1440">
        <v>0.04</v>
      </c>
      <c r="I304" s="1441">
        <v>1.2</v>
      </c>
      <c r="J304" s="76">
        <f t="shared" si="237"/>
        <v>0.108</v>
      </c>
      <c r="K304" s="1440">
        <v>0.3</v>
      </c>
      <c r="L304" s="1442">
        <f t="shared" si="238"/>
        <v>9.4500000000000001E-2</v>
      </c>
    </row>
    <row r="305" spans="2:34" ht="15.75">
      <c r="B305" s="53" t="str">
        <f>B157</f>
        <v>Panama</v>
      </c>
      <c r="C305" s="75">
        <v>0.04</v>
      </c>
      <c r="D305" s="75">
        <v>0.02</v>
      </c>
      <c r="E305" s="76">
        <f t="shared" si="234"/>
        <v>0.06</v>
      </c>
      <c r="F305" s="76">
        <f t="shared" si="235"/>
        <v>0.25</v>
      </c>
      <c r="G305" s="48">
        <f t="shared" si="236"/>
        <v>4.4999999999999998E-2</v>
      </c>
      <c r="H305" s="1440">
        <v>0.04</v>
      </c>
      <c r="I305" s="1441">
        <v>1.2</v>
      </c>
      <c r="J305" s="76">
        <f t="shared" si="237"/>
        <v>8.7999999999999995E-2</v>
      </c>
      <c r="K305" s="1440">
        <v>0.3</v>
      </c>
      <c r="L305" s="1442">
        <f t="shared" si="238"/>
        <v>7.51E-2</v>
      </c>
    </row>
    <row r="306" spans="2:34" ht="15.75">
      <c r="B306" s="53" t="str">
        <f>B271</f>
        <v>Networks &amp; LatAm</v>
      </c>
      <c r="C306" s="75">
        <v>0.05</v>
      </c>
      <c r="D306" s="75">
        <v>0.01</v>
      </c>
      <c r="E306" s="76">
        <f t="shared" si="234"/>
        <v>6.0000000000000005E-2</v>
      </c>
      <c r="F306" s="76">
        <f t="shared" si="235"/>
        <v>0.28000000000000003</v>
      </c>
      <c r="G306" s="48">
        <f t="shared" si="236"/>
        <v>4.3200000000000002E-2</v>
      </c>
      <c r="H306" s="1440">
        <v>0.04</v>
      </c>
      <c r="I306" s="1441">
        <v>1.2</v>
      </c>
      <c r="J306" s="76">
        <f t="shared" si="237"/>
        <v>9.8000000000000004E-2</v>
      </c>
      <c r="K306" s="1440">
        <v>0.3</v>
      </c>
      <c r="L306" s="1442">
        <f t="shared" si="238"/>
        <v>8.1559999999999994E-2</v>
      </c>
    </row>
    <row r="307" spans="2:34" ht="15.75">
      <c r="B307" s="53" t="str">
        <f>B272</f>
        <v>Ventures/Other</v>
      </c>
      <c r="C307" s="75">
        <v>0.05</v>
      </c>
      <c r="D307" s="75">
        <v>0.01</v>
      </c>
      <c r="E307" s="76">
        <f>C307+D307</f>
        <v>6.0000000000000005E-2</v>
      </c>
      <c r="F307" s="76">
        <f t="shared" si="235"/>
        <v>0.25</v>
      </c>
      <c r="G307" s="48">
        <f t="shared" si="236"/>
        <v>4.5000000000000005E-2</v>
      </c>
      <c r="H307" s="1440">
        <v>0.04</v>
      </c>
      <c r="I307" s="1441">
        <v>1.2</v>
      </c>
      <c r="J307" s="76">
        <f>C307+H307*I307</f>
        <v>9.8000000000000004E-2</v>
      </c>
      <c r="K307" s="1440">
        <v>0.3</v>
      </c>
      <c r="L307" s="1442">
        <f>G307*K307+J307*(1-K307)</f>
        <v>8.2099999999999992E-2</v>
      </c>
    </row>
    <row r="308" spans="2:34" ht="15.75">
      <c r="B308" s="53" t="s">
        <v>468</v>
      </c>
      <c r="C308" s="75">
        <v>7.0000000000000007E-2</v>
      </c>
      <c r="D308" s="75">
        <v>0.01</v>
      </c>
      <c r="E308" s="76">
        <f>C308+D308</f>
        <v>0.08</v>
      </c>
      <c r="F308" s="76">
        <f t="shared" si="235"/>
        <v>0.28000000000000003</v>
      </c>
      <c r="G308" s="48">
        <f t="shared" si="236"/>
        <v>5.7599999999999998E-2</v>
      </c>
      <c r="H308" s="1440">
        <v>0.04</v>
      </c>
      <c r="I308" s="1441">
        <v>1.2</v>
      </c>
      <c r="J308" s="76">
        <f>C308+H308*I308</f>
        <v>0.11800000000000001</v>
      </c>
      <c r="K308" s="1440">
        <v>0.3</v>
      </c>
      <c r="L308" s="1442">
        <f>G308*K308+J308*(1-K308)</f>
        <v>9.988000000000001E-2</v>
      </c>
    </row>
    <row r="309" spans="2:34" ht="15.75">
      <c r="B309" s="53" t="s">
        <v>4497</v>
      </c>
      <c r="C309" s="75">
        <v>4.4999999999999998E-2</v>
      </c>
      <c r="D309" s="75">
        <v>0.01</v>
      </c>
      <c r="E309" s="76">
        <f>C309+D309</f>
        <v>5.5E-2</v>
      </c>
      <c r="F309" s="76">
        <f t="shared" si="235"/>
        <v>0.37</v>
      </c>
      <c r="G309" s="48">
        <f t="shared" si="236"/>
        <v>3.465E-2</v>
      </c>
      <c r="H309" s="1440">
        <v>0.04</v>
      </c>
      <c r="I309" s="1441">
        <v>1.2</v>
      </c>
      <c r="J309" s="76">
        <f>C309+H309*I309</f>
        <v>9.2999999999999999E-2</v>
      </c>
      <c r="K309" s="1440">
        <v>0.3</v>
      </c>
      <c r="L309" s="1442">
        <f>G309*K309+J309*(1-K309)</f>
        <v>7.5494999999999993E-2</v>
      </c>
    </row>
    <row r="310" spans="2:34" ht="15.75">
      <c r="B310" s="53" t="s">
        <v>3411</v>
      </c>
      <c r="C310" s="75">
        <v>0.05</v>
      </c>
      <c r="D310" s="75">
        <v>0.01</v>
      </c>
      <c r="E310" s="76">
        <f>C310+D310</f>
        <v>6.0000000000000005E-2</v>
      </c>
      <c r="F310" s="76">
        <f t="shared" si="235"/>
        <v>0.28000000000000003</v>
      </c>
      <c r="G310" s="48">
        <f t="shared" si="236"/>
        <v>4.3200000000000002E-2</v>
      </c>
      <c r="H310" s="1440">
        <v>0.04</v>
      </c>
      <c r="I310" s="1441">
        <v>1.2</v>
      </c>
      <c r="J310" s="76">
        <f>C310+H310*I310</f>
        <v>9.8000000000000004E-2</v>
      </c>
      <c r="K310" s="1440">
        <v>0.3</v>
      </c>
      <c r="L310" s="1442">
        <f>G310*K310+J310*(1-K310)</f>
        <v>8.1559999999999994E-2</v>
      </c>
    </row>
    <row r="311" spans="2:34" ht="15.75">
      <c r="B311" s="53" t="s">
        <v>4</v>
      </c>
      <c r="C311" s="75">
        <v>0.05</v>
      </c>
      <c r="D311" s="75">
        <v>0.01</v>
      </c>
      <c r="E311" s="76">
        <f>C311+D311</f>
        <v>6.0000000000000005E-2</v>
      </c>
      <c r="F311" s="76">
        <f t="shared" si="235"/>
        <v>0.25</v>
      </c>
      <c r="G311" s="48">
        <f t="shared" si="236"/>
        <v>4.5000000000000005E-2</v>
      </c>
      <c r="H311" s="1440">
        <v>0.04</v>
      </c>
      <c r="I311" s="1441">
        <v>1.2</v>
      </c>
      <c r="J311" s="76">
        <f>C311+H311*I311</f>
        <v>9.8000000000000004E-2</v>
      </c>
      <c r="K311" s="1440">
        <v>0.3</v>
      </c>
      <c r="L311" s="1442">
        <f>G311*K311+J311*(1-K311)</f>
        <v>8.2099999999999992E-2</v>
      </c>
    </row>
    <row r="312" spans="2:34" ht="15.75">
      <c r="F312" s="76"/>
    </row>
    <row r="313" spans="2:34" ht="15.75">
      <c r="B313" s="70" t="s">
        <v>331</v>
      </c>
      <c r="C313" s="71" t="s">
        <v>387</v>
      </c>
      <c r="D313" s="71" t="s">
        <v>388</v>
      </c>
      <c r="E313" s="71" t="s">
        <v>389</v>
      </c>
      <c r="F313" s="71" t="s">
        <v>390</v>
      </c>
      <c r="G313" s="71" t="s">
        <v>331</v>
      </c>
      <c r="H313" s="77"/>
      <c r="I313" s="77"/>
      <c r="J313" s="77"/>
      <c r="K313" s="74"/>
      <c r="L313" s="53"/>
    </row>
    <row r="314" spans="2:34" ht="15.75">
      <c r="B314" s="53" t="str">
        <f t="shared" ref="B314:B321" si="239">B301</f>
        <v>Jamaica</v>
      </c>
      <c r="C314" s="1861">
        <f t="shared" ref="C314:C324" si="240">NPV($L301,M288:Q288)</f>
        <v>440.06337437954352</v>
      </c>
      <c r="D314" s="75">
        <v>0</v>
      </c>
      <c r="E314" s="28">
        <f>Q288/(L301-D314)</f>
        <v>1298.3827442093391</v>
      </c>
      <c r="F314" s="28">
        <f t="shared" ref="F314:F324" si="241">E314/((1+L301)^5)</f>
        <v>800.71917274288694</v>
      </c>
      <c r="G314" s="73">
        <f>F314+C314</f>
        <v>1240.7825471224305</v>
      </c>
      <c r="H314" s="72"/>
      <c r="I314" s="73">
        <v>1257.3892302885463</v>
      </c>
      <c r="J314" s="73"/>
      <c r="K314" s="74"/>
      <c r="L314" s="53"/>
    </row>
    <row r="315" spans="2:34" ht="15.75">
      <c r="B315" s="53" t="str">
        <f t="shared" si="239"/>
        <v>Trinidad and Tobago</v>
      </c>
      <c r="C315" s="1861">
        <f t="shared" si="240"/>
        <v>117.85408586732046</v>
      </c>
      <c r="D315" s="75">
        <v>0</v>
      </c>
      <c r="E315" s="28">
        <f t="shared" ref="E315:E324" si="242">Q289/(L302-D315)</f>
        <v>379.61462805404136</v>
      </c>
      <c r="F315" s="28">
        <f t="shared" si="241"/>
        <v>255.86209641534816</v>
      </c>
      <c r="G315" s="73">
        <f t="shared" ref="G315:G324" si="243">F315+C315</f>
        <v>373.71618228266863</v>
      </c>
      <c r="H315" s="72"/>
      <c r="I315" s="73">
        <v>344.44212513011729</v>
      </c>
      <c r="J315" s="73"/>
      <c r="K315" s="74"/>
      <c r="L315" s="53"/>
    </row>
    <row r="316" spans="2:34" ht="15.75">
      <c r="B316" s="53" t="str">
        <f t="shared" si="239"/>
        <v>Barbados</v>
      </c>
      <c r="C316" s="28">
        <f t="shared" si="240"/>
        <v>119.17167973262187</v>
      </c>
      <c r="D316" s="75">
        <v>0</v>
      </c>
      <c r="E316" s="28">
        <f t="shared" si="242"/>
        <v>365.56272649318311</v>
      </c>
      <c r="F316" s="28">
        <f t="shared" si="241"/>
        <v>246.39104676056121</v>
      </c>
      <c r="G316" s="73">
        <f t="shared" si="243"/>
        <v>365.56272649318305</v>
      </c>
      <c r="H316" s="72"/>
      <c r="I316" s="73">
        <v>401.45824348993403</v>
      </c>
      <c r="J316" s="73"/>
      <c r="K316" s="74"/>
      <c r="L316" s="53"/>
    </row>
    <row r="317" spans="2:34" ht="15.75">
      <c r="B317" s="53" t="str">
        <f t="shared" si="239"/>
        <v>Bahamas</v>
      </c>
      <c r="C317" s="28">
        <f t="shared" si="240"/>
        <v>187.86014596808525</v>
      </c>
      <c r="D317" s="75">
        <v>0</v>
      </c>
      <c r="E317" s="28">
        <f t="shared" si="242"/>
        <v>543.54345305062748</v>
      </c>
      <c r="F317" s="28">
        <f t="shared" si="241"/>
        <v>346.06321610560514</v>
      </c>
      <c r="G317" s="73">
        <f t="shared" si="243"/>
        <v>533.92336207369044</v>
      </c>
      <c r="H317" s="72"/>
      <c r="I317" s="73">
        <v>600.2618301231214</v>
      </c>
      <c r="J317" s="73"/>
      <c r="K317" s="74"/>
      <c r="L317" s="53"/>
    </row>
    <row r="318" spans="2:34" ht="15.75">
      <c r="B318" s="53" t="str">
        <f t="shared" si="239"/>
        <v>Panama</v>
      </c>
      <c r="C318" s="28">
        <f t="shared" si="240"/>
        <v>346.04346421254621</v>
      </c>
      <c r="D318" s="75">
        <v>0</v>
      </c>
      <c r="E318" s="28">
        <f t="shared" si="242"/>
        <v>1168.5828111472542</v>
      </c>
      <c r="F318" s="28">
        <f t="shared" si="241"/>
        <v>813.60795200662778</v>
      </c>
      <c r="G318" s="73">
        <f t="shared" si="243"/>
        <v>1159.6514162191741</v>
      </c>
      <c r="I318" s="73">
        <v>1376.8190089332777</v>
      </c>
      <c r="X318" s="1432"/>
      <c r="Y318" s="1432"/>
      <c r="Z318" s="1432"/>
      <c r="AA318" s="1432"/>
      <c r="AB318" s="1432"/>
      <c r="AC318" s="1432"/>
      <c r="AD318" s="1432"/>
      <c r="AE318" s="1432"/>
      <c r="AF318" s="1432"/>
      <c r="AG318" s="1432"/>
      <c r="AH318" s="1432"/>
    </row>
    <row r="319" spans="2:34" ht="15.75">
      <c r="B319" s="53" t="str">
        <f t="shared" si="239"/>
        <v>Networks &amp; LatAm</v>
      </c>
      <c r="C319" s="28">
        <f t="shared" si="240"/>
        <v>409.97225491902651</v>
      </c>
      <c r="D319" s="75">
        <v>0.01</v>
      </c>
      <c r="E319" s="28">
        <f t="shared" si="242"/>
        <v>1557.2749936597968</v>
      </c>
      <c r="F319" s="28">
        <f t="shared" si="241"/>
        <v>1052.2337421830291</v>
      </c>
      <c r="G319" s="73">
        <f t="shared" si="243"/>
        <v>1462.2059971020556</v>
      </c>
      <c r="I319" s="73">
        <v>1475.9825914706457</v>
      </c>
    </row>
    <row r="320" spans="2:34" ht="15.75">
      <c r="B320" s="53" t="str">
        <f t="shared" si="239"/>
        <v>Ventures/Other</v>
      </c>
      <c r="C320" s="28">
        <f t="shared" si="240"/>
        <v>670.05009673816869</v>
      </c>
      <c r="D320" s="75">
        <v>0</v>
      </c>
      <c r="E320" s="28">
        <f t="shared" si="242"/>
        <v>2099.7921048318462</v>
      </c>
      <c r="F320" s="28">
        <f t="shared" si="241"/>
        <v>1415.2700403899862</v>
      </c>
      <c r="G320" s="73">
        <f t="shared" si="243"/>
        <v>2085.3201371281548</v>
      </c>
      <c r="I320" s="73">
        <v>2142.8809859666731</v>
      </c>
    </row>
    <row r="321" spans="2:7" ht="15.75">
      <c r="B321" s="53" t="str">
        <f t="shared" si="239"/>
        <v>Chile</v>
      </c>
      <c r="C321" s="28">
        <f t="shared" si="240"/>
        <v>140.3135140611025</v>
      </c>
      <c r="D321" s="75">
        <v>0</v>
      </c>
      <c r="E321" s="28">
        <f t="shared" si="242"/>
        <v>476.57895684821045</v>
      </c>
      <c r="F321" s="28">
        <f t="shared" si="241"/>
        <v>296.0794991048819</v>
      </c>
      <c r="G321" s="73">
        <f t="shared" si="243"/>
        <v>436.39301316598437</v>
      </c>
    </row>
    <row r="322" spans="2:7" ht="15.75">
      <c r="B322" s="53" t="str">
        <f>B296</f>
        <v>Puerto Rico</v>
      </c>
      <c r="C322" s="28">
        <f t="shared" si="240"/>
        <v>858.11667996745166</v>
      </c>
      <c r="D322" s="75">
        <v>1E-3</v>
      </c>
      <c r="E322" s="28">
        <f t="shared" si="242"/>
        <v>2986.7817720449671</v>
      </c>
      <c r="F322" s="28">
        <f t="shared" si="241"/>
        <v>2075.6853197895994</v>
      </c>
      <c r="G322" s="73">
        <f t="shared" si="243"/>
        <v>2933.8019997570509</v>
      </c>
    </row>
    <row r="323" spans="2:7" ht="15.75">
      <c r="B323" s="53" t="str">
        <f>B310</f>
        <v>Costa Rica</v>
      </c>
      <c r="C323" s="28">
        <f t="shared" si="240"/>
        <v>402.39388865411229</v>
      </c>
      <c r="D323" s="75">
        <v>0</v>
      </c>
      <c r="E323" s="28">
        <f t="shared" si="242"/>
        <v>1302.741125389231</v>
      </c>
      <c r="F323" s="28">
        <f t="shared" si="241"/>
        <v>880.24798127818929</v>
      </c>
      <c r="G323" s="73">
        <f t="shared" si="243"/>
        <v>1282.6418699323017</v>
      </c>
    </row>
    <row r="324" spans="2:7" ht="15.75">
      <c r="B324" s="53" t="str">
        <f>B311</f>
        <v>Other</v>
      </c>
      <c r="C324" s="28">
        <f t="shared" si="240"/>
        <v>-409.8506493323178</v>
      </c>
      <c r="D324" s="75">
        <v>-0.01</v>
      </c>
      <c r="E324" s="28">
        <f t="shared" si="242"/>
        <v>-883.17043973941406</v>
      </c>
      <c r="F324" s="28">
        <f t="shared" si="241"/>
        <v>-595.26115039914282</v>
      </c>
      <c r="G324" s="73">
        <f t="shared" si="243"/>
        <v>-1005.1117997314607</v>
      </c>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41"/>
  <sheetViews>
    <sheetView topLeftCell="B411" zoomScale="70" zoomScaleNormal="70" workbookViewId="0">
      <selection activeCell="Q442" sqref="Q442"/>
    </sheetView>
  </sheetViews>
  <sheetFormatPr defaultRowHeight="15" outlineLevelRow="1" outlineLevelCol="1"/>
  <cols>
    <col min="1" max="1" width="7.140625" style="17" bestFit="1" customWidth="1"/>
    <col min="2" max="2" width="53.140625" style="17" bestFit="1" customWidth="1"/>
    <col min="3" max="6" width="10" style="17" hidden="1" customWidth="1" outlineLevel="1"/>
    <col min="7" max="7" width="10.42578125" style="17" hidden="1" customWidth="1" outlineLevel="1"/>
    <col min="8" max="8" width="11" style="17" hidden="1" customWidth="1" outlineLevel="1"/>
    <col min="9" max="9" width="11" style="17" customWidth="1" collapsed="1"/>
    <col min="10" max="10" width="11.42578125" style="17" customWidth="1"/>
    <col min="11" max="18" width="11.42578125" style="17" bestFit="1" customWidth="1"/>
    <col min="19" max="22" width="11.42578125" style="17" customWidth="1"/>
    <col min="23" max="26" width="9.140625" style="17"/>
    <col min="27" max="27" width="9.85546875" style="17" bestFit="1" customWidth="1"/>
    <col min="28" max="256" width="9.140625" style="17"/>
    <col min="257" max="257" width="34.7109375" style="17" customWidth="1"/>
    <col min="258" max="258" width="9.140625" style="17"/>
    <col min="259" max="273" width="9.5703125" style="17" customWidth="1"/>
    <col min="274" max="274" width="9.140625" style="17"/>
    <col min="275" max="275" width="9.85546875" style="17" bestFit="1" customWidth="1"/>
    <col min="276" max="276" width="9.140625" style="17"/>
    <col min="277" max="277" width="9.85546875" style="17" bestFit="1" customWidth="1"/>
    <col min="278" max="512" width="9.140625" style="17"/>
    <col min="513" max="513" width="34.7109375" style="17" customWidth="1"/>
    <col min="514" max="514" width="9.140625" style="17"/>
    <col min="515" max="529" width="9.5703125" style="17" customWidth="1"/>
    <col min="530" max="530" width="9.140625" style="17"/>
    <col min="531" max="531" width="9.85546875" style="17" bestFit="1" customWidth="1"/>
    <col min="532" max="532" width="9.140625" style="17"/>
    <col min="533" max="533" width="9.85546875" style="17" bestFit="1" customWidth="1"/>
    <col min="534" max="768" width="9.140625" style="17"/>
    <col min="769" max="769" width="34.7109375" style="17" customWidth="1"/>
    <col min="770" max="770" width="9.140625" style="17"/>
    <col min="771" max="785" width="9.5703125" style="17" customWidth="1"/>
    <col min="786" max="786" width="9.140625" style="17"/>
    <col min="787" max="787" width="9.85546875" style="17" bestFit="1" customWidth="1"/>
    <col min="788" max="788" width="9.140625" style="17"/>
    <col min="789" max="789" width="9.85546875" style="17" bestFit="1" customWidth="1"/>
    <col min="790" max="1024" width="9.140625" style="17"/>
    <col min="1025" max="1025" width="34.7109375" style="17" customWidth="1"/>
    <col min="1026" max="1026" width="9.140625" style="17"/>
    <col min="1027" max="1041" width="9.5703125" style="17" customWidth="1"/>
    <col min="1042" max="1042" width="9.140625" style="17"/>
    <col min="1043" max="1043" width="9.85546875" style="17" bestFit="1" customWidth="1"/>
    <col min="1044" max="1044" width="9.140625" style="17"/>
    <col min="1045" max="1045" width="9.85546875" style="17" bestFit="1" customWidth="1"/>
    <col min="1046" max="1280" width="9.140625" style="17"/>
    <col min="1281" max="1281" width="34.7109375" style="17" customWidth="1"/>
    <col min="1282" max="1282" width="9.140625" style="17"/>
    <col min="1283" max="1297" width="9.5703125" style="17" customWidth="1"/>
    <col min="1298" max="1298" width="9.140625" style="17"/>
    <col min="1299" max="1299" width="9.85546875" style="17" bestFit="1" customWidth="1"/>
    <col min="1300" max="1300" width="9.140625" style="17"/>
    <col min="1301" max="1301" width="9.85546875" style="17" bestFit="1" customWidth="1"/>
    <col min="1302" max="1536" width="9.140625" style="17"/>
    <col min="1537" max="1537" width="34.7109375" style="17" customWidth="1"/>
    <col min="1538" max="1538" width="9.140625" style="17"/>
    <col min="1539" max="1553" width="9.5703125" style="17" customWidth="1"/>
    <col min="1554" max="1554" width="9.140625" style="17"/>
    <col min="1555" max="1555" width="9.85546875" style="17" bestFit="1" customWidth="1"/>
    <col min="1556" max="1556" width="9.140625" style="17"/>
    <col min="1557" max="1557" width="9.85546875" style="17" bestFit="1" customWidth="1"/>
    <col min="1558" max="1792" width="9.140625" style="17"/>
    <col min="1793" max="1793" width="34.7109375" style="17" customWidth="1"/>
    <col min="1794" max="1794" width="9.140625" style="17"/>
    <col min="1795" max="1809" width="9.5703125" style="17" customWidth="1"/>
    <col min="1810" max="1810" width="9.140625" style="17"/>
    <col min="1811" max="1811" width="9.85546875" style="17" bestFit="1" customWidth="1"/>
    <col min="1812" max="1812" width="9.140625" style="17"/>
    <col min="1813" max="1813" width="9.85546875" style="17" bestFit="1" customWidth="1"/>
    <col min="1814" max="2048" width="9.140625" style="17"/>
    <col min="2049" max="2049" width="34.7109375" style="17" customWidth="1"/>
    <col min="2050" max="2050" width="9.140625" style="17"/>
    <col min="2051" max="2065" width="9.5703125" style="17" customWidth="1"/>
    <col min="2066" max="2066" width="9.140625" style="17"/>
    <col min="2067" max="2067" width="9.85546875" style="17" bestFit="1" customWidth="1"/>
    <col min="2068" max="2068" width="9.140625" style="17"/>
    <col min="2069" max="2069" width="9.85546875" style="17" bestFit="1" customWidth="1"/>
    <col min="2070" max="2304" width="9.140625" style="17"/>
    <col min="2305" max="2305" width="34.7109375" style="17" customWidth="1"/>
    <col min="2306" max="2306" width="9.140625" style="17"/>
    <col min="2307" max="2321" width="9.5703125" style="17" customWidth="1"/>
    <col min="2322" max="2322" width="9.140625" style="17"/>
    <col min="2323" max="2323" width="9.85546875" style="17" bestFit="1" customWidth="1"/>
    <col min="2324" max="2324" width="9.140625" style="17"/>
    <col min="2325" max="2325" width="9.85546875" style="17" bestFit="1" customWidth="1"/>
    <col min="2326" max="2560" width="9.140625" style="17"/>
    <col min="2561" max="2561" width="34.7109375" style="17" customWidth="1"/>
    <col min="2562" max="2562" width="9.140625" style="17"/>
    <col min="2563" max="2577" width="9.5703125" style="17" customWidth="1"/>
    <col min="2578" max="2578" width="9.140625" style="17"/>
    <col min="2579" max="2579" width="9.85546875" style="17" bestFit="1" customWidth="1"/>
    <col min="2580" max="2580" width="9.140625" style="17"/>
    <col min="2581" max="2581" width="9.85546875" style="17" bestFit="1" customWidth="1"/>
    <col min="2582" max="2816" width="9.140625" style="17"/>
    <col min="2817" max="2817" width="34.7109375" style="17" customWidth="1"/>
    <col min="2818" max="2818" width="9.140625" style="17"/>
    <col min="2819" max="2833" width="9.5703125" style="17" customWidth="1"/>
    <col min="2834" max="2834" width="9.140625" style="17"/>
    <col min="2835" max="2835" width="9.85546875" style="17" bestFit="1" customWidth="1"/>
    <col min="2836" max="2836" width="9.140625" style="17"/>
    <col min="2837" max="2837" width="9.85546875" style="17" bestFit="1" customWidth="1"/>
    <col min="2838" max="3072" width="9.140625" style="17"/>
    <col min="3073" max="3073" width="34.7109375" style="17" customWidth="1"/>
    <col min="3074" max="3074" width="9.140625" style="17"/>
    <col min="3075" max="3089" width="9.5703125" style="17" customWidth="1"/>
    <col min="3090" max="3090" width="9.140625" style="17"/>
    <col min="3091" max="3091" width="9.85546875" style="17" bestFit="1" customWidth="1"/>
    <col min="3092" max="3092" width="9.140625" style="17"/>
    <col min="3093" max="3093" width="9.85546875" style="17" bestFit="1" customWidth="1"/>
    <col min="3094" max="3328" width="9.140625" style="17"/>
    <col min="3329" max="3329" width="34.7109375" style="17" customWidth="1"/>
    <col min="3330" max="3330" width="9.140625" style="17"/>
    <col min="3331" max="3345" width="9.5703125" style="17" customWidth="1"/>
    <col min="3346" max="3346" width="9.140625" style="17"/>
    <col min="3347" max="3347" width="9.85546875" style="17" bestFit="1" customWidth="1"/>
    <col min="3348" max="3348" width="9.140625" style="17"/>
    <col min="3349" max="3349" width="9.85546875" style="17" bestFit="1" customWidth="1"/>
    <col min="3350" max="3584" width="9.140625" style="17"/>
    <col min="3585" max="3585" width="34.7109375" style="17" customWidth="1"/>
    <col min="3586" max="3586" width="9.140625" style="17"/>
    <col min="3587" max="3601" width="9.5703125" style="17" customWidth="1"/>
    <col min="3602" max="3602" width="9.140625" style="17"/>
    <col min="3603" max="3603" width="9.85546875" style="17" bestFit="1" customWidth="1"/>
    <col min="3604" max="3604" width="9.140625" style="17"/>
    <col min="3605" max="3605" width="9.85546875" style="17" bestFit="1" customWidth="1"/>
    <col min="3606" max="3840" width="9.140625" style="17"/>
    <col min="3841" max="3841" width="34.7109375" style="17" customWidth="1"/>
    <col min="3842" max="3842" width="9.140625" style="17"/>
    <col min="3843" max="3857" width="9.5703125" style="17" customWidth="1"/>
    <col min="3858" max="3858" width="9.140625" style="17"/>
    <col min="3859" max="3859" width="9.85546875" style="17" bestFit="1" customWidth="1"/>
    <col min="3860" max="3860" width="9.140625" style="17"/>
    <col min="3861" max="3861" width="9.85546875" style="17" bestFit="1" customWidth="1"/>
    <col min="3862" max="4096" width="9.140625" style="17"/>
    <col min="4097" max="4097" width="34.7109375" style="17" customWidth="1"/>
    <col min="4098" max="4098" width="9.140625" style="17"/>
    <col min="4099" max="4113" width="9.5703125" style="17" customWidth="1"/>
    <col min="4114" max="4114" width="9.140625" style="17"/>
    <col min="4115" max="4115" width="9.85546875" style="17" bestFit="1" customWidth="1"/>
    <col min="4116" max="4116" width="9.140625" style="17"/>
    <col min="4117" max="4117" width="9.85546875" style="17" bestFit="1" customWidth="1"/>
    <col min="4118" max="4352" width="9.140625" style="17"/>
    <col min="4353" max="4353" width="34.7109375" style="17" customWidth="1"/>
    <col min="4354" max="4354" width="9.140625" style="17"/>
    <col min="4355" max="4369" width="9.5703125" style="17" customWidth="1"/>
    <col min="4370" max="4370" width="9.140625" style="17"/>
    <col min="4371" max="4371" width="9.85546875" style="17" bestFit="1" customWidth="1"/>
    <col min="4372" max="4372" width="9.140625" style="17"/>
    <col min="4373" max="4373" width="9.85546875" style="17" bestFit="1" customWidth="1"/>
    <col min="4374" max="4608" width="9.140625" style="17"/>
    <col min="4609" max="4609" width="34.7109375" style="17" customWidth="1"/>
    <col min="4610" max="4610" width="9.140625" style="17"/>
    <col min="4611" max="4625" width="9.5703125" style="17" customWidth="1"/>
    <col min="4626" max="4626" width="9.140625" style="17"/>
    <col min="4627" max="4627" width="9.85546875" style="17" bestFit="1" customWidth="1"/>
    <col min="4628" max="4628" width="9.140625" style="17"/>
    <col min="4629" max="4629" width="9.85546875" style="17" bestFit="1" customWidth="1"/>
    <col min="4630" max="4864" width="9.140625" style="17"/>
    <col min="4865" max="4865" width="34.7109375" style="17" customWidth="1"/>
    <col min="4866" max="4866" width="9.140625" style="17"/>
    <col min="4867" max="4881" width="9.5703125" style="17" customWidth="1"/>
    <col min="4882" max="4882" width="9.140625" style="17"/>
    <col min="4883" max="4883" width="9.85546875" style="17" bestFit="1" customWidth="1"/>
    <col min="4884" max="4884" width="9.140625" style="17"/>
    <col min="4885" max="4885" width="9.85546875" style="17" bestFit="1" customWidth="1"/>
    <col min="4886" max="5120" width="9.140625" style="17"/>
    <col min="5121" max="5121" width="34.7109375" style="17" customWidth="1"/>
    <col min="5122" max="5122" width="9.140625" style="17"/>
    <col min="5123" max="5137" width="9.5703125" style="17" customWidth="1"/>
    <col min="5138" max="5138" width="9.140625" style="17"/>
    <col min="5139" max="5139" width="9.85546875" style="17" bestFit="1" customWidth="1"/>
    <col min="5140" max="5140" width="9.140625" style="17"/>
    <col min="5141" max="5141" width="9.85546875" style="17" bestFit="1" customWidth="1"/>
    <col min="5142" max="5376" width="9.140625" style="17"/>
    <col min="5377" max="5377" width="34.7109375" style="17" customWidth="1"/>
    <col min="5378" max="5378" width="9.140625" style="17"/>
    <col min="5379" max="5393" width="9.5703125" style="17" customWidth="1"/>
    <col min="5394" max="5394" width="9.140625" style="17"/>
    <col min="5395" max="5395" width="9.85546875" style="17" bestFit="1" customWidth="1"/>
    <col min="5396" max="5396" width="9.140625" style="17"/>
    <col min="5397" max="5397" width="9.85546875" style="17" bestFit="1" customWidth="1"/>
    <col min="5398" max="5632" width="9.140625" style="17"/>
    <col min="5633" max="5633" width="34.7109375" style="17" customWidth="1"/>
    <col min="5634" max="5634" width="9.140625" style="17"/>
    <col min="5635" max="5649" width="9.5703125" style="17" customWidth="1"/>
    <col min="5650" max="5650" width="9.140625" style="17"/>
    <col min="5651" max="5651" width="9.85546875" style="17" bestFit="1" customWidth="1"/>
    <col min="5652" max="5652" width="9.140625" style="17"/>
    <col min="5653" max="5653" width="9.85546875" style="17" bestFit="1" customWidth="1"/>
    <col min="5654" max="5888" width="9.140625" style="17"/>
    <col min="5889" max="5889" width="34.7109375" style="17" customWidth="1"/>
    <col min="5890" max="5890" width="9.140625" style="17"/>
    <col min="5891" max="5905" width="9.5703125" style="17" customWidth="1"/>
    <col min="5906" max="5906" width="9.140625" style="17"/>
    <col min="5907" max="5907" width="9.85546875" style="17" bestFit="1" customWidth="1"/>
    <col min="5908" max="5908" width="9.140625" style="17"/>
    <col min="5909" max="5909" width="9.85546875" style="17" bestFit="1" customWidth="1"/>
    <col min="5910" max="6144" width="9.140625" style="17"/>
    <col min="6145" max="6145" width="34.7109375" style="17" customWidth="1"/>
    <col min="6146" max="6146" width="9.140625" style="17"/>
    <col min="6147" max="6161" width="9.5703125" style="17" customWidth="1"/>
    <col min="6162" max="6162" width="9.140625" style="17"/>
    <col min="6163" max="6163" width="9.85546875" style="17" bestFit="1" customWidth="1"/>
    <col min="6164" max="6164" width="9.140625" style="17"/>
    <col min="6165" max="6165" width="9.85546875" style="17" bestFit="1" customWidth="1"/>
    <col min="6166" max="6400" width="9.140625" style="17"/>
    <col min="6401" max="6401" width="34.7109375" style="17" customWidth="1"/>
    <col min="6402" max="6402" width="9.140625" style="17"/>
    <col min="6403" max="6417" width="9.5703125" style="17" customWidth="1"/>
    <col min="6418" max="6418" width="9.140625" style="17"/>
    <col min="6419" max="6419" width="9.85546875" style="17" bestFit="1" customWidth="1"/>
    <col min="6420" max="6420" width="9.140625" style="17"/>
    <col min="6421" max="6421" width="9.85546875" style="17" bestFit="1" customWidth="1"/>
    <col min="6422" max="6656" width="9.140625" style="17"/>
    <col min="6657" max="6657" width="34.7109375" style="17" customWidth="1"/>
    <col min="6658" max="6658" width="9.140625" style="17"/>
    <col min="6659" max="6673" width="9.5703125" style="17" customWidth="1"/>
    <col min="6674" max="6674" width="9.140625" style="17"/>
    <col min="6675" max="6675" width="9.85546875" style="17" bestFit="1" customWidth="1"/>
    <col min="6676" max="6676" width="9.140625" style="17"/>
    <col min="6677" max="6677" width="9.85546875" style="17" bestFit="1" customWidth="1"/>
    <col min="6678" max="6912" width="9.140625" style="17"/>
    <col min="6913" max="6913" width="34.7109375" style="17" customWidth="1"/>
    <col min="6914" max="6914" width="9.140625" style="17"/>
    <col min="6915" max="6929" width="9.5703125" style="17" customWidth="1"/>
    <col min="6930" max="6930" width="9.140625" style="17"/>
    <col min="6931" max="6931" width="9.85546875" style="17" bestFit="1" customWidth="1"/>
    <col min="6932" max="6932" width="9.140625" style="17"/>
    <col min="6933" max="6933" width="9.85546875" style="17" bestFit="1" customWidth="1"/>
    <col min="6934" max="7168" width="9.140625" style="17"/>
    <col min="7169" max="7169" width="34.7109375" style="17" customWidth="1"/>
    <col min="7170" max="7170" width="9.140625" style="17"/>
    <col min="7171" max="7185" width="9.5703125" style="17" customWidth="1"/>
    <col min="7186" max="7186" width="9.140625" style="17"/>
    <col min="7187" max="7187" width="9.85546875" style="17" bestFit="1" customWidth="1"/>
    <col min="7188" max="7188" width="9.140625" style="17"/>
    <col min="7189" max="7189" width="9.85546875" style="17" bestFit="1" customWidth="1"/>
    <col min="7190" max="7424" width="9.140625" style="17"/>
    <col min="7425" max="7425" width="34.7109375" style="17" customWidth="1"/>
    <col min="7426" max="7426" width="9.140625" style="17"/>
    <col min="7427" max="7441" width="9.5703125" style="17" customWidth="1"/>
    <col min="7442" max="7442" width="9.140625" style="17"/>
    <col min="7443" max="7443" width="9.85546875" style="17" bestFit="1" customWidth="1"/>
    <col min="7444" max="7444" width="9.140625" style="17"/>
    <col min="7445" max="7445" width="9.85546875" style="17" bestFit="1" customWidth="1"/>
    <col min="7446" max="7680" width="9.140625" style="17"/>
    <col min="7681" max="7681" width="34.7109375" style="17" customWidth="1"/>
    <col min="7682" max="7682" width="9.140625" style="17"/>
    <col min="7683" max="7697" width="9.5703125" style="17" customWidth="1"/>
    <col min="7698" max="7698" width="9.140625" style="17"/>
    <col min="7699" max="7699" width="9.85546875" style="17" bestFit="1" customWidth="1"/>
    <col min="7700" max="7700" width="9.140625" style="17"/>
    <col min="7701" max="7701" width="9.85546875" style="17" bestFit="1" customWidth="1"/>
    <col min="7702" max="7936" width="9.140625" style="17"/>
    <col min="7937" max="7937" width="34.7109375" style="17" customWidth="1"/>
    <col min="7938" max="7938" width="9.140625" style="17"/>
    <col min="7939" max="7953" width="9.5703125" style="17" customWidth="1"/>
    <col min="7954" max="7954" width="9.140625" style="17"/>
    <col min="7955" max="7955" width="9.85546875" style="17" bestFit="1" customWidth="1"/>
    <col min="7956" max="7956" width="9.140625" style="17"/>
    <col min="7957" max="7957" width="9.85546875" style="17" bestFit="1" customWidth="1"/>
    <col min="7958" max="8192" width="9.140625" style="17"/>
    <col min="8193" max="8193" width="34.7109375" style="17" customWidth="1"/>
    <col min="8194" max="8194" width="9.140625" style="17"/>
    <col min="8195" max="8209" width="9.5703125" style="17" customWidth="1"/>
    <col min="8210" max="8210" width="9.140625" style="17"/>
    <col min="8211" max="8211" width="9.85546875" style="17" bestFit="1" customWidth="1"/>
    <col min="8212" max="8212" width="9.140625" style="17"/>
    <col min="8213" max="8213" width="9.85546875" style="17" bestFit="1" customWidth="1"/>
    <col min="8214" max="8448" width="9.140625" style="17"/>
    <col min="8449" max="8449" width="34.7109375" style="17" customWidth="1"/>
    <col min="8450" max="8450" width="9.140625" style="17"/>
    <col min="8451" max="8465" width="9.5703125" style="17" customWidth="1"/>
    <col min="8466" max="8466" width="9.140625" style="17"/>
    <col min="8467" max="8467" width="9.85546875" style="17" bestFit="1" customWidth="1"/>
    <col min="8468" max="8468" width="9.140625" style="17"/>
    <col min="8469" max="8469" width="9.85546875" style="17" bestFit="1" customWidth="1"/>
    <col min="8470" max="8704" width="9.140625" style="17"/>
    <col min="8705" max="8705" width="34.7109375" style="17" customWidth="1"/>
    <col min="8706" max="8706" width="9.140625" style="17"/>
    <col min="8707" max="8721" width="9.5703125" style="17" customWidth="1"/>
    <col min="8722" max="8722" width="9.140625" style="17"/>
    <col min="8723" max="8723" width="9.85546875" style="17" bestFit="1" customWidth="1"/>
    <col min="8724" max="8724" width="9.140625" style="17"/>
    <col min="8725" max="8725" width="9.85546875" style="17" bestFit="1" customWidth="1"/>
    <col min="8726" max="8960" width="9.140625" style="17"/>
    <col min="8961" max="8961" width="34.7109375" style="17" customWidth="1"/>
    <col min="8962" max="8962" width="9.140625" style="17"/>
    <col min="8963" max="8977" width="9.5703125" style="17" customWidth="1"/>
    <col min="8978" max="8978" width="9.140625" style="17"/>
    <col min="8979" max="8979" width="9.85546875" style="17" bestFit="1" customWidth="1"/>
    <col min="8980" max="8980" width="9.140625" style="17"/>
    <col min="8981" max="8981" width="9.85546875" style="17" bestFit="1" customWidth="1"/>
    <col min="8982" max="9216" width="9.140625" style="17"/>
    <col min="9217" max="9217" width="34.7109375" style="17" customWidth="1"/>
    <col min="9218" max="9218" width="9.140625" style="17"/>
    <col min="9219" max="9233" width="9.5703125" style="17" customWidth="1"/>
    <col min="9234" max="9234" width="9.140625" style="17"/>
    <col min="9235" max="9235" width="9.85546875" style="17" bestFit="1" customWidth="1"/>
    <col min="9236" max="9236" width="9.140625" style="17"/>
    <col min="9237" max="9237" width="9.85546875" style="17" bestFit="1" customWidth="1"/>
    <col min="9238" max="9472" width="9.140625" style="17"/>
    <col min="9473" max="9473" width="34.7109375" style="17" customWidth="1"/>
    <col min="9474" max="9474" width="9.140625" style="17"/>
    <col min="9475" max="9489" width="9.5703125" style="17" customWidth="1"/>
    <col min="9490" max="9490" width="9.140625" style="17"/>
    <col min="9491" max="9491" width="9.85546875" style="17" bestFit="1" customWidth="1"/>
    <col min="9492" max="9492" width="9.140625" style="17"/>
    <col min="9493" max="9493" width="9.85546875" style="17" bestFit="1" customWidth="1"/>
    <col min="9494" max="9728" width="9.140625" style="17"/>
    <col min="9729" max="9729" width="34.7109375" style="17" customWidth="1"/>
    <col min="9730" max="9730" width="9.140625" style="17"/>
    <col min="9731" max="9745" width="9.5703125" style="17" customWidth="1"/>
    <col min="9746" max="9746" width="9.140625" style="17"/>
    <col min="9747" max="9747" width="9.85546875" style="17" bestFit="1" customWidth="1"/>
    <col min="9748" max="9748" width="9.140625" style="17"/>
    <col min="9749" max="9749" width="9.85546875" style="17" bestFit="1" customWidth="1"/>
    <col min="9750" max="9984" width="9.140625" style="17"/>
    <col min="9985" max="9985" width="34.7109375" style="17" customWidth="1"/>
    <col min="9986" max="9986" width="9.140625" style="17"/>
    <col min="9987" max="10001" width="9.5703125" style="17" customWidth="1"/>
    <col min="10002" max="10002" width="9.140625" style="17"/>
    <col min="10003" max="10003" width="9.85546875" style="17" bestFit="1" customWidth="1"/>
    <col min="10004" max="10004" width="9.140625" style="17"/>
    <col min="10005" max="10005" width="9.85546875" style="17" bestFit="1" customWidth="1"/>
    <col min="10006" max="10240" width="9.140625" style="17"/>
    <col min="10241" max="10241" width="34.7109375" style="17" customWidth="1"/>
    <col min="10242" max="10242" width="9.140625" style="17"/>
    <col min="10243" max="10257" width="9.5703125" style="17" customWidth="1"/>
    <col min="10258" max="10258" width="9.140625" style="17"/>
    <col min="10259" max="10259" width="9.85546875" style="17" bestFit="1" customWidth="1"/>
    <col min="10260" max="10260" width="9.140625" style="17"/>
    <col min="10261" max="10261" width="9.85546875" style="17" bestFit="1" customWidth="1"/>
    <col min="10262" max="10496" width="9.140625" style="17"/>
    <col min="10497" max="10497" width="34.7109375" style="17" customWidth="1"/>
    <col min="10498" max="10498" width="9.140625" style="17"/>
    <col min="10499" max="10513" width="9.5703125" style="17" customWidth="1"/>
    <col min="10514" max="10514" width="9.140625" style="17"/>
    <col min="10515" max="10515" width="9.85546875" style="17" bestFit="1" customWidth="1"/>
    <col min="10516" max="10516" width="9.140625" style="17"/>
    <col min="10517" max="10517" width="9.85546875" style="17" bestFit="1" customWidth="1"/>
    <col min="10518" max="10752" width="9.140625" style="17"/>
    <col min="10753" max="10753" width="34.7109375" style="17" customWidth="1"/>
    <col min="10754" max="10754" width="9.140625" style="17"/>
    <col min="10755" max="10769" width="9.5703125" style="17" customWidth="1"/>
    <col min="10770" max="10770" width="9.140625" style="17"/>
    <col min="10771" max="10771" width="9.85546875" style="17" bestFit="1" customWidth="1"/>
    <col min="10772" max="10772" width="9.140625" style="17"/>
    <col min="10773" max="10773" width="9.85546875" style="17" bestFit="1" customWidth="1"/>
    <col min="10774" max="11008" width="9.140625" style="17"/>
    <col min="11009" max="11009" width="34.7109375" style="17" customWidth="1"/>
    <col min="11010" max="11010" width="9.140625" style="17"/>
    <col min="11011" max="11025" width="9.5703125" style="17" customWidth="1"/>
    <col min="11026" max="11026" width="9.140625" style="17"/>
    <col min="11027" max="11027" width="9.85546875" style="17" bestFit="1" customWidth="1"/>
    <col min="11028" max="11028" width="9.140625" style="17"/>
    <col min="11029" max="11029" width="9.85546875" style="17" bestFit="1" customWidth="1"/>
    <col min="11030" max="11264" width="9.140625" style="17"/>
    <col min="11265" max="11265" width="34.7109375" style="17" customWidth="1"/>
    <col min="11266" max="11266" width="9.140625" style="17"/>
    <col min="11267" max="11281" width="9.5703125" style="17" customWidth="1"/>
    <col min="11282" max="11282" width="9.140625" style="17"/>
    <col min="11283" max="11283" width="9.85546875" style="17" bestFit="1" customWidth="1"/>
    <col min="11284" max="11284" width="9.140625" style="17"/>
    <col min="11285" max="11285" width="9.85546875" style="17" bestFit="1" customWidth="1"/>
    <col min="11286" max="11520" width="9.140625" style="17"/>
    <col min="11521" max="11521" width="34.7109375" style="17" customWidth="1"/>
    <col min="11522" max="11522" width="9.140625" style="17"/>
    <col min="11523" max="11537" width="9.5703125" style="17" customWidth="1"/>
    <col min="11538" max="11538" width="9.140625" style="17"/>
    <col min="11539" max="11539" width="9.85546875" style="17" bestFit="1" customWidth="1"/>
    <col min="11540" max="11540" width="9.140625" style="17"/>
    <col min="11541" max="11541" width="9.85546875" style="17" bestFit="1" customWidth="1"/>
    <col min="11542" max="11776" width="9.140625" style="17"/>
    <col min="11777" max="11777" width="34.7109375" style="17" customWidth="1"/>
    <col min="11778" max="11778" width="9.140625" style="17"/>
    <col min="11779" max="11793" width="9.5703125" style="17" customWidth="1"/>
    <col min="11794" max="11794" width="9.140625" style="17"/>
    <col min="11795" max="11795" width="9.85546875" style="17" bestFit="1" customWidth="1"/>
    <col min="11796" max="11796" width="9.140625" style="17"/>
    <col min="11797" max="11797" width="9.85546875" style="17" bestFit="1" customWidth="1"/>
    <col min="11798" max="12032" width="9.140625" style="17"/>
    <col min="12033" max="12033" width="34.7109375" style="17" customWidth="1"/>
    <col min="12034" max="12034" width="9.140625" style="17"/>
    <col min="12035" max="12049" width="9.5703125" style="17" customWidth="1"/>
    <col min="12050" max="12050" width="9.140625" style="17"/>
    <col min="12051" max="12051" width="9.85546875" style="17" bestFit="1" customWidth="1"/>
    <col min="12052" max="12052" width="9.140625" style="17"/>
    <col min="12053" max="12053" width="9.85546875" style="17" bestFit="1" customWidth="1"/>
    <col min="12054" max="12288" width="9.140625" style="17"/>
    <col min="12289" max="12289" width="34.7109375" style="17" customWidth="1"/>
    <col min="12290" max="12290" width="9.140625" style="17"/>
    <col min="12291" max="12305" width="9.5703125" style="17" customWidth="1"/>
    <col min="12306" max="12306" width="9.140625" style="17"/>
    <col min="12307" max="12307" width="9.85546875" style="17" bestFit="1" customWidth="1"/>
    <col min="12308" max="12308" width="9.140625" style="17"/>
    <col min="12309" max="12309" width="9.85546875" style="17" bestFit="1" customWidth="1"/>
    <col min="12310" max="12544" width="9.140625" style="17"/>
    <col min="12545" max="12545" width="34.7109375" style="17" customWidth="1"/>
    <col min="12546" max="12546" width="9.140625" style="17"/>
    <col min="12547" max="12561" width="9.5703125" style="17" customWidth="1"/>
    <col min="12562" max="12562" width="9.140625" style="17"/>
    <col min="12563" max="12563" width="9.85546875" style="17" bestFit="1" customWidth="1"/>
    <col min="12564" max="12564" width="9.140625" style="17"/>
    <col min="12565" max="12565" width="9.85546875" style="17" bestFit="1" customWidth="1"/>
    <col min="12566" max="12800" width="9.140625" style="17"/>
    <col min="12801" max="12801" width="34.7109375" style="17" customWidth="1"/>
    <col min="12802" max="12802" width="9.140625" style="17"/>
    <col min="12803" max="12817" width="9.5703125" style="17" customWidth="1"/>
    <col min="12818" max="12818" width="9.140625" style="17"/>
    <col min="12819" max="12819" width="9.85546875" style="17" bestFit="1" customWidth="1"/>
    <col min="12820" max="12820" width="9.140625" style="17"/>
    <col min="12821" max="12821" width="9.85546875" style="17" bestFit="1" customWidth="1"/>
    <col min="12822" max="13056" width="9.140625" style="17"/>
    <col min="13057" max="13057" width="34.7109375" style="17" customWidth="1"/>
    <col min="13058" max="13058" width="9.140625" style="17"/>
    <col min="13059" max="13073" width="9.5703125" style="17" customWidth="1"/>
    <col min="13074" max="13074" width="9.140625" style="17"/>
    <col min="13075" max="13075" width="9.85546875" style="17" bestFit="1" customWidth="1"/>
    <col min="13076" max="13076" width="9.140625" style="17"/>
    <col min="13077" max="13077" width="9.85546875" style="17" bestFit="1" customWidth="1"/>
    <col min="13078" max="13312" width="9.140625" style="17"/>
    <col min="13313" max="13313" width="34.7109375" style="17" customWidth="1"/>
    <col min="13314" max="13314" width="9.140625" style="17"/>
    <col min="13315" max="13329" width="9.5703125" style="17" customWidth="1"/>
    <col min="13330" max="13330" width="9.140625" style="17"/>
    <col min="13331" max="13331" width="9.85546875" style="17" bestFit="1" customWidth="1"/>
    <col min="13332" max="13332" width="9.140625" style="17"/>
    <col min="13333" max="13333" width="9.85546875" style="17" bestFit="1" customWidth="1"/>
    <col min="13334" max="13568" width="9.140625" style="17"/>
    <col min="13569" max="13569" width="34.7109375" style="17" customWidth="1"/>
    <col min="13570" max="13570" width="9.140625" style="17"/>
    <col min="13571" max="13585" width="9.5703125" style="17" customWidth="1"/>
    <col min="13586" max="13586" width="9.140625" style="17"/>
    <col min="13587" max="13587" width="9.85546875" style="17" bestFit="1" customWidth="1"/>
    <col min="13588" max="13588" width="9.140625" style="17"/>
    <col min="13589" max="13589" width="9.85546875" style="17" bestFit="1" customWidth="1"/>
    <col min="13590" max="13824" width="9.140625" style="17"/>
    <col min="13825" max="13825" width="34.7109375" style="17" customWidth="1"/>
    <col min="13826" max="13826" width="9.140625" style="17"/>
    <col min="13827" max="13841" width="9.5703125" style="17" customWidth="1"/>
    <col min="13842" max="13842" width="9.140625" style="17"/>
    <col min="13843" max="13843" width="9.85546875" style="17" bestFit="1" customWidth="1"/>
    <col min="13844" max="13844" width="9.140625" style="17"/>
    <col min="13845" max="13845" width="9.85546875" style="17" bestFit="1" customWidth="1"/>
    <col min="13846" max="14080" width="9.140625" style="17"/>
    <col min="14081" max="14081" width="34.7109375" style="17" customWidth="1"/>
    <col min="14082" max="14082" width="9.140625" style="17"/>
    <col min="14083" max="14097" width="9.5703125" style="17" customWidth="1"/>
    <col min="14098" max="14098" width="9.140625" style="17"/>
    <col min="14099" max="14099" width="9.85546875" style="17" bestFit="1" customWidth="1"/>
    <col min="14100" max="14100" width="9.140625" style="17"/>
    <col min="14101" max="14101" width="9.85546875" style="17" bestFit="1" customWidth="1"/>
    <col min="14102" max="14336" width="9.140625" style="17"/>
    <col min="14337" max="14337" width="34.7109375" style="17" customWidth="1"/>
    <col min="14338" max="14338" width="9.140625" style="17"/>
    <col min="14339" max="14353" width="9.5703125" style="17" customWidth="1"/>
    <col min="14354" max="14354" width="9.140625" style="17"/>
    <col min="14355" max="14355" width="9.85546875" style="17" bestFit="1" customWidth="1"/>
    <col min="14356" max="14356" width="9.140625" style="17"/>
    <col min="14357" max="14357" width="9.85546875" style="17" bestFit="1" customWidth="1"/>
    <col min="14358" max="14592" width="9.140625" style="17"/>
    <col min="14593" max="14593" width="34.7109375" style="17" customWidth="1"/>
    <col min="14594" max="14594" width="9.140625" style="17"/>
    <col min="14595" max="14609" width="9.5703125" style="17" customWidth="1"/>
    <col min="14610" max="14610" width="9.140625" style="17"/>
    <col min="14611" max="14611" width="9.85546875" style="17" bestFit="1" customWidth="1"/>
    <col min="14612" max="14612" width="9.140625" style="17"/>
    <col min="14613" max="14613" width="9.85546875" style="17" bestFit="1" customWidth="1"/>
    <col min="14614" max="14848" width="9.140625" style="17"/>
    <col min="14849" max="14849" width="34.7109375" style="17" customWidth="1"/>
    <col min="14850" max="14850" width="9.140625" style="17"/>
    <col min="14851" max="14865" width="9.5703125" style="17" customWidth="1"/>
    <col min="14866" max="14866" width="9.140625" style="17"/>
    <col min="14867" max="14867" width="9.85546875" style="17" bestFit="1" customWidth="1"/>
    <col min="14868" max="14868" width="9.140625" style="17"/>
    <col min="14869" max="14869" width="9.85546875" style="17" bestFit="1" customWidth="1"/>
    <col min="14870" max="15104" width="9.140625" style="17"/>
    <col min="15105" max="15105" width="34.7109375" style="17" customWidth="1"/>
    <col min="15106" max="15106" width="9.140625" style="17"/>
    <col min="15107" max="15121" width="9.5703125" style="17" customWidth="1"/>
    <col min="15122" max="15122" width="9.140625" style="17"/>
    <col min="15123" max="15123" width="9.85546875" style="17" bestFit="1" customWidth="1"/>
    <col min="15124" max="15124" width="9.140625" style="17"/>
    <col min="15125" max="15125" width="9.85546875" style="17" bestFit="1" customWidth="1"/>
    <col min="15126" max="15360" width="9.140625" style="17"/>
    <col min="15361" max="15361" width="34.7109375" style="17" customWidth="1"/>
    <col min="15362" max="15362" width="9.140625" style="17"/>
    <col min="15363" max="15377" width="9.5703125" style="17" customWidth="1"/>
    <col min="15378" max="15378" width="9.140625" style="17"/>
    <col min="15379" max="15379" width="9.85546875" style="17" bestFit="1" customWidth="1"/>
    <col min="15380" max="15380" width="9.140625" style="17"/>
    <col min="15381" max="15381" width="9.85546875" style="17" bestFit="1" customWidth="1"/>
    <col min="15382" max="15616" width="9.140625" style="17"/>
    <col min="15617" max="15617" width="34.7109375" style="17" customWidth="1"/>
    <col min="15618" max="15618" width="9.140625" style="17"/>
    <col min="15619" max="15633" width="9.5703125" style="17" customWidth="1"/>
    <col min="15634" max="15634" width="9.140625" style="17"/>
    <col min="15635" max="15635" width="9.85546875" style="17" bestFit="1" customWidth="1"/>
    <col min="15636" max="15636" width="9.140625" style="17"/>
    <col min="15637" max="15637" width="9.85546875" style="17" bestFit="1" customWidth="1"/>
    <col min="15638" max="15872" width="9.140625" style="17"/>
    <col min="15873" max="15873" width="34.7109375" style="17" customWidth="1"/>
    <col min="15874" max="15874" width="9.140625" style="17"/>
    <col min="15875" max="15889" width="9.5703125" style="17" customWidth="1"/>
    <col min="15890" max="15890" width="9.140625" style="17"/>
    <col min="15891" max="15891" width="9.85546875" style="17" bestFit="1" customWidth="1"/>
    <col min="15892" max="15892" width="9.140625" style="17"/>
    <col min="15893" max="15893" width="9.85546875" style="17" bestFit="1" customWidth="1"/>
    <col min="15894" max="16128" width="9.140625" style="17"/>
    <col min="16129" max="16129" width="34.7109375" style="17" customWidth="1"/>
    <col min="16130" max="16130" width="9.140625" style="17"/>
    <col min="16131" max="16145" width="9.5703125" style="17" customWidth="1"/>
    <col min="16146" max="16146" width="9.140625" style="17"/>
    <col min="16147" max="16147" width="9.85546875" style="17" bestFit="1" customWidth="1"/>
    <col min="16148" max="16148" width="9.140625" style="17"/>
    <col min="16149" max="16149" width="9.85546875" style="17" bestFit="1" customWidth="1"/>
    <col min="16150" max="16384" width="9.140625" style="17"/>
  </cols>
  <sheetData>
    <row r="1" spans="1:30" ht="15.75">
      <c r="A1" s="1685"/>
      <c r="B1" s="1685"/>
      <c r="C1" s="1685"/>
      <c r="D1" s="1685"/>
      <c r="E1" s="1685"/>
      <c r="F1" s="1685"/>
      <c r="G1" s="1685"/>
      <c r="H1" s="1685"/>
      <c r="I1" s="1685"/>
      <c r="J1" s="1686"/>
      <c r="K1" s="1686"/>
      <c r="L1" s="1685"/>
      <c r="M1" s="1685"/>
      <c r="N1" s="1685"/>
      <c r="O1" s="1685"/>
      <c r="P1" s="1685"/>
      <c r="Q1" s="1685"/>
      <c r="R1" s="1685"/>
      <c r="S1" s="1685"/>
      <c r="T1" s="1685"/>
      <c r="U1" s="1685"/>
      <c r="V1" s="1685"/>
      <c r="W1" s="1685"/>
      <c r="X1" s="1685"/>
      <c r="Y1" s="1685"/>
      <c r="Z1" s="1685"/>
      <c r="AA1" s="1685"/>
      <c r="AB1" s="1685"/>
      <c r="AC1" s="1685"/>
      <c r="AD1" s="1685"/>
    </row>
    <row r="2" spans="1:30" ht="15.75">
      <c r="A2" s="1685"/>
      <c r="B2" s="1687" t="s">
        <v>76</v>
      </c>
      <c r="C2" s="1688">
        <v>40908</v>
      </c>
      <c r="D2" s="1688">
        <v>41274</v>
      </c>
      <c r="E2" s="1688">
        <v>41639</v>
      </c>
      <c r="F2" s="1688">
        <v>42004</v>
      </c>
      <c r="G2" s="1688">
        <v>42369</v>
      </c>
      <c r="H2" s="1688">
        <v>42735</v>
      </c>
      <c r="I2" s="1688">
        <v>43100</v>
      </c>
      <c r="J2" s="1688">
        <v>43465</v>
      </c>
      <c r="K2" s="1688">
        <v>43830</v>
      </c>
      <c r="L2" s="1688">
        <v>44196</v>
      </c>
      <c r="M2" s="1688">
        <v>44561</v>
      </c>
      <c r="N2" s="1688">
        <v>44926</v>
      </c>
      <c r="O2" s="1688">
        <v>45291</v>
      </c>
      <c r="P2" s="1688">
        <v>45657</v>
      </c>
      <c r="Q2" s="1688">
        <v>46022</v>
      </c>
      <c r="R2" s="1688">
        <v>46387</v>
      </c>
      <c r="S2" s="1688">
        <v>46752</v>
      </c>
      <c r="T2" s="1688">
        <v>47118</v>
      </c>
      <c r="U2" s="1688">
        <v>47483</v>
      </c>
      <c r="V2" s="1688">
        <v>47848</v>
      </c>
      <c r="W2" s="1685"/>
      <c r="X2" s="1685"/>
      <c r="Y2" s="1685"/>
      <c r="Z2" s="1685"/>
      <c r="AA2" s="1685"/>
      <c r="AB2" s="1685"/>
      <c r="AC2" s="1685"/>
      <c r="AD2" s="1685"/>
    </row>
    <row r="3" spans="1:30" ht="15.75">
      <c r="A3" s="1685"/>
      <c r="B3" s="1689" t="s">
        <v>77</v>
      </c>
      <c r="C3" s="1690"/>
      <c r="D3" s="1690"/>
      <c r="E3" s="1691"/>
      <c r="F3" s="1691">
        <f t="shared" ref="F3:K3" si="0">F52</f>
        <v>2330.0685602350641</v>
      </c>
      <c r="G3" s="1691">
        <f t="shared" si="0"/>
        <v>3591.5333333333328</v>
      </c>
      <c r="H3" s="1691">
        <f t="shared" si="0"/>
        <v>3620.1757396449707</v>
      </c>
      <c r="I3" s="1691">
        <f t="shared" si="0"/>
        <v>3586.3178736517721</v>
      </c>
      <c r="J3" s="1691">
        <f t="shared" si="0"/>
        <v>3693.7671488858091</v>
      </c>
      <c r="K3" s="1691">
        <f t="shared" si="0"/>
        <v>3867.1</v>
      </c>
      <c r="L3" s="1691">
        <f t="shared" ref="L3:Q3" si="1">L52</f>
        <v>3765</v>
      </c>
      <c r="M3" s="1691">
        <f t="shared" si="1"/>
        <v>4791.295532194481</v>
      </c>
      <c r="N3" s="1691">
        <f t="shared" si="1"/>
        <v>4815</v>
      </c>
      <c r="O3" s="1691">
        <f t="shared" si="1"/>
        <v>4511.1000000000004</v>
      </c>
      <c r="P3" s="1691">
        <f t="shared" si="1"/>
        <v>4469.0806310346197</v>
      </c>
      <c r="Q3" s="1691">
        <f t="shared" si="1"/>
        <v>4594.6345802354044</v>
      </c>
      <c r="R3" s="1691">
        <f t="shared" ref="R3:S3" si="2">R52</f>
        <v>4700.9728463198617</v>
      </c>
      <c r="S3" s="1691">
        <f t="shared" si="2"/>
        <v>4797.6460113862859</v>
      </c>
      <c r="T3" s="1691">
        <f t="shared" ref="T3:V3" si="3">T52</f>
        <v>4897.0769992474334</v>
      </c>
      <c r="U3" s="1691">
        <f t="shared" si="3"/>
        <v>5004.5989823785176</v>
      </c>
      <c r="V3" s="1691">
        <f t="shared" si="3"/>
        <v>5115.6734339112709</v>
      </c>
      <c r="W3" s="1685"/>
      <c r="X3" s="1685"/>
      <c r="Y3" s="1685"/>
      <c r="Z3" s="1685"/>
      <c r="AA3" s="1685"/>
      <c r="AB3" s="1685"/>
      <c r="AC3" s="1685"/>
      <c r="AD3" s="1685"/>
    </row>
    <row r="4" spans="1:30" ht="15.75">
      <c r="A4" s="1685"/>
      <c r="B4" s="1692" t="s">
        <v>78</v>
      </c>
      <c r="C4" s="1690"/>
      <c r="D4" s="1693"/>
      <c r="E4" s="1690"/>
      <c r="F4" s="1690"/>
      <c r="G4" s="1690">
        <f t="shared" ref="G4:V4" si="4">G3/F3-1</f>
        <v>0.54138525991312836</v>
      </c>
      <c r="H4" s="1690">
        <f t="shared" si="4"/>
        <v>7.9749799468114002E-3</v>
      </c>
      <c r="I4" s="1690">
        <f t="shared" si="4"/>
        <v>-9.3525476187293899E-3</v>
      </c>
      <c r="J4" s="1690">
        <f t="shared" si="4"/>
        <v>2.9960889976723415E-2</v>
      </c>
      <c r="K4" s="1690">
        <f t="shared" si="4"/>
        <v>4.6925765520026141E-2</v>
      </c>
      <c r="L4" s="1690">
        <f t="shared" si="4"/>
        <v>-2.6402213545033693E-2</v>
      </c>
      <c r="M4" s="1690">
        <f t="shared" si="4"/>
        <v>0.27258845476613036</v>
      </c>
      <c r="N4" s="1690">
        <f t="shared" si="4"/>
        <v>4.9474025649722808E-3</v>
      </c>
      <c r="O4" s="1690">
        <f t="shared" si="4"/>
        <v>-6.3115264797507731E-2</v>
      </c>
      <c r="P4" s="1690">
        <f t="shared" si="4"/>
        <v>-9.3146613831173175E-3</v>
      </c>
      <c r="Q4" s="1690">
        <f t="shared" si="4"/>
        <v>2.8093910037984227E-2</v>
      </c>
      <c r="R4" s="1690">
        <f t="shared" si="4"/>
        <v>2.3144009436983026E-2</v>
      </c>
      <c r="S4" s="1690">
        <f t="shared" si="4"/>
        <v>2.0564501907749611E-2</v>
      </c>
      <c r="T4" s="1690">
        <f t="shared" si="4"/>
        <v>2.0724952950919473E-2</v>
      </c>
      <c r="U4" s="1690">
        <f t="shared" si="4"/>
        <v>2.195635950743835E-2</v>
      </c>
      <c r="V4" s="1690">
        <f t="shared" si="4"/>
        <v>2.2194475905832345E-2</v>
      </c>
      <c r="W4" s="1685"/>
      <c r="X4" s="1685"/>
      <c r="Y4" s="1685"/>
      <c r="Z4" s="1685"/>
      <c r="AA4" s="1685"/>
      <c r="AB4" s="1685"/>
      <c r="AC4" s="1685"/>
      <c r="AD4" s="1685"/>
    </row>
    <row r="5" spans="1:30" ht="15.75">
      <c r="A5" s="1685"/>
      <c r="B5" s="1692"/>
      <c r="C5" s="1690"/>
      <c r="D5" s="1692"/>
      <c r="E5" s="1692"/>
      <c r="F5" s="1692"/>
      <c r="G5" s="1692"/>
      <c r="H5" s="1692"/>
      <c r="I5" s="1692"/>
      <c r="J5" s="1692"/>
      <c r="K5" s="1692"/>
      <c r="L5" s="1692"/>
      <c r="M5" s="1692"/>
      <c r="N5" s="1692"/>
      <c r="O5" s="1692"/>
      <c r="P5" s="1692"/>
      <c r="Q5" s="1692"/>
      <c r="R5" s="1692"/>
      <c r="S5" s="1692"/>
      <c r="T5" s="1692"/>
      <c r="U5" s="1692"/>
      <c r="V5" s="1692"/>
      <c r="W5" s="1685"/>
      <c r="X5" s="1685"/>
      <c r="Y5" s="1685"/>
      <c r="Z5" s="1685"/>
      <c r="AA5" s="1685"/>
      <c r="AB5" s="1685"/>
      <c r="AC5" s="1685"/>
      <c r="AD5" s="1685"/>
    </row>
    <row r="6" spans="1:30" ht="15.75">
      <c r="A6" s="1685"/>
      <c r="B6" s="1689" t="s">
        <v>79</v>
      </c>
      <c r="C6" s="1690"/>
      <c r="D6" s="1691"/>
      <c r="E6" s="1691"/>
      <c r="F6" s="1691"/>
      <c r="G6" s="1691"/>
      <c r="H6" s="1691">
        <f>H74</f>
        <v>1448.600076899188</v>
      </c>
      <c r="I6" s="1691">
        <f>I74</f>
        <v>1367.1</v>
      </c>
      <c r="J6" s="1691">
        <f>J74</f>
        <v>1412.5717613715995</v>
      </c>
      <c r="K6" s="1691">
        <f>K74</f>
        <v>1506.5</v>
      </c>
      <c r="L6" s="1691">
        <f t="shared" ref="L6:Q6" si="5">L74</f>
        <v>1485</v>
      </c>
      <c r="M6" s="1691">
        <f t="shared" si="5"/>
        <v>1818.4935611038109</v>
      </c>
      <c r="N6" s="1691">
        <f t="shared" si="5"/>
        <v>1718</v>
      </c>
      <c r="O6" s="1691">
        <f t="shared" si="5"/>
        <v>1701.6</v>
      </c>
      <c r="P6" s="1691">
        <f t="shared" si="5"/>
        <v>1579.0990335466222</v>
      </c>
      <c r="Q6" s="1691">
        <f t="shared" si="5"/>
        <v>1802.8296324342652</v>
      </c>
      <c r="R6" s="1691">
        <f t="shared" ref="R6:S6" si="6">R74</f>
        <v>1887.8361378059224</v>
      </c>
      <c r="S6" s="1691">
        <f t="shared" si="6"/>
        <v>1945.9434392102044</v>
      </c>
      <c r="T6" s="1691">
        <f t="shared" ref="T6:V6" si="7">T74</f>
        <v>2001.7655162215337</v>
      </c>
      <c r="U6" s="1691">
        <f t="shared" si="7"/>
        <v>2047.0473245054468</v>
      </c>
      <c r="V6" s="1691">
        <f t="shared" si="7"/>
        <v>2093.9095377424046</v>
      </c>
      <c r="W6" s="1685"/>
      <c r="X6" s="1685"/>
      <c r="Y6" s="1685"/>
      <c r="Z6" s="1685"/>
      <c r="AA6" s="1685"/>
      <c r="AB6" s="1685"/>
      <c r="AC6" s="1685"/>
      <c r="AD6" s="1685"/>
    </row>
    <row r="7" spans="1:30" ht="15.75">
      <c r="A7" s="1685"/>
      <c r="B7" s="1692" t="s">
        <v>78</v>
      </c>
      <c r="C7" s="1690"/>
      <c r="D7" s="1693"/>
      <c r="E7" s="1693"/>
      <c r="F7" s="1693"/>
      <c r="G7" s="1693"/>
      <c r="H7" s="1693"/>
      <c r="I7" s="1693">
        <f t="shared" ref="I7:V7" si="8">I6/H6-1</f>
        <v>-5.6261267825999051E-2</v>
      </c>
      <c r="J7" s="1693">
        <f t="shared" si="8"/>
        <v>3.3261474194718366E-2</v>
      </c>
      <c r="K7" s="1693">
        <f t="shared" si="8"/>
        <v>6.6494489835473347E-2</v>
      </c>
      <c r="L7" s="1693">
        <f t="shared" si="8"/>
        <v>-1.4271490209093907E-2</v>
      </c>
      <c r="M7" s="1693">
        <f t="shared" si="8"/>
        <v>0.22457478862209479</v>
      </c>
      <c r="N7" s="1693">
        <f t="shared" si="8"/>
        <v>-5.5261983464385822E-2</v>
      </c>
      <c r="O7" s="1693">
        <f t="shared" si="8"/>
        <v>-9.5459837019791216E-3</v>
      </c>
      <c r="P7" s="1693">
        <f t="shared" si="8"/>
        <v>-7.1991635198270898E-2</v>
      </c>
      <c r="Q7" s="1693">
        <f t="shared" si="8"/>
        <v>0.14168243671528891</v>
      </c>
      <c r="R7" s="1693">
        <f t="shared" si="8"/>
        <v>4.7151712975161963E-2</v>
      </c>
      <c r="S7" s="1693">
        <f t="shared" si="8"/>
        <v>3.0779843780199823E-2</v>
      </c>
      <c r="T7" s="1693">
        <f t="shared" si="8"/>
        <v>2.8686382084150308E-2</v>
      </c>
      <c r="U7" s="1693">
        <f t="shared" si="8"/>
        <v>2.2620935327822833E-2</v>
      </c>
      <c r="V7" s="1693">
        <f t="shared" si="8"/>
        <v>2.2892589084758663E-2</v>
      </c>
      <c r="W7" s="1685"/>
      <c r="X7" s="1685"/>
      <c r="Y7" s="1685"/>
      <c r="Z7" s="1685"/>
      <c r="AA7" s="1685"/>
      <c r="AB7" s="1685"/>
      <c r="AC7" s="1685"/>
      <c r="AD7" s="1685"/>
    </row>
    <row r="8" spans="1:30" ht="15.75">
      <c r="A8" s="1685"/>
      <c r="B8" s="1692"/>
      <c r="C8" s="1690"/>
      <c r="D8" s="1690"/>
      <c r="E8" s="1690"/>
      <c r="F8" s="1690"/>
      <c r="G8" s="1690"/>
      <c r="H8" s="1690"/>
      <c r="I8" s="1690"/>
      <c r="J8" s="1690"/>
      <c r="K8" s="1690"/>
      <c r="L8" s="1690"/>
      <c r="M8" s="1690"/>
      <c r="N8" s="1690"/>
      <c r="O8" s="1690"/>
      <c r="P8" s="1690"/>
      <c r="Q8" s="1690"/>
      <c r="R8" s="1690"/>
      <c r="S8" s="1690"/>
      <c r="T8" s="1690"/>
      <c r="U8" s="1690"/>
      <c r="V8" s="1690"/>
      <c r="W8" s="1685"/>
      <c r="X8" s="1685"/>
      <c r="Y8" s="1685"/>
      <c r="Z8" s="1685"/>
      <c r="AA8" s="1685"/>
      <c r="AB8" s="1685"/>
      <c r="AC8" s="1685"/>
      <c r="AD8" s="1685"/>
    </row>
    <row r="9" spans="1:30" ht="15.75">
      <c r="A9" s="1685"/>
      <c r="B9" s="1692" t="s">
        <v>4684</v>
      </c>
      <c r="C9" s="1690"/>
      <c r="D9" s="1690"/>
      <c r="E9" s="1690"/>
      <c r="F9" s="1690"/>
      <c r="G9" s="1690"/>
      <c r="H9" s="1690"/>
      <c r="I9" s="1690"/>
      <c r="J9" s="1690"/>
      <c r="K9" s="1694">
        <v>17.5</v>
      </c>
      <c r="L9" s="1690"/>
      <c r="M9" s="1690"/>
      <c r="N9" s="1690"/>
      <c r="O9" s="1690"/>
      <c r="P9" s="1690"/>
      <c r="Q9" s="1690"/>
      <c r="R9" s="1690"/>
      <c r="S9" s="1690"/>
      <c r="T9" s="1690"/>
      <c r="U9" s="1690"/>
      <c r="V9" s="1690"/>
      <c r="W9" s="1685"/>
      <c r="X9" s="1685"/>
      <c r="Y9" s="1685"/>
      <c r="Z9" s="1685"/>
      <c r="AA9" s="1685"/>
      <c r="AB9" s="1685"/>
      <c r="AC9" s="1685"/>
      <c r="AD9" s="1685"/>
    </row>
    <row r="10" spans="1:30" ht="15.75">
      <c r="A10" s="1685"/>
      <c r="B10" s="1689" t="s">
        <v>80</v>
      </c>
      <c r="C10" s="1690"/>
      <c r="D10" s="1691"/>
      <c r="E10" s="1691"/>
      <c r="F10" s="1691"/>
      <c r="G10" s="1691"/>
      <c r="H10" s="1691">
        <f>H6</f>
        <v>1448.600076899188</v>
      </c>
      <c r="I10" s="1691">
        <f>I6</f>
        <v>1367.1</v>
      </c>
      <c r="J10" s="1691">
        <f>J6</f>
        <v>1412.5717613715995</v>
      </c>
      <c r="K10" s="1691">
        <f>K6+K9</f>
        <v>1524</v>
      </c>
      <c r="L10" s="1691">
        <f t="shared" ref="L10:Q10" si="9">L6+L9</f>
        <v>1485</v>
      </c>
      <c r="M10" s="1691">
        <f t="shared" si="9"/>
        <v>1818.4935611038109</v>
      </c>
      <c r="N10" s="1691">
        <f t="shared" si="9"/>
        <v>1718</v>
      </c>
      <c r="O10" s="1691">
        <f t="shared" si="9"/>
        <v>1701.6</v>
      </c>
      <c r="P10" s="1691">
        <f t="shared" si="9"/>
        <v>1579.0990335466222</v>
      </c>
      <c r="Q10" s="1691">
        <f t="shared" si="9"/>
        <v>1802.8296324342652</v>
      </c>
      <c r="R10" s="1691">
        <f t="shared" ref="R10:S10" si="10">R6+R9</f>
        <v>1887.8361378059224</v>
      </c>
      <c r="S10" s="1691">
        <f t="shared" si="10"/>
        <v>1945.9434392102044</v>
      </c>
      <c r="T10" s="1691">
        <f t="shared" ref="T10:V10" si="11">T6+T9</f>
        <v>2001.7655162215337</v>
      </c>
      <c r="U10" s="1691">
        <f t="shared" si="11"/>
        <v>2047.0473245054468</v>
      </c>
      <c r="V10" s="1691">
        <f t="shared" si="11"/>
        <v>2093.9095377424046</v>
      </c>
      <c r="W10" s="1685"/>
      <c r="X10" s="1685"/>
      <c r="Y10" s="1685"/>
      <c r="Z10" s="1685"/>
      <c r="AA10" s="1685"/>
      <c r="AB10" s="1685"/>
      <c r="AC10" s="1685"/>
      <c r="AD10" s="1685"/>
    </row>
    <row r="11" spans="1:30" ht="15.75">
      <c r="A11" s="1685"/>
      <c r="B11" s="1692"/>
      <c r="C11" s="1690"/>
      <c r="D11" s="1692"/>
      <c r="E11" s="1692"/>
      <c r="F11" s="1692"/>
      <c r="G11" s="1692"/>
      <c r="H11" s="1692"/>
      <c r="I11" s="1692"/>
      <c r="J11" s="1692"/>
      <c r="K11" s="1692"/>
      <c r="L11" s="1692"/>
      <c r="M11" s="1692"/>
      <c r="N11" s="1692"/>
      <c r="O11" s="1692"/>
      <c r="P11" s="1692"/>
      <c r="Q11" s="1692"/>
      <c r="R11" s="1692"/>
      <c r="S11" s="1692"/>
      <c r="T11" s="1692"/>
      <c r="U11" s="1692"/>
      <c r="V11" s="1692"/>
      <c r="W11" s="1685"/>
      <c r="X11" s="1685"/>
      <c r="Y11" s="1685"/>
      <c r="Z11" s="1685"/>
      <c r="AA11" s="1685"/>
      <c r="AB11" s="1685"/>
      <c r="AC11" s="1685"/>
      <c r="AD11" s="1685"/>
    </row>
    <row r="12" spans="1:30" ht="15.75">
      <c r="A12" s="1685"/>
      <c r="B12" s="1692" t="s">
        <v>3437</v>
      </c>
      <c r="C12" s="1690"/>
      <c r="D12" s="1695"/>
      <c r="E12" s="1695"/>
      <c r="F12" s="1695"/>
      <c r="G12" s="1695"/>
      <c r="H12" s="1695">
        <f t="shared" ref="H12:P12" si="12">H244</f>
        <v>537.95833401629272</v>
      </c>
      <c r="I12" s="1695">
        <f t="shared" si="12"/>
        <v>1465.8258620689655</v>
      </c>
      <c r="J12" s="1695">
        <f>J244</f>
        <v>1433.5839080459768</v>
      </c>
      <c r="K12" s="1695">
        <f>K244</f>
        <v>1096.6028735632185</v>
      </c>
      <c r="L12" s="1695">
        <f t="shared" si="12"/>
        <v>1267.7494252873562</v>
      </c>
      <c r="M12" s="1695">
        <f t="shared" si="12"/>
        <v>1605.0189655172414</v>
      </c>
      <c r="N12" s="1695">
        <f>N244</f>
        <v>1507.3390804597702</v>
      </c>
      <c r="O12" s="1695">
        <f>O244</f>
        <v>1075.4270114942528</v>
      </c>
      <c r="P12" s="1695">
        <f t="shared" si="12"/>
        <v>1515.5265708786051</v>
      </c>
      <c r="Q12" s="1695">
        <f t="shared" ref="Q12:V12" si="13">Q244</f>
        <v>758.30302665584293</v>
      </c>
      <c r="R12" s="1695">
        <f t="shared" si="13"/>
        <v>733.36613644695353</v>
      </c>
      <c r="S12" s="1695">
        <f t="shared" si="13"/>
        <v>723.66162956827691</v>
      </c>
      <c r="T12" s="1695">
        <f t="shared" si="13"/>
        <v>720.60664815121686</v>
      </c>
      <c r="U12" s="1695">
        <f t="shared" si="13"/>
        <v>730.80022133616399</v>
      </c>
      <c r="V12" s="1695">
        <f t="shared" si="13"/>
        <v>742.32246871766097</v>
      </c>
      <c r="W12" s="1685"/>
      <c r="X12" s="1696"/>
      <c r="Y12" s="1685"/>
      <c r="Z12" s="1685"/>
      <c r="AA12" s="1685"/>
      <c r="AB12" s="1685"/>
      <c r="AC12" s="1685"/>
      <c r="AD12" s="1685"/>
    </row>
    <row r="13" spans="1:30" ht="15.75">
      <c r="A13" s="1685"/>
      <c r="B13" s="1692" t="s">
        <v>82</v>
      </c>
      <c r="C13" s="1690"/>
      <c r="D13" s="1695"/>
      <c r="E13" s="1695"/>
      <c r="F13" s="1695"/>
      <c r="G13" s="1695"/>
      <c r="H13" s="1695">
        <f t="shared" ref="H13:P13" si="14">H260</f>
        <v>82.445831681860227</v>
      </c>
      <c r="I13" s="1695">
        <f t="shared" si="14"/>
        <v>35.474137931034484</v>
      </c>
      <c r="J13" s="1695">
        <f>J260</f>
        <v>37.816091954022987</v>
      </c>
      <c r="K13" s="1695">
        <f t="shared" si="14"/>
        <v>33.497126436781613</v>
      </c>
      <c r="L13" s="1695">
        <f t="shared" si="14"/>
        <v>27.850574712643677</v>
      </c>
      <c r="M13" s="1695">
        <f t="shared" si="14"/>
        <v>24.681034482758619</v>
      </c>
      <c r="N13" s="1695">
        <f t="shared" si="14"/>
        <v>22.660919540229884</v>
      </c>
      <c r="O13" s="1695">
        <f t="shared" si="14"/>
        <v>19.772988505747126</v>
      </c>
      <c r="P13" s="1695">
        <f t="shared" si="14"/>
        <v>15.563218390804598</v>
      </c>
      <c r="Q13" s="1695">
        <f t="shared" ref="Q13:V13" si="15">Q260</f>
        <v>15.115999471528603</v>
      </c>
      <c r="R13" s="1695">
        <f t="shared" si="15"/>
        <v>14.681631670622608</v>
      </c>
      <c r="S13" s="1695">
        <f t="shared" si="15"/>
        <v>14.259745703075982</v>
      </c>
      <c r="T13" s="1695">
        <f t="shared" si="15"/>
        <v>13.849982895516327</v>
      </c>
      <c r="U13" s="1695">
        <f t="shared" si="15"/>
        <v>13.451994881277354</v>
      </c>
      <c r="V13" s="1695">
        <f t="shared" si="15"/>
        <v>13.065443304229156</v>
      </c>
      <c r="W13" s="1685"/>
      <c r="X13" s="1696"/>
      <c r="Y13" s="1685"/>
      <c r="Z13" s="1685"/>
      <c r="AA13" s="1685"/>
      <c r="AB13" s="1685"/>
      <c r="AC13" s="1685"/>
      <c r="AD13" s="1685"/>
    </row>
    <row r="14" spans="1:30" ht="15.75">
      <c r="A14" s="1685"/>
      <c r="B14" s="1692" t="s">
        <v>6726</v>
      </c>
      <c r="C14" s="1690"/>
      <c r="D14" s="1695"/>
      <c r="E14" s="1695"/>
      <c r="F14" s="1695"/>
      <c r="G14" s="1695"/>
      <c r="H14" s="1695"/>
      <c r="I14" s="1694">
        <v>-14.2</v>
      </c>
      <c r="J14" s="1694">
        <f>-('New quarts'!S313+'New quarts'!T313+'New quarts'!U313+'New quarts'!V313)</f>
        <v>35.200000000000003</v>
      </c>
      <c r="K14" s="1694">
        <v>-57.5</v>
      </c>
      <c r="L14" s="1694">
        <v>-98</v>
      </c>
      <c r="M14" s="1694">
        <v>-118</v>
      </c>
      <c r="N14" s="1694">
        <f>-94</f>
        <v>-94</v>
      </c>
      <c r="O14" s="1694">
        <v>-89</v>
      </c>
      <c r="P14" s="1697">
        <v>-75</v>
      </c>
      <c r="Q14" s="1697">
        <v>-80</v>
      </c>
      <c r="R14" s="1697">
        <v>-80</v>
      </c>
      <c r="S14" s="1697">
        <v>-80</v>
      </c>
      <c r="T14" s="1697">
        <v>-80</v>
      </c>
      <c r="U14" s="1697">
        <v>-80</v>
      </c>
      <c r="V14" s="1697">
        <v>-80</v>
      </c>
      <c r="W14" s="1685"/>
      <c r="X14" s="1696"/>
      <c r="Y14" s="1685"/>
      <c r="Z14" s="1685"/>
      <c r="AA14" s="1685"/>
      <c r="AB14" s="1685"/>
      <c r="AC14" s="1685"/>
      <c r="AD14" s="1685"/>
    </row>
    <row r="15" spans="1:30" ht="15.75">
      <c r="A15" s="1685"/>
      <c r="B15" s="1692"/>
      <c r="C15" s="1690"/>
      <c r="D15" s="1695"/>
      <c r="E15" s="1695"/>
      <c r="F15" s="1695"/>
      <c r="G15" s="1695"/>
      <c r="H15" s="1692"/>
      <c r="I15" s="1692"/>
      <c r="J15" s="1698"/>
      <c r="K15" s="1698"/>
      <c r="L15" s="1698"/>
      <c r="M15" s="1698"/>
      <c r="N15" s="1698"/>
      <c r="O15" s="1698"/>
      <c r="P15" s="1698"/>
      <c r="Q15" s="1698"/>
      <c r="R15" s="1698"/>
      <c r="S15" s="1698"/>
      <c r="T15" s="1698"/>
      <c r="U15" s="1698"/>
      <c r="V15" s="1698"/>
      <c r="W15" s="1685"/>
      <c r="X15" s="1685"/>
      <c r="Y15" s="1685"/>
      <c r="Z15" s="1685"/>
      <c r="AA15" s="1685"/>
      <c r="AB15" s="1685"/>
      <c r="AC15" s="1685"/>
      <c r="AD15" s="1685"/>
    </row>
    <row r="16" spans="1:30" ht="15.75">
      <c r="A16" s="1685"/>
      <c r="B16" s="1689" t="s">
        <v>83</v>
      </c>
      <c r="C16" s="1690"/>
      <c r="D16" s="1691"/>
      <c r="E16" s="1691"/>
      <c r="F16" s="1691"/>
      <c r="G16" s="1691"/>
      <c r="H16" s="1691">
        <f>H10-H12-H13</f>
        <v>828.19591120103507</v>
      </c>
      <c r="I16" s="1691">
        <f>I10-I12-I13+I14</f>
        <v>-148.40000000000009</v>
      </c>
      <c r="J16" s="1691">
        <f t="shared" ref="J16:P16" si="16">J10-J12-J13+J14</f>
        <v>-23.628238628400375</v>
      </c>
      <c r="K16" s="1691">
        <f t="shared" si="16"/>
        <v>336.39999999999986</v>
      </c>
      <c r="L16" s="1691">
        <f t="shared" si="16"/>
        <v>91.400000000000148</v>
      </c>
      <c r="M16" s="1691">
        <f t="shared" si="16"/>
        <v>70.793561103810816</v>
      </c>
      <c r="N16" s="1691">
        <f t="shared" si="16"/>
        <v>93.999999999999886</v>
      </c>
      <c r="O16" s="1691">
        <f t="shared" si="16"/>
        <v>517.4</v>
      </c>
      <c r="P16" s="1691">
        <f t="shared" si="16"/>
        <v>-26.990755722787476</v>
      </c>
      <c r="Q16" s="1691">
        <f t="shared" ref="Q16:V16" si="17">Q10-Q12-Q13+Q14</f>
        <v>949.4106063068939</v>
      </c>
      <c r="R16" s="1691">
        <f t="shared" si="17"/>
        <v>1059.7883696883462</v>
      </c>
      <c r="S16" s="1691">
        <f t="shared" si="17"/>
        <v>1128.0220639388513</v>
      </c>
      <c r="T16" s="1691">
        <f t="shared" si="17"/>
        <v>1187.3088851748005</v>
      </c>
      <c r="U16" s="1691">
        <f t="shared" si="17"/>
        <v>1222.7951082880054</v>
      </c>
      <c r="V16" s="1691">
        <f t="shared" si="17"/>
        <v>1258.5216257205145</v>
      </c>
      <c r="W16" s="1685"/>
      <c r="X16" s="1685"/>
      <c r="Y16" s="1685"/>
      <c r="Z16" s="1685"/>
      <c r="AA16" s="1685"/>
      <c r="AB16" s="1685"/>
      <c r="AC16" s="1685"/>
      <c r="AD16" s="1685"/>
    </row>
    <row r="17" spans="1:30" ht="15.75">
      <c r="A17" s="1685"/>
      <c r="B17" s="1692"/>
      <c r="C17" s="1690"/>
      <c r="D17" s="1692"/>
      <c r="E17" s="1692"/>
      <c r="F17" s="1692"/>
      <c r="G17" s="1692"/>
      <c r="H17" s="1692"/>
      <c r="I17" s="1692"/>
      <c r="J17" s="1692"/>
      <c r="K17" s="1692"/>
      <c r="L17" s="1692"/>
      <c r="M17" s="1692"/>
      <c r="N17" s="1692"/>
      <c r="O17" s="1692"/>
      <c r="P17" s="1692"/>
      <c r="Q17" s="1692"/>
      <c r="R17" s="1692"/>
      <c r="S17" s="1692"/>
      <c r="T17" s="1692"/>
      <c r="U17" s="1692"/>
      <c r="V17" s="1692"/>
      <c r="W17" s="1685"/>
      <c r="X17" s="1685"/>
      <c r="Y17" s="1685"/>
      <c r="Z17" s="1685"/>
      <c r="AA17" s="1685"/>
      <c r="AB17" s="1685"/>
      <c r="AC17" s="1685"/>
      <c r="AD17" s="1685"/>
    </row>
    <row r="18" spans="1:30" ht="15.75">
      <c r="A18" s="1685"/>
      <c r="B18" s="1692" t="s">
        <v>84</v>
      </c>
      <c r="C18" s="1690"/>
      <c r="D18" s="1695"/>
      <c r="E18" s="1695"/>
      <c r="F18" s="1695"/>
      <c r="G18" s="1695"/>
      <c r="H18" s="1695" t="e">
        <f ca="1">-H285</f>
        <v>#DIV/0!</v>
      </c>
      <c r="I18" s="1695">
        <f>-I285</f>
        <v>-381.8</v>
      </c>
      <c r="J18" s="1695">
        <f>-J285</f>
        <v>-443.7</v>
      </c>
      <c r="K18" s="1695">
        <f>-K285</f>
        <v>-499.2</v>
      </c>
      <c r="L18" s="1695">
        <f t="shared" ref="L18:Q18" si="18">-L285</f>
        <v>-533.4</v>
      </c>
      <c r="M18" s="1695">
        <f t="shared" si="18"/>
        <v>-527.4</v>
      </c>
      <c r="N18" s="1695">
        <f t="shared" si="18"/>
        <v>-556.70000000000005</v>
      </c>
      <c r="O18" s="1695">
        <f t="shared" si="18"/>
        <v>-601.70000000000005</v>
      </c>
      <c r="P18" s="1695">
        <f t="shared" ca="1" si="18"/>
        <v>-619.35390955854734</v>
      </c>
      <c r="Q18" s="1695">
        <f t="shared" ca="1" si="18"/>
        <v>-653.82239239434932</v>
      </c>
      <c r="R18" s="1695">
        <f ca="1">-R285</f>
        <v>-711.84928438857503</v>
      </c>
      <c r="S18" s="1695">
        <f ca="1">-S285</f>
        <v>-710.13856933186582</v>
      </c>
      <c r="T18" s="1695">
        <f ca="1">-T285</f>
        <v>-708.77727418787708</v>
      </c>
      <c r="U18" s="1695">
        <f ca="1">-U285</f>
        <v>-707.15437937684771</v>
      </c>
      <c r="V18" s="1695">
        <f ca="1">-V285</f>
        <v>-705.114302427398</v>
      </c>
      <c r="W18" s="1685"/>
      <c r="X18" s="1685"/>
      <c r="Y18" s="1685"/>
      <c r="Z18" s="1685"/>
      <c r="AA18" s="1685"/>
      <c r="AB18" s="1685"/>
      <c r="AC18" s="1685"/>
      <c r="AD18" s="1685"/>
    </row>
    <row r="19" spans="1:30" ht="15.75">
      <c r="A19" s="1685"/>
      <c r="B19" s="1692" t="s">
        <v>3438</v>
      </c>
      <c r="C19" s="1690"/>
      <c r="D19" s="1695"/>
      <c r="E19" s="1695"/>
      <c r="F19" s="1695"/>
      <c r="G19" s="1695"/>
      <c r="H19" s="1695">
        <f>H413</f>
        <v>0</v>
      </c>
      <c r="I19" s="1694">
        <v>-170.1</v>
      </c>
      <c r="J19" s="1694">
        <v>95</v>
      </c>
      <c r="K19" s="1694">
        <v>-17.2</v>
      </c>
      <c r="L19" s="1694">
        <v>-352.7</v>
      </c>
      <c r="M19" s="1694">
        <v>564.1</v>
      </c>
      <c r="N19" s="1694">
        <v>359.4</v>
      </c>
      <c r="O19" s="1694">
        <v>-34.1</v>
      </c>
      <c r="P19" s="1694">
        <v>70</v>
      </c>
      <c r="Q19" s="1697">
        <v>0</v>
      </c>
      <c r="R19" s="1697">
        <v>0</v>
      </c>
      <c r="S19" s="1697">
        <v>0</v>
      </c>
      <c r="T19" s="1697">
        <v>0</v>
      </c>
      <c r="U19" s="1697">
        <v>0</v>
      </c>
      <c r="V19" s="1697">
        <v>0</v>
      </c>
      <c r="W19" s="1685"/>
      <c r="X19" s="1685"/>
      <c r="Y19" s="1685"/>
      <c r="Z19" s="1685"/>
      <c r="AA19" s="1685"/>
      <c r="AB19" s="1685"/>
      <c r="AC19" s="1685"/>
      <c r="AD19" s="1685"/>
    </row>
    <row r="20" spans="1:30" ht="15.75">
      <c r="A20" s="1685"/>
      <c r="B20" s="1692" t="s">
        <v>1133</v>
      </c>
      <c r="C20" s="1690"/>
      <c r="D20" s="1695"/>
      <c r="E20" s="1695"/>
      <c r="F20" s="1695"/>
      <c r="G20" s="1695"/>
      <c r="H20" s="1695"/>
      <c r="I20" s="1694">
        <v>94.4</v>
      </c>
      <c r="J20" s="1694">
        <v>-180</v>
      </c>
      <c r="K20" s="1694">
        <v>-112.5</v>
      </c>
      <c r="L20" s="1694">
        <v>1.5</v>
      </c>
      <c r="M20" s="1694">
        <v>-319.60000000000002</v>
      </c>
      <c r="N20" s="1694">
        <v>-194.3</v>
      </c>
      <c r="O20" s="1694">
        <v>70.3</v>
      </c>
      <c r="P20" s="1694">
        <v>23</v>
      </c>
      <c r="Q20" s="1697">
        <v>0</v>
      </c>
      <c r="R20" s="1697">
        <v>0</v>
      </c>
      <c r="S20" s="1697">
        <v>0</v>
      </c>
      <c r="T20" s="1697">
        <v>0</v>
      </c>
      <c r="U20" s="1697">
        <v>0</v>
      </c>
      <c r="V20" s="1697">
        <v>0</v>
      </c>
      <c r="W20" s="1685"/>
      <c r="X20" s="1685"/>
      <c r="Y20" s="1685"/>
      <c r="Z20" s="1685"/>
      <c r="AA20" s="1685"/>
      <c r="AB20" s="1685"/>
      <c r="AC20" s="1685"/>
      <c r="AD20" s="1685"/>
    </row>
    <row r="21" spans="1:30" ht="15.75">
      <c r="A21" s="1685"/>
      <c r="B21" s="1692" t="s">
        <v>3446</v>
      </c>
      <c r="C21" s="1690"/>
      <c r="D21" s="1695"/>
      <c r="E21" s="1695"/>
      <c r="F21" s="1695"/>
      <c r="G21" s="1695"/>
      <c r="H21" s="1695"/>
      <c r="I21" s="1694">
        <v>-51.8</v>
      </c>
      <c r="J21" s="1694"/>
      <c r="K21" s="1694"/>
      <c r="L21" s="1694"/>
      <c r="M21" s="1694"/>
      <c r="N21" s="1694">
        <v>0</v>
      </c>
      <c r="O21" s="1694">
        <v>0</v>
      </c>
      <c r="P21" s="1694">
        <v>0</v>
      </c>
      <c r="Q21" s="1697"/>
      <c r="R21" s="1697"/>
      <c r="S21" s="1697"/>
      <c r="T21" s="1697"/>
      <c r="U21" s="1697"/>
      <c r="V21" s="1697"/>
      <c r="W21" s="1685"/>
      <c r="X21" s="1685"/>
      <c r="Y21" s="1685"/>
      <c r="Z21" s="1685"/>
      <c r="AA21" s="1685"/>
      <c r="AB21" s="1685"/>
      <c r="AC21" s="1685"/>
      <c r="AD21" s="1685"/>
    </row>
    <row r="22" spans="1:30" ht="15.75">
      <c r="A22" s="1685"/>
      <c r="B22" s="1692" t="s">
        <v>2780</v>
      </c>
      <c r="C22" s="1690"/>
      <c r="D22" s="1695"/>
      <c r="E22" s="1695"/>
      <c r="F22" s="1695"/>
      <c r="G22" s="1695"/>
      <c r="H22" s="1695"/>
      <c r="I22" s="1699">
        <v>-6.5</v>
      </c>
      <c r="J22" s="1694">
        <v>32</v>
      </c>
      <c r="K22" s="1694">
        <f>19.8-14.3</f>
        <v>5.5</v>
      </c>
      <c r="L22" s="1694">
        <f>45.1-0.1</f>
        <v>45</v>
      </c>
      <c r="M22" s="1694">
        <f>57.2+41.7</f>
        <v>98.9</v>
      </c>
      <c r="N22" s="1694">
        <f>-41.1-169.4+28.4</f>
        <v>-182.1</v>
      </c>
      <c r="O22" s="1694">
        <f>3.9+10.6</f>
        <v>14.5</v>
      </c>
      <c r="P22" s="1694">
        <v>2</v>
      </c>
      <c r="Q22" s="1697">
        <v>0</v>
      </c>
      <c r="R22" s="1697">
        <v>0</v>
      </c>
      <c r="S22" s="1697">
        <v>0</v>
      </c>
      <c r="T22" s="1697">
        <v>0</v>
      </c>
      <c r="U22" s="1697">
        <v>0</v>
      </c>
      <c r="V22" s="1697">
        <v>0</v>
      </c>
      <c r="W22" s="1685"/>
      <c r="X22" s="1685"/>
      <c r="Y22" s="1685"/>
      <c r="Z22" s="1685"/>
      <c r="AA22" s="1685"/>
      <c r="AB22" s="1685"/>
      <c r="AC22" s="1685"/>
      <c r="AD22" s="1685"/>
    </row>
    <row r="23" spans="1:30" ht="15.75">
      <c r="A23" s="1685"/>
      <c r="B23" s="1692"/>
      <c r="C23" s="1690"/>
      <c r="D23" s="1692"/>
      <c r="E23" s="1692"/>
      <c r="F23" s="1692"/>
      <c r="G23" s="1692"/>
      <c r="H23" s="1692"/>
      <c r="I23" s="1692"/>
      <c r="J23" s="1692"/>
      <c r="K23" s="1692"/>
      <c r="L23" s="1692"/>
      <c r="M23" s="1692"/>
      <c r="N23" s="1692"/>
      <c r="O23" s="1692"/>
      <c r="P23" s="1692"/>
      <c r="Q23" s="1692"/>
      <c r="R23" s="1692"/>
      <c r="S23" s="1692"/>
      <c r="T23" s="1692"/>
      <c r="U23" s="1692"/>
      <c r="V23" s="1692"/>
      <c r="W23" s="1685"/>
      <c r="X23" s="1685"/>
      <c r="Y23" s="1685"/>
      <c r="Z23" s="1685"/>
      <c r="AA23" s="1685"/>
      <c r="AB23" s="1685"/>
      <c r="AC23" s="1685"/>
      <c r="AD23" s="1685"/>
    </row>
    <row r="24" spans="1:30" ht="15.75">
      <c r="A24" s="1685"/>
      <c r="B24" s="1689" t="s">
        <v>66</v>
      </c>
      <c r="C24" s="1690"/>
      <c r="D24" s="1691"/>
      <c r="E24" s="1691"/>
      <c r="F24" s="1691"/>
      <c r="G24" s="1691"/>
      <c r="H24" s="1691" t="e">
        <f ca="1">H16+H18+H19+H22+H20</f>
        <v>#DIV/0!</v>
      </c>
      <c r="I24" s="1691">
        <f>I16+I18+I19-I22+I20</f>
        <v>-599.40000000000009</v>
      </c>
      <c r="J24" s="1691">
        <f>J16+J18+J19-J22+J20</f>
        <v>-584.32823862840041</v>
      </c>
      <c r="K24" s="1691">
        <f t="shared" ref="K24:P24" si="19">K16+K18+K19-K22+K20</f>
        <v>-298.00000000000011</v>
      </c>
      <c r="L24" s="1691">
        <f t="shared" si="19"/>
        <v>-838.19999999999982</v>
      </c>
      <c r="M24" s="1691">
        <f t="shared" si="19"/>
        <v>-311.00643889618914</v>
      </c>
      <c r="N24" s="1691">
        <f t="shared" si="19"/>
        <v>-115.5000000000002</v>
      </c>
      <c r="O24" s="1691">
        <f t="shared" si="19"/>
        <v>-62.600000000000065</v>
      </c>
      <c r="P24" s="1691">
        <f t="shared" ca="1" si="19"/>
        <v>-555.34466528133487</v>
      </c>
      <c r="Q24" s="1691">
        <f t="shared" ref="Q24:V24" ca="1" si="20">Q16+Q18+Q19-Q22+Q20</f>
        <v>295.58821391254457</v>
      </c>
      <c r="R24" s="1691">
        <f t="shared" ca="1" si="20"/>
        <v>347.93908529977114</v>
      </c>
      <c r="S24" s="1691">
        <f t="shared" ca="1" si="20"/>
        <v>417.88349460698544</v>
      </c>
      <c r="T24" s="1691">
        <f t="shared" ca="1" si="20"/>
        <v>478.5316109869234</v>
      </c>
      <c r="U24" s="1691">
        <f t="shared" ca="1" si="20"/>
        <v>515.64072891115768</v>
      </c>
      <c r="V24" s="1691">
        <f t="shared" ca="1" si="20"/>
        <v>553.40732329311652</v>
      </c>
      <c r="W24" s="1685"/>
      <c r="X24" s="1685"/>
      <c r="Y24" s="1685"/>
      <c r="Z24" s="1685"/>
      <c r="AA24" s="1685"/>
      <c r="AB24" s="1685"/>
      <c r="AC24" s="1685"/>
      <c r="AD24" s="1685"/>
    </row>
    <row r="25" spans="1:30" ht="15.75">
      <c r="A25" s="1685"/>
      <c r="B25" s="1692"/>
      <c r="C25" s="1690"/>
      <c r="D25" s="1692"/>
      <c r="E25" s="1692"/>
      <c r="F25" s="1692"/>
      <c r="G25" s="1692"/>
      <c r="H25" s="1692"/>
      <c r="I25" s="1692"/>
      <c r="J25" s="1692"/>
      <c r="K25" s="1692"/>
      <c r="L25" s="1692"/>
      <c r="M25" s="1692"/>
      <c r="N25" s="1692"/>
      <c r="O25" s="1692"/>
      <c r="P25" s="1692"/>
      <c r="Q25" s="1692"/>
      <c r="R25" s="1692"/>
      <c r="S25" s="1692"/>
      <c r="T25" s="1692"/>
      <c r="U25" s="1692"/>
      <c r="V25" s="1692"/>
      <c r="W25" s="1685"/>
      <c r="X25" s="1685"/>
      <c r="Y25" s="1685"/>
      <c r="Z25" s="1685"/>
      <c r="AA25" s="1685"/>
      <c r="AB25" s="1685"/>
      <c r="AC25" s="1685"/>
      <c r="AD25" s="1685"/>
    </row>
    <row r="26" spans="1:30" ht="15.75">
      <c r="A26" s="1685"/>
      <c r="B26" s="1692" t="s">
        <v>267</v>
      </c>
      <c r="C26" s="1690"/>
      <c r="D26" s="1692"/>
      <c r="E26" s="1692"/>
      <c r="F26" s="1692"/>
      <c r="G26" s="1692"/>
      <c r="H26" s="1692"/>
      <c r="I26" s="1692"/>
      <c r="J26" s="1692"/>
      <c r="K26" s="1692"/>
      <c r="L26" s="1692"/>
      <c r="M26" s="1692"/>
      <c r="N26" s="1692"/>
      <c r="O26" s="1692"/>
      <c r="P26" s="1692"/>
      <c r="Q26" s="1692"/>
      <c r="R26" s="1692"/>
      <c r="S26" s="1692"/>
      <c r="T26" s="1692"/>
      <c r="U26" s="1692"/>
      <c r="V26" s="1692"/>
      <c r="W26" s="1685"/>
      <c r="X26" s="1685"/>
      <c r="Y26" s="1685"/>
      <c r="Z26" s="1685"/>
      <c r="AA26" s="1685"/>
      <c r="AB26" s="1685"/>
      <c r="AC26" s="1685"/>
      <c r="AD26" s="1685"/>
    </row>
    <row r="27" spans="1:30" ht="15.75">
      <c r="A27" s="1685"/>
      <c r="B27" s="1692" t="s">
        <v>67</v>
      </c>
      <c r="C27" s="1690"/>
      <c r="D27" s="1695"/>
      <c r="E27" s="1695"/>
      <c r="F27" s="1695"/>
      <c r="G27" s="1695"/>
      <c r="H27" s="1695" t="e">
        <f t="shared" ref="H27:P27" ca="1" si="21">H382</f>
        <v>#DIV/0!</v>
      </c>
      <c r="I27" s="1695">
        <f t="shared" si="21"/>
        <v>147.5</v>
      </c>
      <c r="J27" s="1695">
        <f t="shared" si="21"/>
        <v>51</v>
      </c>
      <c r="K27" s="1695">
        <f t="shared" si="21"/>
        <v>-98.2</v>
      </c>
      <c r="L27" s="1695">
        <f t="shared" si="21"/>
        <v>-29.3</v>
      </c>
      <c r="M27" s="1695">
        <f t="shared" si="21"/>
        <v>189.5</v>
      </c>
      <c r="N27" s="1695">
        <f t="shared" si="21"/>
        <v>86.5</v>
      </c>
      <c r="O27" s="1695">
        <f t="shared" si="21"/>
        <v>24.4</v>
      </c>
      <c r="P27" s="1695">
        <f t="shared" ca="1" si="21"/>
        <v>-7.7378661125339026</v>
      </c>
      <c r="Q27" s="1695">
        <f t="shared" ref="Q27:V27" ca="1" si="22">Q382</f>
        <v>120.18822845201427</v>
      </c>
      <c r="R27" s="1695">
        <f t="shared" ca="1" si="22"/>
        <v>136.94050729592672</v>
      </c>
      <c r="S27" s="1695">
        <f t="shared" ca="1" si="22"/>
        <v>159.32271827423503</v>
      </c>
      <c r="T27" s="1695">
        <f t="shared" ca="1" si="22"/>
        <v>178.73011551581459</v>
      </c>
      <c r="U27" s="1695">
        <f t="shared" ca="1" si="22"/>
        <v>190.60503325156967</v>
      </c>
      <c r="V27" s="1695">
        <f t="shared" ca="1" si="22"/>
        <v>202.69034345371335</v>
      </c>
      <c r="W27" s="1685"/>
      <c r="X27" s="1685"/>
      <c r="Y27" s="1685"/>
      <c r="Z27" s="1685"/>
      <c r="AA27" s="1685"/>
      <c r="AB27" s="1685"/>
      <c r="AC27" s="1685"/>
      <c r="AD27" s="1685"/>
    </row>
    <row r="28" spans="1:30" ht="15.75">
      <c r="A28" s="1685"/>
      <c r="B28" s="1692" t="s">
        <v>85</v>
      </c>
      <c r="C28" s="1690"/>
      <c r="D28" s="1695"/>
      <c r="E28" s="1695"/>
      <c r="F28" s="1695"/>
      <c r="G28" s="1695"/>
      <c r="H28" s="1695">
        <f t="shared" ref="H28:P28" ca="1" si="23">H421</f>
        <v>111.2</v>
      </c>
      <c r="I28" s="1695">
        <f t="shared" si="23"/>
        <v>-20.6</v>
      </c>
      <c r="J28" s="1695">
        <f t="shared" si="23"/>
        <v>-290.60000000000002</v>
      </c>
      <c r="K28" s="1695">
        <f t="shared" si="23"/>
        <v>-102.3</v>
      </c>
      <c r="L28" s="1695">
        <f t="shared" si="23"/>
        <v>-121.7</v>
      </c>
      <c r="M28" s="1695">
        <f t="shared" si="23"/>
        <v>-50</v>
      </c>
      <c r="N28" s="1695">
        <f t="shared" si="23"/>
        <v>-26.3</v>
      </c>
      <c r="O28" s="1695">
        <f t="shared" si="23"/>
        <v>-13.2</v>
      </c>
      <c r="P28" s="1695">
        <f t="shared" ca="1" si="23"/>
        <v>77.84076919798315</v>
      </c>
      <c r="Q28" s="1695">
        <f t="shared" ref="Q28:V28" ca="1" si="24">Q421</f>
        <v>84.452359165802662</v>
      </c>
      <c r="R28" s="1695">
        <f t="shared" si="24"/>
        <v>50</v>
      </c>
      <c r="S28" s="1695">
        <f t="shared" si="24"/>
        <v>55</v>
      </c>
      <c r="T28" s="1695">
        <f t="shared" si="24"/>
        <v>60</v>
      </c>
      <c r="U28" s="1695">
        <f t="shared" si="24"/>
        <v>65</v>
      </c>
      <c r="V28" s="1695">
        <f t="shared" si="24"/>
        <v>70</v>
      </c>
      <c r="W28" s="1685"/>
      <c r="X28" s="1696"/>
      <c r="Y28" s="1685"/>
      <c r="Z28" s="1685"/>
      <c r="AA28" s="1685"/>
      <c r="AB28" s="1685"/>
      <c r="AC28" s="1685"/>
      <c r="AD28" s="1685"/>
    </row>
    <row r="29" spans="1:30" ht="15.75">
      <c r="A29" s="1685"/>
      <c r="B29" s="1692"/>
      <c r="C29" s="1690"/>
      <c r="D29" s="1692"/>
      <c r="E29" s="1692"/>
      <c r="F29" s="1692"/>
      <c r="G29" s="1692"/>
      <c r="H29" s="1692"/>
      <c r="I29" s="1692"/>
      <c r="J29" s="1692"/>
      <c r="K29" s="1692"/>
      <c r="L29" s="1692"/>
      <c r="M29" s="1692"/>
      <c r="N29" s="1692"/>
      <c r="O29" s="1692"/>
      <c r="P29" s="1692"/>
      <c r="Q29" s="1692"/>
      <c r="R29" s="1692"/>
      <c r="S29" s="1692"/>
      <c r="T29" s="1692"/>
      <c r="U29" s="1692"/>
      <c r="V29" s="1692"/>
      <c r="W29" s="1685"/>
      <c r="X29" s="1685"/>
      <c r="Y29" s="1685"/>
      <c r="Z29" s="1685"/>
      <c r="AA29" s="1685"/>
      <c r="AB29" s="1685"/>
      <c r="AC29" s="1685"/>
      <c r="AD29" s="1685"/>
    </row>
    <row r="30" spans="1:30" ht="15.75">
      <c r="A30" s="1685"/>
      <c r="B30" s="1689" t="s">
        <v>69</v>
      </c>
      <c r="C30" s="1690"/>
      <c r="D30" s="1691"/>
      <c r="E30" s="1691"/>
      <c r="F30" s="1691"/>
      <c r="G30" s="1691"/>
      <c r="H30" s="1691" t="e">
        <f t="shared" ref="H30:P30" ca="1" si="25">H24+H26-H27-H28</f>
        <v>#DIV/0!</v>
      </c>
      <c r="I30" s="1691">
        <f t="shared" si="25"/>
        <v>-726.30000000000007</v>
      </c>
      <c r="J30" s="1691">
        <f>J24+J26-J27-J28</f>
        <v>-344.72823862840039</v>
      </c>
      <c r="K30" s="1691">
        <f t="shared" si="25"/>
        <v>-97.500000000000128</v>
      </c>
      <c r="L30" s="1691">
        <f t="shared" si="25"/>
        <v>-687.19999999999982</v>
      </c>
      <c r="M30" s="1691">
        <f t="shared" si="25"/>
        <v>-450.50643889618914</v>
      </c>
      <c r="N30" s="1691">
        <f t="shared" si="25"/>
        <v>-175.70000000000019</v>
      </c>
      <c r="O30" s="1691">
        <f t="shared" si="25"/>
        <v>-73.800000000000054</v>
      </c>
      <c r="P30" s="1691">
        <f t="shared" ca="1" si="25"/>
        <v>-625.44756836678414</v>
      </c>
      <c r="Q30" s="1691">
        <f t="shared" ref="Q30:V30" ca="1" si="26">Q24+Q26-Q27-Q28</f>
        <v>90.947626294727641</v>
      </c>
      <c r="R30" s="1691">
        <f t="shared" ca="1" si="26"/>
        <v>160.99857800384441</v>
      </c>
      <c r="S30" s="1691">
        <f t="shared" ca="1" si="26"/>
        <v>203.56077633275038</v>
      </c>
      <c r="T30" s="1691">
        <f t="shared" ca="1" si="26"/>
        <v>239.80149547110881</v>
      </c>
      <c r="U30" s="1691">
        <f t="shared" ca="1" si="26"/>
        <v>260.03569565958799</v>
      </c>
      <c r="V30" s="1691">
        <f t="shared" ca="1" si="26"/>
        <v>280.71697983940317</v>
      </c>
      <c r="W30" s="1685"/>
      <c r="X30" s="1696"/>
      <c r="Y30" s="1685"/>
      <c r="Z30" s="1685"/>
      <c r="AA30" s="1685"/>
      <c r="AB30" s="1685"/>
      <c r="AC30" s="1685"/>
      <c r="AD30" s="1685"/>
    </row>
    <row r="31" spans="1:30" ht="15.75">
      <c r="A31" s="1685"/>
      <c r="B31" s="1692"/>
      <c r="C31" s="1692"/>
      <c r="D31" s="1692"/>
      <c r="E31" s="1692"/>
      <c r="F31" s="1692"/>
      <c r="G31" s="1692"/>
      <c r="H31" s="1692"/>
      <c r="I31" s="1692"/>
      <c r="J31" s="1692"/>
      <c r="K31" s="1692"/>
      <c r="L31" s="1692"/>
      <c r="M31" s="1692"/>
      <c r="N31" s="1692"/>
      <c r="O31" s="1692"/>
      <c r="P31" s="1692"/>
      <c r="Q31" s="1692"/>
      <c r="R31" s="1692"/>
      <c r="S31" s="1692"/>
      <c r="T31" s="1692"/>
      <c r="U31" s="1692"/>
      <c r="V31" s="1692"/>
      <c r="W31" s="1685"/>
      <c r="X31" s="1685"/>
      <c r="Y31" s="1685"/>
      <c r="Z31" s="1685"/>
      <c r="AA31" s="1685"/>
      <c r="AB31" s="1685"/>
      <c r="AC31" s="1685"/>
      <c r="AD31" s="1685"/>
    </row>
    <row r="32" spans="1:30" ht="15.75">
      <c r="A32" s="1685"/>
      <c r="B32" s="1692" t="s">
        <v>86</v>
      </c>
      <c r="C32" s="1700"/>
      <c r="D32" s="1700"/>
      <c r="E32" s="1700"/>
      <c r="F32" s="1700"/>
      <c r="G32" s="1700"/>
      <c r="H32" s="1700" t="e">
        <f t="shared" ref="H32:V32" ca="1" si="27">H30/H480</f>
        <v>#DIV/0!</v>
      </c>
      <c r="I32" s="1700">
        <f t="shared" si="27"/>
        <v>-4.2233057905432858</v>
      </c>
      <c r="J32" s="1700">
        <f t="shared" si="27"/>
        <v>-1.9575955239414686</v>
      </c>
      <c r="K32" s="1700">
        <f t="shared" si="27"/>
        <v>-0.53732774512478465</v>
      </c>
      <c r="L32" s="1700">
        <f t="shared" si="27"/>
        <v>-3.3201756716929891</v>
      </c>
      <c r="M32" s="1700">
        <f t="shared" si="27"/>
        <v>-1.951257964727084</v>
      </c>
      <c r="N32" s="1700">
        <f t="shared" si="27"/>
        <v>-0.78925499180199077</v>
      </c>
      <c r="O32" s="1700">
        <f t="shared" si="27"/>
        <v>-0.35126130414088558</v>
      </c>
      <c r="P32" s="1700">
        <f t="shared" ca="1" si="27"/>
        <v>-3.2123655283347929</v>
      </c>
      <c r="Q32" s="1700">
        <f t="shared" ca="1" si="27"/>
        <v>0.51324845538785357</v>
      </c>
      <c r="R32" s="1700">
        <f t="shared" ca="1" si="27"/>
        <v>0.97752627810470205</v>
      </c>
      <c r="S32" s="1700">
        <f t="shared" ca="1" si="27"/>
        <v>1.3158421223836483</v>
      </c>
      <c r="T32" s="1700">
        <f t="shared" ca="1" si="27"/>
        <v>1.6572321732626734</v>
      </c>
      <c r="U32" s="1700">
        <f t="shared" ca="1" si="27"/>
        <v>1.9304802944290127</v>
      </c>
      <c r="V32" s="1700">
        <f t="shared" ca="1" si="27"/>
        <v>2.2511385712863126</v>
      </c>
      <c r="W32" s="1685"/>
      <c r="X32" s="1685"/>
      <c r="Y32" s="1685"/>
      <c r="Z32" s="1685"/>
      <c r="AA32" s="1685"/>
      <c r="AB32" s="1685"/>
      <c r="AC32" s="1685"/>
      <c r="AD32" s="1685"/>
    </row>
    <row r="33" spans="1:32" ht="15.75">
      <c r="A33" s="1685"/>
      <c r="B33" s="1692" t="s">
        <v>87</v>
      </c>
      <c r="C33" s="1701"/>
      <c r="D33" s="1701"/>
      <c r="E33" s="1701"/>
      <c r="F33" s="1701"/>
      <c r="G33" s="1701"/>
      <c r="H33" s="1701" t="e">
        <f ca="1">H467</f>
        <v>#DIV/0!</v>
      </c>
      <c r="I33" s="1701">
        <f>I467</f>
        <v>0.37621903434964882</v>
      </c>
      <c r="J33" s="1701">
        <f>J467</f>
        <v>2.146942155752761</v>
      </c>
      <c r="K33" s="1701">
        <f>K467</f>
        <v>1.8561229185438692</v>
      </c>
      <c r="L33" s="1701">
        <f t="shared" ref="L33:Q33" si="28">L467</f>
        <v>0.90831348410692969</v>
      </c>
      <c r="M33" s="1701">
        <f t="shared" si="28"/>
        <v>0.80948354601442674</v>
      </c>
      <c r="N33" s="1701">
        <f t="shared" si="28"/>
        <v>0.85394065988365542</v>
      </c>
      <c r="O33" s="1701">
        <f t="shared" si="28"/>
        <v>0.38267491670632986</v>
      </c>
      <c r="P33" s="1701">
        <f t="shared" ca="1" si="28"/>
        <v>-0.4594122669069543</v>
      </c>
      <c r="Q33" s="1701">
        <f t="shared" ca="1" si="28"/>
        <v>0.96471572401087835</v>
      </c>
      <c r="R33" s="1701">
        <f t="shared" ref="R33:S33" ca="1" si="29">R467</f>
        <v>1.4632579113773188</v>
      </c>
      <c r="S33" s="1701">
        <f t="shared" ca="1" si="29"/>
        <v>1.8329720512782832</v>
      </c>
      <c r="T33" s="1701">
        <f t="shared" ref="T33:V33" ca="1" si="30">T467</f>
        <v>2.2101001760270131</v>
      </c>
      <c r="U33" s="1701">
        <f t="shared" ca="1" si="30"/>
        <v>2.5243926923503195</v>
      </c>
      <c r="V33" s="1701">
        <f t="shared" ca="1" si="30"/>
        <v>2.8926782665549573</v>
      </c>
      <c r="W33" s="1685"/>
      <c r="X33" s="1685"/>
      <c r="Y33" s="1685"/>
      <c r="Z33" s="1685"/>
      <c r="AA33" s="1685"/>
      <c r="AB33" s="1685"/>
      <c r="AC33" s="1685"/>
      <c r="AD33" s="1685"/>
    </row>
    <row r="34" spans="1:32" ht="15.75">
      <c r="A34" s="1685"/>
      <c r="B34" s="1692" t="s">
        <v>88</v>
      </c>
      <c r="C34" s="1701"/>
      <c r="D34" s="1701"/>
      <c r="E34" s="1701"/>
      <c r="F34" s="1701"/>
      <c r="G34" s="1701"/>
      <c r="H34" s="1701">
        <f>H482</f>
        <v>2.6700000000000002E-2</v>
      </c>
      <c r="I34" s="1701">
        <f>I482</f>
        <v>2.6700000000000002E-2</v>
      </c>
      <c r="J34" s="1701">
        <f>J482</f>
        <v>2.6700000000000002E-2</v>
      </c>
      <c r="K34" s="1701">
        <f>K482</f>
        <v>2.6700000000000002E-2</v>
      </c>
      <c r="L34" s="1701">
        <f t="shared" ref="L34:Q34" si="31">L482</f>
        <v>2.6700000000000002E-2</v>
      </c>
      <c r="M34" s="1701">
        <f t="shared" si="31"/>
        <v>2.6700000000000002E-2</v>
      </c>
      <c r="N34" s="1701">
        <f t="shared" si="31"/>
        <v>2.6700000000000002E-2</v>
      </c>
      <c r="O34" s="1701">
        <f t="shared" si="31"/>
        <v>2.6700000000000002E-2</v>
      </c>
      <c r="P34" s="1701">
        <f t="shared" si="31"/>
        <v>2.6700000000000002E-2</v>
      </c>
      <c r="Q34" s="1701">
        <f t="shared" si="31"/>
        <v>2.6700000000000002E-2</v>
      </c>
      <c r="R34" s="1701">
        <f t="shared" ref="R34:S34" si="32">R482</f>
        <v>2.6700000000000002E-2</v>
      </c>
      <c r="S34" s="1701">
        <f t="shared" si="32"/>
        <v>2.6700000000000002E-2</v>
      </c>
      <c r="T34" s="1701">
        <f t="shared" ref="T34:V34" si="33">T482</f>
        <v>2.6700000000000002E-2</v>
      </c>
      <c r="U34" s="1701">
        <f t="shared" si="33"/>
        <v>2.6700000000000002E-2</v>
      </c>
      <c r="V34" s="1701">
        <f t="shared" si="33"/>
        <v>2.6700000000000002E-2</v>
      </c>
      <c r="W34" s="1685"/>
      <c r="X34" s="1685"/>
      <c r="Y34" s="1685"/>
      <c r="Z34" s="1685"/>
      <c r="AA34" s="1685"/>
      <c r="AB34" s="1685"/>
      <c r="AC34" s="1685"/>
      <c r="AD34" s="1685"/>
    </row>
    <row r="35" spans="1:32" ht="15.75">
      <c r="A35" s="1685"/>
      <c r="B35" s="1692" t="s">
        <v>89</v>
      </c>
      <c r="C35" s="1700"/>
      <c r="D35" s="1700"/>
      <c r="E35" s="1700"/>
      <c r="F35" s="1700"/>
      <c r="G35" s="1700"/>
      <c r="H35" s="1700" t="e">
        <f ca="1">H495</f>
        <v>#DIV/0!</v>
      </c>
      <c r="I35" s="1700">
        <f>I495</f>
        <v>0.47596511347729281</v>
      </c>
      <c r="J35" s="1700">
        <f>J495</f>
        <v>2.4819832779192805</v>
      </c>
      <c r="K35" s="1700">
        <f>K495</f>
        <v>2.6491635598100891</v>
      </c>
      <c r="L35" s="1700">
        <f t="shared" ref="L35:Q35" si="34">L495</f>
        <v>2.2785140377916382</v>
      </c>
      <c r="M35" s="1700">
        <f t="shared" si="34"/>
        <v>1.2807240172548984</v>
      </c>
      <c r="N35" s="1700">
        <f t="shared" si="34"/>
        <v>1.2793387687262761</v>
      </c>
      <c r="O35" s="1700">
        <f t="shared" si="34"/>
        <v>1.7029985721085201</v>
      </c>
      <c r="P35" s="1700">
        <f t="shared" ca="1" si="34"/>
        <v>0.89828715795427894</v>
      </c>
      <c r="Q35" s="1700">
        <f t="shared" ca="1" si="34"/>
        <v>1.2579612423085067</v>
      </c>
      <c r="R35" s="1700">
        <f t="shared" ref="R35:S35" ca="1" si="35">R495</f>
        <v>1.536365759946696</v>
      </c>
      <c r="S35" s="1700">
        <f t="shared" ca="1" si="35"/>
        <v>1.7527809924065467</v>
      </c>
      <c r="T35" s="1700">
        <f t="shared" ref="T35:V35" ca="1" si="36">T495</f>
        <v>1.9983242598513182</v>
      </c>
      <c r="U35" s="1700">
        <f t="shared" ca="1" si="36"/>
        <v>2.2508849191944793</v>
      </c>
      <c r="V35" s="1700">
        <f t="shared" ca="1" si="36"/>
        <v>2.5539524030159848</v>
      </c>
      <c r="W35" s="1685"/>
      <c r="X35" s="1685"/>
      <c r="Y35" s="1685"/>
      <c r="Z35" s="1685"/>
      <c r="AA35" s="1685"/>
      <c r="AB35" s="1685"/>
      <c r="AC35" s="1685"/>
      <c r="AD35" s="1685"/>
    </row>
    <row r="36" spans="1:32" ht="15.75">
      <c r="A36" s="1685"/>
      <c r="B36" s="1692"/>
      <c r="C36" s="1700"/>
      <c r="D36" s="1700"/>
      <c r="E36" s="1700"/>
      <c r="F36" s="1700"/>
      <c r="G36" s="1700"/>
      <c r="H36" s="1700"/>
      <c r="I36" s="1700"/>
      <c r="J36" s="1700"/>
      <c r="K36" s="1700"/>
      <c r="L36" s="1685"/>
      <c r="M36" s="1685"/>
      <c r="N36" s="1685"/>
      <c r="O36" s="1685"/>
      <c r="P36" s="1685"/>
      <c r="Q36" s="1685"/>
      <c r="R36" s="1685"/>
      <c r="S36" s="1685"/>
      <c r="T36" s="1685"/>
      <c r="U36" s="1685"/>
      <c r="V36" s="1685"/>
      <c r="W36" s="1685"/>
      <c r="X36" s="1685"/>
      <c r="Y36" s="1685"/>
      <c r="Z36" s="1685"/>
      <c r="AA36" s="1685"/>
      <c r="AB36" s="1685"/>
      <c r="AC36" s="1685"/>
      <c r="AD36" s="1685"/>
    </row>
    <row r="37" spans="1:32" ht="15.75">
      <c r="A37" s="1685"/>
      <c r="B37" s="1702" t="s">
        <v>2144</v>
      </c>
      <c r="C37" s="1703"/>
      <c r="D37" s="1703"/>
      <c r="E37" s="1703"/>
      <c r="F37" s="1703"/>
      <c r="G37" s="1703"/>
      <c r="H37" s="1703"/>
      <c r="I37" s="1703"/>
      <c r="J37" s="1703"/>
      <c r="K37" s="1703"/>
      <c r="L37" s="1704"/>
      <c r="M37" s="1704"/>
      <c r="N37" s="1704"/>
      <c r="O37" s="1704"/>
      <c r="P37" s="1704"/>
      <c r="Q37" s="1704"/>
      <c r="R37" s="1704"/>
      <c r="S37" s="1704"/>
      <c r="T37" s="1704"/>
      <c r="U37" s="1704"/>
      <c r="V37" s="1704"/>
      <c r="W37" s="1685"/>
      <c r="X37" s="1685"/>
      <c r="Y37" s="1685"/>
      <c r="Z37" s="1685"/>
      <c r="AA37" s="1685"/>
      <c r="AB37" s="1685"/>
      <c r="AC37" s="1685"/>
      <c r="AD37" s="1685"/>
    </row>
    <row r="38" spans="1:32" ht="15.75">
      <c r="A38" s="1685"/>
      <c r="B38" s="1689"/>
      <c r="C38" s="1695"/>
      <c r="D38" s="1705"/>
      <c r="E38" s="1700"/>
      <c r="F38" s="1700"/>
      <c r="G38" s="1700"/>
      <c r="H38" s="1700"/>
      <c r="I38" s="1700"/>
      <c r="J38" s="1700"/>
      <c r="K38" s="1700"/>
      <c r="L38" s="1706"/>
      <c r="M38" s="1706"/>
      <c r="N38" s="1685"/>
      <c r="O38" s="1685"/>
      <c r="P38" s="1685"/>
      <c r="Q38" s="1685"/>
      <c r="R38" s="1685"/>
      <c r="S38" s="1685"/>
      <c r="T38" s="1685"/>
      <c r="U38" s="1685"/>
      <c r="V38" s="1685"/>
      <c r="W38" s="1685"/>
      <c r="X38" s="1685"/>
      <c r="Y38" s="1685"/>
      <c r="Z38" s="1685"/>
      <c r="AA38" s="1685"/>
      <c r="AB38" s="1685"/>
      <c r="AC38" s="1685"/>
      <c r="AD38" s="1685"/>
    </row>
    <row r="39" spans="1:32" ht="15.75">
      <c r="A39" s="1685"/>
      <c r="B39" s="1687" t="s">
        <v>400</v>
      </c>
      <c r="C39" s="1688">
        <f t="shared" ref="C39:P39" si="37">C2</f>
        <v>40908</v>
      </c>
      <c r="D39" s="1688">
        <f t="shared" si="37"/>
        <v>41274</v>
      </c>
      <c r="E39" s="1688">
        <f t="shared" si="37"/>
        <v>41639</v>
      </c>
      <c r="F39" s="1688">
        <f t="shared" si="37"/>
        <v>42004</v>
      </c>
      <c r="G39" s="1688">
        <f t="shared" si="37"/>
        <v>42369</v>
      </c>
      <c r="H39" s="1688">
        <f t="shared" si="37"/>
        <v>42735</v>
      </c>
      <c r="I39" s="1688">
        <f t="shared" si="37"/>
        <v>43100</v>
      </c>
      <c r="J39" s="1688">
        <f t="shared" si="37"/>
        <v>43465</v>
      </c>
      <c r="K39" s="1688">
        <f t="shared" si="37"/>
        <v>43830</v>
      </c>
      <c r="L39" s="1688">
        <f t="shared" si="37"/>
        <v>44196</v>
      </c>
      <c r="M39" s="1688">
        <f t="shared" si="37"/>
        <v>44561</v>
      </c>
      <c r="N39" s="1688">
        <f t="shared" si="37"/>
        <v>44926</v>
      </c>
      <c r="O39" s="1688">
        <f t="shared" si="37"/>
        <v>45291</v>
      </c>
      <c r="P39" s="1688">
        <f t="shared" si="37"/>
        <v>45657</v>
      </c>
      <c r="Q39" s="1688">
        <f t="shared" ref="Q39:V39" si="38">Q2</f>
        <v>46022</v>
      </c>
      <c r="R39" s="1688">
        <f t="shared" si="38"/>
        <v>46387</v>
      </c>
      <c r="S39" s="1688">
        <f t="shared" si="38"/>
        <v>46752</v>
      </c>
      <c r="T39" s="1688">
        <f t="shared" si="38"/>
        <v>47118</v>
      </c>
      <c r="U39" s="1688">
        <f t="shared" si="38"/>
        <v>47483</v>
      </c>
      <c r="V39" s="1688">
        <f t="shared" si="38"/>
        <v>47848</v>
      </c>
      <c r="W39" s="1688" t="s">
        <v>4062</v>
      </c>
      <c r="X39" s="1685"/>
      <c r="Y39" s="1685"/>
      <c r="Z39" s="1685"/>
      <c r="AA39" s="1685"/>
      <c r="AB39" s="1685"/>
      <c r="AC39" s="1685"/>
      <c r="AD39" s="1685"/>
      <c r="AF39" s="613"/>
    </row>
    <row r="40" spans="1:32" ht="15.75">
      <c r="A40" s="1706">
        <f>SOP!C3</f>
        <v>0.92300000000000004</v>
      </c>
      <c r="B40" s="1692" t="s">
        <v>32</v>
      </c>
      <c r="C40" s="1707"/>
      <c r="D40" s="1707"/>
      <c r="E40" s="1707"/>
      <c r="F40" s="1707"/>
      <c r="G40" s="1707"/>
      <c r="H40" s="1695">
        <f>'New Format'!C25</f>
        <v>328.6</v>
      </c>
      <c r="I40" s="1695">
        <f>'New Format'!D25</f>
        <v>352.4</v>
      </c>
      <c r="J40" s="1695">
        <f>'New Format'!E25</f>
        <v>362</v>
      </c>
      <c r="K40" s="1695">
        <f>'New Format'!F25</f>
        <v>383.6</v>
      </c>
      <c r="L40" s="1695">
        <f>'New Format'!G25</f>
        <v>376</v>
      </c>
      <c r="M40" s="1695">
        <f>'New Format'!H25</f>
        <v>402</v>
      </c>
      <c r="N40" s="1695">
        <f>'New Format'!I25</f>
        <v>429</v>
      </c>
      <c r="O40" s="1695">
        <f>'New Format'!J25</f>
        <v>406</v>
      </c>
      <c r="P40" s="1695">
        <f>'New Format'!K25</f>
        <v>418.15461377811107</v>
      </c>
      <c r="Q40" s="1695">
        <f>'New Format'!L25</f>
        <v>431.58031198993291</v>
      </c>
      <c r="R40" s="1695">
        <f>'New Format'!M25</f>
        <v>447.67070050843608</v>
      </c>
      <c r="S40" s="1695">
        <f>'New Format'!N25</f>
        <v>468.80095587235178</v>
      </c>
      <c r="T40" s="1695">
        <f>'New Format'!O25</f>
        <v>495.57799926280796</v>
      </c>
      <c r="U40" s="1695">
        <f>'New Format'!P25</f>
        <v>523.8573257556609</v>
      </c>
      <c r="V40" s="1695">
        <f>'New Format'!Q25</f>
        <v>553.72205267751224</v>
      </c>
      <c r="W40" s="1707"/>
      <c r="X40" s="1685"/>
      <c r="Y40" s="1685"/>
      <c r="Z40" s="1685"/>
      <c r="AA40" s="1685"/>
      <c r="AB40" s="1685"/>
      <c r="AC40" s="1685"/>
      <c r="AD40" s="1685"/>
      <c r="AF40" s="613"/>
    </row>
    <row r="41" spans="1:32" ht="15.75">
      <c r="A41" s="1706">
        <f>SOP!C4</f>
        <v>1</v>
      </c>
      <c r="B41" s="1692" t="s">
        <v>1382</v>
      </c>
      <c r="C41" s="1707"/>
      <c r="D41" s="1707"/>
      <c r="E41" s="1707"/>
      <c r="F41" s="1707"/>
      <c r="G41" s="1707"/>
      <c r="H41" s="1695">
        <f>'New Format'!C68</f>
        <v>168.4</v>
      </c>
      <c r="I41" s="1695">
        <f>'New Format'!D68</f>
        <v>161.4</v>
      </c>
      <c r="J41" s="1695">
        <f>'New Format'!E68</f>
        <v>157</v>
      </c>
      <c r="K41" s="1695">
        <f>'New Format'!F68</f>
        <v>161.30000000000001</v>
      </c>
      <c r="L41" s="1695">
        <f>'New Format'!G68</f>
        <v>161</v>
      </c>
      <c r="M41" s="1695">
        <f>'New Format'!H68</f>
        <v>158.19999999999999</v>
      </c>
      <c r="N41" s="1695">
        <f>'New Format'!I68</f>
        <v>159.30000000000001</v>
      </c>
      <c r="O41" s="1695">
        <f>'New Format'!J68</f>
        <v>156.5</v>
      </c>
      <c r="P41" s="1695">
        <f>'New Format'!K68</f>
        <v>157.48739223153083</v>
      </c>
      <c r="Q41" s="1695">
        <f>'New Format'!L68</f>
        <v>161.13803543031224</v>
      </c>
      <c r="R41" s="1695">
        <f>'New Format'!M68</f>
        <v>164.87170940015233</v>
      </c>
      <c r="S41" s="1695">
        <f>'New Format'!N68</f>
        <v>168.69027511461385</v>
      </c>
      <c r="T41" s="1695">
        <f>'New Format'!O68</f>
        <v>172.59563477389378</v>
      </c>
      <c r="U41" s="1695">
        <f>'New Format'!P68</f>
        <v>176.58973270949912</v>
      </c>
      <c r="V41" s="1695">
        <f>'New Format'!Q68</f>
        <v>180.67455630861906</v>
      </c>
      <c r="W41" s="1707"/>
      <c r="X41" s="1685"/>
      <c r="Y41" s="1685"/>
      <c r="Z41" s="1685"/>
      <c r="AA41" s="1685"/>
      <c r="AB41" s="1685"/>
      <c r="AC41" s="1685"/>
      <c r="AD41" s="1685"/>
      <c r="AF41" s="613"/>
    </row>
    <row r="42" spans="1:32" ht="15.75">
      <c r="A42" s="1706">
        <f>SOP!C5</f>
        <v>1</v>
      </c>
      <c r="B42" s="1692" t="s">
        <v>33</v>
      </c>
      <c r="C42" s="1707"/>
      <c r="D42" s="1707"/>
      <c r="E42" s="1707"/>
      <c r="F42" s="1707"/>
      <c r="G42" s="1707"/>
      <c r="H42" s="1695">
        <f>'New Format'!C105</f>
        <v>171.4</v>
      </c>
      <c r="I42" s="1695">
        <f>'New Format'!D105</f>
        <v>163.1</v>
      </c>
      <c r="J42" s="1695">
        <f>'New Format'!E105</f>
        <v>151</v>
      </c>
      <c r="K42" s="1695">
        <f>'New Format'!F105</f>
        <v>150.19999999999999</v>
      </c>
      <c r="L42" s="1695">
        <f>'New Format'!G105</f>
        <v>139</v>
      </c>
      <c r="M42" s="1695">
        <f>'New Format'!H105</f>
        <v>141.6</v>
      </c>
      <c r="N42" s="1695">
        <f>'New Format'!I105</f>
        <v>148</v>
      </c>
      <c r="O42" s="1695">
        <f>'New Format'!J105</f>
        <v>157.6</v>
      </c>
      <c r="P42" s="1695">
        <f>'New Format'!K105</f>
        <v>161.84937037625019</v>
      </c>
      <c r="Q42" s="1695">
        <f>'New Format'!L105</f>
        <v>165.08635778377518</v>
      </c>
      <c r="R42" s="1695">
        <f>'New Format'!M105</f>
        <v>166.73722136161297</v>
      </c>
      <c r="S42" s="1695">
        <f>'New Format'!N105</f>
        <v>166.73722136161297</v>
      </c>
      <c r="T42" s="1695">
        <f>'New Format'!O105</f>
        <v>166.73722136161297</v>
      </c>
      <c r="U42" s="1695">
        <f>'New Format'!P105</f>
        <v>166.73722136161297</v>
      </c>
      <c r="V42" s="1695">
        <f>'New Format'!Q105</f>
        <v>166.73722136161297</v>
      </c>
      <c r="W42" s="1707"/>
      <c r="X42" s="1685"/>
      <c r="Y42" s="1685"/>
      <c r="Z42" s="1685"/>
      <c r="AA42" s="1685"/>
      <c r="AB42" s="1685"/>
      <c r="AC42" s="1685"/>
      <c r="AD42" s="1685"/>
      <c r="AF42" s="613"/>
    </row>
    <row r="43" spans="1:32" ht="15.75">
      <c r="A43" s="1706">
        <f>SOP!C6</f>
        <v>0.49</v>
      </c>
      <c r="B43" s="1692" t="s">
        <v>0</v>
      </c>
      <c r="C43" s="1695"/>
      <c r="D43" s="1695"/>
      <c r="E43" s="1695"/>
      <c r="F43" s="1695"/>
      <c r="G43" s="1695"/>
      <c r="H43" s="1695">
        <f>'New Format'!C179</f>
        <v>650</v>
      </c>
      <c r="I43" s="1695">
        <f>'New Format'!D179</f>
        <v>625</v>
      </c>
      <c r="J43" s="1695">
        <f>'New Format'!E179</f>
        <v>597</v>
      </c>
      <c r="K43" s="1695">
        <f>'New Format'!F179</f>
        <v>580.4</v>
      </c>
      <c r="L43" s="1695">
        <f>'New Format'!G179</f>
        <v>498</v>
      </c>
      <c r="M43" s="1695">
        <f>'New Format'!H179</f>
        <v>545.4</v>
      </c>
      <c r="N43" s="1694">
        <v>642.70000000000005</v>
      </c>
      <c r="O43" s="1695">
        <f>'New Format'!J199</f>
        <v>742.6</v>
      </c>
      <c r="P43" s="1695">
        <f>'New Format'!K199</f>
        <v>759.97663094979862</v>
      </c>
      <c r="Q43" s="1695">
        <f>'New Format'!L199</f>
        <v>780.60479874940756</v>
      </c>
      <c r="R43" s="1695">
        <f>'New Format'!M199</f>
        <v>798.32489927311531</v>
      </c>
      <c r="S43" s="1695">
        <f>'New Format'!N199</f>
        <v>810.20842023112891</v>
      </c>
      <c r="T43" s="1695">
        <f>'New Format'!O199</f>
        <v>822.28934135444877</v>
      </c>
      <c r="U43" s="1695">
        <f>'New Format'!P199</f>
        <v>834.57141135018685</v>
      </c>
      <c r="V43" s="1695">
        <f>'New Format'!Q199</f>
        <v>847.05845888597821</v>
      </c>
      <c r="W43" s="1685"/>
      <c r="X43" s="1685"/>
      <c r="Y43" s="1685"/>
      <c r="Z43" s="1685"/>
      <c r="AA43" s="1685"/>
      <c r="AB43" s="1685"/>
      <c r="AC43" s="1685"/>
      <c r="AD43" s="1685"/>
      <c r="AF43" s="522"/>
    </row>
    <row r="44" spans="1:32" ht="15.75">
      <c r="A44" s="1706">
        <f>SOP!C7</f>
        <v>0.49</v>
      </c>
      <c r="B44" s="1692" t="s">
        <v>31</v>
      </c>
      <c r="C44" s="1695"/>
      <c r="D44" s="1695"/>
      <c r="E44" s="1695"/>
      <c r="F44" s="1695"/>
      <c r="G44" s="1695"/>
      <c r="H44" s="1695">
        <f>'New Format'!C142</f>
        <v>306.60000000000002</v>
      </c>
      <c r="I44" s="1695">
        <f>'New Format'!D142</f>
        <v>261.3</v>
      </c>
      <c r="J44" s="1695">
        <f>'New Format'!E142</f>
        <v>229</v>
      </c>
      <c r="K44" s="1695">
        <f>'New Format'!F142</f>
        <v>207.3</v>
      </c>
      <c r="L44" s="1695">
        <f>'New Format'!G142</f>
        <v>181</v>
      </c>
      <c r="M44" s="1695">
        <f>'New Format'!H142</f>
        <v>189.9</v>
      </c>
      <c r="N44" s="1695">
        <f>'New Format'!I142</f>
        <v>194.7</v>
      </c>
      <c r="O44" s="1695">
        <f>'New Format'!J142</f>
        <v>193</v>
      </c>
      <c r="P44" s="1695">
        <f>'New Format'!K142</f>
        <v>203.87765036780618</v>
      </c>
      <c r="Q44" s="1695">
        <f>'New Format'!L142</f>
        <v>211.2303991778451</v>
      </c>
      <c r="R44" s="1695">
        <f>'New Format'!M142</f>
        <v>216.54437148420598</v>
      </c>
      <c r="S44" s="1695">
        <f>'New Format'!N142</f>
        <v>221.85834379056686</v>
      </c>
      <c r="T44" s="1695">
        <f>'New Format'!O142</f>
        <v>227.17231609692774</v>
      </c>
      <c r="U44" s="1695">
        <f>'New Format'!P142</f>
        <v>232.48628840328863</v>
      </c>
      <c r="V44" s="1695">
        <f>'New Format'!Q142</f>
        <v>237.80026070964951</v>
      </c>
      <c r="W44" s="1685"/>
      <c r="X44" s="1685"/>
      <c r="Y44" s="1685"/>
      <c r="Z44" s="1685"/>
      <c r="AA44" s="1685"/>
      <c r="AB44" s="1685"/>
      <c r="AC44" s="1685"/>
      <c r="AD44" s="1685"/>
      <c r="AF44" s="522"/>
    </row>
    <row r="45" spans="1:32" ht="15.75">
      <c r="A45" s="1706">
        <f>SOP!C8</f>
        <v>1</v>
      </c>
      <c r="B45" s="1692" t="s">
        <v>5676</v>
      </c>
      <c r="C45" s="1695"/>
      <c r="D45" s="1695"/>
      <c r="E45" s="1695"/>
      <c r="F45" s="1695"/>
      <c r="G45" s="1695"/>
      <c r="H45" s="1695">
        <f>'New Format'!C207</f>
        <v>289.7</v>
      </c>
      <c r="I45" s="1695">
        <f>'New Format'!D207</f>
        <v>341.1</v>
      </c>
      <c r="J45" s="1695">
        <f>'New Format'!E207</f>
        <v>351</v>
      </c>
      <c r="K45" s="1695">
        <f>'New Format'!F207</f>
        <v>346.4</v>
      </c>
      <c r="L45" s="1695">
        <f>'New Format'!G207</f>
        <v>354</v>
      </c>
      <c r="M45" s="1695">
        <f>'New Format'!H207</f>
        <v>355.8</v>
      </c>
      <c r="N45" s="1695">
        <f>'New Format'!I207</f>
        <v>451</v>
      </c>
      <c r="O45" s="1695">
        <f>'New Format'!J207</f>
        <v>453</v>
      </c>
      <c r="P45" s="1695">
        <f>'New Format'!K207</f>
        <v>458.47930000000002</v>
      </c>
      <c r="Q45" s="1695">
        <f>'New Format'!L207</f>
        <v>470.677572</v>
      </c>
      <c r="R45" s="1695">
        <f>'New Format'!M207</f>
        <v>486.33021660000003</v>
      </c>
      <c r="S45" s="1695">
        <f>'New Format'!N207</f>
        <v>504.17083253880003</v>
      </c>
      <c r="T45" s="1695">
        <f>'New Format'!O207</f>
        <v>522.83872032562806</v>
      </c>
      <c r="U45" s="1695">
        <f>'New Format'!P207</f>
        <v>542.37459596339636</v>
      </c>
      <c r="V45" s="1695">
        <f>'New Format'!Q207</f>
        <v>562.82120477926799</v>
      </c>
      <c r="W45" s="1685"/>
      <c r="X45" s="1685"/>
      <c r="Y45" s="1685"/>
      <c r="Z45" s="1685"/>
      <c r="AA45" s="1685"/>
      <c r="AB45" s="1685"/>
      <c r="AC45" s="1685"/>
      <c r="AD45" s="1685"/>
      <c r="AF45" s="522"/>
    </row>
    <row r="46" spans="1:32" ht="15.75">
      <c r="A46" s="1706">
        <f>SOP!C9</f>
        <v>0.98499999999999999</v>
      </c>
      <c r="B46" s="1692" t="s">
        <v>4067</v>
      </c>
      <c r="C46" s="1695"/>
      <c r="D46" s="1695"/>
      <c r="E46" s="1695"/>
      <c r="F46" s="1695"/>
      <c r="G46" s="1695"/>
      <c r="H46" s="1695">
        <f>'New Format'!C218</f>
        <v>424.2</v>
      </c>
      <c r="I46" s="1695">
        <f>'New Format'!D218</f>
        <v>366.4</v>
      </c>
      <c r="J46" s="1695">
        <f>'New Format'!E218</f>
        <v>480.4</v>
      </c>
      <c r="K46" s="1695">
        <f>'New Format'!F218</f>
        <v>553.79999999999995</v>
      </c>
      <c r="L46" s="1695">
        <f>'New Format'!G218</f>
        <v>496.9</v>
      </c>
      <c r="M46" s="1695">
        <f>'New Format'!H218</f>
        <v>560.20000000000005</v>
      </c>
      <c r="N46" s="1695">
        <f>'New Format'!I218</f>
        <v>564.29999999999995</v>
      </c>
      <c r="O46" s="1695">
        <f>'New Format'!J218</f>
        <v>592</v>
      </c>
      <c r="P46" s="1695">
        <f>'New Format'!K218</f>
        <v>597.91999999999996</v>
      </c>
      <c r="Q46" s="1695">
        <f>'New Format'!L218</f>
        <v>603.89919999999995</v>
      </c>
      <c r="R46" s="1695">
        <f>'New Format'!M218</f>
        <v>609.93819199999996</v>
      </c>
      <c r="S46" s="1695">
        <f>'New Format'!N218</f>
        <v>616.03757392</v>
      </c>
      <c r="T46" s="1695">
        <f>'New Format'!O218</f>
        <v>622.19794965920005</v>
      </c>
      <c r="U46" s="1695">
        <f>'New Format'!P218</f>
        <v>628.41992915579203</v>
      </c>
      <c r="V46" s="1695">
        <f>'New Format'!Q218</f>
        <v>634.70412844734994</v>
      </c>
      <c r="W46" s="1685"/>
      <c r="X46" s="1685"/>
      <c r="Y46" s="1685"/>
      <c r="Z46" s="1685"/>
      <c r="AA46" s="1685"/>
      <c r="AB46" s="1685"/>
      <c r="AC46" s="1685"/>
      <c r="AD46" s="1685"/>
      <c r="AF46" s="522"/>
    </row>
    <row r="47" spans="1:32" ht="15.75">
      <c r="A47" s="1685"/>
      <c r="B47" s="1692" t="s">
        <v>468</v>
      </c>
      <c r="C47" s="1695"/>
      <c r="D47" s="1695"/>
      <c r="E47" s="1695"/>
      <c r="F47" s="1695"/>
      <c r="G47" s="1695"/>
      <c r="H47" s="1695">
        <f>Chile!D89</f>
        <v>852.69368983008235</v>
      </c>
      <c r="I47" s="1695">
        <f>Chile!E89</f>
        <v>951.91122071516656</v>
      </c>
      <c r="J47" s="1695">
        <f>Chile!F89</f>
        <v>1008.7671488858091</v>
      </c>
      <c r="K47" s="1695">
        <f>Chile!G89</f>
        <v>941.1</v>
      </c>
      <c r="L47" s="1695">
        <f>Chile!H89</f>
        <v>807.82828282828302</v>
      </c>
      <c r="M47" s="1695">
        <f>Chile!I89</f>
        <v>782.99553219448092</v>
      </c>
      <c r="N47" s="1695">
        <v>450.6</v>
      </c>
      <c r="O47" s="1695"/>
      <c r="P47" s="1695"/>
      <c r="Q47" s="1693"/>
      <c r="R47" s="1695"/>
      <c r="S47" s="1695"/>
      <c r="T47" s="1695"/>
      <c r="U47" s="1695"/>
      <c r="V47" s="1695"/>
      <c r="W47" s="1685"/>
      <c r="X47" s="1685"/>
      <c r="Y47" s="1685"/>
      <c r="Z47" s="1685"/>
      <c r="AA47" s="1685"/>
      <c r="AB47" s="1685"/>
      <c r="AC47" s="1685"/>
      <c r="AD47" s="1685"/>
      <c r="AF47" s="522"/>
    </row>
    <row r="48" spans="1:32" ht="15.75">
      <c r="A48" s="1685"/>
      <c r="B48" s="1692" t="s">
        <v>4496</v>
      </c>
      <c r="C48" s="1695"/>
      <c r="D48" s="1695"/>
      <c r="E48" s="1695"/>
      <c r="F48" s="1695"/>
      <c r="G48" s="1695"/>
      <c r="H48" s="1695">
        <f>'Puerto Rico'!D42</f>
        <v>420.8</v>
      </c>
      <c r="I48" s="1695">
        <f>'Puerto Rico'!E42</f>
        <v>320.5</v>
      </c>
      <c r="J48" s="1695">
        <f>'Puerto Rico'!F42</f>
        <v>324.60000000000002</v>
      </c>
      <c r="K48" s="1695">
        <f>'Puerto Rico'!G42</f>
        <v>410.3</v>
      </c>
      <c r="L48" s="1694">
        <f>'Puerto Rico'!H42+174</f>
        <v>625</v>
      </c>
      <c r="M48" s="1695">
        <f>'Puerto Rico'!I42+'Puerto Rico'!I59</f>
        <v>1455</v>
      </c>
      <c r="N48" s="1695">
        <f>'Puerto Rico'!J42+'Puerto Rico'!J59</f>
        <v>1470.1</v>
      </c>
      <c r="O48" s="1695">
        <f>'Puerto Rico'!K102</f>
        <v>1417</v>
      </c>
      <c r="P48" s="1695">
        <f>'Puerto Rico'!L102</f>
        <v>1278.8028000000002</v>
      </c>
      <c r="Q48" s="1695">
        <f>'Puerto Rico'!M102</f>
        <v>1327.3412871200001</v>
      </c>
      <c r="R48" s="1695">
        <f>'Puerto Rico'!N102</f>
        <v>1353.418403214336</v>
      </c>
      <c r="S48" s="1695">
        <f>'Puerto Rico'!O102</f>
        <v>1369.0294607454246</v>
      </c>
      <c r="T48" s="1695">
        <f>'Puerto Rico'!P102</f>
        <v>1381.0921898993574</v>
      </c>
      <c r="U48" s="1695">
        <f>'Puerto Rico'!Q102</f>
        <v>1398.2943102771044</v>
      </c>
      <c r="V48" s="1695">
        <f>'Puerto Rico'!R102</f>
        <v>1415.8754611784909</v>
      </c>
      <c r="W48" s="1685"/>
      <c r="X48" s="1685"/>
      <c r="Y48" s="1685"/>
      <c r="Z48" s="1685"/>
      <c r="AA48" s="1685"/>
      <c r="AB48" s="1685"/>
      <c r="AC48" s="1685"/>
      <c r="AD48" s="1685"/>
      <c r="AF48" s="522"/>
    </row>
    <row r="49" spans="1:32" ht="15.75">
      <c r="A49" s="1685"/>
      <c r="B49" s="1692" t="s">
        <v>3411</v>
      </c>
      <c r="C49" s="1695"/>
      <c r="D49" s="1695"/>
      <c r="E49" s="1695"/>
      <c r="F49" s="1695"/>
      <c r="G49" s="1695"/>
      <c r="H49" s="1695"/>
      <c r="I49" s="1701"/>
      <c r="J49" s="1694">
        <v>33</v>
      </c>
      <c r="K49" s="1695">
        <f>'Costa Rica'!E57</f>
        <v>132.69999999999999</v>
      </c>
      <c r="L49" s="1695">
        <f>'Costa Rica'!F57</f>
        <v>143</v>
      </c>
      <c r="M49" s="1694">
        <v>256.2</v>
      </c>
      <c r="N49" s="1695">
        <f>'Costa Rica'!H57+Analysis!J2278</f>
        <v>441.30000000000007</v>
      </c>
      <c r="O49" s="1695">
        <f>'Costa Rica'!I57+Analysis!K2278</f>
        <v>547.9</v>
      </c>
      <c r="P49" s="1695">
        <f>'Costa Rica'!J247</f>
        <v>587.03287333112166</v>
      </c>
      <c r="Q49" s="1695">
        <f>'Costa Rica'!K247</f>
        <v>597.57661798413017</v>
      </c>
      <c r="R49" s="1695">
        <f>'Costa Rica'!L247</f>
        <v>611.63713247800251</v>
      </c>
      <c r="S49" s="1695">
        <f>'Costa Rica'!M247</f>
        <v>626.61292781178599</v>
      </c>
      <c r="T49" s="1695">
        <f>'Costa Rica'!N247</f>
        <v>641.07562651355624</v>
      </c>
      <c r="U49" s="1695">
        <f>'Costa Rica'!O247</f>
        <v>655.76816740197523</v>
      </c>
      <c r="V49" s="1695">
        <f>'Costa Rica'!P247</f>
        <v>670.78008956278836</v>
      </c>
      <c r="W49" s="1685"/>
      <c r="X49" s="1685"/>
      <c r="Y49" s="1685"/>
      <c r="Z49" s="1685"/>
      <c r="AA49" s="1685"/>
      <c r="AB49" s="1685"/>
      <c r="AC49" s="1685"/>
      <c r="AD49" s="1685"/>
      <c r="AF49" s="522"/>
    </row>
    <row r="50" spans="1:32" ht="15.75">
      <c r="A50" s="1685"/>
      <c r="B50" s="1692" t="s">
        <v>5969</v>
      </c>
      <c r="C50" s="1695"/>
      <c r="D50" s="1695"/>
      <c r="E50" s="1695"/>
      <c r="F50" s="1695"/>
      <c r="G50" s="1695"/>
      <c r="H50" s="1695"/>
      <c r="I50" s="1697">
        <v>-9</v>
      </c>
      <c r="J50" s="1708">
        <v>0</v>
      </c>
      <c r="K50" s="1708">
        <v>0</v>
      </c>
      <c r="L50" s="1695">
        <f>L52-SUM(L40:L49)</f>
        <v>-16.728282828283227</v>
      </c>
      <c r="M50" s="1695">
        <f>'New Format'!H221</f>
        <v>-56</v>
      </c>
      <c r="N50" s="1695">
        <f>'New Format'!I221</f>
        <v>-58</v>
      </c>
      <c r="O50" s="1695">
        <f>'New Format'!J221</f>
        <v>-68</v>
      </c>
      <c r="P50" s="1695">
        <f>'New Format'!K221</f>
        <v>-68</v>
      </c>
      <c r="Q50" s="1695">
        <f>'New Format'!L221</f>
        <v>-68</v>
      </c>
      <c r="R50" s="1695">
        <f>'New Format'!M221</f>
        <v>-68</v>
      </c>
      <c r="S50" s="1695">
        <f>'New Format'!N221</f>
        <v>-68</v>
      </c>
      <c r="T50" s="1695">
        <f>'New Format'!O221</f>
        <v>-68</v>
      </c>
      <c r="U50" s="1695">
        <f>'New Format'!P221</f>
        <v>-68</v>
      </c>
      <c r="V50" s="1695">
        <f>'New Format'!Q221</f>
        <v>-68</v>
      </c>
      <c r="W50" s="1685"/>
      <c r="X50" s="1685"/>
      <c r="Y50" s="1685"/>
      <c r="Z50" s="1685"/>
      <c r="AA50" s="1685"/>
      <c r="AB50" s="1685"/>
      <c r="AC50" s="1685"/>
      <c r="AD50" s="1685"/>
      <c r="AF50" s="522"/>
    </row>
    <row r="51" spans="1:32" ht="15.75">
      <c r="A51" s="1685"/>
      <c r="B51" s="1692" t="s">
        <v>6523</v>
      </c>
      <c r="C51" s="1695"/>
      <c r="D51" s="1695"/>
      <c r="E51" s="1695"/>
      <c r="F51" s="1695"/>
      <c r="G51" s="1695"/>
      <c r="H51" s="1695"/>
      <c r="I51" s="1697"/>
      <c r="J51" s="1697"/>
      <c r="K51" s="1697"/>
      <c r="L51" s="1695"/>
      <c r="M51" s="1695"/>
      <c r="N51" s="1695">
        <f>N52-SUM(N40:N50)</f>
        <v>-78</v>
      </c>
      <c r="O51" s="1695">
        <f>O52-SUM(O40:O50)</f>
        <v>-86.499999999999091</v>
      </c>
      <c r="P51" s="1697">
        <f t="shared" ref="P51:V51" si="39">O51</f>
        <v>-86.499999999999091</v>
      </c>
      <c r="Q51" s="1697">
        <f t="shared" si="39"/>
        <v>-86.499999999999091</v>
      </c>
      <c r="R51" s="1697">
        <f t="shared" si="39"/>
        <v>-86.499999999999091</v>
      </c>
      <c r="S51" s="1697">
        <f t="shared" si="39"/>
        <v>-86.499999999999091</v>
      </c>
      <c r="T51" s="1697">
        <f t="shared" si="39"/>
        <v>-86.499999999999091</v>
      </c>
      <c r="U51" s="1697">
        <f t="shared" si="39"/>
        <v>-86.499999999999091</v>
      </c>
      <c r="V51" s="1697">
        <f t="shared" si="39"/>
        <v>-86.499999999999091</v>
      </c>
      <c r="W51" s="1685"/>
      <c r="X51" s="1685"/>
      <c r="Y51" s="1685"/>
      <c r="Z51" s="1685"/>
      <c r="AA51" s="1685"/>
      <c r="AB51" s="1685"/>
      <c r="AC51" s="1685"/>
      <c r="AD51" s="1685"/>
      <c r="AF51" s="522"/>
    </row>
    <row r="52" spans="1:32" ht="15.75">
      <c r="A52" s="1685"/>
      <c r="B52" s="1687" t="s">
        <v>16</v>
      </c>
      <c r="C52" s="1709"/>
      <c r="D52" s="1709"/>
      <c r="E52" s="1709"/>
      <c r="F52" s="1710">
        <v>2330.0685602350641</v>
      </c>
      <c r="G52" s="1710">
        <v>3591.5333333333328</v>
      </c>
      <c r="H52" s="1710">
        <v>3620.1757396449707</v>
      </c>
      <c r="I52" s="1710">
        <v>3586.3178736517721</v>
      </c>
      <c r="J52" s="1709">
        <f t="shared" ref="J52:M52" si="40">SUM(J40:J50)</f>
        <v>3693.7671488858091</v>
      </c>
      <c r="K52" s="1709">
        <f t="shared" si="40"/>
        <v>3867.1</v>
      </c>
      <c r="L52" s="1709">
        <v>3765</v>
      </c>
      <c r="M52" s="1709">
        <f t="shared" si="40"/>
        <v>4791.295532194481</v>
      </c>
      <c r="N52" s="1710">
        <v>4815</v>
      </c>
      <c r="O52" s="1710">
        <v>4511.1000000000004</v>
      </c>
      <c r="P52" s="1709">
        <f t="shared" ref="P52:Q52" si="41">SUM(P40:P51)</f>
        <v>4469.0806310346197</v>
      </c>
      <c r="Q52" s="1709">
        <f t="shared" si="41"/>
        <v>4594.6345802354044</v>
      </c>
      <c r="R52" s="1709">
        <f t="shared" ref="R52:S52" si="42">SUM(R40:R51)</f>
        <v>4700.9728463198617</v>
      </c>
      <c r="S52" s="1709">
        <f t="shared" si="42"/>
        <v>4797.6460113862859</v>
      </c>
      <c r="T52" s="1709">
        <f t="shared" ref="T52:V52" si="43">SUM(T40:T51)</f>
        <v>4897.0769992474334</v>
      </c>
      <c r="U52" s="1709">
        <f t="shared" si="43"/>
        <v>5004.5989823785176</v>
      </c>
      <c r="V52" s="1709">
        <f t="shared" si="43"/>
        <v>5115.6734339112709</v>
      </c>
      <c r="W52" s="1711">
        <f>(Q52/N52)^(1/3)-1</f>
        <v>-1.5494314632579109E-2</v>
      </c>
      <c r="X52" s="1685"/>
      <c r="Y52" s="1685"/>
      <c r="Z52" s="1685"/>
      <c r="AA52" s="1685"/>
      <c r="AB52" s="1685"/>
      <c r="AC52" s="1685"/>
      <c r="AD52" s="1685"/>
      <c r="AF52" s="522"/>
    </row>
    <row r="53" spans="1:32" ht="15.75">
      <c r="A53" s="1685"/>
      <c r="B53" s="1692" t="s">
        <v>78</v>
      </c>
      <c r="C53" s="1690"/>
      <c r="D53" s="1690"/>
      <c r="E53" s="1690"/>
      <c r="F53" s="1690"/>
      <c r="G53" s="1690">
        <f t="shared" ref="G53:V53" si="44">G52/F52-1</f>
        <v>0.54138525991312836</v>
      </c>
      <c r="H53" s="1690">
        <f t="shared" si="44"/>
        <v>7.9749799468114002E-3</v>
      </c>
      <c r="I53" s="1690">
        <f t="shared" si="44"/>
        <v>-9.3525476187293899E-3</v>
      </c>
      <c r="J53" s="1690">
        <f t="shared" si="44"/>
        <v>2.9960889976723415E-2</v>
      </c>
      <c r="K53" s="1690">
        <f t="shared" si="44"/>
        <v>4.6925765520026141E-2</v>
      </c>
      <c r="L53" s="1690">
        <f t="shared" si="44"/>
        <v>-2.6402213545033693E-2</v>
      </c>
      <c r="M53" s="1690">
        <f t="shared" si="44"/>
        <v>0.27258845476613036</v>
      </c>
      <c r="N53" s="1690">
        <f t="shared" si="44"/>
        <v>4.9474025649722808E-3</v>
      </c>
      <c r="O53" s="1690">
        <f t="shared" si="44"/>
        <v>-6.3115264797507731E-2</v>
      </c>
      <c r="P53" s="1690">
        <f t="shared" si="44"/>
        <v>-9.3146613831173175E-3</v>
      </c>
      <c r="Q53" s="1690">
        <f t="shared" si="44"/>
        <v>2.8093910037984227E-2</v>
      </c>
      <c r="R53" s="1690">
        <f t="shared" si="44"/>
        <v>2.3144009436983026E-2</v>
      </c>
      <c r="S53" s="1690">
        <f t="shared" si="44"/>
        <v>2.0564501907749611E-2</v>
      </c>
      <c r="T53" s="1690">
        <f t="shared" si="44"/>
        <v>2.0724952950919473E-2</v>
      </c>
      <c r="U53" s="1690">
        <f t="shared" si="44"/>
        <v>2.195635950743835E-2</v>
      </c>
      <c r="V53" s="1690">
        <f t="shared" si="44"/>
        <v>2.2194475905832345E-2</v>
      </c>
      <c r="W53" s="1685"/>
      <c r="X53" s="1685"/>
      <c r="Y53" s="1685"/>
      <c r="Z53" s="1685"/>
      <c r="AA53" s="1685"/>
      <c r="AB53" s="1685"/>
      <c r="AC53" s="1685"/>
      <c r="AD53" s="1685"/>
    </row>
    <row r="54" spans="1:32" ht="15.75">
      <c r="A54" s="1685"/>
      <c r="B54" s="1692" t="s">
        <v>4534</v>
      </c>
      <c r="C54" s="1690"/>
      <c r="D54" s="1690"/>
      <c r="E54" s="1690"/>
      <c r="F54" s="1690"/>
      <c r="G54" s="1690"/>
      <c r="H54" s="1690"/>
      <c r="I54" s="1690"/>
      <c r="J54" s="1690"/>
      <c r="K54" s="1690"/>
      <c r="L54" s="1695"/>
      <c r="M54" s="1695"/>
      <c r="N54" s="1690"/>
      <c r="O54" s="1690"/>
      <c r="P54" s="1690"/>
      <c r="Q54" s="1690"/>
      <c r="R54" s="1690"/>
      <c r="S54" s="1690"/>
      <c r="T54" s="1690"/>
      <c r="U54" s="1690"/>
      <c r="V54" s="1690"/>
      <c r="W54" s="1685"/>
      <c r="X54" s="1685"/>
      <c r="Y54" s="1685"/>
      <c r="Z54" s="1685"/>
      <c r="AA54" s="1685"/>
      <c r="AB54" s="1685"/>
      <c r="AC54" s="1685"/>
      <c r="AD54" s="1685"/>
    </row>
    <row r="55" spans="1:32" ht="15.75">
      <c r="A55" s="1685"/>
      <c r="B55" s="1692" t="s">
        <v>2406</v>
      </c>
      <c r="C55" s="1690"/>
      <c r="D55" s="1690"/>
      <c r="E55" s="1690"/>
      <c r="F55" s="1690"/>
      <c r="G55" s="1690"/>
      <c r="H55" s="1690"/>
      <c r="I55" s="1690"/>
      <c r="J55" s="1695">
        <f>J40*'New Format'!E28/'New Format'!D28+J41+J42+J43+J44+J45+J46+(J47*Chile!F85/Chile!E85)+J48+J50</f>
        <v>3653.2868179716402</v>
      </c>
      <c r="K55" s="1695">
        <f>K40*'New Format'!F28/'New Format'!E28+K41+K42+K43+K44+K45+(K46-33*3)+(K47*Chile!G85/Chile!F85)+K48+K50+10</f>
        <v>3746.4409258554424</v>
      </c>
      <c r="L55" s="1695">
        <f>L40*'New Format'!G28/'New Format'!F28+L41+L42+L43+L44+L45+(L46-33*1)+(L47*Chile!H85/Chile!G85)+L48+L50-Analysis!E2170/4+L49+50</f>
        <v>3690.8648994517412</v>
      </c>
      <c r="M55" s="1695">
        <f>M40*'New Format'!H28/'New Format'!G28+M41+M42+M43+M44+M45+M46+(M47*Chile!I85/Chile!H85)+M48+M50+M49</f>
        <v>4786.1268530374164</v>
      </c>
      <c r="N55" s="1695">
        <f>N40*'New Format'!I28/'New Format'!H28+N41+N42+N43+N44+N45+N46+(N47*Chile!J85/Chile!I85)+N48+N50+N49</f>
        <v>4964.9990705850623</v>
      </c>
      <c r="O55" s="1695">
        <f>O40*'New Format'!J28/'New Format'!I28+O41+O42+O43+O44+O45+O46+(O47*Chile!K85/Chile!J85)+O48+O50+O49</f>
        <v>4600.2535947712413</v>
      </c>
      <c r="P55" s="1695">
        <f>P40*'New Format'!K28/'New Format'!J28+P41+P42+P43+P44+P45+P46+(P47*Chile!L85/Chile!K85)+P48+P50+P49</f>
        <v>4557.3998751335239</v>
      </c>
      <c r="Q55" s="1695">
        <f>Q40*'New Format'!L28/'New Format'!K28+Q41+Q42+Q43+Q44+Q45+Q46+(Q47*Chile!M85/Chile!L85)+Q48+Q50+Q49</f>
        <v>4689.7661864752017</v>
      </c>
      <c r="R55" s="1695">
        <f>R40*'New Format'!M28/'New Format'!L28+R41+R42+R43+R44+R45+R46+(R47*Chile!N85/Chile!M85)+R48+R50+R49</f>
        <v>4791.9495533249465</v>
      </c>
      <c r="S55" s="1695">
        <f>S40*'New Format'!N28/'New Format'!M28+S41+S42+S43+S44+S45+S46+(S47*Chile!O85/Chile!N85)+S48+S50+S49</f>
        <v>4888.834020945008</v>
      </c>
      <c r="T55" s="1695">
        <f>T40*'New Format'!O28/'New Format'!N28+T41+T42+T43+T44+T45+T46+(T47*Chile!P85/Chile!O85)+T48+T50+T49</f>
        <v>4988.5327792400603</v>
      </c>
      <c r="U55" s="1695">
        <f>U40*'New Format'!P28/'New Format'!O28+U41+U42+U43+U44+U45+U46+(U47*Chile!Q85/Chile!P85)+U48+U50+U49</f>
        <v>5096.3375556360734</v>
      </c>
      <c r="V55" s="1695">
        <f>V40*'New Format'!Q28/'New Format'!P28+V41+V42+V43+V44+V45+V46+(V47*Chile!R85/Chile!Q85)+V48+V50+V49</f>
        <v>5207.710654438044</v>
      </c>
      <c r="W55" s="1685"/>
      <c r="X55" s="1685"/>
      <c r="Y55" s="1685"/>
      <c r="Z55" s="1685"/>
      <c r="AA55" s="1685"/>
      <c r="AB55" s="1685"/>
      <c r="AC55" s="1685"/>
      <c r="AD55" s="1685"/>
    </row>
    <row r="56" spans="1:32" ht="15.75">
      <c r="A56" s="1685"/>
      <c r="B56" s="1692" t="s">
        <v>78</v>
      </c>
      <c r="C56" s="1690"/>
      <c r="D56" s="1690"/>
      <c r="E56" s="1690"/>
      <c r="F56" s="1690"/>
      <c r="G56" s="1690"/>
      <c r="H56" s="1690"/>
      <c r="I56" s="1690"/>
      <c r="J56" s="1690">
        <f>J55/I52-1</f>
        <v>1.8673454690639746E-2</v>
      </c>
      <c r="K56" s="1690">
        <f>K55/(J52-J49)-1</f>
        <v>2.3403230384568152E-2</v>
      </c>
      <c r="L56" s="1690">
        <f>L55/K52-1</f>
        <v>-4.5572935933453684E-2</v>
      </c>
      <c r="M56" s="1690">
        <f>(M55-Analysis!H2278/2-Analysis!F2170)/(L52-Analysis!E2170*2/12)-1</f>
        <v>3.8827673323366563E-2</v>
      </c>
      <c r="N56" s="1690">
        <f t="shared" ref="N56:V56" si="45">N55/M52-1</f>
        <v>3.6253981250666589E-2</v>
      </c>
      <c r="O56" s="1690">
        <f t="shared" si="45"/>
        <v>-4.4599461106699656E-2</v>
      </c>
      <c r="P56" s="1690">
        <f t="shared" si="45"/>
        <v>1.0263544397934865E-2</v>
      </c>
      <c r="Q56" s="1690">
        <f t="shared" si="45"/>
        <v>4.9380526703428851E-2</v>
      </c>
      <c r="R56" s="1690">
        <f t="shared" si="45"/>
        <v>4.2944649817925784E-2</v>
      </c>
      <c r="S56" s="1690">
        <f t="shared" si="45"/>
        <v>3.996219096909126E-2</v>
      </c>
      <c r="T56" s="1690">
        <f t="shared" si="45"/>
        <v>3.9787589038612126E-2</v>
      </c>
      <c r="U56" s="1690">
        <f t="shared" si="45"/>
        <v>4.0689692324474613E-2</v>
      </c>
      <c r="V56" s="1690">
        <f t="shared" si="45"/>
        <v>4.0585004467829311E-2</v>
      </c>
      <c r="W56" s="1685"/>
      <c r="X56" s="1685"/>
      <c r="Y56" s="1685"/>
      <c r="Z56" s="1685"/>
      <c r="AA56" s="1685"/>
      <c r="AB56" s="1685"/>
      <c r="AC56" s="1685"/>
      <c r="AD56" s="1685"/>
    </row>
    <row r="57" spans="1:32" ht="15.75">
      <c r="A57" s="1685"/>
      <c r="B57" s="1692" t="s">
        <v>491</v>
      </c>
      <c r="C57" s="1712"/>
      <c r="D57" s="1693"/>
      <c r="E57" s="1695"/>
      <c r="F57" s="1695"/>
      <c r="G57" s="1695"/>
      <c r="H57" s="1695"/>
      <c r="I57" s="1695"/>
      <c r="J57" s="1695">
        <f>(J40*SOP!$C$3)+(Master!J41*SOP!$C$4)+(Master!J42*SOP!$C$5)+(Master!J43*SOP!$C$6)+(Master!J44*SOP!$C$7)+Master!J45+Master!J46+Master!J47+Master!J48+(Master!J49*SOP!$C$11)+Master!J50</f>
        <v>3240.838148885809</v>
      </c>
      <c r="K57" s="1695">
        <f>(K40*SOP!$C$3)+(Master!K41*SOP!$C$4)+(Master!K42*SOP!$C$5)+(Master!K43*SOP!$C$6)+(Master!K44*SOP!$C$7)+Master!K45+Master!K46+Master!K47+Master!K48+(Master!K49*SOP!$C$11)+Master!K50</f>
        <v>3420.5753000000004</v>
      </c>
      <c r="L57" s="1695">
        <f>(L40*SOP!$C$3)+(Master!L41*SOP!$C$4)+(Master!L42*SOP!$C$5)+(Master!L43*SOP!$C$6)+(Master!L44*SOP!$C$7)+Master!L45+Master!L46+Master!L47+Master!L48+(Master!L49*SOP!$C$11)+Master!L50</f>
        <v>3373.3129999999996</v>
      </c>
      <c r="M57" s="1695">
        <f>(M40*SOP!$C$3)+(Master!M41*SOP!$C$4)+(Master!M42*SOP!$C$5)+(Master!M43*SOP!$C$6)+(Master!M44*SOP!$C$7)+Master!M45+Master!M46+Master!M47+Master!M48+(Master!M49*SOP!$C$11)+Master!M50</f>
        <v>4355.8755321944809</v>
      </c>
      <c r="N57" s="1695">
        <f>(N40*SOP!$C$3)+(Master!N41*SOP!$C$4)+(Master!N42*SOP!$C$5)+(Master!N43*SOP!$C$6)+(Master!N44*SOP!$C$7)+Master!N45+Master!N46+Master!N47+Master!N48+(Master!N49*SOP!$C$11)+Master!N50</f>
        <v>4382.1435000000001</v>
      </c>
      <c r="O57" s="1695">
        <f>(O40*SOP!$C$3)+(Master!O41*SOP!$C$4)+(Master!O42*SOP!$C$5)+(Master!O43*SOP!$C$6)+(Master!O44*SOP!$C$7)+Master!O45+Master!O46+Master!O47+Master!O48+(Master!O49*SOP!$C$11)+Master!O50</f>
        <v>4026.1735000000003</v>
      </c>
      <c r="P57" s="1695">
        <f>(P40*SOP!$C$3)+(Master!P41*SOP!$C$4)+(Master!P42*SOP!$C$5)+(Master!P43*SOP!$C$6)+(Master!P44*SOP!$C$7)+Master!P45+Master!P46+Master!P47+Master!P48+(Master!P49*SOP!$C$11)+Master!P50</f>
        <v>3964.3082618686467</v>
      </c>
      <c r="Q57" s="1695">
        <f>(Q40*SOP!$C$3)+(Master!Q41*SOP!$C$4)+(Master!Q42*SOP!$C$5)+(Master!Q43*SOP!$C$6)+(Master!Q44*SOP!$C$7)+Master!Q45+Master!Q46+Master!Q47+Master!Q48+(Master!Q49*SOP!$C$11)+Master!Q50</f>
        <v>4073.3456342011041</v>
      </c>
      <c r="R57" s="1695">
        <f>(R40*SOP!$C$3)+(Master!R41*SOP!$C$4)+(Master!R42*SOP!$C$5)+(Master!R43*SOP!$C$6)+(Master!R44*SOP!$C$7)+Master!R45+Master!R46+Master!R47+Master!R48+(Master!R49*SOP!$C$11)+Master!R50</f>
        <v>4165.0806040595071</v>
      </c>
      <c r="S57" s="1695">
        <f>(S40*SOP!$C$3)+(Master!S41*SOP!$C$4)+(Master!S42*SOP!$C$5)+(Master!S43*SOP!$C$6)+(Master!S44*SOP!$C$7)+Master!S45+Master!S46+Master!S47+Master!S48+(Master!S49*SOP!$C$11)+Master!S50</f>
        <v>4249.6338014346929</v>
      </c>
      <c r="T57" s="1695">
        <f>(T40*SOP!$C$3)+(Master!T41*SOP!$C$4)+(Master!T42*SOP!$C$5)+(Master!T43*SOP!$C$6)+(Master!T44*SOP!$C$7)+Master!T45+Master!T46+Master!T47+Master!T48+(Master!T49*SOP!$C$11)+Master!T50</f>
        <v>4336.4683509549359</v>
      </c>
      <c r="U57" s="1695">
        <f>(U40*SOP!$C$3)+(Master!U41*SOP!$C$4)+(Master!U42*SOP!$C$5)+(Master!U43*SOP!$C$6)+(Master!U44*SOP!$C$7)+Master!U45+Master!U46+Master!U47+Master!U48+(Master!U49*SOP!$C$11)+Master!U50</f>
        <v>4431.1492021698314</v>
      </c>
      <c r="V57" s="1695">
        <f>(V40*SOP!$C$3)+(Master!V41*SOP!$C$4)+(Master!V42*SOP!$C$5)+(Master!V43*SOP!$C$6)+(Master!V44*SOP!$C$7)+Master!V45+Master!V46+Master!V47+Master!V48+(Master!V49*SOP!$C$11)+Master!V50</f>
        <v>4529.1191785616102</v>
      </c>
      <c r="W57" s="1711">
        <f>(P57/J57)^(1/6)-1</f>
        <v>3.4153515244247146E-2</v>
      </c>
      <c r="X57" s="1685"/>
      <c r="Y57" s="1685"/>
      <c r="Z57" s="1685"/>
      <c r="AA57" s="1685"/>
      <c r="AB57" s="1685"/>
      <c r="AC57" s="1685"/>
      <c r="AD57" s="1685"/>
    </row>
    <row r="58" spans="1:32" ht="15.75">
      <c r="A58" s="1685"/>
      <c r="B58" s="1692" t="s">
        <v>3526</v>
      </c>
      <c r="C58" s="1712"/>
      <c r="D58" s="1693"/>
      <c r="E58" s="1695"/>
      <c r="F58" s="1695"/>
      <c r="G58" s="1695"/>
      <c r="H58" s="1695"/>
      <c r="I58" s="1695"/>
      <c r="J58" s="1695"/>
      <c r="K58" s="1695">
        <f t="shared" ref="K58:Q58" si="46">SUM(K40:K46)</f>
        <v>2383</v>
      </c>
      <c r="L58" s="1695">
        <f t="shared" si="46"/>
        <v>2205.9</v>
      </c>
      <c r="M58" s="1695">
        <f t="shared" si="46"/>
        <v>2353.1000000000004</v>
      </c>
      <c r="N58" s="1695">
        <f t="shared" si="46"/>
        <v>2589</v>
      </c>
      <c r="O58" s="1695">
        <f t="shared" si="46"/>
        <v>2700.7</v>
      </c>
      <c r="P58" s="1695">
        <f t="shared" si="46"/>
        <v>2757.7449577034972</v>
      </c>
      <c r="Q58" s="1695">
        <f t="shared" si="46"/>
        <v>2824.216675131273</v>
      </c>
      <c r="R58" s="1695">
        <f t="shared" ref="R58:S58" si="47">SUM(R40:R46)</f>
        <v>2890.417310627523</v>
      </c>
      <c r="S58" s="1695">
        <f t="shared" si="47"/>
        <v>2956.5036228290742</v>
      </c>
      <c r="T58" s="1695">
        <f t="shared" ref="T58:V58" si="48">SUM(T40:T46)</f>
        <v>3029.409182834519</v>
      </c>
      <c r="U58" s="1695">
        <f t="shared" si="48"/>
        <v>3105.036504699437</v>
      </c>
      <c r="V58" s="1695">
        <f t="shared" si="48"/>
        <v>3183.51788316999</v>
      </c>
      <c r="W58" s="1711">
        <f>N58/(K58+30)-1</f>
        <v>7.2938251139660126E-2</v>
      </c>
      <c r="X58" s="1685"/>
      <c r="Y58" s="1685"/>
      <c r="Z58" s="1685"/>
      <c r="AA58" s="1685"/>
      <c r="AB58" s="1685"/>
      <c r="AC58" s="1685"/>
      <c r="AD58" s="1685"/>
    </row>
    <row r="59" spans="1:32" ht="15.75">
      <c r="A59" s="1685"/>
      <c r="B59" s="1692" t="s">
        <v>4532</v>
      </c>
      <c r="C59" s="1712"/>
      <c r="D59" s="1693"/>
      <c r="E59" s="1695"/>
      <c r="F59" s="1695"/>
      <c r="G59" s="1695"/>
      <c r="H59" s="1695"/>
      <c r="I59" s="1695"/>
      <c r="J59" s="1695"/>
      <c r="K59" s="1695">
        <f>K55-K47-K48-33*3+10</f>
        <v>2306.0409258554423</v>
      </c>
      <c r="L59" s="1695">
        <f>L40*('New Format'!G28/'New Format'!F28)+L41+L42+L43+L44+L45+L46-33+50</f>
        <v>2248.3436090225564</v>
      </c>
      <c r="M59" s="1695">
        <f>M40*('New Format'!H28/'New Format'!G28)+M41+M42+M43+M44+M45+M46</f>
        <v>2378.5788732394367</v>
      </c>
      <c r="N59" s="1695">
        <f>N40*('New Format'!I28/'New Format'!H28)+N41+N42+N43+N44+N45+N46</f>
        <v>2594.682119205298</v>
      </c>
      <c r="O59" s="1695">
        <f>O40*('New Format'!J28/'New Format'!I28)+O41+O42+O43+O44+O45+O46</f>
        <v>2703.3535947712417</v>
      </c>
      <c r="P59" s="1695">
        <f>P40*('New Format'!K28/'New Format'!J28)+P41+P42+P43+P44+P45+P46</f>
        <v>2759.5642018024018</v>
      </c>
      <c r="Q59" s="1695">
        <f>Q40*('New Format'!L28/'New Format'!K28)+Q41+Q42+Q43+Q44+Q45+Q46</f>
        <v>2832.8482813710716</v>
      </c>
      <c r="R59" s="1695">
        <f>R40*('New Format'!M28/'New Format'!L28)+R41+R42+R43+R44+R45+R46</f>
        <v>2894.8940176326073</v>
      </c>
      <c r="S59" s="1695">
        <f>S40*('New Format'!N28/'New Format'!M28)+S41+S42+S43+S44+S45+S46</f>
        <v>2961.1916323877977</v>
      </c>
      <c r="T59" s="1695">
        <f>T40*('New Format'!O28/'New Format'!N28)+T41+T42+T43+T44+T45+T46</f>
        <v>3034.3649628271469</v>
      </c>
      <c r="U59" s="1695">
        <f>U40*('New Format'!P28/'New Format'!O28)+U41+U42+U43+U44+U45+U46</f>
        <v>3110.2750779569938</v>
      </c>
      <c r="V59" s="1695">
        <f>V40*('New Format'!Q28/'New Format'!P28)+V41+V42+V43+V44+V45+V46</f>
        <v>3189.0551036967649</v>
      </c>
      <c r="W59" s="1711"/>
      <c r="X59" s="1685"/>
      <c r="Y59" s="1685" t="s">
        <v>72</v>
      </c>
      <c r="Z59" s="1685"/>
      <c r="AA59" s="1685"/>
      <c r="AB59" s="1685"/>
      <c r="AC59" s="1685"/>
      <c r="AD59" s="1685"/>
    </row>
    <row r="60" spans="1:32" ht="15.75">
      <c r="A60" s="1685"/>
      <c r="B60" s="1692" t="s">
        <v>1092</v>
      </c>
      <c r="C60" s="1712"/>
      <c r="D60" s="1693"/>
      <c r="E60" s="1695"/>
      <c r="F60" s="1695"/>
      <c r="G60" s="1695"/>
      <c r="H60" s="1695"/>
      <c r="I60" s="1695"/>
      <c r="J60" s="1695"/>
      <c r="K60" s="1690">
        <f>K59/(J52-J47-J48-J49)-1</f>
        <v>-9.1772252919815056E-3</v>
      </c>
      <c r="L60" s="1690">
        <f t="shared" ref="L60:V60" si="49">L59/(K40+K41+K42+K43+K44+K45+K46)-1</f>
        <v>-5.6507088114747583E-2</v>
      </c>
      <c r="M60" s="1690">
        <f t="shared" si="49"/>
        <v>7.8280462958174146E-2</v>
      </c>
      <c r="N60" s="1690">
        <f t="shared" si="49"/>
        <v>0.10266547074297638</v>
      </c>
      <c r="O60" s="1690">
        <f t="shared" si="49"/>
        <v>4.4169020769116107E-2</v>
      </c>
      <c r="P60" s="1690">
        <f t="shared" si="49"/>
        <v>2.1795905432814511E-2</v>
      </c>
      <c r="Q60" s="1690">
        <f t="shared" si="49"/>
        <v>2.7233600213022013E-2</v>
      </c>
      <c r="R60" s="1690">
        <f t="shared" si="49"/>
        <v>2.5025467459237838E-2</v>
      </c>
      <c r="S60" s="1690">
        <f t="shared" si="49"/>
        <v>2.4485848981062652E-2</v>
      </c>
      <c r="T60" s="1690">
        <f t="shared" si="49"/>
        <v>2.6335614608030689E-2</v>
      </c>
      <c r="U60" s="1690">
        <f t="shared" si="49"/>
        <v>2.6693619198318697E-2</v>
      </c>
      <c r="V60" s="1690">
        <f t="shared" si="49"/>
        <v>2.7058811988254217E-2</v>
      </c>
      <c r="W60" s="1711"/>
      <c r="X60" s="1685"/>
      <c r="Y60" s="1706"/>
      <c r="Z60" s="1685"/>
      <c r="AA60" s="1685"/>
      <c r="AB60" s="1685"/>
      <c r="AC60" s="1685"/>
      <c r="AD60" s="1685"/>
    </row>
    <row r="61" spans="1:32" ht="15.75">
      <c r="A61" s="1685"/>
      <c r="B61" s="1692"/>
      <c r="C61" s="1712"/>
      <c r="D61" s="1693"/>
      <c r="E61" s="1695"/>
      <c r="F61" s="1695"/>
      <c r="G61" s="1701"/>
      <c r="H61" s="1693"/>
      <c r="I61" s="1693"/>
      <c r="J61" s="1695"/>
      <c r="K61" s="1695"/>
      <c r="L61" s="1695"/>
      <c r="M61" s="1695"/>
      <c r="N61" s="1695"/>
      <c r="O61" s="1695"/>
      <c r="P61" s="1695"/>
      <c r="Q61" s="1695"/>
      <c r="R61" s="1695"/>
      <c r="S61" s="1695"/>
      <c r="T61" s="1695"/>
      <c r="U61" s="1695"/>
      <c r="V61" s="1695"/>
      <c r="W61" s="1711"/>
      <c r="X61" s="1685"/>
      <c r="Y61" s="1696"/>
      <c r="Z61" s="1685"/>
      <c r="AA61" s="1685"/>
      <c r="AB61" s="1685"/>
      <c r="AC61" s="1685"/>
      <c r="AD61" s="1685"/>
    </row>
    <row r="62" spans="1:32" ht="15.75">
      <c r="A62" s="1685"/>
      <c r="B62" s="1689" t="s">
        <v>80</v>
      </c>
      <c r="C62" s="1713"/>
      <c r="D62" s="1713"/>
      <c r="E62" s="1713"/>
      <c r="F62" s="1695"/>
      <c r="G62" s="1686"/>
      <c r="H62" s="1693"/>
      <c r="I62" s="1686"/>
      <c r="J62" s="1693"/>
      <c r="K62" s="1693"/>
      <c r="L62" s="1695"/>
      <c r="M62" s="1695"/>
      <c r="N62" s="1693"/>
      <c r="O62" s="1695"/>
      <c r="P62" s="1695"/>
      <c r="Q62" s="1695"/>
      <c r="R62" s="1695"/>
      <c r="S62" s="1695"/>
      <c r="T62" s="1695"/>
      <c r="U62" s="1695"/>
      <c r="V62" s="1695"/>
      <c r="W62" s="1685"/>
      <c r="X62" s="1685"/>
      <c r="Y62" s="1706"/>
      <c r="Z62" s="1685"/>
      <c r="AA62" s="1685"/>
      <c r="AB62" s="1685"/>
      <c r="AC62" s="1685"/>
      <c r="AD62" s="1685"/>
    </row>
    <row r="63" spans="1:32" ht="15.75">
      <c r="A63" s="1685"/>
      <c r="B63" s="1692" t="str">
        <f t="shared" ref="B63:B73" si="50">B40</f>
        <v>Jamaica</v>
      </c>
      <c r="C63" s="1695"/>
      <c r="D63" s="1695"/>
      <c r="E63" s="1695"/>
      <c r="F63" s="1695"/>
      <c r="G63" s="1695"/>
      <c r="H63" s="1695">
        <f>'New Format'!C37</f>
        <v>124.86800000000001</v>
      </c>
      <c r="I63" s="1695">
        <f>'New Format'!D37</f>
        <v>133.91200000000001</v>
      </c>
      <c r="J63" s="1695">
        <f>'New Format'!E37</f>
        <v>144.80000000000001</v>
      </c>
      <c r="K63" s="1695">
        <f>'New Format'!F37</f>
        <v>161.11199999999999</v>
      </c>
      <c r="L63" s="1695">
        <f>'New Format'!G37</f>
        <v>161.68</v>
      </c>
      <c r="M63" s="1695">
        <f>'New Format'!H37</f>
        <v>172.85999999999999</v>
      </c>
      <c r="N63" s="1695">
        <f>'New Format'!I37</f>
        <v>188.76</v>
      </c>
      <c r="O63" s="1695">
        <f>'New Format'!J37</f>
        <v>192.85</v>
      </c>
      <c r="P63" s="1695">
        <f>'New Format'!K37</f>
        <v>188.16957620014998</v>
      </c>
      <c r="Q63" s="1695">
        <f>'New Format'!L37</f>
        <v>207.1585497551678</v>
      </c>
      <c r="R63" s="1695">
        <f>'New Format'!M37</f>
        <v>219.35864324913368</v>
      </c>
      <c r="S63" s="1695">
        <f>'New Format'!N37</f>
        <v>234.40047793617589</v>
      </c>
      <c r="T63" s="1695">
        <f>'New Format'!O37</f>
        <v>247.78899963140398</v>
      </c>
      <c r="U63" s="1695">
        <f>'New Format'!P37</f>
        <v>261.92866287783045</v>
      </c>
      <c r="V63" s="1695">
        <f>'New Format'!Q37</f>
        <v>276.86102633875612</v>
      </c>
      <c r="W63" s="1711">
        <f t="shared" ref="W63:W73" si="51">(Q63/N63)^(1/3)-1</f>
        <v>3.1488279985787404E-2</v>
      </c>
      <c r="X63" s="1693"/>
      <c r="Y63" s="1685"/>
      <c r="Z63" s="1685"/>
      <c r="AA63" s="1685"/>
      <c r="AB63" s="1685"/>
      <c r="AC63" s="1685"/>
      <c r="AD63" s="1685"/>
      <c r="AF63" s="522" t="e">
        <f>AD63/AD$74</f>
        <v>#DIV/0!</v>
      </c>
    </row>
    <row r="64" spans="1:32" ht="15.75">
      <c r="A64" s="1685"/>
      <c r="B64" s="1692" t="str">
        <f t="shared" si="50"/>
        <v>Trinidad &amp; Tobago</v>
      </c>
      <c r="C64" s="1695"/>
      <c r="D64" s="1695"/>
      <c r="E64" s="1695"/>
      <c r="F64" s="1695"/>
      <c r="G64" s="1695"/>
      <c r="H64" s="1695">
        <f>'New Format'!C74</f>
        <v>67.36</v>
      </c>
      <c r="I64" s="1695">
        <f>'New Format'!D74</f>
        <v>64.56</v>
      </c>
      <c r="J64" s="1695">
        <f>'New Format'!E74</f>
        <v>62.800000000000004</v>
      </c>
      <c r="K64" s="1695">
        <f>'New Format'!F74</f>
        <v>64.52000000000001</v>
      </c>
      <c r="L64" s="1695">
        <f>'New Format'!G74</f>
        <v>64.400000000000006</v>
      </c>
      <c r="M64" s="1695">
        <f>'New Format'!H74</f>
        <v>61.698</v>
      </c>
      <c r="N64" s="1695">
        <f>'New Format'!I74</f>
        <v>62.12700000000001</v>
      </c>
      <c r="O64" s="1695">
        <f>'New Format'!J74</f>
        <v>60.643750000000004</v>
      </c>
      <c r="P64" s="1695">
        <f>'New Format'!K74</f>
        <v>60.632646009139371</v>
      </c>
      <c r="Q64" s="1695">
        <f>'New Format'!L74</f>
        <v>64.455214172124897</v>
      </c>
      <c r="R64" s="1695">
        <f>'New Format'!M74</f>
        <v>65.948683760060931</v>
      </c>
      <c r="S64" s="1695">
        <f>'New Format'!N74</f>
        <v>67.476110045845545</v>
      </c>
      <c r="T64" s="1695">
        <f>'New Format'!O74</f>
        <v>69.038253909557511</v>
      </c>
      <c r="U64" s="1695">
        <f>'New Format'!P74</f>
        <v>70.635893083799644</v>
      </c>
      <c r="V64" s="1695">
        <f>'New Format'!Q74</f>
        <v>72.26982252344763</v>
      </c>
      <c r="W64" s="1711">
        <f t="shared" si="51"/>
        <v>1.2338820013251706E-2</v>
      </c>
      <c r="X64" s="1693"/>
      <c r="Y64" s="1685"/>
      <c r="Z64" s="1685"/>
      <c r="AA64" s="1685"/>
      <c r="AB64" s="1685"/>
      <c r="AC64" s="1685"/>
      <c r="AD64" s="1685"/>
      <c r="AF64" s="522" t="e">
        <f t="shared" ref="AF64:AF73" si="52">AD64/AD$74</f>
        <v>#DIV/0!</v>
      </c>
    </row>
    <row r="65" spans="1:32" ht="15.75">
      <c r="A65" s="1685"/>
      <c r="B65" s="1692" t="str">
        <f t="shared" si="50"/>
        <v>Barbados</v>
      </c>
      <c r="C65" s="1695"/>
      <c r="D65" s="1695"/>
      <c r="E65" s="1695"/>
      <c r="F65" s="1695"/>
      <c r="G65" s="1695"/>
      <c r="H65" s="1695">
        <f>'New Format'!C111</f>
        <v>68.56</v>
      </c>
      <c r="I65" s="1695">
        <f>'New Format'!D111</f>
        <v>66.870999999999995</v>
      </c>
      <c r="J65" s="1695">
        <f>'New Format'!E111</f>
        <v>63.419999999999995</v>
      </c>
      <c r="K65" s="1695">
        <f>'New Format'!F111</f>
        <v>63.083999999999996</v>
      </c>
      <c r="L65" s="1695">
        <f>'New Format'!G111</f>
        <v>58.379999999999995</v>
      </c>
      <c r="M65" s="1695">
        <f>'New Format'!H111</f>
        <v>58.055999999999997</v>
      </c>
      <c r="N65" s="1695">
        <f>'New Format'!I111</f>
        <v>60.68</v>
      </c>
      <c r="O65" s="1695">
        <f>'New Format'!J111</f>
        <v>64.616</v>
      </c>
      <c r="P65" s="1695">
        <f>'New Format'!K111</f>
        <v>66.358241854262573</v>
      </c>
      <c r="Q65" s="1695">
        <f>'New Format'!L111</f>
        <v>67.685406691347822</v>
      </c>
      <c r="R65" s="1695">
        <f>'New Format'!M111</f>
        <v>68.362260758261314</v>
      </c>
      <c r="S65" s="1695">
        <f>'New Format'!N111</f>
        <v>68.362260758261314</v>
      </c>
      <c r="T65" s="1695">
        <f>'New Format'!O111</f>
        <v>68.362260758261314</v>
      </c>
      <c r="U65" s="1695">
        <f>'New Format'!P111</f>
        <v>68.362260758261314</v>
      </c>
      <c r="V65" s="1695">
        <f>'New Format'!Q111</f>
        <v>68.362260758261314</v>
      </c>
      <c r="W65" s="1711">
        <f t="shared" si="51"/>
        <v>3.7090104000202961E-2</v>
      </c>
      <c r="X65" s="1693"/>
      <c r="Y65" s="1685"/>
      <c r="Z65" s="1685"/>
      <c r="AA65" s="1685"/>
      <c r="AB65" s="1685"/>
      <c r="AC65" s="1685"/>
      <c r="AD65" s="1685"/>
      <c r="AF65" s="522" t="e">
        <f t="shared" si="52"/>
        <v>#DIV/0!</v>
      </c>
    </row>
    <row r="66" spans="1:32" ht="15.75">
      <c r="A66" s="1685"/>
      <c r="B66" s="1692" t="str">
        <f t="shared" si="50"/>
        <v>Panama</v>
      </c>
      <c r="C66" s="1695"/>
      <c r="D66" s="1695"/>
      <c r="E66" s="1695"/>
      <c r="F66" s="1695"/>
      <c r="G66" s="1695"/>
      <c r="H66" s="1695">
        <f>'New Format'!C185</f>
        <v>260</v>
      </c>
      <c r="I66" s="1695">
        <f>'New Format'!D185</f>
        <v>231.25</v>
      </c>
      <c r="J66" s="1695">
        <f>'New Format'!E185</f>
        <v>208.95</v>
      </c>
      <c r="K66" s="1695">
        <f>'New Format'!F185</f>
        <v>227.6</v>
      </c>
      <c r="L66" s="1695">
        <f>'New Format'!G185</f>
        <v>177.2</v>
      </c>
      <c r="M66" s="1695">
        <f>'New Format'!H185</f>
        <v>200.1</v>
      </c>
      <c r="N66" s="1694">
        <v>188.8</v>
      </c>
      <c r="O66" s="1695">
        <f>'New Format'!J200</f>
        <v>227.7</v>
      </c>
      <c r="P66" s="1695">
        <f>'New Format'!K200</f>
        <v>254.67856820343255</v>
      </c>
      <c r="Q66" s="1695">
        <f>'New Format'!L200</f>
        <v>274.23517452315855</v>
      </c>
      <c r="R66" s="1695">
        <f>'New Format'!M200</f>
        <v>286.70567466441219</v>
      </c>
      <c r="S66" s="1695">
        <f>'New Format'!N200</f>
        <v>291.04720599768751</v>
      </c>
      <c r="T66" s="1695">
        <f>'New Format'!O200</f>
        <v>295.46238486376927</v>
      </c>
      <c r="U66" s="1695">
        <f>'New Format'!P200</f>
        <v>299.95263724702039</v>
      </c>
      <c r="V66" s="1695">
        <f>'New Format'!Q200</f>
        <v>304.5194199664088</v>
      </c>
      <c r="W66" s="1711">
        <f t="shared" si="51"/>
        <v>0.13250568161616583</v>
      </c>
      <c r="X66" s="1685"/>
      <c r="Y66" s="1685"/>
      <c r="Z66" s="1685"/>
      <c r="AA66" s="1685"/>
      <c r="AB66" s="1685"/>
      <c r="AC66" s="1685"/>
      <c r="AD66" s="1685"/>
      <c r="AF66" s="522" t="e">
        <f t="shared" si="52"/>
        <v>#DIV/0!</v>
      </c>
    </row>
    <row r="67" spans="1:32" ht="15.75">
      <c r="A67" s="1685"/>
      <c r="B67" s="1692" t="str">
        <f t="shared" si="50"/>
        <v>Bahamas</v>
      </c>
      <c r="C67" s="1695"/>
      <c r="D67" s="1695"/>
      <c r="E67" s="1695"/>
      <c r="F67" s="1695"/>
      <c r="G67" s="1695"/>
      <c r="H67" s="1695">
        <f>'New Format'!C148</f>
        <v>147.16800000000001</v>
      </c>
      <c r="I67" s="1695">
        <f>'New Format'!D148</f>
        <v>117.58500000000001</v>
      </c>
      <c r="J67" s="1695">
        <f>'New Format'!E148</f>
        <v>96.179999999999993</v>
      </c>
      <c r="K67" s="1695">
        <f>'New Format'!F148</f>
        <v>87.066000000000003</v>
      </c>
      <c r="L67" s="1695">
        <f>'New Format'!G148</f>
        <v>76.02</v>
      </c>
      <c r="M67" s="1695">
        <f>'New Format'!H148</f>
        <v>77.858999999999995</v>
      </c>
      <c r="N67" s="1695">
        <f>'New Format'!I148</f>
        <v>79.826999999999984</v>
      </c>
      <c r="O67" s="1695">
        <f>'New Format'!J148</f>
        <v>79.13</v>
      </c>
      <c r="P67" s="1695">
        <f>'New Format'!K148</f>
        <v>81.551060147122485</v>
      </c>
      <c r="Q67" s="1695">
        <f>'New Format'!L148</f>
        <v>84.49215967113804</v>
      </c>
      <c r="R67" s="1695">
        <f>'New Format'!M148</f>
        <v>86.617748593682393</v>
      </c>
      <c r="S67" s="1695">
        <f>'New Format'!N148</f>
        <v>88.743337516226745</v>
      </c>
      <c r="T67" s="1695">
        <f>'New Format'!O148</f>
        <v>90.868926438771098</v>
      </c>
      <c r="U67" s="1695">
        <f>'New Format'!P148</f>
        <v>92.99451536131545</v>
      </c>
      <c r="V67" s="1695">
        <f>'New Format'!Q148</f>
        <v>95.120104283859803</v>
      </c>
      <c r="W67" s="1711">
        <f t="shared" si="51"/>
        <v>1.9112670022350953E-2</v>
      </c>
      <c r="X67" s="1685"/>
      <c r="Y67" s="1685"/>
      <c r="Z67" s="1685"/>
      <c r="AA67" s="1685"/>
      <c r="AB67" s="1685"/>
      <c r="AC67" s="1685"/>
      <c r="AD67" s="1685"/>
      <c r="AF67" s="522" t="e">
        <f t="shared" si="52"/>
        <v>#DIV/0!</v>
      </c>
    </row>
    <row r="68" spans="1:32" ht="15.75">
      <c r="A68" s="1685"/>
      <c r="B68" s="1692" t="str">
        <f t="shared" si="50"/>
        <v>Networks (Inc Subsea)</v>
      </c>
      <c r="C68" s="1695"/>
      <c r="D68" s="1695"/>
      <c r="E68" s="1695"/>
      <c r="F68" s="1695"/>
      <c r="G68" s="1695"/>
      <c r="H68" s="1695">
        <f>'New Format'!C248</f>
        <v>101.395</v>
      </c>
      <c r="I68" s="1695">
        <f>'New Format'!D248</f>
        <v>119.38500000000001</v>
      </c>
      <c r="J68" s="1695">
        <f>'New Format'!E248</f>
        <v>129.87</v>
      </c>
      <c r="K68" s="1695">
        <f>'New Format'!F248</f>
        <v>135.096</v>
      </c>
      <c r="L68" s="1695">
        <f>'New Format'!G248</f>
        <v>145.13999999999999</v>
      </c>
      <c r="M68" s="1695">
        <f>'New Format'!H248</f>
        <v>145.87799999999999</v>
      </c>
      <c r="N68" s="1695">
        <f>'New Format'!I248</f>
        <v>184.91</v>
      </c>
      <c r="O68" s="1695">
        <f>'New Format'!J248</f>
        <v>190.26</v>
      </c>
      <c r="P68" s="1695">
        <f>'New Format'!K248</f>
        <v>192.561306</v>
      </c>
      <c r="Q68" s="1695">
        <f>'New Format'!L248</f>
        <v>202.39135596</v>
      </c>
      <c r="R68" s="1695">
        <f>'New Format'!M248</f>
        <v>209.12199313800002</v>
      </c>
      <c r="S68" s="1695">
        <f>'New Format'!N248</f>
        <v>216.79345799168402</v>
      </c>
      <c r="T68" s="1695">
        <f>'New Format'!O248</f>
        <v>224.82064974002006</v>
      </c>
      <c r="U68" s="1695">
        <f>'New Format'!P248</f>
        <v>233.22107626426043</v>
      </c>
      <c r="V68" s="1695">
        <f>'New Format'!Q248</f>
        <v>242.01311805508524</v>
      </c>
      <c r="W68" s="1711">
        <f t="shared" si="51"/>
        <v>3.0569267223844676E-2</v>
      </c>
      <c r="X68" s="1693"/>
      <c r="Y68" s="1685"/>
      <c r="Z68" s="1685"/>
      <c r="AA68" s="1685"/>
      <c r="AB68" s="1685"/>
      <c r="AC68" s="1685"/>
      <c r="AD68" s="1685"/>
      <c r="AF68" s="522" t="e">
        <f t="shared" si="52"/>
        <v>#DIV/0!</v>
      </c>
    </row>
    <row r="69" spans="1:32" ht="15.75">
      <c r="A69" s="1685"/>
      <c r="B69" s="1692" t="str">
        <f t="shared" si="50"/>
        <v>Other CWC / elims</v>
      </c>
      <c r="C69" s="1695"/>
      <c r="D69" s="1695"/>
      <c r="E69" s="1695"/>
      <c r="F69" s="1695"/>
      <c r="G69" s="1695"/>
      <c r="H69" s="1695">
        <f>'New Format'!C249</f>
        <v>141.649</v>
      </c>
      <c r="I69" s="1695">
        <f>'New Format'!D249</f>
        <v>142.43699999999998</v>
      </c>
      <c r="J69" s="1695">
        <f>'New Format'!E249</f>
        <v>196.68000000000006</v>
      </c>
      <c r="K69" s="1695">
        <f>'New Format'!F249</f>
        <v>186.22199999999984</v>
      </c>
      <c r="L69" s="1695">
        <f>'New Format'!G249</f>
        <v>203.18000000000012</v>
      </c>
      <c r="M69" s="1695">
        <f>'New Format'!H249</f>
        <v>230.84900000000002</v>
      </c>
      <c r="N69" s="1695">
        <f>'New Format'!I249</f>
        <v>237.1952215</v>
      </c>
      <c r="O69" s="1695">
        <f>'New Format'!J249</f>
        <v>271.00025000000005</v>
      </c>
      <c r="P69" s="1695">
        <f>'New Format'!K249</f>
        <v>278.03280000000001</v>
      </c>
      <c r="Q69" s="1695">
        <f>'New Format'!L249</f>
        <v>283.83262399999995</v>
      </c>
      <c r="R69" s="1695">
        <f>'New Format'!M249</f>
        <v>286.67095023999997</v>
      </c>
      <c r="S69" s="1695">
        <f>'New Format'!N249</f>
        <v>289.53765974239997</v>
      </c>
      <c r="T69" s="1695">
        <f>'New Format'!O249</f>
        <v>292.43303633982401</v>
      </c>
      <c r="U69" s="1695">
        <f>'New Format'!P249</f>
        <v>295.35736670322223</v>
      </c>
      <c r="V69" s="1695">
        <f>'New Format'!Q249</f>
        <v>298.31094037025446</v>
      </c>
      <c r="W69" s="1711">
        <f t="shared" si="51"/>
        <v>6.166000995631471E-2</v>
      </c>
      <c r="X69" s="1693"/>
      <c r="Y69" s="1685"/>
      <c r="Z69" s="1685"/>
      <c r="AA69" s="1685"/>
      <c r="AB69" s="1685"/>
      <c r="AC69" s="1685"/>
      <c r="AD69" s="1685"/>
      <c r="AF69" s="522" t="e">
        <f t="shared" si="52"/>
        <v>#DIV/0!</v>
      </c>
    </row>
    <row r="70" spans="1:32" ht="15.75">
      <c r="A70" s="1685"/>
      <c r="B70" s="1692" t="str">
        <f t="shared" si="50"/>
        <v>Chile</v>
      </c>
      <c r="C70" s="1695"/>
      <c r="D70" s="1695"/>
      <c r="E70" s="1695"/>
      <c r="F70" s="1695"/>
      <c r="G70" s="1695"/>
      <c r="H70" s="1695">
        <f>Chile!D90</f>
        <v>338.80007689918813</v>
      </c>
      <c r="I70" s="1695">
        <f>Chile!E90</f>
        <v>382.55240443896429</v>
      </c>
      <c r="J70" s="1695">
        <f>Chile!F90</f>
        <v>410.17176137159947</v>
      </c>
      <c r="K70" s="1695">
        <f>Chile!G90</f>
        <v>386.6</v>
      </c>
      <c r="L70" s="1695">
        <f>Chile!H90</f>
        <v>306.43939393939394</v>
      </c>
      <c r="M70" s="1695">
        <f>Chile!I90</f>
        <v>257.9935611038108</v>
      </c>
      <c r="N70" s="1695">
        <v>115.6</v>
      </c>
      <c r="O70" s="1695"/>
      <c r="P70" s="1695"/>
      <c r="Q70" s="1695"/>
      <c r="R70" s="1695"/>
      <c r="S70" s="1695"/>
      <c r="T70" s="1695"/>
      <c r="U70" s="1695"/>
      <c r="V70" s="1695"/>
      <c r="W70" s="1711">
        <f t="shared" si="51"/>
        <v>-1</v>
      </c>
      <c r="X70" s="1693"/>
      <c r="Y70" s="1685"/>
      <c r="Z70" s="1685"/>
      <c r="AA70" s="1685"/>
      <c r="AB70" s="1685"/>
      <c r="AC70" s="1685"/>
      <c r="AD70" s="1685"/>
      <c r="AF70" s="522" t="e">
        <f t="shared" si="52"/>
        <v>#DIV/0!</v>
      </c>
    </row>
    <row r="71" spans="1:32" ht="15.75">
      <c r="A71" s="1685"/>
      <c r="B71" s="1692" t="str">
        <f t="shared" si="50"/>
        <v>Puerto Rico / US VI</v>
      </c>
      <c r="C71" s="1695"/>
      <c r="D71" s="1695"/>
      <c r="E71" s="1695"/>
      <c r="F71" s="1695"/>
      <c r="G71" s="1695"/>
      <c r="H71" s="1695">
        <f>'Puerto Rico'!D49</f>
        <v>198.8</v>
      </c>
      <c r="I71" s="1695">
        <f>'Puerto Rico'!E49</f>
        <v>132.6</v>
      </c>
      <c r="J71" s="1695">
        <f>'Puerto Rico'!F49</f>
        <v>135.80000000000001</v>
      </c>
      <c r="K71" s="1695">
        <f>'Puerto Rico'!G49</f>
        <v>203.20000000000002</v>
      </c>
      <c r="L71" s="1694">
        <f>'Puerto Rico'!H49+56</f>
        <v>276.89999999999998</v>
      </c>
      <c r="M71" s="1695">
        <f>'Puerto Rico'!I49+'Puerto Rico'!I80</f>
        <v>585.90000000000009</v>
      </c>
      <c r="N71" s="1695">
        <f>'Puerto Rico'!J49+'Puerto Rico'!J80</f>
        <v>544.79999999999995</v>
      </c>
      <c r="O71" s="1695">
        <f>'Puerto Rico'!K105</f>
        <v>485.5</v>
      </c>
      <c r="P71" s="1695">
        <f>'Puerto Rico'!L105</f>
        <v>323.91267200000004</v>
      </c>
      <c r="Q71" s="1695">
        <f>'Puerto Rico'!M105</f>
        <v>481.47579900720001</v>
      </c>
      <c r="R71" s="1695">
        <f>'Puerto Rico'!N105</f>
        <v>516.62807306073091</v>
      </c>
      <c r="S71" s="1695">
        <f>'Puerto Rico'!O105</f>
        <v>535.47001665344442</v>
      </c>
      <c r="T71" s="1695">
        <f>'Puerto Rico'!P105</f>
        <v>553.38226646477506</v>
      </c>
      <c r="U71" s="1695">
        <f>'Puerto Rico'!Q105</f>
        <v>559.40300859698652</v>
      </c>
      <c r="V71" s="1695">
        <f>'Puerto Rico'!R105</f>
        <v>565.55641141247179</v>
      </c>
      <c r="W71" s="1711">
        <f t="shared" si="51"/>
        <v>-4.0350912798436278E-2</v>
      </c>
      <c r="X71" s="1693"/>
      <c r="Y71" s="1685"/>
      <c r="Z71" s="1685"/>
      <c r="AA71" s="1685"/>
      <c r="AB71" s="1685"/>
      <c r="AC71" s="1685"/>
      <c r="AD71" s="1685"/>
      <c r="AF71" s="522" t="e">
        <f t="shared" si="52"/>
        <v>#DIV/0!</v>
      </c>
    </row>
    <row r="72" spans="1:32" ht="15.75">
      <c r="A72" s="1685"/>
      <c r="B72" s="1692" t="str">
        <f t="shared" si="50"/>
        <v>Costa Rica</v>
      </c>
      <c r="C72" s="1695"/>
      <c r="D72" s="1695"/>
      <c r="E72" s="1695"/>
      <c r="F72" s="1695"/>
      <c r="G72" s="1695"/>
      <c r="H72" s="1695"/>
      <c r="I72" s="1695"/>
      <c r="J72" s="1694">
        <v>10</v>
      </c>
      <c r="K72" s="1695">
        <f>'Costa Rica'!E59</f>
        <v>47</v>
      </c>
      <c r="L72" s="1695">
        <f>'Costa Rica'!F59</f>
        <v>56</v>
      </c>
      <c r="M72" s="1694">
        <v>80.2</v>
      </c>
      <c r="N72" s="1695">
        <f>'Costa Rica'!H98</f>
        <v>134.69999999999999</v>
      </c>
      <c r="O72" s="1695">
        <f>'Costa Rica'!I98</f>
        <v>203.1</v>
      </c>
      <c r="P72" s="1695">
        <f>'Costa Rica'!J248</f>
        <v>217.20216313251501</v>
      </c>
      <c r="Q72" s="1695">
        <f>'Costa Rica'!K248</f>
        <v>221.10334865412818</v>
      </c>
      <c r="R72" s="1695">
        <f>'Costa Rica'!L248</f>
        <v>232.42211034164094</v>
      </c>
      <c r="S72" s="1695">
        <f>'Costa Rica'!M248</f>
        <v>238.11291256847872</v>
      </c>
      <c r="T72" s="1695">
        <f>'Costa Rica'!N248</f>
        <v>243.60873807515136</v>
      </c>
      <c r="U72" s="1695">
        <f>'Costa Rica'!O248</f>
        <v>249.19190361275054</v>
      </c>
      <c r="V72" s="1695">
        <f>'Costa Rica'!P248</f>
        <v>254.89643403385958</v>
      </c>
      <c r="W72" s="1711">
        <f t="shared" si="51"/>
        <v>0.1796212156441479</v>
      </c>
      <c r="X72" s="1693"/>
      <c r="Y72" s="1685"/>
      <c r="Z72" s="1685"/>
      <c r="AA72" s="1685"/>
      <c r="AB72" s="1685"/>
      <c r="AC72" s="1685"/>
      <c r="AD72" s="1685"/>
      <c r="AF72" s="522" t="e">
        <f t="shared" si="52"/>
        <v>#DIV/0!</v>
      </c>
    </row>
    <row r="73" spans="1:32" ht="15.75">
      <c r="A73" s="1685"/>
      <c r="B73" s="1692" t="str">
        <f t="shared" si="50"/>
        <v>Other/elims in CWC</v>
      </c>
      <c r="C73" s="1695"/>
      <c r="D73" s="1695"/>
      <c r="E73" s="1695"/>
      <c r="F73" s="1695"/>
      <c r="G73" s="1695"/>
      <c r="H73" s="1695"/>
      <c r="I73" s="1694">
        <v>-25.1</v>
      </c>
      <c r="J73" s="1694">
        <v>-46.1</v>
      </c>
      <c r="K73" s="1694">
        <v>-55</v>
      </c>
      <c r="L73" s="1695">
        <f>L74-SUM(L63:L72)</f>
        <v>-40.339393939394085</v>
      </c>
      <c r="M73" s="1694">
        <v>-52.9</v>
      </c>
      <c r="N73" s="1695">
        <f>N74-SUM(N63:N72)</f>
        <v>-79.39922149999984</v>
      </c>
      <c r="O73" s="1695">
        <f>O74-SUM(O63:O72)</f>
        <v>-73.200000000000045</v>
      </c>
      <c r="P73" s="1697">
        <v>-84</v>
      </c>
      <c r="Q73" s="1697">
        <v>-84</v>
      </c>
      <c r="R73" s="1697">
        <v>-84</v>
      </c>
      <c r="S73" s="1697">
        <v>-84</v>
      </c>
      <c r="T73" s="1697">
        <v>-84</v>
      </c>
      <c r="U73" s="1697">
        <v>-84</v>
      </c>
      <c r="V73" s="1697">
        <v>-84</v>
      </c>
      <c r="W73" s="1711">
        <f t="shared" si="51"/>
        <v>1.8953457457531186E-2</v>
      </c>
      <c r="X73" s="1693"/>
      <c r="Y73" s="1685"/>
      <c r="Z73" s="1685"/>
      <c r="AA73" s="1685"/>
      <c r="AB73" s="1685"/>
      <c r="AC73" s="1685"/>
      <c r="AD73" s="1685"/>
      <c r="AF73" s="522" t="e">
        <f t="shared" si="52"/>
        <v>#DIV/0!</v>
      </c>
    </row>
    <row r="74" spans="1:32" ht="15.75">
      <c r="A74" s="1685"/>
      <c r="B74" s="1687" t="s">
        <v>5440</v>
      </c>
      <c r="C74" s="1709"/>
      <c r="D74" s="1709"/>
      <c r="E74" s="1709"/>
      <c r="F74" s="1709"/>
      <c r="G74" s="1709"/>
      <c r="H74" s="1709">
        <f>SUM(H63:H73)</f>
        <v>1448.600076899188</v>
      </c>
      <c r="I74" s="1710">
        <v>1367.1</v>
      </c>
      <c r="J74" s="1709">
        <f t="shared" ref="J74:M74" si="53">SUM(J63:J73)</f>
        <v>1412.5717613715995</v>
      </c>
      <c r="K74" s="1709">
        <f>SUM(K63:K73)</f>
        <v>1506.5</v>
      </c>
      <c r="L74" s="1710">
        <v>1485</v>
      </c>
      <c r="M74" s="1709">
        <f t="shared" si="53"/>
        <v>1818.4935611038109</v>
      </c>
      <c r="N74" s="1710">
        <v>1718</v>
      </c>
      <c r="O74" s="1710">
        <v>1701.6</v>
      </c>
      <c r="P74" s="1709">
        <f t="shared" ref="P74:V74" si="54">SUM(P63:P73)</f>
        <v>1579.0990335466222</v>
      </c>
      <c r="Q74" s="1709">
        <f>SUM(Q63:Q73)</f>
        <v>1802.8296324342652</v>
      </c>
      <c r="R74" s="1709">
        <f t="shared" si="54"/>
        <v>1887.8361378059224</v>
      </c>
      <c r="S74" s="1709">
        <f t="shared" si="54"/>
        <v>1945.9434392102044</v>
      </c>
      <c r="T74" s="1709">
        <f t="shared" si="54"/>
        <v>2001.7655162215337</v>
      </c>
      <c r="U74" s="1709">
        <f t="shared" si="54"/>
        <v>2047.0473245054468</v>
      </c>
      <c r="V74" s="1709">
        <f t="shared" si="54"/>
        <v>2093.9095377424046</v>
      </c>
      <c r="W74" s="1714">
        <f>(Q74/N74)^(1/3)-1</f>
        <v>1.6195286367131301E-2</v>
      </c>
      <c r="X74" s="1690">
        <f>O74/1869-1</f>
        <v>-8.956661316211878E-2</v>
      </c>
      <c r="Y74" s="1711"/>
      <c r="Z74" s="1685"/>
      <c r="AA74" s="1685"/>
      <c r="AB74" s="1685"/>
      <c r="AC74" s="1685"/>
      <c r="AD74" s="1685"/>
    </row>
    <row r="75" spans="1:32" ht="15.75">
      <c r="A75" s="1685"/>
      <c r="B75" s="1692" t="s">
        <v>78</v>
      </c>
      <c r="C75" s="1690"/>
      <c r="D75" s="1690"/>
      <c r="E75" s="1690"/>
      <c r="F75" s="1690"/>
      <c r="G75" s="1690"/>
      <c r="H75" s="1690"/>
      <c r="I75" s="1690">
        <f>I74/H74-1</f>
        <v>-5.6261267825999051E-2</v>
      </c>
      <c r="J75" s="1690">
        <f t="shared" ref="J75:V75" si="55">J74/I74-1</f>
        <v>3.3261474194718366E-2</v>
      </c>
      <c r="K75" s="1690">
        <f t="shared" si="55"/>
        <v>6.6494489835473347E-2</v>
      </c>
      <c r="L75" s="1690">
        <f t="shared" si="55"/>
        <v>-1.4271490209093907E-2</v>
      </c>
      <c r="M75" s="1690">
        <f t="shared" si="55"/>
        <v>0.22457478862209479</v>
      </c>
      <c r="N75" s="1690">
        <f t="shared" si="55"/>
        <v>-5.5261983464385822E-2</v>
      </c>
      <c r="O75" s="1690">
        <f t="shared" si="55"/>
        <v>-9.5459837019791216E-3</v>
      </c>
      <c r="P75" s="1690">
        <f t="shared" si="55"/>
        <v>-7.1991635198270898E-2</v>
      </c>
      <c r="Q75" s="1690">
        <f t="shared" si="55"/>
        <v>0.14168243671528891</v>
      </c>
      <c r="R75" s="1690">
        <f t="shared" si="55"/>
        <v>4.7151712975161963E-2</v>
      </c>
      <c r="S75" s="1690">
        <f t="shared" si="55"/>
        <v>3.0779843780199823E-2</v>
      </c>
      <c r="T75" s="1690">
        <f t="shared" si="55"/>
        <v>2.8686382084150308E-2</v>
      </c>
      <c r="U75" s="1690">
        <f t="shared" si="55"/>
        <v>2.2620935327822833E-2</v>
      </c>
      <c r="V75" s="1690">
        <f t="shared" si="55"/>
        <v>2.2892589084758663E-2</v>
      </c>
      <c r="W75" s="1685"/>
      <c r="X75" s="1693"/>
      <c r="Y75" s="1685"/>
      <c r="Z75" s="1685"/>
      <c r="AA75" s="1685"/>
      <c r="AB75" s="1685"/>
      <c r="AC75" s="1685"/>
      <c r="AD75" s="1685"/>
    </row>
    <row r="76" spans="1:32" ht="15.75">
      <c r="A76" s="1685"/>
      <c r="B76" s="1692" t="s">
        <v>4534</v>
      </c>
      <c r="C76" s="1690"/>
      <c r="D76" s="1690"/>
      <c r="E76" s="1690"/>
      <c r="F76" s="1690"/>
      <c r="G76" s="1690"/>
      <c r="H76" s="1690"/>
      <c r="I76" s="1690"/>
      <c r="J76" s="1690"/>
      <c r="K76" s="1690"/>
      <c r="L76" s="1695">
        <f>L74-+Analysis!E2172/4</f>
        <v>1414.9680000000001</v>
      </c>
      <c r="M76" s="1695">
        <f>M74-+Analysis!F2172</f>
        <v>1568.4793211038109</v>
      </c>
      <c r="N76" s="1695">
        <f>N74-+Analysis!G2172</f>
        <v>1417.4471672</v>
      </c>
      <c r="O76" s="1695">
        <f>O74-+Analysis!H2172</f>
        <v>1395.0361105439999</v>
      </c>
      <c r="P76" s="1695">
        <f>P74-+Analysis!I2172</f>
        <v>1266.4038663015021</v>
      </c>
      <c r="Q76" s="1695">
        <f>Q74-+Analysis!J2172</f>
        <v>1483.8805618442427</v>
      </c>
      <c r="R76" s="1695">
        <f>R74-+Analysis!K2172</f>
        <v>1887.8361378059224</v>
      </c>
      <c r="S76" s="1695">
        <f>S74-+Analysis!L2172</f>
        <v>1945.9434392102044</v>
      </c>
      <c r="T76" s="1695">
        <f>T74-+Analysis!M2172</f>
        <v>2001.7655162215337</v>
      </c>
      <c r="U76" s="1695">
        <f>U74-+Analysis!N2172</f>
        <v>2047.0473245054468</v>
      </c>
      <c r="V76" s="1695">
        <f>V74-+Analysis!O2172</f>
        <v>2093.9095377424046</v>
      </c>
      <c r="W76" s="1685"/>
      <c r="X76" s="1693"/>
      <c r="Y76" s="1685"/>
      <c r="Z76" s="1685"/>
      <c r="AA76" s="1685"/>
      <c r="AB76" s="1685"/>
      <c r="AC76" s="1685"/>
      <c r="AD76" s="1685"/>
    </row>
    <row r="77" spans="1:32" ht="15.75">
      <c r="A77" s="1685"/>
      <c r="B77" s="1692"/>
      <c r="C77" s="1690"/>
      <c r="D77" s="1690"/>
      <c r="E77" s="1690"/>
      <c r="F77" s="1690"/>
      <c r="G77" s="1690"/>
      <c r="H77" s="1690"/>
      <c r="I77" s="1690"/>
      <c r="J77" s="1690"/>
      <c r="K77" s="1690"/>
      <c r="L77" s="1695"/>
      <c r="M77" s="1695"/>
      <c r="N77" s="1693"/>
      <c r="O77" s="1695"/>
      <c r="P77" s="1695"/>
      <c r="Q77" s="1695"/>
      <c r="R77" s="1695"/>
      <c r="S77" s="1695"/>
      <c r="T77" s="1695"/>
      <c r="U77" s="1695"/>
      <c r="V77" s="1695"/>
      <c r="W77" s="1685"/>
      <c r="X77" s="1693"/>
      <c r="Y77" s="1685"/>
      <c r="Z77" s="1685"/>
      <c r="AA77" s="1685"/>
      <c r="AB77" s="1685"/>
      <c r="AC77" s="1685"/>
      <c r="AD77" s="1685"/>
    </row>
    <row r="78" spans="1:32" ht="15.75">
      <c r="A78" s="1685"/>
      <c r="B78" s="1715" t="s">
        <v>193</v>
      </c>
      <c r="C78" s="1716"/>
      <c r="D78" s="1716"/>
      <c r="E78" s="1716"/>
      <c r="F78" s="1716"/>
      <c r="G78" s="1716"/>
      <c r="H78" s="1716"/>
      <c r="I78" s="1716"/>
      <c r="J78" s="1716"/>
      <c r="K78" s="1716"/>
      <c r="L78" s="1717">
        <f>'Puerto Rico'!H76</f>
        <v>0</v>
      </c>
      <c r="M78" s="1717">
        <f>'Puerto Rico'!I76+'Costa Rica'!G45/'Costa Rica'!G29*1000</f>
        <v>17</v>
      </c>
      <c r="N78" s="1717">
        <f>'Puerto Rico'!J76+'Costa Rica'!H45/'Costa Rica'!H29*1000</f>
        <v>25</v>
      </c>
      <c r="O78" s="1717">
        <f>'Puerto Rico'!K76+'Costa Rica'!I45/'Costa Rica'!I29*1000</f>
        <v>37</v>
      </c>
      <c r="P78" s="1717">
        <f>'Puerto Rico'!L76+'Costa Rica'!J45/'Costa Rica'!J29*1000</f>
        <v>23</v>
      </c>
      <c r="Q78" s="1717">
        <f>'Puerto Rico'!M76+'Costa Rica'!K45/'Costa Rica'!K29*1000</f>
        <v>0</v>
      </c>
      <c r="R78" s="1717">
        <f>'Puerto Rico'!N76+'Costa Rica'!L45/'Costa Rica'!L29*1000</f>
        <v>0</v>
      </c>
      <c r="S78" s="1717">
        <f>'Puerto Rico'!O76+'Costa Rica'!M45/'Costa Rica'!M29*1000</f>
        <v>0</v>
      </c>
      <c r="T78" s="1717">
        <f>'Puerto Rico'!P76+'Costa Rica'!N45/'Costa Rica'!N29*1000</f>
        <v>0</v>
      </c>
      <c r="U78" s="1717">
        <f>'Puerto Rico'!Q76+'Costa Rica'!O45/'Costa Rica'!O29*1000</f>
        <v>0</v>
      </c>
      <c r="V78" s="1717">
        <f>'Puerto Rico'!R76+'Costa Rica'!P45/'Costa Rica'!P29*1000</f>
        <v>0</v>
      </c>
      <c r="W78" s="1685"/>
      <c r="X78" s="1693"/>
      <c r="Y78" s="1685"/>
      <c r="Z78" s="1685"/>
      <c r="AA78" s="1685"/>
      <c r="AB78" s="1685"/>
      <c r="AC78" s="1685"/>
      <c r="AD78" s="1685"/>
    </row>
    <row r="79" spans="1:32" ht="15.75">
      <c r="A79" s="1685"/>
      <c r="B79" s="1687" t="s">
        <v>79</v>
      </c>
      <c r="C79" s="1718"/>
      <c r="D79" s="1718"/>
      <c r="E79" s="1718"/>
      <c r="F79" s="1718"/>
      <c r="G79" s="1718"/>
      <c r="H79" s="1718"/>
      <c r="I79" s="1718"/>
      <c r="J79" s="1718"/>
      <c r="K79" s="1718"/>
      <c r="L79" s="1709">
        <f t="shared" ref="L79:Q79" si="56">L74+L78</f>
        <v>1485</v>
      </c>
      <c r="M79" s="1709">
        <f t="shared" si="56"/>
        <v>1835.4935611038109</v>
      </c>
      <c r="N79" s="1709">
        <f t="shared" si="56"/>
        <v>1743</v>
      </c>
      <c r="O79" s="1709">
        <f t="shared" si="56"/>
        <v>1738.6</v>
      </c>
      <c r="P79" s="1709">
        <f t="shared" si="56"/>
        <v>1602.0990335466222</v>
      </c>
      <c r="Q79" s="1709">
        <f t="shared" si="56"/>
        <v>1802.8296324342652</v>
      </c>
      <c r="R79" s="1709">
        <f t="shared" ref="R79:S79" si="57">R74+R78</f>
        <v>1887.8361378059224</v>
      </c>
      <c r="S79" s="1709">
        <f t="shared" si="57"/>
        <v>1945.9434392102044</v>
      </c>
      <c r="T79" s="1709">
        <f t="shared" ref="T79:V79" si="58">T74+T78</f>
        <v>2001.7655162215337</v>
      </c>
      <c r="U79" s="1709">
        <f t="shared" si="58"/>
        <v>2047.0473245054468</v>
      </c>
      <c r="V79" s="1709">
        <f t="shared" si="58"/>
        <v>2093.9095377424046</v>
      </c>
      <c r="W79" s="1685"/>
      <c r="X79" s="1693"/>
      <c r="Y79" s="1685"/>
      <c r="Z79" s="1685"/>
      <c r="AA79" s="1685"/>
      <c r="AB79" s="1685"/>
      <c r="AC79" s="1685"/>
      <c r="AD79" s="1685"/>
    </row>
    <row r="80" spans="1:32" ht="15.75">
      <c r="A80" s="1685"/>
      <c r="B80" s="1692"/>
      <c r="C80" s="1690"/>
      <c r="D80" s="1690"/>
      <c r="E80" s="1690"/>
      <c r="F80" s="1690"/>
      <c r="G80" s="1690"/>
      <c r="H80" s="1690"/>
      <c r="I80" s="1690"/>
      <c r="J80" s="1690"/>
      <c r="K80" s="1690"/>
      <c r="L80" s="1695"/>
      <c r="M80" s="1695"/>
      <c r="N80" s="1695"/>
      <c r="O80" s="1695"/>
      <c r="P80" s="1695"/>
      <c r="Q80" s="1695"/>
      <c r="R80" s="1695"/>
      <c r="S80" s="1695"/>
      <c r="T80" s="1695"/>
      <c r="U80" s="1695"/>
      <c r="V80" s="1695"/>
      <c r="W80" s="1685"/>
      <c r="X80" s="1693"/>
      <c r="Y80" s="1685"/>
      <c r="Z80" s="1685"/>
      <c r="AA80" s="1685"/>
      <c r="AB80" s="1685"/>
      <c r="AC80" s="1685"/>
      <c r="AD80" s="1685"/>
    </row>
    <row r="81" spans="1:30" ht="15.75">
      <c r="A81" s="1685"/>
      <c r="B81" s="1692" t="s">
        <v>4543</v>
      </c>
      <c r="C81" s="1690"/>
      <c r="D81" s="1690"/>
      <c r="E81" s="1690"/>
      <c r="F81" s="1690"/>
      <c r="G81" s="1690"/>
      <c r="H81" s="1695"/>
      <c r="I81" s="1695">
        <f>I74+((I70*Forex!M38/Forex!L38))-I70</f>
        <v>1351.5933357896629</v>
      </c>
      <c r="J81" s="1695">
        <f>J74+((J70*Forex!N38/Forex!M38))-J70</f>
        <v>1408.3802712700372</v>
      </c>
      <c r="K81" s="1695">
        <f>K74+((K70*Forex!O38/Forex!N38))-K70</f>
        <v>1543.1209539530032</v>
      </c>
      <c r="L81" s="1694">
        <f>L74+((L70*Forex!P38/Forex!O38))-L70-30+(10*5)</f>
        <v>1543.7953144532091</v>
      </c>
      <c r="M81" s="1695">
        <f>M74+((M70*Forex!Q38/Forex!P38))-M70</f>
        <v>1808.3953282828284</v>
      </c>
      <c r="N81" s="1695">
        <f>N79-N72-N63+(N72*'Costa Rica'!H29/'Costa Rica'!G29)+(N63*'New Format'!H28/'New Format'!G28)</f>
        <v>1760.3776491100946</v>
      </c>
      <c r="O81" s="1695">
        <f>O79-O72-O63+(O72*'Costa Rica'!I29/'Costa Rica'!H29)+(O63*'New Format'!I28/'New Format'!H28)</f>
        <v>1709.7632690870753</v>
      </c>
      <c r="P81" s="1695">
        <f>P79-P72-P63+(P72*'Costa Rica'!J29/'Costa Rica'!I29)+(P63*'New Format'!J28/'New Format'!I28)</f>
        <v>1592.4687919011085</v>
      </c>
      <c r="Q81" s="1695">
        <f>Q79-Q72-Q63+(Q72*'Costa Rica'!K29/'Costa Rica'!J29)+(Q63*'New Format'!K28/'New Format'!J28)</f>
        <v>1808.1529736173215</v>
      </c>
      <c r="R81" s="1695">
        <f>R79-R72-R63+(R72*'Costa Rica'!L29/'Costa Rica'!K29)+(R63*'New Format'!L28/'New Format'!K28)</f>
        <v>1896.8717528777379</v>
      </c>
      <c r="S81" s="1695">
        <f>S79-S72-S63+(S72*'Costa Rica'!M29/'Costa Rica'!L29)+(S63*'New Format'!M28/'New Format'!L28)</f>
        <v>1953.0497022409359</v>
      </c>
      <c r="T81" s="1695">
        <f>T79-T72-T63+(T72*'Costa Rica'!N29/'Costa Rica'!M29)+(T63*'New Format'!N28/'New Format'!M28)</f>
        <v>2009.1155809793506</v>
      </c>
      <c r="U81" s="1695">
        <f>U79-U72-U63+(U72*'Costa Rica'!O29/'Costa Rica'!N29)+(U63*'New Format'!O28/'New Format'!N28)</f>
        <v>2054.6504492064801</v>
      </c>
      <c r="V81" s="1695">
        <f>V79-V72-V63+(V72*'Costa Rica'!P29/'Costa Rica'!O29)+(V63*'New Format'!P28/'New Format'!O28)</f>
        <v>2101.7760766864694</v>
      </c>
      <c r="W81" s="1685"/>
      <c r="X81" s="1685"/>
      <c r="Y81" s="1685"/>
      <c r="Z81" s="1685"/>
      <c r="AA81" s="1685"/>
      <c r="AB81" s="1685"/>
      <c r="AC81" s="1685"/>
      <c r="AD81" s="1685"/>
    </row>
    <row r="82" spans="1:30" ht="15.75">
      <c r="A82" s="1685"/>
      <c r="B82" s="1692" t="s">
        <v>4544</v>
      </c>
      <c r="C82" s="1690"/>
      <c r="D82" s="1690"/>
      <c r="E82" s="1690"/>
      <c r="F82" s="1690"/>
      <c r="G82" s="1690"/>
      <c r="H82" s="1695"/>
      <c r="I82" s="1695"/>
      <c r="J82" s="1695"/>
      <c r="K82" s="1695"/>
      <c r="L82" s="1694">
        <f>L81-Analysis!E2172/4</f>
        <v>1473.7633144532092</v>
      </c>
      <c r="M82" s="1695">
        <f>(M74-250-50)</f>
        <v>1518.4935611038109</v>
      </c>
      <c r="N82" s="1695"/>
      <c r="O82" s="1695"/>
      <c r="P82" s="1690">
        <f>P81/O79-1</f>
        <v>-8.4051080236334674E-2</v>
      </c>
      <c r="Q82" s="1690">
        <f t="shared" ref="Q82:V82" si="59">Q81/P79-1</f>
        <v>0.12861498306665253</v>
      </c>
      <c r="R82" s="1690">
        <f t="shared" si="59"/>
        <v>5.2163620317518644E-2</v>
      </c>
      <c r="S82" s="1690">
        <f t="shared" si="59"/>
        <v>3.454408098724393E-2</v>
      </c>
      <c r="T82" s="1690">
        <f t="shared" si="59"/>
        <v>3.2463503561432239E-2</v>
      </c>
      <c r="U82" s="1690">
        <f t="shared" si="59"/>
        <v>2.641914477814078E-2</v>
      </c>
      <c r="V82" s="1690">
        <f t="shared" si="59"/>
        <v>2.6735460155638879E-2</v>
      </c>
      <c r="W82" s="1685"/>
      <c r="X82" s="1685"/>
      <c r="Y82" s="1685"/>
      <c r="Z82" s="1685"/>
      <c r="AA82" s="1685"/>
      <c r="AB82" s="1685"/>
      <c r="AC82" s="1685"/>
      <c r="AD82" s="1685"/>
    </row>
    <row r="83" spans="1:30" ht="15.75">
      <c r="A83" s="1685"/>
      <c r="B83" s="1692" t="s">
        <v>1092</v>
      </c>
      <c r="C83" s="1690"/>
      <c r="D83" s="1690"/>
      <c r="E83" s="1690"/>
      <c r="F83" s="1690"/>
      <c r="G83" s="1690"/>
      <c r="H83" s="1695"/>
      <c r="I83" s="1695"/>
      <c r="J83" s="1695"/>
      <c r="K83" s="1695"/>
      <c r="L83" s="1690">
        <f>L82/1541-1</f>
        <v>-4.3631853047884972E-2</v>
      </c>
      <c r="M83" s="1693"/>
      <c r="N83" s="1695"/>
      <c r="O83" s="1695"/>
      <c r="P83" s="1695"/>
      <c r="Q83" s="1695"/>
      <c r="R83" s="1695"/>
      <c r="S83" s="1695"/>
      <c r="T83" s="1695"/>
      <c r="U83" s="1695"/>
      <c r="V83" s="1695"/>
      <c r="W83" s="1685"/>
      <c r="X83" s="1685"/>
      <c r="Y83" s="1685"/>
      <c r="Z83" s="1685"/>
      <c r="AA83" s="1685"/>
      <c r="AB83" s="1685"/>
      <c r="AC83" s="1685"/>
      <c r="AD83" s="1685"/>
    </row>
    <row r="84" spans="1:30" ht="15.75">
      <c r="A84" s="1685"/>
      <c r="B84" s="1692" t="s">
        <v>5327</v>
      </c>
      <c r="C84" s="1690"/>
      <c r="D84" s="1690"/>
      <c r="E84" s="1695"/>
      <c r="F84" s="1695"/>
      <c r="G84" s="1695"/>
      <c r="H84" s="1695"/>
      <c r="I84" s="1695"/>
      <c r="J84" s="1695">
        <f>(J63*SOP!$C$3)+(Master!J64*SOP!$C$4)+(Master!J65*SOP!$C$5)+(Master!J66*SOP!$C$6)+(Master!J67*SOP!$C$7)+Master!J68+Master!J69+Master!J70+Master!J71+(Master!J72*SOP!$C$11)+Master!J73</f>
        <v>1244.6558613715995</v>
      </c>
      <c r="K84" s="1695">
        <f>(K63*SOP!$C$3)+(Master!K64*SOP!$C$4)+(Master!K65*SOP!$C$5)+(Master!K66*SOP!$C$6)+(Master!K67*SOP!$C$7)+Master!K68+Master!K69+Master!K70+Master!K71+(Master!K72*SOP!$C$11)+Master!K73</f>
        <v>1328.2097159999998</v>
      </c>
      <c r="L84" s="1695">
        <f>(L63*SOP!$C$3)+(Master!L64*SOP!$C$4)+(Master!L65*SOP!$C$5)+(Master!L66*SOP!$C$6)+(Master!L67*SOP!$C$7)+Master!L68+Master!L69+Master!L70+Master!L71+(Master!L72*SOP!$C$11)+Master!L73</f>
        <v>1336.9684400000001</v>
      </c>
      <c r="M84" s="1695">
        <f>(M63*SOP!$C$3)+(Master!M64*SOP!$C$4)+(Master!M65*SOP!$C$5)+(Master!M66*SOP!$C$6)+(Master!M67*SOP!$C$7)+Master!M68+Master!M69+Master!M70+Master!M71+(Master!M72*SOP!$C$11)+Master!M73</f>
        <v>1654.2012511038108</v>
      </c>
      <c r="N84" s="1695">
        <f>(N63*SOP!$C$3)+(Master!N64*SOP!$C$4)+(Master!N65*SOP!$C$5)+(Master!N66*SOP!$C$6)+(Master!N67*SOP!$C$7)+Master!N68+Master!N69+Master!N70+Master!N71+(Master!N72*SOP!$C$11)+Master!N73</f>
        <v>1550.9752100000001</v>
      </c>
      <c r="O84" s="1695">
        <f>(O63*SOP!$C$3)+(Master!O64*SOP!$C$4)+(Master!O65*SOP!$C$5)+(Master!O66*SOP!$C$6)+(Master!O67*SOP!$C$7)+Master!O68+Master!O69+Master!O70+Master!O71+(Master!O72*SOP!$C$11)+Master!O73</f>
        <v>1506.91075</v>
      </c>
      <c r="P84" s="1695">
        <f>(P63*SOP!$C$3)+(Master!P64*SOP!$C$4)+(Master!P65*SOP!$C$5)+(Master!P66*SOP!$C$6)+(Master!P67*SOP!$C$7)+Master!P68+Master!P69+Master!P70+Master!P71+(Master!P72*SOP!$C$11)+Master!P73</f>
        <v>1368.1546169601884</v>
      </c>
      <c r="Q84" s="1695">
        <f>(Q63*SOP!$C$3)+(Master!Q64*SOP!$C$4)+(Master!Q65*SOP!$C$5)+(Master!Q66*SOP!$C$6)+(Master!Q67*SOP!$C$7)+Master!Q68+Master!Q69+Master!Q70+Master!Q71+(Master!Q72*SOP!$C$11)+Master!Q73</f>
        <v>1578.5005985688013</v>
      </c>
      <c r="R84" s="1695">
        <f>(R63*SOP!$C$3)+(Master!R64*SOP!$C$4)+(Master!R65*SOP!$C$5)+(Master!R66*SOP!$C$6)+(Master!R67*SOP!$C$7)+Master!R68+Master!R69+Master!R70+Master!R71+(Master!R72*SOP!$C$11)+Master!R73</f>
        <v>1653.8220337248219</v>
      </c>
      <c r="S84" s="1695">
        <f>(S63*SOP!$C$3)+(Master!S64*SOP!$C$4)+(Master!S65*SOP!$C$5)+(Master!S66*SOP!$C$6)+(Master!S67*SOP!$C$7)+Master!S68+Master!S69+Master!S70+Master!S71+(Master!S72*SOP!$C$11)+Master!S73</f>
        <v>1706.818440271647</v>
      </c>
      <c r="T84" s="1695">
        <f>(T63*SOP!$C$3)+(Master!T64*SOP!$C$4)+(Master!T65*SOP!$C$5)+(Master!T66*SOP!$C$6)+(Master!T67*SOP!$C$7)+Master!T68+Master!T69+Master!T70+Master!T71+(Master!T72*SOP!$C$11)+Master!T73</f>
        <v>1757.6417896069775</v>
      </c>
      <c r="U84" s="1695">
        <f>(U63*SOP!$C$3)+(Master!U64*SOP!$C$4)+(Master!U65*SOP!$C$5)+(Master!U66*SOP!$C$6)+(Master!U67*SOP!$C$7)+Master!U68+Master!U69+Master!U70+Master!U71+(Master!U72*SOP!$C$11)+Master!U73</f>
        <v>1797.8187007181364</v>
      </c>
      <c r="V84" s="1695">
        <f>(V63*SOP!$C$3)+(Master!V64*SOP!$C$4)+(Master!V65*SOP!$C$5)+(Master!V66*SOP!$C$6)+(Master!V67*SOP!$C$7)+Master!V68+Master!V69+Master!V70+Master!V71+(Master!V72*SOP!$C$11)+Master!V73</f>
        <v>1839.4619914327895</v>
      </c>
      <c r="W84" s="1711">
        <f>(Q84/N84)^(1/3)-1</f>
        <v>5.8810617342863747E-3</v>
      </c>
      <c r="X84" s="1685"/>
      <c r="Y84" s="1685"/>
      <c r="Z84" s="1685"/>
      <c r="AA84" s="1685"/>
      <c r="AB84" s="1685"/>
      <c r="AC84" s="1685"/>
      <c r="AD84" s="1685"/>
    </row>
    <row r="85" spans="1:30" ht="15.75">
      <c r="A85" s="1685"/>
      <c r="B85" s="1692" t="s">
        <v>4962</v>
      </c>
      <c r="C85" s="1690"/>
      <c r="D85" s="1690"/>
      <c r="E85" s="1695"/>
      <c r="F85" s="1695"/>
      <c r="G85" s="1695"/>
      <c r="H85" s="1695"/>
      <c r="I85" s="1695"/>
      <c r="J85" s="1695"/>
      <c r="K85" s="1695"/>
      <c r="L85" s="1695">
        <f t="shared" ref="L85:Q85" si="60">SUM(L63:L69)</f>
        <v>886.00000000000023</v>
      </c>
      <c r="M85" s="1695">
        <f t="shared" si="60"/>
        <v>947.30000000000007</v>
      </c>
      <c r="N85" s="1695">
        <f t="shared" si="60"/>
        <v>1002.2992214999999</v>
      </c>
      <c r="O85" s="1695">
        <f t="shared" si="60"/>
        <v>1086.2</v>
      </c>
      <c r="P85" s="1695">
        <f t="shared" si="60"/>
        <v>1121.9841984141069</v>
      </c>
      <c r="Q85" s="1695">
        <f t="shared" si="60"/>
        <v>1184.2504847729369</v>
      </c>
      <c r="R85" s="1695">
        <f t="shared" ref="R85:S85" si="61">SUM(R63:R69)</f>
        <v>1222.7859544035505</v>
      </c>
      <c r="S85" s="1695">
        <f t="shared" si="61"/>
        <v>1256.3605099882811</v>
      </c>
      <c r="T85" s="1695">
        <f t="shared" ref="T85:V85" si="62">SUM(T63:T69)</f>
        <v>1288.7745116816072</v>
      </c>
      <c r="U85" s="1695">
        <f t="shared" si="62"/>
        <v>1322.4524122957098</v>
      </c>
      <c r="V85" s="1695">
        <f t="shared" si="62"/>
        <v>1357.4566922960732</v>
      </c>
      <c r="W85" s="1711"/>
      <c r="X85" s="1685"/>
      <c r="Y85" s="1685"/>
      <c r="Z85" s="1685"/>
      <c r="AA85" s="1685"/>
      <c r="AB85" s="1685"/>
      <c r="AC85" s="1685"/>
      <c r="AD85" s="1685"/>
    </row>
    <row r="86" spans="1:30" ht="15.75">
      <c r="A86" s="1685"/>
      <c r="B86" s="1692" t="s">
        <v>4696</v>
      </c>
      <c r="C86" s="1690"/>
      <c r="D86" s="1690"/>
      <c r="E86" s="1695"/>
      <c r="F86" s="1695"/>
      <c r="G86" s="1695"/>
      <c r="H86" s="1695"/>
      <c r="I86" s="1695"/>
      <c r="J86" s="1695">
        <f>J84-J73-J72*SOP!$C$11-J71-J70</f>
        <v>735.93410000000006</v>
      </c>
      <c r="K86" s="1695">
        <f>K84-K73-K72*SOP!$C$11-K71-K70</f>
        <v>751.81471599999975</v>
      </c>
      <c r="L86" s="1695">
        <f>L84-L73-L72*SOP!$C$11-L71-L70</f>
        <v>744.40844000000016</v>
      </c>
      <c r="M86" s="1695">
        <f>M84-M73-M72*SOP!$C$11-M71-M70</f>
        <v>792.23068999999987</v>
      </c>
      <c r="N86" s="1695">
        <f>N84-N73-N72*SOP!$C$11-N71-N70</f>
        <v>850.76493149999999</v>
      </c>
      <c r="O86" s="1695">
        <f>O84-O73-O72*SOP!$C$11-O71-O70</f>
        <v>914.86725000000001</v>
      </c>
      <c r="P86" s="1695">
        <f>P84-P73-P72*SOP!$C$11-P71-P70</f>
        <v>936.01803058791245</v>
      </c>
      <c r="Q86" s="1695">
        <f>Q84-Q73-Q72*SOP!$C$11-Q71-Q70</f>
        <v>985.34833600269781</v>
      </c>
      <c r="R86" s="1695">
        <f>R84-R73-R72*SOP!$C$11-R71-R70</f>
        <v>1015.5003930117389</v>
      </c>
      <c r="S86" s="1695">
        <f>S84-S73-S72*SOP!$C$11-S71-S70</f>
        <v>1044.6184959950988</v>
      </c>
      <c r="T86" s="1695">
        <f>T84-T73-T72*SOP!$C$11-T71-T70</f>
        <v>1072.6657899456934</v>
      </c>
      <c r="U86" s="1695">
        <f>U84-U73-U72*SOP!$C$11-U71-U70</f>
        <v>1101.8808574238656</v>
      </c>
      <c r="V86" s="1695">
        <f>V84-V73-V72*SOP!$C$11-V71-V70</f>
        <v>1132.3222359003521</v>
      </c>
      <c r="W86" s="1711"/>
      <c r="X86" s="1685"/>
      <c r="Y86" s="1685"/>
      <c r="Z86" s="1685"/>
      <c r="AA86" s="1685"/>
      <c r="AB86" s="1685"/>
      <c r="AC86" s="1685"/>
      <c r="AD86" s="1685"/>
    </row>
    <row r="87" spans="1:30" ht="15.75">
      <c r="A87" s="1685"/>
      <c r="B87" s="1692"/>
      <c r="C87" s="1690"/>
      <c r="D87" s="1690"/>
      <c r="E87" s="1695"/>
      <c r="F87" s="1695"/>
      <c r="G87" s="1701"/>
      <c r="H87" s="1693"/>
      <c r="I87" s="1695"/>
      <c r="J87" s="1698"/>
      <c r="K87" s="1695"/>
      <c r="L87" s="1695"/>
      <c r="M87" s="1695"/>
      <c r="N87" s="1695"/>
      <c r="O87" s="1695"/>
      <c r="P87" s="1695"/>
      <c r="Q87" s="1695"/>
      <c r="R87" s="1695"/>
      <c r="S87" s="1695"/>
      <c r="T87" s="1695"/>
      <c r="U87" s="1695"/>
      <c r="V87" s="1695"/>
      <c r="W87" s="1711"/>
      <c r="X87" s="1685"/>
      <c r="Y87" s="1685"/>
      <c r="Z87" s="1685"/>
      <c r="AA87" s="1685"/>
      <c r="AB87" s="1685"/>
      <c r="AC87" s="1685"/>
      <c r="AD87" s="1685"/>
    </row>
    <row r="88" spans="1:30" ht="15.75">
      <c r="A88" s="1685"/>
      <c r="B88" s="1692" t="s">
        <v>4924</v>
      </c>
      <c r="C88" s="1690"/>
      <c r="D88" s="1690"/>
      <c r="E88" s="1695"/>
      <c r="F88" s="1695"/>
      <c r="G88" s="1701"/>
      <c r="H88" s="1693"/>
      <c r="I88" s="1695">
        <f t="shared" ref="I88:Q88" si="63">SUM(I40:I46)-SUM(I63:I69)</f>
        <v>1394.7000000000003</v>
      </c>
      <c r="J88" s="1695">
        <f t="shared" si="63"/>
        <v>1424.7</v>
      </c>
      <c r="K88" s="1695">
        <f t="shared" si="63"/>
        <v>1458.3000000000002</v>
      </c>
      <c r="L88" s="1695">
        <f t="shared" si="63"/>
        <v>1319.8999999999999</v>
      </c>
      <c r="M88" s="1695">
        <f t="shared" si="63"/>
        <v>1405.8000000000002</v>
      </c>
      <c r="N88" s="1695">
        <f t="shared" si="63"/>
        <v>1586.7007785000001</v>
      </c>
      <c r="O88" s="1695">
        <f t="shared" si="63"/>
        <v>1614.4999999999998</v>
      </c>
      <c r="P88" s="1695">
        <f t="shared" si="63"/>
        <v>1635.7607592893903</v>
      </c>
      <c r="Q88" s="1695">
        <f t="shared" si="63"/>
        <v>1639.966190358336</v>
      </c>
      <c r="R88" s="1695">
        <f t="shared" ref="R88:S88" si="64">SUM(R40:R46)-SUM(R63:R69)</f>
        <v>1667.6313562239725</v>
      </c>
      <c r="S88" s="1695">
        <f t="shared" si="64"/>
        <v>1700.143112840793</v>
      </c>
      <c r="T88" s="1695">
        <f t="shared" ref="T88:V88" si="65">SUM(T40:T46)-SUM(T63:T69)</f>
        <v>1740.6346711529118</v>
      </c>
      <c r="U88" s="1695">
        <f t="shared" si="65"/>
        <v>1782.5840924037273</v>
      </c>
      <c r="V88" s="1695">
        <f t="shared" si="65"/>
        <v>1826.0611908739168</v>
      </c>
      <c r="W88" s="1711"/>
      <c r="X88" s="1685"/>
      <c r="Y88" s="1685"/>
      <c r="Z88" s="1685"/>
      <c r="AA88" s="1685"/>
      <c r="AB88" s="1685"/>
      <c r="AC88" s="1685"/>
      <c r="AD88" s="1685"/>
    </row>
    <row r="89" spans="1:30" ht="15.75">
      <c r="A89" s="1685"/>
      <c r="B89" s="1692" t="s">
        <v>4925</v>
      </c>
      <c r="C89" s="1690"/>
      <c r="D89" s="1690"/>
      <c r="E89" s="1695"/>
      <c r="F89" s="1695"/>
      <c r="G89" s="1701"/>
      <c r="H89" s="1693"/>
      <c r="I89" s="1695"/>
      <c r="J89" s="1695"/>
      <c r="K89" s="1695">
        <f>K88+20-30</f>
        <v>1448.3000000000002</v>
      </c>
      <c r="L89" s="1695">
        <f t="shared" ref="L89:Q89" si="66">L88</f>
        <v>1319.8999999999999</v>
      </c>
      <c r="M89" s="1695">
        <f t="shared" si="66"/>
        <v>1405.8000000000002</v>
      </c>
      <c r="N89" s="1695">
        <f t="shared" si="66"/>
        <v>1586.7007785000001</v>
      </c>
      <c r="O89" s="1695">
        <f t="shared" si="66"/>
        <v>1614.4999999999998</v>
      </c>
      <c r="P89" s="1695">
        <f t="shared" si="66"/>
        <v>1635.7607592893903</v>
      </c>
      <c r="Q89" s="1695">
        <f t="shared" si="66"/>
        <v>1639.966190358336</v>
      </c>
      <c r="R89" s="1695">
        <f t="shared" ref="R89:S89" si="67">R88</f>
        <v>1667.6313562239725</v>
      </c>
      <c r="S89" s="1695">
        <f t="shared" si="67"/>
        <v>1700.143112840793</v>
      </c>
      <c r="T89" s="1695">
        <f t="shared" ref="T89:V89" si="68">T88</f>
        <v>1740.6346711529118</v>
      </c>
      <c r="U89" s="1695">
        <f t="shared" si="68"/>
        <v>1782.5840924037273</v>
      </c>
      <c r="V89" s="1695">
        <f t="shared" si="68"/>
        <v>1826.0611908739168</v>
      </c>
      <c r="W89" s="1711"/>
      <c r="X89" s="1685"/>
      <c r="Y89" s="1685"/>
      <c r="Z89" s="1685"/>
      <c r="AA89" s="1685"/>
      <c r="AB89" s="1685"/>
      <c r="AC89" s="1685"/>
      <c r="AD89" s="1685"/>
    </row>
    <row r="90" spans="1:30" ht="15.75">
      <c r="A90" s="1685"/>
      <c r="B90" s="1692" t="s">
        <v>260</v>
      </c>
      <c r="C90" s="1690"/>
      <c r="D90" s="1690"/>
      <c r="E90" s="1695"/>
      <c r="F90" s="1695"/>
      <c r="G90" s="1701"/>
      <c r="H90" s="1693"/>
      <c r="I90" s="1695"/>
      <c r="J90" s="1695"/>
      <c r="K90" s="1695"/>
      <c r="L90" s="1695">
        <f>L89-K89</f>
        <v>-128.40000000000032</v>
      </c>
      <c r="M90" s="1695">
        <f t="shared" ref="M90:V90" si="69">M88-L88</f>
        <v>85.900000000000318</v>
      </c>
      <c r="N90" s="1695">
        <f t="shared" si="69"/>
        <v>180.90077849999989</v>
      </c>
      <c r="O90" s="1695">
        <f t="shared" si="69"/>
        <v>27.799221499999703</v>
      </c>
      <c r="P90" s="1695">
        <f t="shared" si="69"/>
        <v>21.260759289390535</v>
      </c>
      <c r="Q90" s="1695">
        <f t="shared" si="69"/>
        <v>4.2054310689456997</v>
      </c>
      <c r="R90" s="1695">
        <f t="shared" si="69"/>
        <v>27.665165865636482</v>
      </c>
      <c r="S90" s="1695">
        <f t="shared" si="69"/>
        <v>32.511756616820549</v>
      </c>
      <c r="T90" s="1695">
        <f t="shared" si="69"/>
        <v>40.491558312118741</v>
      </c>
      <c r="U90" s="1695">
        <f t="shared" si="69"/>
        <v>41.949421250815476</v>
      </c>
      <c r="V90" s="1695">
        <f t="shared" si="69"/>
        <v>43.477098470189503</v>
      </c>
      <c r="W90" s="1711"/>
      <c r="X90" s="1685"/>
      <c r="Y90" s="1685"/>
      <c r="Z90" s="1685"/>
      <c r="AA90" s="1685"/>
      <c r="AB90" s="1685"/>
      <c r="AC90" s="1685"/>
      <c r="AD90" s="1685"/>
    </row>
    <row r="91" spans="1:30" ht="15.75">
      <c r="A91" s="1685"/>
      <c r="B91" s="1692" t="s">
        <v>4923</v>
      </c>
      <c r="C91" s="1690"/>
      <c r="D91" s="1690"/>
      <c r="E91" s="1695"/>
      <c r="F91" s="1695"/>
      <c r="G91" s="1695"/>
      <c r="H91" s="1695">
        <f t="shared" ref="H91:Q91" si="70">H52-H74</f>
        <v>2171.5756627457827</v>
      </c>
      <c r="I91" s="1695">
        <f t="shared" si="70"/>
        <v>2219.2178736517722</v>
      </c>
      <c r="J91" s="1695">
        <f t="shared" si="70"/>
        <v>2281.1953875142099</v>
      </c>
      <c r="K91" s="1695">
        <f t="shared" si="70"/>
        <v>2360.6</v>
      </c>
      <c r="L91" s="1695">
        <f t="shared" si="70"/>
        <v>2280</v>
      </c>
      <c r="M91" s="1695">
        <f t="shared" si="70"/>
        <v>2972.8019710906701</v>
      </c>
      <c r="N91" s="1695">
        <f t="shared" si="70"/>
        <v>3097</v>
      </c>
      <c r="O91" s="1695">
        <f t="shared" si="70"/>
        <v>2809.5000000000005</v>
      </c>
      <c r="P91" s="1695">
        <f t="shared" si="70"/>
        <v>2889.9815974879975</v>
      </c>
      <c r="Q91" s="1695">
        <f t="shared" si="70"/>
        <v>2791.804947801139</v>
      </c>
      <c r="R91" s="1695">
        <f t="shared" ref="R91:S91" si="71">R52-R74</f>
        <v>2813.1367085139391</v>
      </c>
      <c r="S91" s="1695">
        <f t="shared" si="71"/>
        <v>2851.7025721760815</v>
      </c>
      <c r="T91" s="1695">
        <f t="shared" ref="T91:V91" si="72">T52-T74</f>
        <v>2895.3114830258996</v>
      </c>
      <c r="U91" s="1695">
        <f t="shared" si="72"/>
        <v>2957.5516578730708</v>
      </c>
      <c r="V91" s="1695">
        <f t="shared" si="72"/>
        <v>3021.7638961688663</v>
      </c>
      <c r="W91" s="1711">
        <f>(Q91/N91)^(1/3)-1</f>
        <v>-3.3990740950349707E-2</v>
      </c>
      <c r="X91" s="1685"/>
      <c r="Y91" s="1685"/>
      <c r="Z91" s="1685"/>
      <c r="AA91" s="1685"/>
      <c r="AB91" s="1685"/>
      <c r="AC91" s="1685"/>
      <c r="AD91" s="1685"/>
    </row>
    <row r="92" spans="1:30" ht="15.75">
      <c r="A92" s="1685"/>
      <c r="B92" s="1692"/>
      <c r="C92" s="1690"/>
      <c r="D92" s="1690"/>
      <c r="E92" s="1695"/>
      <c r="F92" s="1695"/>
      <c r="G92" s="1701"/>
      <c r="H92" s="1695"/>
      <c r="I92" s="1693"/>
      <c r="J92" s="1693"/>
      <c r="K92" s="1695"/>
      <c r="L92" s="1690"/>
      <c r="M92" s="1695"/>
      <c r="N92" s="1695"/>
      <c r="O92" s="1695"/>
      <c r="P92" s="1695"/>
      <c r="Q92" s="1695"/>
      <c r="R92" s="1695"/>
      <c r="S92" s="1695"/>
      <c r="T92" s="1695"/>
      <c r="U92" s="1695"/>
      <c r="V92" s="1695"/>
      <c r="W92" s="1711"/>
      <c r="X92" s="1685"/>
      <c r="Y92" s="1685"/>
      <c r="Z92" s="1685"/>
      <c r="AA92" s="1685"/>
      <c r="AB92" s="1685"/>
      <c r="AC92" s="1685"/>
      <c r="AD92" s="1685"/>
    </row>
    <row r="93" spans="1:30" ht="15.75">
      <c r="A93" s="1685"/>
      <c r="B93" s="1689" t="s">
        <v>5959</v>
      </c>
      <c r="C93" s="1685"/>
      <c r="D93" s="1685"/>
      <c r="E93" s="1685"/>
      <c r="F93" s="1685"/>
      <c r="G93" s="1685"/>
      <c r="H93" s="1685"/>
      <c r="I93" s="1685"/>
      <c r="J93" s="1685"/>
      <c r="K93" s="1685"/>
      <c r="L93" s="1685"/>
      <c r="M93" s="1685"/>
      <c r="N93" s="1685"/>
      <c r="O93" s="1685"/>
      <c r="P93" s="1685"/>
      <c r="Q93" s="1685"/>
      <c r="R93" s="1685"/>
      <c r="S93" s="1685"/>
      <c r="T93" s="1685"/>
      <c r="U93" s="1685"/>
      <c r="V93" s="1685"/>
      <c r="W93" s="1685"/>
      <c r="X93" s="1685"/>
      <c r="Y93" s="1685"/>
      <c r="Z93" s="1685"/>
      <c r="AA93" s="1685"/>
      <c r="AB93" s="1685"/>
      <c r="AC93" s="1685"/>
      <c r="AD93" s="1685"/>
    </row>
    <row r="94" spans="1:30" ht="15.75">
      <c r="A94" s="1685"/>
      <c r="B94" s="1692" t="str">
        <f t="shared" ref="B94:B103" si="73">B63</f>
        <v>Jamaica</v>
      </c>
      <c r="C94" s="1685"/>
      <c r="D94" s="1711"/>
      <c r="E94" s="1711"/>
      <c r="F94" s="1711"/>
      <c r="G94" s="1711"/>
      <c r="H94" s="1711"/>
      <c r="I94" s="1711">
        <f t="shared" ref="I94:Q94" si="74">I63/I40</f>
        <v>0.38000000000000006</v>
      </c>
      <c r="J94" s="1711">
        <f t="shared" si="74"/>
        <v>0.4</v>
      </c>
      <c r="K94" s="1711">
        <f t="shared" si="74"/>
        <v>0.42</v>
      </c>
      <c r="L94" s="1711">
        <f t="shared" si="74"/>
        <v>0.43</v>
      </c>
      <c r="M94" s="1711">
        <f t="shared" si="74"/>
        <v>0.42999999999999994</v>
      </c>
      <c r="N94" s="1711">
        <f t="shared" si="74"/>
        <v>0.44</v>
      </c>
      <c r="O94" s="1711">
        <f t="shared" si="74"/>
        <v>0.47499999999999998</v>
      </c>
      <c r="P94" s="1711">
        <f t="shared" si="74"/>
        <v>0.45</v>
      </c>
      <c r="Q94" s="1711">
        <f t="shared" si="74"/>
        <v>0.48</v>
      </c>
      <c r="R94" s="1711">
        <f t="shared" ref="R94:S94" si="75">R63/R40</f>
        <v>0.49</v>
      </c>
      <c r="S94" s="1711">
        <f t="shared" si="75"/>
        <v>0.5</v>
      </c>
      <c r="T94" s="1711">
        <f t="shared" ref="T94:V94" si="76">T63/T40</f>
        <v>0.5</v>
      </c>
      <c r="U94" s="1711">
        <f t="shared" si="76"/>
        <v>0.5</v>
      </c>
      <c r="V94" s="1711">
        <f t="shared" si="76"/>
        <v>0.5</v>
      </c>
      <c r="W94" s="1685"/>
      <c r="X94" s="1685"/>
      <c r="Y94" s="1685"/>
      <c r="Z94" s="1685"/>
      <c r="AA94" s="1685"/>
      <c r="AB94" s="1685"/>
      <c r="AC94" s="1685"/>
      <c r="AD94" s="1685"/>
    </row>
    <row r="95" spans="1:30" ht="15.75">
      <c r="A95" s="1685"/>
      <c r="B95" s="1692" t="str">
        <f t="shared" si="73"/>
        <v>Trinidad &amp; Tobago</v>
      </c>
      <c r="C95" s="1685"/>
      <c r="D95" s="1711"/>
      <c r="E95" s="1711"/>
      <c r="F95" s="1711"/>
      <c r="G95" s="1711"/>
      <c r="H95" s="1711"/>
      <c r="I95" s="1711">
        <f t="shared" ref="I95:Q95" si="77">I64/I41</f>
        <v>0.4</v>
      </c>
      <c r="J95" s="1711">
        <f t="shared" si="77"/>
        <v>0.4</v>
      </c>
      <c r="K95" s="1711">
        <f t="shared" si="77"/>
        <v>0.4</v>
      </c>
      <c r="L95" s="1711">
        <f t="shared" si="77"/>
        <v>0.4</v>
      </c>
      <c r="M95" s="1711">
        <f t="shared" si="77"/>
        <v>0.39</v>
      </c>
      <c r="N95" s="1711">
        <f t="shared" si="77"/>
        <v>0.39</v>
      </c>
      <c r="O95" s="1711">
        <f t="shared" si="77"/>
        <v>0.38750000000000001</v>
      </c>
      <c r="P95" s="1711">
        <f t="shared" si="77"/>
        <v>0.38500000000000001</v>
      </c>
      <c r="Q95" s="1711">
        <f t="shared" si="77"/>
        <v>0.4</v>
      </c>
      <c r="R95" s="1711">
        <f t="shared" ref="R95:S95" si="78">R64/R41</f>
        <v>0.4</v>
      </c>
      <c r="S95" s="1711">
        <f t="shared" si="78"/>
        <v>0.4</v>
      </c>
      <c r="T95" s="1711">
        <f t="shared" ref="T95:V95" si="79">T64/T41</f>
        <v>0.4</v>
      </c>
      <c r="U95" s="1711">
        <f t="shared" si="79"/>
        <v>0.39999999999999997</v>
      </c>
      <c r="V95" s="1711">
        <f t="shared" si="79"/>
        <v>0.4</v>
      </c>
      <c r="W95" s="1685"/>
      <c r="X95" s="1685"/>
      <c r="Y95" s="1685"/>
      <c r="Z95" s="1685"/>
      <c r="AA95" s="1685"/>
      <c r="AB95" s="1685"/>
      <c r="AC95" s="1685"/>
      <c r="AD95" s="1685"/>
    </row>
    <row r="96" spans="1:30" ht="15.75">
      <c r="A96" s="1685"/>
      <c r="B96" s="1692" t="str">
        <f t="shared" si="73"/>
        <v>Barbados</v>
      </c>
      <c r="C96" s="1685"/>
      <c r="D96" s="1711"/>
      <c r="E96" s="1711"/>
      <c r="F96" s="1711"/>
      <c r="G96" s="1711"/>
      <c r="H96" s="1711"/>
      <c r="I96" s="1711">
        <f t="shared" ref="I96:Q96" si="80">I65/I42</f>
        <v>0.41</v>
      </c>
      <c r="J96" s="1711">
        <f t="shared" si="80"/>
        <v>0.42</v>
      </c>
      <c r="K96" s="1711">
        <f t="shared" si="80"/>
        <v>0.42</v>
      </c>
      <c r="L96" s="1711">
        <f t="shared" si="80"/>
        <v>0.42</v>
      </c>
      <c r="M96" s="1711">
        <f t="shared" si="80"/>
        <v>0.41</v>
      </c>
      <c r="N96" s="1711">
        <f t="shared" si="80"/>
        <v>0.41</v>
      </c>
      <c r="O96" s="1711">
        <f t="shared" si="80"/>
        <v>0.41000000000000003</v>
      </c>
      <c r="P96" s="1711">
        <f t="shared" si="80"/>
        <v>0.41</v>
      </c>
      <c r="Q96" s="1711">
        <f t="shared" si="80"/>
        <v>0.41</v>
      </c>
      <c r="R96" s="1711">
        <f t="shared" ref="R96:S96" si="81">R65/R42</f>
        <v>0.41</v>
      </c>
      <c r="S96" s="1711">
        <f t="shared" si="81"/>
        <v>0.41</v>
      </c>
      <c r="T96" s="1711">
        <f t="shared" ref="T96:V96" si="82">T65/T42</f>
        <v>0.41</v>
      </c>
      <c r="U96" s="1711">
        <f t="shared" si="82"/>
        <v>0.41</v>
      </c>
      <c r="V96" s="1711">
        <f t="shared" si="82"/>
        <v>0.41</v>
      </c>
      <c r="W96" s="1685"/>
      <c r="X96" s="1685"/>
      <c r="Y96" s="1685"/>
      <c r="Z96" s="1685"/>
      <c r="AA96" s="1685"/>
      <c r="AB96" s="1685"/>
      <c r="AC96" s="1685"/>
      <c r="AD96" s="1685"/>
    </row>
    <row r="97" spans="1:30" ht="15.75">
      <c r="A97" s="1685"/>
      <c r="B97" s="1692" t="str">
        <f t="shared" si="73"/>
        <v>Panama</v>
      </c>
      <c r="C97" s="1685"/>
      <c r="D97" s="1711"/>
      <c r="E97" s="1711"/>
      <c r="F97" s="1711"/>
      <c r="G97" s="1711"/>
      <c r="H97" s="1711"/>
      <c r="I97" s="1711">
        <f t="shared" ref="I97:Q97" si="83">I66/I43</f>
        <v>0.37</v>
      </c>
      <c r="J97" s="1711">
        <f t="shared" si="83"/>
        <v>0.35</v>
      </c>
      <c r="K97" s="1711">
        <f t="shared" si="83"/>
        <v>0.3921433494141971</v>
      </c>
      <c r="L97" s="1711">
        <f t="shared" si="83"/>
        <v>0.35582329317269074</v>
      </c>
      <c r="M97" s="1711">
        <f t="shared" si="83"/>
        <v>0.36688668866886687</v>
      </c>
      <c r="N97" s="1711">
        <f t="shared" si="83"/>
        <v>0.29376069705928115</v>
      </c>
      <c r="O97" s="1711">
        <f t="shared" si="83"/>
        <v>0.30662537032049553</v>
      </c>
      <c r="P97" s="1711">
        <f t="shared" si="83"/>
        <v>0.33511368354200843</v>
      </c>
      <c r="Q97" s="1711">
        <f t="shared" si="83"/>
        <v>0.35131115637836924</v>
      </c>
      <c r="R97" s="1711">
        <f t="shared" ref="R97:S97" si="84">R66/R43</f>
        <v>0.35913407551920434</v>
      </c>
      <c r="S97" s="1711">
        <f t="shared" si="84"/>
        <v>0.35922510644194516</v>
      </c>
      <c r="T97" s="1711">
        <f t="shared" ref="T97:V97" si="85">T66/T43</f>
        <v>0.35931681222705997</v>
      </c>
      <c r="U97" s="1711">
        <f t="shared" si="85"/>
        <v>0.3594091927517033</v>
      </c>
      <c r="V97" s="1711">
        <f t="shared" si="85"/>
        <v>0.35950224777508527</v>
      </c>
      <c r="W97" s="1685"/>
      <c r="X97" s="1685"/>
      <c r="Y97" s="1685"/>
      <c r="Z97" s="1685"/>
      <c r="AA97" s="1685"/>
      <c r="AB97" s="1685"/>
      <c r="AC97" s="1685"/>
      <c r="AD97" s="1685"/>
    </row>
    <row r="98" spans="1:30" ht="15.75">
      <c r="A98" s="1685"/>
      <c r="B98" s="1692" t="str">
        <f t="shared" si="73"/>
        <v>Bahamas</v>
      </c>
      <c r="C98" s="1685"/>
      <c r="D98" s="1711"/>
      <c r="E98" s="1711"/>
      <c r="F98" s="1711"/>
      <c r="G98" s="1711"/>
      <c r="H98" s="1711"/>
      <c r="I98" s="1711">
        <f t="shared" ref="I98:Q98" si="86">I67/I44</f>
        <v>0.45</v>
      </c>
      <c r="J98" s="1711">
        <f t="shared" si="86"/>
        <v>0.42</v>
      </c>
      <c r="K98" s="1711">
        <f t="shared" si="86"/>
        <v>0.42</v>
      </c>
      <c r="L98" s="1711">
        <f t="shared" si="86"/>
        <v>0.42</v>
      </c>
      <c r="M98" s="1711">
        <f t="shared" si="86"/>
        <v>0.41</v>
      </c>
      <c r="N98" s="1711">
        <f t="shared" si="86"/>
        <v>0.40999999999999992</v>
      </c>
      <c r="O98" s="1711">
        <f t="shared" si="86"/>
        <v>0.41</v>
      </c>
      <c r="P98" s="1711">
        <f t="shared" si="86"/>
        <v>0.40000000000000008</v>
      </c>
      <c r="Q98" s="1711">
        <f t="shared" si="86"/>
        <v>0.4</v>
      </c>
      <c r="R98" s="1711">
        <f t="shared" ref="R98:S98" si="87">R67/R44</f>
        <v>0.4</v>
      </c>
      <c r="S98" s="1711">
        <f t="shared" si="87"/>
        <v>0.4</v>
      </c>
      <c r="T98" s="1711">
        <f t="shared" ref="T98:V98" si="88">T67/T44</f>
        <v>0.4</v>
      </c>
      <c r="U98" s="1711">
        <f t="shared" si="88"/>
        <v>0.4</v>
      </c>
      <c r="V98" s="1711">
        <f t="shared" si="88"/>
        <v>0.4</v>
      </c>
      <c r="W98" s="1685"/>
      <c r="X98" s="1685"/>
      <c r="Y98" s="1685"/>
      <c r="Z98" s="1685"/>
      <c r="AA98" s="1685"/>
      <c r="AB98" s="1685"/>
      <c r="AC98" s="1685"/>
      <c r="AD98" s="1685"/>
    </row>
    <row r="99" spans="1:30" ht="15.75">
      <c r="A99" s="1685"/>
      <c r="B99" s="1692" t="str">
        <f t="shared" si="73"/>
        <v>Networks (Inc Subsea)</v>
      </c>
      <c r="C99" s="1685"/>
      <c r="D99" s="1711"/>
      <c r="E99" s="1711"/>
      <c r="F99" s="1711"/>
      <c r="G99" s="1711"/>
      <c r="H99" s="1711"/>
      <c r="I99" s="1711">
        <f t="shared" ref="I99:Q99" si="89">I68/I45</f>
        <v>0.35</v>
      </c>
      <c r="J99" s="1711">
        <f t="shared" si="89"/>
        <v>0.37</v>
      </c>
      <c r="K99" s="1711">
        <f t="shared" si="89"/>
        <v>0.39</v>
      </c>
      <c r="L99" s="1711">
        <f t="shared" si="89"/>
        <v>0.41</v>
      </c>
      <c r="M99" s="1711">
        <f t="shared" si="89"/>
        <v>0.40999999999999992</v>
      </c>
      <c r="N99" s="1711">
        <f t="shared" si="89"/>
        <v>0.41</v>
      </c>
      <c r="O99" s="1711">
        <f t="shared" si="89"/>
        <v>0.42</v>
      </c>
      <c r="P99" s="1711">
        <f t="shared" si="89"/>
        <v>0.42</v>
      </c>
      <c r="Q99" s="1711">
        <f t="shared" si="89"/>
        <v>0.43</v>
      </c>
      <c r="R99" s="1711">
        <f t="shared" ref="R99:S99" si="90">R68/R45</f>
        <v>0.43</v>
      </c>
      <c r="S99" s="1711">
        <f t="shared" si="90"/>
        <v>0.43</v>
      </c>
      <c r="T99" s="1711">
        <f t="shared" ref="T99:V99" si="91">T68/T45</f>
        <v>0.43</v>
      </c>
      <c r="U99" s="1711">
        <f t="shared" si="91"/>
        <v>0.43</v>
      </c>
      <c r="V99" s="1711">
        <f t="shared" si="91"/>
        <v>0.43</v>
      </c>
      <c r="W99" s="1685"/>
      <c r="X99" s="1685"/>
      <c r="Y99" s="1685"/>
      <c r="Z99" s="1685"/>
      <c r="AA99" s="1685"/>
      <c r="AB99" s="1685"/>
      <c r="AC99" s="1685"/>
      <c r="AD99" s="1685"/>
    </row>
    <row r="100" spans="1:30" ht="15.75">
      <c r="A100" s="1685"/>
      <c r="B100" s="1692" t="str">
        <f t="shared" si="73"/>
        <v>Other CWC / elims</v>
      </c>
      <c r="C100" s="1685"/>
      <c r="D100" s="1711"/>
      <c r="E100" s="1711"/>
      <c r="F100" s="1711"/>
      <c r="G100" s="1711"/>
      <c r="H100" s="1711"/>
      <c r="I100" s="1711">
        <f t="shared" ref="I100:Q100" si="92">I69/I46</f>
        <v>0.38874727074235804</v>
      </c>
      <c r="J100" s="1711">
        <f t="shared" si="92"/>
        <v>0.40940882597835154</v>
      </c>
      <c r="K100" s="1711">
        <f t="shared" si="92"/>
        <v>0.33626218851570938</v>
      </c>
      <c r="L100" s="1711">
        <f t="shared" si="92"/>
        <v>0.40889514992956355</v>
      </c>
      <c r="M100" s="1711">
        <f t="shared" si="92"/>
        <v>0.41208318457693682</v>
      </c>
      <c r="N100" s="1711">
        <f t="shared" si="92"/>
        <v>0.42033532075137342</v>
      </c>
      <c r="O100" s="1711">
        <f t="shared" si="92"/>
        <v>0.45777069256756764</v>
      </c>
      <c r="P100" s="1711">
        <f t="shared" si="92"/>
        <v>0.46500000000000002</v>
      </c>
      <c r="Q100" s="1711">
        <f t="shared" si="92"/>
        <v>0.47</v>
      </c>
      <c r="R100" s="1711">
        <f t="shared" ref="R100:S100" si="93">R69/R46</f>
        <v>0.47</v>
      </c>
      <c r="S100" s="1711">
        <f t="shared" si="93"/>
        <v>0.47</v>
      </c>
      <c r="T100" s="1711">
        <f t="shared" ref="T100:V100" si="94">T69/T46</f>
        <v>0.47</v>
      </c>
      <c r="U100" s="1711">
        <f t="shared" si="94"/>
        <v>0.47</v>
      </c>
      <c r="V100" s="1711">
        <f t="shared" si="94"/>
        <v>0.47</v>
      </c>
      <c r="W100" s="1685"/>
      <c r="X100" s="1685"/>
      <c r="Y100" s="1685"/>
      <c r="Z100" s="1685"/>
      <c r="AA100" s="1685"/>
      <c r="AB100" s="1685"/>
      <c r="AC100" s="1685"/>
      <c r="AD100" s="1685"/>
    </row>
    <row r="101" spans="1:30" ht="15.75">
      <c r="A101" s="1685"/>
      <c r="B101" s="1692" t="str">
        <f t="shared" si="73"/>
        <v>Chile</v>
      </c>
      <c r="C101" s="1685"/>
      <c r="D101" s="1711"/>
      <c r="E101" s="1711"/>
      <c r="F101" s="1711"/>
      <c r="G101" s="1711"/>
      <c r="H101" s="1711"/>
      <c r="I101" s="1711">
        <f t="shared" ref="I101:N101" si="95">I70/I47</f>
        <v>0.4018782383419689</v>
      </c>
      <c r="J101" s="1711">
        <f t="shared" si="95"/>
        <v>0.40660697746217972</v>
      </c>
      <c r="K101" s="1711">
        <f t="shared" si="95"/>
        <v>0.4107958771650197</v>
      </c>
      <c r="L101" s="1711">
        <f t="shared" si="95"/>
        <v>0.3793372929040324</v>
      </c>
      <c r="M101" s="1711">
        <f t="shared" si="95"/>
        <v>0.32949557244693217</v>
      </c>
      <c r="N101" s="1711">
        <f t="shared" si="95"/>
        <v>0.25654682645361737</v>
      </c>
      <c r="O101" s="1711"/>
      <c r="P101" s="1711"/>
      <c r="Q101" s="1711"/>
      <c r="R101" s="1711"/>
      <c r="S101" s="1711"/>
      <c r="T101" s="1711"/>
      <c r="U101" s="1711"/>
      <c r="V101" s="1711"/>
      <c r="W101" s="1685"/>
      <c r="X101" s="1685"/>
      <c r="Y101" s="1685"/>
      <c r="Z101" s="1685"/>
      <c r="AA101" s="1685"/>
      <c r="AB101" s="1685"/>
      <c r="AC101" s="1685"/>
      <c r="AD101" s="1685"/>
    </row>
    <row r="102" spans="1:30" ht="15.75">
      <c r="A102" s="1685"/>
      <c r="B102" s="1692" t="str">
        <f t="shared" si="73"/>
        <v>Puerto Rico / US VI</v>
      </c>
      <c r="C102" s="1685"/>
      <c r="D102" s="1711"/>
      <c r="E102" s="1711"/>
      <c r="F102" s="1711"/>
      <c r="G102" s="1711"/>
      <c r="H102" s="1711"/>
      <c r="I102" s="1711">
        <f t="shared" ref="I102:Q102" si="96">I71/I48</f>
        <v>0.41372854914196566</v>
      </c>
      <c r="J102" s="1711">
        <f t="shared" si="96"/>
        <v>0.41836105976586568</v>
      </c>
      <c r="K102" s="1711">
        <f t="shared" si="96"/>
        <v>0.49524737996587864</v>
      </c>
      <c r="L102" s="1711">
        <f t="shared" si="96"/>
        <v>0.44303999999999999</v>
      </c>
      <c r="M102" s="1711">
        <f t="shared" si="96"/>
        <v>0.40268041237113406</v>
      </c>
      <c r="N102" s="1711">
        <f t="shared" si="96"/>
        <v>0.37058703489558531</v>
      </c>
      <c r="O102" s="1711">
        <f t="shared" si="96"/>
        <v>0.34262526464361326</v>
      </c>
      <c r="P102" s="1711">
        <f t="shared" si="96"/>
        <v>0.25329368374858108</v>
      </c>
      <c r="Q102" s="1711">
        <f t="shared" si="96"/>
        <v>0.36273700191446812</v>
      </c>
      <c r="R102" s="1711">
        <f t="shared" ref="R102:S102" si="97">R71/R48</f>
        <v>0.38172088678102184</v>
      </c>
      <c r="S102" s="1711">
        <f t="shared" si="97"/>
        <v>0.39113111295785097</v>
      </c>
      <c r="T102" s="1711">
        <f t="shared" ref="T102:V102" si="98">T71/T48</f>
        <v>0.40068452382248354</v>
      </c>
      <c r="U102" s="1711">
        <f t="shared" si="98"/>
        <v>0.40006099179945021</v>
      </c>
      <c r="V102" s="1711">
        <f t="shared" si="98"/>
        <v>0.39943937649836525</v>
      </c>
      <c r="W102" s="1685"/>
      <c r="X102" s="1685"/>
      <c r="Y102" s="1685"/>
      <c r="Z102" s="1685"/>
      <c r="AA102" s="1685"/>
      <c r="AB102" s="1685"/>
      <c r="AC102" s="1685"/>
      <c r="AD102" s="1685"/>
    </row>
    <row r="103" spans="1:30" ht="15.75">
      <c r="A103" s="1685"/>
      <c r="B103" s="1715" t="str">
        <f t="shared" si="73"/>
        <v>Costa Rica</v>
      </c>
      <c r="C103" s="1719"/>
      <c r="D103" s="1720"/>
      <c r="E103" s="1720"/>
      <c r="F103" s="1720"/>
      <c r="G103" s="1720"/>
      <c r="H103" s="1720"/>
      <c r="I103" s="1720"/>
      <c r="J103" s="1720">
        <f t="shared" ref="J103:Q103" si="99">J72/J49</f>
        <v>0.30303030303030304</v>
      </c>
      <c r="K103" s="1720">
        <f t="shared" si="99"/>
        <v>0.35418236623963834</v>
      </c>
      <c r="L103" s="1720">
        <f t="shared" si="99"/>
        <v>0.39160839160839161</v>
      </c>
      <c r="M103" s="1720">
        <f t="shared" si="99"/>
        <v>0.31303669008587043</v>
      </c>
      <c r="N103" s="1720">
        <f t="shared" si="99"/>
        <v>0.30523453433038744</v>
      </c>
      <c r="O103" s="1720">
        <f t="shared" si="99"/>
        <v>0.37068808176674578</v>
      </c>
      <c r="P103" s="1720">
        <f t="shared" si="99"/>
        <v>0.37</v>
      </c>
      <c r="Q103" s="1720">
        <f t="shared" si="99"/>
        <v>0.37000000000000005</v>
      </c>
      <c r="R103" s="1720">
        <f t="shared" ref="R103:S103" si="100">R72/R49</f>
        <v>0.38</v>
      </c>
      <c r="S103" s="1720">
        <f t="shared" si="100"/>
        <v>0.38000000000000006</v>
      </c>
      <c r="T103" s="1720">
        <f t="shared" ref="T103:V103" si="101">T72/T49</f>
        <v>0.38</v>
      </c>
      <c r="U103" s="1720">
        <f t="shared" si="101"/>
        <v>0.37999999999999989</v>
      </c>
      <c r="V103" s="1720">
        <f t="shared" si="101"/>
        <v>0.38</v>
      </c>
      <c r="W103" s="1685"/>
      <c r="X103" s="1685"/>
      <c r="Y103" s="1685"/>
      <c r="Z103" s="1685"/>
      <c r="AA103" s="1685"/>
      <c r="AB103" s="1685"/>
      <c r="AC103" s="1685"/>
      <c r="AD103" s="1685"/>
    </row>
    <row r="104" spans="1:30" ht="15.75">
      <c r="A104" s="1685"/>
      <c r="B104" s="1692" t="s">
        <v>90</v>
      </c>
      <c r="C104" s="1685"/>
      <c r="D104" s="1711"/>
      <c r="E104" s="1711"/>
      <c r="F104" s="1711"/>
      <c r="G104" s="1711"/>
      <c r="H104" s="1711"/>
      <c r="I104" s="1711">
        <f t="shared" ref="I104:Q104" si="102">I74/I52</f>
        <v>0.38119878052191419</v>
      </c>
      <c r="J104" s="1711">
        <f t="shared" si="102"/>
        <v>0.38242035960433746</v>
      </c>
      <c r="K104" s="1711">
        <f t="shared" si="102"/>
        <v>0.38956841043676138</v>
      </c>
      <c r="L104" s="1711">
        <f t="shared" si="102"/>
        <v>0.39442231075697209</v>
      </c>
      <c r="M104" s="1711">
        <f t="shared" si="102"/>
        <v>0.37954109674193176</v>
      </c>
      <c r="N104" s="1711">
        <f t="shared" si="102"/>
        <v>0.35680166147455866</v>
      </c>
      <c r="O104" s="1711">
        <f t="shared" si="102"/>
        <v>0.37720289951453079</v>
      </c>
      <c r="P104" s="1711">
        <f t="shared" si="102"/>
        <v>0.35333867609836589</v>
      </c>
      <c r="Q104" s="1711">
        <f t="shared" si="102"/>
        <v>0.3923771522961676</v>
      </c>
      <c r="R104" s="1711">
        <f t="shared" ref="R104:S104" si="103">R74/R52</f>
        <v>0.4015841400325908</v>
      </c>
      <c r="S104" s="1711">
        <f t="shared" si="103"/>
        <v>0.40560379706878824</v>
      </c>
      <c r="T104" s="1711">
        <f t="shared" ref="T104:V104" si="104">T74/T52</f>
        <v>0.40876741707944525</v>
      </c>
      <c r="U104" s="1711">
        <f t="shared" si="104"/>
        <v>0.40903323757072618</v>
      </c>
      <c r="V104" s="1711">
        <f t="shared" si="104"/>
        <v>0.40931258900579826</v>
      </c>
      <c r="W104" s="1685"/>
      <c r="X104" s="1685"/>
      <c r="Y104" s="1685"/>
      <c r="Z104" s="1685"/>
      <c r="AA104" s="1685"/>
      <c r="AB104" s="1685"/>
      <c r="AC104" s="1685"/>
      <c r="AD104" s="1685"/>
    </row>
    <row r="105" spans="1:30" ht="15.75">
      <c r="A105" s="1685"/>
      <c r="B105" s="1692" t="s">
        <v>4457</v>
      </c>
      <c r="C105" s="1685"/>
      <c r="D105" s="1711"/>
      <c r="E105" s="1711"/>
      <c r="F105" s="1711"/>
      <c r="G105" s="1711"/>
      <c r="H105" s="1711"/>
      <c r="I105" s="1711"/>
      <c r="J105" s="1711">
        <f t="shared" ref="J105:Q105" si="105">(J74-J73-J72-J71-J70)/(J52-J49-J48-J47)</f>
        <v>0.38785769528228919</v>
      </c>
      <c r="K105" s="1711">
        <f t="shared" si="105"/>
        <v>0.388040285354595</v>
      </c>
      <c r="L105" s="1711">
        <f t="shared" si="105"/>
        <v>0.40471927946550523</v>
      </c>
      <c r="M105" s="1711">
        <f t="shared" si="105"/>
        <v>0.41238953463062111</v>
      </c>
      <c r="N105" s="1711">
        <f t="shared" si="105"/>
        <v>0.40860139482266605</v>
      </c>
      <c r="O105" s="1711">
        <f t="shared" si="105"/>
        <v>0.42659649674024031</v>
      </c>
      <c r="P105" s="1711">
        <f t="shared" si="105"/>
        <v>0.43099447675638136</v>
      </c>
      <c r="Q105" s="1711">
        <f t="shared" si="105"/>
        <v>0.44358657823295256</v>
      </c>
      <c r="R105" s="1711">
        <f t="shared" ref="R105:S105" si="106">(R74-R73-R72-R71-R70)/(R52-R49-R48-R47)</f>
        <v>0.44693819862672912</v>
      </c>
      <c r="S105" s="1711">
        <f t="shared" si="106"/>
        <v>0.44837933104446959</v>
      </c>
      <c r="T105" s="1711">
        <f t="shared" ref="T105:V105" si="107">(T74-T73-T72-T71-T70)/(T52-T49-T48-T47)</f>
        <v>0.44828355600817227</v>
      </c>
      <c r="U105" s="1711">
        <f t="shared" si="107"/>
        <v>0.44820743962644971</v>
      </c>
      <c r="V105" s="1711">
        <f t="shared" si="107"/>
        <v>0.44815076855057689</v>
      </c>
      <c r="W105" s="1685"/>
      <c r="X105" s="1685"/>
      <c r="Y105" s="1685"/>
      <c r="Z105" s="1685"/>
      <c r="AA105" s="1685"/>
      <c r="AB105" s="1685"/>
      <c r="AC105" s="1685"/>
      <c r="AD105" s="1685"/>
    </row>
    <row r="106" spans="1:30" ht="15.75">
      <c r="A106" s="1685"/>
      <c r="B106" s="1692"/>
      <c r="C106" s="1685"/>
      <c r="D106" s="1711"/>
      <c r="E106" s="1711"/>
      <c r="F106" s="1711"/>
      <c r="G106" s="1711"/>
      <c r="H106" s="1711"/>
      <c r="I106" s="1711"/>
      <c r="J106" s="1711"/>
      <c r="K106" s="1711"/>
      <c r="L106" s="1711"/>
      <c r="M106" s="1711"/>
      <c r="N106" s="1711"/>
      <c r="O106" s="1711"/>
      <c r="P106" s="1711"/>
      <c r="Q106" s="1711"/>
      <c r="R106" s="1711"/>
      <c r="S106" s="1711"/>
      <c r="T106" s="1711"/>
      <c r="U106" s="1711"/>
      <c r="V106" s="1711"/>
      <c r="W106" s="1685"/>
      <c r="X106" s="1685"/>
      <c r="Y106" s="1685"/>
      <c r="Z106" s="1685"/>
      <c r="AA106" s="1685"/>
      <c r="AB106" s="1685"/>
      <c r="AC106" s="1685"/>
      <c r="AD106" s="1685"/>
    </row>
    <row r="107" spans="1:30" ht="15.75">
      <c r="A107" s="1685"/>
      <c r="B107" s="1692" t="s">
        <v>4077</v>
      </c>
      <c r="C107" s="1685"/>
      <c r="D107" s="1711"/>
      <c r="E107" s="1711"/>
      <c r="F107" s="1711"/>
      <c r="G107" s="1711"/>
      <c r="H107" s="1711"/>
      <c r="I107" s="1711"/>
      <c r="J107" s="1711">
        <f t="shared" ref="J107:Q107" si="108">(J74-J72-J71-J70)/(J52-J50-J49-J48-J47)</f>
        <v>0.3680501847555212</v>
      </c>
      <c r="K107" s="1711">
        <f t="shared" si="108"/>
        <v>0.36496013428451529</v>
      </c>
      <c r="L107" s="1711">
        <f t="shared" si="108"/>
        <v>0.38336307450954527</v>
      </c>
      <c r="M107" s="1711">
        <f t="shared" si="108"/>
        <v>0.38009434363180472</v>
      </c>
      <c r="N107" s="1711">
        <f t="shared" si="108"/>
        <v>0.36754281162883312</v>
      </c>
      <c r="O107" s="1711">
        <f t="shared" si="108"/>
        <v>0.38749904368449234</v>
      </c>
      <c r="P107" s="1711">
        <f t="shared" si="108"/>
        <v>0.38857694253037545</v>
      </c>
      <c r="Q107" s="1711">
        <f t="shared" si="108"/>
        <v>0.40188617571983765</v>
      </c>
      <c r="R107" s="1711">
        <f t="shared" ref="R107:S107" si="109">(R74-R72-R71-R70)/(R52-R50-R49-R48-R47)</f>
        <v>0.40614106203748473</v>
      </c>
      <c r="S107" s="1711">
        <f t="shared" si="109"/>
        <v>0.40848746693658849</v>
      </c>
      <c r="T107" s="1711">
        <f t="shared" ref="T107:V107" si="110">(T74-T72-T71-T70)/(T52-T50-T49-T48-T47)</f>
        <v>0.40938215786910737</v>
      </c>
      <c r="U107" s="1711">
        <f t="shared" si="110"/>
        <v>0.4102824035315169</v>
      </c>
      <c r="V107" s="1711">
        <f t="shared" si="110"/>
        <v>0.41118803324203307</v>
      </c>
      <c r="W107" s="1685"/>
      <c r="X107" s="1685"/>
      <c r="Y107" s="1685"/>
      <c r="Z107" s="1685"/>
      <c r="AA107" s="1685"/>
      <c r="AB107" s="1685"/>
      <c r="AC107" s="1685"/>
      <c r="AD107" s="1685"/>
    </row>
    <row r="108" spans="1:30" ht="15.75">
      <c r="A108" s="1685"/>
      <c r="B108" s="1692"/>
      <c r="C108" s="1685"/>
      <c r="D108" s="1711"/>
      <c r="E108" s="1711"/>
      <c r="F108" s="1711"/>
      <c r="G108" s="1711"/>
      <c r="H108" s="1711"/>
      <c r="I108" s="1711"/>
      <c r="J108" s="1711"/>
      <c r="K108" s="1711"/>
      <c r="L108" s="1711"/>
      <c r="M108" s="1711"/>
      <c r="N108" s="1711"/>
      <c r="O108" s="1711"/>
      <c r="P108" s="1711"/>
      <c r="Q108" s="1711"/>
      <c r="R108" s="1711"/>
      <c r="S108" s="1711"/>
      <c r="T108" s="1711"/>
      <c r="U108" s="1711"/>
      <c r="V108" s="1711"/>
      <c r="W108" s="1685"/>
      <c r="X108" s="1685"/>
      <c r="Y108" s="1685"/>
      <c r="Z108" s="1685"/>
      <c r="AA108" s="1685"/>
      <c r="AB108" s="1685"/>
      <c r="AC108" s="1685"/>
      <c r="AD108" s="1685"/>
    </row>
    <row r="109" spans="1:30" ht="15.75">
      <c r="A109" s="1685"/>
      <c r="B109" s="1689" t="s">
        <v>19</v>
      </c>
      <c r="C109" s="1700"/>
      <c r="D109" s="1700"/>
      <c r="E109" s="1713"/>
      <c r="F109" s="1713"/>
      <c r="G109" s="1713"/>
      <c r="H109" s="1700"/>
      <c r="I109" s="1700"/>
      <c r="J109" s="1700"/>
      <c r="K109" s="1700"/>
      <c r="L109" s="1685"/>
      <c r="M109" s="1685"/>
      <c r="N109" s="1685"/>
      <c r="O109" s="1685"/>
      <c r="P109" s="1685"/>
      <c r="Q109" s="1685"/>
      <c r="R109" s="1685"/>
      <c r="S109" s="1685"/>
      <c r="T109" s="1685"/>
      <c r="U109" s="1685"/>
      <c r="V109" s="1685"/>
      <c r="W109" s="1685"/>
      <c r="X109" s="1685"/>
      <c r="Y109" s="1685"/>
      <c r="Z109" s="1685"/>
      <c r="AA109" s="1685"/>
      <c r="AB109" s="1685"/>
      <c r="AC109" s="1685"/>
      <c r="AD109" s="1685"/>
    </row>
    <row r="110" spans="1:30" ht="15.75">
      <c r="A110" s="1685"/>
      <c r="B110" s="1692" t="str">
        <f t="shared" ref="B110:B115" si="111">B63</f>
        <v>Jamaica</v>
      </c>
      <c r="C110" s="1695"/>
      <c r="D110" s="1695"/>
      <c r="E110" s="1695"/>
      <c r="F110" s="1695"/>
      <c r="G110" s="1695"/>
      <c r="H110" s="1695"/>
      <c r="I110" s="1695">
        <f>'New Format'!D40</f>
        <v>70.48</v>
      </c>
      <c r="J110" s="1695">
        <f>'New Format'!E40</f>
        <v>65.16</v>
      </c>
      <c r="K110" s="1695">
        <f>'New Format'!F40</f>
        <v>69.048000000000002</v>
      </c>
      <c r="L110" s="1695">
        <f>'New Format'!G40</f>
        <v>52.640000000000008</v>
      </c>
      <c r="M110" s="1695">
        <f>'New Format'!H40</f>
        <v>72.36</v>
      </c>
      <c r="N110" s="1695">
        <f>'New Format'!I40</f>
        <v>68.64</v>
      </c>
      <c r="O110" s="1695">
        <f>'New Format'!J40</f>
        <v>64.960000000000008</v>
      </c>
      <c r="P110" s="1695">
        <f>'New Format'!K40</f>
        <v>66.904738204497775</v>
      </c>
      <c r="Q110" s="1695">
        <f>'New Format'!L40</f>
        <v>69.052849918389271</v>
      </c>
      <c r="R110" s="1695">
        <f>'New Format'!M40</f>
        <v>71.627312081349771</v>
      </c>
      <c r="S110" s="1695">
        <f>'New Format'!N40</f>
        <v>75.008152939576291</v>
      </c>
      <c r="T110" s="1695">
        <f>'New Format'!O40</f>
        <v>79.292479882049278</v>
      </c>
      <c r="U110" s="1695">
        <f>'New Format'!P40</f>
        <v>83.817172120905738</v>
      </c>
      <c r="V110" s="1695">
        <f>'New Format'!Q40</f>
        <v>88.595528428401963</v>
      </c>
      <c r="W110" s="1685"/>
      <c r="X110" s="1685"/>
      <c r="Y110" s="1685"/>
      <c r="Z110" s="1685"/>
      <c r="AA110" s="1685"/>
      <c r="AB110" s="1685"/>
      <c r="AC110" s="1685"/>
      <c r="AD110" s="1685"/>
    </row>
    <row r="111" spans="1:30" ht="15.75">
      <c r="A111" s="1685"/>
      <c r="B111" s="1692" t="str">
        <f t="shared" si="111"/>
        <v>Trinidad &amp; Tobago</v>
      </c>
      <c r="C111" s="1695"/>
      <c r="D111" s="1695"/>
      <c r="E111" s="1695"/>
      <c r="F111" s="1695"/>
      <c r="G111" s="1695"/>
      <c r="H111" s="1695"/>
      <c r="I111" s="1695">
        <f>'New Format'!D77</f>
        <v>29.052</v>
      </c>
      <c r="J111" s="1695">
        <f>'New Format'!E77</f>
        <v>28.259999999999998</v>
      </c>
      <c r="K111" s="1695">
        <f>'New Format'!F77</f>
        <v>29.034000000000002</v>
      </c>
      <c r="L111" s="1695">
        <f>'New Format'!G77</f>
        <v>28.98</v>
      </c>
      <c r="M111" s="1695">
        <f>'New Format'!H77</f>
        <v>28.475999999999996</v>
      </c>
      <c r="N111" s="1695">
        <f>'New Format'!I77</f>
        <v>28.673999999999999</v>
      </c>
      <c r="O111" s="1695">
        <f>'New Format'!J77</f>
        <v>28.169999999999998</v>
      </c>
      <c r="P111" s="1695">
        <f>'New Format'!K77</f>
        <v>26.772856679360245</v>
      </c>
      <c r="Q111" s="1695">
        <f>'New Format'!L77</f>
        <v>27.393466023153085</v>
      </c>
      <c r="R111" s="1695">
        <f>'New Format'!M77</f>
        <v>28.028190598025898</v>
      </c>
      <c r="S111" s="1695">
        <f>'New Format'!N77</f>
        <v>28.677346769484359</v>
      </c>
      <c r="T111" s="1695">
        <f>'New Format'!O77</f>
        <v>29.341257911561943</v>
      </c>
      <c r="U111" s="1695">
        <f>'New Format'!P77</f>
        <v>30.020254560614852</v>
      </c>
      <c r="V111" s="1695">
        <f>'New Format'!Q77</f>
        <v>30.714674572465242</v>
      </c>
      <c r="W111" s="1685"/>
      <c r="X111" s="1685"/>
      <c r="Y111" s="1685"/>
      <c r="Z111" s="1685"/>
      <c r="AA111" s="1685"/>
      <c r="AB111" s="1685"/>
      <c r="AC111" s="1685"/>
      <c r="AD111" s="1685"/>
    </row>
    <row r="112" spans="1:30" ht="15.75">
      <c r="A112" s="1685"/>
      <c r="B112" s="1692" t="str">
        <f t="shared" si="111"/>
        <v>Barbados</v>
      </c>
      <c r="C112" s="1695"/>
      <c r="D112" s="1695"/>
      <c r="E112" s="1695"/>
      <c r="F112" s="1695"/>
      <c r="G112" s="1695"/>
      <c r="H112" s="1695"/>
      <c r="I112" s="1695">
        <f>'New Format'!D114</f>
        <v>29.357999999999997</v>
      </c>
      <c r="J112" s="1695">
        <f>'New Format'!E114</f>
        <v>25.67</v>
      </c>
      <c r="K112" s="1695">
        <f>'New Format'!F114</f>
        <v>25.533999999999999</v>
      </c>
      <c r="L112" s="1695">
        <f>'New Format'!G114</f>
        <v>23.630000000000003</v>
      </c>
      <c r="M112" s="1695">
        <f>'New Format'!H114</f>
        <v>24.071999999999999</v>
      </c>
      <c r="N112" s="1695">
        <f>'New Format'!I114</f>
        <v>25.16</v>
      </c>
      <c r="O112" s="1695">
        <f>'New Format'!J114</f>
        <v>26.792000000000002</v>
      </c>
      <c r="P112" s="1695">
        <f>'New Format'!K114</f>
        <v>27.514392963962536</v>
      </c>
      <c r="Q112" s="1695">
        <f>'New Format'!L114</f>
        <v>28.064680823241783</v>
      </c>
      <c r="R112" s="1695">
        <f>'New Format'!M114</f>
        <v>28.345327631474206</v>
      </c>
      <c r="S112" s="1695">
        <f>'New Format'!N114</f>
        <v>28.345327631474206</v>
      </c>
      <c r="T112" s="1695">
        <f>'New Format'!O114</f>
        <v>28.345327631474206</v>
      </c>
      <c r="U112" s="1695">
        <f>'New Format'!P114</f>
        <v>28.345327631474206</v>
      </c>
      <c r="V112" s="1695">
        <f>'New Format'!Q114</f>
        <v>28.345327631474206</v>
      </c>
      <c r="W112" s="1685"/>
      <c r="X112" s="1685"/>
      <c r="Y112" s="1685"/>
      <c r="Z112" s="1685"/>
      <c r="AA112" s="1685"/>
      <c r="AB112" s="1685"/>
      <c r="AC112" s="1685"/>
      <c r="AD112" s="1685"/>
    </row>
    <row r="113" spans="1:30" ht="15.75">
      <c r="A113" s="1685"/>
      <c r="B113" s="1692" t="str">
        <f t="shared" si="111"/>
        <v>Panama</v>
      </c>
      <c r="C113" s="1695"/>
      <c r="D113" s="1695"/>
      <c r="E113" s="1695"/>
      <c r="F113" s="1695"/>
      <c r="G113" s="1695"/>
      <c r="H113" s="1695"/>
      <c r="I113" s="1695">
        <f>'New Format'!D188</f>
        <v>125</v>
      </c>
      <c r="J113" s="1695">
        <f>'New Format'!E188</f>
        <v>107.46</v>
      </c>
      <c r="K113" s="1695">
        <f>'New Format'!F188</f>
        <v>89.7</v>
      </c>
      <c r="L113" s="1695">
        <f>'New Format'!G188</f>
        <v>70.400000000000006</v>
      </c>
      <c r="M113" s="1695">
        <f>'New Format'!H188</f>
        <v>88.9</v>
      </c>
      <c r="N113" s="1694">
        <v>98.4</v>
      </c>
      <c r="O113" s="1695">
        <f>'New Format'!J202</f>
        <v>117</v>
      </c>
      <c r="P113" s="1695">
        <f>'New Format'!K202</f>
        <v>110.98391070211262</v>
      </c>
      <c r="Q113" s="1695">
        <f>'New Format'!L202</f>
        <v>104.02635873481427</v>
      </c>
      <c r="R113" s="1695">
        <f>'New Format'!M202</f>
        <v>106.32043221024617</v>
      </c>
      <c r="S113" s="1695">
        <f>'New Format'!N202</f>
        <v>107.59931829609157</v>
      </c>
      <c r="T113" s="1695">
        <f>'New Format'!O202</f>
        <v>108.8931500604329</v>
      </c>
      <c r="U113" s="1695">
        <f>'New Format'!P202</f>
        <v>110.20209852823145</v>
      </c>
      <c r="V113" s="1695">
        <f>'New Format'!Q202</f>
        <v>111.52633665037989</v>
      </c>
      <c r="W113" s="1685"/>
      <c r="X113" s="1685"/>
      <c r="Y113" s="1685"/>
      <c r="Z113" s="1685"/>
      <c r="AA113" s="1685"/>
      <c r="AB113" s="1685"/>
      <c r="AC113" s="1685"/>
      <c r="AD113" s="1685"/>
    </row>
    <row r="114" spans="1:30" ht="15.75">
      <c r="A114" s="1685"/>
      <c r="B114" s="1692" t="str">
        <f t="shared" si="111"/>
        <v>Bahamas</v>
      </c>
      <c r="C114" s="1695"/>
      <c r="D114" s="1695"/>
      <c r="E114" s="1695"/>
      <c r="F114" s="1695"/>
      <c r="G114" s="1695"/>
      <c r="H114" s="1695"/>
      <c r="I114" s="1695">
        <f>'New Format'!D151</f>
        <v>39.195</v>
      </c>
      <c r="J114" s="1695">
        <f>'New Format'!E151</f>
        <v>34.35</v>
      </c>
      <c r="K114" s="1695">
        <f>'New Format'!F151</f>
        <v>31.094999999999999</v>
      </c>
      <c r="L114" s="1695">
        <f>'New Format'!G151</f>
        <v>28.96</v>
      </c>
      <c r="M114" s="1695">
        <f>'New Format'!H151</f>
        <v>30.384</v>
      </c>
      <c r="N114" s="1695">
        <f>'New Format'!I151</f>
        <v>31.151999999999997</v>
      </c>
      <c r="O114" s="1695">
        <f>'New Format'!J151</f>
        <v>30.88</v>
      </c>
      <c r="P114" s="1695">
        <f>'New Format'!K151</f>
        <v>32.62042405884899</v>
      </c>
      <c r="Q114" s="1695">
        <f>'New Format'!L151</f>
        <v>33.796863868455219</v>
      </c>
      <c r="R114" s="1695">
        <f>'New Format'!M151</f>
        <v>34.64709943747296</v>
      </c>
      <c r="S114" s="1695">
        <f>'New Format'!N151</f>
        <v>35.497335006490701</v>
      </c>
      <c r="T114" s="1695">
        <f>'New Format'!O151</f>
        <v>36.347570575508442</v>
      </c>
      <c r="U114" s="1695">
        <f>'New Format'!P151</f>
        <v>37.197806144526183</v>
      </c>
      <c r="V114" s="1695">
        <f>'New Format'!Q151</f>
        <v>38.048041713543924</v>
      </c>
      <c r="W114" s="1685"/>
      <c r="X114" s="1685"/>
      <c r="Y114" s="1685"/>
      <c r="Z114" s="1685"/>
      <c r="AA114" s="1685"/>
      <c r="AB114" s="1685"/>
      <c r="AC114" s="1685"/>
      <c r="AD114" s="1685"/>
    </row>
    <row r="115" spans="1:30" ht="15.75">
      <c r="A115" s="1685"/>
      <c r="B115" s="1692" t="str">
        <f t="shared" si="111"/>
        <v>Networks (Inc Subsea)</v>
      </c>
      <c r="C115" s="1695"/>
      <c r="D115" s="1695"/>
      <c r="E115" s="1695"/>
      <c r="F115" s="1695"/>
      <c r="G115" s="1695"/>
      <c r="H115" s="1695"/>
      <c r="I115" s="1695">
        <f>'New Format'!D260</f>
        <v>57.987000000000009</v>
      </c>
      <c r="J115" s="1695">
        <f>'New Format'!E260</f>
        <v>49.140000000000008</v>
      </c>
      <c r="K115" s="1695">
        <f>'New Format'!F260</f>
        <v>48.496000000000002</v>
      </c>
      <c r="L115" s="1695">
        <f>'New Format'!G260</f>
        <v>42.48</v>
      </c>
      <c r="M115" s="1695">
        <f>'New Format'!H260</f>
        <v>56.928000000000004</v>
      </c>
      <c r="N115" s="1695">
        <f>'New Format'!I260</f>
        <v>67.649999999999991</v>
      </c>
      <c r="O115" s="1695">
        <f>'New Format'!J260</f>
        <v>67.95</v>
      </c>
      <c r="P115" s="1695">
        <f>'New Format'!K260</f>
        <v>71.06429150000001</v>
      </c>
      <c r="Q115" s="1695">
        <f>'New Format'!L260</f>
        <v>72.955023659999995</v>
      </c>
      <c r="R115" s="1695">
        <f>'New Format'!M260</f>
        <v>75.381183573000001</v>
      </c>
      <c r="S115" s="1695">
        <f>'New Format'!N260</f>
        <v>78.146479043514006</v>
      </c>
      <c r="T115" s="1695">
        <f>'New Format'!O260</f>
        <v>81.040001650472348</v>
      </c>
      <c r="U115" s="1695">
        <f>'New Format'!P260</f>
        <v>84.068062374326431</v>
      </c>
      <c r="V115" s="1695">
        <f>'New Format'!Q260</f>
        <v>87.237286740786544</v>
      </c>
      <c r="W115" s="1685"/>
      <c r="X115" s="1685"/>
      <c r="Y115" s="1685"/>
      <c r="Z115" s="1685"/>
      <c r="AA115" s="1685"/>
      <c r="AB115" s="1685"/>
      <c r="AC115" s="1685"/>
      <c r="AD115" s="1685"/>
    </row>
    <row r="116" spans="1:30" ht="15.75">
      <c r="A116" s="1685"/>
      <c r="B116" s="1692" t="str">
        <f>B100</f>
        <v>Other CWC / elims</v>
      </c>
      <c r="C116" s="1695"/>
      <c r="D116" s="1695"/>
      <c r="E116" s="1695"/>
      <c r="F116" s="1695"/>
      <c r="G116" s="1695"/>
      <c r="H116" s="1695"/>
      <c r="I116" s="1695">
        <f>'New Format'!D261</f>
        <v>80.727999999999966</v>
      </c>
      <c r="J116" s="1695">
        <f>'New Format'!E261</f>
        <v>68.659999999999968</v>
      </c>
      <c r="K116" s="1695">
        <f>'New Format'!F261</f>
        <v>103.09299999999999</v>
      </c>
      <c r="L116" s="1695">
        <f>'New Format'!G261</f>
        <v>70.11000000000007</v>
      </c>
      <c r="M116" s="1695">
        <f>'New Format'!H261</f>
        <v>55.979999999999983</v>
      </c>
      <c r="N116" s="1695">
        <f>'New Format'!I261</f>
        <v>40.01465800000004</v>
      </c>
      <c r="O116" s="1695">
        <f>'New Format'!J261</f>
        <v>63.847999999999999</v>
      </c>
      <c r="P116" s="1695">
        <f>'New Format'!K261</f>
        <v>64.48648</v>
      </c>
      <c r="Q116" s="1695">
        <f>'New Format'!L261</f>
        <v>65.131344799999994</v>
      </c>
      <c r="R116" s="1695">
        <f>'New Format'!M261</f>
        <v>65.78265824799999</v>
      </c>
      <c r="S116" s="1695">
        <f>'New Format'!N261</f>
        <v>66.440484830480003</v>
      </c>
      <c r="T116" s="1695">
        <f>'New Format'!O261</f>
        <v>67.104889678784801</v>
      </c>
      <c r="U116" s="1695">
        <f>'New Format'!P261</f>
        <v>67.775938575572653</v>
      </c>
      <c r="V116" s="1695">
        <f>'New Format'!Q261</f>
        <v>68.453697961328373</v>
      </c>
      <c r="W116" s="1685"/>
      <c r="X116" s="1685"/>
      <c r="Y116" s="1685"/>
      <c r="Z116" s="1685"/>
      <c r="AA116" s="1685"/>
      <c r="AB116" s="1685"/>
      <c r="AC116" s="1685"/>
      <c r="AD116" s="1685"/>
    </row>
    <row r="117" spans="1:30" ht="15.75">
      <c r="A117" s="1685"/>
      <c r="B117" s="1692" t="str">
        <f>B101</f>
        <v>Chile</v>
      </c>
      <c r="C117" s="1695"/>
      <c r="D117" s="1695"/>
      <c r="E117" s="1695"/>
      <c r="F117" s="1695"/>
      <c r="G117" s="1695"/>
      <c r="H117" s="1695"/>
      <c r="I117" s="1695">
        <f>Chile!E92</f>
        <v>212.54623921085081</v>
      </c>
      <c r="J117" s="1695">
        <f>Chile!F92</f>
        <v>206.7</v>
      </c>
      <c r="K117" s="1695">
        <f>Chile!G92</f>
        <v>194.625</v>
      </c>
      <c r="L117" s="1695">
        <f>Chile!H92</f>
        <v>171.84343434343435</v>
      </c>
      <c r="M117" s="1695">
        <f>Chile!I92</f>
        <v>199.1</v>
      </c>
      <c r="N117" s="1694">
        <v>115.6</v>
      </c>
      <c r="O117" s="1695"/>
      <c r="P117" s="1695"/>
      <c r="Q117" s="1695"/>
      <c r="R117" s="1695"/>
      <c r="S117" s="1695"/>
      <c r="T117" s="1695"/>
      <c r="U117" s="1695"/>
      <c r="V117" s="1695"/>
      <c r="W117" s="1685"/>
      <c r="X117" s="1685"/>
      <c r="Y117" s="1685"/>
      <c r="Z117" s="1685"/>
      <c r="AA117" s="1685"/>
      <c r="AB117" s="1685"/>
      <c r="AC117" s="1685"/>
      <c r="AD117" s="1685"/>
    </row>
    <row r="118" spans="1:30" ht="15.75">
      <c r="A118" s="1685"/>
      <c r="B118" s="1692" t="str">
        <f>B102</f>
        <v>Puerto Rico / US VI</v>
      </c>
      <c r="C118" s="1695"/>
      <c r="D118" s="1695"/>
      <c r="E118" s="1695"/>
      <c r="F118" s="1695"/>
      <c r="G118" s="1695"/>
      <c r="H118" s="1695"/>
      <c r="I118" s="1695">
        <f>'Puerto Rico'!E52</f>
        <v>132.19999999999999</v>
      </c>
      <c r="J118" s="1695">
        <f>'Puerto Rico'!F52</f>
        <v>161.9</v>
      </c>
      <c r="K118" s="1695">
        <f>'Puerto Rico'!G52</f>
        <v>88</v>
      </c>
      <c r="L118" s="1694">
        <f>'Puerto Rico'!H52+Analysis!E2177*2/12</f>
        <v>95.935000000000002</v>
      </c>
      <c r="M118" s="1695">
        <f>'Puerto Rico'!I52+'Puerto Rico'!I83</f>
        <v>219.2</v>
      </c>
      <c r="N118" s="1695">
        <f>'Puerto Rico'!J52+'Puerto Rico'!J83</f>
        <v>233.5</v>
      </c>
      <c r="O118" s="1695">
        <f>'Puerto Rico'!K116</f>
        <v>219</v>
      </c>
      <c r="P118" s="1695">
        <f>'Puerto Rico'!L116</f>
        <v>204.60844800000004</v>
      </c>
      <c r="Q118" s="1695">
        <f>'Puerto Rico'!M116</f>
        <v>212.37460593920002</v>
      </c>
      <c r="R118" s="1695">
        <f>'Puerto Rico'!N116</f>
        <v>203.01276048215038</v>
      </c>
      <c r="S118" s="1695">
        <f>'Puerto Rico'!O116</f>
        <v>205.35441911181368</v>
      </c>
      <c r="T118" s="1695">
        <f>'Puerto Rico'!P116</f>
        <v>207.1638284849036</v>
      </c>
      <c r="U118" s="1695">
        <f>'Puerto Rico'!Q116</f>
        <v>209.74414654156564</v>
      </c>
      <c r="V118" s="1695">
        <f>'Puerto Rico'!R116</f>
        <v>212.38131917677364</v>
      </c>
      <c r="W118" s="1685"/>
      <c r="X118" s="1685"/>
      <c r="Y118" s="1685"/>
      <c r="Z118" s="1685"/>
      <c r="AA118" s="1685"/>
      <c r="AB118" s="1685"/>
      <c r="AC118" s="1685"/>
      <c r="AD118" s="1685"/>
    </row>
    <row r="119" spans="1:30" ht="15.75">
      <c r="A119" s="1685"/>
      <c r="B119" s="1692" t="s">
        <v>3411</v>
      </c>
      <c r="C119" s="1695"/>
      <c r="D119" s="1695"/>
      <c r="E119" s="1695"/>
      <c r="F119" s="1695"/>
      <c r="G119" s="1695"/>
      <c r="H119" s="1695"/>
      <c r="I119" s="1695"/>
      <c r="J119" s="1694">
        <v>8</v>
      </c>
      <c r="K119" s="1695">
        <f>'Costa Rica'!E60</f>
        <v>33.174999999999997</v>
      </c>
      <c r="L119" s="1695">
        <f>'Costa Rica'!F60</f>
        <v>24.556565656565652</v>
      </c>
      <c r="M119" s="1694">
        <v>45</v>
      </c>
      <c r="N119" s="1694">
        <v>65.7</v>
      </c>
      <c r="O119" s="1695">
        <f>'Costa Rica'!I60+Analysis!K2282</f>
        <v>75.2</v>
      </c>
      <c r="P119" s="1695">
        <f>'Costa Rica'!J249</f>
        <v>84.790169140145139</v>
      </c>
      <c r="Q119" s="1695">
        <f>'Costa Rica'!K249</f>
        <v>83.66072651777823</v>
      </c>
      <c r="R119" s="1695">
        <f>'Costa Rica'!L249</f>
        <v>97.86194119648043</v>
      </c>
      <c r="S119" s="1695">
        <f>'Costa Rica'!M249</f>
        <v>100.25806844988577</v>
      </c>
      <c r="T119" s="1695">
        <f>'Costa Rica'!N249</f>
        <v>102.57210024216899</v>
      </c>
      <c r="U119" s="1695">
        <f>'Costa Rica'!O249</f>
        <v>104.92290678431603</v>
      </c>
      <c r="V119" s="1695">
        <f>'Costa Rica'!P249</f>
        <v>107.32481433004614</v>
      </c>
      <c r="W119" s="1685"/>
      <c r="X119" s="1685"/>
      <c r="Y119" s="1685"/>
      <c r="Z119" s="1685"/>
      <c r="AA119" s="1685"/>
      <c r="AB119" s="1685"/>
      <c r="AC119" s="1685"/>
      <c r="AD119" s="1685"/>
    </row>
    <row r="120" spans="1:30" ht="15.75">
      <c r="A120" s="1685"/>
      <c r="B120" s="1715" t="s">
        <v>4072</v>
      </c>
      <c r="C120" s="1717"/>
      <c r="D120" s="1717"/>
      <c r="E120" s="1717"/>
      <c r="F120" s="1717"/>
      <c r="G120" s="1717"/>
      <c r="H120" s="1717"/>
      <c r="I120" s="1717"/>
      <c r="J120" s="1721">
        <v>16.100000000000001</v>
      </c>
      <c r="K120" s="1721">
        <v>15.3</v>
      </c>
      <c r="L120" s="1717">
        <f>L121-SUM(L110:L119)</f>
        <v>21.464999999999918</v>
      </c>
      <c r="M120" s="1721">
        <v>35.5</v>
      </c>
      <c r="N120" s="1717">
        <f>N121-SUM(N110:N119)</f>
        <v>41.809341999999901</v>
      </c>
      <c r="O120" s="1717">
        <f>O121-SUM(O110:O119)</f>
        <v>37.099999999999909</v>
      </c>
      <c r="P120" s="1722">
        <v>25</v>
      </c>
      <c r="Q120" s="1722">
        <v>25</v>
      </c>
      <c r="R120" s="1722">
        <v>25</v>
      </c>
      <c r="S120" s="1722">
        <v>25</v>
      </c>
      <c r="T120" s="1722">
        <v>25</v>
      </c>
      <c r="U120" s="1722">
        <v>25</v>
      </c>
      <c r="V120" s="1722">
        <v>25</v>
      </c>
      <c r="W120" s="1685"/>
      <c r="X120" s="1685"/>
      <c r="Y120" s="1685"/>
      <c r="Z120" s="1685"/>
      <c r="AA120" s="1685"/>
      <c r="AB120" s="1685"/>
      <c r="AC120" s="1685"/>
      <c r="AD120" s="1685"/>
    </row>
    <row r="121" spans="1:30" ht="15.75">
      <c r="A121" s="1685"/>
      <c r="B121" s="1692" t="s">
        <v>2914</v>
      </c>
      <c r="C121" s="1695"/>
      <c r="D121" s="1695"/>
      <c r="E121" s="1695"/>
      <c r="F121" s="1695"/>
      <c r="G121" s="1695"/>
      <c r="H121" s="1695"/>
      <c r="I121" s="1695">
        <f>SUM(I110:I120)</f>
        <v>776.5462392108509</v>
      </c>
      <c r="J121" s="1695">
        <f>SUM(J110:J120)</f>
        <v>771.39999999999986</v>
      </c>
      <c r="K121" s="1695">
        <f t="shared" ref="K121:P121" si="112">SUM(K110:K120)</f>
        <v>727.09999999999991</v>
      </c>
      <c r="L121" s="1694">
        <v>631</v>
      </c>
      <c r="M121" s="1695">
        <f t="shared" si="112"/>
        <v>855.89999999999986</v>
      </c>
      <c r="N121" s="1694">
        <v>816.3</v>
      </c>
      <c r="O121" s="1694">
        <v>730.9</v>
      </c>
      <c r="P121" s="1695">
        <f t="shared" si="112"/>
        <v>714.74571124892748</v>
      </c>
      <c r="Q121" s="1695">
        <f t="shared" ref="Q121:V121" si="113">SUM(Q110:Q120)</f>
        <v>721.45592028503188</v>
      </c>
      <c r="R121" s="1695">
        <f t="shared" si="113"/>
        <v>736.00690545819975</v>
      </c>
      <c r="S121" s="1695">
        <f t="shared" si="113"/>
        <v>750.3269320788105</v>
      </c>
      <c r="T121" s="1695">
        <f t="shared" si="113"/>
        <v>765.10060611735639</v>
      </c>
      <c r="U121" s="1695">
        <f t="shared" si="113"/>
        <v>781.09371326153314</v>
      </c>
      <c r="V121" s="1695">
        <f t="shared" si="113"/>
        <v>797.62702720519997</v>
      </c>
      <c r="W121" s="1685"/>
      <c r="X121" s="1685"/>
      <c r="Y121" s="1685"/>
      <c r="Z121" s="1685"/>
      <c r="AA121" s="1685"/>
      <c r="AB121" s="1685"/>
      <c r="AC121" s="1685"/>
      <c r="AD121" s="1685"/>
    </row>
    <row r="122" spans="1:30" ht="15.75">
      <c r="A122" s="1685"/>
      <c r="B122" s="1692" t="s">
        <v>5361</v>
      </c>
      <c r="C122" s="1695"/>
      <c r="D122" s="1695"/>
      <c r="E122" s="1695"/>
      <c r="F122" s="1695"/>
      <c r="G122" s="1695"/>
      <c r="H122" s="1695"/>
      <c r="I122" s="1695"/>
      <c r="J122" s="1695"/>
      <c r="K122" s="1695"/>
      <c r="L122" s="1695">
        <f>L121-Analysis!E2177*2/12</f>
        <v>609.11500000000001</v>
      </c>
      <c r="M122" s="1695">
        <f>M121-Analysis!F2177</f>
        <v>721.96379999999988</v>
      </c>
      <c r="N122" s="1695"/>
      <c r="O122" s="1695"/>
      <c r="P122" s="1695"/>
      <c r="Q122" s="1695"/>
      <c r="R122" s="1695"/>
      <c r="S122" s="1695"/>
      <c r="T122" s="1695"/>
      <c r="U122" s="1695"/>
      <c r="V122" s="1695"/>
      <c r="W122" s="1685"/>
      <c r="X122" s="1685"/>
      <c r="Y122" s="1685"/>
      <c r="Z122" s="1685"/>
      <c r="AA122" s="1685"/>
      <c r="AB122" s="1685"/>
      <c r="AC122" s="1685"/>
      <c r="AD122" s="1685"/>
    </row>
    <row r="123" spans="1:30" ht="15.75">
      <c r="A123" s="1685"/>
      <c r="B123" s="1689" t="s">
        <v>1973</v>
      </c>
      <c r="C123" s="1695"/>
      <c r="D123" s="1695"/>
      <c r="E123" s="1695"/>
      <c r="F123" s="1695"/>
      <c r="G123" s="1695"/>
      <c r="H123" s="1695"/>
      <c r="I123" s="1695"/>
      <c r="J123" s="1695">
        <f>(J110*SOP!$C$3)+(Master!J111*SOP!$C$4)+(Master!J112*SOP!$C$5)+(Master!J113*SOP!$C$6)+(Master!J114*SOP!$C$7)+Master!J115+Master!J116+Master!J117+Master!J118+(Master!J119*SOP!$C$11)+Master!J120</f>
        <v>693.13958000000002</v>
      </c>
      <c r="K123" s="1695">
        <f>(K110*SOP!$C$3)+(Master!K111*SOP!$C$4)+(Master!K112*SOP!$C$5)+(Master!K113*SOP!$C$6)+(Master!K114*SOP!$C$7)+Master!K115+Master!K116+Master!K117+Master!K118+(Master!K119*SOP!$C$11)+Master!K120</f>
        <v>656.36272899999994</v>
      </c>
      <c r="L123" s="1695">
        <f>(L110*SOP!$C$3)+(Master!L111*SOP!$C$4)+(Master!L112*SOP!$C$5)+(Master!L113*SOP!$C$6)+(Master!L114*SOP!$C$7)+Master!L115+Master!L116+Master!L117+Master!L118+(Master!L119*SOP!$C$11)+Master!L120</f>
        <v>573.44911494949497</v>
      </c>
      <c r="M123" s="1695">
        <f>(M110*SOP!$C$3)+(Master!M111*SOP!$C$4)+(Master!M112*SOP!$C$5)+(Master!M113*SOP!$C$6)+(Master!M114*SOP!$C$7)+Master!M115+Master!M116+Master!M117+Master!M118+(Master!M119*SOP!$C$11)+Master!M120</f>
        <v>784.31844000000001</v>
      </c>
      <c r="N123" s="1695">
        <f>(N110*SOP!$C$3)+(Master!N111*SOP!$C$4)+(Master!N112*SOP!$C$5)+(Master!N113*SOP!$C$6)+(Master!N114*SOP!$C$7)+Master!N115+Master!N116+Master!N117+Master!N118+(Master!N119*SOP!$C$11)+Master!N120</f>
        <v>737.38769999999988</v>
      </c>
      <c r="O123" s="1695">
        <f>(O110*SOP!$C$3)+(Master!O111*SOP!$C$4)+(Master!O112*SOP!$C$5)+(Master!O113*SOP!$C$6)+(Master!O114*SOP!$C$7)+Master!O115+Master!O116+Master!O117+Master!O118+(Master!O119*SOP!$C$11)+Master!O120</f>
        <v>641.83127999999999</v>
      </c>
      <c r="P123" s="1695">
        <f>(P110*SOP!$C$3)+(Master!P111*SOP!$C$4)+(Master!P112*SOP!$C$5)+(Master!P113*SOP!$C$6)+(Master!P114*SOP!$C$7)+Master!P115+Master!P116+Master!P117+Master!P118+(Master!P119*SOP!$C$11)+Master!P120</f>
        <v>626.60496622797393</v>
      </c>
      <c r="Q123" s="1695">
        <f>(Q110*SOP!$C$3)+(Master!Q111*SOP!$C$4)+(Master!Q112*SOP!$C$5)+(Master!Q113*SOP!$C$6)+(Master!Q114*SOP!$C$7)+Master!Q115+Master!Q116+Master!Q117+Master!Q118+(Master!Q119*SOP!$C$11)+Master!Q120</f>
        <v>636.22802376410402</v>
      </c>
      <c r="R123" s="1695">
        <f>(R110*SOP!$C$3)+(Master!R111*SOP!$C$4)+(Master!R112*SOP!$C$5)+(Master!R113*SOP!$C$6)+(Master!R114*SOP!$C$7)+Master!R115+Master!R116+Master!R117+Master!R118+(Master!R119*SOP!$C$11)+Master!R120</f>
        <v>647.34403805000397</v>
      </c>
      <c r="S123" s="1695">
        <f>(S110*SOP!$C$3)+(Master!S111*SOP!$C$4)+(Master!S112*SOP!$C$5)+(Master!S113*SOP!$C$6)+(Master!S114*SOP!$C$7)+Master!S115+Master!S116+Master!S117+Master!S118+(Master!S119*SOP!$C$11)+Master!S120</f>
        <v>660.04233324640938</v>
      </c>
      <c r="T123" s="1695">
        <f>(T110*SOP!$C$3)+(Master!T111*SOP!$C$4)+(Master!T112*SOP!$C$5)+(Master!T113*SOP!$C$6)+(Master!T114*SOP!$C$7)+Master!T115+Master!T116+Master!T117+Master!T118+(Master!T119*SOP!$C$11)+Master!T120</f>
        <v>673.12652611425915</v>
      </c>
      <c r="U123" s="1695">
        <f>(U110*SOP!$C$3)+(Master!U111*SOP!$C$4)+(Master!U112*SOP!$C$5)+(Master!U113*SOP!$C$6)+(Master!U114*SOP!$C$7)+Master!U115+Master!U116+Master!U117+Master!U118+(Master!U119*SOP!$C$11)+Master!U120</f>
        <v>687.39970534492068</v>
      </c>
      <c r="V123" s="1695">
        <f>(V110*SOP!$C$3)+(Master!V111*SOP!$C$4)+(Master!V112*SOP!$C$5)+(Master!V113*SOP!$C$6)+(Master!V114*SOP!$C$7)+Master!V115+Master!V116+Master!V117+Master!V118+(Master!V119*SOP!$C$11)+Master!V120</f>
        <v>702.17988490265657</v>
      </c>
      <c r="W123" s="1685"/>
      <c r="X123" s="1685"/>
      <c r="Y123" s="1685"/>
      <c r="Z123" s="1685"/>
      <c r="AA123" s="1685"/>
      <c r="AB123" s="1685"/>
      <c r="AC123" s="1685"/>
      <c r="AD123" s="1685"/>
    </row>
    <row r="124" spans="1:30" ht="15.75">
      <c r="A124" s="1685"/>
      <c r="B124" s="1692"/>
      <c r="C124" s="1695"/>
      <c r="D124" s="1695"/>
      <c r="E124" s="1695"/>
      <c r="F124" s="1695"/>
      <c r="G124" s="1695"/>
      <c r="H124" s="1695"/>
      <c r="I124" s="1695"/>
      <c r="J124" s="1685"/>
      <c r="K124" s="1685"/>
      <c r="L124" s="1706"/>
      <c r="M124" s="1685"/>
      <c r="N124" s="1685"/>
      <c r="O124" s="1685"/>
      <c r="P124" s="1685"/>
      <c r="Q124" s="1685"/>
      <c r="R124" s="1685"/>
      <c r="S124" s="1685"/>
      <c r="T124" s="1685"/>
      <c r="U124" s="1685"/>
      <c r="V124" s="1685"/>
      <c r="W124" s="1685"/>
      <c r="X124" s="1685"/>
      <c r="Y124" s="1685"/>
      <c r="Z124" s="1685"/>
      <c r="AA124" s="1685"/>
      <c r="AB124" s="1685"/>
      <c r="AC124" s="1685"/>
      <c r="AD124" s="1685"/>
    </row>
    <row r="125" spans="1:30" ht="15.75">
      <c r="A125" s="1685"/>
      <c r="B125" s="1689" t="s">
        <v>20</v>
      </c>
      <c r="C125" s="1695"/>
      <c r="D125" s="1695"/>
      <c r="E125" s="1695"/>
      <c r="F125" s="1695"/>
      <c r="G125" s="1695"/>
      <c r="H125" s="1695"/>
      <c r="I125" s="1695"/>
      <c r="J125" s="1695"/>
      <c r="K125" s="1695"/>
      <c r="L125" s="1711"/>
      <c r="M125" s="1685"/>
      <c r="N125" s="1685"/>
      <c r="O125" s="1685"/>
      <c r="P125" s="1685"/>
      <c r="Q125" s="1685"/>
      <c r="R125" s="1685"/>
      <c r="S125" s="1685"/>
      <c r="T125" s="1685"/>
      <c r="U125" s="1685"/>
      <c r="V125" s="1685"/>
      <c r="W125" s="1685"/>
      <c r="X125" s="1685"/>
      <c r="Y125" s="1685"/>
      <c r="Z125" s="1685"/>
      <c r="AA125" s="1685"/>
      <c r="AB125" s="1685"/>
      <c r="AC125" s="1685"/>
      <c r="AD125" s="1685"/>
    </row>
    <row r="126" spans="1:30" ht="15.75">
      <c r="A126" s="1685"/>
      <c r="B126" s="1692" t="str">
        <f t="shared" ref="B126:B131" si="114">B94</f>
        <v>Jamaica</v>
      </c>
      <c r="C126" s="1695"/>
      <c r="D126" s="1690"/>
      <c r="E126" s="1690"/>
      <c r="F126" s="1690"/>
      <c r="G126" s="1690"/>
      <c r="H126" s="1690"/>
      <c r="I126" s="1690">
        <f t="shared" ref="I126:Q126" si="115">I110/I40</f>
        <v>0.2</v>
      </c>
      <c r="J126" s="1690">
        <f t="shared" si="115"/>
        <v>0.18</v>
      </c>
      <c r="K126" s="1690">
        <f t="shared" si="115"/>
        <v>0.18</v>
      </c>
      <c r="L126" s="1690">
        <f t="shared" si="115"/>
        <v>0.14000000000000001</v>
      </c>
      <c r="M126" s="1690">
        <f t="shared" si="115"/>
        <v>0.18</v>
      </c>
      <c r="N126" s="1690">
        <f t="shared" si="115"/>
        <v>0.16</v>
      </c>
      <c r="O126" s="1690">
        <f t="shared" si="115"/>
        <v>0.16000000000000003</v>
      </c>
      <c r="P126" s="1690">
        <f t="shared" si="115"/>
        <v>0.16</v>
      </c>
      <c r="Q126" s="1690">
        <f t="shared" si="115"/>
        <v>0.16</v>
      </c>
      <c r="R126" s="1690">
        <f t="shared" ref="R126:S126" si="116">R110/R40</f>
        <v>0.16</v>
      </c>
      <c r="S126" s="1690">
        <f t="shared" si="116"/>
        <v>0.16</v>
      </c>
      <c r="T126" s="1690">
        <f t="shared" ref="T126:V126" si="117">T110/T40</f>
        <v>0.16</v>
      </c>
      <c r="U126" s="1690">
        <f t="shared" si="117"/>
        <v>0.16</v>
      </c>
      <c r="V126" s="1690">
        <f t="shared" si="117"/>
        <v>0.16</v>
      </c>
      <c r="W126" s="1685"/>
      <c r="X126" s="1685"/>
      <c r="Y126" s="1685"/>
      <c r="Z126" s="1685"/>
      <c r="AA126" s="1685"/>
      <c r="AB126" s="1685"/>
      <c r="AC126" s="1685"/>
      <c r="AD126" s="1685"/>
    </row>
    <row r="127" spans="1:30" ht="15.75">
      <c r="A127" s="1685"/>
      <c r="B127" s="1692" t="str">
        <f t="shared" si="114"/>
        <v>Trinidad &amp; Tobago</v>
      </c>
      <c r="C127" s="1695"/>
      <c r="D127" s="1690"/>
      <c r="E127" s="1690"/>
      <c r="F127" s="1690"/>
      <c r="G127" s="1690"/>
      <c r="H127" s="1690"/>
      <c r="I127" s="1690">
        <f t="shared" ref="I127:Q127" si="118">I111/I41</f>
        <v>0.18</v>
      </c>
      <c r="J127" s="1690">
        <f t="shared" si="118"/>
        <v>0.18</v>
      </c>
      <c r="K127" s="1690">
        <f t="shared" si="118"/>
        <v>0.18</v>
      </c>
      <c r="L127" s="1690">
        <f t="shared" si="118"/>
        <v>0.18</v>
      </c>
      <c r="M127" s="1690">
        <f t="shared" si="118"/>
        <v>0.18</v>
      </c>
      <c r="N127" s="1690">
        <f t="shared" si="118"/>
        <v>0.18</v>
      </c>
      <c r="O127" s="1690">
        <f t="shared" si="118"/>
        <v>0.18</v>
      </c>
      <c r="P127" s="1690">
        <f t="shared" si="118"/>
        <v>0.17</v>
      </c>
      <c r="Q127" s="1690">
        <f t="shared" si="118"/>
        <v>0.17</v>
      </c>
      <c r="R127" s="1690">
        <f t="shared" ref="R127:S127" si="119">R111/R41</f>
        <v>0.17</v>
      </c>
      <c r="S127" s="1690">
        <f t="shared" si="119"/>
        <v>0.17</v>
      </c>
      <c r="T127" s="1690">
        <f t="shared" ref="T127:V127" si="120">T111/T41</f>
        <v>0.17</v>
      </c>
      <c r="U127" s="1690">
        <f t="shared" si="120"/>
        <v>0.17</v>
      </c>
      <c r="V127" s="1690">
        <f t="shared" si="120"/>
        <v>0.17</v>
      </c>
      <c r="W127" s="1685"/>
      <c r="X127" s="1685"/>
      <c r="Y127" s="1685"/>
      <c r="Z127" s="1685"/>
      <c r="AA127" s="1685"/>
      <c r="AB127" s="1685"/>
      <c r="AC127" s="1685"/>
      <c r="AD127" s="1685"/>
    </row>
    <row r="128" spans="1:30" ht="15.75">
      <c r="A128" s="1685"/>
      <c r="B128" s="1692" t="str">
        <f t="shared" si="114"/>
        <v>Barbados</v>
      </c>
      <c r="C128" s="1695"/>
      <c r="D128" s="1690"/>
      <c r="E128" s="1690"/>
      <c r="F128" s="1690"/>
      <c r="G128" s="1690"/>
      <c r="H128" s="1690"/>
      <c r="I128" s="1690">
        <f t="shared" ref="I128:Q128" si="121">I112/I42</f>
        <v>0.18</v>
      </c>
      <c r="J128" s="1690">
        <f t="shared" si="121"/>
        <v>0.17</v>
      </c>
      <c r="K128" s="1690">
        <f t="shared" si="121"/>
        <v>0.17</v>
      </c>
      <c r="L128" s="1690">
        <f t="shared" si="121"/>
        <v>0.17</v>
      </c>
      <c r="M128" s="1690">
        <f t="shared" si="121"/>
        <v>0.17</v>
      </c>
      <c r="N128" s="1690">
        <f t="shared" si="121"/>
        <v>0.17</v>
      </c>
      <c r="O128" s="1690">
        <f t="shared" si="121"/>
        <v>0.17</v>
      </c>
      <c r="P128" s="1690">
        <f t="shared" si="121"/>
        <v>0.17</v>
      </c>
      <c r="Q128" s="1690">
        <f t="shared" si="121"/>
        <v>0.17</v>
      </c>
      <c r="R128" s="1690">
        <f t="shared" ref="R128:S128" si="122">R112/R42</f>
        <v>0.17</v>
      </c>
      <c r="S128" s="1690">
        <f t="shared" si="122"/>
        <v>0.17</v>
      </c>
      <c r="T128" s="1690">
        <f t="shared" ref="T128:V128" si="123">T112/T42</f>
        <v>0.17</v>
      </c>
      <c r="U128" s="1690">
        <f t="shared" si="123"/>
        <v>0.17</v>
      </c>
      <c r="V128" s="1690">
        <f t="shared" si="123"/>
        <v>0.17</v>
      </c>
      <c r="W128" s="1685"/>
      <c r="X128" s="1685"/>
      <c r="Y128" s="1685"/>
      <c r="Z128" s="1685"/>
      <c r="AA128" s="1685"/>
      <c r="AB128" s="1685"/>
      <c r="AC128" s="1685"/>
      <c r="AD128" s="1685"/>
    </row>
    <row r="129" spans="1:30" ht="15.75">
      <c r="A129" s="1685"/>
      <c r="B129" s="1692" t="str">
        <f t="shared" si="114"/>
        <v>Panama</v>
      </c>
      <c r="C129" s="1695"/>
      <c r="D129" s="1690"/>
      <c r="E129" s="1690"/>
      <c r="F129" s="1690"/>
      <c r="G129" s="1690"/>
      <c r="H129" s="1690"/>
      <c r="I129" s="1690">
        <f t="shared" ref="I129:Q129" si="124">I113/I43</f>
        <v>0.2</v>
      </c>
      <c r="J129" s="1690">
        <f t="shared" si="124"/>
        <v>0.18</v>
      </c>
      <c r="K129" s="1690">
        <f t="shared" si="124"/>
        <v>0.15454858718125433</v>
      </c>
      <c r="L129" s="1690">
        <f t="shared" si="124"/>
        <v>0.14136546184738957</v>
      </c>
      <c r="M129" s="1690">
        <f t="shared" si="124"/>
        <v>0.162999633296663</v>
      </c>
      <c r="N129" s="1690">
        <f t="shared" si="124"/>
        <v>0.15310409211140502</v>
      </c>
      <c r="O129" s="1690">
        <f t="shared" si="124"/>
        <v>0.15755453810934553</v>
      </c>
      <c r="P129" s="1690">
        <f t="shared" si="124"/>
        <v>0.14603595187316204</v>
      </c>
      <c r="Q129" s="1690">
        <f t="shared" si="124"/>
        <v>0.13326379609947692</v>
      </c>
      <c r="R129" s="1690">
        <f t="shared" ref="R129:S129" si="125">R113/R43</f>
        <v>0.13317940140292786</v>
      </c>
      <c r="S129" s="1690">
        <f t="shared" si="125"/>
        <v>0.13280449278149517</v>
      </c>
      <c r="T129" s="1690">
        <f t="shared" ref="T129:V129" si="126">T113/T43</f>
        <v>0.13242680475593613</v>
      </c>
      <c r="U129" s="1690">
        <f t="shared" si="126"/>
        <v>0.13204633783218647</v>
      </c>
      <c r="V129" s="1690">
        <f t="shared" si="126"/>
        <v>0.13166309300193454</v>
      </c>
      <c r="W129" s="1685"/>
      <c r="X129" s="1685"/>
      <c r="Y129" s="1685"/>
      <c r="Z129" s="1685"/>
      <c r="AA129" s="1685"/>
      <c r="AB129" s="1685"/>
      <c r="AC129" s="1685"/>
      <c r="AD129" s="1685"/>
    </row>
    <row r="130" spans="1:30" ht="15.75">
      <c r="A130" s="1685"/>
      <c r="B130" s="1692" t="str">
        <f t="shared" si="114"/>
        <v>Bahamas</v>
      </c>
      <c r="C130" s="1695"/>
      <c r="D130" s="1690"/>
      <c r="E130" s="1690"/>
      <c r="F130" s="1690"/>
      <c r="G130" s="1690"/>
      <c r="H130" s="1690"/>
      <c r="I130" s="1690">
        <f t="shared" ref="I130:Q130" si="127">I114/I44</f>
        <v>0.15</v>
      </c>
      <c r="J130" s="1690">
        <f t="shared" si="127"/>
        <v>0.15</v>
      </c>
      <c r="K130" s="1690">
        <f t="shared" si="127"/>
        <v>0.15</v>
      </c>
      <c r="L130" s="1690">
        <f t="shared" si="127"/>
        <v>0.16</v>
      </c>
      <c r="M130" s="1690">
        <f t="shared" si="127"/>
        <v>0.16</v>
      </c>
      <c r="N130" s="1690">
        <f t="shared" si="127"/>
        <v>0.16</v>
      </c>
      <c r="O130" s="1690">
        <f t="shared" si="127"/>
        <v>0.16</v>
      </c>
      <c r="P130" s="1690">
        <f t="shared" si="127"/>
        <v>0.16</v>
      </c>
      <c r="Q130" s="1690">
        <f t="shared" si="127"/>
        <v>0.16</v>
      </c>
      <c r="R130" s="1690">
        <f t="shared" ref="R130:S130" si="128">R114/R44</f>
        <v>0.16</v>
      </c>
      <c r="S130" s="1690">
        <f t="shared" si="128"/>
        <v>0.16</v>
      </c>
      <c r="T130" s="1690">
        <f t="shared" ref="T130:V130" si="129">T114/T44</f>
        <v>0.16</v>
      </c>
      <c r="U130" s="1690">
        <f t="shared" si="129"/>
        <v>0.16</v>
      </c>
      <c r="V130" s="1690">
        <f t="shared" si="129"/>
        <v>0.16</v>
      </c>
      <c r="W130" s="1685"/>
      <c r="X130" s="1685"/>
      <c r="Y130" s="1685"/>
      <c r="Z130" s="1685"/>
      <c r="AA130" s="1685"/>
      <c r="AB130" s="1685"/>
      <c r="AC130" s="1685"/>
      <c r="AD130" s="1685"/>
    </row>
    <row r="131" spans="1:30" ht="15.75">
      <c r="A131" s="1685"/>
      <c r="B131" s="1692" t="str">
        <f t="shared" si="114"/>
        <v>Networks (Inc Subsea)</v>
      </c>
      <c r="C131" s="1695"/>
      <c r="D131" s="1690"/>
      <c r="E131" s="1690"/>
      <c r="F131" s="1690"/>
      <c r="G131" s="1690"/>
      <c r="H131" s="1690"/>
      <c r="I131" s="1690">
        <f t="shared" ref="I131:Q131" si="130">I115/I45</f>
        <v>0.17</v>
      </c>
      <c r="J131" s="1690">
        <f t="shared" si="130"/>
        <v>0.14000000000000001</v>
      </c>
      <c r="K131" s="1690">
        <f t="shared" si="130"/>
        <v>0.14000000000000001</v>
      </c>
      <c r="L131" s="1690">
        <f t="shared" si="130"/>
        <v>0.12</v>
      </c>
      <c r="M131" s="1690">
        <f t="shared" si="130"/>
        <v>0.16</v>
      </c>
      <c r="N131" s="1690">
        <f t="shared" si="130"/>
        <v>0.15</v>
      </c>
      <c r="O131" s="1690">
        <f t="shared" si="130"/>
        <v>0.15</v>
      </c>
      <c r="P131" s="1690">
        <f t="shared" si="130"/>
        <v>0.15500000000000003</v>
      </c>
      <c r="Q131" s="1690">
        <f t="shared" si="130"/>
        <v>0.155</v>
      </c>
      <c r="R131" s="1690">
        <f t="shared" ref="R131:S131" si="131">R115/R45</f>
        <v>0.155</v>
      </c>
      <c r="S131" s="1690">
        <f t="shared" si="131"/>
        <v>0.155</v>
      </c>
      <c r="T131" s="1690">
        <f t="shared" ref="T131:V131" si="132">T115/T45</f>
        <v>0.155</v>
      </c>
      <c r="U131" s="1690">
        <f t="shared" si="132"/>
        <v>0.155</v>
      </c>
      <c r="V131" s="1690">
        <f t="shared" si="132"/>
        <v>0.155</v>
      </c>
      <c r="W131" s="1685"/>
      <c r="X131" s="1685"/>
      <c r="Y131" s="1685"/>
      <c r="Z131" s="1685"/>
      <c r="AA131" s="1685"/>
      <c r="AB131" s="1685"/>
      <c r="AC131" s="1685"/>
      <c r="AD131" s="1685"/>
    </row>
    <row r="132" spans="1:30" ht="15.75">
      <c r="A132" s="1685"/>
      <c r="B132" s="1692" t="str">
        <f>B116</f>
        <v>Other CWC / elims</v>
      </c>
      <c r="C132" s="1695"/>
      <c r="D132" s="1690"/>
      <c r="E132" s="1690"/>
      <c r="F132" s="1690"/>
      <c r="G132" s="1690"/>
      <c r="H132" s="1690"/>
      <c r="I132" s="1690">
        <f t="shared" ref="I132:Q132" si="133">I116/I46</f>
        <v>0.22032751091703048</v>
      </c>
      <c r="J132" s="1690">
        <f t="shared" si="133"/>
        <v>0.14292256452955865</v>
      </c>
      <c r="K132" s="1690">
        <f t="shared" si="133"/>
        <v>0.1861556518598772</v>
      </c>
      <c r="L132" s="1690">
        <f t="shared" si="133"/>
        <v>0.1410947876836387</v>
      </c>
      <c r="M132" s="1690">
        <f t="shared" si="133"/>
        <v>9.9928596929667934E-2</v>
      </c>
      <c r="N132" s="1690">
        <f t="shared" si="133"/>
        <v>7.0910256955520196E-2</v>
      </c>
      <c r="O132" s="1690">
        <f t="shared" si="133"/>
        <v>0.10785135135135135</v>
      </c>
      <c r="P132" s="1690">
        <f t="shared" si="133"/>
        <v>0.10785135135135136</v>
      </c>
      <c r="Q132" s="1690">
        <f t="shared" si="133"/>
        <v>0.10785135135135135</v>
      </c>
      <c r="R132" s="1690">
        <f t="shared" ref="R132:S132" si="134">R116/R46</f>
        <v>0.10785135135135135</v>
      </c>
      <c r="S132" s="1690">
        <f t="shared" si="134"/>
        <v>0.10785135135135135</v>
      </c>
      <c r="T132" s="1690">
        <f t="shared" ref="T132:V132" si="135">T116/T46</f>
        <v>0.10785135135135135</v>
      </c>
      <c r="U132" s="1690">
        <f t="shared" si="135"/>
        <v>0.10785135135135135</v>
      </c>
      <c r="V132" s="1690">
        <f t="shared" si="135"/>
        <v>0.10785135135135135</v>
      </c>
      <c r="W132" s="1685"/>
      <c r="X132" s="1685"/>
      <c r="Y132" s="1685"/>
      <c r="Z132" s="1685"/>
      <c r="AA132" s="1685"/>
      <c r="AB132" s="1685"/>
      <c r="AC132" s="1685"/>
      <c r="AD132" s="1685"/>
    </row>
    <row r="133" spans="1:30" ht="15.75">
      <c r="A133" s="1685"/>
      <c r="B133" s="1692" t="str">
        <f>B117</f>
        <v>Chile</v>
      </c>
      <c r="C133" s="1695"/>
      <c r="D133" s="1690"/>
      <c r="E133" s="1690"/>
      <c r="F133" s="1690"/>
      <c r="G133" s="1690"/>
      <c r="H133" s="1690"/>
      <c r="I133" s="1690">
        <f t="shared" ref="I133:N133" si="136">I117/I47</f>
        <v>0.22328367875647667</v>
      </c>
      <c r="J133" s="1690">
        <f t="shared" si="136"/>
        <v>0.20490357980858287</v>
      </c>
      <c r="K133" s="1690">
        <f t="shared" si="136"/>
        <v>0.20680586547656996</v>
      </c>
      <c r="L133" s="1690">
        <f t="shared" si="136"/>
        <v>0.21272272585182866</v>
      </c>
      <c r="M133" s="1690">
        <f t="shared" si="136"/>
        <v>0.25427986727074631</v>
      </c>
      <c r="N133" s="1690">
        <f t="shared" si="136"/>
        <v>0.25654682645361737</v>
      </c>
      <c r="O133" s="1690"/>
      <c r="P133" s="1690"/>
      <c r="Q133" s="1690"/>
      <c r="R133" s="1690"/>
      <c r="S133" s="1690"/>
      <c r="T133" s="1690"/>
      <c r="U133" s="1690"/>
      <c r="V133" s="1690"/>
      <c r="W133" s="1685"/>
      <c r="X133" s="1685"/>
      <c r="Y133" s="1685"/>
      <c r="Z133" s="1685"/>
      <c r="AA133" s="1685"/>
      <c r="AB133" s="1685"/>
      <c r="AC133" s="1685"/>
      <c r="AD133" s="1685"/>
    </row>
    <row r="134" spans="1:30" ht="15.75">
      <c r="A134" s="1685"/>
      <c r="B134" s="1692" t="str">
        <f>B118</f>
        <v>Puerto Rico / US VI</v>
      </c>
      <c r="C134" s="1695"/>
      <c r="D134" s="1690"/>
      <c r="E134" s="1690"/>
      <c r="F134" s="1690"/>
      <c r="G134" s="1690"/>
      <c r="H134" s="1690"/>
      <c r="I134" s="1690">
        <f t="shared" ref="I134:Q134" si="137">I118/I48</f>
        <v>0.41248049921996877</v>
      </c>
      <c r="J134" s="1690">
        <f t="shared" si="137"/>
        <v>0.49876771410967341</v>
      </c>
      <c r="K134" s="1690">
        <f t="shared" si="137"/>
        <v>0.21447721179624665</v>
      </c>
      <c r="L134" s="1690">
        <f t="shared" si="137"/>
        <v>0.15349599999999999</v>
      </c>
      <c r="M134" s="1690">
        <f t="shared" si="137"/>
        <v>0.15065292096219932</v>
      </c>
      <c r="N134" s="1690">
        <f t="shared" si="137"/>
        <v>0.15883273246717911</v>
      </c>
      <c r="O134" s="1690">
        <f t="shared" si="137"/>
        <v>0.15455187014820043</v>
      </c>
      <c r="P134" s="1690">
        <f t="shared" si="137"/>
        <v>0.16</v>
      </c>
      <c r="Q134" s="1690">
        <f t="shared" si="137"/>
        <v>0.16</v>
      </c>
      <c r="R134" s="1690">
        <f t="shared" ref="R134:S134" si="138">R118/R48</f>
        <v>0.15</v>
      </c>
      <c r="S134" s="1690">
        <f t="shared" si="138"/>
        <v>0.15</v>
      </c>
      <c r="T134" s="1690">
        <f t="shared" ref="T134:V134" si="139">T118/T48</f>
        <v>0.15</v>
      </c>
      <c r="U134" s="1690">
        <f t="shared" si="139"/>
        <v>0.15</v>
      </c>
      <c r="V134" s="1690">
        <f t="shared" si="139"/>
        <v>0.15</v>
      </c>
      <c r="W134" s="1685"/>
      <c r="X134" s="1685"/>
      <c r="Y134" s="1685"/>
      <c r="Z134" s="1685"/>
      <c r="AA134" s="1685"/>
      <c r="AB134" s="1685"/>
      <c r="AC134" s="1685"/>
      <c r="AD134" s="1685"/>
    </row>
    <row r="135" spans="1:30" ht="15.75">
      <c r="A135" s="1685"/>
      <c r="B135" s="1715" t="str">
        <f>B119</f>
        <v>Costa Rica</v>
      </c>
      <c r="C135" s="1717"/>
      <c r="D135" s="1716"/>
      <c r="E135" s="1716"/>
      <c r="F135" s="1716"/>
      <c r="G135" s="1716"/>
      <c r="H135" s="1716"/>
      <c r="I135" s="1716"/>
      <c r="J135" s="1716">
        <f t="shared" ref="J135:Q135" si="140">J119/J49</f>
        <v>0.24242424242424243</v>
      </c>
      <c r="K135" s="1716">
        <f t="shared" si="140"/>
        <v>0.25</v>
      </c>
      <c r="L135" s="1716">
        <f t="shared" si="140"/>
        <v>0.17172423536059897</v>
      </c>
      <c r="M135" s="1716">
        <f>M119/M49</f>
        <v>0.1756440281030445</v>
      </c>
      <c r="N135" s="1716">
        <f t="shared" si="140"/>
        <v>0.14887831407205981</v>
      </c>
      <c r="O135" s="1716">
        <f t="shared" si="140"/>
        <v>0.13725132323416683</v>
      </c>
      <c r="P135" s="1716">
        <f t="shared" si="140"/>
        <v>0.1444385365661088</v>
      </c>
      <c r="Q135" s="1716">
        <f t="shared" si="140"/>
        <v>0.14000000000000001</v>
      </c>
      <c r="R135" s="1716">
        <f t="shared" ref="R135:S135" si="141">R119/R49</f>
        <v>0.16000000000000006</v>
      </c>
      <c r="S135" s="1716">
        <f t="shared" si="141"/>
        <v>0.16</v>
      </c>
      <c r="T135" s="1716">
        <f t="shared" ref="T135:V135" si="142">T119/T49</f>
        <v>0.15999999999999998</v>
      </c>
      <c r="U135" s="1716">
        <f t="shared" si="142"/>
        <v>0.15999999999999998</v>
      </c>
      <c r="V135" s="1716">
        <f t="shared" si="142"/>
        <v>0.16</v>
      </c>
      <c r="W135" s="1685"/>
      <c r="X135" s="1685"/>
      <c r="Y135" s="1685"/>
      <c r="Z135" s="1685"/>
      <c r="AA135" s="1685"/>
      <c r="AB135" s="1685"/>
      <c r="AC135" s="1685"/>
      <c r="AD135" s="1685"/>
    </row>
    <row r="136" spans="1:30" ht="15.75">
      <c r="A136" s="1685"/>
      <c r="B136" s="1692" t="s">
        <v>90</v>
      </c>
      <c r="C136" s="1690"/>
      <c r="D136" s="1690"/>
      <c r="E136" s="1690"/>
      <c r="F136" s="1690">
        <f t="shared" ref="F136:Q136" si="143">F121/F52</f>
        <v>0</v>
      </c>
      <c r="G136" s="1690">
        <f t="shared" si="143"/>
        <v>0</v>
      </c>
      <c r="H136" s="1690">
        <f t="shared" si="143"/>
        <v>0</v>
      </c>
      <c r="I136" s="1690">
        <f t="shared" si="143"/>
        <v>0.21653023144324121</v>
      </c>
      <c r="J136" s="1690">
        <f t="shared" si="143"/>
        <v>0.20883828593058054</v>
      </c>
      <c r="K136" s="1690">
        <f t="shared" si="143"/>
        <v>0.18802203201365361</v>
      </c>
      <c r="L136" s="1690">
        <f t="shared" si="143"/>
        <v>0.16759628154050465</v>
      </c>
      <c r="M136" s="1690">
        <f t="shared" si="143"/>
        <v>0.17863644482977353</v>
      </c>
      <c r="N136" s="1690">
        <f t="shared" si="143"/>
        <v>0.16953271028037381</v>
      </c>
      <c r="O136" s="1690">
        <f t="shared" si="143"/>
        <v>0.1620225665580457</v>
      </c>
      <c r="P136" s="1690">
        <f t="shared" si="143"/>
        <v>0.15993126333087873</v>
      </c>
      <c r="Q136" s="1690">
        <f t="shared" si="143"/>
        <v>0.15702139260181783</v>
      </c>
      <c r="R136" s="1690">
        <f t="shared" ref="R136:S136" si="144">R121/R52</f>
        <v>0.15656480680044343</v>
      </c>
      <c r="S136" s="1690">
        <f t="shared" si="144"/>
        <v>0.156394809099724</v>
      </c>
      <c r="T136" s="1690">
        <f t="shared" ref="T136:V136" si="145">T121/T52</f>
        <v>0.15623618052869795</v>
      </c>
      <c r="U136" s="1690">
        <f t="shared" si="145"/>
        <v>0.1560751852469717</v>
      </c>
      <c r="V136" s="1690">
        <f t="shared" si="145"/>
        <v>0.15591828475950259</v>
      </c>
      <c r="W136" s="1685"/>
      <c r="X136" s="1685"/>
      <c r="Y136" s="1685"/>
      <c r="Z136" s="1685"/>
      <c r="AA136" s="1685"/>
      <c r="AB136" s="1685"/>
      <c r="AC136" s="1685"/>
      <c r="AD136" s="1685"/>
    </row>
    <row r="137" spans="1:30" ht="15.75">
      <c r="A137" s="1685"/>
      <c r="B137" s="1723"/>
      <c r="C137" s="1690"/>
      <c r="D137" s="1690"/>
      <c r="E137" s="1724"/>
      <c r="F137" s="1690"/>
      <c r="G137" s="1690"/>
      <c r="H137" s="1690"/>
      <c r="I137" s="1695"/>
      <c r="J137" s="1690"/>
      <c r="K137" s="1690"/>
      <c r="L137" s="1711"/>
      <c r="M137" s="1685"/>
      <c r="N137" s="1685"/>
      <c r="O137" s="1685"/>
      <c r="P137" s="1685"/>
      <c r="Q137" s="1685"/>
      <c r="R137" s="1685"/>
      <c r="S137" s="1685"/>
      <c r="T137" s="1685"/>
      <c r="U137" s="1685"/>
      <c r="V137" s="1685"/>
      <c r="W137" s="1685"/>
      <c r="X137" s="1685"/>
      <c r="Y137" s="1685"/>
      <c r="Z137" s="1685"/>
      <c r="AA137" s="1685"/>
      <c r="AB137" s="1685"/>
      <c r="AC137" s="1685"/>
      <c r="AD137" s="1685"/>
    </row>
    <row r="138" spans="1:30" ht="15.75">
      <c r="A138" s="1685"/>
      <c r="B138" s="1689" t="s">
        <v>27</v>
      </c>
      <c r="C138" s="1700"/>
      <c r="D138" s="1700"/>
      <c r="E138" s="1700"/>
      <c r="F138" s="1700"/>
      <c r="G138" s="1700"/>
      <c r="H138" s="1700"/>
      <c r="I138" s="1700"/>
      <c r="J138" s="1700"/>
      <c r="K138" s="1700"/>
      <c r="L138" s="1685"/>
      <c r="M138" s="1685"/>
      <c r="N138" s="1685"/>
      <c r="O138" s="1685"/>
      <c r="P138" s="1685"/>
      <c r="Q138" s="1685"/>
      <c r="R138" s="1685"/>
      <c r="S138" s="1685"/>
      <c r="T138" s="1685"/>
      <c r="U138" s="1685"/>
      <c r="V138" s="1685"/>
      <c r="W138" s="1685"/>
      <c r="X138" s="1685"/>
      <c r="Y138" s="1685"/>
      <c r="Z138" s="1685"/>
      <c r="AA138" s="1685"/>
      <c r="AB138" s="1685"/>
      <c r="AC138" s="1685"/>
      <c r="AD138" s="1685"/>
    </row>
    <row r="139" spans="1:30" ht="15.75">
      <c r="A139" s="1685"/>
      <c r="B139" s="1692" t="str">
        <f t="shared" ref="B139:B148" si="146">B126</f>
        <v>Jamaica</v>
      </c>
      <c r="C139" s="1695"/>
      <c r="D139" s="1695"/>
      <c r="E139" s="1695"/>
      <c r="F139" s="1695"/>
      <c r="G139" s="1695"/>
      <c r="H139" s="1695"/>
      <c r="I139" s="1695">
        <f t="shared" ref="I139:Q139" si="147">I63-I110</f>
        <v>63.432000000000002</v>
      </c>
      <c r="J139" s="1695">
        <f t="shared" si="147"/>
        <v>79.640000000000015</v>
      </c>
      <c r="K139" s="1695">
        <f t="shared" si="147"/>
        <v>92.063999999999993</v>
      </c>
      <c r="L139" s="1695">
        <f t="shared" si="147"/>
        <v>109.03999999999999</v>
      </c>
      <c r="M139" s="1695">
        <f t="shared" si="147"/>
        <v>100.49999999999999</v>
      </c>
      <c r="N139" s="1695">
        <f t="shared" si="147"/>
        <v>120.11999999999999</v>
      </c>
      <c r="O139" s="1695">
        <f t="shared" si="147"/>
        <v>127.88999999999999</v>
      </c>
      <c r="P139" s="1695">
        <f t="shared" si="147"/>
        <v>121.2648379956522</v>
      </c>
      <c r="Q139" s="1695">
        <f t="shared" si="147"/>
        <v>138.10569983677851</v>
      </c>
      <c r="R139" s="1695">
        <f t="shared" ref="R139:S139" si="148">R63-R110</f>
        <v>147.73133116778391</v>
      </c>
      <c r="S139" s="1695">
        <f t="shared" si="148"/>
        <v>159.3923249965996</v>
      </c>
      <c r="T139" s="1695">
        <f t="shared" ref="T139:V139" si="149">T63-T110</f>
        <v>168.49651974935472</v>
      </c>
      <c r="U139" s="1695">
        <f t="shared" si="149"/>
        <v>178.1114907569247</v>
      </c>
      <c r="V139" s="1695">
        <f t="shared" si="149"/>
        <v>188.26549791035416</v>
      </c>
      <c r="W139" s="1685"/>
      <c r="X139" s="1685"/>
      <c r="Y139" s="1685"/>
      <c r="Z139" s="1685"/>
      <c r="AA139" s="1685"/>
      <c r="AB139" s="1685"/>
      <c r="AC139" s="1685"/>
      <c r="AD139" s="1685"/>
    </row>
    <row r="140" spans="1:30" ht="15.75">
      <c r="A140" s="1685"/>
      <c r="B140" s="1692" t="str">
        <f t="shared" si="146"/>
        <v>Trinidad &amp; Tobago</v>
      </c>
      <c r="C140" s="1695"/>
      <c r="D140" s="1695"/>
      <c r="E140" s="1695"/>
      <c r="F140" s="1695"/>
      <c r="G140" s="1695"/>
      <c r="H140" s="1695"/>
      <c r="I140" s="1695">
        <f t="shared" ref="I140:Q140" si="150">I64-I111</f>
        <v>35.508000000000003</v>
      </c>
      <c r="J140" s="1695">
        <f t="shared" si="150"/>
        <v>34.540000000000006</v>
      </c>
      <c r="K140" s="1695">
        <f t="shared" si="150"/>
        <v>35.486000000000004</v>
      </c>
      <c r="L140" s="1695">
        <f t="shared" si="150"/>
        <v>35.42</v>
      </c>
      <c r="M140" s="1695">
        <f t="shared" si="150"/>
        <v>33.222000000000008</v>
      </c>
      <c r="N140" s="1695">
        <f t="shared" si="150"/>
        <v>33.45300000000001</v>
      </c>
      <c r="O140" s="1695">
        <f t="shared" si="150"/>
        <v>32.47375000000001</v>
      </c>
      <c r="P140" s="1695">
        <f t="shared" si="150"/>
        <v>33.859789329779126</v>
      </c>
      <c r="Q140" s="1695">
        <f t="shared" si="150"/>
        <v>37.061748148971816</v>
      </c>
      <c r="R140" s="1695">
        <f t="shared" ref="R140:S140" si="151">R64-R111</f>
        <v>37.920493162035029</v>
      </c>
      <c r="S140" s="1695">
        <f t="shared" si="151"/>
        <v>38.798763276361186</v>
      </c>
      <c r="T140" s="1695">
        <f t="shared" ref="T140:V140" si="152">T64-T111</f>
        <v>39.696995997995572</v>
      </c>
      <c r="U140" s="1695">
        <f t="shared" si="152"/>
        <v>40.615638523184792</v>
      </c>
      <c r="V140" s="1695">
        <f t="shared" si="152"/>
        <v>41.555147950982388</v>
      </c>
      <c r="W140" s="1685"/>
      <c r="X140" s="1685"/>
      <c r="Y140" s="1685"/>
      <c r="Z140" s="1685"/>
      <c r="AA140" s="1685"/>
      <c r="AB140" s="1685"/>
      <c r="AC140" s="1685"/>
      <c r="AD140" s="1685"/>
    </row>
    <row r="141" spans="1:30" ht="15.75">
      <c r="A141" s="1685"/>
      <c r="B141" s="1692" t="str">
        <f t="shared" si="146"/>
        <v>Barbados</v>
      </c>
      <c r="C141" s="1695"/>
      <c r="D141" s="1695"/>
      <c r="E141" s="1695"/>
      <c r="F141" s="1695"/>
      <c r="G141" s="1695"/>
      <c r="H141" s="1695"/>
      <c r="I141" s="1695">
        <f t="shared" ref="I141:Q141" si="153">I65-I112</f>
        <v>37.512999999999998</v>
      </c>
      <c r="J141" s="1695">
        <f t="shared" si="153"/>
        <v>37.749999999999993</v>
      </c>
      <c r="K141" s="1695">
        <f t="shared" si="153"/>
        <v>37.549999999999997</v>
      </c>
      <c r="L141" s="1695">
        <f t="shared" si="153"/>
        <v>34.749999999999993</v>
      </c>
      <c r="M141" s="1695">
        <f t="shared" si="153"/>
        <v>33.983999999999995</v>
      </c>
      <c r="N141" s="1695">
        <f t="shared" si="153"/>
        <v>35.519999999999996</v>
      </c>
      <c r="O141" s="1695">
        <f t="shared" si="153"/>
        <v>37.823999999999998</v>
      </c>
      <c r="P141" s="1695">
        <f t="shared" si="153"/>
        <v>38.843848890300038</v>
      </c>
      <c r="Q141" s="1695">
        <f t="shared" si="153"/>
        <v>39.620725868106035</v>
      </c>
      <c r="R141" s="1695">
        <f t="shared" ref="R141:S141" si="154">R65-R112</f>
        <v>40.016933126787109</v>
      </c>
      <c r="S141" s="1695">
        <f t="shared" si="154"/>
        <v>40.016933126787109</v>
      </c>
      <c r="T141" s="1695">
        <f t="shared" ref="T141:V141" si="155">T65-T112</f>
        <v>40.016933126787109</v>
      </c>
      <c r="U141" s="1695">
        <f t="shared" si="155"/>
        <v>40.016933126787109</v>
      </c>
      <c r="V141" s="1695">
        <f t="shared" si="155"/>
        <v>40.016933126787109</v>
      </c>
      <c r="W141" s="1685"/>
      <c r="X141" s="1685"/>
      <c r="Y141" s="1685"/>
      <c r="Z141" s="1685"/>
      <c r="AA141" s="1685"/>
      <c r="AB141" s="1685"/>
      <c r="AC141" s="1685"/>
      <c r="AD141" s="1685"/>
    </row>
    <row r="142" spans="1:30" ht="15.75">
      <c r="A142" s="1685"/>
      <c r="B142" s="1692" t="str">
        <f t="shared" si="146"/>
        <v>Panama</v>
      </c>
      <c r="C142" s="1695"/>
      <c r="D142" s="1695"/>
      <c r="E142" s="1695"/>
      <c r="F142" s="1695"/>
      <c r="G142" s="1695"/>
      <c r="H142" s="1695"/>
      <c r="I142" s="1695">
        <f t="shared" ref="I142:Q142" si="156">I66-I113</f>
        <v>106.25</v>
      </c>
      <c r="J142" s="1695">
        <f t="shared" si="156"/>
        <v>101.49</v>
      </c>
      <c r="K142" s="1695">
        <f t="shared" si="156"/>
        <v>137.89999999999998</v>
      </c>
      <c r="L142" s="1695">
        <f t="shared" si="156"/>
        <v>106.79999999999998</v>
      </c>
      <c r="M142" s="1695">
        <f t="shared" si="156"/>
        <v>111.19999999999999</v>
      </c>
      <c r="N142" s="1695">
        <f t="shared" si="156"/>
        <v>90.4</v>
      </c>
      <c r="O142" s="1695">
        <f t="shared" si="156"/>
        <v>110.69999999999999</v>
      </c>
      <c r="P142" s="1695">
        <f t="shared" si="156"/>
        <v>143.69465750131991</v>
      </c>
      <c r="Q142" s="1695">
        <f t="shared" si="156"/>
        <v>170.20881578834428</v>
      </c>
      <c r="R142" s="1695">
        <f t="shared" ref="R142:S142" si="157">R66-R113</f>
        <v>180.38524245416602</v>
      </c>
      <c r="S142" s="1695">
        <f t="shared" si="157"/>
        <v>183.44788770159596</v>
      </c>
      <c r="T142" s="1695">
        <f t="shared" ref="T142:V142" si="158">T66-T113</f>
        <v>186.56923480333637</v>
      </c>
      <c r="U142" s="1695">
        <f t="shared" si="158"/>
        <v>189.75053871878896</v>
      </c>
      <c r="V142" s="1695">
        <f t="shared" si="158"/>
        <v>192.9930833160289</v>
      </c>
      <c r="W142" s="1685"/>
      <c r="X142" s="1685"/>
      <c r="Y142" s="1685"/>
      <c r="Z142" s="1685"/>
      <c r="AA142" s="1685"/>
      <c r="AB142" s="1685"/>
      <c r="AC142" s="1685"/>
      <c r="AD142" s="1685"/>
    </row>
    <row r="143" spans="1:30" ht="15.75">
      <c r="A143" s="1685"/>
      <c r="B143" s="1692" t="str">
        <f t="shared" si="146"/>
        <v>Bahamas</v>
      </c>
      <c r="C143" s="1695"/>
      <c r="D143" s="1695"/>
      <c r="E143" s="1695"/>
      <c r="F143" s="1695"/>
      <c r="G143" s="1695"/>
      <c r="H143" s="1695"/>
      <c r="I143" s="1695">
        <f t="shared" ref="I143:Q143" si="159">I67-I114</f>
        <v>78.390000000000015</v>
      </c>
      <c r="J143" s="1695">
        <f t="shared" si="159"/>
        <v>61.829999999999991</v>
      </c>
      <c r="K143" s="1695">
        <f t="shared" si="159"/>
        <v>55.971000000000004</v>
      </c>
      <c r="L143" s="1695">
        <f t="shared" si="159"/>
        <v>47.059999999999995</v>
      </c>
      <c r="M143" s="1695">
        <f t="shared" si="159"/>
        <v>47.474999999999994</v>
      </c>
      <c r="N143" s="1695">
        <f t="shared" si="159"/>
        <v>48.674999999999983</v>
      </c>
      <c r="O143" s="1695">
        <f t="shared" si="159"/>
        <v>48.25</v>
      </c>
      <c r="P143" s="1695">
        <f t="shared" si="159"/>
        <v>48.930636088273495</v>
      </c>
      <c r="Q143" s="1695">
        <f t="shared" si="159"/>
        <v>50.695295802682821</v>
      </c>
      <c r="R143" s="1695">
        <f t="shared" ref="R143:S143" si="160">R67-R114</f>
        <v>51.970649156209433</v>
      </c>
      <c r="S143" s="1695">
        <f t="shared" si="160"/>
        <v>53.246002509736044</v>
      </c>
      <c r="T143" s="1695">
        <f t="shared" ref="T143:V143" si="161">T67-T114</f>
        <v>54.521355863262656</v>
      </c>
      <c r="U143" s="1695">
        <f t="shared" si="161"/>
        <v>55.796709216789267</v>
      </c>
      <c r="V143" s="1695">
        <f t="shared" si="161"/>
        <v>57.072062570315879</v>
      </c>
      <c r="W143" s="1685"/>
      <c r="X143" s="1685"/>
      <c r="Y143" s="1685"/>
      <c r="Z143" s="1685"/>
      <c r="AA143" s="1685"/>
      <c r="AB143" s="1685"/>
      <c r="AC143" s="1685"/>
      <c r="AD143" s="1685"/>
    </row>
    <row r="144" spans="1:30" ht="15.75">
      <c r="A144" s="1685"/>
      <c r="B144" s="1692" t="str">
        <f t="shared" si="146"/>
        <v>Networks (Inc Subsea)</v>
      </c>
      <c r="C144" s="1695"/>
      <c r="D144" s="1695"/>
      <c r="E144" s="1695"/>
      <c r="F144" s="1695"/>
      <c r="G144" s="1695"/>
      <c r="H144" s="1695"/>
      <c r="I144" s="1695">
        <f t="shared" ref="I144:Q144" si="162">I68-I115</f>
        <v>61.397999999999996</v>
      </c>
      <c r="J144" s="1695">
        <f t="shared" si="162"/>
        <v>80.72999999999999</v>
      </c>
      <c r="K144" s="1695">
        <f t="shared" si="162"/>
        <v>86.6</v>
      </c>
      <c r="L144" s="1695">
        <f t="shared" si="162"/>
        <v>102.66</v>
      </c>
      <c r="M144" s="1695">
        <f t="shared" si="162"/>
        <v>88.949999999999989</v>
      </c>
      <c r="N144" s="1695">
        <f t="shared" si="162"/>
        <v>117.26</v>
      </c>
      <c r="O144" s="1695">
        <f t="shared" si="162"/>
        <v>122.30999999999999</v>
      </c>
      <c r="P144" s="1695">
        <f t="shared" si="162"/>
        <v>121.49701449999999</v>
      </c>
      <c r="Q144" s="1695">
        <f t="shared" si="162"/>
        <v>129.4363323</v>
      </c>
      <c r="R144" s="1695">
        <f t="shared" ref="R144:S144" si="163">R68-R115</f>
        <v>133.74080956500001</v>
      </c>
      <c r="S144" s="1695">
        <f t="shared" si="163"/>
        <v>138.64697894817002</v>
      </c>
      <c r="T144" s="1695">
        <f t="shared" ref="T144:V144" si="164">T68-T115</f>
        <v>143.7806480895477</v>
      </c>
      <c r="U144" s="1695">
        <f t="shared" si="164"/>
        <v>149.15301388993402</v>
      </c>
      <c r="V144" s="1695">
        <f t="shared" si="164"/>
        <v>154.7758313142987</v>
      </c>
      <c r="W144" s="1685"/>
      <c r="X144" s="1685"/>
      <c r="Y144" s="1685"/>
      <c r="Z144" s="1685"/>
      <c r="AA144" s="1685"/>
      <c r="AB144" s="1685"/>
      <c r="AC144" s="1685"/>
      <c r="AD144" s="1685"/>
    </row>
    <row r="145" spans="1:30" ht="15.75">
      <c r="A145" s="1685"/>
      <c r="B145" s="1692" t="str">
        <f t="shared" si="146"/>
        <v>Other CWC / elims</v>
      </c>
      <c r="C145" s="1695"/>
      <c r="D145" s="1695"/>
      <c r="E145" s="1695"/>
      <c r="F145" s="1695"/>
      <c r="G145" s="1695"/>
      <c r="H145" s="1695"/>
      <c r="I145" s="1695">
        <f t="shared" ref="I145:Q145" si="165">I69-I116</f>
        <v>61.709000000000017</v>
      </c>
      <c r="J145" s="1695">
        <f t="shared" si="165"/>
        <v>128.0200000000001</v>
      </c>
      <c r="K145" s="1695">
        <f t="shared" si="165"/>
        <v>83.128999999999849</v>
      </c>
      <c r="L145" s="1695">
        <f t="shared" si="165"/>
        <v>133.07000000000005</v>
      </c>
      <c r="M145" s="1695">
        <f t="shared" si="165"/>
        <v>174.86900000000003</v>
      </c>
      <c r="N145" s="1695">
        <f t="shared" si="165"/>
        <v>197.18056349999995</v>
      </c>
      <c r="O145" s="1695">
        <f t="shared" si="165"/>
        <v>207.15225000000004</v>
      </c>
      <c r="P145" s="1695">
        <f t="shared" si="165"/>
        <v>213.54632000000001</v>
      </c>
      <c r="Q145" s="1695">
        <f t="shared" si="165"/>
        <v>218.70127919999996</v>
      </c>
      <c r="R145" s="1695">
        <f t="shared" ref="R145:S145" si="166">R69-R116</f>
        <v>220.88829199199998</v>
      </c>
      <c r="S145" s="1695">
        <f t="shared" si="166"/>
        <v>223.09717491191998</v>
      </c>
      <c r="T145" s="1695">
        <f t="shared" ref="T145:V145" si="167">T69-T116</f>
        <v>225.32814666103923</v>
      </c>
      <c r="U145" s="1695">
        <f t="shared" si="167"/>
        <v>227.58142812764959</v>
      </c>
      <c r="V145" s="1695">
        <f t="shared" si="167"/>
        <v>229.85724240892608</v>
      </c>
      <c r="W145" s="1685"/>
      <c r="X145" s="1685"/>
      <c r="Y145" s="1685"/>
      <c r="Z145" s="1685"/>
      <c r="AA145" s="1685"/>
      <c r="AB145" s="1685"/>
      <c r="AC145" s="1685"/>
      <c r="AD145" s="1685"/>
    </row>
    <row r="146" spans="1:30" ht="15.75">
      <c r="A146" s="1685"/>
      <c r="B146" s="1692" t="str">
        <f t="shared" si="146"/>
        <v>Chile</v>
      </c>
      <c r="C146" s="1695"/>
      <c r="D146" s="1695"/>
      <c r="E146" s="1695"/>
      <c r="F146" s="1695"/>
      <c r="G146" s="1695"/>
      <c r="H146" s="1695"/>
      <c r="I146" s="1695">
        <f t="shared" ref="I146:N146" si="168">I70-I117</f>
        <v>170.00616522811347</v>
      </c>
      <c r="J146" s="1695">
        <f t="shared" si="168"/>
        <v>203.47176137159948</v>
      </c>
      <c r="K146" s="1695">
        <f t="shared" si="168"/>
        <v>191.97500000000002</v>
      </c>
      <c r="L146" s="1695">
        <f t="shared" si="168"/>
        <v>134.59595959595958</v>
      </c>
      <c r="M146" s="1695">
        <f t="shared" si="168"/>
        <v>58.893561103810811</v>
      </c>
      <c r="N146" s="1695">
        <f t="shared" si="168"/>
        <v>0</v>
      </c>
      <c r="O146" s="1695"/>
      <c r="P146" s="1695"/>
      <c r="Q146" s="1695"/>
      <c r="R146" s="1695"/>
      <c r="S146" s="1695"/>
      <c r="T146" s="1695"/>
      <c r="U146" s="1695"/>
      <c r="V146" s="1695"/>
      <c r="W146" s="1685"/>
      <c r="X146" s="1685"/>
      <c r="Y146" s="1685"/>
      <c r="Z146" s="1685"/>
      <c r="AA146" s="1685"/>
      <c r="AB146" s="1685"/>
      <c r="AC146" s="1685"/>
      <c r="AD146" s="1685"/>
    </row>
    <row r="147" spans="1:30" ht="15.75">
      <c r="A147" s="1685"/>
      <c r="B147" s="1692" t="str">
        <f t="shared" si="146"/>
        <v>Puerto Rico / US VI</v>
      </c>
      <c r="C147" s="1695"/>
      <c r="D147" s="1695"/>
      <c r="E147" s="1695"/>
      <c r="F147" s="1695"/>
      <c r="G147" s="1695"/>
      <c r="H147" s="1695"/>
      <c r="I147" s="1695">
        <f t="shared" ref="I147:Q147" si="169">I71-I118</f>
        <v>0.40000000000000568</v>
      </c>
      <c r="J147" s="1695">
        <f t="shared" si="169"/>
        <v>-26.099999999999994</v>
      </c>
      <c r="K147" s="1695">
        <f t="shared" si="169"/>
        <v>115.20000000000002</v>
      </c>
      <c r="L147" s="1695">
        <f t="shared" si="169"/>
        <v>180.96499999999997</v>
      </c>
      <c r="M147" s="1695">
        <f t="shared" si="169"/>
        <v>366.7000000000001</v>
      </c>
      <c r="N147" s="1695">
        <f t="shared" si="169"/>
        <v>311.29999999999995</v>
      </c>
      <c r="O147" s="1695">
        <f t="shared" si="169"/>
        <v>266.5</v>
      </c>
      <c r="P147" s="1695">
        <f t="shared" si="169"/>
        <v>119.304224</v>
      </c>
      <c r="Q147" s="1695">
        <f t="shared" si="169"/>
        <v>269.10119306799999</v>
      </c>
      <c r="R147" s="1695">
        <f t="shared" ref="R147:S147" si="170">R71-R118</f>
        <v>313.61531257858053</v>
      </c>
      <c r="S147" s="1695">
        <f t="shared" si="170"/>
        <v>330.11559754163073</v>
      </c>
      <c r="T147" s="1695">
        <f t="shared" ref="T147:V147" si="171">T71-T118</f>
        <v>346.21843797987145</v>
      </c>
      <c r="U147" s="1695">
        <f t="shared" si="171"/>
        <v>349.65886205542085</v>
      </c>
      <c r="V147" s="1695">
        <f t="shared" si="171"/>
        <v>353.17509223569812</v>
      </c>
      <c r="W147" s="1685"/>
      <c r="X147" s="1685"/>
      <c r="Y147" s="1685"/>
      <c r="Z147" s="1685"/>
      <c r="AA147" s="1685"/>
      <c r="AB147" s="1685"/>
      <c r="AC147" s="1685"/>
      <c r="AD147" s="1685"/>
    </row>
    <row r="148" spans="1:30" ht="15.75">
      <c r="A148" s="1685"/>
      <c r="B148" s="1692" t="str">
        <f t="shared" si="146"/>
        <v>Costa Rica</v>
      </c>
      <c r="C148" s="1695"/>
      <c r="D148" s="1695"/>
      <c r="E148" s="1695"/>
      <c r="F148" s="1695"/>
      <c r="G148" s="1695"/>
      <c r="H148" s="1695"/>
      <c r="I148" s="1695">
        <f t="shared" ref="I148:Q148" si="172">I72-I119</f>
        <v>0</v>
      </c>
      <c r="J148" s="1695">
        <f t="shared" si="172"/>
        <v>2</v>
      </c>
      <c r="K148" s="1695">
        <f t="shared" si="172"/>
        <v>13.825000000000003</v>
      </c>
      <c r="L148" s="1695">
        <f t="shared" si="172"/>
        <v>31.443434343434348</v>
      </c>
      <c r="M148" s="1695">
        <f t="shared" si="172"/>
        <v>35.200000000000003</v>
      </c>
      <c r="N148" s="1695">
        <f t="shared" si="172"/>
        <v>68.999999999999986</v>
      </c>
      <c r="O148" s="1695">
        <f t="shared" si="172"/>
        <v>127.89999999999999</v>
      </c>
      <c r="P148" s="1695">
        <f t="shared" si="172"/>
        <v>132.41199399236987</v>
      </c>
      <c r="Q148" s="1695">
        <f t="shared" si="172"/>
        <v>137.44262213634994</v>
      </c>
      <c r="R148" s="1695">
        <f t="shared" ref="R148:S148" si="173">R72-R119</f>
        <v>134.5601691451605</v>
      </c>
      <c r="S148" s="1695">
        <f t="shared" si="173"/>
        <v>137.85484411859295</v>
      </c>
      <c r="T148" s="1695">
        <f t="shared" ref="T148:V148" si="174">T72-T119</f>
        <v>141.03663783298236</v>
      </c>
      <c r="U148" s="1695">
        <f t="shared" si="174"/>
        <v>144.26899682843452</v>
      </c>
      <c r="V148" s="1695">
        <f t="shared" si="174"/>
        <v>147.57161970381344</v>
      </c>
      <c r="W148" s="1685"/>
      <c r="X148" s="1685"/>
      <c r="Y148" s="1685"/>
      <c r="Z148" s="1685"/>
      <c r="AA148" s="1685"/>
      <c r="AB148" s="1685"/>
      <c r="AC148" s="1685"/>
      <c r="AD148" s="1685"/>
    </row>
    <row r="149" spans="1:30" ht="15.75">
      <c r="A149" s="1685"/>
      <c r="B149" s="1715" t="s">
        <v>4</v>
      </c>
      <c r="C149" s="1717"/>
      <c r="D149" s="1717"/>
      <c r="E149" s="1717"/>
      <c r="F149" s="1717"/>
      <c r="G149" s="1717"/>
      <c r="H149" s="1717"/>
      <c r="I149" s="1717">
        <f t="shared" ref="I149:Q149" si="175">I73-I120</f>
        <v>-25.1</v>
      </c>
      <c r="J149" s="1717">
        <f t="shared" si="175"/>
        <v>-62.2</v>
      </c>
      <c r="K149" s="1717">
        <f t="shared" si="175"/>
        <v>-70.3</v>
      </c>
      <c r="L149" s="1717">
        <f t="shared" si="175"/>
        <v>-61.804393939394004</v>
      </c>
      <c r="M149" s="1717">
        <f t="shared" si="175"/>
        <v>-88.4</v>
      </c>
      <c r="N149" s="1717">
        <f t="shared" si="175"/>
        <v>-121.20856349999974</v>
      </c>
      <c r="O149" s="1717">
        <f t="shared" si="175"/>
        <v>-110.29999999999995</v>
      </c>
      <c r="P149" s="1717">
        <f t="shared" si="175"/>
        <v>-109</v>
      </c>
      <c r="Q149" s="1717">
        <f t="shared" si="175"/>
        <v>-109</v>
      </c>
      <c r="R149" s="1717">
        <f t="shared" ref="R149:S149" si="176">R73-R120</f>
        <v>-109</v>
      </c>
      <c r="S149" s="1717">
        <f t="shared" si="176"/>
        <v>-109</v>
      </c>
      <c r="T149" s="1717">
        <f t="shared" ref="T149:V149" si="177">T73-T120</f>
        <v>-109</v>
      </c>
      <c r="U149" s="1717">
        <f t="shared" si="177"/>
        <v>-109</v>
      </c>
      <c r="V149" s="1717">
        <f t="shared" si="177"/>
        <v>-109</v>
      </c>
      <c r="W149" s="1685"/>
      <c r="X149" s="1685"/>
      <c r="Y149" s="1685"/>
      <c r="Z149" s="1685"/>
      <c r="AA149" s="1685"/>
      <c r="AB149" s="1685"/>
      <c r="AC149" s="1685"/>
      <c r="AD149" s="1685"/>
    </row>
    <row r="150" spans="1:30" ht="15.75">
      <c r="A150" s="1685"/>
      <c r="B150" s="1692" t="s">
        <v>16</v>
      </c>
      <c r="C150" s="1695"/>
      <c r="D150" s="1695"/>
      <c r="E150" s="1695"/>
      <c r="F150" s="1695"/>
      <c r="G150" s="1695"/>
      <c r="H150" s="1695"/>
      <c r="I150" s="1695">
        <f t="shared" ref="I150:Q150" si="178">I74-I121</f>
        <v>590.55376078914901</v>
      </c>
      <c r="J150" s="1695">
        <f t="shared" si="178"/>
        <v>641.17176137159959</v>
      </c>
      <c r="K150" s="1695">
        <f t="shared" si="178"/>
        <v>779.40000000000009</v>
      </c>
      <c r="L150" s="1695">
        <f t="shared" si="178"/>
        <v>854</v>
      </c>
      <c r="M150" s="1695">
        <f t="shared" si="178"/>
        <v>962.593561103811</v>
      </c>
      <c r="N150" s="1695">
        <f t="shared" si="178"/>
        <v>901.7</v>
      </c>
      <c r="O150" s="1695">
        <f t="shared" si="178"/>
        <v>970.69999999999993</v>
      </c>
      <c r="P150" s="1695">
        <f t="shared" si="178"/>
        <v>864.35332229769472</v>
      </c>
      <c r="Q150" s="1695">
        <f t="shared" si="178"/>
        <v>1081.3737121492334</v>
      </c>
      <c r="R150" s="1695">
        <f t="shared" ref="R150:S150" si="179">R74-R121</f>
        <v>1151.8292323477226</v>
      </c>
      <c r="S150" s="1695">
        <f t="shared" si="179"/>
        <v>1195.616507131394</v>
      </c>
      <c r="T150" s="1695">
        <f t="shared" ref="T150:V150" si="180">T74-T121</f>
        <v>1236.6649101041774</v>
      </c>
      <c r="U150" s="1695">
        <f t="shared" si="180"/>
        <v>1265.9536112439137</v>
      </c>
      <c r="V150" s="1695">
        <f t="shared" si="180"/>
        <v>1296.2825105372046</v>
      </c>
      <c r="W150" s="1711">
        <f>(Q150/N150)^(1/3)-1</f>
        <v>6.2440406615261512E-2</v>
      </c>
      <c r="X150" s="1690">
        <f>O150/991-1</f>
        <v>-2.0484359233097993E-2</v>
      </c>
      <c r="Y150" s="1685"/>
      <c r="Z150" s="1685"/>
      <c r="AA150" s="1685"/>
      <c r="AB150" s="1685"/>
      <c r="AC150" s="1685"/>
      <c r="AD150" s="1685"/>
    </row>
    <row r="151" spans="1:30" ht="15.75">
      <c r="A151" s="1685"/>
      <c r="B151" s="1692"/>
      <c r="C151" s="1695"/>
      <c r="D151" s="1695"/>
      <c r="E151" s="1695"/>
      <c r="F151" s="1695"/>
      <c r="G151" s="1695"/>
      <c r="H151" s="1695"/>
      <c r="I151" s="1695"/>
      <c r="J151" s="1695"/>
      <c r="K151" s="1695"/>
      <c r="L151" s="1695"/>
      <c r="M151" s="1695"/>
      <c r="N151" s="1695"/>
      <c r="O151" s="1695"/>
      <c r="P151" s="1695"/>
      <c r="Q151" s="1695"/>
      <c r="R151" s="1695"/>
      <c r="S151" s="1695"/>
      <c r="T151" s="1695"/>
      <c r="U151" s="1695"/>
      <c r="V151" s="1695"/>
      <c r="W151" s="1685"/>
      <c r="X151" s="1685"/>
      <c r="Y151" s="1685"/>
      <c r="Z151" s="1685"/>
      <c r="AA151" s="1685"/>
      <c r="AB151" s="1685"/>
      <c r="AC151" s="1685"/>
      <c r="AD151" s="1685"/>
    </row>
    <row r="152" spans="1:30" ht="15.75">
      <c r="A152" s="1685"/>
      <c r="B152" s="1692" t="s">
        <v>6422</v>
      </c>
      <c r="C152" s="1695"/>
      <c r="D152" s="1695"/>
      <c r="E152" s="1695"/>
      <c r="F152" s="1695"/>
      <c r="G152" s="1695"/>
      <c r="H152" s="1695"/>
      <c r="I152" s="1695"/>
      <c r="J152" s="1695"/>
      <c r="K152" s="1695"/>
      <c r="L152" s="1695"/>
      <c r="M152" s="1695"/>
      <c r="N152" s="1695">
        <f t="shared" ref="N152:V152" si="181">N84-N123</f>
        <v>813.58751000000018</v>
      </c>
      <c r="O152" s="1695">
        <f t="shared" si="181"/>
        <v>865.07947000000001</v>
      </c>
      <c r="P152" s="1695">
        <f t="shared" si="181"/>
        <v>741.54965073221445</v>
      </c>
      <c r="Q152" s="1695">
        <f t="shared" si="181"/>
        <v>942.27257480469723</v>
      </c>
      <c r="R152" s="1695">
        <f t="shared" si="181"/>
        <v>1006.477995674818</v>
      </c>
      <c r="S152" s="1695">
        <f t="shared" si="181"/>
        <v>1046.7761070252377</v>
      </c>
      <c r="T152" s="1695">
        <f t="shared" si="181"/>
        <v>1084.5152634927183</v>
      </c>
      <c r="U152" s="1695">
        <f t="shared" si="181"/>
        <v>1110.4189953732157</v>
      </c>
      <c r="V152" s="1695">
        <f t="shared" si="181"/>
        <v>1137.282106530133</v>
      </c>
      <c r="W152" s="1685"/>
      <c r="X152" s="1685"/>
      <c r="Y152" s="1685"/>
      <c r="Z152" s="1685"/>
      <c r="AA152" s="1685"/>
      <c r="AB152" s="1685"/>
      <c r="AC152" s="1685"/>
      <c r="AD152" s="1685"/>
    </row>
    <row r="153" spans="1:30" ht="15.75">
      <c r="A153" s="1685"/>
      <c r="B153" s="1692"/>
      <c r="C153" s="1695"/>
      <c r="D153" s="1695"/>
      <c r="E153" s="1695"/>
      <c r="F153" s="1695"/>
      <c r="G153" s="1695"/>
      <c r="H153" s="1695"/>
      <c r="I153" s="1695"/>
      <c r="J153" s="1695"/>
      <c r="K153" s="1695"/>
      <c r="L153" s="1695"/>
      <c r="M153" s="1695"/>
      <c r="N153" s="1695"/>
      <c r="O153" s="1695"/>
      <c r="P153" s="1695"/>
      <c r="Q153" s="1695"/>
      <c r="R153" s="1695"/>
      <c r="S153" s="1695"/>
      <c r="T153" s="1695"/>
      <c r="U153" s="1695"/>
      <c r="V153" s="1695"/>
      <c r="W153" s="1685"/>
      <c r="X153" s="1685"/>
      <c r="Y153" s="1685"/>
      <c r="Z153" s="1685"/>
      <c r="AA153" s="1685"/>
      <c r="AB153" s="1685"/>
      <c r="AC153" s="1685"/>
      <c r="AD153" s="1685"/>
    </row>
    <row r="154" spans="1:30" ht="15.75">
      <c r="A154" s="1685"/>
      <c r="B154" s="1687" t="s">
        <v>92</v>
      </c>
      <c r="C154" s="1688">
        <f t="shared" ref="C154:Q154" si="182">C2</f>
        <v>40908</v>
      </c>
      <c r="D154" s="1688">
        <f t="shared" si="182"/>
        <v>41274</v>
      </c>
      <c r="E154" s="1688">
        <f t="shared" si="182"/>
        <v>41639</v>
      </c>
      <c r="F154" s="1688">
        <f t="shared" si="182"/>
        <v>42004</v>
      </c>
      <c r="G154" s="1688">
        <f t="shared" si="182"/>
        <v>42369</v>
      </c>
      <c r="H154" s="1688">
        <f t="shared" si="182"/>
        <v>42735</v>
      </c>
      <c r="I154" s="1688">
        <f t="shared" si="182"/>
        <v>43100</v>
      </c>
      <c r="J154" s="1688">
        <f t="shared" si="182"/>
        <v>43465</v>
      </c>
      <c r="K154" s="1688">
        <f t="shared" si="182"/>
        <v>43830</v>
      </c>
      <c r="L154" s="1688">
        <f t="shared" si="182"/>
        <v>44196</v>
      </c>
      <c r="M154" s="1688">
        <f t="shared" si="182"/>
        <v>44561</v>
      </c>
      <c r="N154" s="1688">
        <f t="shared" si="182"/>
        <v>44926</v>
      </c>
      <c r="O154" s="1688">
        <f t="shared" si="182"/>
        <v>45291</v>
      </c>
      <c r="P154" s="1688">
        <f t="shared" si="182"/>
        <v>45657</v>
      </c>
      <c r="Q154" s="1688">
        <f t="shared" si="182"/>
        <v>46022</v>
      </c>
      <c r="R154" s="1688">
        <f t="shared" ref="R154:S154" si="183">R2</f>
        <v>46387</v>
      </c>
      <c r="S154" s="1688">
        <f t="shared" si="183"/>
        <v>46752</v>
      </c>
      <c r="T154" s="1688">
        <f t="shared" ref="T154:V154" si="184">T2</f>
        <v>47118</v>
      </c>
      <c r="U154" s="1688">
        <f t="shared" si="184"/>
        <v>47483</v>
      </c>
      <c r="V154" s="1688">
        <f t="shared" si="184"/>
        <v>47848</v>
      </c>
      <c r="W154" s="1685"/>
      <c r="X154" s="1685"/>
      <c r="Y154" s="1685"/>
      <c r="Z154" s="1685"/>
      <c r="AA154" s="1685"/>
      <c r="AB154" s="1685"/>
      <c r="AC154" s="1685"/>
      <c r="AD154" s="1685"/>
    </row>
    <row r="155" spans="1:30" ht="15.75">
      <c r="A155" s="1685"/>
      <c r="B155" s="1692"/>
      <c r="C155" s="1689"/>
      <c r="D155" s="1689"/>
      <c r="E155" s="1689"/>
      <c r="F155" s="1689"/>
      <c r="G155" s="1689"/>
      <c r="H155" s="1689"/>
      <c r="I155" s="1689"/>
      <c r="J155" s="1689"/>
      <c r="K155" s="1689"/>
      <c r="L155" s="1685"/>
      <c r="M155" s="1685"/>
      <c r="N155" s="1685"/>
      <c r="O155" s="1685"/>
      <c r="P155" s="1685"/>
      <c r="Q155" s="1685"/>
      <c r="R155" s="1685"/>
      <c r="S155" s="1685"/>
      <c r="T155" s="1685"/>
      <c r="U155" s="1685"/>
      <c r="V155" s="1685"/>
      <c r="W155" s="1685"/>
      <c r="X155" s="1685"/>
      <c r="Y155" s="1685"/>
      <c r="Z155" s="1685"/>
      <c r="AA155" s="1685"/>
      <c r="AB155" s="1685"/>
      <c r="AC155" s="1685"/>
      <c r="AD155" s="1685"/>
    </row>
    <row r="156" spans="1:30" ht="15.75">
      <c r="A156" s="1685"/>
      <c r="B156" s="1692" t="s">
        <v>93</v>
      </c>
      <c r="C156" s="1695"/>
      <c r="D156" s="1695"/>
      <c r="E156" s="1695">
        <f>E318</f>
        <v>205</v>
      </c>
      <c r="F156" s="1695">
        <f>F318</f>
        <v>402</v>
      </c>
      <c r="G156" s="1695">
        <f>G318</f>
        <v>525</v>
      </c>
      <c r="H156" s="1695">
        <f>H318</f>
        <v>552.6</v>
      </c>
      <c r="I156" s="1695">
        <f>I318</f>
        <v>529.9</v>
      </c>
      <c r="J156" s="1695">
        <f t="shared" ref="J156:P156" si="185">J318</f>
        <v>658</v>
      </c>
      <c r="K156" s="1695">
        <f t="shared" si="185"/>
        <v>2456</v>
      </c>
      <c r="L156" s="1695">
        <f t="shared" si="185"/>
        <v>575.5</v>
      </c>
      <c r="M156" s="1695">
        <f t="shared" si="185"/>
        <v>1169.4000000000001</v>
      </c>
      <c r="N156" s="1695">
        <f t="shared" si="185"/>
        <v>1384.3</v>
      </c>
      <c r="O156" s="1695">
        <f t="shared" si="185"/>
        <v>996.6</v>
      </c>
      <c r="P156" s="1695">
        <f t="shared" ca="1" si="185"/>
        <v>846.96808829055954</v>
      </c>
      <c r="Q156" s="1695">
        <f t="shared" ref="Q156:V156" ca="1" si="186">Q318</f>
        <v>1074.9534328396085</v>
      </c>
      <c r="R156" s="1695">
        <f t="shared" ca="1" si="186"/>
        <v>1274.4896894454023</v>
      </c>
      <c r="S156" s="1695">
        <f t="shared" ca="1" si="186"/>
        <v>1417.0964441814549</v>
      </c>
      <c r="T156" s="1695">
        <f t="shared" ca="1" si="186"/>
        <v>1546.7487182433142</v>
      </c>
      <c r="U156" s="1695">
        <f t="shared" ca="1" si="186"/>
        <v>1741.6754063883081</v>
      </c>
      <c r="V156" s="1695">
        <f t="shared" ca="1" si="186"/>
        <v>1954.7641081356451</v>
      </c>
      <c r="W156" s="1685"/>
      <c r="X156" s="1685"/>
      <c r="Y156" s="1685"/>
      <c r="Z156" s="1685"/>
      <c r="AA156" s="1685"/>
      <c r="AB156" s="1685"/>
      <c r="AC156" s="1685"/>
      <c r="AD156" s="1685"/>
    </row>
    <row r="157" spans="1:30" ht="15.75">
      <c r="A157" s="1685"/>
      <c r="B157" s="1692" t="s">
        <v>94</v>
      </c>
      <c r="C157" s="1695"/>
      <c r="D157" s="1695"/>
      <c r="E157" s="1695">
        <f>E344</f>
        <v>36</v>
      </c>
      <c r="F157" s="1695">
        <f>F344</f>
        <v>50</v>
      </c>
      <c r="G157" s="1695">
        <f>G344</f>
        <v>77.069262995656416</v>
      </c>
      <c r="H157" s="1695">
        <f>H344</f>
        <v>0</v>
      </c>
      <c r="I157" s="1695">
        <f>I344</f>
        <v>0</v>
      </c>
      <c r="J157" s="1695">
        <f t="shared" ref="J157:P157" si="187">J344</f>
        <v>0</v>
      </c>
      <c r="K157" s="1695">
        <f t="shared" si="187"/>
        <v>0</v>
      </c>
      <c r="L157" s="1695">
        <f t="shared" si="187"/>
        <v>0</v>
      </c>
      <c r="M157" s="1695">
        <f t="shared" si="187"/>
        <v>0</v>
      </c>
      <c r="N157" s="1695">
        <f t="shared" si="187"/>
        <v>0</v>
      </c>
      <c r="O157" s="1695">
        <f t="shared" si="187"/>
        <v>0</v>
      </c>
      <c r="P157" s="1695">
        <f t="shared" si="187"/>
        <v>0</v>
      </c>
      <c r="Q157" s="1695">
        <f t="shared" ref="Q157:V157" si="188">Q344</f>
        <v>0</v>
      </c>
      <c r="R157" s="1695">
        <f t="shared" si="188"/>
        <v>0</v>
      </c>
      <c r="S157" s="1695">
        <f t="shared" si="188"/>
        <v>0</v>
      </c>
      <c r="T157" s="1695">
        <f t="shared" si="188"/>
        <v>0</v>
      </c>
      <c r="U157" s="1695">
        <f t="shared" si="188"/>
        <v>0</v>
      </c>
      <c r="V157" s="1695">
        <f t="shared" si="188"/>
        <v>0</v>
      </c>
      <c r="W157" s="1685"/>
      <c r="X157" s="1685"/>
      <c r="Y157" s="1685"/>
      <c r="Z157" s="1685"/>
      <c r="AA157" s="1685"/>
      <c r="AB157" s="1685"/>
      <c r="AC157" s="1685"/>
      <c r="AD157" s="1685"/>
    </row>
    <row r="158" spans="1:30" ht="15.75">
      <c r="A158" s="1685"/>
      <c r="B158" s="1692" t="s">
        <v>95</v>
      </c>
      <c r="C158" s="1695"/>
      <c r="D158" s="1695"/>
      <c r="E158" s="1695">
        <f>E347</f>
        <v>433</v>
      </c>
      <c r="F158" s="1695">
        <f>F347</f>
        <v>587</v>
      </c>
      <c r="G158" s="1695">
        <f>G347</f>
        <v>1310.9096666666665</v>
      </c>
      <c r="H158" s="1695">
        <f>H347</f>
        <v>531.6</v>
      </c>
      <c r="I158" s="1695">
        <f>I347</f>
        <v>556.5</v>
      </c>
      <c r="J158" s="1695">
        <f t="shared" ref="J158:P158" si="189">J347</f>
        <v>607.29999999999995</v>
      </c>
      <c r="K158" s="1695">
        <f t="shared" si="189"/>
        <v>585.20000000000005</v>
      </c>
      <c r="L158" s="1695">
        <f t="shared" si="189"/>
        <v>560.70000000000005</v>
      </c>
      <c r="M158" s="1695">
        <f t="shared" si="189"/>
        <v>536.4</v>
      </c>
      <c r="N158" s="1695">
        <f t="shared" si="189"/>
        <v>603.29999999999995</v>
      </c>
      <c r="O158" s="1695">
        <f t="shared" si="189"/>
        <v>686.1</v>
      </c>
      <c r="P158" s="1695">
        <f t="shared" si="189"/>
        <v>679.70921082504321</v>
      </c>
      <c r="Q158" s="1695">
        <f t="shared" ref="Q158:V158" si="190">Q347</f>
        <v>698.80490024595122</v>
      </c>
      <c r="R158" s="1695">
        <f t="shared" si="190"/>
        <v>714.97804745185363</v>
      </c>
      <c r="S158" s="1695">
        <f t="shared" si="190"/>
        <v>729.68121487267638</v>
      </c>
      <c r="T158" s="1695">
        <f t="shared" si="190"/>
        <v>744.80382372008239</v>
      </c>
      <c r="U158" s="1695">
        <f t="shared" si="190"/>
        <v>761.15700423619523</v>
      </c>
      <c r="V158" s="1695">
        <f t="shared" si="190"/>
        <v>778.05048502727107</v>
      </c>
      <c r="W158" s="1685"/>
      <c r="X158" s="1685"/>
      <c r="Y158" s="1685"/>
      <c r="Z158" s="1685"/>
      <c r="AA158" s="1685"/>
      <c r="AB158" s="1685"/>
      <c r="AC158" s="1685"/>
      <c r="AD158" s="1685"/>
    </row>
    <row r="159" spans="1:30" ht="15.75">
      <c r="A159" s="1685"/>
      <c r="B159" s="1692" t="s">
        <v>96</v>
      </c>
      <c r="C159" s="1717"/>
      <c r="D159" s="1717"/>
      <c r="E159" s="1717">
        <f>E350</f>
        <v>0</v>
      </c>
      <c r="F159" s="1717">
        <f>F350</f>
        <v>56</v>
      </c>
      <c r="G159" s="1717">
        <f>G350</f>
        <v>86.317574555135181</v>
      </c>
      <c r="H159" s="1717">
        <f>H350</f>
        <v>425</v>
      </c>
      <c r="I159" s="1717">
        <f>I350</f>
        <v>288.39999999999998</v>
      </c>
      <c r="J159" s="1717">
        <f t="shared" ref="J159:P159" si="191">J350</f>
        <v>379.5</v>
      </c>
      <c r="K159" s="1717">
        <f t="shared" si="191"/>
        <v>286.19999999999982</v>
      </c>
      <c r="L159" s="1717">
        <f t="shared" si="191"/>
        <v>815.7</v>
      </c>
      <c r="M159" s="1717">
        <f t="shared" si="191"/>
        <v>360.39999999999964</v>
      </c>
      <c r="N159" s="1717">
        <f t="shared" si="191"/>
        <v>91.300000000000182</v>
      </c>
      <c r="O159" s="1717">
        <f t="shared" si="191"/>
        <v>729.49999999999989</v>
      </c>
      <c r="P159" s="1717">
        <f t="shared" si="191"/>
        <v>722.70495452101568</v>
      </c>
      <c r="Q159" s="1717">
        <f t="shared" ref="Q159:V159" si="192">Q350</f>
        <v>743.00856249733465</v>
      </c>
      <c r="R159" s="1717">
        <f t="shared" si="192"/>
        <v>760.20475967953223</v>
      </c>
      <c r="S159" s="1717">
        <f t="shared" si="192"/>
        <v>775.83799191024241</v>
      </c>
      <c r="T159" s="1717">
        <f t="shared" si="192"/>
        <v>791.91719779011805</v>
      </c>
      <c r="U159" s="1717">
        <f t="shared" si="192"/>
        <v>809.30481648492105</v>
      </c>
      <c r="V159" s="1717">
        <f t="shared" si="192"/>
        <v>827.26691273486972</v>
      </c>
      <c r="W159" s="1685"/>
      <c r="X159" s="1685"/>
      <c r="Y159" s="1685"/>
      <c r="Z159" s="1685"/>
      <c r="AA159" s="1685"/>
      <c r="AB159" s="1685"/>
      <c r="AC159" s="1685"/>
      <c r="AD159" s="1685"/>
    </row>
    <row r="160" spans="1:30" ht="15.75">
      <c r="A160" s="1685"/>
      <c r="B160" s="1692" t="s">
        <v>97</v>
      </c>
      <c r="C160" s="1695"/>
      <c r="D160" s="1695"/>
      <c r="E160" s="1695">
        <f>SUM(E156:E159)</f>
        <v>674</v>
      </c>
      <c r="F160" s="1695">
        <f>SUM(F156:F159)</f>
        <v>1095</v>
      </c>
      <c r="G160" s="1695">
        <f>SUM(G156:G159)</f>
        <v>1999.2965042174583</v>
      </c>
      <c r="H160" s="1695">
        <f>SUM(H156:H159)</f>
        <v>1509.2</v>
      </c>
      <c r="I160" s="1695">
        <f>SUM(I156:I159)</f>
        <v>1374.8000000000002</v>
      </c>
      <c r="J160" s="1695">
        <f t="shared" ref="J160:P160" si="193">SUM(J156:J159)</f>
        <v>1644.8</v>
      </c>
      <c r="K160" s="1695">
        <f t="shared" si="193"/>
        <v>3327.3999999999996</v>
      </c>
      <c r="L160" s="1695">
        <f t="shared" si="193"/>
        <v>1951.9</v>
      </c>
      <c r="M160" s="1695">
        <f t="shared" si="193"/>
        <v>2066.1999999999998</v>
      </c>
      <c r="N160" s="1695">
        <f t="shared" si="193"/>
        <v>2078.9</v>
      </c>
      <c r="O160" s="1695">
        <f t="shared" si="193"/>
        <v>2412.1999999999998</v>
      </c>
      <c r="P160" s="1695">
        <f t="shared" ca="1" si="193"/>
        <v>2249.3822536366183</v>
      </c>
      <c r="Q160" s="1695">
        <f t="shared" ref="Q160:V160" ca="1" si="194">SUM(Q156:Q159)</f>
        <v>2516.766895582894</v>
      </c>
      <c r="R160" s="1695">
        <f t="shared" ca="1" si="194"/>
        <v>2749.672496576788</v>
      </c>
      <c r="S160" s="1695">
        <f t="shared" ca="1" si="194"/>
        <v>2922.6156509643733</v>
      </c>
      <c r="T160" s="1695">
        <f t="shared" ca="1" si="194"/>
        <v>3083.4697397535147</v>
      </c>
      <c r="U160" s="1695">
        <f t="shared" ca="1" si="194"/>
        <v>3312.1372271094247</v>
      </c>
      <c r="V160" s="1695">
        <f t="shared" ca="1" si="194"/>
        <v>3560.081505897786</v>
      </c>
      <c r="W160" s="1685"/>
      <c r="X160" s="1685"/>
      <c r="Y160" s="1685"/>
      <c r="Z160" s="1685"/>
      <c r="AA160" s="1685"/>
      <c r="AB160" s="1685"/>
      <c r="AC160" s="1685"/>
      <c r="AD160" s="1685"/>
    </row>
    <row r="161" spans="1:30" ht="15.75">
      <c r="A161" s="1685"/>
      <c r="B161" s="1692"/>
      <c r="C161" s="1689"/>
      <c r="D161" s="1689"/>
      <c r="E161" s="1689"/>
      <c r="F161" s="1689"/>
      <c r="G161" s="1689"/>
      <c r="H161" s="1689"/>
      <c r="I161" s="1689"/>
      <c r="J161" s="1689"/>
      <c r="K161" s="1689"/>
      <c r="L161" s="1689"/>
      <c r="M161" s="1689"/>
      <c r="N161" s="1689"/>
      <c r="O161" s="1689"/>
      <c r="P161" s="1689"/>
      <c r="Q161" s="1689"/>
      <c r="R161" s="1689"/>
      <c r="S161" s="1689"/>
      <c r="T161" s="1689"/>
      <c r="U161" s="1689"/>
      <c r="V161" s="1689"/>
      <c r="W161" s="1685"/>
      <c r="X161" s="1685"/>
      <c r="Y161" s="1685"/>
      <c r="Z161" s="1685"/>
      <c r="AA161" s="1685"/>
      <c r="AB161" s="1685"/>
      <c r="AC161" s="1685"/>
      <c r="AD161" s="1685"/>
    </row>
    <row r="162" spans="1:30" ht="15.75">
      <c r="A162" s="1685"/>
      <c r="B162" s="1692" t="s">
        <v>98</v>
      </c>
      <c r="C162" s="1695"/>
      <c r="D162" s="1695"/>
      <c r="E162" s="1695">
        <f>E254</f>
        <v>1418</v>
      </c>
      <c r="F162" s="1695">
        <f>F254</f>
        <v>2523</v>
      </c>
      <c r="G162" s="1695">
        <f>G254</f>
        <v>3986.2712550607289</v>
      </c>
      <c r="H162" s="1695">
        <f>H254</f>
        <v>3860.9</v>
      </c>
      <c r="I162" s="1695">
        <f>I254</f>
        <v>4169.2</v>
      </c>
      <c r="J162" s="1695">
        <f t="shared" ref="J162:P162" si="195">J254</f>
        <v>4236.8999999999996</v>
      </c>
      <c r="K162" s="1695">
        <f t="shared" si="195"/>
        <v>4301.1000000000004</v>
      </c>
      <c r="L162" s="1695">
        <f t="shared" si="195"/>
        <v>4911.3999999999996</v>
      </c>
      <c r="M162" s="1695">
        <f t="shared" si="195"/>
        <v>4168.3999999999996</v>
      </c>
      <c r="N162" s="1695">
        <f t="shared" si="195"/>
        <v>4293.6000000000004</v>
      </c>
      <c r="O162" s="1695">
        <f t="shared" si="195"/>
        <v>4205.7</v>
      </c>
      <c r="P162" s="1695">
        <f t="shared" si="195"/>
        <v>3309.9191403703244</v>
      </c>
      <c r="Q162" s="1695">
        <f t="shared" ref="Q162:V162" si="196">Q254</f>
        <v>3201.0720339995132</v>
      </c>
      <c r="R162" s="1695">
        <f t="shared" si="196"/>
        <v>3158.7128030107579</v>
      </c>
      <c r="S162" s="1695">
        <f t="shared" si="196"/>
        <v>3145.3781055212912</v>
      </c>
      <c r="T162" s="1695">
        <f t="shared" si="196"/>
        <v>3189.8720634874317</v>
      </c>
      <c r="U162" s="1695">
        <f t="shared" si="196"/>
        <v>3240.165555412801</v>
      </c>
      <c r="V162" s="1695">
        <f t="shared" si="196"/>
        <v>3295.4701139003373</v>
      </c>
      <c r="W162" s="1685"/>
      <c r="X162" s="1685"/>
      <c r="Y162" s="1685"/>
      <c r="Z162" s="1685"/>
      <c r="AA162" s="1685"/>
      <c r="AB162" s="1685"/>
      <c r="AC162" s="1685"/>
      <c r="AD162" s="1685"/>
    </row>
    <row r="163" spans="1:30" ht="15.75">
      <c r="A163" s="1685"/>
      <c r="B163" s="1692" t="s">
        <v>99</v>
      </c>
      <c r="C163" s="1695"/>
      <c r="D163" s="1695"/>
      <c r="E163" s="1695">
        <f>E267</f>
        <v>526</v>
      </c>
      <c r="F163" s="1695">
        <f>F267</f>
        <v>2954</v>
      </c>
      <c r="G163" s="1695">
        <f>G267</f>
        <v>2869.1149425287358</v>
      </c>
      <c r="H163" s="1695">
        <f>H267</f>
        <v>1234.5</v>
      </c>
      <c r="I163" s="1695">
        <f>I267</f>
        <v>1316</v>
      </c>
      <c r="J163" s="1695">
        <f t="shared" ref="J163:P163" si="197">J267</f>
        <v>1165.7</v>
      </c>
      <c r="K163" s="1695">
        <f t="shared" si="197"/>
        <v>969.2</v>
      </c>
      <c r="L163" s="1695">
        <f t="shared" si="197"/>
        <v>858.9</v>
      </c>
      <c r="M163" s="1695">
        <f t="shared" si="197"/>
        <v>788.6</v>
      </c>
      <c r="N163" s="1695">
        <f t="shared" si="197"/>
        <v>688.1</v>
      </c>
      <c r="O163" s="1695">
        <f t="shared" si="197"/>
        <v>541.6</v>
      </c>
      <c r="P163" s="1695">
        <f t="shared" si="197"/>
        <v>526.03678160919537</v>
      </c>
      <c r="Q163" s="1695">
        <f t="shared" ref="Q163:V163" si="198">Q267</f>
        <v>510.92078213766678</v>
      </c>
      <c r="R163" s="1695">
        <f t="shared" si="198"/>
        <v>496.23915046704417</v>
      </c>
      <c r="S163" s="1695">
        <f t="shared" si="198"/>
        <v>481.9794047639682</v>
      </c>
      <c r="T163" s="1695">
        <f t="shared" si="198"/>
        <v>468.12942186845191</v>
      </c>
      <c r="U163" s="1695">
        <f t="shared" si="198"/>
        <v>454.67742698717461</v>
      </c>
      <c r="V163" s="1695">
        <f t="shared" si="198"/>
        <v>441.61198368294549</v>
      </c>
      <c r="W163" s="1685"/>
      <c r="X163" s="1685"/>
      <c r="Y163" s="1685"/>
      <c r="Z163" s="1685"/>
      <c r="AA163" s="1685"/>
      <c r="AB163" s="1685"/>
      <c r="AC163" s="1685"/>
      <c r="AD163" s="1685"/>
    </row>
    <row r="164" spans="1:30" ht="15.75">
      <c r="A164" s="1685"/>
      <c r="B164" s="1692" t="s">
        <v>100</v>
      </c>
      <c r="C164" s="1695"/>
      <c r="D164" s="1695"/>
      <c r="E164" s="1695">
        <f>E274</f>
        <v>0</v>
      </c>
      <c r="F164" s="1695">
        <f>F274</f>
        <v>0</v>
      </c>
      <c r="G164" s="1695">
        <f>G274</f>
        <v>0</v>
      </c>
      <c r="H164" s="1695">
        <f>H274</f>
        <v>6302.6</v>
      </c>
      <c r="I164" s="1695">
        <f>I274</f>
        <v>5673.6</v>
      </c>
      <c r="J164" s="1695">
        <f t="shared" ref="J164:P164" si="199">J274</f>
        <v>5133.3</v>
      </c>
      <c r="K164" s="1695">
        <f t="shared" si="199"/>
        <v>4906.3999999999996</v>
      </c>
      <c r="L164" s="1695">
        <f t="shared" si="199"/>
        <v>4885.6000000000004</v>
      </c>
      <c r="M164" s="1695">
        <f t="shared" si="199"/>
        <v>3948</v>
      </c>
      <c r="N164" s="1695">
        <f t="shared" si="199"/>
        <v>3421.3</v>
      </c>
      <c r="O164" s="1695">
        <f t="shared" si="199"/>
        <v>3483.4</v>
      </c>
      <c r="P164" s="1695">
        <f t="shared" si="199"/>
        <v>3483.4</v>
      </c>
      <c r="Q164" s="1695">
        <f t="shared" ref="Q164:V164" si="200">Q274</f>
        <v>3483.4</v>
      </c>
      <c r="R164" s="1695">
        <f t="shared" si="200"/>
        <v>3483.4</v>
      </c>
      <c r="S164" s="1695">
        <f t="shared" si="200"/>
        <v>3483.4</v>
      </c>
      <c r="T164" s="1695">
        <f t="shared" si="200"/>
        <v>3483.4</v>
      </c>
      <c r="U164" s="1695">
        <f t="shared" si="200"/>
        <v>3483.4</v>
      </c>
      <c r="V164" s="1695">
        <f t="shared" si="200"/>
        <v>3483.4</v>
      </c>
      <c r="W164" s="1685"/>
      <c r="X164" s="1685"/>
      <c r="Y164" s="1685"/>
      <c r="Z164" s="1685"/>
      <c r="AA164" s="1685"/>
      <c r="AB164" s="1685"/>
      <c r="AC164" s="1685"/>
      <c r="AD164" s="1685"/>
    </row>
    <row r="165" spans="1:30" ht="15.75">
      <c r="A165" s="1685"/>
      <c r="B165" s="1692" t="s">
        <v>101</v>
      </c>
      <c r="C165" s="1695"/>
      <c r="D165" s="1695"/>
      <c r="E165" s="1695">
        <f>E417</f>
        <v>246</v>
      </c>
      <c r="F165" s="1695">
        <f>F417</f>
        <v>74</v>
      </c>
      <c r="G165" s="1695">
        <f>G417</f>
        <v>74</v>
      </c>
      <c r="H165" s="1695">
        <f>H417</f>
        <v>95</v>
      </c>
      <c r="I165" s="1695">
        <f>I417</f>
        <v>0</v>
      </c>
      <c r="J165" s="1695">
        <f t="shared" ref="J165:P165" si="201">J417</f>
        <v>0</v>
      </c>
      <c r="K165" s="1695">
        <f t="shared" si="201"/>
        <v>0</v>
      </c>
      <c r="L165" s="1695">
        <f t="shared" si="201"/>
        <v>0</v>
      </c>
      <c r="M165" s="1695">
        <f t="shared" si="201"/>
        <v>0</v>
      </c>
      <c r="N165" s="1695">
        <f t="shared" si="201"/>
        <v>0</v>
      </c>
      <c r="O165" s="1695">
        <f t="shared" si="201"/>
        <v>0</v>
      </c>
      <c r="P165" s="1695">
        <f t="shared" si="201"/>
        <v>0</v>
      </c>
      <c r="Q165" s="1695">
        <f t="shared" ref="Q165:V165" si="202">Q417</f>
        <v>0</v>
      </c>
      <c r="R165" s="1695">
        <f t="shared" si="202"/>
        <v>0</v>
      </c>
      <c r="S165" s="1695">
        <f t="shared" si="202"/>
        <v>0</v>
      </c>
      <c r="T165" s="1695">
        <f t="shared" si="202"/>
        <v>0</v>
      </c>
      <c r="U165" s="1695">
        <f t="shared" si="202"/>
        <v>0</v>
      </c>
      <c r="V165" s="1695">
        <f t="shared" si="202"/>
        <v>0</v>
      </c>
      <c r="W165" s="1685"/>
      <c r="X165" s="1685"/>
      <c r="Y165" s="1685"/>
      <c r="Z165" s="1685"/>
      <c r="AA165" s="1685"/>
      <c r="AB165" s="1685"/>
      <c r="AC165" s="1685"/>
      <c r="AD165" s="1685"/>
    </row>
    <row r="166" spans="1:30" ht="15.75">
      <c r="A166" s="1685"/>
      <c r="B166" s="1692" t="s">
        <v>102</v>
      </c>
      <c r="C166" s="1695"/>
      <c r="D166" s="1695"/>
      <c r="E166" s="1695">
        <f>E320</f>
        <v>294</v>
      </c>
      <c r="F166" s="1695">
        <f>F320</f>
        <v>391</v>
      </c>
      <c r="G166" s="1695" t="e">
        <f ca="1">G320</f>
        <v>#DIV/0!</v>
      </c>
      <c r="H166" s="1695">
        <f>H320</f>
        <v>1185.4000000000001</v>
      </c>
      <c r="I166" s="1695">
        <f>I320</f>
        <v>1083.0999999999999</v>
      </c>
      <c r="J166" s="1695">
        <f t="shared" ref="J166:P166" si="203">J320</f>
        <v>1265.9000000000001</v>
      </c>
      <c r="K166" s="1695">
        <f t="shared" si="203"/>
        <v>1433.4</v>
      </c>
      <c r="L166" s="1695">
        <f t="shared" si="203"/>
        <v>2622.3</v>
      </c>
      <c r="M166" s="1695">
        <f t="shared" si="203"/>
        <v>4414.8</v>
      </c>
      <c r="N166" s="1695">
        <f t="shared" si="203"/>
        <v>3093.3</v>
      </c>
      <c r="O166" s="1695">
        <f t="shared" si="203"/>
        <v>2951.7</v>
      </c>
      <c r="P166" s="1695">
        <f t="shared" ca="1" si="203"/>
        <v>3243.6756921509259</v>
      </c>
      <c r="Q166" s="1695">
        <f t="shared" ref="Q166:V166" ca="1" si="204">Q320</f>
        <v>3267.7138342936528</v>
      </c>
      <c r="R166" s="1695">
        <f t="shared" ca="1" si="204"/>
        <v>3281.8002180221997</v>
      </c>
      <c r="S166" s="1695">
        <f t="shared" ca="1" si="204"/>
        <v>3278.1529748847811</v>
      </c>
      <c r="T166" s="1695">
        <f t="shared" ca="1" si="204"/>
        <v>3259.5641006667179</v>
      </c>
      <c r="U166" s="1695">
        <f t="shared" ca="1" si="204"/>
        <v>3232.7228533757516</v>
      </c>
      <c r="V166" s="1695">
        <f t="shared" ca="1" si="204"/>
        <v>3197.545272941757</v>
      </c>
      <c r="W166" s="1685"/>
      <c r="X166" s="1685"/>
      <c r="Y166" s="1685"/>
      <c r="Z166" s="1685"/>
      <c r="AA166" s="1685"/>
      <c r="AB166" s="1685"/>
      <c r="AC166" s="1685"/>
      <c r="AD166" s="1685"/>
    </row>
    <row r="167" spans="1:30" ht="15.75">
      <c r="A167" s="1685"/>
      <c r="B167" s="1692"/>
      <c r="C167" s="1689"/>
      <c r="D167" s="1689"/>
      <c r="E167" s="1689"/>
      <c r="F167" s="1689"/>
      <c r="G167" s="1689"/>
      <c r="H167" s="1689"/>
      <c r="I167" s="1689"/>
      <c r="J167" s="1689"/>
      <c r="K167" s="1689"/>
      <c r="L167" s="1689"/>
      <c r="M167" s="1689"/>
      <c r="N167" s="1689"/>
      <c r="O167" s="1689"/>
      <c r="P167" s="1689"/>
      <c r="Q167" s="1689"/>
      <c r="R167" s="1689"/>
      <c r="S167" s="1689"/>
      <c r="T167" s="1689"/>
      <c r="U167" s="1689"/>
      <c r="V167" s="1689"/>
      <c r="W167" s="1685"/>
      <c r="X167" s="1685"/>
      <c r="Y167" s="1685"/>
      <c r="Z167" s="1685"/>
      <c r="AA167" s="1685"/>
      <c r="AB167" s="1685"/>
      <c r="AC167" s="1685"/>
      <c r="AD167" s="1685"/>
    </row>
    <row r="168" spans="1:30" ht="15.75">
      <c r="A168" s="1685"/>
      <c r="B168" s="1689" t="s">
        <v>103</v>
      </c>
      <c r="C168" s="1691"/>
      <c r="D168" s="1691"/>
      <c r="E168" s="1691">
        <f>SUM(E160:E166)</f>
        <v>3158</v>
      </c>
      <c r="F168" s="1691">
        <f>SUM(F160:F166)</f>
        <v>7037</v>
      </c>
      <c r="G168" s="1691" t="e">
        <f ca="1">SUM(G160:G166)</f>
        <v>#DIV/0!</v>
      </c>
      <c r="H168" s="1691">
        <f>SUM(H160:H166)</f>
        <v>14187.6</v>
      </c>
      <c r="I168" s="1691">
        <f>SUM(I160:I166)</f>
        <v>13616.7</v>
      </c>
      <c r="J168" s="1691">
        <f t="shared" ref="J168:P168" si="205">SUM(J160:J166)</f>
        <v>13446.6</v>
      </c>
      <c r="K168" s="1691">
        <f t="shared" si="205"/>
        <v>14937.5</v>
      </c>
      <c r="L168" s="1691">
        <f t="shared" si="205"/>
        <v>15230.099999999999</v>
      </c>
      <c r="M168" s="1691">
        <f t="shared" si="205"/>
        <v>15386</v>
      </c>
      <c r="N168" s="1691">
        <f t="shared" si="205"/>
        <v>13575.2</v>
      </c>
      <c r="O168" s="1691">
        <f t="shared" si="205"/>
        <v>13594.599999999999</v>
      </c>
      <c r="P168" s="1691">
        <f t="shared" ca="1" si="205"/>
        <v>12812.413867767065</v>
      </c>
      <c r="Q168" s="1691">
        <f t="shared" ref="Q168:V168" ca="1" si="206">SUM(Q160:Q166)</f>
        <v>12979.873546013727</v>
      </c>
      <c r="R168" s="1691">
        <f t="shared" ca="1" si="206"/>
        <v>13169.82466807679</v>
      </c>
      <c r="S168" s="1691">
        <f t="shared" ca="1" si="206"/>
        <v>13311.526136134413</v>
      </c>
      <c r="T168" s="1691">
        <f t="shared" ca="1" si="206"/>
        <v>13484.435325776116</v>
      </c>
      <c r="U168" s="1691">
        <f t="shared" ca="1" si="206"/>
        <v>13723.103062885151</v>
      </c>
      <c r="V168" s="1691">
        <f t="shared" ca="1" si="206"/>
        <v>13978.108876422826</v>
      </c>
      <c r="W168" s="1685"/>
      <c r="X168" s="1685"/>
      <c r="Y168" s="1685"/>
      <c r="Z168" s="1685"/>
      <c r="AA168" s="1685"/>
      <c r="AB168" s="1685"/>
      <c r="AC168" s="1685"/>
      <c r="AD168" s="1685"/>
    </row>
    <row r="169" spans="1:30" ht="15.75">
      <c r="A169" s="1685"/>
      <c r="B169" s="1692"/>
      <c r="C169" s="1689"/>
      <c r="D169" s="1691"/>
      <c r="E169" s="1691"/>
      <c r="F169" s="1689"/>
      <c r="G169" s="1689"/>
      <c r="H169" s="1689"/>
      <c r="I169" s="1689"/>
      <c r="J169" s="1689"/>
      <c r="K169" s="1689"/>
      <c r="L169" s="1689"/>
      <c r="M169" s="1689"/>
      <c r="N169" s="1689"/>
      <c r="O169" s="1689"/>
      <c r="P169" s="1689"/>
      <c r="Q169" s="1689"/>
      <c r="R169" s="1689"/>
      <c r="S169" s="1689"/>
      <c r="T169" s="1689"/>
      <c r="U169" s="1689"/>
      <c r="V169" s="1689"/>
      <c r="W169" s="1685"/>
      <c r="X169" s="1685"/>
      <c r="Y169" s="1685"/>
      <c r="Z169" s="1685"/>
      <c r="AA169" s="1685"/>
      <c r="AB169" s="1685"/>
      <c r="AC169" s="1685"/>
      <c r="AD169" s="1685"/>
    </row>
    <row r="170" spans="1:30" ht="15.75">
      <c r="A170" s="1685"/>
      <c r="B170" s="1692" t="s">
        <v>104</v>
      </c>
      <c r="C170" s="1695"/>
      <c r="D170" s="1695"/>
      <c r="E170" s="1695">
        <f>E357</f>
        <v>558</v>
      </c>
      <c r="F170" s="1695">
        <f>F357</f>
        <v>237</v>
      </c>
      <c r="G170" s="1695">
        <f>G357</f>
        <v>359.15333333333331</v>
      </c>
      <c r="H170" s="1695">
        <f>H357</f>
        <v>977.8</v>
      </c>
      <c r="I170" s="1695">
        <f>I357</f>
        <v>1036.8000000000002</v>
      </c>
      <c r="J170" s="1695">
        <f t="shared" ref="J170:P170" si="207">J357</f>
        <v>1008.8000000000002</v>
      </c>
      <c r="K170" s="1695">
        <f t="shared" si="207"/>
        <v>1049.2</v>
      </c>
      <c r="L170" s="1695">
        <f t="shared" si="207"/>
        <v>1191.3999999999999</v>
      </c>
      <c r="M170" s="1695">
        <f t="shared" si="207"/>
        <v>1003.5</v>
      </c>
      <c r="N170" s="1695">
        <f t="shared" si="207"/>
        <v>1118.6000000000001</v>
      </c>
      <c r="O170" s="1695">
        <f t="shared" si="207"/>
        <v>1126.5</v>
      </c>
      <c r="P170" s="1695">
        <f t="shared" si="207"/>
        <v>1117.2701577586549</v>
      </c>
      <c r="Q170" s="1695">
        <f t="shared" ref="Q170:V170" si="208">Q357</f>
        <v>1171.6318179600282</v>
      </c>
      <c r="R170" s="1695">
        <f t="shared" si="208"/>
        <v>1222.252940043164</v>
      </c>
      <c r="S170" s="1695">
        <f t="shared" si="208"/>
        <v>1295.3644230742973</v>
      </c>
      <c r="T170" s="1695">
        <f t="shared" si="208"/>
        <v>1371.1815597892814</v>
      </c>
      <c r="U170" s="1695">
        <f t="shared" si="208"/>
        <v>1401.2877150659851</v>
      </c>
      <c r="V170" s="1695">
        <f t="shared" si="208"/>
        <v>1432.388561495156</v>
      </c>
      <c r="W170" s="1685"/>
      <c r="X170" s="1685"/>
      <c r="Y170" s="1685"/>
      <c r="Z170" s="1685"/>
      <c r="AA170" s="1685"/>
      <c r="AB170" s="1685"/>
      <c r="AC170" s="1685"/>
      <c r="AD170" s="1685"/>
    </row>
    <row r="171" spans="1:30" ht="15.75">
      <c r="A171" s="1685"/>
      <c r="B171" s="1692" t="s">
        <v>105</v>
      </c>
      <c r="C171" s="1695"/>
      <c r="D171" s="1695"/>
      <c r="E171" s="1695">
        <f t="shared" ref="E171:P171" si="209">E354</f>
        <v>612</v>
      </c>
      <c r="F171" s="1695">
        <f t="shared" si="209"/>
        <v>771</v>
      </c>
      <c r="G171" s="1695">
        <f t="shared" si="209"/>
        <v>897.88333333333321</v>
      </c>
      <c r="H171" s="1695">
        <f t="shared" si="209"/>
        <v>219.4</v>
      </c>
      <c r="I171" s="1695">
        <f t="shared" si="209"/>
        <v>286.8</v>
      </c>
      <c r="J171" s="1695">
        <f t="shared" si="209"/>
        <v>297.39999999999998</v>
      </c>
      <c r="K171" s="1695">
        <f t="shared" si="209"/>
        <v>346.6</v>
      </c>
      <c r="L171" s="1695">
        <f t="shared" si="209"/>
        <v>351.7</v>
      </c>
      <c r="M171" s="1695">
        <f t="shared" si="209"/>
        <v>398</v>
      </c>
      <c r="N171" s="1695">
        <f t="shared" si="209"/>
        <v>525.1</v>
      </c>
      <c r="O171" s="1695">
        <f t="shared" si="209"/>
        <v>424.2</v>
      </c>
      <c r="P171" s="1695">
        <f t="shared" si="209"/>
        <v>420.24872064128164</v>
      </c>
      <c r="Q171" s="1695">
        <f t="shared" ref="Q171:V171" si="210">Q354</f>
        <v>432.05515039255579</v>
      </c>
      <c r="R171" s="1695">
        <f t="shared" si="210"/>
        <v>442.05463887053827</v>
      </c>
      <c r="S171" s="1695">
        <f t="shared" si="210"/>
        <v>451.14527233492106</v>
      </c>
      <c r="T171" s="1695">
        <f t="shared" si="210"/>
        <v>460.4952368780921</v>
      </c>
      <c r="U171" s="1695">
        <f t="shared" si="210"/>
        <v>470.60603585045044</v>
      </c>
      <c r="V171" s="1695">
        <f t="shared" si="210"/>
        <v>481.05089017427258</v>
      </c>
      <c r="W171" s="1685"/>
      <c r="X171" s="1685"/>
      <c r="Y171" s="1685"/>
      <c r="Z171" s="1685"/>
      <c r="AA171" s="1685"/>
      <c r="AB171" s="1685"/>
      <c r="AC171" s="1685"/>
      <c r="AD171" s="1685"/>
    </row>
    <row r="172" spans="1:30" ht="15.75">
      <c r="A172" s="1685"/>
      <c r="B172" s="1692" t="s">
        <v>106</v>
      </c>
      <c r="C172" s="1717"/>
      <c r="D172" s="1717"/>
      <c r="E172" s="1717">
        <f t="shared" ref="E172:P172" si="211">E314</f>
        <v>58</v>
      </c>
      <c r="F172" s="1717">
        <f t="shared" si="211"/>
        <v>82</v>
      </c>
      <c r="G172" s="1717">
        <f t="shared" si="211"/>
        <v>82</v>
      </c>
      <c r="H172" s="1717">
        <f t="shared" si="211"/>
        <v>150.80000000000001</v>
      </c>
      <c r="I172" s="1717">
        <f t="shared" si="211"/>
        <v>263.3</v>
      </c>
      <c r="J172" s="1717">
        <f t="shared" si="211"/>
        <v>302.5</v>
      </c>
      <c r="K172" s="1717">
        <f t="shared" si="211"/>
        <v>180.2</v>
      </c>
      <c r="L172" s="1717">
        <f t="shared" si="211"/>
        <v>161.9</v>
      </c>
      <c r="M172" s="1717">
        <f t="shared" si="211"/>
        <v>113</v>
      </c>
      <c r="N172" s="1717">
        <f t="shared" si="211"/>
        <v>118.2</v>
      </c>
      <c r="O172" s="1717">
        <f t="shared" si="211"/>
        <v>581.9</v>
      </c>
      <c r="P172" s="1717">
        <f t="shared" si="211"/>
        <v>581.9</v>
      </c>
      <c r="Q172" s="1717">
        <f t="shared" ref="Q172:V172" si="212">Q314</f>
        <v>581.9</v>
      </c>
      <c r="R172" s="1717">
        <f t="shared" si="212"/>
        <v>581.9</v>
      </c>
      <c r="S172" s="1717">
        <f t="shared" si="212"/>
        <v>581.9</v>
      </c>
      <c r="T172" s="1717">
        <f t="shared" si="212"/>
        <v>581.9</v>
      </c>
      <c r="U172" s="1717">
        <f t="shared" si="212"/>
        <v>581.9</v>
      </c>
      <c r="V172" s="1717">
        <f t="shared" si="212"/>
        <v>581.9</v>
      </c>
      <c r="W172" s="1685"/>
      <c r="X172" s="1685"/>
      <c r="Y172" s="1685"/>
      <c r="Z172" s="1685"/>
      <c r="AA172" s="1685"/>
      <c r="AB172" s="1685"/>
      <c r="AC172" s="1685"/>
      <c r="AD172" s="1685"/>
    </row>
    <row r="173" spans="1:30" ht="15.75">
      <c r="A173" s="1685"/>
      <c r="B173" s="1692" t="s">
        <v>107</v>
      </c>
      <c r="C173" s="1695"/>
      <c r="D173" s="1695"/>
      <c r="E173" s="1695">
        <f>SUM(E170:E172)</f>
        <v>1228</v>
      </c>
      <c r="F173" s="1695">
        <f>SUM(F170:F172)</f>
        <v>1090</v>
      </c>
      <c r="G173" s="1695">
        <f>SUM(G170:G172)</f>
        <v>1339.0366666666664</v>
      </c>
      <c r="H173" s="1695">
        <f>SUM(H170:H172)</f>
        <v>1348</v>
      </c>
      <c r="I173" s="1695">
        <f>SUM(I170:I172)</f>
        <v>1586.9</v>
      </c>
      <c r="J173" s="1695">
        <f t="shared" ref="J173:P173" si="213">SUM(J170:J172)</f>
        <v>1608.7000000000003</v>
      </c>
      <c r="K173" s="1695">
        <f t="shared" si="213"/>
        <v>1576.0000000000002</v>
      </c>
      <c r="L173" s="1695">
        <f t="shared" si="213"/>
        <v>1705</v>
      </c>
      <c r="M173" s="1695">
        <f t="shared" si="213"/>
        <v>1514.5</v>
      </c>
      <c r="N173" s="1695">
        <f t="shared" si="213"/>
        <v>1761.9000000000003</v>
      </c>
      <c r="O173" s="1695">
        <f t="shared" si="213"/>
        <v>2132.6</v>
      </c>
      <c r="P173" s="1695">
        <f t="shared" si="213"/>
        <v>2119.4188783999366</v>
      </c>
      <c r="Q173" s="1695">
        <f t="shared" ref="Q173:V173" si="214">SUM(Q170:Q172)</f>
        <v>2185.5869683525839</v>
      </c>
      <c r="R173" s="1695">
        <f t="shared" si="214"/>
        <v>2246.2075789137025</v>
      </c>
      <c r="S173" s="1695">
        <f t="shared" si="214"/>
        <v>2328.4096954092183</v>
      </c>
      <c r="T173" s="1695">
        <f t="shared" si="214"/>
        <v>2413.5767966673734</v>
      </c>
      <c r="U173" s="1695">
        <f t="shared" si="214"/>
        <v>2453.7937509164358</v>
      </c>
      <c r="V173" s="1695">
        <f t="shared" si="214"/>
        <v>2495.3394516694284</v>
      </c>
      <c r="W173" s="1685"/>
      <c r="X173" s="1685"/>
      <c r="Y173" s="1685"/>
      <c r="Z173" s="1685"/>
      <c r="AA173" s="1685"/>
      <c r="AB173" s="1685"/>
      <c r="AC173" s="1685"/>
      <c r="AD173" s="1685"/>
    </row>
    <row r="174" spans="1:30" ht="15.75">
      <c r="A174" s="1685"/>
      <c r="B174" s="1692"/>
      <c r="C174" s="1689"/>
      <c r="D174" s="1689"/>
      <c r="E174" s="1689"/>
      <c r="F174" s="1689"/>
      <c r="G174" s="1689"/>
      <c r="H174" s="1689"/>
      <c r="I174" s="1689"/>
      <c r="J174" s="1689"/>
      <c r="K174" s="1689"/>
      <c r="L174" s="1689"/>
      <c r="M174" s="1689"/>
      <c r="N174" s="1689"/>
      <c r="O174" s="1689"/>
      <c r="P174" s="1689"/>
      <c r="Q174" s="1689"/>
      <c r="R174" s="1689"/>
      <c r="S174" s="1689"/>
      <c r="T174" s="1689"/>
      <c r="U174" s="1689"/>
      <c r="V174" s="1689"/>
      <c r="W174" s="1685"/>
      <c r="X174" s="1685"/>
      <c r="Y174" s="1685"/>
      <c r="Z174" s="1685"/>
      <c r="AA174" s="1685"/>
      <c r="AB174" s="1685"/>
      <c r="AC174" s="1685"/>
      <c r="AD174" s="1685"/>
    </row>
    <row r="175" spans="1:30" ht="15.75">
      <c r="A175" s="1685"/>
      <c r="B175" s="1692" t="s">
        <v>108</v>
      </c>
      <c r="C175" s="1695"/>
      <c r="D175" s="1695"/>
      <c r="E175" s="1695">
        <f>E315</f>
        <v>404</v>
      </c>
      <c r="F175" s="1695">
        <f>F315</f>
        <v>1646</v>
      </c>
      <c r="G175" s="1695">
        <f>G315</f>
        <v>4588.1100141043726</v>
      </c>
      <c r="H175" s="1695" t="e">
        <f>H315</f>
        <v>#REF!</v>
      </c>
      <c r="I175" s="1695">
        <f>I315</f>
        <v>6251.7</v>
      </c>
      <c r="J175" s="1695">
        <f t="shared" ref="J175:P175" si="215">J315</f>
        <v>6421.5</v>
      </c>
      <c r="K175" s="1695">
        <f t="shared" si="215"/>
        <v>8335.9</v>
      </c>
      <c r="L175" s="1695">
        <f t="shared" si="215"/>
        <v>8195</v>
      </c>
      <c r="M175" s="1695">
        <f t="shared" si="215"/>
        <v>9087.5</v>
      </c>
      <c r="N175" s="1695">
        <f t="shared" si="215"/>
        <v>7535.6</v>
      </c>
      <c r="O175" s="1695">
        <f t="shared" si="215"/>
        <v>7665.8000000000011</v>
      </c>
      <c r="P175" s="1695">
        <f t="shared" si="215"/>
        <v>7430.5000000000009</v>
      </c>
      <c r="Q175" s="1695">
        <f t="shared" ref="Q175:V175" si="216">Q315</f>
        <v>7459.5000000000009</v>
      </c>
      <c r="R175" s="1695">
        <f t="shared" si="216"/>
        <v>7494.5000000000009</v>
      </c>
      <c r="S175" s="1695">
        <f t="shared" si="216"/>
        <v>7494.5000000000009</v>
      </c>
      <c r="T175" s="1695">
        <f t="shared" si="216"/>
        <v>7494.5000000000009</v>
      </c>
      <c r="U175" s="1695">
        <f t="shared" si="216"/>
        <v>7494.5000000000009</v>
      </c>
      <c r="V175" s="1695">
        <f t="shared" si="216"/>
        <v>7494.5000000000009</v>
      </c>
      <c r="W175" s="1685"/>
      <c r="X175" s="1685"/>
      <c r="Y175" s="1685"/>
      <c r="Z175" s="1685"/>
      <c r="AA175" s="1685"/>
      <c r="AB175" s="1685"/>
      <c r="AC175" s="1685"/>
      <c r="AD175" s="1685"/>
    </row>
    <row r="176" spans="1:30" ht="15.75">
      <c r="A176" s="1685"/>
      <c r="B176" s="1692" t="s">
        <v>109</v>
      </c>
      <c r="C176" s="1695"/>
      <c r="D176" s="1695"/>
      <c r="E176" s="1695">
        <f>E364</f>
        <v>199</v>
      </c>
      <c r="F176" s="1695">
        <f>F364</f>
        <v>209</v>
      </c>
      <c r="G176" s="1695">
        <f>G364</f>
        <v>162</v>
      </c>
      <c r="H176" s="1695">
        <f>H364</f>
        <v>82</v>
      </c>
      <c r="I176" s="1695">
        <f>I364</f>
        <v>82</v>
      </c>
      <c r="J176" s="1695">
        <f t="shared" ref="J176:P176" si="217">J364</f>
        <v>82</v>
      </c>
      <c r="K176" s="1695">
        <f t="shared" si="217"/>
        <v>82</v>
      </c>
      <c r="L176" s="1695">
        <f t="shared" si="217"/>
        <v>82</v>
      </c>
      <c r="M176" s="1695">
        <f t="shared" si="217"/>
        <v>82</v>
      </c>
      <c r="N176" s="1695">
        <f t="shared" si="217"/>
        <v>82</v>
      </c>
      <c r="O176" s="1695">
        <f t="shared" si="217"/>
        <v>82</v>
      </c>
      <c r="P176" s="1695">
        <f t="shared" si="217"/>
        <v>82</v>
      </c>
      <c r="Q176" s="1695">
        <f t="shared" ref="Q176:V176" si="218">Q364</f>
        <v>82</v>
      </c>
      <c r="R176" s="1695">
        <f t="shared" si="218"/>
        <v>82</v>
      </c>
      <c r="S176" s="1695">
        <f t="shared" si="218"/>
        <v>82</v>
      </c>
      <c r="T176" s="1695">
        <f t="shared" si="218"/>
        <v>82</v>
      </c>
      <c r="U176" s="1695">
        <f t="shared" si="218"/>
        <v>82</v>
      </c>
      <c r="V176" s="1695">
        <f t="shared" si="218"/>
        <v>82</v>
      </c>
      <c r="W176" s="1685"/>
      <c r="X176" s="1685"/>
      <c r="Y176" s="1685"/>
      <c r="Z176" s="1685"/>
      <c r="AA176" s="1685"/>
      <c r="AB176" s="1685"/>
      <c r="AC176" s="1685"/>
      <c r="AD176" s="1685"/>
    </row>
    <row r="177" spans="1:30" ht="15.75">
      <c r="A177" s="1685"/>
      <c r="B177" s="1692" t="s">
        <v>110</v>
      </c>
      <c r="C177" s="1695"/>
      <c r="D177" s="1695"/>
      <c r="E177" s="1695">
        <f>E374+E371</f>
        <v>95</v>
      </c>
      <c r="F177" s="1695">
        <f>F374+F371</f>
        <v>1576</v>
      </c>
      <c r="G177" s="1695">
        <f>G374+G371</f>
        <v>1526</v>
      </c>
      <c r="H177" s="1695" t="e">
        <f>H374+H371</f>
        <v>#REF!</v>
      </c>
      <c r="I177" s="1695">
        <f>I374+I371</f>
        <v>1005.6999999999994</v>
      </c>
      <c r="J177" s="1695">
        <f t="shared" ref="J177:P177" si="219">J374+J371</f>
        <v>1211.0000000000005</v>
      </c>
      <c r="K177" s="1695">
        <f t="shared" si="219"/>
        <v>963.7000000000005</v>
      </c>
      <c r="L177" s="1695">
        <f t="shared" si="219"/>
        <v>1804.2999999999993</v>
      </c>
      <c r="M177" s="1695">
        <f t="shared" si="219"/>
        <v>1788.6000000000004</v>
      </c>
      <c r="N177" s="1695">
        <f t="shared" si="219"/>
        <v>1629.5999999999997</v>
      </c>
      <c r="O177" s="1695">
        <f t="shared" si="219"/>
        <v>1403.599999999999</v>
      </c>
      <c r="P177" s="1695">
        <f t="shared" si="219"/>
        <v>1328.599999999999</v>
      </c>
      <c r="Q177" s="1695">
        <f t="shared" ref="Q177:V177" si="220">Q374+Q371</f>
        <v>1248.599999999999</v>
      </c>
      <c r="R177" s="1695">
        <f t="shared" si="220"/>
        <v>1168.599999999999</v>
      </c>
      <c r="S177" s="1695">
        <f t="shared" si="220"/>
        <v>1088.599999999999</v>
      </c>
      <c r="T177" s="1695">
        <f t="shared" si="220"/>
        <v>1008.599999999999</v>
      </c>
      <c r="U177" s="1695">
        <f t="shared" si="220"/>
        <v>928.599999999999</v>
      </c>
      <c r="V177" s="1695">
        <f t="shared" si="220"/>
        <v>848.599999999999</v>
      </c>
      <c r="W177" s="1685"/>
      <c r="X177" s="1685"/>
      <c r="Y177" s="1685"/>
      <c r="Z177" s="1685"/>
      <c r="AA177" s="1685"/>
      <c r="AB177" s="1685"/>
      <c r="AC177" s="1685"/>
      <c r="AD177" s="1685"/>
    </row>
    <row r="178" spans="1:30" ht="15.75">
      <c r="A178" s="1685"/>
      <c r="B178" s="1692"/>
      <c r="C178" s="1689"/>
      <c r="D178" s="1689"/>
      <c r="E178" s="1689"/>
      <c r="F178" s="1689"/>
      <c r="G178" s="1689"/>
      <c r="H178" s="1689"/>
      <c r="I178" s="1689"/>
      <c r="J178" s="1689"/>
      <c r="K178" s="1689"/>
      <c r="L178" s="1689"/>
      <c r="M178" s="1689"/>
      <c r="N178" s="1689"/>
      <c r="O178" s="1689"/>
      <c r="P178" s="1689"/>
      <c r="Q178" s="1689"/>
      <c r="R178" s="1689"/>
      <c r="S178" s="1689"/>
      <c r="T178" s="1689"/>
      <c r="U178" s="1689"/>
      <c r="V178" s="1689"/>
      <c r="W178" s="1685"/>
      <c r="X178" s="1685"/>
      <c r="Y178" s="1685"/>
      <c r="Z178" s="1685"/>
      <c r="AA178" s="1685"/>
      <c r="AB178" s="1685"/>
      <c r="AC178" s="1685"/>
      <c r="AD178" s="1685"/>
    </row>
    <row r="179" spans="1:30" ht="15.75">
      <c r="A179" s="1685"/>
      <c r="B179" s="1692" t="s">
        <v>111</v>
      </c>
      <c r="C179" s="1695"/>
      <c r="D179" s="1695"/>
      <c r="E179" s="1695">
        <f>E429</f>
        <v>350</v>
      </c>
      <c r="F179" s="1695">
        <f>F429</f>
        <v>340</v>
      </c>
      <c r="G179" s="1695">
        <f>G429</f>
        <v>337.68</v>
      </c>
      <c r="H179" s="1695">
        <f>H429</f>
        <v>1480.8</v>
      </c>
      <c r="I179" s="1695">
        <f>I429</f>
        <v>1361</v>
      </c>
      <c r="J179" s="1695">
        <f t="shared" ref="J179:P179" si="221">J429</f>
        <v>1010.8</v>
      </c>
      <c r="K179" s="1695">
        <f t="shared" si="221"/>
        <v>870.1</v>
      </c>
      <c r="L179" s="1695">
        <f t="shared" si="221"/>
        <v>729</v>
      </c>
      <c r="M179" s="1695">
        <f t="shared" si="221"/>
        <v>677.4</v>
      </c>
      <c r="N179" s="1695">
        <f t="shared" si="221"/>
        <v>648.70000000000005</v>
      </c>
      <c r="O179" s="1695">
        <f t="shared" si="221"/>
        <v>546.20000000000005</v>
      </c>
      <c r="P179" s="1695">
        <f t="shared" ca="1" si="221"/>
        <v>589.0407691979832</v>
      </c>
      <c r="Q179" s="1695">
        <f t="shared" ref="Q179:V179" ca="1" si="222">Q429</f>
        <v>623.4931283637859</v>
      </c>
      <c r="R179" s="1695">
        <f t="shared" ca="1" si="222"/>
        <v>623.4931283637859</v>
      </c>
      <c r="S179" s="1695">
        <f t="shared" ca="1" si="222"/>
        <v>628.4931283637859</v>
      </c>
      <c r="T179" s="1695">
        <f t="shared" ca="1" si="222"/>
        <v>638.4931283637859</v>
      </c>
      <c r="U179" s="1695">
        <f t="shared" ca="1" si="222"/>
        <v>653.4931283637859</v>
      </c>
      <c r="V179" s="1695">
        <f t="shared" ca="1" si="222"/>
        <v>673.4931283637859</v>
      </c>
      <c r="W179" s="1685"/>
      <c r="X179" s="1685"/>
      <c r="Y179" s="1685"/>
      <c r="Z179" s="1685"/>
      <c r="AA179" s="1685"/>
      <c r="AB179" s="1685"/>
      <c r="AC179" s="1685"/>
      <c r="AD179" s="1685"/>
    </row>
    <row r="180" spans="1:30" ht="15.75">
      <c r="A180" s="1685"/>
      <c r="B180" s="1692" t="s">
        <v>112</v>
      </c>
      <c r="C180" s="1695"/>
      <c r="D180" s="1695"/>
      <c r="E180" s="1695">
        <f>E432</f>
        <v>489</v>
      </c>
      <c r="F180" s="1695">
        <f>F432</f>
        <v>1136</v>
      </c>
      <c r="G180" s="1695">
        <f>G432</f>
        <v>1136</v>
      </c>
      <c r="H180" s="1695">
        <f>H432</f>
        <v>4252.6000000000004</v>
      </c>
      <c r="I180" s="1695">
        <f>I432</f>
        <v>3330</v>
      </c>
      <c r="J180" s="1695">
        <f t="shared" ref="J180:P180" si="223">J432</f>
        <v>3112.6</v>
      </c>
      <c r="K180" s="1695">
        <f t="shared" si="223"/>
        <v>3109.8</v>
      </c>
      <c r="L180" s="1695">
        <f t="shared" si="223"/>
        <v>2714.7</v>
      </c>
      <c r="M180" s="1695">
        <f t="shared" si="223"/>
        <v>2236</v>
      </c>
      <c r="N180" s="1695">
        <f t="shared" si="223"/>
        <v>1917.4</v>
      </c>
      <c r="O180" s="1695">
        <f t="shared" si="223"/>
        <v>1763.5</v>
      </c>
      <c r="P180" s="1695">
        <f t="shared" ca="1" si="223"/>
        <v>988.05243163321586</v>
      </c>
      <c r="Q180" s="1695">
        <f t="shared" ref="Q180:V180" ca="1" si="224">Q432</f>
        <v>944.00005792794354</v>
      </c>
      <c r="R180" s="1695">
        <f t="shared" ca="1" si="224"/>
        <v>1007.7986359317879</v>
      </c>
      <c r="S180" s="1695">
        <f t="shared" ca="1" si="224"/>
        <v>1106.3834122645374</v>
      </c>
      <c r="T180" s="1695">
        <f t="shared" ca="1" si="224"/>
        <v>1232.8108277356719</v>
      </c>
      <c r="U180" s="1695">
        <f t="shared" ca="1" si="224"/>
        <v>1370.4025169954248</v>
      </c>
      <c r="V180" s="1695">
        <f t="shared" ca="1" si="224"/>
        <v>1518.8799699228921</v>
      </c>
      <c r="W180" s="1685"/>
      <c r="X180" s="1685"/>
      <c r="Y180" s="1685"/>
      <c r="Z180" s="1685"/>
      <c r="AA180" s="1685"/>
      <c r="AB180" s="1685"/>
      <c r="AC180" s="1685"/>
      <c r="AD180" s="1685"/>
    </row>
    <row r="181" spans="1:30" ht="15.75">
      <c r="A181" s="1685"/>
      <c r="B181" s="1692"/>
      <c r="C181" s="1689"/>
      <c r="D181" s="1689"/>
      <c r="E181" s="1689"/>
      <c r="F181" s="1689"/>
      <c r="G181" s="1689"/>
      <c r="H181" s="1689"/>
      <c r="I181" s="1689"/>
      <c r="J181" s="1689"/>
      <c r="K181" s="1689"/>
      <c r="L181" s="1689"/>
      <c r="M181" s="1689"/>
      <c r="N181" s="1689"/>
      <c r="O181" s="1689"/>
      <c r="P181" s="1689"/>
      <c r="Q181" s="1689"/>
      <c r="R181" s="1689"/>
      <c r="S181" s="1689"/>
      <c r="T181" s="1689"/>
      <c r="U181" s="1689"/>
      <c r="V181" s="1689"/>
      <c r="W181" s="1685"/>
      <c r="X181" s="1685"/>
      <c r="Y181" s="1685"/>
      <c r="Z181" s="1685"/>
      <c r="AA181" s="1685"/>
      <c r="AB181" s="1685"/>
      <c r="AC181" s="1685"/>
      <c r="AD181" s="1685"/>
    </row>
    <row r="182" spans="1:30" ht="15.75">
      <c r="A182" s="1685"/>
      <c r="B182" s="1689" t="s">
        <v>113</v>
      </c>
      <c r="C182" s="1691"/>
      <c r="D182" s="1691"/>
      <c r="E182" s="1691">
        <f>SUM(E173:E180)</f>
        <v>2765</v>
      </c>
      <c r="F182" s="1691">
        <f>SUM(F173:F180)</f>
        <v>5997</v>
      </c>
      <c r="G182" s="1691">
        <f>SUM(G173:G180)</f>
        <v>9088.8266807710388</v>
      </c>
      <c r="H182" s="1691" t="e">
        <f>SUM(H173:H180)</f>
        <v>#REF!</v>
      </c>
      <c r="I182" s="1691">
        <f>SUM(I173:I180)</f>
        <v>13617.3</v>
      </c>
      <c r="J182" s="1691">
        <f t="shared" ref="J182:P182" si="225">SUM(J173:J180)</f>
        <v>13446.6</v>
      </c>
      <c r="K182" s="1691">
        <f t="shared" si="225"/>
        <v>14937.5</v>
      </c>
      <c r="L182" s="1691">
        <f t="shared" si="225"/>
        <v>15230</v>
      </c>
      <c r="M182" s="1691">
        <f t="shared" si="225"/>
        <v>15386</v>
      </c>
      <c r="N182" s="1691">
        <f t="shared" si="225"/>
        <v>13575.2</v>
      </c>
      <c r="O182" s="1691">
        <f t="shared" si="225"/>
        <v>13593.7</v>
      </c>
      <c r="P182" s="1691">
        <f t="shared" ca="1" si="225"/>
        <v>12537.612079231136</v>
      </c>
      <c r="Q182" s="1691">
        <f t="shared" ref="Q182:V182" ca="1" si="226">SUM(Q173:Q180)</f>
        <v>12543.180154644313</v>
      </c>
      <c r="R182" s="1691">
        <f t="shared" ca="1" si="226"/>
        <v>12622.599343209275</v>
      </c>
      <c r="S182" s="1691">
        <f t="shared" ca="1" si="226"/>
        <v>12728.386236037541</v>
      </c>
      <c r="T182" s="1691">
        <f t="shared" ca="1" si="226"/>
        <v>12869.980752766829</v>
      </c>
      <c r="U182" s="1691">
        <f t="shared" ca="1" si="226"/>
        <v>12982.789396275646</v>
      </c>
      <c r="V182" s="1691">
        <f t="shared" ca="1" si="226"/>
        <v>13112.812549956107</v>
      </c>
      <c r="W182" s="1685"/>
      <c r="X182" s="1685"/>
      <c r="Y182" s="1685"/>
      <c r="Z182" s="1685"/>
      <c r="AA182" s="1685"/>
      <c r="AB182" s="1685"/>
      <c r="AC182" s="1685"/>
      <c r="AD182" s="1685"/>
    </row>
    <row r="183" spans="1:30" ht="15.75">
      <c r="A183" s="1685"/>
      <c r="B183" s="1692" t="s">
        <v>114</v>
      </c>
      <c r="C183" s="1695"/>
      <c r="D183" s="1695"/>
      <c r="E183" s="1695"/>
      <c r="F183" s="1695"/>
      <c r="G183" s="1695"/>
      <c r="H183" s="1695"/>
      <c r="I183" s="1695"/>
      <c r="J183" s="1695"/>
      <c r="K183" s="1695">
        <f t="shared" ref="K183:P183" si="227">K182-K168</f>
        <v>0</v>
      </c>
      <c r="L183" s="1695">
        <f t="shared" si="227"/>
        <v>-9.9999999998544808E-2</v>
      </c>
      <c r="M183" s="1695">
        <f t="shared" si="227"/>
        <v>0</v>
      </c>
      <c r="N183" s="1695">
        <f t="shared" si="227"/>
        <v>0</v>
      </c>
      <c r="O183" s="1695">
        <f t="shared" si="227"/>
        <v>-0.89999999999781721</v>
      </c>
      <c r="P183" s="1695">
        <f t="shared" ca="1" si="227"/>
        <v>-274.80178853592952</v>
      </c>
      <c r="Q183" s="1695">
        <f t="shared" ref="Q183:V183" ca="1" si="228">Q182-Q168</f>
        <v>-436.6933913694138</v>
      </c>
      <c r="R183" s="1695">
        <f t="shared" ca="1" si="228"/>
        <v>-547.22532486751516</v>
      </c>
      <c r="S183" s="1695">
        <f t="shared" ca="1" si="228"/>
        <v>-583.13990009687222</v>
      </c>
      <c r="T183" s="1695">
        <f t="shared" ca="1" si="228"/>
        <v>-614.45457300928683</v>
      </c>
      <c r="U183" s="1695">
        <f t="shared" ca="1" si="228"/>
        <v>-740.31366660950516</v>
      </c>
      <c r="V183" s="1695">
        <f t="shared" ca="1" si="228"/>
        <v>-865.29632646671962</v>
      </c>
      <c r="W183" s="1685"/>
      <c r="X183" s="1685"/>
      <c r="Y183" s="1685"/>
      <c r="Z183" s="1685"/>
      <c r="AA183" s="1685"/>
      <c r="AB183" s="1685"/>
      <c r="AC183" s="1685"/>
      <c r="AD183" s="1685"/>
    </row>
    <row r="184" spans="1:30" ht="15.75">
      <c r="A184" s="1685"/>
      <c r="B184" s="1692"/>
      <c r="C184" s="1698"/>
      <c r="D184" s="1698"/>
      <c r="E184" s="1698"/>
      <c r="F184" s="1698"/>
      <c r="G184" s="1698"/>
      <c r="H184" s="1698"/>
      <c r="I184" s="1698"/>
      <c r="J184" s="1695"/>
      <c r="K184" s="1695"/>
      <c r="L184" s="1695"/>
      <c r="M184" s="1695"/>
      <c r="N184" s="1695"/>
      <c r="O184" s="1695"/>
      <c r="P184" s="1695"/>
      <c r="Q184" s="1695"/>
      <c r="R184" s="1695"/>
      <c r="S184" s="1695"/>
      <c r="T184" s="1695"/>
      <c r="U184" s="1695"/>
      <c r="V184" s="1695"/>
      <c r="W184" s="1685"/>
      <c r="X184" s="1685"/>
      <c r="Y184" s="1685"/>
      <c r="Z184" s="1685"/>
      <c r="AA184" s="1685"/>
      <c r="AB184" s="1685"/>
      <c r="AC184" s="1685"/>
      <c r="AD184" s="1685"/>
    </row>
    <row r="185" spans="1:30" ht="15.75">
      <c r="A185" s="1685"/>
      <c r="B185" s="1689" t="s">
        <v>115</v>
      </c>
      <c r="C185" s="1691"/>
      <c r="D185" s="1691"/>
      <c r="E185" s="1691">
        <f>E240</f>
        <v>257</v>
      </c>
      <c r="F185" s="1691">
        <f>F240</f>
        <v>1326</v>
      </c>
      <c r="G185" s="1691" t="e">
        <f ca="1">G240</f>
        <v>#DIV/0!</v>
      </c>
      <c r="H185" s="1691">
        <f t="shared" ref="H185:P185" ca="1" si="229">H221</f>
        <v>5453.4999999999991</v>
      </c>
      <c r="I185" s="1691">
        <f t="shared" si="229"/>
        <v>5985.1</v>
      </c>
      <c r="J185" s="1691">
        <f t="shared" si="229"/>
        <v>6066</v>
      </c>
      <c r="K185" s="1691">
        <f>K221</f>
        <v>6060.1</v>
      </c>
      <c r="L185" s="1691">
        <f t="shared" si="229"/>
        <v>7781.4</v>
      </c>
      <c r="M185" s="1691">
        <f t="shared" si="229"/>
        <v>8078.2999999999993</v>
      </c>
      <c r="N185" s="1691">
        <f>N221</f>
        <v>7193.7000000000007</v>
      </c>
      <c r="O185" s="1691">
        <f t="shared" si="229"/>
        <v>7096.8000000000011</v>
      </c>
      <c r="P185" s="1691">
        <f t="shared" ca="1" si="229"/>
        <v>7165.431911709441</v>
      </c>
      <c r="Q185" s="1691">
        <f t="shared" ref="Q185:V185" ca="1" si="230">Q221</f>
        <v>6966.4465671603921</v>
      </c>
      <c r="R185" s="1691">
        <f t="shared" ca="1" si="230"/>
        <v>6801.9103105545983</v>
      </c>
      <c r="S185" s="1691">
        <f t="shared" ca="1" si="230"/>
        <v>6659.3035558185456</v>
      </c>
      <c r="T185" s="1691">
        <f t="shared" ca="1" si="230"/>
        <v>6529.6512817566863</v>
      </c>
      <c r="U185" s="1691">
        <f t="shared" ca="1" si="230"/>
        <v>6334.7245936116924</v>
      </c>
      <c r="V185" s="1691">
        <f t="shared" ca="1" si="230"/>
        <v>6121.6358918643555</v>
      </c>
      <c r="W185" s="1685"/>
      <c r="X185" s="1685"/>
      <c r="Y185" s="1685"/>
      <c r="Z185" s="1685"/>
      <c r="AA185" s="1685"/>
      <c r="AB185" s="1685"/>
      <c r="AC185" s="1685"/>
      <c r="AD185" s="1685"/>
    </row>
    <row r="186" spans="1:30" ht="15.75">
      <c r="A186" s="1685"/>
      <c r="B186" s="1692" t="s">
        <v>116</v>
      </c>
      <c r="C186" s="1695"/>
      <c r="D186" s="1695"/>
      <c r="E186" s="1695">
        <f t="shared" ref="E186:K186" si="231">E185-D185</f>
        <v>257</v>
      </c>
      <c r="F186" s="1695">
        <f t="shared" si="231"/>
        <v>1069</v>
      </c>
      <c r="G186" s="1695" t="e">
        <f t="shared" ca="1" si="231"/>
        <v>#DIV/0!</v>
      </c>
      <c r="H186" s="1695" t="e">
        <f t="shared" ca="1" si="231"/>
        <v>#DIV/0!</v>
      </c>
      <c r="I186" s="1695">
        <f t="shared" ca="1" si="231"/>
        <v>531.60000000000127</v>
      </c>
      <c r="J186" s="1695">
        <f t="shared" si="231"/>
        <v>80.899999999999636</v>
      </c>
      <c r="K186" s="1695">
        <f t="shared" si="231"/>
        <v>-5.8999999999996362</v>
      </c>
      <c r="L186" s="1695">
        <f t="shared" ref="L186:V186" si="232">L185-K185</f>
        <v>1721.2999999999993</v>
      </c>
      <c r="M186" s="1695">
        <f t="shared" si="232"/>
        <v>296.89999999999964</v>
      </c>
      <c r="N186" s="1695">
        <f t="shared" si="232"/>
        <v>-884.59999999999854</v>
      </c>
      <c r="O186" s="1695">
        <f t="shared" si="232"/>
        <v>-96.899999999999636</v>
      </c>
      <c r="P186" s="1695">
        <f t="shared" ca="1" si="232"/>
        <v>68.631911709439919</v>
      </c>
      <c r="Q186" s="1695">
        <f t="shared" ca="1" si="232"/>
        <v>-198.98534454904893</v>
      </c>
      <c r="R186" s="1695">
        <f t="shared" ca="1" si="232"/>
        <v>-164.53625660579382</v>
      </c>
      <c r="S186" s="1695">
        <f t="shared" ca="1" si="232"/>
        <v>-142.60675473605261</v>
      </c>
      <c r="T186" s="1695">
        <f t="shared" ca="1" si="232"/>
        <v>-129.65227406185932</v>
      </c>
      <c r="U186" s="1695">
        <f t="shared" ca="1" si="232"/>
        <v>-194.92668814499393</v>
      </c>
      <c r="V186" s="1695">
        <f t="shared" ca="1" si="232"/>
        <v>-213.08870174733693</v>
      </c>
      <c r="W186" s="1685"/>
      <c r="X186" s="1685"/>
      <c r="Y186" s="1685"/>
      <c r="Z186" s="1685"/>
      <c r="AA186" s="1685"/>
      <c r="AB186" s="1685"/>
      <c r="AC186" s="1685"/>
      <c r="AD186" s="1685"/>
    </row>
    <row r="187" spans="1:30" ht="15.75">
      <c r="A187" s="1685"/>
      <c r="B187" s="1692"/>
      <c r="C187" s="1695"/>
      <c r="D187" s="1695"/>
      <c r="E187" s="1695"/>
      <c r="F187" s="1695"/>
      <c r="G187" s="1695"/>
      <c r="H187" s="1695"/>
      <c r="I187" s="1695"/>
      <c r="J187" s="1695"/>
      <c r="K187" s="1695"/>
      <c r="L187" s="1685"/>
      <c r="M187" s="1685"/>
      <c r="N187" s="1685"/>
      <c r="O187" s="1685"/>
      <c r="P187" s="1685"/>
      <c r="Q187" s="1685"/>
      <c r="R187" s="1685"/>
      <c r="S187" s="1685"/>
      <c r="T187" s="1685"/>
      <c r="U187" s="1685"/>
      <c r="V187" s="1685"/>
      <c r="W187" s="1685"/>
      <c r="X187" s="1685"/>
      <c r="Y187" s="1685"/>
      <c r="Z187" s="1685"/>
      <c r="AA187" s="1685"/>
      <c r="AB187" s="1685"/>
      <c r="AC187" s="1685"/>
      <c r="AD187" s="1685"/>
    </row>
    <row r="188" spans="1:30" ht="15.75">
      <c r="A188" s="1685"/>
      <c r="B188" s="1687" t="s">
        <v>117</v>
      </c>
      <c r="C188" s="1688">
        <f>C154</f>
        <v>40908</v>
      </c>
      <c r="D188" s="1688">
        <f t="shared" ref="D188:P188" si="233">D154</f>
        <v>41274</v>
      </c>
      <c r="E188" s="1688">
        <f t="shared" si="233"/>
        <v>41639</v>
      </c>
      <c r="F188" s="1688">
        <f t="shared" si="233"/>
        <v>42004</v>
      </c>
      <c r="G188" s="1688">
        <f t="shared" si="233"/>
        <v>42369</v>
      </c>
      <c r="H188" s="1688">
        <f t="shared" si="233"/>
        <v>42735</v>
      </c>
      <c r="I188" s="1688">
        <f t="shared" si="233"/>
        <v>43100</v>
      </c>
      <c r="J188" s="1688">
        <f t="shared" si="233"/>
        <v>43465</v>
      </c>
      <c r="K188" s="1688">
        <f t="shared" si="233"/>
        <v>43830</v>
      </c>
      <c r="L188" s="1688">
        <f t="shared" si="233"/>
        <v>44196</v>
      </c>
      <c r="M188" s="1688">
        <f t="shared" si="233"/>
        <v>44561</v>
      </c>
      <c r="N188" s="1688">
        <f t="shared" si="233"/>
        <v>44926</v>
      </c>
      <c r="O188" s="1688">
        <f t="shared" si="233"/>
        <v>45291</v>
      </c>
      <c r="P188" s="1688">
        <f t="shared" si="233"/>
        <v>45657</v>
      </c>
      <c r="Q188" s="1688">
        <f t="shared" ref="Q188:V188" si="234">Q154</f>
        <v>46022</v>
      </c>
      <c r="R188" s="1688">
        <f t="shared" si="234"/>
        <v>46387</v>
      </c>
      <c r="S188" s="1688">
        <f t="shared" si="234"/>
        <v>46752</v>
      </c>
      <c r="T188" s="1688">
        <f t="shared" si="234"/>
        <v>47118</v>
      </c>
      <c r="U188" s="1688">
        <f t="shared" si="234"/>
        <v>47483</v>
      </c>
      <c r="V188" s="1688">
        <f t="shared" si="234"/>
        <v>47848</v>
      </c>
      <c r="W188" s="1685"/>
      <c r="X188" s="1685"/>
      <c r="Y188" s="1685"/>
      <c r="Z188" s="1685"/>
      <c r="AA188" s="1685"/>
      <c r="AB188" s="1685"/>
      <c r="AC188" s="1685"/>
      <c r="AD188" s="1685"/>
    </row>
    <row r="189" spans="1:30" ht="15.75">
      <c r="A189" s="1685"/>
      <c r="B189" s="1689"/>
      <c r="C189" s="1707"/>
      <c r="D189" s="1707"/>
      <c r="E189" s="1707"/>
      <c r="F189" s="1707"/>
      <c r="G189" s="1707"/>
      <c r="H189" s="1707"/>
      <c r="I189" s="1707"/>
      <c r="J189" s="1707"/>
      <c r="K189" s="1707"/>
      <c r="L189" s="1707"/>
      <c r="M189" s="1707"/>
      <c r="N189" s="1707"/>
      <c r="O189" s="1707"/>
      <c r="P189" s="1707"/>
      <c r="Q189" s="1707"/>
      <c r="R189" s="1707"/>
      <c r="S189" s="1707"/>
      <c r="T189" s="1707"/>
      <c r="U189" s="1707"/>
      <c r="V189" s="1707"/>
      <c r="W189" s="1685"/>
      <c r="X189" s="1685"/>
      <c r="Y189" s="1685"/>
      <c r="Z189" s="1685"/>
      <c r="AA189" s="1685"/>
      <c r="AB189" s="1685"/>
      <c r="AC189" s="1685"/>
      <c r="AD189" s="1685"/>
    </row>
    <row r="190" spans="1:30" ht="15.75">
      <c r="A190" s="1685"/>
      <c r="B190" s="1725" t="s">
        <v>653</v>
      </c>
      <c r="C190" s="1707"/>
      <c r="D190" s="1707"/>
      <c r="E190" s="1707"/>
      <c r="F190" s="1707"/>
      <c r="G190" s="1707"/>
      <c r="H190" s="1691">
        <f t="shared" ref="H190:Q190" si="235">H74</f>
        <v>1448.600076899188</v>
      </c>
      <c r="I190" s="1691">
        <f t="shared" si="235"/>
        <v>1367.1</v>
      </c>
      <c r="J190" s="1691">
        <f t="shared" si="235"/>
        <v>1412.5717613715995</v>
      </c>
      <c r="K190" s="1691">
        <f t="shared" si="235"/>
        <v>1506.5</v>
      </c>
      <c r="L190" s="1691">
        <f t="shared" si="235"/>
        <v>1485</v>
      </c>
      <c r="M190" s="1691">
        <f t="shared" si="235"/>
        <v>1818.4935611038109</v>
      </c>
      <c r="N190" s="1691">
        <f t="shared" si="235"/>
        <v>1718</v>
      </c>
      <c r="O190" s="1691">
        <f t="shared" si="235"/>
        <v>1701.6</v>
      </c>
      <c r="P190" s="1691">
        <f t="shared" si="235"/>
        <v>1579.0990335466222</v>
      </c>
      <c r="Q190" s="1691">
        <f t="shared" si="235"/>
        <v>1802.8296324342652</v>
      </c>
      <c r="R190" s="1691">
        <f>R74</f>
        <v>1887.8361378059224</v>
      </c>
      <c r="S190" s="1691">
        <f t="shared" ref="S190" si="236">S74</f>
        <v>1945.9434392102044</v>
      </c>
      <c r="T190" s="1691">
        <f t="shared" ref="T190:V190" si="237">T74</f>
        <v>2001.7655162215337</v>
      </c>
      <c r="U190" s="1691">
        <f t="shared" si="237"/>
        <v>2047.0473245054468</v>
      </c>
      <c r="V190" s="1691">
        <f t="shared" si="237"/>
        <v>2093.9095377424046</v>
      </c>
      <c r="W190" s="1685"/>
      <c r="X190" s="1685"/>
      <c r="Y190" s="1685"/>
      <c r="Z190" s="1685"/>
      <c r="AA190" s="1685"/>
      <c r="AB190" s="1685"/>
      <c r="AC190" s="1685"/>
      <c r="AD190" s="1685"/>
    </row>
    <row r="191" spans="1:30" ht="15.75">
      <c r="A191" s="1685"/>
      <c r="B191" s="1726" t="s">
        <v>2771</v>
      </c>
      <c r="C191" s="1707"/>
      <c r="D191" s="1707"/>
      <c r="E191" s="1707"/>
      <c r="F191" s="1707"/>
      <c r="G191" s="1707"/>
      <c r="H191" s="1695">
        <f t="shared" ref="H191:Q191" si="238">H12+H13</f>
        <v>620.40416569815295</v>
      </c>
      <c r="I191" s="1695">
        <f t="shared" si="238"/>
        <v>1501.3</v>
      </c>
      <c r="J191" s="1695">
        <f t="shared" si="238"/>
        <v>1471.3999999999999</v>
      </c>
      <c r="K191" s="1695">
        <f t="shared" si="238"/>
        <v>1130.1000000000001</v>
      </c>
      <c r="L191" s="1695">
        <f t="shared" si="238"/>
        <v>1295.5999999999999</v>
      </c>
      <c r="M191" s="1695">
        <f t="shared" si="238"/>
        <v>1629.7</v>
      </c>
      <c r="N191" s="1695">
        <f t="shared" si="238"/>
        <v>1530</v>
      </c>
      <c r="O191" s="1695">
        <f t="shared" si="238"/>
        <v>1095.2</v>
      </c>
      <c r="P191" s="1695">
        <f t="shared" si="238"/>
        <v>1531.0897892694097</v>
      </c>
      <c r="Q191" s="1695">
        <f t="shared" si="238"/>
        <v>773.41902612737158</v>
      </c>
      <c r="R191" s="1695">
        <f t="shared" ref="R191:S191" si="239">R12+R13</f>
        <v>748.0477681175762</v>
      </c>
      <c r="S191" s="1695">
        <f t="shared" si="239"/>
        <v>737.92137527135287</v>
      </c>
      <c r="T191" s="1695">
        <f t="shared" ref="T191:V191" si="240">T12+T13</f>
        <v>734.45663104673315</v>
      </c>
      <c r="U191" s="1695">
        <f t="shared" si="240"/>
        <v>744.25221621744129</v>
      </c>
      <c r="V191" s="1695">
        <f t="shared" si="240"/>
        <v>755.38791202189009</v>
      </c>
      <c r="W191" s="1685"/>
      <c r="X191" s="1685"/>
      <c r="Y191" s="1685"/>
      <c r="Z191" s="1685"/>
      <c r="AA191" s="1685"/>
      <c r="AB191" s="1685"/>
      <c r="AC191" s="1685"/>
      <c r="AD191" s="1685"/>
    </row>
    <row r="192" spans="1:30" ht="15.75">
      <c r="A192" s="1685"/>
      <c r="B192" s="1726" t="s">
        <v>2772</v>
      </c>
      <c r="C192" s="1707"/>
      <c r="D192" s="1707"/>
      <c r="E192" s="1707"/>
      <c r="F192" s="1707"/>
      <c r="G192" s="1707"/>
      <c r="H192" s="1690">
        <f t="shared" ref="H192:P192" si="241">H193/H190</f>
        <v>0</v>
      </c>
      <c r="I192" s="1690">
        <f t="shared" si="241"/>
        <v>-1.0386950479116377E-2</v>
      </c>
      <c r="J192" s="1690">
        <f t="shared" si="241"/>
        <v>2.4919087980224804E-2</v>
      </c>
      <c r="K192" s="1690">
        <f t="shared" si="241"/>
        <v>-3.8167938931297711E-2</v>
      </c>
      <c r="L192" s="1690">
        <f t="shared" si="241"/>
        <v>-6.5993265993265993E-2</v>
      </c>
      <c r="M192" s="1690">
        <f t="shared" si="241"/>
        <v>-6.4888874244006092E-2</v>
      </c>
      <c r="N192" s="1690">
        <f t="shared" si="241"/>
        <v>-5.471478463329453E-2</v>
      </c>
      <c r="O192" s="1690">
        <f t="shared" si="241"/>
        <v>-5.2303714151386932E-2</v>
      </c>
      <c r="P192" s="1690">
        <f t="shared" si="241"/>
        <v>-4.7495437845688264E-2</v>
      </c>
      <c r="Q192" s="1690">
        <f t="shared" ref="Q192:V192" si="242">Q193/Q190</f>
        <v>-4.4374686637461268E-2</v>
      </c>
      <c r="R192" s="1690">
        <f t="shared" si="242"/>
        <v>-4.2376559277532137E-2</v>
      </c>
      <c r="S192" s="1690">
        <f t="shared" si="242"/>
        <v>-4.1111164069840292E-2</v>
      </c>
      <c r="T192" s="1690">
        <f t="shared" si="242"/>
        <v>-3.9964720818552887E-2</v>
      </c>
      <c r="U192" s="1690">
        <f t="shared" si="242"/>
        <v>-3.9080679299550378E-2</v>
      </c>
      <c r="V192" s="1690">
        <f t="shared" si="242"/>
        <v>-3.820604403294986E-2</v>
      </c>
      <c r="W192" s="1685"/>
      <c r="X192" s="1685"/>
      <c r="Y192" s="1685"/>
      <c r="Z192" s="1685"/>
      <c r="AA192" s="1685"/>
      <c r="AB192" s="1685"/>
      <c r="AC192" s="1685"/>
      <c r="AD192" s="1685"/>
    </row>
    <row r="193" spans="1:30" ht="15.75">
      <c r="A193" s="1685"/>
      <c r="B193" s="1726" t="s">
        <v>2773</v>
      </c>
      <c r="C193" s="1707"/>
      <c r="D193" s="1707"/>
      <c r="E193" s="1707"/>
      <c r="F193" s="1707"/>
      <c r="G193" s="1707"/>
      <c r="H193" s="1691">
        <f t="shared" ref="H193:Q193" si="243">H14</f>
        <v>0</v>
      </c>
      <c r="I193" s="1691">
        <f t="shared" si="243"/>
        <v>-14.2</v>
      </c>
      <c r="J193" s="1691">
        <f t="shared" si="243"/>
        <v>35.200000000000003</v>
      </c>
      <c r="K193" s="1691">
        <f t="shared" si="243"/>
        <v>-57.5</v>
      </c>
      <c r="L193" s="1691">
        <f t="shared" si="243"/>
        <v>-98</v>
      </c>
      <c r="M193" s="1691">
        <f t="shared" si="243"/>
        <v>-118</v>
      </c>
      <c r="N193" s="1691">
        <f t="shared" si="243"/>
        <v>-94</v>
      </c>
      <c r="O193" s="1691">
        <f t="shared" si="243"/>
        <v>-89</v>
      </c>
      <c r="P193" s="1691">
        <f t="shared" si="243"/>
        <v>-75</v>
      </c>
      <c r="Q193" s="1691">
        <f t="shared" si="243"/>
        <v>-80</v>
      </c>
      <c r="R193" s="1691">
        <f t="shared" ref="R193:S193" si="244">R14</f>
        <v>-80</v>
      </c>
      <c r="S193" s="1691">
        <f t="shared" si="244"/>
        <v>-80</v>
      </c>
      <c r="T193" s="1691">
        <f t="shared" ref="T193:V193" si="245">T14</f>
        <v>-80</v>
      </c>
      <c r="U193" s="1691">
        <f t="shared" si="245"/>
        <v>-80</v>
      </c>
      <c r="V193" s="1691">
        <f t="shared" si="245"/>
        <v>-80</v>
      </c>
      <c r="W193" s="1685"/>
      <c r="X193" s="1685"/>
      <c r="Y193" s="1685"/>
      <c r="Z193" s="1685"/>
      <c r="AA193" s="1685"/>
      <c r="AB193" s="1685"/>
      <c r="AC193" s="1685"/>
      <c r="AD193" s="1685"/>
    </row>
    <row r="194" spans="1:30" ht="15.75">
      <c r="A194" s="1685"/>
      <c r="B194" s="1725" t="s">
        <v>668</v>
      </c>
      <c r="C194" s="1707"/>
      <c r="D194" s="1707"/>
      <c r="E194" s="1707"/>
      <c r="F194" s="1707"/>
      <c r="G194" s="1707"/>
      <c r="H194" s="1691">
        <f>H190-H191+H193</f>
        <v>828.19591120103507</v>
      </c>
      <c r="I194" s="1691">
        <f t="shared" ref="I194:P194" si="246">I190-I191+I193</f>
        <v>-148.40000000000003</v>
      </c>
      <c r="J194" s="1691">
        <f t="shared" si="246"/>
        <v>-23.62823862840041</v>
      </c>
      <c r="K194" s="1691">
        <f t="shared" si="246"/>
        <v>318.89999999999986</v>
      </c>
      <c r="L194" s="1691">
        <f t="shared" si="246"/>
        <v>91.400000000000091</v>
      </c>
      <c r="M194" s="1691">
        <f t="shared" si="246"/>
        <v>70.793561103810816</v>
      </c>
      <c r="N194" s="1691">
        <f t="shared" si="246"/>
        <v>94</v>
      </c>
      <c r="O194" s="1691">
        <f t="shared" si="246"/>
        <v>517.39999999999986</v>
      </c>
      <c r="P194" s="1691">
        <f t="shared" si="246"/>
        <v>-26.990755722787526</v>
      </c>
      <c r="Q194" s="1691">
        <f t="shared" ref="Q194:V194" si="247">Q190-Q191+Q193</f>
        <v>949.41060630689367</v>
      </c>
      <c r="R194" s="1691">
        <f t="shared" si="247"/>
        <v>1059.7883696883462</v>
      </c>
      <c r="S194" s="1691">
        <f t="shared" si="247"/>
        <v>1128.0220639388515</v>
      </c>
      <c r="T194" s="1691">
        <f t="shared" si="247"/>
        <v>1187.3088851748007</v>
      </c>
      <c r="U194" s="1691">
        <f t="shared" si="247"/>
        <v>1222.7951082880054</v>
      </c>
      <c r="V194" s="1691">
        <f t="shared" si="247"/>
        <v>1258.5216257205145</v>
      </c>
      <c r="W194" s="1685"/>
      <c r="X194" s="1685"/>
      <c r="Y194" s="1685"/>
      <c r="Z194" s="1685"/>
      <c r="AA194" s="1685"/>
      <c r="AB194" s="1685"/>
      <c r="AC194" s="1685"/>
      <c r="AD194" s="1685"/>
    </row>
    <row r="195" spans="1:30" ht="15.75">
      <c r="A195" s="1685"/>
      <c r="B195" s="1726"/>
      <c r="C195" s="1707"/>
      <c r="D195" s="1707"/>
      <c r="E195" s="1707"/>
      <c r="F195" s="1707"/>
      <c r="G195" s="1707"/>
      <c r="H195" s="1707"/>
      <c r="I195" s="1707"/>
      <c r="J195" s="1707"/>
      <c r="K195" s="1707"/>
      <c r="L195" s="1707"/>
      <c r="M195" s="1707"/>
      <c r="N195" s="1707"/>
      <c r="O195" s="1707"/>
      <c r="P195" s="1707"/>
      <c r="Q195" s="1707"/>
      <c r="R195" s="1707"/>
      <c r="S195" s="1707"/>
      <c r="T195" s="1707"/>
      <c r="U195" s="1707"/>
      <c r="V195" s="1707"/>
      <c r="W195" s="1685"/>
      <c r="X195" s="1685"/>
      <c r="Y195" s="1685"/>
      <c r="Z195" s="1685"/>
      <c r="AA195" s="1685"/>
      <c r="AB195" s="1685"/>
      <c r="AC195" s="1685"/>
      <c r="AD195" s="1685"/>
    </row>
    <row r="196" spans="1:30" ht="15.75">
      <c r="A196" s="1685"/>
      <c r="B196" s="1725" t="s">
        <v>653</v>
      </c>
      <c r="C196" s="1707"/>
      <c r="D196" s="1707"/>
      <c r="E196" s="1707"/>
      <c r="F196" s="1707"/>
      <c r="G196" s="1707"/>
      <c r="H196" s="1691">
        <f t="shared" ref="H196:P196" si="248">H190</f>
        <v>1448.600076899188</v>
      </c>
      <c r="I196" s="1691">
        <f t="shared" si="248"/>
        <v>1367.1</v>
      </c>
      <c r="J196" s="1691">
        <f t="shared" si="248"/>
        <v>1412.5717613715995</v>
      </c>
      <c r="K196" s="1691">
        <f t="shared" si="248"/>
        <v>1506.5</v>
      </c>
      <c r="L196" s="1691">
        <f t="shared" si="248"/>
        <v>1485</v>
      </c>
      <c r="M196" s="1691">
        <f t="shared" si="248"/>
        <v>1818.4935611038109</v>
      </c>
      <c r="N196" s="1691">
        <f t="shared" si="248"/>
        <v>1718</v>
      </c>
      <c r="O196" s="1691">
        <f t="shared" si="248"/>
        <v>1701.6</v>
      </c>
      <c r="P196" s="1691">
        <f t="shared" si="248"/>
        <v>1579.0990335466222</v>
      </c>
      <c r="Q196" s="1691">
        <f t="shared" ref="Q196:V196" si="249">Q190</f>
        <v>1802.8296324342652</v>
      </c>
      <c r="R196" s="1691">
        <f t="shared" si="249"/>
        <v>1887.8361378059224</v>
      </c>
      <c r="S196" s="1691">
        <f t="shared" si="249"/>
        <v>1945.9434392102044</v>
      </c>
      <c r="T196" s="1691">
        <f t="shared" si="249"/>
        <v>2001.7655162215337</v>
      </c>
      <c r="U196" s="1691">
        <f t="shared" si="249"/>
        <v>2047.0473245054468</v>
      </c>
      <c r="V196" s="1691">
        <f t="shared" si="249"/>
        <v>2093.9095377424046</v>
      </c>
      <c r="W196" s="1685"/>
      <c r="X196" s="1685"/>
      <c r="Y196" s="1685"/>
      <c r="Z196" s="1685"/>
      <c r="AA196" s="1685"/>
      <c r="AB196" s="1685"/>
      <c r="AC196" s="1685"/>
      <c r="AD196" s="1685"/>
    </row>
    <row r="197" spans="1:30" ht="15.75">
      <c r="A197" s="1685"/>
      <c r="B197" s="1726" t="s">
        <v>2780</v>
      </c>
      <c r="C197" s="1707"/>
      <c r="D197" s="1707"/>
      <c r="E197" s="1707"/>
      <c r="F197" s="1707"/>
      <c r="G197" s="1707"/>
      <c r="H197" s="1695"/>
      <c r="I197" s="1695"/>
      <c r="J197" s="1695"/>
      <c r="K197" s="1695"/>
      <c r="L197" s="1695"/>
      <c r="M197" s="1695"/>
      <c r="N197" s="1695"/>
      <c r="O197" s="1695"/>
      <c r="P197" s="1695"/>
      <c r="Q197" s="1695"/>
      <c r="R197" s="1695"/>
      <c r="S197" s="1695"/>
      <c r="T197" s="1695"/>
      <c r="U197" s="1695"/>
      <c r="V197" s="1695"/>
      <c r="W197" s="1685"/>
      <c r="X197" s="1685"/>
      <c r="Y197" s="1685"/>
      <c r="Z197" s="1685"/>
      <c r="AA197" s="1685"/>
      <c r="AB197" s="1685"/>
      <c r="AC197" s="1685"/>
      <c r="AD197" s="1685"/>
    </row>
    <row r="198" spans="1:30" ht="15.75">
      <c r="A198" s="1685"/>
      <c r="B198" s="1726" t="s">
        <v>679</v>
      </c>
      <c r="C198" s="1707"/>
      <c r="D198" s="1707"/>
      <c r="E198" s="1707"/>
      <c r="F198" s="1707"/>
      <c r="G198" s="1707"/>
      <c r="H198" s="1695"/>
      <c r="I198" s="1695">
        <f t="shared" ref="I198:Q198" si="250">-I306</f>
        <v>-393.1</v>
      </c>
      <c r="J198" s="1695">
        <f t="shared" si="250"/>
        <v>-418.2</v>
      </c>
      <c r="K198" s="1695">
        <f t="shared" si="250"/>
        <v>-444.9</v>
      </c>
      <c r="L198" s="1695">
        <f t="shared" si="250"/>
        <v>-484</v>
      </c>
      <c r="M198" s="1695">
        <f t="shared" si="250"/>
        <v>-463</v>
      </c>
      <c r="N198" s="1695">
        <f t="shared" si="250"/>
        <v>-506.4</v>
      </c>
      <c r="O198" s="1695">
        <f t="shared" si="250"/>
        <v>-521.4</v>
      </c>
      <c r="P198" s="1695">
        <f ca="1">-P306</f>
        <v>-619.35390955854734</v>
      </c>
      <c r="Q198" s="1695">
        <f t="shared" ca="1" si="250"/>
        <v>-653.82239239434932</v>
      </c>
      <c r="R198" s="1695">
        <f t="shared" ref="R198:S198" ca="1" si="251">-R306</f>
        <v>-711.84928438857503</v>
      </c>
      <c r="S198" s="1695">
        <f t="shared" ca="1" si="251"/>
        <v>-710.13856933186582</v>
      </c>
      <c r="T198" s="1695">
        <f t="shared" ref="T198:V198" ca="1" si="252">-T306</f>
        <v>-708.77727418787708</v>
      </c>
      <c r="U198" s="1695">
        <f t="shared" ca="1" si="252"/>
        <v>-707.15437937684771</v>
      </c>
      <c r="V198" s="1695">
        <f t="shared" ca="1" si="252"/>
        <v>-705.114302427398</v>
      </c>
      <c r="W198" s="1685"/>
      <c r="X198" s="1685"/>
      <c r="Y198" s="1685"/>
      <c r="Z198" s="1685"/>
      <c r="AA198" s="1685"/>
      <c r="AB198" s="1685"/>
      <c r="AC198" s="1685"/>
      <c r="AD198" s="1685"/>
    </row>
    <row r="199" spans="1:30" ht="15.75">
      <c r="A199" s="1685"/>
      <c r="B199" s="1726" t="s">
        <v>744</v>
      </c>
      <c r="C199" s="1707"/>
      <c r="D199" s="1707"/>
      <c r="E199" s="1707"/>
      <c r="F199" s="1707"/>
      <c r="G199" s="1707"/>
      <c r="H199" s="1695"/>
      <c r="I199" s="1695">
        <f t="shared" ref="I199:P199" si="253">-I409</f>
        <v>-110.9</v>
      </c>
      <c r="J199" s="1695">
        <f t="shared" si="253"/>
        <v>-145.6</v>
      </c>
      <c r="K199" s="1695">
        <f>-K409</f>
        <v>-130.1</v>
      </c>
      <c r="L199" s="1695">
        <f t="shared" si="253"/>
        <v>-81.599999999999994</v>
      </c>
      <c r="M199" s="1695">
        <f t="shared" si="253"/>
        <v>-44.3</v>
      </c>
      <c r="N199" s="1695">
        <f t="shared" si="253"/>
        <v>-115.6</v>
      </c>
      <c r="O199" s="1695">
        <f t="shared" si="253"/>
        <v>-79.8</v>
      </c>
      <c r="P199" s="1695">
        <f t="shared" si="253"/>
        <v>-284.23782603839197</v>
      </c>
      <c r="Q199" s="1695">
        <f t="shared" ref="Q199:V199" si="254">-Q409</f>
        <v>-144.22637059474121</v>
      </c>
      <c r="R199" s="1695">
        <f t="shared" si="254"/>
        <v>-151.0268910244738</v>
      </c>
      <c r="S199" s="1695">
        <f t="shared" si="254"/>
        <v>-155.67547513681635</v>
      </c>
      <c r="T199" s="1695">
        <f t="shared" si="254"/>
        <v>-160.1412412977227</v>
      </c>
      <c r="U199" s="1695">
        <f t="shared" si="254"/>
        <v>-163.76378596043574</v>
      </c>
      <c r="V199" s="1695">
        <f t="shared" si="254"/>
        <v>-167.51276301939237</v>
      </c>
      <c r="W199" s="1685"/>
      <c r="X199" s="1685"/>
      <c r="Y199" s="1685"/>
      <c r="Z199" s="1685"/>
      <c r="AA199" s="1685"/>
      <c r="AB199" s="1685"/>
      <c r="AC199" s="1685"/>
      <c r="AD199" s="1685"/>
    </row>
    <row r="200" spans="1:30" ht="15.75">
      <c r="A200" s="1685"/>
      <c r="B200" s="1726" t="s">
        <v>3447</v>
      </c>
      <c r="C200" s="1707"/>
      <c r="D200" s="1707"/>
      <c r="E200" s="1707"/>
      <c r="F200" s="1707"/>
      <c r="G200" s="1707"/>
      <c r="H200" s="1695"/>
      <c r="I200" s="1695">
        <f>-Master!I361</f>
        <v>-238.10000000000028</v>
      </c>
      <c r="J200" s="1695">
        <f>J201-SUM(J196:J199)</f>
        <v>-31.971761371599428</v>
      </c>
      <c r="K200" s="1695">
        <f>K201-SUM(K196:K199)</f>
        <v>-13.299999999999841</v>
      </c>
      <c r="L200" s="1695">
        <f>(L201-L196)-L198-L199</f>
        <v>-279.29999999999995</v>
      </c>
      <c r="M200" s="1695">
        <f>(M201-M196)-M198-M199</f>
        <v>-294.9935611038108</v>
      </c>
      <c r="N200" s="1695">
        <f>(N201-N196)-N198-N199</f>
        <v>-227.79999999999998</v>
      </c>
      <c r="O200" s="1695">
        <f>(O201-O196)-O198-O199</f>
        <v>-203.39999999999992</v>
      </c>
      <c r="P200" s="1695">
        <f>-Master!P361</f>
        <v>-4.7130538775945752E-3</v>
      </c>
      <c r="Q200" s="1695">
        <f>-Master!Q361</f>
        <v>-26.768792555420475</v>
      </c>
      <c r="R200" s="1695">
        <f>-Master!R361</f>
        <v>-27.25126617301828</v>
      </c>
      <c r="S200" s="1695">
        <f>-Master!S361</f>
        <v>-51.865716843983137</v>
      </c>
      <c r="T200" s="1695">
        <f>-Master!T361</f>
        <v>-53.965286530873527</v>
      </c>
      <c r="U200" s="1695">
        <f>-Master!U361</f>
        <v>-6.476155038146203</v>
      </c>
      <c r="V200" s="1695">
        <f>-Master!V361</f>
        <v>-6.6901237119684538</v>
      </c>
      <c r="W200" s="1685"/>
      <c r="X200" s="1685"/>
      <c r="Y200" s="1685"/>
      <c r="Z200" s="1685"/>
      <c r="AA200" s="1685"/>
      <c r="AB200" s="1685"/>
      <c r="AC200" s="1685"/>
      <c r="AD200" s="1685"/>
    </row>
    <row r="201" spans="1:30" ht="15.75">
      <c r="A201" s="1685"/>
      <c r="B201" s="1725" t="s">
        <v>2774</v>
      </c>
      <c r="C201" s="1707"/>
      <c r="D201" s="1707"/>
      <c r="E201" s="1707"/>
      <c r="F201" s="1707"/>
      <c r="G201" s="1707"/>
      <c r="H201" s="1691"/>
      <c r="I201" s="1727">
        <v>573.9</v>
      </c>
      <c r="J201" s="1727">
        <v>816.8</v>
      </c>
      <c r="K201" s="1727">
        <v>918.2</v>
      </c>
      <c r="L201" s="1727">
        <v>640.1</v>
      </c>
      <c r="M201" s="1727">
        <v>1016.2</v>
      </c>
      <c r="N201" s="1727">
        <v>868.2</v>
      </c>
      <c r="O201" s="1727">
        <v>897</v>
      </c>
      <c r="P201" s="1691">
        <f t="shared" ref="P201:V201" ca="1" si="255">SUM(P196:P200)</f>
        <v>675.50258489580528</v>
      </c>
      <c r="Q201" s="1691">
        <f t="shared" ca="1" si="255"/>
        <v>978.0120768897541</v>
      </c>
      <c r="R201" s="1691">
        <f t="shared" ca="1" si="255"/>
        <v>997.70869621985537</v>
      </c>
      <c r="S201" s="1691">
        <f t="shared" ca="1" si="255"/>
        <v>1028.2636778975391</v>
      </c>
      <c r="T201" s="1691">
        <f t="shared" ca="1" si="255"/>
        <v>1078.8817142050605</v>
      </c>
      <c r="U201" s="1691">
        <f t="shared" ca="1" si="255"/>
        <v>1169.6530041300171</v>
      </c>
      <c r="V201" s="1691">
        <f t="shared" ca="1" si="255"/>
        <v>1214.5923485836458</v>
      </c>
      <c r="W201" s="1685"/>
      <c r="X201" s="1685"/>
      <c r="Y201" s="1685"/>
      <c r="Z201" s="1685"/>
      <c r="AA201" s="1685"/>
      <c r="AB201" s="1685"/>
      <c r="AC201" s="1685"/>
      <c r="AD201" s="1685"/>
    </row>
    <row r="202" spans="1:30" ht="15.75">
      <c r="A202" s="1685"/>
      <c r="B202" s="1726"/>
      <c r="C202" s="1707"/>
      <c r="D202" s="1707"/>
      <c r="E202" s="1707"/>
      <c r="F202" s="1707"/>
      <c r="G202" s="1707"/>
      <c r="H202" s="1707"/>
      <c r="I202" s="1707"/>
      <c r="J202" s="1707"/>
      <c r="K202" s="1707"/>
      <c r="L202" s="1707"/>
      <c r="M202" s="1707"/>
      <c r="N202" s="1707"/>
      <c r="O202" s="1707"/>
      <c r="P202" s="1707"/>
      <c r="Q202" s="1707"/>
      <c r="R202" s="1707"/>
      <c r="S202" s="1707"/>
      <c r="T202" s="1707"/>
      <c r="U202" s="1707"/>
      <c r="V202" s="1707"/>
      <c r="W202" s="1685"/>
      <c r="X202" s="1685"/>
      <c r="Y202" s="1685"/>
      <c r="Z202" s="1685"/>
      <c r="AA202" s="1685"/>
      <c r="AB202" s="1685"/>
      <c r="AC202" s="1685"/>
      <c r="AD202" s="1685"/>
    </row>
    <row r="203" spans="1:30" ht="15.75">
      <c r="A203" s="1685"/>
      <c r="B203" s="1726" t="s">
        <v>2775</v>
      </c>
      <c r="C203" s="1707"/>
      <c r="D203" s="1707"/>
      <c r="E203" s="1707"/>
      <c r="F203" s="1707"/>
      <c r="G203" s="1707"/>
      <c r="H203" s="1695">
        <f>H327</f>
        <v>3</v>
      </c>
      <c r="I203" s="1695">
        <f t="shared" ref="I203:P203" si="256">I327</f>
        <v>82.7</v>
      </c>
      <c r="J203" s="1695">
        <f t="shared" si="256"/>
        <v>171.7</v>
      </c>
      <c r="K203" s="1695">
        <f t="shared" si="256"/>
        <v>129.69999999999999</v>
      </c>
      <c r="L203" s="1695">
        <f t="shared" si="256"/>
        <v>108</v>
      </c>
      <c r="M203" s="1695">
        <f t="shared" si="256"/>
        <v>110</v>
      </c>
      <c r="N203" s="1695">
        <f t="shared" si="256"/>
        <v>149</v>
      </c>
      <c r="O203" s="1695">
        <f t="shared" si="256"/>
        <v>176.9</v>
      </c>
      <c r="P203" s="1695">
        <f t="shared" si="256"/>
        <v>170</v>
      </c>
      <c r="Q203" s="1695">
        <f t="shared" ref="Q203:V203" si="257">Q327</f>
        <v>170</v>
      </c>
      <c r="R203" s="1695">
        <f t="shared" si="257"/>
        <v>170</v>
      </c>
      <c r="S203" s="1695">
        <f t="shared" si="257"/>
        <v>170</v>
      </c>
      <c r="T203" s="1695">
        <f t="shared" si="257"/>
        <v>170</v>
      </c>
      <c r="U203" s="1695">
        <f t="shared" si="257"/>
        <v>170</v>
      </c>
      <c r="V203" s="1695">
        <f t="shared" si="257"/>
        <v>170</v>
      </c>
      <c r="W203" s="1685"/>
      <c r="X203" s="1685"/>
      <c r="Y203" s="1685"/>
      <c r="Z203" s="1685"/>
      <c r="AA203" s="1685"/>
      <c r="AB203" s="1685"/>
      <c r="AC203" s="1685"/>
      <c r="AD203" s="1685"/>
    </row>
    <row r="204" spans="1:30" ht="15.75">
      <c r="A204" s="1685"/>
      <c r="B204" s="1726" t="s">
        <v>2722</v>
      </c>
      <c r="C204" s="1707"/>
      <c r="D204" s="1707"/>
      <c r="E204" s="1707"/>
      <c r="F204" s="1707"/>
      <c r="G204" s="1707"/>
      <c r="H204" s="1695">
        <f>-H336</f>
        <v>77.8</v>
      </c>
      <c r="I204" s="1695">
        <f t="shared" ref="I204:P204" si="258">-I336</f>
        <v>-639.14623921085092</v>
      </c>
      <c r="J204" s="1695">
        <f>-J336</f>
        <v>-776.39999999999986</v>
      </c>
      <c r="K204" s="1695">
        <f t="shared" si="258"/>
        <v>-594.69999999999982</v>
      </c>
      <c r="L204" s="1695">
        <f t="shared" si="258"/>
        <v>-565.69999999999993</v>
      </c>
      <c r="M204" s="1695">
        <f t="shared" si="258"/>
        <v>-736.3</v>
      </c>
      <c r="N204" s="1695">
        <f t="shared" si="258"/>
        <v>-660.19999999999993</v>
      </c>
      <c r="O204" s="1695">
        <f t="shared" si="258"/>
        <v>-585.79999999999995</v>
      </c>
      <c r="P204" s="1695">
        <f t="shared" si="258"/>
        <v>-562.59552590550243</v>
      </c>
      <c r="Q204" s="1695">
        <f t="shared" ref="Q204:V204" si="259">-Q336</f>
        <v>-582.30642987799774</v>
      </c>
      <c r="R204" s="1695">
        <f t="shared" si="259"/>
        <v>-594.05092041325804</v>
      </c>
      <c r="S204" s="1695">
        <f t="shared" si="259"/>
        <v>-605.60899810414639</v>
      </c>
      <c r="T204" s="1695">
        <f t="shared" si="259"/>
        <v>-617.53322679738119</v>
      </c>
      <c r="U204" s="1695">
        <f t="shared" si="259"/>
        <v>-630.44169266748258</v>
      </c>
      <c r="V204" s="1695">
        <f t="shared" si="259"/>
        <v>-643.78617393916602</v>
      </c>
      <c r="W204" s="1685"/>
      <c r="X204" s="1685"/>
      <c r="Y204" s="1685"/>
      <c r="Z204" s="1685"/>
      <c r="AA204" s="1685"/>
      <c r="AB204" s="1685"/>
      <c r="AC204" s="1685"/>
      <c r="AD204" s="1685"/>
    </row>
    <row r="205" spans="1:30" ht="15.75">
      <c r="A205" s="1685"/>
      <c r="B205" s="1726" t="s">
        <v>2776</v>
      </c>
      <c r="C205" s="1707"/>
      <c r="D205" s="1707"/>
      <c r="E205" s="1707"/>
      <c r="F205" s="1707"/>
      <c r="G205" s="1707"/>
      <c r="H205" s="1695">
        <f>-H328-H329</f>
        <v>0</v>
      </c>
      <c r="I205" s="1695">
        <f t="shared" ref="I205:P205" si="260">-I328-I329</f>
        <v>-68</v>
      </c>
      <c r="J205" s="1695">
        <f t="shared" si="260"/>
        <v>-204.2</v>
      </c>
      <c r="K205" s="1695">
        <f t="shared" si="260"/>
        <v>-233.2</v>
      </c>
      <c r="L205" s="1695">
        <f>-L328-L329</f>
        <v>-220.2</v>
      </c>
      <c r="M205" s="1695">
        <f>-M328-M329</f>
        <v>-184</v>
      </c>
      <c r="N205" s="1695">
        <f t="shared" si="260"/>
        <v>-196.7</v>
      </c>
      <c r="O205" s="1695">
        <f t="shared" si="260"/>
        <v>-239</v>
      </c>
      <c r="P205" s="1695">
        <f t="shared" si="260"/>
        <v>-290</v>
      </c>
      <c r="Q205" s="1695">
        <f t="shared" ref="Q205:V205" si="261">-Q328-Q329</f>
        <v>-190</v>
      </c>
      <c r="R205" s="1695">
        <f t="shared" si="261"/>
        <v>-190</v>
      </c>
      <c r="S205" s="1695">
        <f t="shared" si="261"/>
        <v>-190</v>
      </c>
      <c r="T205" s="1695">
        <f t="shared" si="261"/>
        <v>-190</v>
      </c>
      <c r="U205" s="1695">
        <f t="shared" si="261"/>
        <v>-190</v>
      </c>
      <c r="V205" s="1695">
        <f t="shared" si="261"/>
        <v>-190</v>
      </c>
      <c r="W205" s="1685"/>
      <c r="X205" s="1685"/>
      <c r="Y205" s="1685"/>
      <c r="Z205" s="1685"/>
      <c r="AA205" s="1685"/>
      <c r="AB205" s="1685"/>
      <c r="AC205" s="1685"/>
      <c r="AD205" s="1685"/>
    </row>
    <row r="206" spans="1:30" ht="15.75">
      <c r="A206" s="1685"/>
      <c r="B206" s="1726" t="s">
        <v>2777</v>
      </c>
      <c r="C206" s="1707"/>
      <c r="D206" s="1707"/>
      <c r="E206" s="1707"/>
      <c r="F206" s="1707"/>
      <c r="G206" s="1707"/>
      <c r="H206" s="1695">
        <f>G334</f>
        <v>0</v>
      </c>
      <c r="I206" s="1695">
        <v>0</v>
      </c>
      <c r="J206" s="1695">
        <f>I334</f>
        <v>-4.2</v>
      </c>
      <c r="K206" s="1695">
        <f t="shared" ref="K206" si="262">J334</f>
        <v>-3.9</v>
      </c>
      <c r="L206" s="1695">
        <f t="shared" ref="L206:O206" si="263">L334</f>
        <v>0</v>
      </c>
      <c r="M206" s="1695">
        <f t="shared" si="263"/>
        <v>0</v>
      </c>
      <c r="N206" s="1695">
        <f t="shared" si="263"/>
        <v>0</v>
      </c>
      <c r="O206" s="1695">
        <f t="shared" si="263"/>
        <v>0</v>
      </c>
      <c r="P206" s="1695">
        <f>P334</f>
        <v>-21.442371337467822</v>
      </c>
      <c r="Q206" s="1695">
        <f t="shared" ref="Q206:V206" si="264">Q334</f>
        <v>-21.643677608550956</v>
      </c>
      <c r="R206" s="1695">
        <f t="shared" si="264"/>
        <v>-22.080207163745992</v>
      </c>
      <c r="S206" s="1695">
        <f t="shared" si="264"/>
        <v>-22.509807962364313</v>
      </c>
      <c r="T206" s="1695">
        <f t="shared" si="264"/>
        <v>-22.95301818352069</v>
      </c>
      <c r="U206" s="1695">
        <f t="shared" si="264"/>
        <v>-23.432811397845992</v>
      </c>
      <c r="V206" s="1695">
        <f t="shared" si="264"/>
        <v>-23.928810816155998</v>
      </c>
      <c r="W206" s="1685"/>
      <c r="X206" s="1685"/>
      <c r="Y206" s="1685"/>
      <c r="Z206" s="1685"/>
      <c r="AA206" s="1685"/>
      <c r="AB206" s="1685"/>
      <c r="AC206" s="1685"/>
      <c r="AD206" s="1685"/>
    </row>
    <row r="207" spans="1:30" ht="15.75">
      <c r="A207" s="1685"/>
      <c r="B207" s="1726" t="s">
        <v>2794</v>
      </c>
      <c r="C207" s="1707"/>
      <c r="D207" s="1707"/>
      <c r="E207" s="1707"/>
      <c r="F207" s="1707"/>
      <c r="G207" s="1707"/>
      <c r="H207" s="1695">
        <f>H366</f>
        <v>11.5</v>
      </c>
      <c r="I207" s="1695">
        <f>I366</f>
        <v>0</v>
      </c>
      <c r="J207" s="1695">
        <v>23</v>
      </c>
      <c r="K207" s="1695">
        <v>11</v>
      </c>
      <c r="L207" s="1695">
        <f>L366</f>
        <v>0</v>
      </c>
      <c r="M207" s="1695">
        <f>M366</f>
        <v>0</v>
      </c>
      <c r="N207" s="1695">
        <f>N366</f>
        <v>0</v>
      </c>
      <c r="O207" s="1695">
        <f>O366</f>
        <v>0</v>
      </c>
      <c r="P207" s="1695">
        <f>P366</f>
        <v>0</v>
      </c>
      <c r="Q207" s="1695">
        <f t="shared" ref="Q207:V207" si="265">Q366</f>
        <v>0</v>
      </c>
      <c r="R207" s="1695">
        <f t="shared" si="265"/>
        <v>0</v>
      </c>
      <c r="S207" s="1695">
        <f t="shared" si="265"/>
        <v>0</v>
      </c>
      <c r="T207" s="1695">
        <f t="shared" si="265"/>
        <v>0</v>
      </c>
      <c r="U207" s="1695">
        <f t="shared" si="265"/>
        <v>0</v>
      </c>
      <c r="V207" s="1695">
        <f t="shared" si="265"/>
        <v>0</v>
      </c>
      <c r="W207" s="1685"/>
      <c r="X207" s="1685"/>
      <c r="Y207" s="1685"/>
      <c r="Z207" s="1685"/>
      <c r="AA207" s="1685"/>
      <c r="AB207" s="1685"/>
      <c r="AC207" s="1685"/>
      <c r="AD207" s="1685"/>
    </row>
    <row r="208" spans="1:30" ht="15.75">
      <c r="A208" s="1685"/>
      <c r="B208" s="1726" t="s">
        <v>7819</v>
      </c>
      <c r="C208" s="1707"/>
      <c r="D208" s="1707"/>
      <c r="E208" s="1707"/>
      <c r="F208" s="1707"/>
      <c r="G208" s="1707"/>
      <c r="H208" s="1695"/>
      <c r="I208" s="1695"/>
      <c r="J208" s="1695"/>
      <c r="K208" s="1695"/>
      <c r="L208" s="1695"/>
      <c r="M208" s="1695"/>
      <c r="N208" s="1695"/>
      <c r="O208" s="1695"/>
      <c r="P208" s="1695">
        <f>P378</f>
        <v>80</v>
      </c>
      <c r="Q208" s="1695">
        <f t="shared" ref="Q208:V208" si="266">Q378</f>
        <v>75</v>
      </c>
      <c r="R208" s="1695">
        <f t="shared" si="266"/>
        <v>25</v>
      </c>
      <c r="S208" s="1695">
        <f t="shared" si="266"/>
        <v>0</v>
      </c>
      <c r="T208" s="1695">
        <f t="shared" si="266"/>
        <v>0</v>
      </c>
      <c r="U208" s="1695">
        <f t="shared" si="266"/>
        <v>0</v>
      </c>
      <c r="V208" s="1695">
        <f t="shared" si="266"/>
        <v>0</v>
      </c>
      <c r="W208" s="1685"/>
      <c r="X208" s="1685"/>
      <c r="Y208" s="1685"/>
      <c r="Z208" s="1685"/>
      <c r="AA208" s="1685"/>
      <c r="AB208" s="1685"/>
      <c r="AC208" s="1685"/>
      <c r="AD208" s="1685"/>
    </row>
    <row r="209" spans="1:30" ht="15.75">
      <c r="A209" s="1685"/>
      <c r="B209" s="1726" t="s">
        <v>2800</v>
      </c>
      <c r="C209" s="1707"/>
      <c r="D209" s="1707"/>
      <c r="E209" s="1707"/>
      <c r="F209" s="1707"/>
      <c r="G209" s="1707"/>
      <c r="H209" s="1695">
        <f t="shared" ref="H209:P209" si="267">-H448</f>
        <v>-46</v>
      </c>
      <c r="I209" s="1695">
        <f t="shared" si="267"/>
        <v>-62</v>
      </c>
      <c r="J209" s="1695">
        <f t="shared" si="267"/>
        <v>-28</v>
      </c>
      <c r="K209" s="1695">
        <f t="shared" si="267"/>
        <v>-37.700000000000003</v>
      </c>
      <c r="L209" s="1695">
        <f t="shared" si="267"/>
        <v>-18.8</v>
      </c>
      <c r="M209" s="1695">
        <f t="shared" si="267"/>
        <v>-47.6</v>
      </c>
      <c r="N209" s="1695">
        <f t="shared" si="267"/>
        <v>-1.9</v>
      </c>
      <c r="O209" s="1695">
        <f t="shared" si="267"/>
        <v>-75.400000000000006</v>
      </c>
      <c r="P209" s="1695">
        <f t="shared" si="267"/>
        <v>-35</v>
      </c>
      <c r="Q209" s="1695">
        <f t="shared" ref="Q209:V209" si="268">-Q448</f>
        <v>-50</v>
      </c>
      <c r="R209" s="1695">
        <f t="shared" si="268"/>
        <v>-50</v>
      </c>
      <c r="S209" s="1695">
        <f t="shared" si="268"/>
        <v>-50</v>
      </c>
      <c r="T209" s="1695">
        <f t="shared" si="268"/>
        <v>-50</v>
      </c>
      <c r="U209" s="1695">
        <f t="shared" si="268"/>
        <v>-50</v>
      </c>
      <c r="V209" s="1695">
        <f t="shared" si="268"/>
        <v>-50</v>
      </c>
      <c r="W209" s="1685"/>
      <c r="X209" s="1685"/>
      <c r="Y209" s="1685"/>
      <c r="Z209" s="1685"/>
      <c r="AA209" s="1685"/>
      <c r="AB209" s="1685"/>
      <c r="AC209" s="1685"/>
      <c r="AD209" s="1685"/>
    </row>
    <row r="210" spans="1:30" ht="15.75">
      <c r="A210" s="1685"/>
      <c r="B210" s="1726" t="s">
        <v>6023</v>
      </c>
      <c r="C210" s="1707"/>
      <c r="D210" s="1707"/>
      <c r="E210" s="1707"/>
      <c r="F210" s="1707"/>
      <c r="G210" s="1707"/>
      <c r="H210" s="1695"/>
      <c r="I210" s="1695"/>
      <c r="J210" s="1695">
        <v>20.7</v>
      </c>
      <c r="K210" s="1695">
        <v>33.9</v>
      </c>
      <c r="L210" s="1694">
        <f>49.8+81.5-2.2+73.3</f>
        <v>202.40000000000003</v>
      </c>
      <c r="M210" s="1694">
        <f>34.4+11.2-4.1</f>
        <v>41.499999999999993</v>
      </c>
      <c r="N210" s="1694">
        <f>26.5+3.9-1.1</f>
        <v>29.299999999999997</v>
      </c>
      <c r="O210" s="1694">
        <f>18.4-1+5.9</f>
        <v>23.299999999999997</v>
      </c>
      <c r="P210" s="1697">
        <v>0</v>
      </c>
      <c r="Q210" s="1697">
        <v>0</v>
      </c>
      <c r="R210" s="1697">
        <v>0</v>
      </c>
      <c r="S210" s="1697">
        <v>0</v>
      </c>
      <c r="T210" s="1697">
        <v>0</v>
      </c>
      <c r="U210" s="1697">
        <v>0</v>
      </c>
      <c r="V210" s="1697">
        <v>0</v>
      </c>
      <c r="W210" s="1685"/>
      <c r="X210" s="1685"/>
      <c r="Y210" s="1685"/>
      <c r="Z210" s="1685"/>
      <c r="AA210" s="1685"/>
      <c r="AB210" s="1685"/>
      <c r="AC210" s="1685"/>
      <c r="AD210" s="1685"/>
    </row>
    <row r="211" spans="1:30" ht="15.75">
      <c r="A211" s="1685"/>
      <c r="B211" s="1725" t="s">
        <v>3475</v>
      </c>
      <c r="C211" s="1707"/>
      <c r="D211" s="1707"/>
      <c r="E211" s="1707"/>
      <c r="F211" s="1707"/>
      <c r="G211" s="1707"/>
      <c r="H211" s="1728">
        <f>SUM(H203:H210)+H201</f>
        <v>46.3</v>
      </c>
      <c r="I211" s="1728">
        <f t="shared" ref="I211:P211" si="269">SUM(I203:I210)+I201</f>
        <v>-112.5462392108509</v>
      </c>
      <c r="J211" s="1728">
        <f>SUM(J203:J210)+J201</f>
        <v>19.400000000000091</v>
      </c>
      <c r="K211" s="1728">
        <f>SUM(K203:K210)+K201</f>
        <v>223.30000000000018</v>
      </c>
      <c r="L211" s="1728">
        <f t="shared" si="269"/>
        <v>145.80000000000024</v>
      </c>
      <c r="M211" s="1728">
        <f t="shared" si="269"/>
        <v>199.80000000000007</v>
      </c>
      <c r="N211" s="1728">
        <f t="shared" si="269"/>
        <v>187.70000000000016</v>
      </c>
      <c r="O211" s="1728">
        <f>SUM(O203:O210)+O201</f>
        <v>197</v>
      </c>
      <c r="P211" s="1728">
        <f t="shared" ca="1" si="269"/>
        <v>16.464687652834982</v>
      </c>
      <c r="Q211" s="1728">
        <f t="shared" ref="Q211:V211" ca="1" si="270">SUM(Q203:Q210)+Q201</f>
        <v>379.06196940320535</v>
      </c>
      <c r="R211" s="1728">
        <f t="shared" ca="1" si="270"/>
        <v>336.57756864285136</v>
      </c>
      <c r="S211" s="1728">
        <f t="shared" ca="1" si="270"/>
        <v>330.14487183102835</v>
      </c>
      <c r="T211" s="1728">
        <f t="shared" ca="1" si="270"/>
        <v>368.39546922415855</v>
      </c>
      <c r="U211" s="1728">
        <f t="shared" ca="1" si="270"/>
        <v>445.7785000646885</v>
      </c>
      <c r="V211" s="1728">
        <f t="shared" ca="1" si="270"/>
        <v>476.87736382832384</v>
      </c>
      <c r="W211" s="1728"/>
      <c r="X211" s="1685"/>
      <c r="Y211" s="1685"/>
      <c r="Z211" s="1685"/>
      <c r="AA211" s="1685"/>
      <c r="AB211" s="1685"/>
      <c r="AC211" s="1685"/>
      <c r="AD211" s="1685"/>
    </row>
    <row r="212" spans="1:30" ht="15.75">
      <c r="A212" s="1685"/>
      <c r="B212" s="1725" t="s">
        <v>7408</v>
      </c>
      <c r="C212" s="1707"/>
      <c r="D212" s="1707"/>
      <c r="E212" s="1707"/>
      <c r="F212" s="1707"/>
      <c r="G212" s="1707"/>
      <c r="H212" s="1728"/>
      <c r="I212" s="1728"/>
      <c r="J212" s="1728"/>
      <c r="K212" s="1728"/>
      <c r="L212" s="1728"/>
      <c r="M212" s="1728"/>
      <c r="N212" s="1728"/>
      <c r="O212" s="1728">
        <f>O211-O209</f>
        <v>272.39999999999998</v>
      </c>
      <c r="P212" s="1728">
        <f t="shared" ref="P212:V212" ca="1" si="271">P211-P209</f>
        <v>51.464687652834982</v>
      </c>
      <c r="Q212" s="1728">
        <f t="shared" ca="1" si="271"/>
        <v>429.06196940320535</v>
      </c>
      <c r="R212" s="1728">
        <f t="shared" ca="1" si="271"/>
        <v>386.57756864285136</v>
      </c>
      <c r="S212" s="1728">
        <f t="shared" ca="1" si="271"/>
        <v>380.14487183102835</v>
      </c>
      <c r="T212" s="1728">
        <f t="shared" ca="1" si="271"/>
        <v>418.39546922415855</v>
      </c>
      <c r="U212" s="1728">
        <f t="shared" ca="1" si="271"/>
        <v>495.7785000646885</v>
      </c>
      <c r="V212" s="1728">
        <f t="shared" ca="1" si="271"/>
        <v>526.87736382832384</v>
      </c>
      <c r="W212" s="1728"/>
      <c r="X212" s="1685"/>
      <c r="Y212" s="1685"/>
      <c r="Z212" s="1685"/>
      <c r="AA212" s="1685"/>
      <c r="AB212" s="1685"/>
      <c r="AC212" s="1685"/>
      <c r="AD212" s="1685"/>
    </row>
    <row r="213" spans="1:30" ht="15.75">
      <c r="A213" s="1685"/>
      <c r="B213" s="1726"/>
      <c r="C213" s="1707"/>
      <c r="D213" s="1707"/>
      <c r="E213" s="1707"/>
      <c r="F213" s="1707"/>
      <c r="G213" s="1707"/>
      <c r="H213" s="1707"/>
      <c r="I213" s="1695"/>
      <c r="J213" s="1695"/>
      <c r="K213" s="1695"/>
      <c r="L213" s="1707"/>
      <c r="M213" s="1707"/>
      <c r="N213" s="1707"/>
      <c r="O213" s="1728"/>
      <c r="P213" s="1707"/>
      <c r="Q213" s="1707"/>
      <c r="R213" s="1707"/>
      <c r="S213" s="1707"/>
      <c r="T213" s="1707"/>
      <c r="U213" s="1707"/>
      <c r="V213" s="1707"/>
      <c r="W213" s="1685"/>
      <c r="X213" s="1685"/>
      <c r="Y213" s="1685"/>
      <c r="Z213" s="1685"/>
      <c r="AA213" s="1685"/>
      <c r="AB213" s="1685"/>
      <c r="AC213" s="1685"/>
      <c r="AD213" s="1685"/>
    </row>
    <row r="214" spans="1:30" ht="15.75">
      <c r="A214" s="1685"/>
      <c r="B214" s="1726" t="s">
        <v>219</v>
      </c>
      <c r="C214" s="1707"/>
      <c r="D214" s="1707"/>
      <c r="E214" s="1707"/>
      <c r="F214" s="1707"/>
      <c r="G214" s="1707"/>
      <c r="H214" s="1707"/>
      <c r="I214" s="1695">
        <f>-(I452+I454)</f>
        <v>-38</v>
      </c>
      <c r="J214" s="1695">
        <f t="shared" ref="J214:P214" si="272">-(J452+J454)</f>
        <v>-269</v>
      </c>
      <c r="K214" s="1695">
        <f t="shared" si="272"/>
        <v>-57</v>
      </c>
      <c r="L214" s="1695">
        <f t="shared" si="272"/>
        <v>-1950</v>
      </c>
      <c r="M214" s="1695">
        <f t="shared" si="272"/>
        <v>-500</v>
      </c>
      <c r="N214" s="1695">
        <f t="shared" si="272"/>
        <v>858</v>
      </c>
      <c r="O214" s="1695">
        <f t="shared" si="272"/>
        <v>0</v>
      </c>
      <c r="P214" s="1695">
        <f t="shared" si="272"/>
        <v>95</v>
      </c>
      <c r="Q214" s="1695">
        <f t="shared" ref="Q214:V214" si="273">-(Q452+Q454)</f>
        <v>72</v>
      </c>
      <c r="R214" s="1695">
        <f t="shared" si="273"/>
        <v>45</v>
      </c>
      <c r="S214" s="1695">
        <f t="shared" si="273"/>
        <v>40</v>
      </c>
      <c r="T214" s="1695">
        <f t="shared" si="273"/>
        <v>0</v>
      </c>
      <c r="U214" s="1695">
        <f t="shared" si="273"/>
        <v>0</v>
      </c>
      <c r="V214" s="1695">
        <f t="shared" si="273"/>
        <v>0</v>
      </c>
      <c r="W214" s="1685"/>
      <c r="X214" s="1685"/>
      <c r="Y214" s="1685"/>
      <c r="Z214" s="1685"/>
      <c r="AA214" s="1685"/>
      <c r="AB214" s="1685"/>
      <c r="AC214" s="1685"/>
      <c r="AD214" s="1685"/>
    </row>
    <row r="215" spans="1:30" ht="15.75">
      <c r="A215" s="1685"/>
      <c r="B215" s="1726" t="s">
        <v>2778</v>
      </c>
      <c r="C215" s="1707"/>
      <c r="D215" s="1707"/>
      <c r="E215" s="1707"/>
      <c r="F215" s="1707"/>
      <c r="G215" s="1707"/>
      <c r="H215" s="1695">
        <f>H435</f>
        <v>-25.2800000000002</v>
      </c>
      <c r="I215" s="1695">
        <f>I435</f>
        <v>-50</v>
      </c>
      <c r="J215" s="1695">
        <f t="shared" ref="J215:P215" si="274">J435</f>
        <v>0</v>
      </c>
      <c r="K215" s="1695">
        <f t="shared" si="274"/>
        <v>0</v>
      </c>
      <c r="L215" s="1695">
        <f t="shared" si="274"/>
        <v>-10.67</v>
      </c>
      <c r="M215" s="1695">
        <f t="shared" si="274"/>
        <v>-65</v>
      </c>
      <c r="N215" s="1695">
        <f t="shared" si="274"/>
        <v>-183.35</v>
      </c>
      <c r="O215" s="1695">
        <f t="shared" si="274"/>
        <v>-100.10000000000001</v>
      </c>
      <c r="P215" s="1695">
        <f t="shared" si="274"/>
        <v>-150</v>
      </c>
      <c r="Q215" s="1695">
        <f t="shared" ref="Q215:V215" si="275">Q435</f>
        <v>-135</v>
      </c>
      <c r="R215" s="1695">
        <f t="shared" si="275"/>
        <v>-97.2</v>
      </c>
      <c r="S215" s="1695">
        <f t="shared" si="275"/>
        <v>-104.97600000000003</v>
      </c>
      <c r="T215" s="1695">
        <f t="shared" si="275"/>
        <v>-113.37408000000003</v>
      </c>
      <c r="U215" s="1695">
        <f t="shared" si="275"/>
        <v>-122.44400640000003</v>
      </c>
      <c r="V215" s="1695">
        <f t="shared" si="275"/>
        <v>-132.23952691200003</v>
      </c>
      <c r="W215" s="1685"/>
      <c r="X215" s="1685"/>
      <c r="Y215" s="1685"/>
      <c r="Z215" s="1685"/>
      <c r="AA215" s="1685"/>
      <c r="AB215" s="1685"/>
      <c r="AC215" s="1685"/>
      <c r="AD215" s="1685"/>
    </row>
    <row r="216" spans="1:30" ht="15.75">
      <c r="A216" s="1685"/>
      <c r="B216" s="1692" t="s">
        <v>2781</v>
      </c>
      <c r="C216" s="1707"/>
      <c r="D216" s="1707"/>
      <c r="E216" s="1707"/>
      <c r="F216" s="1707"/>
      <c r="G216" s="1707"/>
      <c r="H216" s="1707"/>
      <c r="I216" s="1695">
        <f>H325-I325</f>
        <v>-88.5</v>
      </c>
      <c r="J216" s="1695">
        <f t="shared" ref="J216:V216" si="276">I325-J325</f>
        <v>1.8000000000000114</v>
      </c>
      <c r="K216" s="1695">
        <f t="shared" si="276"/>
        <v>-10</v>
      </c>
      <c r="L216" s="1695">
        <f t="shared" si="276"/>
        <v>-0.5</v>
      </c>
      <c r="M216" s="1695">
        <f t="shared" si="276"/>
        <v>68.3</v>
      </c>
      <c r="N216" s="1695">
        <f t="shared" si="276"/>
        <v>-50.2</v>
      </c>
      <c r="O216" s="1695">
        <f t="shared" si="276"/>
        <v>0</v>
      </c>
      <c r="P216" s="1695">
        <f t="shared" si="276"/>
        <v>-30.096599362274787</v>
      </c>
      <c r="Q216" s="1695">
        <f t="shared" si="276"/>
        <v>-117.07662485415608</v>
      </c>
      <c r="R216" s="1695">
        <f t="shared" si="276"/>
        <v>-119.84131203705795</v>
      </c>
      <c r="S216" s="1695">
        <f t="shared" si="276"/>
        <v>-122.56211709497393</v>
      </c>
      <c r="T216" s="1695">
        <f t="shared" si="276"/>
        <v>-125.3691151622977</v>
      </c>
      <c r="U216" s="1695">
        <f t="shared" si="276"/>
        <v>-128.40780551969124</v>
      </c>
      <c r="V216" s="1695">
        <f t="shared" si="276"/>
        <v>-131.54913516898796</v>
      </c>
      <c r="W216" s="1685"/>
      <c r="X216" s="1685"/>
      <c r="Y216" s="1685"/>
      <c r="Z216" s="1685"/>
      <c r="AA216" s="1685"/>
      <c r="AB216" s="1685"/>
      <c r="AC216" s="1685"/>
      <c r="AD216" s="1685"/>
    </row>
    <row r="217" spans="1:30" ht="15.75">
      <c r="A217" s="1685"/>
      <c r="B217" s="1689" t="s">
        <v>116</v>
      </c>
      <c r="C217" s="1707"/>
      <c r="D217" s="1707"/>
      <c r="E217" s="1707"/>
      <c r="F217" s="1707"/>
      <c r="G217" s="1707"/>
      <c r="H217" s="1707"/>
      <c r="I217" s="1728">
        <f>I211+I214+I215+I216</f>
        <v>-289.0462392108509</v>
      </c>
      <c r="J217" s="1728">
        <f>J211+J214+J215+J216</f>
        <v>-247.7999999999999</v>
      </c>
      <c r="K217" s="1728">
        <f t="shared" ref="K217:P217" si="277">K211+K214+K215+K216</f>
        <v>156.30000000000018</v>
      </c>
      <c r="L217" s="1728">
        <f t="shared" si="277"/>
        <v>-1815.37</v>
      </c>
      <c r="M217" s="1728">
        <f t="shared" si="277"/>
        <v>-296.89999999999992</v>
      </c>
      <c r="N217" s="1728">
        <f t="shared" si="277"/>
        <v>812.1500000000002</v>
      </c>
      <c r="O217" s="1728">
        <f t="shared" si="277"/>
        <v>96.899999999999991</v>
      </c>
      <c r="P217" s="1728">
        <f t="shared" ca="1" si="277"/>
        <v>-68.631911709439805</v>
      </c>
      <c r="Q217" s="1728">
        <f t="shared" ref="Q217:V217" ca="1" si="278">Q211+Q214+Q215+Q216</f>
        <v>198.98534454904927</v>
      </c>
      <c r="R217" s="1728">
        <f t="shared" ca="1" si="278"/>
        <v>164.53625660579343</v>
      </c>
      <c r="S217" s="1728">
        <f t="shared" ca="1" si="278"/>
        <v>142.60675473605443</v>
      </c>
      <c r="T217" s="1728">
        <f t="shared" ca="1" si="278"/>
        <v>129.65227406186079</v>
      </c>
      <c r="U217" s="1728">
        <f t="shared" ca="1" si="278"/>
        <v>194.92668814499723</v>
      </c>
      <c r="V217" s="1728">
        <f t="shared" ca="1" si="278"/>
        <v>213.08870174733585</v>
      </c>
      <c r="W217" s="1685"/>
      <c r="X217" s="1685"/>
      <c r="Y217" s="1685"/>
      <c r="Z217" s="1685"/>
      <c r="AA217" s="1685"/>
      <c r="AB217" s="1685"/>
      <c r="AC217" s="1685"/>
      <c r="AD217" s="1685"/>
    </row>
    <row r="218" spans="1:30" ht="15.75">
      <c r="A218" s="1685"/>
      <c r="B218" s="1689"/>
      <c r="C218" s="1707"/>
      <c r="D218" s="1707"/>
      <c r="E218" s="1707"/>
      <c r="F218" s="1707"/>
      <c r="G218" s="1707"/>
      <c r="H218" s="1707"/>
      <c r="I218" s="1707"/>
      <c r="J218" s="1707"/>
      <c r="K218" s="1707"/>
      <c r="L218" s="1707"/>
      <c r="M218" s="1707"/>
      <c r="N218" s="1707"/>
      <c r="O218" s="1707"/>
      <c r="P218" s="1707"/>
      <c r="Q218" s="1707"/>
      <c r="R218" s="1707"/>
      <c r="S218" s="1707"/>
      <c r="T218" s="1707"/>
      <c r="U218" s="1707"/>
      <c r="V218" s="1707"/>
      <c r="W218" s="1685"/>
      <c r="X218" s="1685"/>
      <c r="Y218" s="1685"/>
      <c r="Z218" s="1685"/>
      <c r="AA218" s="1685"/>
      <c r="AB218" s="1685"/>
      <c r="AC218" s="1685"/>
      <c r="AD218" s="1685"/>
    </row>
    <row r="219" spans="1:30" ht="15.75">
      <c r="A219" s="1685"/>
      <c r="B219" s="1689" t="s">
        <v>2791</v>
      </c>
      <c r="C219" s="1707"/>
      <c r="D219" s="1707"/>
      <c r="E219" s="1707"/>
      <c r="F219" s="1707"/>
      <c r="G219" s="1707"/>
      <c r="H219" s="1707"/>
      <c r="I219" s="1691">
        <f t="shared" ref="I219:V219" ca="1" si="279">H185</f>
        <v>5453.4999999999991</v>
      </c>
      <c r="J219" s="1691">
        <f t="shared" si="279"/>
        <v>5985.1</v>
      </c>
      <c r="K219" s="1691">
        <f t="shared" si="279"/>
        <v>6066</v>
      </c>
      <c r="L219" s="1691">
        <f t="shared" si="279"/>
        <v>6060.1</v>
      </c>
      <c r="M219" s="1691">
        <f t="shared" si="279"/>
        <v>7781.4</v>
      </c>
      <c r="N219" s="1691">
        <f t="shared" si="279"/>
        <v>8078.2999999999993</v>
      </c>
      <c r="O219" s="1691">
        <f t="shared" si="279"/>
        <v>7193.7000000000007</v>
      </c>
      <c r="P219" s="1691">
        <f t="shared" si="279"/>
        <v>7096.8000000000011</v>
      </c>
      <c r="Q219" s="1691">
        <f t="shared" ca="1" si="279"/>
        <v>7165.431911709441</v>
      </c>
      <c r="R219" s="1691">
        <f t="shared" ca="1" si="279"/>
        <v>6966.4465671603921</v>
      </c>
      <c r="S219" s="1691">
        <f t="shared" ca="1" si="279"/>
        <v>6801.9103105545983</v>
      </c>
      <c r="T219" s="1691">
        <f t="shared" ca="1" si="279"/>
        <v>6659.3035558185456</v>
      </c>
      <c r="U219" s="1691">
        <f t="shared" ca="1" si="279"/>
        <v>6529.6512817566863</v>
      </c>
      <c r="V219" s="1691">
        <f t="shared" ca="1" si="279"/>
        <v>6334.7245936116924</v>
      </c>
      <c r="W219" s="1685"/>
      <c r="X219" s="1685"/>
      <c r="Y219" s="1685"/>
      <c r="Z219" s="1685"/>
      <c r="AA219" s="1685"/>
      <c r="AB219" s="1685"/>
      <c r="AC219" s="1685"/>
      <c r="AD219" s="1685"/>
    </row>
    <row r="220" spans="1:30" ht="15.75">
      <c r="A220" s="1685"/>
      <c r="B220" s="1692" t="s">
        <v>2792</v>
      </c>
      <c r="C220" s="1707"/>
      <c r="D220" s="1707"/>
      <c r="E220" s="1707"/>
      <c r="F220" s="1707"/>
      <c r="G220" s="1707"/>
      <c r="H220" s="1707"/>
      <c r="I220" s="1695">
        <f>I217</f>
        <v>-289.0462392108509</v>
      </c>
      <c r="J220" s="1695">
        <f>J217</f>
        <v>-247.7999999999999</v>
      </c>
      <c r="K220" s="1695">
        <f t="shared" ref="K220:P220" si="280">K217</f>
        <v>156.30000000000018</v>
      </c>
      <c r="L220" s="1695">
        <f t="shared" si="280"/>
        <v>-1815.37</v>
      </c>
      <c r="M220" s="1695">
        <f t="shared" si="280"/>
        <v>-296.89999999999992</v>
      </c>
      <c r="N220" s="1695">
        <f>N217</f>
        <v>812.1500000000002</v>
      </c>
      <c r="O220" s="1695">
        <f t="shared" si="280"/>
        <v>96.899999999999991</v>
      </c>
      <c r="P220" s="1695">
        <f t="shared" ca="1" si="280"/>
        <v>-68.631911709439805</v>
      </c>
      <c r="Q220" s="1695">
        <f t="shared" ref="Q220:V220" ca="1" si="281">Q217</f>
        <v>198.98534454904927</v>
      </c>
      <c r="R220" s="1695">
        <f t="shared" ca="1" si="281"/>
        <v>164.53625660579343</v>
      </c>
      <c r="S220" s="1695">
        <f t="shared" ca="1" si="281"/>
        <v>142.60675473605443</v>
      </c>
      <c r="T220" s="1695">
        <f t="shared" ca="1" si="281"/>
        <v>129.65227406186079</v>
      </c>
      <c r="U220" s="1695">
        <f t="shared" ca="1" si="281"/>
        <v>194.92668814499723</v>
      </c>
      <c r="V220" s="1695">
        <f t="shared" ca="1" si="281"/>
        <v>213.08870174733585</v>
      </c>
      <c r="W220" s="1685"/>
      <c r="X220" s="1685"/>
      <c r="Y220" s="1685"/>
      <c r="Z220" s="1685"/>
      <c r="AA220" s="1685"/>
      <c r="AB220" s="1685"/>
      <c r="AC220" s="1685"/>
      <c r="AD220" s="1685"/>
    </row>
    <row r="221" spans="1:30" ht="15.75">
      <c r="A221" s="1685"/>
      <c r="B221" s="1689" t="s">
        <v>2793</v>
      </c>
      <c r="C221" s="1707"/>
      <c r="D221" s="1707"/>
      <c r="E221" s="1707"/>
      <c r="F221" s="1707"/>
      <c r="G221" s="1707"/>
      <c r="H221" s="1691">
        <f ca="1">I219</f>
        <v>5453.4999999999991</v>
      </c>
      <c r="I221" s="1691">
        <f>I310</f>
        <v>5985.1</v>
      </c>
      <c r="J221" s="1691">
        <f>J310</f>
        <v>6066</v>
      </c>
      <c r="K221" s="1691">
        <f>K310</f>
        <v>6060.1</v>
      </c>
      <c r="L221" s="1691">
        <f>L310</f>
        <v>7781.4</v>
      </c>
      <c r="M221" s="1691">
        <f t="shared" ref="M221:W221" si="282">M219-M220</f>
        <v>8078.2999999999993</v>
      </c>
      <c r="N221" s="1691">
        <f>7966.1+8.6-781</f>
        <v>7193.7000000000007</v>
      </c>
      <c r="O221" s="1691">
        <f t="shared" si="282"/>
        <v>7096.8000000000011</v>
      </c>
      <c r="P221" s="1691">
        <f t="shared" ca="1" si="282"/>
        <v>7165.431911709441</v>
      </c>
      <c r="Q221" s="1691">
        <f t="shared" ca="1" si="282"/>
        <v>6966.4465671603921</v>
      </c>
      <c r="R221" s="1691">
        <f t="shared" ca="1" si="282"/>
        <v>6801.9103105545983</v>
      </c>
      <c r="S221" s="1691">
        <f t="shared" ref="S221:V221" ca="1" si="283">S219-S220</f>
        <v>6659.3035558185438</v>
      </c>
      <c r="T221" s="1691">
        <f t="shared" ca="1" si="283"/>
        <v>6529.6512817566845</v>
      </c>
      <c r="U221" s="1691">
        <f t="shared" ca="1" si="283"/>
        <v>6334.7245936116888</v>
      </c>
      <c r="V221" s="1691">
        <f t="shared" ca="1" si="283"/>
        <v>6121.6358918643564</v>
      </c>
      <c r="W221" s="1691">
        <f t="shared" si="282"/>
        <v>0</v>
      </c>
      <c r="X221" s="1685"/>
      <c r="Y221" s="1685"/>
      <c r="Z221" s="1685"/>
      <c r="AA221" s="1685"/>
      <c r="AB221" s="1685"/>
      <c r="AC221" s="1685"/>
      <c r="AD221" s="1685"/>
    </row>
    <row r="222" spans="1:30" ht="15.75">
      <c r="A222" s="1685"/>
      <c r="B222" s="1692" t="s">
        <v>895</v>
      </c>
      <c r="C222" s="1707"/>
      <c r="D222" s="1707"/>
      <c r="E222" s="1707"/>
      <c r="F222" s="1707"/>
      <c r="G222" s="1707"/>
      <c r="H222" s="1729">
        <f t="shared" ref="H222:Q222" ca="1" si="284">H221/H6</f>
        <v>3.7646691360624045</v>
      </c>
      <c r="I222" s="1729">
        <f t="shared" si="284"/>
        <v>4.3779533318703834</v>
      </c>
      <c r="J222" s="1729">
        <f t="shared" si="284"/>
        <v>4.2942951047739673</v>
      </c>
      <c r="K222" s="1729">
        <f t="shared" si="284"/>
        <v>4.0226352472618654</v>
      </c>
      <c r="L222" s="1729">
        <f t="shared" si="284"/>
        <v>5.2399999999999993</v>
      </c>
      <c r="M222" s="1729">
        <f t="shared" si="284"/>
        <v>4.4423033288589355</v>
      </c>
      <c r="N222" s="1729">
        <f t="shared" si="284"/>
        <v>4.1872526193247968</v>
      </c>
      <c r="O222" s="1729">
        <f t="shared" si="284"/>
        <v>4.1706629055007065</v>
      </c>
      <c r="P222" s="1729">
        <f t="shared" ca="1" si="284"/>
        <v>4.5376710133347595</v>
      </c>
      <c r="Q222" s="1729">
        <f t="shared" ca="1" si="284"/>
        <v>3.8641735424295023</v>
      </c>
      <c r="R222" s="1729">
        <f t="shared" ref="R222:S222" ca="1" si="285">R221/R6</f>
        <v>3.6030194434459246</v>
      </c>
      <c r="S222" s="1729">
        <f t="shared" ca="1" si="285"/>
        <v>3.4221465134265876</v>
      </c>
      <c r="T222" s="1729">
        <f t="shared" ref="T222:V222" ca="1" si="286">T221/T6</f>
        <v>3.2619461314738989</v>
      </c>
      <c r="U222" s="1729">
        <f t="shared" ca="1" si="286"/>
        <v>3.0945667536739125</v>
      </c>
      <c r="V222" s="1729">
        <f t="shared" ca="1" si="286"/>
        <v>2.9235436304781985</v>
      </c>
      <c r="W222" s="1685"/>
      <c r="X222" s="1685"/>
      <c r="Y222" s="1685"/>
      <c r="Z222" s="1685"/>
      <c r="AA222" s="1685"/>
      <c r="AB222" s="1685"/>
      <c r="AC222" s="1685"/>
      <c r="AD222" s="1685"/>
    </row>
    <row r="223" spans="1:30" ht="15.75">
      <c r="A223" s="1685"/>
      <c r="B223" s="1689"/>
      <c r="C223" s="1707"/>
      <c r="D223" s="1707"/>
      <c r="E223" s="1707"/>
      <c r="F223" s="1707"/>
      <c r="G223" s="1707"/>
      <c r="H223" s="1707"/>
      <c r="I223" s="1691"/>
      <c r="J223" s="1691"/>
      <c r="K223" s="1707"/>
      <c r="L223" s="1707"/>
      <c r="M223" s="1707"/>
      <c r="N223" s="1707"/>
      <c r="O223" s="1707"/>
      <c r="P223" s="1707"/>
      <c r="Q223" s="1707"/>
      <c r="R223" s="1707"/>
      <c r="S223" s="1707"/>
      <c r="T223" s="1707"/>
      <c r="U223" s="1707"/>
      <c r="V223" s="1707"/>
      <c r="W223" s="1685"/>
      <c r="X223" s="1685"/>
      <c r="Y223" s="1685"/>
      <c r="Z223" s="1685"/>
      <c r="AA223" s="1685"/>
      <c r="AB223" s="1685"/>
      <c r="AC223" s="1685"/>
      <c r="AD223" s="1685"/>
    </row>
    <row r="224" spans="1:30" ht="15.75" outlineLevel="1">
      <c r="A224" s="1685"/>
      <c r="B224" s="1692" t="s">
        <v>27</v>
      </c>
      <c r="C224" s="1695"/>
      <c r="D224" s="1695">
        <f t="shared" ref="D224:Q224" si="287">D150</f>
        <v>0</v>
      </c>
      <c r="E224" s="1695">
        <f t="shared" si="287"/>
        <v>0</v>
      </c>
      <c r="F224" s="1695">
        <f t="shared" si="287"/>
        <v>0</v>
      </c>
      <c r="G224" s="1695">
        <f t="shared" si="287"/>
        <v>0</v>
      </c>
      <c r="H224" s="1695">
        <f t="shared" si="287"/>
        <v>0</v>
      </c>
      <c r="I224" s="1695">
        <f t="shared" si="287"/>
        <v>590.55376078914901</v>
      </c>
      <c r="J224" s="1695">
        <f t="shared" si="287"/>
        <v>641.17176137159959</v>
      </c>
      <c r="K224" s="1695">
        <f t="shared" si="287"/>
        <v>779.40000000000009</v>
      </c>
      <c r="L224" s="1695">
        <f t="shared" si="287"/>
        <v>854</v>
      </c>
      <c r="M224" s="1695">
        <f t="shared" si="287"/>
        <v>962.593561103811</v>
      </c>
      <c r="N224" s="1695">
        <f t="shared" si="287"/>
        <v>901.7</v>
      </c>
      <c r="O224" s="1695">
        <f t="shared" si="287"/>
        <v>970.69999999999993</v>
      </c>
      <c r="P224" s="1695">
        <f t="shared" si="287"/>
        <v>864.35332229769472</v>
      </c>
      <c r="Q224" s="1695">
        <f t="shared" si="287"/>
        <v>1081.3737121492334</v>
      </c>
      <c r="R224" s="1695">
        <f t="shared" ref="R224:S224" si="288">R150</f>
        <v>1151.8292323477226</v>
      </c>
      <c r="S224" s="1695">
        <f t="shared" si="288"/>
        <v>1195.616507131394</v>
      </c>
      <c r="T224" s="1695">
        <f t="shared" ref="T224:V224" si="289">T150</f>
        <v>1236.6649101041774</v>
      </c>
      <c r="U224" s="1695">
        <f t="shared" si="289"/>
        <v>1265.9536112439137</v>
      </c>
      <c r="V224" s="1695">
        <f t="shared" si="289"/>
        <v>1296.2825105372046</v>
      </c>
      <c r="W224" s="1685"/>
      <c r="X224" s="1685"/>
      <c r="Y224" s="1685"/>
      <c r="Z224" s="1685"/>
      <c r="AA224" s="1685"/>
      <c r="AB224" s="1685"/>
      <c r="AC224" s="1685"/>
      <c r="AD224" s="1685"/>
    </row>
    <row r="225" spans="1:30" ht="15.75" outlineLevel="1">
      <c r="A225" s="1685"/>
      <c r="B225" s="1692" t="s">
        <v>118</v>
      </c>
      <c r="C225" s="1695"/>
      <c r="D225" s="1695">
        <f t="shared" ref="D225:I225" si="290">-D285</f>
        <v>0</v>
      </c>
      <c r="E225" s="1695">
        <f t="shared" si="290"/>
        <v>-158</v>
      </c>
      <c r="F225" s="1695">
        <f t="shared" si="290"/>
        <v>-91</v>
      </c>
      <c r="G225" s="1695" t="e">
        <f t="shared" ca="1" si="290"/>
        <v>#DIV/0!</v>
      </c>
      <c r="H225" s="1695" t="e">
        <f t="shared" ca="1" si="290"/>
        <v>#DIV/0!</v>
      </c>
      <c r="I225" s="1695">
        <f t="shared" si="290"/>
        <v>-381.8</v>
      </c>
      <c r="J225" s="1695">
        <f t="shared" ref="J225:P225" si="291">-J285</f>
        <v>-443.7</v>
      </c>
      <c r="K225" s="1695">
        <f t="shared" si="291"/>
        <v>-499.2</v>
      </c>
      <c r="L225" s="1695">
        <f t="shared" si="291"/>
        <v>-533.4</v>
      </c>
      <c r="M225" s="1695">
        <f t="shared" si="291"/>
        <v>-527.4</v>
      </c>
      <c r="N225" s="1695">
        <f t="shared" si="291"/>
        <v>-556.70000000000005</v>
      </c>
      <c r="O225" s="1695">
        <f t="shared" si="291"/>
        <v>-601.70000000000005</v>
      </c>
      <c r="P225" s="1695">
        <f t="shared" ca="1" si="291"/>
        <v>-619.35390955854734</v>
      </c>
      <c r="Q225" s="1695">
        <f t="shared" ref="Q225:V225" ca="1" si="292">-Q285</f>
        <v>-653.82239239434932</v>
      </c>
      <c r="R225" s="1695">
        <f t="shared" ca="1" si="292"/>
        <v>-711.84928438857503</v>
      </c>
      <c r="S225" s="1695">
        <f t="shared" ca="1" si="292"/>
        <v>-710.13856933186582</v>
      </c>
      <c r="T225" s="1695">
        <f t="shared" ca="1" si="292"/>
        <v>-708.77727418787708</v>
      </c>
      <c r="U225" s="1695">
        <f t="shared" ca="1" si="292"/>
        <v>-707.15437937684771</v>
      </c>
      <c r="V225" s="1695">
        <f t="shared" ca="1" si="292"/>
        <v>-705.114302427398</v>
      </c>
      <c r="W225" s="1685"/>
      <c r="X225" s="1685"/>
      <c r="Y225" s="1685"/>
      <c r="Z225" s="1685"/>
      <c r="AA225" s="1685"/>
      <c r="AB225" s="1685"/>
      <c r="AC225" s="1685"/>
      <c r="AD225" s="1685"/>
    </row>
    <row r="226" spans="1:30" ht="15.75" outlineLevel="1">
      <c r="A226" s="1685"/>
      <c r="B226" s="1692" t="s">
        <v>119</v>
      </c>
      <c r="C226" s="1695"/>
      <c r="D226" s="1695">
        <f t="shared" ref="D226:I226" si="293">-D410</f>
        <v>0</v>
      </c>
      <c r="E226" s="1695">
        <f t="shared" si="293"/>
        <v>-32</v>
      </c>
      <c r="F226" s="1695">
        <f t="shared" si="293"/>
        <v>-65</v>
      </c>
      <c r="G226" s="1695" t="e">
        <f t="shared" ca="1" si="293"/>
        <v>#DIV/0!</v>
      </c>
      <c r="H226" s="1695" t="e">
        <f t="shared" ca="1" si="293"/>
        <v>#DIV/0!</v>
      </c>
      <c r="I226" s="1695">
        <f t="shared" si="293"/>
        <v>-110.9</v>
      </c>
      <c r="J226" s="1695">
        <f t="shared" ref="J226:P226" si="294">-J410</f>
        <v>-145.6</v>
      </c>
      <c r="K226" s="1695">
        <f t="shared" si="294"/>
        <v>-130.1</v>
      </c>
      <c r="L226" s="1695">
        <f t="shared" si="294"/>
        <v>-81.599999999999994</v>
      </c>
      <c r="M226" s="1695">
        <f t="shared" si="294"/>
        <v>-44.3</v>
      </c>
      <c r="N226" s="1695">
        <f t="shared" si="294"/>
        <v>-115.6</v>
      </c>
      <c r="O226" s="1695">
        <f t="shared" si="294"/>
        <v>-79.8</v>
      </c>
      <c r="P226" s="1695">
        <f t="shared" si="294"/>
        <v>-284.23782603839197</v>
      </c>
      <c r="Q226" s="1695">
        <f t="shared" ref="Q226:V226" si="295">-Q410</f>
        <v>-144.22637059474121</v>
      </c>
      <c r="R226" s="1695">
        <f t="shared" si="295"/>
        <v>-151.0268910244738</v>
      </c>
      <c r="S226" s="1695">
        <f t="shared" si="295"/>
        <v>-155.67547513681635</v>
      </c>
      <c r="T226" s="1695">
        <f t="shared" si="295"/>
        <v>-160.1412412977227</v>
      </c>
      <c r="U226" s="1695">
        <f t="shared" si="295"/>
        <v>-163.76378596043574</v>
      </c>
      <c r="V226" s="1695">
        <f t="shared" si="295"/>
        <v>-167.51276301939237</v>
      </c>
      <c r="W226" s="1685"/>
      <c r="X226" s="1685"/>
      <c r="Y226" s="1685"/>
      <c r="Z226" s="1685"/>
      <c r="AA226" s="1685"/>
      <c r="AB226" s="1685"/>
      <c r="AC226" s="1685"/>
      <c r="AD226" s="1685"/>
    </row>
    <row r="227" spans="1:30" ht="15.75" outlineLevel="1">
      <c r="A227" s="1685"/>
      <c r="B227" s="1692" t="s">
        <v>120</v>
      </c>
      <c r="C227" s="1695"/>
      <c r="D227" s="1695">
        <f t="shared" ref="D227:I227" si="296">D361</f>
        <v>0</v>
      </c>
      <c r="E227" s="1695">
        <f t="shared" si="296"/>
        <v>701</v>
      </c>
      <c r="F227" s="1695">
        <f t="shared" si="296"/>
        <v>-112</v>
      </c>
      <c r="G227" s="1695">
        <f t="shared" si="296"/>
        <v>-532.25983755079153</v>
      </c>
      <c r="H227" s="1695">
        <f t="shared" si="296"/>
        <v>457.85983755079155</v>
      </c>
      <c r="I227" s="1695">
        <f t="shared" si="296"/>
        <v>238.10000000000028</v>
      </c>
      <c r="J227" s="1695">
        <f t="shared" ref="J227:P227" si="297">J361</f>
        <v>-159.30000000000001</v>
      </c>
      <c r="K227" s="1695">
        <f t="shared" si="297"/>
        <v>205</v>
      </c>
      <c r="L227" s="1695">
        <f t="shared" si="297"/>
        <v>208</v>
      </c>
      <c r="M227" s="1695">
        <f t="shared" si="297"/>
        <v>171</v>
      </c>
      <c r="N227" s="1695">
        <f t="shared" si="297"/>
        <v>181</v>
      </c>
      <c r="O227" s="1695">
        <f t="shared" si="297"/>
        <v>78</v>
      </c>
      <c r="P227" s="1695">
        <f t="shared" si="297"/>
        <v>4.7130538775945752E-3</v>
      </c>
      <c r="Q227" s="1695">
        <f t="shared" ref="Q227:V227" si="298">Q361</f>
        <v>26.768792555420475</v>
      </c>
      <c r="R227" s="1695">
        <f t="shared" si="298"/>
        <v>27.25126617301828</v>
      </c>
      <c r="S227" s="1695">
        <f t="shared" si="298"/>
        <v>51.865716843983137</v>
      </c>
      <c r="T227" s="1695">
        <f t="shared" si="298"/>
        <v>53.965286530873527</v>
      </c>
      <c r="U227" s="1695">
        <f t="shared" si="298"/>
        <v>6.476155038146203</v>
      </c>
      <c r="V227" s="1695">
        <f t="shared" si="298"/>
        <v>6.6901237119684538</v>
      </c>
      <c r="W227" s="1685"/>
      <c r="X227" s="1685"/>
      <c r="Y227" s="1685"/>
      <c r="Z227" s="1685"/>
      <c r="AA227" s="1685"/>
      <c r="AB227" s="1685"/>
      <c r="AC227" s="1685"/>
      <c r="AD227" s="1685"/>
    </row>
    <row r="228" spans="1:30" ht="15.75" outlineLevel="1">
      <c r="A228" s="1685"/>
      <c r="B228" s="1692" t="s">
        <v>276</v>
      </c>
      <c r="C228" s="1695"/>
      <c r="D228" s="1695">
        <f t="shared" ref="D228:I228" si="299">-D366</f>
        <v>0</v>
      </c>
      <c r="E228" s="1695">
        <f t="shared" si="299"/>
        <v>0</v>
      </c>
      <c r="F228" s="1695">
        <f t="shared" si="299"/>
        <v>-52</v>
      </c>
      <c r="G228" s="1695">
        <f t="shared" si="299"/>
        <v>-47</v>
      </c>
      <c r="H228" s="1695">
        <f t="shared" si="299"/>
        <v>-11.5</v>
      </c>
      <c r="I228" s="1695">
        <f t="shared" si="299"/>
        <v>0</v>
      </c>
      <c r="J228" s="1695">
        <f t="shared" ref="J228:P228" si="300">-J366</f>
        <v>0</v>
      </c>
      <c r="K228" s="1695">
        <f t="shared" si="300"/>
        <v>0</v>
      </c>
      <c r="L228" s="1695">
        <f t="shared" si="300"/>
        <v>0</v>
      </c>
      <c r="M228" s="1695">
        <f t="shared" si="300"/>
        <v>0</v>
      </c>
      <c r="N228" s="1695">
        <f t="shared" si="300"/>
        <v>0</v>
      </c>
      <c r="O228" s="1695">
        <f t="shared" si="300"/>
        <v>0</v>
      </c>
      <c r="P228" s="1695">
        <f t="shared" si="300"/>
        <v>0</v>
      </c>
      <c r="Q228" s="1695">
        <f t="shared" ref="Q228:V228" si="301">-Q366</f>
        <v>0</v>
      </c>
      <c r="R228" s="1695">
        <f t="shared" si="301"/>
        <v>0</v>
      </c>
      <c r="S228" s="1695">
        <f t="shared" si="301"/>
        <v>0</v>
      </c>
      <c r="T228" s="1695">
        <f t="shared" si="301"/>
        <v>0</v>
      </c>
      <c r="U228" s="1695">
        <f t="shared" si="301"/>
        <v>0</v>
      </c>
      <c r="V228" s="1695">
        <f t="shared" si="301"/>
        <v>0</v>
      </c>
      <c r="W228" s="1685"/>
      <c r="X228" s="1685"/>
      <c r="Y228" s="1685"/>
      <c r="Z228" s="1685"/>
      <c r="AA228" s="1685"/>
      <c r="AB228" s="1685"/>
      <c r="AC228" s="1685"/>
      <c r="AD228" s="1685"/>
    </row>
    <row r="229" spans="1:30" ht="15.75" outlineLevel="1">
      <c r="A229" s="1685"/>
      <c r="B229" s="1692" t="s">
        <v>121</v>
      </c>
      <c r="C229" s="1695"/>
      <c r="D229" s="1695">
        <f>-D369-D372</f>
        <v>0</v>
      </c>
      <c r="E229" s="1695">
        <f t="shared" ref="E229:P229" si="302">-E369-E372</f>
        <v>-130</v>
      </c>
      <c r="F229" s="1695">
        <f t="shared" si="302"/>
        <v>-52</v>
      </c>
      <c r="G229" s="1695">
        <f t="shared" si="302"/>
        <v>-50</v>
      </c>
      <c r="H229" s="1695">
        <f t="shared" si="302"/>
        <v>-50</v>
      </c>
      <c r="I229" s="1695">
        <f t="shared" si="302"/>
        <v>0</v>
      </c>
      <c r="J229" s="1695">
        <f t="shared" si="302"/>
        <v>0</v>
      </c>
      <c r="K229" s="1695">
        <f t="shared" si="302"/>
        <v>0</v>
      </c>
      <c r="L229" s="1695">
        <f t="shared" si="302"/>
        <v>0</v>
      </c>
      <c r="M229" s="1695">
        <f t="shared" si="302"/>
        <v>0</v>
      </c>
      <c r="N229" s="1695">
        <f t="shared" si="302"/>
        <v>0</v>
      </c>
      <c r="O229" s="1695">
        <f t="shared" si="302"/>
        <v>0</v>
      </c>
      <c r="P229" s="1695">
        <f t="shared" si="302"/>
        <v>0</v>
      </c>
      <c r="Q229" s="1695">
        <f t="shared" ref="Q229:V229" si="303">-Q369-Q372</f>
        <v>0</v>
      </c>
      <c r="R229" s="1695">
        <f t="shared" si="303"/>
        <v>0</v>
      </c>
      <c r="S229" s="1695">
        <f t="shared" si="303"/>
        <v>0</v>
      </c>
      <c r="T229" s="1695">
        <f t="shared" si="303"/>
        <v>0</v>
      </c>
      <c r="U229" s="1695">
        <f t="shared" si="303"/>
        <v>0</v>
      </c>
      <c r="V229" s="1695">
        <f t="shared" si="303"/>
        <v>0</v>
      </c>
      <c r="W229" s="1685"/>
      <c r="X229" s="1685"/>
      <c r="Y229" s="1685"/>
      <c r="Z229" s="1685"/>
      <c r="AA229" s="1685"/>
      <c r="AB229" s="1685"/>
      <c r="AC229" s="1685"/>
      <c r="AD229" s="1685"/>
    </row>
    <row r="230" spans="1:30" ht="15.75" outlineLevel="1">
      <c r="A230" s="1685"/>
      <c r="B230" s="1692" t="s">
        <v>122</v>
      </c>
      <c r="C230" s="1695"/>
      <c r="D230" s="1695">
        <f t="shared" ref="D230:K230" si="304">-C485</f>
        <v>0</v>
      </c>
      <c r="E230" s="1695">
        <f t="shared" si="304"/>
        <v>0</v>
      </c>
      <c r="F230" s="1695">
        <f t="shared" si="304"/>
        <v>-100</v>
      </c>
      <c r="G230" s="1695">
        <f t="shared" si="304"/>
        <v>0</v>
      </c>
      <c r="H230" s="1695">
        <f t="shared" si="304"/>
        <v>-194</v>
      </c>
      <c r="I230" s="1695">
        <f t="shared" si="304"/>
        <v>0</v>
      </c>
      <c r="J230" s="1695">
        <f t="shared" si="304"/>
        <v>0</v>
      </c>
      <c r="K230" s="1695">
        <f t="shared" si="304"/>
        <v>0</v>
      </c>
      <c r="L230" s="1695">
        <f t="shared" ref="L230:V230" si="305">-K485</f>
        <v>0</v>
      </c>
      <c r="M230" s="1695">
        <f t="shared" si="305"/>
        <v>0</v>
      </c>
      <c r="N230" s="1695">
        <f t="shared" si="305"/>
        <v>0</v>
      </c>
      <c r="O230" s="1695">
        <f t="shared" si="305"/>
        <v>0</v>
      </c>
      <c r="P230" s="1695">
        <f t="shared" si="305"/>
        <v>0</v>
      </c>
      <c r="Q230" s="1695">
        <f t="shared" si="305"/>
        <v>0</v>
      </c>
      <c r="R230" s="1695">
        <f t="shared" si="305"/>
        <v>0</v>
      </c>
      <c r="S230" s="1695">
        <f t="shared" si="305"/>
        <v>0</v>
      </c>
      <c r="T230" s="1695">
        <f t="shared" si="305"/>
        <v>0</v>
      </c>
      <c r="U230" s="1695">
        <f t="shared" si="305"/>
        <v>0</v>
      </c>
      <c r="V230" s="1695">
        <f t="shared" si="305"/>
        <v>0</v>
      </c>
      <c r="W230" s="1685"/>
      <c r="X230" s="1685"/>
      <c r="Y230" s="1685"/>
      <c r="Z230" s="1685"/>
      <c r="AA230" s="1685"/>
      <c r="AB230" s="1685"/>
      <c r="AC230" s="1685"/>
      <c r="AD230" s="1685"/>
    </row>
    <row r="231" spans="1:30" ht="15.75" outlineLevel="1">
      <c r="A231" s="1685"/>
      <c r="B231" s="1692" t="s">
        <v>123</v>
      </c>
      <c r="C231" s="1695"/>
      <c r="D231" s="1695">
        <f t="shared" ref="D231:I231" si="306">D435</f>
        <v>0</v>
      </c>
      <c r="E231" s="1695">
        <f t="shared" si="306"/>
        <v>0</v>
      </c>
      <c r="F231" s="1695">
        <f t="shared" si="306"/>
        <v>0</v>
      </c>
      <c r="G231" s="1695">
        <f t="shared" si="306"/>
        <v>0</v>
      </c>
      <c r="H231" s="1695">
        <f t="shared" si="306"/>
        <v>-25.2800000000002</v>
      </c>
      <c r="I231" s="1695">
        <f t="shared" si="306"/>
        <v>-50</v>
      </c>
      <c r="J231" s="1695">
        <f t="shared" ref="J231:P231" si="307">J435</f>
        <v>0</v>
      </c>
      <c r="K231" s="1695">
        <f t="shared" si="307"/>
        <v>0</v>
      </c>
      <c r="L231" s="1695">
        <f t="shared" si="307"/>
        <v>-10.67</v>
      </c>
      <c r="M231" s="1695">
        <f t="shared" si="307"/>
        <v>-65</v>
      </c>
      <c r="N231" s="1695">
        <f t="shared" si="307"/>
        <v>-183.35</v>
      </c>
      <c r="O231" s="1695">
        <f t="shared" si="307"/>
        <v>-100.10000000000001</v>
      </c>
      <c r="P231" s="1695">
        <f t="shared" si="307"/>
        <v>-150</v>
      </c>
      <c r="Q231" s="1695">
        <f t="shared" ref="Q231:V231" si="308">Q435</f>
        <v>-135</v>
      </c>
      <c r="R231" s="1695">
        <f t="shared" si="308"/>
        <v>-97.2</v>
      </c>
      <c r="S231" s="1695">
        <f t="shared" si="308"/>
        <v>-104.97600000000003</v>
      </c>
      <c r="T231" s="1695">
        <f t="shared" si="308"/>
        <v>-113.37408000000003</v>
      </c>
      <c r="U231" s="1695">
        <f t="shared" si="308"/>
        <v>-122.44400640000003</v>
      </c>
      <c r="V231" s="1695">
        <f t="shared" si="308"/>
        <v>-132.23952691200003</v>
      </c>
      <c r="W231" s="1685"/>
      <c r="X231" s="1685"/>
      <c r="Y231" s="1685"/>
      <c r="Z231" s="1685"/>
      <c r="AA231" s="1685"/>
      <c r="AB231" s="1685"/>
      <c r="AC231" s="1685"/>
      <c r="AD231" s="1685"/>
    </row>
    <row r="232" spans="1:30" ht="15.75" outlineLevel="1">
      <c r="A232" s="1685"/>
      <c r="B232" s="1692" t="s">
        <v>268</v>
      </c>
      <c r="C232" s="1695"/>
      <c r="D232" s="1695"/>
      <c r="E232" s="1695">
        <f>-E448</f>
        <v>-72</v>
      </c>
      <c r="F232" s="1695">
        <f t="shared" ref="F232:P232" si="309">-F448</f>
        <v>-86</v>
      </c>
      <c r="G232" s="1695">
        <f t="shared" si="309"/>
        <v>-86</v>
      </c>
      <c r="H232" s="1695">
        <f t="shared" si="309"/>
        <v>-46</v>
      </c>
      <c r="I232" s="1695">
        <f t="shared" si="309"/>
        <v>-62</v>
      </c>
      <c r="J232" s="1695">
        <f t="shared" si="309"/>
        <v>-28</v>
      </c>
      <c r="K232" s="1695">
        <f t="shared" si="309"/>
        <v>-37.700000000000003</v>
      </c>
      <c r="L232" s="1695">
        <f t="shared" si="309"/>
        <v>-18.8</v>
      </c>
      <c r="M232" s="1695">
        <f t="shared" si="309"/>
        <v>-47.6</v>
      </c>
      <c r="N232" s="1695">
        <f t="shared" si="309"/>
        <v>-1.9</v>
      </c>
      <c r="O232" s="1695">
        <f t="shared" si="309"/>
        <v>-75.400000000000006</v>
      </c>
      <c r="P232" s="1695">
        <f t="shared" si="309"/>
        <v>-35</v>
      </c>
      <c r="Q232" s="1695">
        <f t="shared" ref="Q232:V232" si="310">-Q448</f>
        <v>-50</v>
      </c>
      <c r="R232" s="1695">
        <f t="shared" si="310"/>
        <v>-50</v>
      </c>
      <c r="S232" s="1695">
        <f t="shared" si="310"/>
        <v>-50</v>
      </c>
      <c r="T232" s="1695">
        <f t="shared" si="310"/>
        <v>-50</v>
      </c>
      <c r="U232" s="1695">
        <f t="shared" si="310"/>
        <v>-50</v>
      </c>
      <c r="V232" s="1695">
        <f t="shared" si="310"/>
        <v>-50</v>
      </c>
      <c r="W232" s="1685"/>
      <c r="X232" s="1685"/>
      <c r="Y232" s="1685"/>
      <c r="Z232" s="1685"/>
      <c r="AA232" s="1685"/>
      <c r="AB232" s="1685"/>
      <c r="AC232" s="1685"/>
      <c r="AD232" s="1685"/>
    </row>
    <row r="233" spans="1:30" ht="15.75" outlineLevel="1">
      <c r="A233" s="1685"/>
      <c r="B233" s="1692" t="s">
        <v>124</v>
      </c>
      <c r="C233" s="1695"/>
      <c r="D233" s="1695">
        <f t="shared" ref="D233:I233" si="311">D449</f>
        <v>0</v>
      </c>
      <c r="E233" s="1695">
        <f t="shared" si="311"/>
        <v>0</v>
      </c>
      <c r="F233" s="1695">
        <f t="shared" si="311"/>
        <v>0</v>
      </c>
      <c r="G233" s="1695">
        <f t="shared" si="311"/>
        <v>0</v>
      </c>
      <c r="H233" s="1695">
        <f t="shared" si="311"/>
        <v>0</v>
      </c>
      <c r="I233" s="1695">
        <f t="shared" si="311"/>
        <v>0</v>
      </c>
      <c r="J233" s="1695">
        <f t="shared" ref="J233:P233" si="312">J449</f>
        <v>0</v>
      </c>
      <c r="K233" s="1695">
        <f t="shared" si="312"/>
        <v>0</v>
      </c>
      <c r="L233" s="1695">
        <f t="shared" si="312"/>
        <v>0</v>
      </c>
      <c r="M233" s="1695">
        <f t="shared" si="312"/>
        <v>0</v>
      </c>
      <c r="N233" s="1695">
        <f t="shared" si="312"/>
        <v>0</v>
      </c>
      <c r="O233" s="1695">
        <f t="shared" si="312"/>
        <v>0</v>
      </c>
      <c r="P233" s="1695">
        <f t="shared" si="312"/>
        <v>0</v>
      </c>
      <c r="Q233" s="1695">
        <f t="shared" ref="Q233:V233" si="313">Q449</f>
        <v>0</v>
      </c>
      <c r="R233" s="1695">
        <f t="shared" si="313"/>
        <v>0</v>
      </c>
      <c r="S233" s="1695">
        <f t="shared" si="313"/>
        <v>0</v>
      </c>
      <c r="T233" s="1695">
        <f t="shared" si="313"/>
        <v>0</v>
      </c>
      <c r="U233" s="1695">
        <f t="shared" si="313"/>
        <v>0</v>
      </c>
      <c r="V233" s="1695">
        <f t="shared" si="313"/>
        <v>0</v>
      </c>
      <c r="W233" s="1685"/>
      <c r="X233" s="1685"/>
      <c r="Y233" s="1685"/>
      <c r="Z233" s="1685"/>
      <c r="AA233" s="1685"/>
      <c r="AB233" s="1685"/>
      <c r="AC233" s="1685"/>
      <c r="AD233" s="1685"/>
    </row>
    <row r="234" spans="1:30" ht="15.75" outlineLevel="1">
      <c r="A234" s="1685"/>
      <c r="B234" s="1692" t="s">
        <v>125</v>
      </c>
      <c r="C234" s="1695"/>
      <c r="D234" s="1695">
        <f t="shared" ref="D234:P234" si="314">-D452</f>
        <v>0</v>
      </c>
      <c r="E234" s="1695">
        <f t="shared" si="314"/>
        <v>0</v>
      </c>
      <c r="F234" s="1695">
        <f t="shared" si="314"/>
        <v>-1875</v>
      </c>
      <c r="G234" s="1695">
        <f t="shared" si="314"/>
        <v>-1974</v>
      </c>
      <c r="H234" s="1695">
        <f t="shared" si="314"/>
        <v>0</v>
      </c>
      <c r="I234" s="1695">
        <f t="shared" si="314"/>
        <v>-38</v>
      </c>
      <c r="J234" s="1695">
        <f t="shared" si="314"/>
        <v>-269</v>
      </c>
      <c r="K234" s="1695">
        <f t="shared" si="314"/>
        <v>-161</v>
      </c>
      <c r="L234" s="1695">
        <f t="shared" si="314"/>
        <v>-1950</v>
      </c>
      <c r="M234" s="1695">
        <f t="shared" si="314"/>
        <v>-500</v>
      </c>
      <c r="N234" s="1695">
        <f t="shared" si="314"/>
        <v>858</v>
      </c>
      <c r="O234" s="1695">
        <f t="shared" si="314"/>
        <v>0</v>
      </c>
      <c r="P234" s="1695">
        <f t="shared" si="314"/>
        <v>95</v>
      </c>
      <c r="Q234" s="1695">
        <f t="shared" ref="Q234:V234" si="315">-Q452</f>
        <v>72</v>
      </c>
      <c r="R234" s="1695">
        <f t="shared" si="315"/>
        <v>45</v>
      </c>
      <c r="S234" s="1695">
        <f t="shared" si="315"/>
        <v>40</v>
      </c>
      <c r="T234" s="1695">
        <f t="shared" si="315"/>
        <v>0</v>
      </c>
      <c r="U234" s="1695">
        <f t="shared" si="315"/>
        <v>0</v>
      </c>
      <c r="V234" s="1695">
        <f t="shared" si="315"/>
        <v>0</v>
      </c>
      <c r="W234" s="1685"/>
      <c r="X234" s="1685"/>
      <c r="Y234" s="1685"/>
      <c r="Z234" s="1685"/>
      <c r="AA234" s="1685"/>
      <c r="AB234" s="1685"/>
      <c r="AC234" s="1685"/>
      <c r="AD234" s="1685"/>
    </row>
    <row r="235" spans="1:30" ht="15.75" outlineLevel="1">
      <c r="A235" s="1685"/>
      <c r="B235" s="1692" t="s">
        <v>7820</v>
      </c>
      <c r="C235" s="1695"/>
      <c r="D235" s="1695"/>
      <c r="E235" s="1695"/>
      <c r="F235" s="1695"/>
      <c r="G235" s="1695"/>
      <c r="H235" s="1695"/>
      <c r="I235" s="1695"/>
      <c r="J235" s="1695"/>
      <c r="K235" s="1695"/>
      <c r="L235" s="1695"/>
      <c r="M235" s="1695"/>
      <c r="N235" s="1695"/>
      <c r="O235" s="1695"/>
      <c r="P235" s="1695">
        <f>P378</f>
        <v>80</v>
      </c>
      <c r="Q235" s="1695">
        <f t="shared" ref="Q235:V235" si="316">Q378</f>
        <v>75</v>
      </c>
      <c r="R235" s="1695">
        <f t="shared" si="316"/>
        <v>25</v>
      </c>
      <c r="S235" s="1695">
        <f t="shared" si="316"/>
        <v>0</v>
      </c>
      <c r="T235" s="1695">
        <f t="shared" si="316"/>
        <v>0</v>
      </c>
      <c r="U235" s="1695">
        <f t="shared" si="316"/>
        <v>0</v>
      </c>
      <c r="V235" s="1695">
        <f t="shared" si="316"/>
        <v>0</v>
      </c>
      <c r="W235" s="1685"/>
      <c r="X235" s="1685"/>
      <c r="Y235" s="1685"/>
      <c r="Z235" s="1685"/>
      <c r="AA235" s="1685"/>
      <c r="AB235" s="1685"/>
      <c r="AC235" s="1685"/>
      <c r="AD235" s="1685"/>
    </row>
    <row r="236" spans="1:30" ht="15.75" outlineLevel="1">
      <c r="A236" s="1685"/>
      <c r="B236" s="1692" t="s">
        <v>126</v>
      </c>
      <c r="C236" s="1695"/>
      <c r="D236" s="1695">
        <f>D437</f>
        <v>0</v>
      </c>
      <c r="E236" s="1695">
        <f>E437</f>
        <v>0</v>
      </c>
      <c r="F236" s="1695">
        <f>F436</f>
        <v>176.33656809000001</v>
      </c>
      <c r="G236" s="1695">
        <f t="shared" ref="G236:P236" si="317">G437</f>
        <v>0</v>
      </c>
      <c r="H236" s="1695">
        <f t="shared" si="317"/>
        <v>0</v>
      </c>
      <c r="I236" s="1695">
        <f t="shared" si="317"/>
        <v>0</v>
      </c>
      <c r="J236" s="1695">
        <f t="shared" si="317"/>
        <v>0</v>
      </c>
      <c r="K236" s="1695">
        <f t="shared" si="317"/>
        <v>0</v>
      </c>
      <c r="L236" s="1695">
        <f t="shared" si="317"/>
        <v>350</v>
      </c>
      <c r="M236" s="1695">
        <f t="shared" si="317"/>
        <v>0</v>
      </c>
      <c r="N236" s="1695">
        <f t="shared" si="317"/>
        <v>0</v>
      </c>
      <c r="O236" s="1695">
        <f t="shared" si="317"/>
        <v>0</v>
      </c>
      <c r="P236" s="1695">
        <f t="shared" si="317"/>
        <v>0</v>
      </c>
      <c r="Q236" s="1695">
        <f t="shared" ref="Q236:V236" si="318">Q437</f>
        <v>0</v>
      </c>
      <c r="R236" s="1695">
        <f t="shared" si="318"/>
        <v>0</v>
      </c>
      <c r="S236" s="1695">
        <f t="shared" si="318"/>
        <v>0</v>
      </c>
      <c r="T236" s="1695">
        <f t="shared" si="318"/>
        <v>0</v>
      </c>
      <c r="U236" s="1695">
        <f t="shared" si="318"/>
        <v>0</v>
      </c>
      <c r="V236" s="1695">
        <f t="shared" si="318"/>
        <v>0</v>
      </c>
      <c r="W236" s="1685"/>
      <c r="X236" s="1685"/>
      <c r="Y236" s="1685"/>
      <c r="Z236" s="1685"/>
      <c r="AA236" s="1685"/>
      <c r="AB236" s="1685"/>
      <c r="AC236" s="1685"/>
      <c r="AD236" s="1685"/>
    </row>
    <row r="237" spans="1:30" ht="15.75" outlineLevel="1">
      <c r="A237" s="1685"/>
      <c r="B237" s="1692" t="s">
        <v>127</v>
      </c>
      <c r="C237" s="1695">
        <f>D240-E236</f>
        <v>0</v>
      </c>
      <c r="D237" s="1695">
        <f t="shared" ref="D237:K237" si="319">D418</f>
        <v>0</v>
      </c>
      <c r="E237" s="1695">
        <f t="shared" si="319"/>
        <v>0</v>
      </c>
      <c r="F237" s="1695">
        <f t="shared" si="319"/>
        <v>0</v>
      </c>
      <c r="G237" s="1695">
        <f t="shared" si="319"/>
        <v>0</v>
      </c>
      <c r="H237" s="1695">
        <f t="shared" si="319"/>
        <v>0</v>
      </c>
      <c r="I237" s="1695">
        <f t="shared" si="319"/>
        <v>0</v>
      </c>
      <c r="J237" s="1695">
        <f t="shared" si="319"/>
        <v>0</v>
      </c>
      <c r="K237" s="1695">
        <f t="shared" si="319"/>
        <v>0</v>
      </c>
      <c r="L237" s="1695">
        <f t="shared" ref="L237:Q237" si="320">L418</f>
        <v>0</v>
      </c>
      <c r="M237" s="1695">
        <f t="shared" si="320"/>
        <v>0</v>
      </c>
      <c r="N237" s="1695">
        <f t="shared" si="320"/>
        <v>0</v>
      </c>
      <c r="O237" s="1695">
        <f t="shared" si="320"/>
        <v>0</v>
      </c>
      <c r="P237" s="1695">
        <f t="shared" si="320"/>
        <v>0</v>
      </c>
      <c r="Q237" s="1695">
        <f t="shared" si="320"/>
        <v>0</v>
      </c>
      <c r="R237" s="1695">
        <f t="shared" ref="R237:S237" si="321">R418</f>
        <v>0</v>
      </c>
      <c r="S237" s="1695">
        <f t="shared" si="321"/>
        <v>0</v>
      </c>
      <c r="T237" s="1695">
        <f t="shared" ref="T237:V237" si="322">T418</f>
        <v>0</v>
      </c>
      <c r="U237" s="1695">
        <f t="shared" si="322"/>
        <v>0</v>
      </c>
      <c r="V237" s="1695">
        <f t="shared" si="322"/>
        <v>0</v>
      </c>
      <c r="W237" s="1685"/>
      <c r="X237" s="1685"/>
      <c r="Y237" s="1685"/>
      <c r="Z237" s="1685"/>
      <c r="AA237" s="1685"/>
      <c r="AB237" s="1685"/>
      <c r="AC237" s="1685"/>
      <c r="AD237" s="1685"/>
    </row>
    <row r="238" spans="1:30" ht="15.75" outlineLevel="1">
      <c r="A238" s="1685"/>
      <c r="B238" s="1692" t="s">
        <v>128</v>
      </c>
      <c r="C238" s="1717"/>
      <c r="D238" s="1717">
        <f t="shared" ref="D238:K238" si="323">D454</f>
        <v>0</v>
      </c>
      <c r="E238" s="1717">
        <f t="shared" si="323"/>
        <v>0</v>
      </c>
      <c r="F238" s="1717">
        <f t="shared" si="323"/>
        <v>0</v>
      </c>
      <c r="G238" s="1717">
        <f t="shared" si="323"/>
        <v>0</v>
      </c>
      <c r="H238" s="1717">
        <f t="shared" si="323"/>
        <v>-155</v>
      </c>
      <c r="I238" s="1717">
        <f t="shared" si="323"/>
        <v>0</v>
      </c>
      <c r="J238" s="1717">
        <f t="shared" si="323"/>
        <v>0</v>
      </c>
      <c r="K238" s="1717">
        <f t="shared" si="323"/>
        <v>-104</v>
      </c>
      <c r="L238" s="1717">
        <f t="shared" ref="L238:Q238" si="324">L454</f>
        <v>0</v>
      </c>
      <c r="M238" s="1717">
        <f t="shared" si="324"/>
        <v>0</v>
      </c>
      <c r="N238" s="1717">
        <f t="shared" si="324"/>
        <v>0</v>
      </c>
      <c r="O238" s="1717">
        <f t="shared" si="324"/>
        <v>0</v>
      </c>
      <c r="P238" s="1717">
        <f t="shared" si="324"/>
        <v>0</v>
      </c>
      <c r="Q238" s="1717">
        <f t="shared" si="324"/>
        <v>0</v>
      </c>
      <c r="R238" s="1717">
        <f t="shared" ref="R238:S238" si="325">R454</f>
        <v>0</v>
      </c>
      <c r="S238" s="1717">
        <f t="shared" si="325"/>
        <v>0</v>
      </c>
      <c r="T238" s="1717">
        <f t="shared" ref="T238:V238" si="326">T454</f>
        <v>0</v>
      </c>
      <c r="U238" s="1717">
        <f t="shared" si="326"/>
        <v>0</v>
      </c>
      <c r="V238" s="1717">
        <f t="shared" si="326"/>
        <v>0</v>
      </c>
      <c r="W238" s="1685"/>
      <c r="X238" s="1685"/>
      <c r="Y238" s="1685"/>
      <c r="Z238" s="1685"/>
      <c r="AA238" s="1685"/>
      <c r="AB238" s="1685"/>
      <c r="AC238" s="1685"/>
      <c r="AD238" s="1685"/>
    </row>
    <row r="239" spans="1:30" ht="15.75" outlineLevel="1">
      <c r="A239" s="1685"/>
      <c r="B239" s="1692" t="s">
        <v>116</v>
      </c>
      <c r="C239" s="1695"/>
      <c r="D239" s="1695">
        <f t="shared" ref="D239:W239" si="327">SUM(D224:D238)</f>
        <v>0</v>
      </c>
      <c r="E239" s="1695">
        <f t="shared" si="327"/>
        <v>309</v>
      </c>
      <c r="F239" s="1695">
        <f t="shared" si="327"/>
        <v>-2256.6634319099999</v>
      </c>
      <c r="G239" s="1695" t="e">
        <f t="shared" ca="1" si="327"/>
        <v>#DIV/0!</v>
      </c>
      <c r="H239" s="1695" t="e">
        <f t="shared" ca="1" si="327"/>
        <v>#DIV/0!</v>
      </c>
      <c r="I239" s="1695">
        <f t="shared" si="327"/>
        <v>185.95376078914927</v>
      </c>
      <c r="J239" s="1695">
        <f t="shared" si="327"/>
        <v>-404.42823862840044</v>
      </c>
      <c r="K239" s="1695">
        <f t="shared" si="327"/>
        <v>52.400000000000148</v>
      </c>
      <c r="L239" s="1695">
        <f t="shared" si="327"/>
        <v>-1182.47</v>
      </c>
      <c r="M239" s="1695">
        <f t="shared" si="327"/>
        <v>-50.70643889618907</v>
      </c>
      <c r="N239" s="1695">
        <f t="shared" si="327"/>
        <v>1083.1500000000001</v>
      </c>
      <c r="O239" s="1695">
        <f t="shared" si="327"/>
        <v>191.69999999999985</v>
      </c>
      <c r="P239" s="1695">
        <f t="shared" ca="1" si="327"/>
        <v>-49.233700245367004</v>
      </c>
      <c r="Q239" s="1695">
        <f t="shared" ca="1" si="327"/>
        <v>272.09374171556334</v>
      </c>
      <c r="R239" s="1695">
        <f t="shared" ca="1" si="327"/>
        <v>239.00432310769207</v>
      </c>
      <c r="S239" s="1695">
        <f t="shared" ca="1" si="327"/>
        <v>266.69217950669497</v>
      </c>
      <c r="T239" s="1695">
        <f t="shared" ca="1" si="327"/>
        <v>258.33760114945107</v>
      </c>
      <c r="U239" s="1695">
        <f t="shared" ca="1" si="327"/>
        <v>229.0675945447764</v>
      </c>
      <c r="V239" s="1695">
        <f t="shared" ca="1" si="327"/>
        <v>248.1060418903827</v>
      </c>
      <c r="W239" s="1695">
        <f t="shared" si="327"/>
        <v>0</v>
      </c>
      <c r="X239" s="1685"/>
      <c r="Y239" s="1685"/>
      <c r="Z239" s="1685"/>
      <c r="AA239" s="1685"/>
      <c r="AB239" s="1685"/>
      <c r="AC239" s="1685"/>
      <c r="AD239" s="1685"/>
    </row>
    <row r="240" spans="1:30" ht="15.75" outlineLevel="1">
      <c r="A240" s="1685"/>
      <c r="B240" s="1689" t="s">
        <v>6548</v>
      </c>
      <c r="C240" s="1691"/>
      <c r="D240" s="1691">
        <f>D310</f>
        <v>0</v>
      </c>
      <c r="E240" s="1691">
        <f>E310</f>
        <v>257</v>
      </c>
      <c r="F240" s="1691">
        <f>F310</f>
        <v>1326</v>
      </c>
      <c r="G240" s="1691" t="e">
        <f t="shared" ref="G240:V240" ca="1" si="328">F240-G239</f>
        <v>#DIV/0!</v>
      </c>
      <c r="H240" s="1691" t="e">
        <f>H310</f>
        <v>#REF!</v>
      </c>
      <c r="I240" s="1691">
        <f t="shared" ref="I240:O240" si="329">I310</f>
        <v>5985.1</v>
      </c>
      <c r="J240" s="1691">
        <f t="shared" si="329"/>
        <v>6066</v>
      </c>
      <c r="K240" s="1691">
        <f t="shared" si="329"/>
        <v>6060.1</v>
      </c>
      <c r="L240" s="1691">
        <f t="shared" si="329"/>
        <v>7781.4</v>
      </c>
      <c r="M240" s="1691">
        <f t="shared" si="329"/>
        <v>8031.1</v>
      </c>
      <c r="N240" s="1691">
        <f t="shared" si="329"/>
        <v>6269.5</v>
      </c>
      <c r="O240" s="1691">
        <f t="shared" si="329"/>
        <v>7251.1</v>
      </c>
      <c r="P240" s="1691">
        <f ca="1">O240-P239</f>
        <v>7300.3337002453673</v>
      </c>
      <c r="Q240" s="1691">
        <f t="shared" ca="1" si="328"/>
        <v>7028.2399585298035</v>
      </c>
      <c r="R240" s="1691">
        <f t="shared" ca="1" si="328"/>
        <v>6789.235635422111</v>
      </c>
      <c r="S240" s="1691">
        <f t="shared" ca="1" si="328"/>
        <v>6522.5434559154164</v>
      </c>
      <c r="T240" s="1691">
        <f t="shared" ca="1" si="328"/>
        <v>6264.2058547659653</v>
      </c>
      <c r="U240" s="1691">
        <f t="shared" ca="1" si="328"/>
        <v>6035.1382602211888</v>
      </c>
      <c r="V240" s="1691">
        <f t="shared" ca="1" si="328"/>
        <v>5787.0322183308062</v>
      </c>
      <c r="W240" s="1685"/>
      <c r="X240" s="1685"/>
      <c r="Y240" s="1685"/>
      <c r="Z240" s="1685"/>
      <c r="AA240" s="1685"/>
      <c r="AB240" s="1685"/>
      <c r="AC240" s="1685"/>
      <c r="AD240" s="1685"/>
    </row>
    <row r="241" spans="1:30" ht="15.75" outlineLevel="1">
      <c r="A241" s="1685"/>
      <c r="B241" s="1692" t="s">
        <v>129</v>
      </c>
      <c r="C241" s="1695"/>
      <c r="D241" s="1695">
        <f>E240+1330</f>
        <v>1587</v>
      </c>
      <c r="E241" s="1695">
        <f t="shared" ref="E241:V241" si="330">E239+E186</f>
        <v>566</v>
      </c>
      <c r="F241" s="1695">
        <f t="shared" si="330"/>
        <v>-1187.6634319099999</v>
      </c>
      <c r="G241" s="1695" t="e">
        <f t="shared" ca="1" si="330"/>
        <v>#DIV/0!</v>
      </c>
      <c r="H241" s="1695" t="e">
        <f t="shared" ca="1" si="330"/>
        <v>#DIV/0!</v>
      </c>
      <c r="I241" s="1695">
        <f t="shared" ca="1" si="330"/>
        <v>717.5537607891506</v>
      </c>
      <c r="J241" s="1695">
        <f t="shared" si="330"/>
        <v>-323.5282386284008</v>
      </c>
      <c r="K241" s="1695">
        <f t="shared" si="330"/>
        <v>46.500000000000512</v>
      </c>
      <c r="L241" s="1695">
        <f t="shared" si="330"/>
        <v>538.82999999999925</v>
      </c>
      <c r="M241" s="1695">
        <f t="shared" si="330"/>
        <v>246.19356110381057</v>
      </c>
      <c r="N241" s="1695">
        <f t="shared" si="330"/>
        <v>198.55000000000155</v>
      </c>
      <c r="O241" s="1695">
        <f t="shared" si="330"/>
        <v>94.80000000000021</v>
      </c>
      <c r="P241" s="1695">
        <f t="shared" ca="1" si="330"/>
        <v>19.398211464072915</v>
      </c>
      <c r="Q241" s="1695">
        <f t="shared" ca="1" si="330"/>
        <v>73.108397166514408</v>
      </c>
      <c r="R241" s="1695">
        <f t="shared" ca="1" si="330"/>
        <v>74.468066501898249</v>
      </c>
      <c r="S241" s="1695">
        <f t="shared" ca="1" si="330"/>
        <v>124.08542477064236</v>
      </c>
      <c r="T241" s="1695">
        <f t="shared" ca="1" si="330"/>
        <v>128.68532708759176</v>
      </c>
      <c r="U241" s="1695">
        <f t="shared" ca="1" si="330"/>
        <v>34.140906399782466</v>
      </c>
      <c r="V241" s="1695">
        <f t="shared" ca="1" si="330"/>
        <v>35.017340143045772</v>
      </c>
      <c r="W241" s="1685"/>
      <c r="X241" s="1685"/>
      <c r="Y241" s="1685"/>
      <c r="Z241" s="1685"/>
      <c r="AA241" s="1685"/>
      <c r="AB241" s="1685"/>
      <c r="AC241" s="1685"/>
      <c r="AD241" s="1685"/>
    </row>
    <row r="242" spans="1:30" ht="15.75" outlineLevel="1">
      <c r="A242" s="1685"/>
      <c r="B242" s="1692"/>
      <c r="C242" s="1692"/>
      <c r="D242" s="1695"/>
      <c r="E242" s="1695"/>
      <c r="F242" s="1695"/>
      <c r="G242" s="1695"/>
      <c r="H242" s="1695"/>
      <c r="I242" s="1692"/>
      <c r="J242" s="1692"/>
      <c r="K242" s="1692"/>
      <c r="L242" s="1685"/>
      <c r="M242" s="1685"/>
      <c r="N242" s="1685"/>
      <c r="O242" s="1685"/>
      <c r="P242" s="1685"/>
      <c r="Q242" s="1685"/>
      <c r="R242" s="1685"/>
      <c r="S242" s="1685"/>
      <c r="T242" s="1685"/>
      <c r="U242" s="1685"/>
      <c r="V242" s="1685"/>
      <c r="W242" s="1685"/>
      <c r="X242" s="1685"/>
      <c r="Y242" s="1685"/>
      <c r="Z242" s="1685"/>
      <c r="AA242" s="1685"/>
      <c r="AB242" s="1685"/>
      <c r="AC242" s="1685"/>
      <c r="AD242" s="1685"/>
    </row>
    <row r="243" spans="1:30" ht="15.75">
      <c r="A243" s="1685"/>
      <c r="B243" s="1687" t="s">
        <v>81</v>
      </c>
      <c r="C243" s="1688">
        <f t="shared" ref="C243:V243" si="331">C188</f>
        <v>40908</v>
      </c>
      <c r="D243" s="1688">
        <f t="shared" si="331"/>
        <v>41274</v>
      </c>
      <c r="E243" s="1688">
        <f t="shared" si="331"/>
        <v>41639</v>
      </c>
      <c r="F243" s="1688">
        <f t="shared" si="331"/>
        <v>42004</v>
      </c>
      <c r="G243" s="1688">
        <f t="shared" si="331"/>
        <v>42369</v>
      </c>
      <c r="H243" s="1688">
        <f t="shared" si="331"/>
        <v>42735</v>
      </c>
      <c r="I243" s="1688">
        <f t="shared" si="331"/>
        <v>43100</v>
      </c>
      <c r="J243" s="1688">
        <f t="shared" si="331"/>
        <v>43465</v>
      </c>
      <c r="K243" s="1688">
        <f t="shared" si="331"/>
        <v>43830</v>
      </c>
      <c r="L243" s="1688">
        <f t="shared" si="331"/>
        <v>44196</v>
      </c>
      <c r="M243" s="1688">
        <f t="shared" si="331"/>
        <v>44561</v>
      </c>
      <c r="N243" s="1688">
        <f t="shared" si="331"/>
        <v>44926</v>
      </c>
      <c r="O243" s="1688">
        <f t="shared" si="331"/>
        <v>45291</v>
      </c>
      <c r="P243" s="1688">
        <f t="shared" si="331"/>
        <v>45657</v>
      </c>
      <c r="Q243" s="1688">
        <f t="shared" si="331"/>
        <v>46022</v>
      </c>
      <c r="R243" s="1688">
        <f t="shared" si="331"/>
        <v>46387</v>
      </c>
      <c r="S243" s="1688">
        <f t="shared" si="331"/>
        <v>46752</v>
      </c>
      <c r="T243" s="1688">
        <f t="shared" si="331"/>
        <v>47118</v>
      </c>
      <c r="U243" s="1688">
        <f t="shared" si="331"/>
        <v>47483</v>
      </c>
      <c r="V243" s="1688">
        <f t="shared" si="331"/>
        <v>47848</v>
      </c>
      <c r="W243" s="1685"/>
      <c r="X243" s="1685"/>
      <c r="Y243" s="1685"/>
      <c r="Z243" s="1685"/>
      <c r="AA243" s="1685"/>
      <c r="AB243" s="1685"/>
      <c r="AC243" s="1685"/>
      <c r="AD243" s="1685"/>
    </row>
    <row r="244" spans="1:30" ht="15.75">
      <c r="A244" s="1685"/>
      <c r="B244" s="1692" t="s">
        <v>81</v>
      </c>
      <c r="C244" s="1730"/>
      <c r="D244" s="1730"/>
      <c r="E244" s="1730">
        <f>SUM(Quarts!K161:L161)-E260</f>
        <v>185</v>
      </c>
      <c r="F244" s="1730">
        <f>SUM(Quarts!V161:W161)-F260</f>
        <v>206</v>
      </c>
      <c r="G244" s="1731">
        <f t="shared" ref="G244:P244" si="332">G247+G248</f>
        <v>510.72874493927122</v>
      </c>
      <c r="H244" s="1731">
        <f t="shared" si="332"/>
        <v>537.95833401629272</v>
      </c>
      <c r="I244" s="1731">
        <f>I247+I248</f>
        <v>1465.8258620689655</v>
      </c>
      <c r="J244" s="1731">
        <f>J247+J248</f>
        <v>1433.5839080459768</v>
      </c>
      <c r="K244" s="1731">
        <f t="shared" si="332"/>
        <v>1096.6028735632185</v>
      </c>
      <c r="L244" s="1731">
        <f t="shared" si="332"/>
        <v>1267.7494252873562</v>
      </c>
      <c r="M244" s="1731">
        <f t="shared" si="332"/>
        <v>1605.0189655172414</v>
      </c>
      <c r="N244" s="1731">
        <f>N247+N248</f>
        <v>1507.3390804597702</v>
      </c>
      <c r="O244" s="1731">
        <f t="shared" si="332"/>
        <v>1075.4270114942528</v>
      </c>
      <c r="P244" s="1731">
        <f t="shared" si="332"/>
        <v>1515.5265708786051</v>
      </c>
      <c r="Q244" s="1731">
        <f t="shared" ref="Q244:V244" si="333">Q247+Q248</f>
        <v>758.30302665584293</v>
      </c>
      <c r="R244" s="1731">
        <f t="shared" si="333"/>
        <v>733.36613644695353</v>
      </c>
      <c r="S244" s="1731">
        <f t="shared" si="333"/>
        <v>723.66162956827691</v>
      </c>
      <c r="T244" s="1731">
        <f t="shared" si="333"/>
        <v>720.60664815121686</v>
      </c>
      <c r="U244" s="1731">
        <f t="shared" si="333"/>
        <v>730.80022133616399</v>
      </c>
      <c r="V244" s="1731">
        <f t="shared" si="333"/>
        <v>742.32246871766097</v>
      </c>
      <c r="W244" s="1685"/>
      <c r="X244" s="1685"/>
      <c r="Y244" s="1685"/>
      <c r="Z244" s="1685"/>
      <c r="AA244" s="1685"/>
      <c r="AB244" s="1685"/>
      <c r="AC244" s="1685"/>
      <c r="AD244" s="1685"/>
    </row>
    <row r="245" spans="1:30" ht="15.75">
      <c r="A245" s="1685"/>
      <c r="B245" s="1692" t="s">
        <v>78</v>
      </c>
      <c r="C245" s="1693"/>
      <c r="D245" s="1693"/>
      <c r="E245" s="1693"/>
      <c r="F245" s="1693">
        <f t="shared" ref="F245:K245" si="334">F244/E244-1</f>
        <v>0.11351351351351346</v>
      </c>
      <c r="G245" s="1693">
        <f t="shared" si="334"/>
        <v>1.4792657521323846</v>
      </c>
      <c r="H245" s="1693">
        <f t="shared" si="334"/>
        <v>5.3315168466304463E-2</v>
      </c>
      <c r="I245" s="1693">
        <f t="shared" si="334"/>
        <v>1.7247944113541167</v>
      </c>
      <c r="J245" s="1693">
        <f t="shared" si="334"/>
        <v>-2.1995760108557638E-2</v>
      </c>
      <c r="K245" s="1693">
        <f t="shared" si="334"/>
        <v>-0.2350619538845653</v>
      </c>
      <c r="L245" s="1693">
        <f t="shared" ref="L245:V245" si="335">L244/K244-1</f>
        <v>0.1560697640414046</v>
      </c>
      <c r="M245" s="1693">
        <f t="shared" si="335"/>
        <v>0.26603801469161592</v>
      </c>
      <c r="N245" s="1693">
        <f>N244/M244-1</f>
        <v>-6.085902232687479E-2</v>
      </c>
      <c r="O245" s="1693">
        <f t="shared" si="335"/>
        <v>-0.28653942206140848</v>
      </c>
      <c r="P245" s="1693">
        <f t="shared" si="335"/>
        <v>0.40923238367693182</v>
      </c>
      <c r="Q245" s="1693">
        <f t="shared" si="335"/>
        <v>-0.49964385895509078</v>
      </c>
      <c r="R245" s="1693">
        <f t="shared" si="335"/>
        <v>-3.2885125513559377E-2</v>
      </c>
      <c r="S245" s="1693">
        <f t="shared" si="335"/>
        <v>-1.3232826546496268E-2</v>
      </c>
      <c r="T245" s="1693">
        <f t="shared" si="335"/>
        <v>-4.2215605916298138E-3</v>
      </c>
      <c r="U245" s="1693">
        <f t="shared" si="335"/>
        <v>1.4145821733812403E-2</v>
      </c>
      <c r="V245" s="1693">
        <f t="shared" si="335"/>
        <v>1.5766617257491067E-2</v>
      </c>
      <c r="W245" s="1685"/>
      <c r="X245" s="1685"/>
      <c r="Y245" s="1685"/>
      <c r="Z245" s="1685"/>
      <c r="AA245" s="1685"/>
      <c r="AB245" s="1685"/>
      <c r="AC245" s="1685"/>
      <c r="AD245" s="1685"/>
    </row>
    <row r="246" spans="1:30" ht="15.75">
      <c r="A246" s="1685"/>
      <c r="B246" s="1692" t="s">
        <v>130</v>
      </c>
      <c r="C246" s="1693"/>
      <c r="D246" s="1693"/>
      <c r="E246" s="1693">
        <f t="shared" ref="E246:P246" si="336">E244/E254</f>
        <v>0.13046544428772919</v>
      </c>
      <c r="F246" s="1693">
        <f t="shared" si="336"/>
        <v>8.1648830757035273E-2</v>
      </c>
      <c r="G246" s="1693">
        <f t="shared" si="336"/>
        <v>0.12812192454060442</v>
      </c>
      <c r="H246" s="1693">
        <f t="shared" si="336"/>
        <v>0.1393349566205529</v>
      </c>
      <c r="I246" s="1693">
        <f t="shared" si="336"/>
        <v>0.3515844435548704</v>
      </c>
      <c r="J246" s="1693">
        <f t="shared" si="336"/>
        <v>0.33835679578134414</v>
      </c>
      <c r="K246" s="1693">
        <f t="shared" si="336"/>
        <v>0.25495870209091126</v>
      </c>
      <c r="L246" s="1693">
        <f t="shared" si="336"/>
        <v>0.25812383949329237</v>
      </c>
      <c r="M246" s="1693">
        <f t="shared" si="336"/>
        <v>0.3850443732648598</v>
      </c>
      <c r="N246" s="1693">
        <f t="shared" si="336"/>
        <v>0.35106648976611005</v>
      </c>
      <c r="O246" s="1693">
        <f t="shared" si="336"/>
        <v>0.25570701940087331</v>
      </c>
      <c r="P246" s="1693">
        <f t="shared" si="336"/>
        <v>0.4578741977089637</v>
      </c>
      <c r="Q246" s="1693">
        <f t="shared" ref="Q246:V246" si="337">Q244/Q254</f>
        <v>0.23689033505078513</v>
      </c>
      <c r="R246" s="1693">
        <f t="shared" si="337"/>
        <v>0.23217246460265031</v>
      </c>
      <c r="S246" s="1693">
        <f t="shared" si="337"/>
        <v>0.23007142711967937</v>
      </c>
      <c r="T246" s="1693">
        <f t="shared" si="337"/>
        <v>0.2259045610009168</v>
      </c>
      <c r="U246" s="1693">
        <f t="shared" si="337"/>
        <v>0.22554409916349449</v>
      </c>
      <c r="V246" s="1693">
        <f t="shared" si="337"/>
        <v>0.225255409110383</v>
      </c>
      <c r="W246" s="1685"/>
      <c r="X246" s="1685"/>
      <c r="Y246" s="1685"/>
      <c r="Z246" s="1685"/>
      <c r="AA246" s="1685"/>
      <c r="AB246" s="1685"/>
      <c r="AC246" s="1685"/>
      <c r="AD246" s="1685"/>
    </row>
    <row r="247" spans="1:30" ht="15.75">
      <c r="A247" s="1685"/>
      <c r="B247" s="1692" t="s">
        <v>131</v>
      </c>
      <c r="C247" s="1730">
        <v>0</v>
      </c>
      <c r="D247" s="1730">
        <v>0</v>
      </c>
      <c r="E247" s="1730">
        <v>0</v>
      </c>
      <c r="F247" s="1730">
        <v>0</v>
      </c>
      <c r="G247" s="1730">
        <v>0</v>
      </c>
      <c r="H247" s="1730">
        <v>0</v>
      </c>
      <c r="I247" s="1730">
        <v>707.6</v>
      </c>
      <c r="J247" s="1730">
        <v>641</v>
      </c>
      <c r="K247" s="1730">
        <v>259.10000000000002</v>
      </c>
      <c r="L247" s="1730">
        <v>381</v>
      </c>
      <c r="M247" s="1730">
        <v>665</v>
      </c>
      <c r="N247" s="1730">
        <v>619</v>
      </c>
      <c r="O247" s="1730">
        <v>86.9</v>
      </c>
      <c r="P247" s="1730">
        <v>552</v>
      </c>
      <c r="Q247" s="1730">
        <v>0</v>
      </c>
      <c r="R247" s="1730">
        <v>0</v>
      </c>
      <c r="S247" s="1730">
        <v>0</v>
      </c>
      <c r="T247" s="1730">
        <v>0</v>
      </c>
      <c r="U247" s="1730">
        <v>0</v>
      </c>
      <c r="V247" s="1730">
        <v>0</v>
      </c>
      <c r="W247" s="1685"/>
      <c r="X247" s="1685"/>
      <c r="Y247" s="1685"/>
      <c r="Z247" s="1685"/>
      <c r="AA247" s="1685"/>
      <c r="AB247" s="1685"/>
      <c r="AC247" s="1685"/>
      <c r="AD247" s="1685"/>
    </row>
    <row r="248" spans="1:30" ht="15.75">
      <c r="A248" s="1685"/>
      <c r="B248" s="1692" t="s">
        <v>132</v>
      </c>
      <c r="C248" s="1695">
        <f>C244-C247</f>
        <v>0</v>
      </c>
      <c r="D248" s="1695">
        <f>D244-D247</f>
        <v>0</v>
      </c>
      <c r="E248" s="1695">
        <f>E244-E247</f>
        <v>185</v>
      </c>
      <c r="F248" s="1695">
        <f>F244-F247</f>
        <v>206</v>
      </c>
      <c r="G248" s="1731">
        <f t="shared" ref="G248:V248" si="338">F254/G249*2</f>
        <v>510.72874493927122</v>
      </c>
      <c r="H248" s="1731">
        <f t="shared" si="338"/>
        <v>537.95833401629272</v>
      </c>
      <c r="I248" s="1732">
        <f>793.7-I262</f>
        <v>758.22586206896551</v>
      </c>
      <c r="J248" s="1732">
        <f>830.4-J262</f>
        <v>792.58390804597695</v>
      </c>
      <c r="K248" s="1732">
        <f>871-K262</f>
        <v>837.50287356321837</v>
      </c>
      <c r="L248" s="1732">
        <f>914.6-L262</f>
        <v>886.7494252873563</v>
      </c>
      <c r="M248" s="1732">
        <f>964.7-M262</f>
        <v>940.01896551724144</v>
      </c>
      <c r="N248" s="1732">
        <f>911-N262</f>
        <v>888.33908045977012</v>
      </c>
      <c r="O248" s="1732">
        <f>1008.3-O262</f>
        <v>988.52701149425286</v>
      </c>
      <c r="P248" s="1731">
        <f t="shared" si="338"/>
        <v>963.52657087860496</v>
      </c>
      <c r="Q248" s="1731">
        <f t="shared" si="338"/>
        <v>758.30302665584293</v>
      </c>
      <c r="R248" s="1731">
        <f t="shared" si="338"/>
        <v>733.36613644695353</v>
      </c>
      <c r="S248" s="1731">
        <f t="shared" si="338"/>
        <v>723.66162956827691</v>
      </c>
      <c r="T248" s="1731">
        <f t="shared" si="338"/>
        <v>720.60664815121686</v>
      </c>
      <c r="U248" s="1731">
        <f t="shared" si="338"/>
        <v>730.80022133616399</v>
      </c>
      <c r="V248" s="1731">
        <f t="shared" si="338"/>
        <v>742.32246871766097</v>
      </c>
      <c r="W248" s="1685"/>
      <c r="X248" s="1685"/>
      <c r="Y248" s="1685"/>
      <c r="Z248" s="1685"/>
      <c r="AA248" s="1685"/>
      <c r="AB248" s="1685"/>
      <c r="AC248" s="1685"/>
      <c r="AD248" s="1685"/>
    </row>
    <row r="249" spans="1:30" ht="15.75">
      <c r="A249" s="1685"/>
      <c r="B249" s="1692" t="s">
        <v>133</v>
      </c>
      <c r="C249" s="1733"/>
      <c r="D249" s="1733"/>
      <c r="E249" s="1733">
        <v>13</v>
      </c>
      <c r="F249" s="1733">
        <f t="shared" ref="F249:K249" si="339">E249*(1+F250)</f>
        <v>12.35</v>
      </c>
      <c r="G249" s="1733">
        <f t="shared" si="339"/>
        <v>9.8800000000000008</v>
      </c>
      <c r="H249" s="1733">
        <f t="shared" si="339"/>
        <v>14.82</v>
      </c>
      <c r="I249" s="1733">
        <f>H254/I248*2</f>
        <v>10.1840366918237</v>
      </c>
      <c r="J249" s="1733">
        <f t="shared" si="339"/>
        <v>10.082196324905462</v>
      </c>
      <c r="K249" s="1733">
        <f t="shared" si="339"/>
        <v>9.7797304351582977</v>
      </c>
      <c r="L249" s="1733">
        <f t="shared" ref="L249:V249" si="340">K249*(1+L250)</f>
        <v>9.9753250438614636</v>
      </c>
      <c r="M249" s="1733">
        <f t="shared" si="340"/>
        <v>9.9753250438614636</v>
      </c>
      <c r="N249" s="1733">
        <f t="shared" si="340"/>
        <v>9.7758185429842346</v>
      </c>
      <c r="O249" s="1733">
        <f t="shared" si="340"/>
        <v>9.1892694304051794</v>
      </c>
      <c r="P249" s="1733">
        <f t="shared" si="340"/>
        <v>8.7298059588849206</v>
      </c>
      <c r="Q249" s="1733">
        <f t="shared" si="340"/>
        <v>8.7298059588849206</v>
      </c>
      <c r="R249" s="1733">
        <f t="shared" si="340"/>
        <v>8.7298059588849206</v>
      </c>
      <c r="S249" s="1733">
        <f t="shared" si="340"/>
        <v>8.7298059588849206</v>
      </c>
      <c r="T249" s="1733">
        <f t="shared" si="340"/>
        <v>8.7298059588849206</v>
      </c>
      <c r="U249" s="1733">
        <f t="shared" si="340"/>
        <v>8.7298059588849206</v>
      </c>
      <c r="V249" s="1733">
        <f t="shared" si="340"/>
        <v>8.7298059588849206</v>
      </c>
      <c r="W249" s="1685"/>
      <c r="X249" s="1685"/>
      <c r="Y249" s="1685"/>
      <c r="Z249" s="1685"/>
      <c r="AA249" s="1685"/>
      <c r="AB249" s="1685"/>
      <c r="AC249" s="1685"/>
      <c r="AD249" s="1685"/>
    </row>
    <row r="250" spans="1:30" ht="15.75">
      <c r="A250" s="1685"/>
      <c r="B250" s="1692" t="s">
        <v>78</v>
      </c>
      <c r="C250" s="1734"/>
      <c r="D250" s="1734"/>
      <c r="E250" s="1735"/>
      <c r="F250" s="1735">
        <v>-0.05</v>
      </c>
      <c r="G250" s="1735">
        <v>-0.2</v>
      </c>
      <c r="H250" s="1735">
        <v>0.5</v>
      </c>
      <c r="I250" s="1735">
        <v>-0.32</v>
      </c>
      <c r="J250" s="1735">
        <v>-0.01</v>
      </c>
      <c r="K250" s="1735">
        <v>-0.03</v>
      </c>
      <c r="L250" s="1735">
        <v>0.02</v>
      </c>
      <c r="M250" s="1735">
        <v>0</v>
      </c>
      <c r="N250" s="1735">
        <v>-0.02</v>
      </c>
      <c r="O250" s="1735">
        <v>-0.06</v>
      </c>
      <c r="P250" s="1735">
        <v>-0.05</v>
      </c>
      <c r="Q250" s="1735">
        <v>0</v>
      </c>
      <c r="R250" s="1735">
        <v>0</v>
      </c>
      <c r="S250" s="1735">
        <v>0</v>
      </c>
      <c r="T250" s="1735">
        <v>0</v>
      </c>
      <c r="U250" s="1735">
        <v>0</v>
      </c>
      <c r="V250" s="1735">
        <v>0</v>
      </c>
      <c r="W250" s="1685"/>
      <c r="X250" s="1685"/>
      <c r="Y250" s="1685"/>
      <c r="Z250" s="1685"/>
      <c r="AA250" s="1685"/>
      <c r="AB250" s="1685"/>
      <c r="AC250" s="1685"/>
      <c r="AD250" s="1685"/>
    </row>
    <row r="251" spans="1:30" ht="15.75">
      <c r="A251" s="1685"/>
      <c r="B251" s="1692"/>
      <c r="C251" s="1692"/>
      <c r="D251" s="1692"/>
      <c r="E251" s="1692"/>
      <c r="F251" s="1692"/>
      <c r="G251" s="1692"/>
      <c r="H251" s="1692"/>
      <c r="I251" s="1692"/>
      <c r="J251" s="1692"/>
      <c r="K251" s="1692"/>
      <c r="L251" s="1692"/>
      <c r="M251" s="1692"/>
      <c r="N251" s="1692"/>
      <c r="O251" s="1692"/>
      <c r="P251" s="1692"/>
      <c r="Q251" s="1692"/>
      <c r="R251" s="1692"/>
      <c r="S251" s="1692"/>
      <c r="T251" s="1692"/>
      <c r="U251" s="1692"/>
      <c r="V251" s="1692"/>
      <c r="W251" s="1685"/>
      <c r="X251" s="1685"/>
      <c r="Y251" s="1685"/>
      <c r="Z251" s="1685"/>
      <c r="AA251" s="1685"/>
      <c r="AB251" s="1685"/>
      <c r="AC251" s="1685"/>
      <c r="AD251" s="1685"/>
    </row>
    <row r="252" spans="1:30" ht="15.75">
      <c r="A252" s="1685"/>
      <c r="B252" s="1692" t="s">
        <v>134</v>
      </c>
      <c r="C252" s="1695"/>
      <c r="D252" s="1695"/>
      <c r="E252" s="1695">
        <f>E254+E253</f>
        <v>1603</v>
      </c>
      <c r="F252" s="1695">
        <f>F254+F253</f>
        <v>2914</v>
      </c>
      <c r="G252" s="1695">
        <f>F252+G121+G452</f>
        <v>4888</v>
      </c>
      <c r="H252" s="1695">
        <f t="shared" ref="H252:O252" si="341">H254+H253</f>
        <v>5300.5870789555638</v>
      </c>
      <c r="I252" s="1695">
        <f t="shared" si="341"/>
        <v>7074.7129410245288</v>
      </c>
      <c r="J252" s="1695">
        <f t="shared" si="341"/>
        <v>8575.9968490705069</v>
      </c>
      <c r="K252" s="1695">
        <f t="shared" si="341"/>
        <v>9736.7997226337247</v>
      </c>
      <c r="L252" s="1695">
        <f t="shared" si="341"/>
        <v>11614.849147921081</v>
      </c>
      <c r="M252" s="1695">
        <f t="shared" si="341"/>
        <v>12476.868113438322</v>
      </c>
      <c r="N252" s="1695">
        <f t="shared" si="341"/>
        <v>14109.407193898094</v>
      </c>
      <c r="O252" s="1695">
        <f t="shared" si="341"/>
        <v>15096.934205392346</v>
      </c>
      <c r="P252" s="1695">
        <f t="shared" ref="P252:V252" si="342">O252+P121+P452-P210</f>
        <v>15716.679916641275</v>
      </c>
      <c r="Q252" s="1695">
        <f t="shared" si="342"/>
        <v>16366.135836926307</v>
      </c>
      <c r="R252" s="1695">
        <f t="shared" si="342"/>
        <v>17057.142742384505</v>
      </c>
      <c r="S252" s="1695">
        <f t="shared" si="342"/>
        <v>17767.469674463315</v>
      </c>
      <c r="T252" s="1695">
        <f t="shared" si="342"/>
        <v>18532.570280580672</v>
      </c>
      <c r="U252" s="1695">
        <f t="shared" si="342"/>
        <v>19313.663993842205</v>
      </c>
      <c r="V252" s="1695">
        <f t="shared" si="342"/>
        <v>20111.291021047404</v>
      </c>
      <c r="W252" s="1685"/>
      <c r="X252" s="1685"/>
      <c r="Y252" s="1685"/>
      <c r="Z252" s="1685"/>
      <c r="AA252" s="1685"/>
      <c r="AB252" s="1685"/>
      <c r="AC252" s="1685"/>
      <c r="AD252" s="1685"/>
    </row>
    <row r="253" spans="1:30" ht="15.75">
      <c r="A253" s="1685"/>
      <c r="B253" s="1692" t="s">
        <v>135</v>
      </c>
      <c r="C253" s="1695"/>
      <c r="D253" s="1694"/>
      <c r="E253" s="1695">
        <f t="shared" ref="E253:K253" si="343">D253+E244</f>
        <v>185</v>
      </c>
      <c r="F253" s="1695">
        <f t="shared" si="343"/>
        <v>391</v>
      </c>
      <c r="G253" s="1695">
        <f>F253+G244</f>
        <v>901.72874493927122</v>
      </c>
      <c r="H253" s="1695">
        <f t="shared" si="343"/>
        <v>1439.6870789555639</v>
      </c>
      <c r="I253" s="1695">
        <f t="shared" si="343"/>
        <v>2905.5129410245295</v>
      </c>
      <c r="J253" s="1695">
        <f t="shared" si="343"/>
        <v>4339.0968490705063</v>
      </c>
      <c r="K253" s="1695">
        <f t="shared" si="343"/>
        <v>5435.6997226337244</v>
      </c>
      <c r="L253" s="1695">
        <f t="shared" ref="L253:V253" si="344">K253+L244</f>
        <v>6703.449147921081</v>
      </c>
      <c r="M253" s="1695">
        <f t="shared" si="344"/>
        <v>8308.4681134383227</v>
      </c>
      <c r="N253" s="1695">
        <f t="shared" si="344"/>
        <v>9815.8071938980938</v>
      </c>
      <c r="O253" s="1695">
        <f t="shared" si="344"/>
        <v>10891.234205392346</v>
      </c>
      <c r="P253" s="1695">
        <f t="shared" si="344"/>
        <v>12406.76077627095</v>
      </c>
      <c r="Q253" s="1695">
        <f t="shared" si="344"/>
        <v>13165.063802926794</v>
      </c>
      <c r="R253" s="1695">
        <f t="shared" si="344"/>
        <v>13898.429939373747</v>
      </c>
      <c r="S253" s="1695">
        <f t="shared" si="344"/>
        <v>14622.091568942024</v>
      </c>
      <c r="T253" s="1695">
        <f t="shared" si="344"/>
        <v>15342.698217093241</v>
      </c>
      <c r="U253" s="1695">
        <f t="shared" si="344"/>
        <v>16073.498438429404</v>
      </c>
      <c r="V253" s="1695">
        <f t="shared" si="344"/>
        <v>16815.820907147066</v>
      </c>
      <c r="W253" s="1685"/>
      <c r="X253" s="1685"/>
      <c r="Y253" s="1685"/>
      <c r="Z253" s="1685"/>
      <c r="AA253" s="1685"/>
      <c r="AB253" s="1685"/>
      <c r="AC253" s="1685"/>
      <c r="AD253" s="1685"/>
    </row>
    <row r="254" spans="1:30" ht="15.75">
      <c r="A254" s="1685"/>
      <c r="B254" s="1692" t="s">
        <v>98</v>
      </c>
      <c r="C254" s="1736"/>
      <c r="D254" s="1736"/>
      <c r="E254" s="1736">
        <v>1418</v>
      </c>
      <c r="F254" s="1736">
        <v>2523</v>
      </c>
      <c r="G254" s="1691">
        <f>G252-G253</f>
        <v>3986.2712550607289</v>
      </c>
      <c r="H254" s="1736">
        <v>3860.9</v>
      </c>
      <c r="I254" s="1736">
        <v>4169.2</v>
      </c>
      <c r="J254" s="1736">
        <v>4236.8999999999996</v>
      </c>
      <c r="K254" s="1736">
        <v>4301.1000000000004</v>
      </c>
      <c r="L254" s="1736">
        <v>4911.3999999999996</v>
      </c>
      <c r="M254" s="1736">
        <v>4168.3999999999996</v>
      </c>
      <c r="N254" s="1736">
        <v>4293.6000000000004</v>
      </c>
      <c r="O254" s="1736">
        <v>4205.7</v>
      </c>
      <c r="P254" s="1691">
        <f t="shared" ref="P254:V254" si="345">P252-P253</f>
        <v>3309.9191403703244</v>
      </c>
      <c r="Q254" s="1691">
        <f t="shared" si="345"/>
        <v>3201.0720339995132</v>
      </c>
      <c r="R254" s="1691">
        <f t="shared" si="345"/>
        <v>3158.7128030107579</v>
      </c>
      <c r="S254" s="1691">
        <f t="shared" si="345"/>
        <v>3145.3781055212912</v>
      </c>
      <c r="T254" s="1691">
        <f t="shared" si="345"/>
        <v>3189.8720634874317</v>
      </c>
      <c r="U254" s="1691">
        <f t="shared" si="345"/>
        <v>3240.165555412801</v>
      </c>
      <c r="V254" s="1691">
        <f t="shared" si="345"/>
        <v>3295.4701139003373</v>
      </c>
      <c r="W254" s="1685"/>
      <c r="X254" s="1685"/>
      <c r="Y254" s="1685"/>
      <c r="Z254" s="1685"/>
      <c r="AA254" s="1685"/>
      <c r="AB254" s="1685"/>
      <c r="AC254" s="1685"/>
      <c r="AD254" s="1685"/>
    </row>
    <row r="255" spans="1:30" ht="15.75">
      <c r="A255" s="1685"/>
      <c r="B255" s="1692" t="s">
        <v>78</v>
      </c>
      <c r="C255" s="1690"/>
      <c r="D255" s="1690"/>
      <c r="E255" s="1690"/>
      <c r="F255" s="1690">
        <f t="shared" ref="F255:K255" si="346">F254/E254-1</f>
        <v>0.77926657263751764</v>
      </c>
      <c r="G255" s="1690">
        <f t="shared" si="346"/>
        <v>0.57997275269945647</v>
      </c>
      <c r="H255" s="1690">
        <f t="shared" si="346"/>
        <v>-3.1450758626012987E-2</v>
      </c>
      <c r="I255" s="1690">
        <f t="shared" si="346"/>
        <v>7.9851848014711457E-2</v>
      </c>
      <c r="J255" s="1690">
        <f t="shared" si="346"/>
        <v>1.6238127218650922E-2</v>
      </c>
      <c r="K255" s="1690">
        <f t="shared" si="346"/>
        <v>1.5152587977058873E-2</v>
      </c>
      <c r="L255" s="1690">
        <f t="shared" ref="L255:V255" si="347">L254/K254-1</f>
        <v>0.14189393410987861</v>
      </c>
      <c r="M255" s="1690">
        <f t="shared" si="347"/>
        <v>-0.15128069389583421</v>
      </c>
      <c r="N255" s="1690">
        <f t="shared" si="347"/>
        <v>3.0035505229824677E-2</v>
      </c>
      <c r="O255" s="1690">
        <f t="shared" si="347"/>
        <v>-2.047233091112366E-2</v>
      </c>
      <c r="P255" s="1690">
        <f t="shared" si="347"/>
        <v>-0.21299209635249194</v>
      </c>
      <c r="Q255" s="1690">
        <f t="shared" si="347"/>
        <v>-3.2885125513559488E-2</v>
      </c>
      <c r="R255" s="1690">
        <f t="shared" si="347"/>
        <v>-1.3232826546496157E-2</v>
      </c>
      <c r="S255" s="1690">
        <f t="shared" si="347"/>
        <v>-4.2215605916298138E-3</v>
      </c>
      <c r="T255" s="1690">
        <f t="shared" si="347"/>
        <v>1.4145821733812403E-2</v>
      </c>
      <c r="U255" s="1690">
        <f t="shared" si="347"/>
        <v>1.5766617257491067E-2</v>
      </c>
      <c r="V255" s="1690">
        <f t="shared" si="347"/>
        <v>1.706843602332242E-2</v>
      </c>
      <c r="W255" s="1685"/>
      <c r="X255" s="1685"/>
      <c r="Y255" s="1685"/>
      <c r="Z255" s="1685"/>
      <c r="AA255" s="1685"/>
      <c r="AB255" s="1685"/>
      <c r="AC255" s="1685"/>
      <c r="AD255" s="1685"/>
    </row>
    <row r="256" spans="1:30" ht="15.75">
      <c r="A256" s="1685"/>
      <c r="B256" s="1692"/>
      <c r="C256" s="1692"/>
      <c r="D256" s="1692"/>
      <c r="E256" s="1692"/>
      <c r="F256" s="1692"/>
      <c r="G256" s="1692"/>
      <c r="H256" s="1692"/>
      <c r="I256" s="1692"/>
      <c r="J256" s="1692"/>
      <c r="K256" s="1692"/>
      <c r="L256" s="1692"/>
      <c r="M256" s="1692"/>
      <c r="N256" s="1692"/>
      <c r="O256" s="1692"/>
      <c r="P256" s="1692"/>
      <c r="Q256" s="1692"/>
      <c r="R256" s="1692"/>
      <c r="S256" s="1692"/>
      <c r="T256" s="1692"/>
      <c r="U256" s="1692"/>
      <c r="V256" s="1692"/>
      <c r="W256" s="1685"/>
      <c r="X256" s="1685"/>
      <c r="Y256" s="1685"/>
      <c r="Z256" s="1685"/>
      <c r="AA256" s="1685"/>
      <c r="AB256" s="1685"/>
      <c r="AC256" s="1685"/>
      <c r="AD256" s="1685"/>
    </row>
    <row r="257" spans="1:30" ht="15.75">
      <c r="A257" s="1685"/>
      <c r="B257" s="1692" t="s">
        <v>136</v>
      </c>
      <c r="C257" s="1693"/>
      <c r="D257" s="1693"/>
      <c r="E257" s="1693">
        <f t="shared" ref="E257:V257" si="348">E121/E244</f>
        <v>0</v>
      </c>
      <c r="F257" s="1693">
        <f t="shared" si="348"/>
        <v>0</v>
      </c>
      <c r="G257" s="1693">
        <f t="shared" si="348"/>
        <v>0</v>
      </c>
      <c r="H257" s="1693">
        <f t="shared" si="348"/>
        <v>0</v>
      </c>
      <c r="I257" s="1693">
        <f t="shared" si="348"/>
        <v>0.52976704757738491</v>
      </c>
      <c r="J257" s="1693">
        <f t="shared" si="348"/>
        <v>0.53809197750513538</v>
      </c>
      <c r="K257" s="1693">
        <f t="shared" si="348"/>
        <v>0.66304768802713066</v>
      </c>
      <c r="L257" s="1693">
        <f t="shared" si="348"/>
        <v>0.49773242835978687</v>
      </c>
      <c r="M257" s="1693">
        <f t="shared" si="348"/>
        <v>0.53326472670319713</v>
      </c>
      <c r="N257" s="1693">
        <f t="shared" si="348"/>
        <v>0.54155034562695159</v>
      </c>
      <c r="O257" s="1693">
        <f t="shared" si="348"/>
        <v>0.67963701133417731</v>
      </c>
      <c r="P257" s="1693">
        <f t="shared" si="348"/>
        <v>0.47161542726008676</v>
      </c>
      <c r="Q257" s="1693">
        <f t="shared" si="348"/>
        <v>0.95140846722805683</v>
      </c>
      <c r="R257" s="1693">
        <f t="shared" si="348"/>
        <v>1.0036008875785298</v>
      </c>
      <c r="S257" s="1693">
        <f t="shared" si="348"/>
        <v>1.0368477495849016</v>
      </c>
      <c r="T257" s="1693">
        <f t="shared" si="348"/>
        <v>1.0617451394325779</v>
      </c>
      <c r="U257" s="1693">
        <f t="shared" si="348"/>
        <v>1.068819754642951</v>
      </c>
      <c r="V257" s="1693">
        <f t="shared" si="348"/>
        <v>1.0745020672526266</v>
      </c>
      <c r="W257" s="1685"/>
      <c r="X257" s="1685"/>
      <c r="Y257" s="1685"/>
      <c r="Z257" s="1685"/>
      <c r="AA257" s="1685"/>
      <c r="AB257" s="1685"/>
      <c r="AC257" s="1685"/>
      <c r="AD257" s="1685"/>
    </row>
    <row r="258" spans="1:30" ht="15.75">
      <c r="A258" s="1685"/>
      <c r="B258" s="1692"/>
      <c r="C258" s="1692"/>
      <c r="D258" s="1692"/>
      <c r="E258" s="1692"/>
      <c r="F258" s="1692"/>
      <c r="G258" s="1692"/>
      <c r="H258" s="1692"/>
      <c r="I258" s="1692"/>
      <c r="J258" s="1692"/>
      <c r="K258" s="1692"/>
      <c r="L258" s="1685"/>
      <c r="M258" s="1685"/>
      <c r="N258" s="1685"/>
      <c r="O258" s="1685"/>
      <c r="P258" s="1685"/>
      <c r="Q258" s="1685"/>
      <c r="R258" s="1685"/>
      <c r="S258" s="1685"/>
      <c r="T258" s="1685"/>
      <c r="U258" s="1685"/>
      <c r="V258" s="1685"/>
      <c r="W258" s="1685"/>
      <c r="X258" s="1685"/>
      <c r="Y258" s="1685"/>
      <c r="Z258" s="1685"/>
      <c r="AA258" s="1685"/>
      <c r="AB258" s="1685"/>
      <c r="AC258" s="1685"/>
      <c r="AD258" s="1685"/>
    </row>
    <row r="259" spans="1:30" ht="15.75">
      <c r="A259" s="1685"/>
      <c r="B259" s="1687" t="s">
        <v>82</v>
      </c>
      <c r="C259" s="1688">
        <f>C243</f>
        <v>40908</v>
      </c>
      <c r="D259" s="1688">
        <f t="shared" ref="D259:P259" si="349">D243</f>
        <v>41274</v>
      </c>
      <c r="E259" s="1688">
        <f t="shared" si="349"/>
        <v>41639</v>
      </c>
      <c r="F259" s="1688">
        <f t="shared" si="349"/>
        <v>42004</v>
      </c>
      <c r="G259" s="1688">
        <f t="shared" si="349"/>
        <v>42369</v>
      </c>
      <c r="H259" s="1688">
        <f t="shared" si="349"/>
        <v>42735</v>
      </c>
      <c r="I259" s="1688">
        <f t="shared" si="349"/>
        <v>43100</v>
      </c>
      <c r="J259" s="1688">
        <f t="shared" si="349"/>
        <v>43465</v>
      </c>
      <c r="K259" s="1688">
        <f t="shared" si="349"/>
        <v>43830</v>
      </c>
      <c r="L259" s="1688">
        <f t="shared" si="349"/>
        <v>44196</v>
      </c>
      <c r="M259" s="1688">
        <f t="shared" si="349"/>
        <v>44561</v>
      </c>
      <c r="N259" s="1688">
        <f t="shared" si="349"/>
        <v>44926</v>
      </c>
      <c r="O259" s="1688">
        <f t="shared" si="349"/>
        <v>45291</v>
      </c>
      <c r="P259" s="1688">
        <f t="shared" si="349"/>
        <v>45657</v>
      </c>
      <c r="Q259" s="1688">
        <f t="shared" ref="Q259:V259" si="350">Q243</f>
        <v>46022</v>
      </c>
      <c r="R259" s="1688">
        <f t="shared" si="350"/>
        <v>46387</v>
      </c>
      <c r="S259" s="1688">
        <f t="shared" si="350"/>
        <v>46752</v>
      </c>
      <c r="T259" s="1688">
        <f t="shared" si="350"/>
        <v>47118</v>
      </c>
      <c r="U259" s="1688">
        <f t="shared" si="350"/>
        <v>47483</v>
      </c>
      <c r="V259" s="1688">
        <f t="shared" si="350"/>
        <v>47848</v>
      </c>
      <c r="W259" s="1685"/>
      <c r="X259" s="1685"/>
      <c r="Y259" s="1685"/>
      <c r="Z259" s="1685"/>
      <c r="AA259" s="1685"/>
      <c r="AB259" s="1685"/>
      <c r="AC259" s="1685"/>
      <c r="AD259" s="1685"/>
    </row>
    <row r="260" spans="1:30" ht="15.75">
      <c r="A260" s="1685"/>
      <c r="B260" s="1692" t="s">
        <v>82</v>
      </c>
      <c r="C260" s="1730"/>
      <c r="D260" s="1730"/>
      <c r="E260" s="1737">
        <v>50</v>
      </c>
      <c r="F260" s="1737">
        <v>50</v>
      </c>
      <c r="G260" s="1695">
        <f t="shared" ref="G260:P260" si="351">G262+G261</f>
        <v>84.885057471264361</v>
      </c>
      <c r="H260" s="1695">
        <f t="shared" si="351"/>
        <v>82.445831681860227</v>
      </c>
      <c r="I260" s="1695">
        <f t="shared" si="351"/>
        <v>35.474137931034484</v>
      </c>
      <c r="J260" s="1695">
        <f t="shared" si="351"/>
        <v>37.816091954022987</v>
      </c>
      <c r="K260" s="1695">
        <f t="shared" si="351"/>
        <v>33.497126436781613</v>
      </c>
      <c r="L260" s="1695">
        <f t="shared" si="351"/>
        <v>27.850574712643677</v>
      </c>
      <c r="M260" s="1695">
        <f t="shared" si="351"/>
        <v>24.681034482758619</v>
      </c>
      <c r="N260" s="1695">
        <f t="shared" si="351"/>
        <v>22.660919540229884</v>
      </c>
      <c r="O260" s="1695">
        <f t="shared" si="351"/>
        <v>19.772988505747126</v>
      </c>
      <c r="P260" s="1695">
        <f t="shared" si="351"/>
        <v>15.563218390804598</v>
      </c>
      <c r="Q260" s="1695">
        <f t="shared" ref="Q260:V260" si="352">Q262+Q261</f>
        <v>15.115999471528603</v>
      </c>
      <c r="R260" s="1695">
        <f t="shared" si="352"/>
        <v>14.681631670622608</v>
      </c>
      <c r="S260" s="1695">
        <f t="shared" si="352"/>
        <v>14.259745703075982</v>
      </c>
      <c r="T260" s="1695">
        <f t="shared" si="352"/>
        <v>13.849982895516327</v>
      </c>
      <c r="U260" s="1695">
        <f t="shared" si="352"/>
        <v>13.451994881277354</v>
      </c>
      <c r="V260" s="1695">
        <f t="shared" si="352"/>
        <v>13.065443304229156</v>
      </c>
      <c r="W260" s="1685"/>
      <c r="X260" s="1685"/>
      <c r="Y260" s="1685"/>
      <c r="Z260" s="1685"/>
      <c r="AA260" s="1685"/>
      <c r="AB260" s="1685"/>
      <c r="AC260" s="1685"/>
      <c r="AD260" s="1685"/>
    </row>
    <row r="261" spans="1:30" ht="15.75">
      <c r="A261" s="1685"/>
      <c r="B261" s="1692" t="s">
        <v>137</v>
      </c>
      <c r="C261" s="1730">
        <v>0</v>
      </c>
      <c r="D261" s="1730">
        <v>0</v>
      </c>
      <c r="E261" s="1730">
        <v>0</v>
      </c>
      <c r="F261" s="1730">
        <v>0</v>
      </c>
      <c r="G261" s="1730">
        <v>0</v>
      </c>
      <c r="H261" s="1730">
        <v>0</v>
      </c>
      <c r="I261" s="1730">
        <v>0</v>
      </c>
      <c r="J261" s="1730">
        <v>0</v>
      </c>
      <c r="K261" s="1730">
        <v>0</v>
      </c>
      <c r="L261" s="1730">
        <v>0</v>
      </c>
      <c r="M261" s="1730">
        <v>0</v>
      </c>
      <c r="N261" s="1730">
        <v>0</v>
      </c>
      <c r="O261" s="1730">
        <v>0</v>
      </c>
      <c r="P261" s="1730">
        <v>0</v>
      </c>
      <c r="Q261" s="1730">
        <v>0</v>
      </c>
      <c r="R261" s="1730">
        <v>0</v>
      </c>
      <c r="S261" s="1730">
        <v>0</v>
      </c>
      <c r="T261" s="1730">
        <v>0</v>
      </c>
      <c r="U261" s="1730">
        <v>0</v>
      </c>
      <c r="V261" s="1730">
        <v>0</v>
      </c>
      <c r="W261" s="1685"/>
      <c r="X261" s="1685"/>
      <c r="Y261" s="1685"/>
      <c r="Z261" s="1685"/>
      <c r="AA261" s="1685"/>
      <c r="AB261" s="1685"/>
      <c r="AC261" s="1685"/>
      <c r="AD261" s="1685"/>
    </row>
    <row r="262" spans="1:30" ht="15.75">
      <c r="A262" s="1685"/>
      <c r="B262" s="1692" t="s">
        <v>138</v>
      </c>
      <c r="C262" s="1695">
        <f>C260-C261</f>
        <v>0</v>
      </c>
      <c r="D262" s="1695">
        <f>D260-D261</f>
        <v>0</v>
      </c>
      <c r="E262" s="1695">
        <f>E260-E261</f>
        <v>50</v>
      </c>
      <c r="F262" s="1695">
        <f>F260-F261</f>
        <v>50</v>
      </c>
      <c r="G262" s="1731">
        <f t="shared" ref="G262:V262" si="353">G263*F267</f>
        <v>84.885057471264361</v>
      </c>
      <c r="H262" s="1731">
        <f t="shared" si="353"/>
        <v>82.445831681860227</v>
      </c>
      <c r="I262" s="1731">
        <f t="shared" si="353"/>
        <v>35.474137931034484</v>
      </c>
      <c r="J262" s="1731">
        <f t="shared" si="353"/>
        <v>37.816091954022987</v>
      </c>
      <c r="K262" s="1731">
        <f t="shared" si="353"/>
        <v>33.497126436781613</v>
      </c>
      <c r="L262" s="1731">
        <f t="shared" si="353"/>
        <v>27.850574712643677</v>
      </c>
      <c r="M262" s="1731">
        <f t="shared" si="353"/>
        <v>24.681034482758619</v>
      </c>
      <c r="N262" s="1731">
        <f t="shared" si="353"/>
        <v>22.660919540229884</v>
      </c>
      <c r="O262" s="1731">
        <f t="shared" si="353"/>
        <v>19.772988505747126</v>
      </c>
      <c r="P262" s="1731">
        <f t="shared" si="353"/>
        <v>15.563218390804598</v>
      </c>
      <c r="Q262" s="1731">
        <f t="shared" si="353"/>
        <v>15.115999471528603</v>
      </c>
      <c r="R262" s="1731">
        <f t="shared" si="353"/>
        <v>14.681631670622608</v>
      </c>
      <c r="S262" s="1731">
        <f t="shared" si="353"/>
        <v>14.259745703075982</v>
      </c>
      <c r="T262" s="1731">
        <f t="shared" si="353"/>
        <v>13.849982895516327</v>
      </c>
      <c r="U262" s="1731">
        <f t="shared" si="353"/>
        <v>13.451994881277354</v>
      </c>
      <c r="V262" s="1731">
        <f t="shared" si="353"/>
        <v>13.065443304229156</v>
      </c>
      <c r="W262" s="1685"/>
      <c r="X262" s="1685"/>
      <c r="Y262" s="1685"/>
      <c r="Z262" s="1685"/>
      <c r="AA262" s="1685"/>
      <c r="AB262" s="1685"/>
      <c r="AC262" s="1685"/>
      <c r="AD262" s="1685"/>
    </row>
    <row r="263" spans="1:30" ht="15.75">
      <c r="A263" s="1685"/>
      <c r="B263" s="1692" t="s">
        <v>139</v>
      </c>
      <c r="C263" s="1693"/>
      <c r="D263" s="1693"/>
      <c r="E263" s="1693">
        <f>E262/AVERAGE(D267:E267)</f>
        <v>9.5057034220532313E-2</v>
      </c>
      <c r="F263" s="1693">
        <f>F262/AVERAGE(E267:F267)</f>
        <v>2.8735632183908046E-2</v>
      </c>
      <c r="G263" s="1735">
        <f t="shared" ref="G263:V263" si="354">F263</f>
        <v>2.8735632183908046E-2</v>
      </c>
      <c r="H263" s="1735">
        <f t="shared" si="354"/>
        <v>2.8735632183908046E-2</v>
      </c>
      <c r="I263" s="1735">
        <f t="shared" si="354"/>
        <v>2.8735632183908046E-2</v>
      </c>
      <c r="J263" s="1735">
        <f t="shared" si="354"/>
        <v>2.8735632183908046E-2</v>
      </c>
      <c r="K263" s="1735">
        <f t="shared" si="354"/>
        <v>2.8735632183908046E-2</v>
      </c>
      <c r="L263" s="1735">
        <f t="shared" si="354"/>
        <v>2.8735632183908046E-2</v>
      </c>
      <c r="M263" s="1735">
        <f t="shared" si="354"/>
        <v>2.8735632183908046E-2</v>
      </c>
      <c r="N263" s="1735">
        <f t="shared" si="354"/>
        <v>2.8735632183908046E-2</v>
      </c>
      <c r="O263" s="1735">
        <f t="shared" si="354"/>
        <v>2.8735632183908046E-2</v>
      </c>
      <c r="P263" s="1735">
        <f t="shared" si="354"/>
        <v>2.8735632183908046E-2</v>
      </c>
      <c r="Q263" s="1735">
        <f t="shared" si="354"/>
        <v>2.8735632183908046E-2</v>
      </c>
      <c r="R263" s="1735">
        <f t="shared" si="354"/>
        <v>2.8735632183908046E-2</v>
      </c>
      <c r="S263" s="1735">
        <f t="shared" si="354"/>
        <v>2.8735632183908046E-2</v>
      </c>
      <c r="T263" s="1735">
        <f t="shared" si="354"/>
        <v>2.8735632183908046E-2</v>
      </c>
      <c r="U263" s="1735">
        <f t="shared" si="354"/>
        <v>2.8735632183908046E-2</v>
      </c>
      <c r="V263" s="1735">
        <f t="shared" si="354"/>
        <v>2.8735632183908046E-2</v>
      </c>
      <c r="W263" s="1685"/>
      <c r="X263" s="1685"/>
      <c r="Y263" s="1685"/>
      <c r="Z263" s="1685"/>
      <c r="AA263" s="1685"/>
      <c r="AB263" s="1685"/>
      <c r="AC263" s="1685"/>
      <c r="AD263" s="1685"/>
    </row>
    <row r="264" spans="1:30" ht="15.75">
      <c r="A264" s="1685"/>
      <c r="B264" s="1692"/>
      <c r="C264" s="1692"/>
      <c r="D264" s="1692"/>
      <c r="E264" s="1692"/>
      <c r="F264" s="1692"/>
      <c r="G264" s="1692"/>
      <c r="H264" s="1692"/>
      <c r="I264" s="1692"/>
      <c r="J264" s="1692"/>
      <c r="K264" s="1692"/>
      <c r="L264" s="1692"/>
      <c r="M264" s="1692"/>
      <c r="N264" s="1692"/>
      <c r="O264" s="1692"/>
      <c r="P264" s="1692"/>
      <c r="Q264" s="1692"/>
      <c r="R264" s="1692"/>
      <c r="S264" s="1692"/>
      <c r="T264" s="1692"/>
      <c r="U264" s="1692"/>
      <c r="V264" s="1692"/>
      <c r="W264" s="1685"/>
      <c r="X264" s="1685"/>
      <c r="Y264" s="1685"/>
      <c r="Z264" s="1685"/>
      <c r="AA264" s="1685"/>
      <c r="AB264" s="1685"/>
      <c r="AC264" s="1685"/>
      <c r="AD264" s="1685"/>
    </row>
    <row r="265" spans="1:30" ht="15.75">
      <c r="A265" s="1685"/>
      <c r="B265" s="1692" t="s">
        <v>140</v>
      </c>
      <c r="C265" s="1692"/>
      <c r="D265" s="1695">
        <f>D267+D266</f>
        <v>0</v>
      </c>
      <c r="E265" s="1695">
        <f>E267+E266</f>
        <v>576</v>
      </c>
      <c r="F265" s="1695">
        <f>F267+F266</f>
        <v>3054</v>
      </c>
      <c r="G265" s="1695">
        <f t="shared" ref="G265:V265" si="355">F265+G269+G270</f>
        <v>3054</v>
      </c>
      <c r="H265" s="1695">
        <f t="shared" ref="H265:O265" si="356">H266+H267</f>
        <v>1501.8308891531246</v>
      </c>
      <c r="I265" s="1695">
        <f t="shared" si="356"/>
        <v>1618.8050270841591</v>
      </c>
      <c r="J265" s="1695">
        <f t="shared" si="356"/>
        <v>1506.3211190381821</v>
      </c>
      <c r="K265" s="1695">
        <f t="shared" si="356"/>
        <v>1343.3182454749638</v>
      </c>
      <c r="L265" s="1695">
        <f t="shared" si="356"/>
        <v>1260.8688201876073</v>
      </c>
      <c r="M265" s="1695">
        <f t="shared" si="356"/>
        <v>1215.2498546703659</v>
      </c>
      <c r="N265" s="1695">
        <f t="shared" si="356"/>
        <v>1137.4107742105957</v>
      </c>
      <c r="O265" s="1695">
        <f t="shared" si="356"/>
        <v>1010.6837627163429</v>
      </c>
      <c r="P265" s="1695">
        <f t="shared" si="355"/>
        <v>1010.6837627163429</v>
      </c>
      <c r="Q265" s="1695">
        <f t="shared" si="355"/>
        <v>1010.6837627163429</v>
      </c>
      <c r="R265" s="1695">
        <f t="shared" si="355"/>
        <v>1010.6837627163429</v>
      </c>
      <c r="S265" s="1695">
        <f t="shared" si="355"/>
        <v>1010.6837627163429</v>
      </c>
      <c r="T265" s="1695">
        <f t="shared" si="355"/>
        <v>1010.6837627163429</v>
      </c>
      <c r="U265" s="1695">
        <f t="shared" si="355"/>
        <v>1010.6837627163429</v>
      </c>
      <c r="V265" s="1695">
        <f t="shared" si="355"/>
        <v>1010.6837627163429</v>
      </c>
      <c r="W265" s="1685"/>
      <c r="X265" s="1685"/>
      <c r="Y265" s="1685"/>
      <c r="Z265" s="1685"/>
      <c r="AA265" s="1685"/>
      <c r="AB265" s="1685"/>
      <c r="AC265" s="1685"/>
      <c r="AD265" s="1685"/>
    </row>
    <row r="266" spans="1:30" ht="15.75">
      <c r="A266" s="1685"/>
      <c r="B266" s="1692" t="s">
        <v>141</v>
      </c>
      <c r="C266" s="1695"/>
      <c r="D266" s="1694"/>
      <c r="E266" s="1695">
        <f t="shared" ref="E266:K266" si="357">D266+E260</f>
        <v>50</v>
      </c>
      <c r="F266" s="1695">
        <f t="shared" si="357"/>
        <v>100</v>
      </c>
      <c r="G266" s="1695">
        <f t="shared" si="357"/>
        <v>184.88505747126436</v>
      </c>
      <c r="H266" s="1695">
        <f t="shared" si="357"/>
        <v>267.33088915312459</v>
      </c>
      <c r="I266" s="1695">
        <f t="shared" si="357"/>
        <v>302.80502708415906</v>
      </c>
      <c r="J266" s="1695">
        <f t="shared" si="357"/>
        <v>340.62111903818203</v>
      </c>
      <c r="K266" s="1695">
        <f t="shared" si="357"/>
        <v>374.11824547496366</v>
      </c>
      <c r="L266" s="1695">
        <f t="shared" ref="L266:V266" si="358">K266+L260</f>
        <v>401.96882018760732</v>
      </c>
      <c r="M266" s="1695">
        <f t="shared" si="358"/>
        <v>426.64985467036593</v>
      </c>
      <c r="N266" s="1695">
        <f t="shared" si="358"/>
        <v>449.31077421059581</v>
      </c>
      <c r="O266" s="1695">
        <f t="shared" si="358"/>
        <v>469.08376271634296</v>
      </c>
      <c r="P266" s="1695">
        <f t="shared" si="358"/>
        <v>484.64698110714755</v>
      </c>
      <c r="Q266" s="1695">
        <f t="shared" si="358"/>
        <v>499.76298057867615</v>
      </c>
      <c r="R266" s="1695">
        <f t="shared" si="358"/>
        <v>514.44461224929876</v>
      </c>
      <c r="S266" s="1695">
        <f t="shared" si="358"/>
        <v>528.70435795237472</v>
      </c>
      <c r="T266" s="1695">
        <f t="shared" si="358"/>
        <v>542.55434084789101</v>
      </c>
      <c r="U266" s="1695">
        <f t="shared" si="358"/>
        <v>556.00633572916831</v>
      </c>
      <c r="V266" s="1695">
        <f t="shared" si="358"/>
        <v>569.07177903339743</v>
      </c>
      <c r="W266" s="1685"/>
      <c r="X266" s="1685"/>
      <c r="Y266" s="1685"/>
      <c r="Z266" s="1685"/>
      <c r="AA266" s="1685"/>
      <c r="AB266" s="1685"/>
      <c r="AC266" s="1685"/>
      <c r="AD266" s="1685"/>
    </row>
    <row r="267" spans="1:30" ht="15.75">
      <c r="A267" s="1685"/>
      <c r="B267" s="1689" t="s">
        <v>99</v>
      </c>
      <c r="C267" s="1736"/>
      <c r="D267" s="1736"/>
      <c r="E267" s="1736">
        <v>526</v>
      </c>
      <c r="F267" s="1736">
        <v>2954</v>
      </c>
      <c r="G267" s="1691">
        <f>G265-G266</f>
        <v>2869.1149425287358</v>
      </c>
      <c r="H267" s="1736">
        <v>1234.5</v>
      </c>
      <c r="I267" s="1736">
        <v>1316</v>
      </c>
      <c r="J267" s="1736">
        <v>1165.7</v>
      </c>
      <c r="K267" s="1736">
        <v>969.2</v>
      </c>
      <c r="L267" s="1736">
        <v>858.9</v>
      </c>
      <c r="M267" s="1736">
        <v>788.6</v>
      </c>
      <c r="N267" s="1736">
        <v>688.1</v>
      </c>
      <c r="O267" s="1736">
        <v>541.6</v>
      </c>
      <c r="P267" s="1691">
        <f t="shared" ref="P267:V267" si="359">P265-P266</f>
        <v>526.03678160919537</v>
      </c>
      <c r="Q267" s="1691">
        <f t="shared" si="359"/>
        <v>510.92078213766678</v>
      </c>
      <c r="R267" s="1691">
        <f t="shared" si="359"/>
        <v>496.23915046704417</v>
      </c>
      <c r="S267" s="1691">
        <f t="shared" si="359"/>
        <v>481.9794047639682</v>
      </c>
      <c r="T267" s="1691">
        <f t="shared" si="359"/>
        <v>468.12942186845191</v>
      </c>
      <c r="U267" s="1691">
        <f t="shared" si="359"/>
        <v>454.67742698717461</v>
      </c>
      <c r="V267" s="1691">
        <f t="shared" si="359"/>
        <v>441.61198368294549</v>
      </c>
      <c r="W267" s="1685"/>
      <c r="X267" s="1685"/>
      <c r="Y267" s="1685"/>
      <c r="Z267" s="1685"/>
      <c r="AA267" s="1685"/>
      <c r="AB267" s="1685"/>
      <c r="AC267" s="1685"/>
      <c r="AD267" s="1685"/>
    </row>
    <row r="268" spans="1:30" ht="15.75">
      <c r="A268" s="1685"/>
      <c r="B268" s="1692"/>
      <c r="C268" s="1692"/>
      <c r="D268" s="1692"/>
      <c r="E268" s="1692"/>
      <c r="F268" s="1692"/>
      <c r="G268" s="1692"/>
      <c r="H268" s="1692"/>
      <c r="I268" s="1692"/>
      <c r="J268" s="1692"/>
      <c r="K268" s="1692"/>
      <c r="L268" s="1692"/>
      <c r="M268" s="1692"/>
      <c r="N268" s="1692"/>
      <c r="O268" s="1692"/>
      <c r="P268" s="1692"/>
      <c r="Q268" s="1692"/>
      <c r="R268" s="1692"/>
      <c r="S268" s="1692"/>
      <c r="T268" s="1692"/>
      <c r="U268" s="1692"/>
      <c r="V268" s="1692"/>
      <c r="W268" s="1685"/>
      <c r="X268" s="1685"/>
      <c r="Y268" s="1685"/>
      <c r="Z268" s="1685"/>
      <c r="AA268" s="1685"/>
      <c r="AB268" s="1685"/>
      <c r="AC268" s="1685"/>
      <c r="AD268" s="1685"/>
    </row>
    <row r="269" spans="1:30" ht="15.75">
      <c r="A269" s="1685"/>
      <c r="B269" s="1692" t="s">
        <v>142</v>
      </c>
      <c r="C269" s="1730"/>
      <c r="D269" s="1730"/>
      <c r="E269" s="1730"/>
      <c r="F269" s="1730"/>
      <c r="G269" s="1730"/>
      <c r="H269" s="1730"/>
      <c r="I269" s="1730"/>
      <c r="J269" s="1730"/>
      <c r="K269" s="1730"/>
      <c r="L269" s="1730"/>
      <c r="M269" s="1730"/>
      <c r="N269" s="1730"/>
      <c r="O269" s="1730"/>
      <c r="P269" s="1730"/>
      <c r="Q269" s="1730"/>
      <c r="R269" s="1730"/>
      <c r="S269" s="1730"/>
      <c r="T269" s="1730"/>
      <c r="U269" s="1730"/>
      <c r="V269" s="1730"/>
      <c r="W269" s="1685"/>
      <c r="X269" s="1685"/>
      <c r="Y269" s="1685"/>
      <c r="Z269" s="1685"/>
      <c r="AA269" s="1685"/>
      <c r="AB269" s="1685"/>
      <c r="AC269" s="1685"/>
      <c r="AD269" s="1685"/>
    </row>
    <row r="270" spans="1:30" ht="15.75">
      <c r="A270" s="1685"/>
      <c r="B270" s="1692" t="s">
        <v>4</v>
      </c>
      <c r="C270" s="1730"/>
      <c r="D270" s="1730"/>
      <c r="E270" s="1730"/>
      <c r="F270" s="1730"/>
      <c r="G270" s="1730"/>
      <c r="H270" s="1730"/>
      <c r="I270" s="1730"/>
      <c r="J270" s="1730"/>
      <c r="K270" s="1730"/>
      <c r="L270" s="1730"/>
      <c r="M270" s="1730"/>
      <c r="N270" s="1730"/>
      <c r="O270" s="1730"/>
      <c r="P270" s="1730"/>
      <c r="Q270" s="1730"/>
      <c r="R270" s="1730"/>
      <c r="S270" s="1730"/>
      <c r="T270" s="1730"/>
      <c r="U270" s="1730"/>
      <c r="V270" s="1730"/>
      <c r="W270" s="1685"/>
      <c r="X270" s="1685"/>
      <c r="Y270" s="1685"/>
      <c r="Z270" s="1685"/>
      <c r="AA270" s="1685"/>
      <c r="AB270" s="1685"/>
      <c r="AC270" s="1685"/>
      <c r="AD270" s="1685"/>
    </row>
    <row r="271" spans="1:30" ht="15.75">
      <c r="A271" s="1685"/>
      <c r="B271" s="1692"/>
      <c r="C271" s="1692"/>
      <c r="D271" s="1692"/>
      <c r="E271" s="1692"/>
      <c r="F271" s="1692"/>
      <c r="G271" s="1692"/>
      <c r="H271" s="1692"/>
      <c r="I271" s="1692"/>
      <c r="J271" s="1692"/>
      <c r="K271" s="1692"/>
      <c r="L271" s="1692"/>
      <c r="M271" s="1692"/>
      <c r="N271" s="1692"/>
      <c r="O271" s="1692"/>
      <c r="P271" s="1692"/>
      <c r="Q271" s="1692"/>
      <c r="R271" s="1692"/>
      <c r="S271" s="1692"/>
      <c r="T271" s="1692"/>
      <c r="U271" s="1692"/>
      <c r="V271" s="1692"/>
      <c r="W271" s="1685"/>
      <c r="X271" s="1685"/>
      <c r="Y271" s="1685"/>
      <c r="Z271" s="1685"/>
      <c r="AA271" s="1685"/>
      <c r="AB271" s="1685"/>
      <c r="AC271" s="1685"/>
      <c r="AD271" s="1685"/>
    </row>
    <row r="272" spans="1:30" ht="15.75">
      <c r="A272" s="1685"/>
      <c r="B272" s="1692" t="s">
        <v>143</v>
      </c>
      <c r="C272" s="1695"/>
      <c r="D272" s="1695">
        <f>D273+D274</f>
        <v>0</v>
      </c>
      <c r="E272" s="1695">
        <f>D272+E276</f>
        <v>0</v>
      </c>
      <c r="F272" s="1695">
        <f>E272+F276</f>
        <v>0</v>
      </c>
      <c r="G272" s="1695">
        <f>F272+G276</f>
        <v>0</v>
      </c>
      <c r="H272" s="1695">
        <f t="shared" ref="H272:O272" si="360">H273+H274</f>
        <v>6302.6</v>
      </c>
      <c r="I272" s="1695">
        <f t="shared" si="360"/>
        <v>5673.6</v>
      </c>
      <c r="J272" s="1695">
        <f t="shared" si="360"/>
        <v>5133.3</v>
      </c>
      <c r="K272" s="1695">
        <f t="shared" si="360"/>
        <v>4906.3999999999996</v>
      </c>
      <c r="L272" s="1695">
        <f t="shared" si="360"/>
        <v>4885.6000000000004</v>
      </c>
      <c r="M272" s="1695">
        <f t="shared" si="360"/>
        <v>3948</v>
      </c>
      <c r="N272" s="1695">
        <f t="shared" si="360"/>
        <v>3421.3</v>
      </c>
      <c r="O272" s="1695">
        <f t="shared" si="360"/>
        <v>3483.4</v>
      </c>
      <c r="P272" s="1695">
        <f t="shared" ref="P272:V272" si="361">O272+P276</f>
        <v>3483.4</v>
      </c>
      <c r="Q272" s="1695">
        <f t="shared" si="361"/>
        <v>3483.4</v>
      </c>
      <c r="R272" s="1695">
        <f t="shared" si="361"/>
        <v>3483.4</v>
      </c>
      <c r="S272" s="1695">
        <f t="shared" si="361"/>
        <v>3483.4</v>
      </c>
      <c r="T272" s="1695">
        <f t="shared" si="361"/>
        <v>3483.4</v>
      </c>
      <c r="U272" s="1695">
        <f t="shared" si="361"/>
        <v>3483.4</v>
      </c>
      <c r="V272" s="1695">
        <f t="shared" si="361"/>
        <v>3483.4</v>
      </c>
      <c r="W272" s="1685"/>
      <c r="X272" s="1685"/>
      <c r="Y272" s="1685"/>
      <c r="Z272" s="1685"/>
      <c r="AA272" s="1685"/>
      <c r="AB272" s="1685"/>
      <c r="AC272" s="1685"/>
      <c r="AD272" s="1685"/>
    </row>
    <row r="273" spans="1:51" ht="15.75">
      <c r="A273" s="1685"/>
      <c r="B273" s="1692" t="s">
        <v>144</v>
      </c>
      <c r="C273" s="1730"/>
      <c r="D273" s="1730"/>
      <c r="E273" s="1695">
        <f t="shared" ref="E273:K273" si="362">D273</f>
        <v>0</v>
      </c>
      <c r="F273" s="1695">
        <f t="shared" si="362"/>
        <v>0</v>
      </c>
      <c r="G273" s="1695">
        <f t="shared" si="362"/>
        <v>0</v>
      </c>
      <c r="H273" s="1695">
        <f t="shared" si="362"/>
        <v>0</v>
      </c>
      <c r="I273" s="1695">
        <f t="shared" si="362"/>
        <v>0</v>
      </c>
      <c r="J273" s="1695">
        <f t="shared" si="362"/>
        <v>0</v>
      </c>
      <c r="K273" s="1695">
        <f t="shared" si="362"/>
        <v>0</v>
      </c>
      <c r="L273" s="1695">
        <f t="shared" ref="L273:V273" si="363">K273</f>
        <v>0</v>
      </c>
      <c r="M273" s="1695">
        <f t="shared" si="363"/>
        <v>0</v>
      </c>
      <c r="N273" s="1695">
        <f t="shared" si="363"/>
        <v>0</v>
      </c>
      <c r="O273" s="1695">
        <f t="shared" si="363"/>
        <v>0</v>
      </c>
      <c r="P273" s="1695">
        <f t="shared" si="363"/>
        <v>0</v>
      </c>
      <c r="Q273" s="1695">
        <f t="shared" si="363"/>
        <v>0</v>
      </c>
      <c r="R273" s="1695">
        <f t="shared" si="363"/>
        <v>0</v>
      </c>
      <c r="S273" s="1695">
        <f t="shared" si="363"/>
        <v>0</v>
      </c>
      <c r="T273" s="1695">
        <f t="shared" si="363"/>
        <v>0</v>
      </c>
      <c r="U273" s="1695">
        <f t="shared" si="363"/>
        <v>0</v>
      </c>
      <c r="V273" s="1695">
        <f t="shared" si="363"/>
        <v>0</v>
      </c>
      <c r="W273" s="1685"/>
      <c r="X273" s="1685"/>
      <c r="Y273" s="1685"/>
      <c r="Z273" s="1685"/>
      <c r="AA273" s="1685"/>
      <c r="AB273" s="1685"/>
      <c r="AC273" s="1685"/>
      <c r="AD273" s="1685"/>
    </row>
    <row r="274" spans="1:51" ht="15.75">
      <c r="A274" s="1685"/>
      <c r="B274" s="1689" t="s">
        <v>145</v>
      </c>
      <c r="C274" s="1736"/>
      <c r="D274" s="1736"/>
      <c r="E274" s="1691">
        <f>E272-E273</f>
        <v>0</v>
      </c>
      <c r="F274" s="1691">
        <f>F272-F273</f>
        <v>0</v>
      </c>
      <c r="G274" s="1691">
        <f>G272-G273</f>
        <v>0</v>
      </c>
      <c r="H274" s="1736">
        <v>6302.6</v>
      </c>
      <c r="I274" s="1736">
        <v>5673.6</v>
      </c>
      <c r="J274" s="1736">
        <v>5133.3</v>
      </c>
      <c r="K274" s="1736">
        <v>4906.3999999999996</v>
      </c>
      <c r="L274" s="1736">
        <v>4885.6000000000004</v>
      </c>
      <c r="M274" s="1736">
        <v>3948</v>
      </c>
      <c r="N274" s="1736">
        <v>3421.3</v>
      </c>
      <c r="O274" s="1736">
        <v>3483.4</v>
      </c>
      <c r="P274" s="1691">
        <f t="shared" ref="P274:V274" si="364">P272-P273</f>
        <v>3483.4</v>
      </c>
      <c r="Q274" s="1691">
        <f t="shared" si="364"/>
        <v>3483.4</v>
      </c>
      <c r="R274" s="1691">
        <f t="shared" si="364"/>
        <v>3483.4</v>
      </c>
      <c r="S274" s="1691">
        <f t="shared" si="364"/>
        <v>3483.4</v>
      </c>
      <c r="T274" s="1691">
        <f t="shared" si="364"/>
        <v>3483.4</v>
      </c>
      <c r="U274" s="1691">
        <f t="shared" si="364"/>
        <v>3483.4</v>
      </c>
      <c r="V274" s="1691">
        <f t="shared" si="364"/>
        <v>3483.4</v>
      </c>
      <c r="W274" s="1685"/>
      <c r="X274" s="1685"/>
      <c r="Y274" s="1685"/>
      <c r="Z274" s="1685"/>
      <c r="AA274" s="1685"/>
      <c r="AB274" s="1685"/>
      <c r="AC274" s="1685"/>
      <c r="AD274" s="1685"/>
    </row>
    <row r="275" spans="1:51" ht="15.75">
      <c r="A275" s="1685"/>
      <c r="B275" s="1692"/>
      <c r="C275" s="1692"/>
      <c r="D275" s="1692"/>
      <c r="E275" s="1692"/>
      <c r="F275" s="1692"/>
      <c r="G275" s="1692"/>
      <c r="H275" s="1692"/>
      <c r="I275" s="1692"/>
      <c r="J275" s="1692"/>
      <c r="K275" s="1692"/>
      <c r="L275" s="1692"/>
      <c r="M275" s="1692"/>
      <c r="N275" s="1692"/>
      <c r="O275" s="1692"/>
      <c r="P275" s="1692"/>
      <c r="Q275" s="1692"/>
      <c r="R275" s="1692"/>
      <c r="S275" s="1692"/>
      <c r="T275" s="1692"/>
      <c r="U275" s="1692"/>
      <c r="V275" s="1692"/>
      <c r="W275" s="1685"/>
      <c r="X275" s="1685"/>
      <c r="Y275" s="1685"/>
      <c r="Z275" s="1685"/>
      <c r="AA275" s="1685"/>
      <c r="AB275" s="1685"/>
      <c r="AC275" s="1685"/>
      <c r="AD275" s="1685"/>
    </row>
    <row r="276" spans="1:51" ht="15.75">
      <c r="A276" s="1685"/>
      <c r="B276" s="1692" t="s">
        <v>146</v>
      </c>
      <c r="C276" s="1730">
        <v>0</v>
      </c>
      <c r="D276" s="1730">
        <v>0</v>
      </c>
      <c r="E276" s="1730">
        <v>0</v>
      </c>
      <c r="F276" s="1730">
        <v>0</v>
      </c>
      <c r="G276" s="1730">
        <v>0</v>
      </c>
      <c r="H276" s="1730">
        <v>0</v>
      </c>
      <c r="I276" s="1730">
        <v>0</v>
      </c>
      <c r="J276" s="1730">
        <v>0</v>
      </c>
      <c r="K276" s="1730">
        <v>0</v>
      </c>
      <c r="L276" s="1730">
        <v>0</v>
      </c>
      <c r="M276" s="1730">
        <v>0</v>
      </c>
      <c r="N276" s="1730">
        <v>0</v>
      </c>
      <c r="O276" s="1730">
        <v>0</v>
      </c>
      <c r="P276" s="1730">
        <v>0</v>
      </c>
      <c r="Q276" s="1730">
        <v>0</v>
      </c>
      <c r="R276" s="1730">
        <v>0</v>
      </c>
      <c r="S276" s="1730">
        <v>0</v>
      </c>
      <c r="T276" s="1730">
        <v>0</v>
      </c>
      <c r="U276" s="1730">
        <v>0</v>
      </c>
      <c r="V276" s="1730">
        <v>0</v>
      </c>
      <c r="W276" s="1685"/>
      <c r="X276" s="1685"/>
      <c r="Y276" s="1685"/>
      <c r="Z276" s="1685"/>
      <c r="AA276" s="1685"/>
      <c r="AB276" s="1685"/>
      <c r="AC276" s="1685"/>
      <c r="AD276" s="1685"/>
    </row>
    <row r="277" spans="1:51" ht="15.75">
      <c r="A277" s="1685"/>
      <c r="B277" s="1692" t="s">
        <v>147</v>
      </c>
      <c r="C277" s="1730">
        <v>0</v>
      </c>
      <c r="D277" s="1730">
        <v>0</v>
      </c>
      <c r="E277" s="1730">
        <v>0</v>
      </c>
      <c r="F277" s="1730">
        <v>0</v>
      </c>
      <c r="G277" s="1730">
        <v>0</v>
      </c>
      <c r="H277" s="1730">
        <v>0</v>
      </c>
      <c r="I277" s="1730">
        <v>0</v>
      </c>
      <c r="J277" s="1730">
        <v>0</v>
      </c>
      <c r="K277" s="1730">
        <v>0</v>
      </c>
      <c r="L277" s="1730">
        <v>0</v>
      </c>
      <c r="M277" s="1730">
        <v>0</v>
      </c>
      <c r="N277" s="1730">
        <v>0</v>
      </c>
      <c r="O277" s="1730">
        <v>0</v>
      </c>
      <c r="P277" s="1730">
        <v>0</v>
      </c>
      <c r="Q277" s="1730">
        <v>0</v>
      </c>
      <c r="R277" s="1730">
        <v>0</v>
      </c>
      <c r="S277" s="1730">
        <v>0</v>
      </c>
      <c r="T277" s="1730">
        <v>0</v>
      </c>
      <c r="U277" s="1730">
        <v>0</v>
      </c>
      <c r="V277" s="1730">
        <v>0</v>
      </c>
      <c r="W277" s="1685"/>
      <c r="X277" s="1685"/>
      <c r="Y277" s="1685"/>
      <c r="Z277" s="1685"/>
      <c r="AA277" s="1685"/>
      <c r="AB277" s="1685"/>
      <c r="AC277" s="1685"/>
      <c r="AD277" s="1685"/>
    </row>
    <row r="278" spans="1:51" ht="15.75">
      <c r="A278" s="1685"/>
      <c r="B278" s="1692"/>
      <c r="C278" s="1692"/>
      <c r="D278" s="1692"/>
      <c r="E278" s="1692"/>
      <c r="F278" s="1692"/>
      <c r="G278" s="1692"/>
      <c r="H278" s="1692"/>
      <c r="I278" s="1692"/>
      <c r="J278" s="1692"/>
      <c r="K278" s="1692"/>
      <c r="L278" s="1685"/>
      <c r="M278" s="1685"/>
      <c r="N278" s="1685"/>
      <c r="O278" s="1685"/>
      <c r="P278" s="1685"/>
      <c r="Q278" s="1685"/>
      <c r="R278" s="1685"/>
      <c r="S278" s="1685"/>
      <c r="T278" s="1685"/>
      <c r="U278" s="1685"/>
      <c r="V278" s="1685"/>
      <c r="W278" s="1685"/>
      <c r="X278" s="1685"/>
      <c r="Y278" s="1685"/>
      <c r="Z278" s="1685"/>
      <c r="AA278" s="1685"/>
      <c r="AB278" s="1685"/>
      <c r="AC278" s="1685"/>
      <c r="AD278" s="1685"/>
    </row>
    <row r="279" spans="1:51" ht="15.75">
      <c r="A279" s="1685"/>
      <c r="B279" s="1689" t="s">
        <v>148</v>
      </c>
      <c r="C279" s="1692"/>
      <c r="D279" s="1692"/>
      <c r="E279" s="1692"/>
      <c r="F279" s="1692"/>
      <c r="G279" s="1692"/>
      <c r="H279" s="1692"/>
      <c r="I279" s="1692"/>
      <c r="J279" s="1692"/>
      <c r="K279" s="1692"/>
      <c r="L279" s="1685"/>
      <c r="M279" s="1685"/>
      <c r="N279" s="1685"/>
      <c r="O279" s="1685"/>
      <c r="P279" s="1685"/>
      <c r="Q279" s="1685"/>
      <c r="R279" s="1685"/>
      <c r="S279" s="1685"/>
      <c r="T279" s="1685"/>
      <c r="U279" s="1685"/>
      <c r="V279" s="1685"/>
      <c r="W279" s="1685"/>
      <c r="X279" s="1685"/>
      <c r="Y279" s="1685"/>
      <c r="Z279" s="1685"/>
      <c r="AA279" s="1685"/>
      <c r="AB279" s="1685"/>
      <c r="AC279" s="1685"/>
      <c r="AD279" s="1685"/>
    </row>
    <row r="280" spans="1:51" ht="15.75">
      <c r="A280" s="1685"/>
      <c r="B280" s="1692" t="s">
        <v>149</v>
      </c>
      <c r="C280" s="1695">
        <f t="shared" ref="C280:I280" si="365">C254</f>
        <v>0</v>
      </c>
      <c r="D280" s="1695">
        <f t="shared" si="365"/>
        <v>0</v>
      </c>
      <c r="E280" s="1695">
        <f t="shared" si="365"/>
        <v>1418</v>
      </c>
      <c r="F280" s="1695">
        <f t="shared" si="365"/>
        <v>2523</v>
      </c>
      <c r="G280" s="1695">
        <f t="shared" si="365"/>
        <v>3986.2712550607289</v>
      </c>
      <c r="H280" s="1695">
        <f t="shared" si="365"/>
        <v>3860.9</v>
      </c>
      <c r="I280" s="1695">
        <f t="shared" si="365"/>
        <v>4169.2</v>
      </c>
      <c r="J280" s="1695">
        <f t="shared" ref="J280:P280" si="366">J254</f>
        <v>4236.8999999999996</v>
      </c>
      <c r="K280" s="1695">
        <f t="shared" si="366"/>
        <v>4301.1000000000004</v>
      </c>
      <c r="L280" s="1695">
        <f t="shared" si="366"/>
        <v>4911.3999999999996</v>
      </c>
      <c r="M280" s="1695">
        <f t="shared" si="366"/>
        <v>4168.3999999999996</v>
      </c>
      <c r="N280" s="1695">
        <f t="shared" si="366"/>
        <v>4293.6000000000004</v>
      </c>
      <c r="O280" s="1695">
        <f t="shared" si="366"/>
        <v>4205.7</v>
      </c>
      <c r="P280" s="1695">
        <f t="shared" si="366"/>
        <v>3309.9191403703244</v>
      </c>
      <c r="Q280" s="1695">
        <f t="shared" ref="Q280:V280" si="367">Q254</f>
        <v>3201.0720339995132</v>
      </c>
      <c r="R280" s="1695">
        <f t="shared" si="367"/>
        <v>3158.7128030107579</v>
      </c>
      <c r="S280" s="1695">
        <f t="shared" si="367"/>
        <v>3145.3781055212912</v>
      </c>
      <c r="T280" s="1695">
        <f t="shared" si="367"/>
        <v>3189.8720634874317</v>
      </c>
      <c r="U280" s="1695">
        <f t="shared" si="367"/>
        <v>3240.165555412801</v>
      </c>
      <c r="V280" s="1695">
        <f t="shared" si="367"/>
        <v>3295.4701139003373</v>
      </c>
      <c r="W280" s="1685"/>
      <c r="X280" s="1685"/>
      <c r="Y280" s="1685"/>
      <c r="Z280" s="1685"/>
      <c r="AA280" s="1685"/>
      <c r="AB280" s="1685"/>
      <c r="AC280" s="1685"/>
      <c r="AD280" s="1685"/>
    </row>
    <row r="281" spans="1:51" ht="15.75">
      <c r="A281" s="1685"/>
      <c r="B281" s="1692" t="s">
        <v>150</v>
      </c>
      <c r="C281" s="1717">
        <f t="shared" ref="C281:I281" si="368">C267</f>
        <v>0</v>
      </c>
      <c r="D281" s="1717">
        <f t="shared" si="368"/>
        <v>0</v>
      </c>
      <c r="E281" s="1717">
        <f t="shared" si="368"/>
        <v>526</v>
      </c>
      <c r="F281" s="1717">
        <f t="shared" si="368"/>
        <v>2954</v>
      </c>
      <c r="G281" s="1717">
        <f t="shared" si="368"/>
        <v>2869.1149425287358</v>
      </c>
      <c r="H281" s="1717">
        <f t="shared" si="368"/>
        <v>1234.5</v>
      </c>
      <c r="I281" s="1717">
        <f t="shared" si="368"/>
        <v>1316</v>
      </c>
      <c r="J281" s="1717">
        <f t="shared" ref="J281:P281" si="369">J267</f>
        <v>1165.7</v>
      </c>
      <c r="K281" s="1717">
        <f t="shared" si="369"/>
        <v>969.2</v>
      </c>
      <c r="L281" s="1717">
        <f t="shared" si="369"/>
        <v>858.9</v>
      </c>
      <c r="M281" s="1717">
        <f t="shared" si="369"/>
        <v>788.6</v>
      </c>
      <c r="N281" s="1717">
        <f t="shared" si="369"/>
        <v>688.1</v>
      </c>
      <c r="O281" s="1717">
        <f t="shared" si="369"/>
        <v>541.6</v>
      </c>
      <c r="P281" s="1717">
        <f t="shared" si="369"/>
        <v>526.03678160919537</v>
      </c>
      <c r="Q281" s="1717">
        <f t="shared" ref="Q281:V281" si="370">Q267</f>
        <v>510.92078213766678</v>
      </c>
      <c r="R281" s="1717">
        <f t="shared" si="370"/>
        <v>496.23915046704417</v>
      </c>
      <c r="S281" s="1717">
        <f t="shared" si="370"/>
        <v>481.9794047639682</v>
      </c>
      <c r="T281" s="1717">
        <f t="shared" si="370"/>
        <v>468.12942186845191</v>
      </c>
      <c r="U281" s="1717">
        <f t="shared" si="370"/>
        <v>454.67742698717461</v>
      </c>
      <c r="V281" s="1717">
        <f t="shared" si="370"/>
        <v>441.61198368294549</v>
      </c>
      <c r="W281" s="1685"/>
      <c r="X281" s="1685"/>
      <c r="Y281" s="1685"/>
      <c r="Z281" s="1685"/>
      <c r="AA281" s="1685"/>
      <c r="AB281" s="1685"/>
      <c r="AC281" s="1685"/>
      <c r="AD281" s="1685"/>
    </row>
    <row r="282" spans="1:51" ht="15.75">
      <c r="A282" s="1685"/>
      <c r="B282" s="1692" t="s">
        <v>16</v>
      </c>
      <c r="C282" s="1695">
        <f t="shared" ref="C282:I282" si="371">C280+C281</f>
        <v>0</v>
      </c>
      <c r="D282" s="1695">
        <f t="shared" si="371"/>
        <v>0</v>
      </c>
      <c r="E282" s="1695">
        <f t="shared" si="371"/>
        <v>1944</v>
      </c>
      <c r="F282" s="1695">
        <f t="shared" si="371"/>
        <v>5477</v>
      </c>
      <c r="G282" s="1695">
        <f t="shared" si="371"/>
        <v>6855.3861975894652</v>
      </c>
      <c r="H282" s="1695">
        <f t="shared" si="371"/>
        <v>5095.3999999999996</v>
      </c>
      <c r="I282" s="1695">
        <f t="shared" si="371"/>
        <v>5485.2</v>
      </c>
      <c r="J282" s="1695">
        <f t="shared" ref="J282:P282" si="372">J280+J281</f>
        <v>5402.5999999999995</v>
      </c>
      <c r="K282" s="1695">
        <f t="shared" si="372"/>
        <v>5270.3</v>
      </c>
      <c r="L282" s="1695">
        <f t="shared" si="372"/>
        <v>5770.2999999999993</v>
      </c>
      <c r="M282" s="1695">
        <f t="shared" si="372"/>
        <v>4957</v>
      </c>
      <c r="N282" s="1695">
        <f t="shared" si="372"/>
        <v>4981.7000000000007</v>
      </c>
      <c r="O282" s="1695">
        <f t="shared" si="372"/>
        <v>4747.3</v>
      </c>
      <c r="P282" s="1695">
        <f t="shared" si="372"/>
        <v>3835.9559219795196</v>
      </c>
      <c r="Q282" s="1695">
        <f t="shared" ref="Q282:V282" si="373">Q280+Q281</f>
        <v>3711.9928161371799</v>
      </c>
      <c r="R282" s="1695">
        <f t="shared" si="373"/>
        <v>3654.9519534778019</v>
      </c>
      <c r="S282" s="1695">
        <f t="shared" si="373"/>
        <v>3627.3575102852592</v>
      </c>
      <c r="T282" s="1695">
        <f t="shared" si="373"/>
        <v>3658.0014853558837</v>
      </c>
      <c r="U282" s="1695">
        <f t="shared" si="373"/>
        <v>3694.8429823999759</v>
      </c>
      <c r="V282" s="1695">
        <f t="shared" si="373"/>
        <v>3737.082097583283</v>
      </c>
      <c r="W282" s="1685"/>
      <c r="X282" s="1685"/>
      <c r="Y282" s="1685"/>
      <c r="Z282" s="1685"/>
      <c r="AA282" s="1685"/>
      <c r="AB282" s="1685"/>
      <c r="AC282" s="1685"/>
      <c r="AD282" s="1685"/>
    </row>
    <row r="283" spans="1:51" ht="15.75">
      <c r="A283" s="1685"/>
      <c r="B283" s="1692"/>
      <c r="C283" s="1692"/>
      <c r="D283" s="1692"/>
      <c r="E283" s="1692"/>
      <c r="F283" s="1692"/>
      <c r="G283" s="1692"/>
      <c r="H283" s="1692"/>
      <c r="I283" s="1692"/>
      <c r="J283" s="1692"/>
      <c r="K283" s="1692"/>
      <c r="L283" s="1685"/>
      <c r="M283" s="1685"/>
      <c r="N283" s="1685"/>
      <c r="O283" s="1685"/>
      <c r="P283" s="1685"/>
      <c r="Q283" s="1685"/>
      <c r="R283" s="1685"/>
      <c r="S283" s="1685"/>
      <c r="T283" s="1685"/>
      <c r="U283" s="1685"/>
      <c r="V283" s="1685"/>
      <c r="W283" s="1685"/>
      <c r="X283" s="1685"/>
      <c r="Y283" s="1685"/>
      <c r="Z283" s="1685"/>
      <c r="AA283" s="1685"/>
      <c r="AB283" s="1685"/>
      <c r="AC283" s="1685"/>
      <c r="AD283" s="1685"/>
    </row>
    <row r="284" spans="1:51" ht="15.75">
      <c r="A284" s="1685"/>
      <c r="B284" s="1687" t="s">
        <v>151</v>
      </c>
      <c r="C284" s="1688">
        <f>C259</f>
        <v>40908</v>
      </c>
      <c r="D284" s="1688">
        <f t="shared" ref="D284:P284" si="374">D259</f>
        <v>41274</v>
      </c>
      <c r="E284" s="1688">
        <f t="shared" si="374"/>
        <v>41639</v>
      </c>
      <c r="F284" s="1688">
        <f t="shared" si="374"/>
        <v>42004</v>
      </c>
      <c r="G284" s="1688">
        <f t="shared" si="374"/>
        <v>42369</v>
      </c>
      <c r="H284" s="1688">
        <f t="shared" si="374"/>
        <v>42735</v>
      </c>
      <c r="I284" s="1688">
        <f t="shared" si="374"/>
        <v>43100</v>
      </c>
      <c r="J284" s="1688">
        <f t="shared" si="374"/>
        <v>43465</v>
      </c>
      <c r="K284" s="1688">
        <f t="shared" si="374"/>
        <v>43830</v>
      </c>
      <c r="L284" s="1688">
        <f t="shared" si="374"/>
        <v>44196</v>
      </c>
      <c r="M284" s="1688">
        <f t="shared" si="374"/>
        <v>44561</v>
      </c>
      <c r="N284" s="1688">
        <f t="shared" si="374"/>
        <v>44926</v>
      </c>
      <c r="O284" s="1688">
        <f t="shared" si="374"/>
        <v>45291</v>
      </c>
      <c r="P284" s="1688">
        <f t="shared" si="374"/>
        <v>45657</v>
      </c>
      <c r="Q284" s="1688">
        <f t="shared" ref="Q284:V284" si="375">Q259</f>
        <v>46022</v>
      </c>
      <c r="R284" s="1688">
        <f t="shared" si="375"/>
        <v>46387</v>
      </c>
      <c r="S284" s="1688">
        <f t="shared" si="375"/>
        <v>46752</v>
      </c>
      <c r="T284" s="1688">
        <f t="shared" si="375"/>
        <v>47118</v>
      </c>
      <c r="U284" s="1688">
        <f t="shared" si="375"/>
        <v>47483</v>
      </c>
      <c r="V284" s="1688">
        <f t="shared" si="375"/>
        <v>47848</v>
      </c>
      <c r="W284" s="1685"/>
      <c r="X284" s="1685"/>
      <c r="Y284" s="1685"/>
      <c r="Z284" s="1685"/>
      <c r="AA284" s="1685"/>
      <c r="AB284" s="1685"/>
      <c r="AC284" s="1685"/>
      <c r="AD284" s="1685"/>
    </row>
    <row r="285" spans="1:51" ht="15.75">
      <c r="A285" s="1685"/>
      <c r="B285" s="1692" t="s">
        <v>152</v>
      </c>
      <c r="C285" s="1738">
        <f t="shared" ref="C285:H285" si="376">SUM(C295:C296)-SUM(C290:C291)</f>
        <v>0</v>
      </c>
      <c r="D285" s="1738">
        <f t="shared" si="376"/>
        <v>0</v>
      </c>
      <c r="E285" s="1738">
        <f t="shared" si="376"/>
        <v>158</v>
      </c>
      <c r="F285" s="1738">
        <f t="shared" si="376"/>
        <v>91</v>
      </c>
      <c r="G285" s="1738" t="e">
        <f t="shared" ca="1" si="376"/>
        <v>#DIV/0!</v>
      </c>
      <c r="H285" s="1738" t="e">
        <f t="shared" ca="1" si="376"/>
        <v>#DIV/0!</v>
      </c>
      <c r="I285" s="1732">
        <v>381.8</v>
      </c>
      <c r="J285" s="1732">
        <v>443.7</v>
      </c>
      <c r="K285" s="1732">
        <v>499.2</v>
      </c>
      <c r="L285" s="1732">
        <v>533.4</v>
      </c>
      <c r="M285" s="1732">
        <v>527.4</v>
      </c>
      <c r="N285" s="1732">
        <v>556.70000000000005</v>
      </c>
      <c r="O285" s="1732">
        <v>601.70000000000005</v>
      </c>
      <c r="P285" s="1738">
        <f ca="1">SUM(P295:P296)-SUM(P290:P291)</f>
        <v>619.35390955854734</v>
      </c>
      <c r="Q285" s="1738">
        <f t="shared" ref="Q285:V285" ca="1" si="377">SUM(Q295:Q296)-SUM(Q290:Q291)</f>
        <v>653.82239239434932</v>
      </c>
      <c r="R285" s="1738">
        <f t="shared" ca="1" si="377"/>
        <v>711.84928438857503</v>
      </c>
      <c r="S285" s="1738">
        <f t="shared" ca="1" si="377"/>
        <v>710.13856933186582</v>
      </c>
      <c r="T285" s="1738">
        <f t="shared" ca="1" si="377"/>
        <v>708.77727418787629</v>
      </c>
      <c r="U285" s="1738">
        <f t="shared" ca="1" si="377"/>
        <v>707.15437937684362</v>
      </c>
      <c r="V285" s="1738">
        <f t="shared" ca="1" si="377"/>
        <v>705.11430242739141</v>
      </c>
      <c r="W285" s="1685"/>
      <c r="X285" s="1685"/>
      <c r="Y285" s="1685"/>
      <c r="Z285" s="1685"/>
      <c r="AA285" s="1685"/>
      <c r="AB285" s="1685"/>
      <c r="AC285" s="1685"/>
      <c r="AD285" s="1685"/>
      <c r="AY285" s="547">
        <f>Master!O20-AV285-AW285-AX285</f>
        <v>70.3</v>
      </c>
    </row>
    <row r="286" spans="1:51" ht="15.75">
      <c r="A286" s="1685"/>
      <c r="B286" s="1692" t="s">
        <v>153</v>
      </c>
      <c r="C286" s="1738">
        <f t="shared" ref="C286:P286" si="378">-C291+C296</f>
        <v>0</v>
      </c>
      <c r="D286" s="1738">
        <f t="shared" si="378"/>
        <v>0</v>
      </c>
      <c r="E286" s="1738">
        <f t="shared" si="378"/>
        <v>25</v>
      </c>
      <c r="F286" s="1738">
        <f t="shared" si="378"/>
        <v>33</v>
      </c>
      <c r="G286" s="1738">
        <f t="shared" si="378"/>
        <v>0</v>
      </c>
      <c r="H286" s="1738">
        <f t="shared" si="378"/>
        <v>0</v>
      </c>
      <c r="I286" s="1738">
        <f t="shared" si="378"/>
        <v>0</v>
      </c>
      <c r="J286" s="1738">
        <f t="shared" si="378"/>
        <v>0</v>
      </c>
      <c r="K286" s="1738">
        <f t="shared" si="378"/>
        <v>0</v>
      </c>
      <c r="L286" s="1738">
        <f t="shared" si="378"/>
        <v>0</v>
      </c>
      <c r="M286" s="1738">
        <f t="shared" si="378"/>
        <v>0</v>
      </c>
      <c r="N286" s="1738">
        <f t="shared" si="378"/>
        <v>0</v>
      </c>
      <c r="O286" s="1738">
        <f t="shared" si="378"/>
        <v>0</v>
      </c>
      <c r="P286" s="1738">
        <f t="shared" si="378"/>
        <v>0</v>
      </c>
      <c r="Q286" s="1738">
        <f t="shared" ref="Q286:V286" si="379">-Q291+Q296</f>
        <v>0</v>
      </c>
      <c r="R286" s="1738">
        <f t="shared" si="379"/>
        <v>0</v>
      </c>
      <c r="S286" s="1738">
        <f t="shared" si="379"/>
        <v>0</v>
      </c>
      <c r="T286" s="1738">
        <f t="shared" si="379"/>
        <v>0</v>
      </c>
      <c r="U286" s="1738">
        <f t="shared" si="379"/>
        <v>0</v>
      </c>
      <c r="V286" s="1738">
        <f t="shared" si="379"/>
        <v>0</v>
      </c>
      <c r="W286" s="1685"/>
      <c r="X286" s="1685"/>
      <c r="Y286" s="1685"/>
      <c r="Z286" s="1685"/>
      <c r="AA286" s="1685"/>
      <c r="AB286" s="1685"/>
      <c r="AC286" s="1685"/>
      <c r="AD286" s="1685"/>
      <c r="AY286" s="547">
        <f>Master!O22-AV286-AW286-AX286</f>
        <v>14.5</v>
      </c>
    </row>
    <row r="287" spans="1:51" ht="15.75">
      <c r="A287" s="1685"/>
      <c r="B287" s="1692" t="s">
        <v>154</v>
      </c>
      <c r="C287" s="1695">
        <f t="shared" ref="C287:I287" si="380">C285-C286</f>
        <v>0</v>
      </c>
      <c r="D287" s="1695">
        <f>D285-D286</f>
        <v>0</v>
      </c>
      <c r="E287" s="1695">
        <f t="shared" si="380"/>
        <v>133</v>
      </c>
      <c r="F287" s="1695">
        <f t="shared" si="380"/>
        <v>58</v>
      </c>
      <c r="G287" s="1695" t="e">
        <f ca="1">G285-G286</f>
        <v>#DIV/0!</v>
      </c>
      <c r="H287" s="1695" t="e">
        <f t="shared" ca="1" si="380"/>
        <v>#DIV/0!</v>
      </c>
      <c r="I287" s="1695">
        <f t="shared" si="380"/>
        <v>381.8</v>
      </c>
      <c r="J287" s="1695">
        <f t="shared" ref="J287:P287" si="381">J285-J286</f>
        <v>443.7</v>
      </c>
      <c r="K287" s="1695">
        <f t="shared" si="381"/>
        <v>499.2</v>
      </c>
      <c r="L287" s="1695">
        <f t="shared" si="381"/>
        <v>533.4</v>
      </c>
      <c r="M287" s="1695">
        <f t="shared" si="381"/>
        <v>527.4</v>
      </c>
      <c r="N287" s="1695">
        <f t="shared" si="381"/>
        <v>556.70000000000005</v>
      </c>
      <c r="O287" s="1695">
        <f t="shared" si="381"/>
        <v>601.70000000000005</v>
      </c>
      <c r="P287" s="1695">
        <f t="shared" ca="1" si="381"/>
        <v>619.35390955854734</v>
      </c>
      <c r="Q287" s="1695">
        <f t="shared" ref="Q287:V287" ca="1" si="382">Q285-Q286</f>
        <v>653.82239239434932</v>
      </c>
      <c r="R287" s="1695">
        <f t="shared" ca="1" si="382"/>
        <v>711.84928438857503</v>
      </c>
      <c r="S287" s="1695">
        <f t="shared" ca="1" si="382"/>
        <v>710.13856933186582</v>
      </c>
      <c r="T287" s="1695">
        <f t="shared" ca="1" si="382"/>
        <v>708.77727418787629</v>
      </c>
      <c r="U287" s="1695">
        <f t="shared" ca="1" si="382"/>
        <v>707.15437937684362</v>
      </c>
      <c r="V287" s="1695">
        <f t="shared" ca="1" si="382"/>
        <v>705.11430242739141</v>
      </c>
      <c r="W287" s="1685"/>
      <c r="X287" s="1685"/>
      <c r="Y287" s="1685"/>
      <c r="Z287" s="1685"/>
      <c r="AA287" s="1685"/>
      <c r="AB287" s="1685"/>
      <c r="AC287" s="1685"/>
      <c r="AD287" s="1685"/>
      <c r="AV287" s="26"/>
      <c r="AW287" s="26"/>
      <c r="AX287" s="26"/>
      <c r="AY287" s="1495">
        <f>Master!O22-AV287-AW287-AX287</f>
        <v>14.5</v>
      </c>
    </row>
    <row r="288" spans="1:51" ht="15.75">
      <c r="A288" s="1685"/>
      <c r="B288" s="1692" t="s">
        <v>78</v>
      </c>
      <c r="C288" s="1693"/>
      <c r="D288" s="1693"/>
      <c r="E288" s="1693"/>
      <c r="F288" s="1693">
        <f t="shared" ref="F288:K288" si="383">F287/E287-1</f>
        <v>-0.56390977443609025</v>
      </c>
      <c r="G288" s="1693" t="e">
        <f t="shared" ca="1" si="383"/>
        <v>#DIV/0!</v>
      </c>
      <c r="H288" s="1693" t="e">
        <f t="shared" ca="1" si="383"/>
        <v>#DIV/0!</v>
      </c>
      <c r="I288" s="1693" t="e">
        <f t="shared" ca="1" si="383"/>
        <v>#DIV/0!</v>
      </c>
      <c r="J288" s="1693">
        <f t="shared" si="383"/>
        <v>0.16212676794133052</v>
      </c>
      <c r="K288" s="1693">
        <f t="shared" si="383"/>
        <v>0.12508451656524677</v>
      </c>
      <c r="L288" s="1693">
        <f t="shared" ref="L288:V288" si="384">L287/K287-1</f>
        <v>6.8509615384615419E-2</v>
      </c>
      <c r="M288" s="1693">
        <f t="shared" si="384"/>
        <v>-1.1248593925759276E-2</v>
      </c>
      <c r="N288" s="1693">
        <f t="shared" si="384"/>
        <v>5.555555555555558E-2</v>
      </c>
      <c r="O288" s="1693">
        <f t="shared" si="384"/>
        <v>8.0833483024968622E-2</v>
      </c>
      <c r="P288" s="1693">
        <f t="shared" ca="1" si="384"/>
        <v>2.9340052448973308E-2</v>
      </c>
      <c r="Q288" s="1693">
        <f t="shared" ca="1" si="384"/>
        <v>5.5652321401135296E-2</v>
      </c>
      <c r="R288" s="1693">
        <f t="shared" ca="1" si="384"/>
        <v>8.8750236561532692E-2</v>
      </c>
      <c r="S288" s="1693">
        <f t="shared" ca="1" si="384"/>
        <v>-2.4031983935737244E-3</v>
      </c>
      <c r="T288" s="1693">
        <f t="shared" ca="1" si="384"/>
        <v>-1.9169429781433767E-3</v>
      </c>
      <c r="U288" s="1693">
        <f t="shared" ca="1" si="384"/>
        <v>-2.2897105623091996E-3</v>
      </c>
      <c r="V288" s="1693">
        <f t="shared" ca="1" si="384"/>
        <v>-2.8849102953303341E-3</v>
      </c>
      <c r="W288" s="1685"/>
      <c r="X288" s="1685"/>
      <c r="Y288" s="1685"/>
      <c r="Z288" s="1685"/>
      <c r="AA288" s="1685"/>
      <c r="AB288" s="1685"/>
      <c r="AC288" s="1685"/>
      <c r="AD288" s="1685"/>
    </row>
    <row r="289" spans="1:51" ht="15.75">
      <c r="A289" s="1685"/>
      <c r="B289" s="1692"/>
      <c r="C289" s="1692"/>
      <c r="D289" s="1692"/>
      <c r="E289" s="1692"/>
      <c r="F289" s="1692"/>
      <c r="G289" s="1692"/>
      <c r="H289" s="1692"/>
      <c r="I289" s="1692"/>
      <c r="J289" s="1692"/>
      <c r="K289" s="1692"/>
      <c r="L289" s="1692"/>
      <c r="M289" s="1692"/>
      <c r="N289" s="1692"/>
      <c r="O289" s="1692"/>
      <c r="P289" s="1692"/>
      <c r="Q289" s="1692"/>
      <c r="R289" s="1692"/>
      <c r="S289" s="1692"/>
      <c r="T289" s="1692"/>
      <c r="U289" s="1692"/>
      <c r="V289" s="1692"/>
      <c r="W289" s="1685"/>
      <c r="X289" s="1685"/>
      <c r="Y289" s="1685"/>
      <c r="Z289" s="1685"/>
      <c r="AA289" s="1685"/>
      <c r="AB289" s="1685"/>
      <c r="AC289" s="1685"/>
      <c r="AD289" s="1685"/>
    </row>
    <row r="290" spans="1:51" ht="15.75">
      <c r="A290" s="1685"/>
      <c r="B290" s="1692" t="s">
        <v>155</v>
      </c>
      <c r="C290" s="1730"/>
      <c r="D290" s="1730"/>
      <c r="E290" s="1730">
        <f>SUM(Quarts!K169:L169)</f>
        <v>6</v>
      </c>
      <c r="F290" s="1730">
        <f>SUM(Quarts!V169:W169)</f>
        <v>26</v>
      </c>
      <c r="G290" s="1739" t="e">
        <f t="shared" ref="G290:V290" ca="1" si="385">G292*AVERAGE(F309:G309)</f>
        <v>#DIV/0!</v>
      </c>
      <c r="H290" s="1740" t="e">
        <f ca="1">H292*AVERAGE(G309:H309)</f>
        <v>#DIV/0!</v>
      </c>
      <c r="I290" s="1739">
        <f t="shared" ref="I290:N290" si="386">I295-I285</f>
        <v>0</v>
      </c>
      <c r="J290" s="1739">
        <f t="shared" si="386"/>
        <v>0</v>
      </c>
      <c r="K290" s="1739">
        <f t="shared" si="386"/>
        <v>0</v>
      </c>
      <c r="L290" s="1739">
        <f t="shared" si="386"/>
        <v>0</v>
      </c>
      <c r="M290" s="1739">
        <f t="shared" si="386"/>
        <v>0</v>
      </c>
      <c r="N290" s="1739">
        <f t="shared" si="386"/>
        <v>0</v>
      </c>
      <c r="O290" s="1739">
        <f t="shared" si="385"/>
        <v>59.522500000000008</v>
      </c>
      <c r="P290" s="1739">
        <f t="shared" ca="1" si="385"/>
        <v>9.2178404414527986</v>
      </c>
      <c r="Q290" s="1739">
        <f t="shared" ca="1" si="385"/>
        <v>9.6096076056508419</v>
      </c>
      <c r="R290" s="1739">
        <f t="shared" ca="1" si="385"/>
        <v>11.747215611425052</v>
      </c>
      <c r="S290" s="1739">
        <f t="shared" ca="1" si="385"/>
        <v>13.457930668134283</v>
      </c>
      <c r="T290" s="1739">
        <f t="shared" ca="1" si="385"/>
        <v>14.819225812123843</v>
      </c>
      <c r="U290" s="1739">
        <f t="shared" ca="1" si="385"/>
        <v>16.442120623158111</v>
      </c>
      <c r="V290" s="1739">
        <f t="shared" ca="1" si="385"/>
        <v>18.482197572616855</v>
      </c>
      <c r="W290" s="1685"/>
      <c r="X290" s="1685"/>
      <c r="Y290" s="1685"/>
      <c r="Z290" s="1685"/>
      <c r="AA290" s="1685"/>
      <c r="AB290" s="1685"/>
      <c r="AC290" s="1685"/>
      <c r="AD290" s="1685"/>
      <c r="AX290" s="17">
        <v>25</v>
      </c>
      <c r="AY290" s="547">
        <f>Master!O27-AV290-AW290-AX290</f>
        <v>-0.60000000000000142</v>
      </c>
    </row>
    <row r="291" spans="1:51" ht="15.75">
      <c r="A291" s="1685"/>
      <c r="B291" s="1692" t="s">
        <v>156</v>
      </c>
      <c r="C291" s="1730">
        <v>0</v>
      </c>
      <c r="D291" s="1730">
        <v>0</v>
      </c>
      <c r="E291" s="1730">
        <f>SUM(Quarts!K172:L172)</f>
        <v>0</v>
      </c>
      <c r="F291" s="1730">
        <f>SUM(Quarts!V172:W172)</f>
        <v>4</v>
      </c>
      <c r="G291" s="1730">
        <v>0</v>
      </c>
      <c r="H291" s="1730">
        <v>0</v>
      </c>
      <c r="I291" s="1730">
        <v>0</v>
      </c>
      <c r="J291" s="1730">
        <v>0</v>
      </c>
      <c r="K291" s="1730">
        <v>0</v>
      </c>
      <c r="L291" s="1730">
        <v>0</v>
      </c>
      <c r="M291" s="1730">
        <v>0</v>
      </c>
      <c r="N291" s="1730">
        <v>0</v>
      </c>
      <c r="O291" s="1730">
        <v>0</v>
      </c>
      <c r="P291" s="1730">
        <v>0</v>
      </c>
      <c r="Q291" s="1730">
        <v>0</v>
      </c>
      <c r="R291" s="1730">
        <v>0</v>
      </c>
      <c r="S291" s="1730">
        <v>0</v>
      </c>
      <c r="T291" s="1730">
        <v>0</v>
      </c>
      <c r="U291" s="1730">
        <v>0</v>
      </c>
      <c r="V291" s="1730">
        <v>0</v>
      </c>
      <c r="W291" s="1685"/>
      <c r="X291" s="1685"/>
      <c r="Y291" s="1685"/>
      <c r="Z291" s="1685"/>
      <c r="AA291" s="1685"/>
      <c r="AB291" s="1685"/>
      <c r="AC291" s="1685"/>
      <c r="AD291" s="1685"/>
    </row>
    <row r="292" spans="1:51" ht="15.75">
      <c r="A292" s="1685"/>
      <c r="B292" s="1692" t="s">
        <v>157</v>
      </c>
      <c r="C292" s="1690"/>
      <c r="D292" s="1690"/>
      <c r="E292" s="1690">
        <f>E290/AVERAGE(D318:E318)</f>
        <v>2.9268292682926831E-2</v>
      </c>
      <c r="F292" s="1690">
        <f>F290/AVERAGE(E318:F318)</f>
        <v>8.5667215815486003E-2</v>
      </c>
      <c r="G292" s="1741">
        <f t="shared" ref="G292:V292" si="387">F292+G293</f>
        <v>4.5667215815486002E-2</v>
      </c>
      <c r="H292" s="1741">
        <f t="shared" si="387"/>
        <v>4.5667215815486002E-2</v>
      </c>
      <c r="I292" s="1741">
        <v>0.05</v>
      </c>
      <c r="J292" s="1741">
        <v>0.05</v>
      </c>
      <c r="K292" s="1741">
        <v>0.05</v>
      </c>
      <c r="L292" s="1741">
        <v>0.05</v>
      </c>
      <c r="M292" s="1741">
        <v>0.05</v>
      </c>
      <c r="N292" s="1741">
        <v>0.05</v>
      </c>
      <c r="O292" s="1741">
        <f t="shared" si="387"/>
        <v>0.05</v>
      </c>
      <c r="P292" s="1741">
        <f t="shared" si="387"/>
        <v>1.0000000000000002E-2</v>
      </c>
      <c r="Q292" s="1741">
        <f t="shared" si="387"/>
        <v>1.0000000000000002E-2</v>
      </c>
      <c r="R292" s="1741">
        <f t="shared" si="387"/>
        <v>1.0000000000000002E-2</v>
      </c>
      <c r="S292" s="1741">
        <f t="shared" si="387"/>
        <v>1.0000000000000002E-2</v>
      </c>
      <c r="T292" s="1741">
        <f t="shared" si="387"/>
        <v>1.0000000000000002E-2</v>
      </c>
      <c r="U292" s="1741">
        <f t="shared" si="387"/>
        <v>1.0000000000000002E-2</v>
      </c>
      <c r="V292" s="1741">
        <f t="shared" si="387"/>
        <v>1.0000000000000002E-2</v>
      </c>
      <c r="W292" s="1685"/>
      <c r="X292" s="1685"/>
      <c r="Y292" s="1685"/>
      <c r="Z292" s="1685"/>
      <c r="AA292" s="1685"/>
      <c r="AB292" s="1685"/>
      <c r="AC292" s="1685"/>
      <c r="AD292" s="1685"/>
    </row>
    <row r="293" spans="1:51" ht="15.75">
      <c r="A293" s="1685"/>
      <c r="B293" s="1692" t="s">
        <v>158</v>
      </c>
      <c r="C293" s="1690"/>
      <c r="D293" s="1690"/>
      <c r="E293" s="1692" t="e">
        <f>E292/D292-1</f>
        <v>#DIV/0!</v>
      </c>
      <c r="F293" s="1693">
        <f>F292/E292-1</f>
        <v>1.9269632070291047</v>
      </c>
      <c r="G293" s="1742">
        <v>-0.04</v>
      </c>
      <c r="H293" s="1742">
        <v>0</v>
      </c>
      <c r="I293" s="1742">
        <v>-0.02</v>
      </c>
      <c r="J293" s="1742">
        <v>0.04</v>
      </c>
      <c r="K293" s="1742">
        <v>-7.0000000000000007E-2</v>
      </c>
      <c r="L293" s="1742">
        <v>0</v>
      </c>
      <c r="M293" s="1742">
        <v>0</v>
      </c>
      <c r="N293" s="1742">
        <v>0</v>
      </c>
      <c r="O293" s="1742">
        <v>0</v>
      </c>
      <c r="P293" s="1742">
        <v>-0.04</v>
      </c>
      <c r="Q293" s="1742">
        <v>0</v>
      </c>
      <c r="R293" s="1742">
        <v>0</v>
      </c>
      <c r="S293" s="1742">
        <v>0</v>
      </c>
      <c r="T293" s="1742">
        <v>0</v>
      </c>
      <c r="U293" s="1742">
        <v>0</v>
      </c>
      <c r="V293" s="1742">
        <v>0</v>
      </c>
      <c r="W293" s="1685"/>
      <c r="X293" s="1685"/>
      <c r="Y293" s="1685"/>
      <c r="Z293" s="1685"/>
      <c r="AA293" s="1685"/>
      <c r="AB293" s="1685"/>
      <c r="AC293" s="1685"/>
      <c r="AD293" s="1685"/>
    </row>
    <row r="294" spans="1:51" ht="15.75">
      <c r="A294" s="1685"/>
      <c r="B294" s="1692"/>
      <c r="C294" s="1692"/>
      <c r="D294" s="1692"/>
      <c r="E294" s="1692"/>
      <c r="F294" s="1692"/>
      <c r="G294" s="1692"/>
      <c r="H294" s="1692"/>
      <c r="I294" s="1692"/>
      <c r="J294" s="1692"/>
      <c r="K294" s="1692"/>
      <c r="L294" s="1692"/>
      <c r="M294" s="1692"/>
      <c r="N294" s="1692"/>
      <c r="O294" s="1692"/>
      <c r="P294" s="1692"/>
      <c r="Q294" s="1692"/>
      <c r="R294" s="1692"/>
      <c r="S294" s="1692"/>
      <c r="T294" s="1692"/>
      <c r="U294" s="1692"/>
      <c r="V294" s="1692"/>
      <c r="W294" s="1685"/>
      <c r="X294" s="1685"/>
      <c r="Y294" s="1685"/>
      <c r="Z294" s="1685"/>
      <c r="AA294" s="1685"/>
      <c r="AB294" s="1685"/>
      <c r="AC294" s="1685"/>
      <c r="AD294" s="1685"/>
    </row>
    <row r="295" spans="1:51" ht="15.75">
      <c r="A295" s="1685"/>
      <c r="B295" s="1692" t="s">
        <v>159</v>
      </c>
      <c r="C295" s="1730"/>
      <c r="D295" s="1730"/>
      <c r="E295" s="1730">
        <f>SUM(Quarts!K170:L170)</f>
        <v>139</v>
      </c>
      <c r="F295" s="1730">
        <f>SUM(Quarts!V170:W170)</f>
        <v>84</v>
      </c>
      <c r="G295" s="1695">
        <f t="shared" ref="G295:O295" si="388">G624</f>
        <v>311.28112720225403</v>
      </c>
      <c r="H295" s="1695">
        <f t="shared" si="388"/>
        <v>380.38262198519038</v>
      </c>
      <c r="I295" s="1695">
        <f t="shared" si="388"/>
        <v>381.8</v>
      </c>
      <c r="J295" s="1695">
        <f t="shared" si="388"/>
        <v>443.7</v>
      </c>
      <c r="K295" s="1695">
        <f t="shared" si="388"/>
        <v>499.2</v>
      </c>
      <c r="L295" s="1695">
        <f t="shared" si="388"/>
        <v>533.4</v>
      </c>
      <c r="M295" s="1695">
        <f t="shared" si="388"/>
        <v>527.4</v>
      </c>
      <c r="N295" s="1695">
        <f t="shared" si="388"/>
        <v>556.70000000000005</v>
      </c>
      <c r="O295" s="1695">
        <f t="shared" si="388"/>
        <v>601.70000000000005</v>
      </c>
      <c r="P295" s="1695">
        <f t="shared" ref="P295:R295" si="389">P624</f>
        <v>628.57175000000018</v>
      </c>
      <c r="Q295" s="1695">
        <f t="shared" si="389"/>
        <v>663.43200000000013</v>
      </c>
      <c r="R295" s="1695">
        <f t="shared" si="389"/>
        <v>723.59650000000011</v>
      </c>
      <c r="S295" s="1695">
        <f t="shared" ref="S295:V295" si="390">S624</f>
        <v>723.59650000000011</v>
      </c>
      <c r="T295" s="1695">
        <f t="shared" si="390"/>
        <v>723.59650000000011</v>
      </c>
      <c r="U295" s="1695">
        <f t="shared" si="390"/>
        <v>723.59650000000011</v>
      </c>
      <c r="V295" s="1695">
        <f t="shared" si="390"/>
        <v>723.59650000000011</v>
      </c>
      <c r="W295" s="1685"/>
      <c r="X295" s="1685"/>
      <c r="Y295" s="1685"/>
      <c r="Z295" s="1685"/>
      <c r="AA295" s="1685"/>
      <c r="AB295" s="1685"/>
      <c r="AC295" s="1685"/>
      <c r="AD295" s="1685"/>
    </row>
    <row r="296" spans="1:51" ht="15.75">
      <c r="A296" s="1685"/>
      <c r="B296" s="1692" t="s">
        <v>160</v>
      </c>
      <c r="C296" s="1730"/>
      <c r="D296" s="1730"/>
      <c r="E296" s="1730">
        <f>SUM(Quarts!K171:L171)</f>
        <v>25</v>
      </c>
      <c r="F296" s="1730">
        <f>SUM(Quarts!V171:W171)</f>
        <v>37</v>
      </c>
      <c r="G296" s="1730">
        <v>0</v>
      </c>
      <c r="H296" s="1730">
        <v>0</v>
      </c>
      <c r="I296" s="1730">
        <v>0</v>
      </c>
      <c r="J296" s="1730">
        <v>0</v>
      </c>
      <c r="K296" s="1730">
        <v>0</v>
      </c>
      <c r="L296" s="1730">
        <v>0</v>
      </c>
      <c r="M296" s="1730">
        <v>0</v>
      </c>
      <c r="N296" s="1730">
        <v>0</v>
      </c>
      <c r="O296" s="1730">
        <v>0</v>
      </c>
      <c r="P296" s="1730">
        <v>0</v>
      </c>
      <c r="Q296" s="1730">
        <v>0</v>
      </c>
      <c r="R296" s="1730">
        <v>0</v>
      </c>
      <c r="S296" s="1730">
        <v>0</v>
      </c>
      <c r="T296" s="1730">
        <v>0</v>
      </c>
      <c r="U296" s="1730">
        <v>0</v>
      </c>
      <c r="V296" s="1730">
        <v>0</v>
      </c>
      <c r="W296" s="1685"/>
      <c r="X296" s="1685"/>
      <c r="Y296" s="1685"/>
      <c r="Z296" s="1685"/>
      <c r="AA296" s="1685"/>
      <c r="AB296" s="1685"/>
      <c r="AC296" s="1685"/>
      <c r="AD296" s="1685"/>
    </row>
    <row r="297" spans="1:51" ht="15.75">
      <c r="A297" s="1685"/>
      <c r="B297" s="1692" t="s">
        <v>161</v>
      </c>
      <c r="C297" s="1690"/>
      <c r="D297" s="1690"/>
      <c r="E297" s="1690">
        <f t="shared" ref="E297:V297" si="391">E295/AVERAGE(D308:E308)</f>
        <v>0.30086580086580089</v>
      </c>
      <c r="F297" s="1690">
        <f t="shared" si="391"/>
        <v>7.6712328767123292E-2</v>
      </c>
      <c r="G297" s="1690">
        <f t="shared" si="391"/>
        <v>9.7304087149501173E-2</v>
      </c>
      <c r="H297" s="1690" t="e">
        <f>H295/AVERAGE(G308:H308)</f>
        <v>#REF!</v>
      </c>
      <c r="I297" s="1690" t="e">
        <f t="shared" si="391"/>
        <v>#REF!</v>
      </c>
      <c r="J297" s="1690">
        <f t="shared" si="391"/>
        <v>6.7029231815091767E-2</v>
      </c>
      <c r="K297" s="1690">
        <f t="shared" si="391"/>
        <v>6.5511381158916276E-2</v>
      </c>
      <c r="L297" s="1690">
        <f t="shared" si="391"/>
        <v>6.3225271143246609E-2</v>
      </c>
      <c r="M297" s="1690">
        <f t="shared" si="391"/>
        <v>6.0077232392039819E-2</v>
      </c>
      <c r="N297" s="1690">
        <f t="shared" si="391"/>
        <v>6.6060293218941163E-2</v>
      </c>
      <c r="O297" s="1690">
        <f t="shared" si="391"/>
        <v>7.5678395119957248E-2</v>
      </c>
      <c r="P297" s="1690">
        <f t="shared" si="391"/>
        <v>7.7314622911298217E-2</v>
      </c>
      <c r="Q297" s="1690">
        <f t="shared" si="391"/>
        <v>8.2651085724252213E-2</v>
      </c>
      <c r="R297" s="1690">
        <f t="shared" si="391"/>
        <v>8.9788494707714453E-2</v>
      </c>
      <c r="S297" s="1690">
        <f t="shared" si="391"/>
        <v>8.9593940369471547E-2</v>
      </c>
      <c r="T297" s="1690">
        <f t="shared" si="391"/>
        <v>8.9593940369471547E-2</v>
      </c>
      <c r="U297" s="1690">
        <f t="shared" si="391"/>
        <v>8.9593940369471547E-2</v>
      </c>
      <c r="V297" s="1690">
        <f t="shared" si="391"/>
        <v>8.9593940369471547E-2</v>
      </c>
      <c r="W297" s="1685"/>
      <c r="X297" s="1685"/>
      <c r="Y297" s="1685"/>
      <c r="Z297" s="1685"/>
      <c r="AA297" s="1685"/>
      <c r="AB297" s="1685"/>
      <c r="AC297" s="1685"/>
      <c r="AD297" s="1685"/>
    </row>
    <row r="298" spans="1:51" ht="15.75">
      <c r="A298" s="1685"/>
      <c r="B298" s="1692" t="s">
        <v>158</v>
      </c>
      <c r="C298" s="1690"/>
      <c r="D298" s="1690"/>
      <c r="E298" s="1690">
        <f t="shared" ref="E298:V298" si="392">E297-D297</f>
        <v>0.30086580086580089</v>
      </c>
      <c r="F298" s="1690">
        <f t="shared" si="392"/>
        <v>-0.22415347209867759</v>
      </c>
      <c r="G298" s="1690">
        <f t="shared" si="392"/>
        <v>2.0591758382377881E-2</v>
      </c>
      <c r="H298" s="1690" t="e">
        <f t="shared" si="392"/>
        <v>#REF!</v>
      </c>
      <c r="I298" s="1690" t="e">
        <f t="shared" si="392"/>
        <v>#REF!</v>
      </c>
      <c r="J298" s="1690" t="e">
        <f t="shared" si="392"/>
        <v>#REF!</v>
      </c>
      <c r="K298" s="1690">
        <f t="shared" si="392"/>
        <v>-1.5178506561754901E-3</v>
      </c>
      <c r="L298" s="1690">
        <f t="shared" si="392"/>
        <v>-2.2861100156696679E-3</v>
      </c>
      <c r="M298" s="1690">
        <f t="shared" si="392"/>
        <v>-3.1480387512067901E-3</v>
      </c>
      <c r="N298" s="1690">
        <f t="shared" si="392"/>
        <v>5.9830608269013444E-3</v>
      </c>
      <c r="O298" s="1690">
        <f t="shared" si="392"/>
        <v>9.6181019010160851E-3</v>
      </c>
      <c r="P298" s="1690">
        <f t="shared" si="392"/>
        <v>1.636227791340969E-3</v>
      </c>
      <c r="Q298" s="1690">
        <f t="shared" si="392"/>
        <v>5.3364628129539959E-3</v>
      </c>
      <c r="R298" s="1690">
        <f t="shared" si="392"/>
        <v>7.1374089834622401E-3</v>
      </c>
      <c r="S298" s="1690">
        <f t="shared" si="392"/>
        <v>-1.9455433824290547E-4</v>
      </c>
      <c r="T298" s="1690">
        <f t="shared" si="392"/>
        <v>0</v>
      </c>
      <c r="U298" s="1690">
        <f t="shared" si="392"/>
        <v>0</v>
      </c>
      <c r="V298" s="1690">
        <f t="shared" si="392"/>
        <v>0</v>
      </c>
      <c r="W298" s="1685"/>
      <c r="X298" s="1685"/>
      <c r="Y298" s="1685"/>
      <c r="Z298" s="1685"/>
      <c r="AA298" s="1685"/>
      <c r="AB298" s="1685"/>
      <c r="AC298" s="1685"/>
      <c r="AD298" s="1685"/>
    </row>
    <row r="299" spans="1:51" ht="15.75">
      <c r="A299" s="1685"/>
      <c r="B299" s="1692"/>
      <c r="C299" s="1692"/>
      <c r="D299" s="1692"/>
      <c r="E299" s="1692"/>
      <c r="F299" s="1692"/>
      <c r="G299" s="1692"/>
      <c r="H299" s="1692"/>
      <c r="I299" s="1692"/>
      <c r="J299" s="1692"/>
      <c r="K299" s="1692"/>
      <c r="L299" s="1692"/>
      <c r="M299" s="1692"/>
      <c r="N299" s="1692"/>
      <c r="O299" s="1692"/>
      <c r="P299" s="1692"/>
      <c r="Q299" s="1692"/>
      <c r="R299" s="1692"/>
      <c r="S299" s="1692"/>
      <c r="T299" s="1692"/>
      <c r="U299" s="1692"/>
      <c r="V299" s="1692"/>
      <c r="W299" s="1685"/>
      <c r="X299" s="1685"/>
      <c r="Y299" s="1685"/>
      <c r="Z299" s="1685"/>
      <c r="AA299" s="1685"/>
      <c r="AB299" s="1685"/>
      <c r="AC299" s="1685"/>
      <c r="AD299" s="1685"/>
    </row>
    <row r="300" spans="1:51" ht="15.75">
      <c r="A300" s="1685"/>
      <c r="B300" s="1692" t="s">
        <v>162</v>
      </c>
      <c r="C300" s="1690"/>
      <c r="D300" s="1690"/>
      <c r="E300" s="1690">
        <f t="shared" ref="E300:P300" si="393">E287/E302</f>
        <v>0.51750972762645919</v>
      </c>
      <c r="F300" s="1690">
        <f t="shared" si="393"/>
        <v>7.3278584965255841E-2</v>
      </c>
      <c r="G300" s="1690" t="e">
        <f t="shared" ca="1" si="393"/>
        <v>#DIV/0!</v>
      </c>
      <c r="H300" s="1690" t="e">
        <f t="shared" ca="1" si="393"/>
        <v>#DIV/0!</v>
      </c>
      <c r="I300" s="1690" t="e">
        <f t="shared" si="393"/>
        <v>#REF!</v>
      </c>
      <c r="J300" s="1690">
        <f t="shared" si="393"/>
        <v>7.3636431529072024E-2</v>
      </c>
      <c r="K300" s="1690">
        <f>K287/K302</f>
        <v>8.2334798492507896E-2</v>
      </c>
      <c r="L300" s="1690">
        <f t="shared" si="393"/>
        <v>7.7072571614348148E-2</v>
      </c>
      <c r="M300" s="1690">
        <f t="shared" si="393"/>
        <v>6.6706719367588929E-2</v>
      </c>
      <c r="N300" s="1690">
        <f t="shared" si="393"/>
        <v>7.7856873138190008E-2</v>
      </c>
      <c r="O300" s="1690">
        <f t="shared" si="393"/>
        <v>8.9004925816901614E-2</v>
      </c>
      <c r="P300" s="1690">
        <f t="shared" ca="1" si="393"/>
        <v>8.5922732783672309E-2</v>
      </c>
      <c r="Q300" s="1690">
        <f t="shared" ref="Q300:V300" ca="1" si="394">Q287/Q302</f>
        <v>9.2531561656428479E-2</v>
      </c>
      <c r="R300" s="1690">
        <f t="shared" ca="1" si="394"/>
        <v>0.10340366547888526</v>
      </c>
      <c r="S300" s="1690">
        <f t="shared" ca="1" si="394"/>
        <v>0.10550884584128495</v>
      </c>
      <c r="T300" s="1690">
        <f t="shared" ca="1" si="394"/>
        <v>0.10748043084787511</v>
      </c>
      <c r="U300" s="1690">
        <f t="shared" ca="1" si="394"/>
        <v>0.10993994364403532</v>
      </c>
      <c r="V300" s="1690">
        <f t="shared" ca="1" si="394"/>
        <v>0.11321353508506958</v>
      </c>
      <c r="W300" s="1685"/>
      <c r="X300" s="1685"/>
      <c r="Y300" s="1685"/>
      <c r="Z300" s="1685"/>
      <c r="AA300" s="1685"/>
      <c r="AB300" s="1685"/>
      <c r="AC300" s="1685"/>
      <c r="AD300" s="1685"/>
    </row>
    <row r="301" spans="1:51" ht="15.75">
      <c r="A301" s="1685"/>
      <c r="B301" s="1692" t="s">
        <v>158</v>
      </c>
      <c r="C301" s="1690"/>
      <c r="D301" s="1690"/>
      <c r="E301" s="1690">
        <f t="shared" ref="E301:J301" si="395">E300-D300</f>
        <v>0.51750972762645919</v>
      </c>
      <c r="F301" s="1690">
        <f t="shared" si="395"/>
        <v>-0.44423114266120334</v>
      </c>
      <c r="G301" s="1690" t="e">
        <f t="shared" ca="1" si="395"/>
        <v>#DIV/0!</v>
      </c>
      <c r="H301" s="1690" t="e">
        <f t="shared" ca="1" si="395"/>
        <v>#DIV/0!</v>
      </c>
      <c r="I301" s="1690" t="e">
        <f t="shared" ca="1" si="395"/>
        <v>#REF!</v>
      </c>
      <c r="J301" s="1690" t="e">
        <f t="shared" si="395"/>
        <v>#REF!</v>
      </c>
      <c r="K301" s="1690">
        <f t="shared" ref="K301:V301" si="396">K300-J300</f>
        <v>8.6983669634358718E-3</v>
      </c>
      <c r="L301" s="1690">
        <f t="shared" si="396"/>
        <v>-5.2622268781597481E-3</v>
      </c>
      <c r="M301" s="1690">
        <f t="shared" si="396"/>
        <v>-1.0365852246759219E-2</v>
      </c>
      <c r="N301" s="1690">
        <f t="shared" si="396"/>
        <v>1.1150153770601079E-2</v>
      </c>
      <c r="O301" s="1690">
        <f t="shared" si="396"/>
        <v>1.1148052678711606E-2</v>
      </c>
      <c r="P301" s="1690">
        <f t="shared" ca="1" si="396"/>
        <v>-3.0821930332293052E-3</v>
      </c>
      <c r="Q301" s="1690">
        <f t="shared" ca="1" si="396"/>
        <v>6.60882887275617E-3</v>
      </c>
      <c r="R301" s="1690">
        <f t="shared" ca="1" si="396"/>
        <v>1.0872103822456777E-2</v>
      </c>
      <c r="S301" s="1690">
        <f t="shared" ca="1" si="396"/>
        <v>2.1051803623996918E-3</v>
      </c>
      <c r="T301" s="1690">
        <f t="shared" ca="1" si="396"/>
        <v>1.9715850065901569E-3</v>
      </c>
      <c r="U301" s="1690">
        <f t="shared" ca="1" si="396"/>
        <v>2.4595127961602181E-3</v>
      </c>
      <c r="V301" s="1690">
        <f t="shared" ca="1" si="396"/>
        <v>3.273591441034257E-3</v>
      </c>
      <c r="W301" s="1685"/>
      <c r="X301" s="1685"/>
      <c r="Y301" s="1685"/>
      <c r="Z301" s="1685"/>
      <c r="AA301" s="1685"/>
      <c r="AB301" s="1685"/>
      <c r="AC301" s="1685"/>
      <c r="AD301" s="1685"/>
    </row>
    <row r="302" spans="1:51" ht="15.75">
      <c r="A302" s="1685"/>
      <c r="B302" s="1692" t="s">
        <v>163</v>
      </c>
      <c r="C302" s="1695"/>
      <c r="D302" s="1695"/>
      <c r="E302" s="1695">
        <f t="shared" ref="E302:J302" si="397">AVERAGE(D310:E310)</f>
        <v>257</v>
      </c>
      <c r="F302" s="1695">
        <f t="shared" si="397"/>
        <v>791.5</v>
      </c>
      <c r="G302" s="1695" t="e">
        <f t="shared" ca="1" si="397"/>
        <v>#DIV/0!</v>
      </c>
      <c r="H302" s="1695" t="e">
        <f t="shared" ca="1" si="397"/>
        <v>#DIV/0!</v>
      </c>
      <c r="I302" s="1695" t="e">
        <f t="shared" si="397"/>
        <v>#REF!</v>
      </c>
      <c r="J302" s="1695">
        <f t="shared" si="397"/>
        <v>6025.55</v>
      </c>
      <c r="K302" s="1695">
        <f t="shared" ref="K302:V302" si="398">AVERAGE(J310:K310)</f>
        <v>6063.05</v>
      </c>
      <c r="L302" s="1695">
        <f t="shared" si="398"/>
        <v>6920.75</v>
      </c>
      <c r="M302" s="1695">
        <f t="shared" si="398"/>
        <v>7906.25</v>
      </c>
      <c r="N302" s="1695">
        <f t="shared" si="398"/>
        <v>7150.3</v>
      </c>
      <c r="O302" s="1695">
        <f t="shared" si="398"/>
        <v>6760.3</v>
      </c>
      <c r="P302" s="1695">
        <f t="shared" ca="1" si="398"/>
        <v>7208.2659558547202</v>
      </c>
      <c r="Q302" s="1695">
        <f t="shared" ca="1" si="398"/>
        <v>7065.9392394349161</v>
      </c>
      <c r="R302" s="1695">
        <f t="shared" ca="1" si="398"/>
        <v>6884.1784388574952</v>
      </c>
      <c r="S302" s="1695">
        <f t="shared" ca="1" si="398"/>
        <v>6730.606933186572</v>
      </c>
      <c r="T302" s="1695">
        <f t="shared" ca="1" si="398"/>
        <v>6594.4774187876155</v>
      </c>
      <c r="U302" s="1695">
        <f t="shared" ca="1" si="398"/>
        <v>6432.1879376841898</v>
      </c>
      <c r="V302" s="1695">
        <f t="shared" ca="1" si="398"/>
        <v>6228.1802427380244</v>
      </c>
      <c r="W302" s="1685"/>
      <c r="X302" s="1685"/>
      <c r="Y302" s="1685"/>
      <c r="Z302" s="1685"/>
      <c r="AA302" s="1685"/>
      <c r="AB302" s="1685"/>
      <c r="AC302" s="1685"/>
      <c r="AD302" s="1685"/>
    </row>
    <row r="303" spans="1:51" ht="15.75">
      <c r="A303" s="1685"/>
      <c r="B303" s="1692"/>
      <c r="C303" s="1692"/>
      <c r="D303" s="1692"/>
      <c r="E303" s="1692"/>
      <c r="F303" s="1692"/>
      <c r="G303" s="1692"/>
      <c r="H303" s="1692"/>
      <c r="I303" s="1692"/>
      <c r="J303" s="1692"/>
      <c r="K303" s="1692"/>
      <c r="L303" s="1692"/>
      <c r="M303" s="1692"/>
      <c r="N303" s="1692"/>
      <c r="O303" s="1692"/>
      <c r="P303" s="1692"/>
      <c r="Q303" s="1692"/>
      <c r="R303" s="1692"/>
      <c r="S303" s="1692"/>
      <c r="T303" s="1692"/>
      <c r="U303" s="1692"/>
      <c r="V303" s="1692"/>
      <c r="W303" s="1685"/>
      <c r="X303" s="1685"/>
      <c r="Y303" s="1685"/>
      <c r="Z303" s="1685"/>
      <c r="AA303" s="1685"/>
      <c r="AB303" s="1685"/>
      <c r="AC303" s="1685"/>
      <c r="AD303" s="1685"/>
    </row>
    <row r="304" spans="1:51" ht="15.75">
      <c r="A304" s="1685"/>
      <c r="B304" s="1692" t="s">
        <v>7173</v>
      </c>
      <c r="C304" s="1692"/>
      <c r="D304" s="1692"/>
      <c r="E304" s="1692"/>
      <c r="F304" s="1692"/>
      <c r="G304" s="1692"/>
      <c r="H304" s="1692"/>
      <c r="I304" s="1692"/>
      <c r="J304" s="1692"/>
      <c r="K304" s="1692"/>
      <c r="L304" s="1692"/>
      <c r="M304" s="1692"/>
      <c r="N304" s="1692"/>
      <c r="O304" s="1690">
        <f>O285/AVERAGE(Valuation!M13,Valuation!N13)</f>
        <v>8.9004925816901614E-2</v>
      </c>
      <c r="P304" s="1690">
        <f ca="1">P285/AVERAGE(Valuation!N13,Valuation!O13)</f>
        <v>8.5126170014175814E-2</v>
      </c>
      <c r="Q304" s="1690">
        <f ca="1">Q285/AVERAGE(Valuation!O13,Valuation!P13)</f>
        <v>9.1261336677978755E-2</v>
      </c>
      <c r="R304" s="1690">
        <f ca="1">R285/AVERAGE(Valuation!P13,Valuation!Q13)</f>
        <v>0.10303608347970024</v>
      </c>
      <c r="S304" s="1690">
        <f ca="1">S285/AVERAGE(Valuation!Q13,Valuation!V13)</f>
        <v>0.10459772019500896</v>
      </c>
      <c r="T304" s="1690" t="e">
        <f ca="1">T285/AVERAGE(Valuation!V13,Valuation!W13)</f>
        <v>#DIV/0!</v>
      </c>
      <c r="U304" s="1690" t="e">
        <f ca="1">U285/AVERAGE(Valuation!W13,Valuation!X13)</f>
        <v>#DIV/0!</v>
      </c>
      <c r="V304" s="1690" t="e">
        <f ca="1">V285/AVERAGE(Valuation!X13,Valuation!Y13)</f>
        <v>#DIV/0!</v>
      </c>
      <c r="W304" s="1685"/>
      <c r="X304" s="1685"/>
      <c r="Y304" s="1685"/>
      <c r="Z304" s="1685"/>
      <c r="AA304" s="1685"/>
      <c r="AB304" s="1685"/>
      <c r="AC304" s="1685"/>
      <c r="AD304" s="1685"/>
    </row>
    <row r="305" spans="1:51" ht="15.75">
      <c r="A305" s="1685"/>
      <c r="B305" s="1692"/>
      <c r="C305" s="1692"/>
      <c r="D305" s="1692"/>
      <c r="E305" s="1692"/>
      <c r="F305" s="1692"/>
      <c r="G305" s="1692"/>
      <c r="H305" s="1692"/>
      <c r="I305" s="1692"/>
      <c r="J305" s="1692"/>
      <c r="K305" s="1692"/>
      <c r="L305" s="1692"/>
      <c r="M305" s="1692"/>
      <c r="N305" s="1692"/>
      <c r="O305" s="1692"/>
      <c r="P305" s="1692"/>
      <c r="Q305" s="1692"/>
      <c r="R305" s="1692"/>
      <c r="S305" s="1692"/>
      <c r="T305" s="1692"/>
      <c r="U305" s="1692"/>
      <c r="V305" s="1692"/>
      <c r="W305" s="1685"/>
      <c r="X305" s="1685"/>
      <c r="Y305" s="1685"/>
      <c r="Z305" s="1685"/>
      <c r="AA305" s="1685"/>
      <c r="AB305" s="1685"/>
      <c r="AC305" s="1685"/>
      <c r="AD305" s="1685"/>
    </row>
    <row r="306" spans="1:51" ht="15.75">
      <c r="A306" s="1685"/>
      <c r="B306" s="1692" t="s">
        <v>679</v>
      </c>
      <c r="C306" s="1692"/>
      <c r="D306" s="1692"/>
      <c r="E306" s="1692"/>
      <c r="F306" s="1692"/>
      <c r="G306" s="1692"/>
      <c r="H306" s="1692"/>
      <c r="I306" s="1730">
        <v>393.1</v>
      </c>
      <c r="J306" s="1730">
        <v>418.2</v>
      </c>
      <c r="K306" s="1730">
        <v>444.9</v>
      </c>
      <c r="L306" s="1730">
        <v>484</v>
      </c>
      <c r="M306" s="1730">
        <v>463</v>
      </c>
      <c r="N306" s="1730">
        <v>506.4</v>
      </c>
      <c r="O306" s="1730">
        <v>521.4</v>
      </c>
      <c r="P306" s="1695">
        <f t="shared" ref="P306:Q306" ca="1" si="399">P285</f>
        <v>619.35390955854734</v>
      </c>
      <c r="Q306" s="1695">
        <f t="shared" ca="1" si="399"/>
        <v>653.82239239434932</v>
      </c>
      <c r="R306" s="1695">
        <f t="shared" ref="R306:S306" ca="1" si="400">R285</f>
        <v>711.84928438857503</v>
      </c>
      <c r="S306" s="1695">
        <f t="shared" ca="1" si="400"/>
        <v>710.13856933186582</v>
      </c>
      <c r="T306" s="1695">
        <f t="shared" ref="T306:V306" ca="1" si="401">T285</f>
        <v>708.77727418787629</v>
      </c>
      <c r="U306" s="1695">
        <f t="shared" ca="1" si="401"/>
        <v>707.15437937684362</v>
      </c>
      <c r="V306" s="1695">
        <f t="shared" ca="1" si="401"/>
        <v>705.11430242739141</v>
      </c>
      <c r="W306" s="1685"/>
      <c r="X306" s="1685"/>
      <c r="Y306" s="1685"/>
      <c r="Z306" s="1685"/>
      <c r="AA306" s="1685"/>
      <c r="AB306" s="1685"/>
      <c r="AC306" s="1685"/>
      <c r="AD306" s="1685"/>
    </row>
    <row r="307" spans="1:51" ht="15.75">
      <c r="A307" s="1685"/>
      <c r="B307" s="1692"/>
      <c r="C307" s="1692"/>
      <c r="D307" s="1692"/>
      <c r="E307" s="1692"/>
      <c r="F307" s="1692"/>
      <c r="G307" s="1692"/>
      <c r="H307" s="1692"/>
      <c r="I307" s="1692"/>
      <c r="J307" s="1692"/>
      <c r="K307" s="1692"/>
      <c r="L307" s="1692"/>
      <c r="M307" s="1692"/>
      <c r="N307" s="1692"/>
      <c r="O307" s="1692"/>
      <c r="P307" s="1692"/>
      <c r="Q307" s="1692"/>
      <c r="R307" s="1692"/>
      <c r="S307" s="1692"/>
      <c r="T307" s="1692"/>
      <c r="U307" s="1692"/>
      <c r="V307" s="1692"/>
      <c r="W307" s="1685"/>
      <c r="X307" s="1685"/>
      <c r="Y307" s="1685"/>
      <c r="Z307" s="1685"/>
      <c r="AA307" s="1685"/>
      <c r="AB307" s="1685"/>
      <c r="AC307" s="1685"/>
      <c r="AD307" s="1685"/>
    </row>
    <row r="308" spans="1:51" ht="15.75">
      <c r="A308" s="1685"/>
      <c r="B308" s="1692" t="s">
        <v>164</v>
      </c>
      <c r="C308" s="1695"/>
      <c r="D308" s="1695"/>
      <c r="E308" s="1695">
        <f t="shared" ref="E308:P308" si="402">E315+E314</f>
        <v>462</v>
      </c>
      <c r="F308" s="1695">
        <f t="shared" si="402"/>
        <v>1728</v>
      </c>
      <c r="G308" s="1695">
        <f t="shared" si="402"/>
        <v>4670.1100141043726</v>
      </c>
      <c r="H308" s="1695" t="e">
        <f>H315+H314</f>
        <v>#REF!</v>
      </c>
      <c r="I308" s="1695">
        <f>I315+I314</f>
        <v>6515</v>
      </c>
      <c r="J308" s="1695">
        <f t="shared" si="402"/>
        <v>6724</v>
      </c>
      <c r="K308" s="1695">
        <f>K315+K314</f>
        <v>8516.1</v>
      </c>
      <c r="L308" s="1695">
        <f t="shared" si="402"/>
        <v>8356.9</v>
      </c>
      <c r="M308" s="1695">
        <f t="shared" si="402"/>
        <v>9200.5</v>
      </c>
      <c r="N308" s="1695">
        <f t="shared" si="402"/>
        <v>7653.8</v>
      </c>
      <c r="O308" s="1695">
        <f t="shared" si="402"/>
        <v>8247.7000000000007</v>
      </c>
      <c r="P308" s="1695">
        <f t="shared" si="402"/>
        <v>8012.4000000000005</v>
      </c>
      <c r="Q308" s="1695">
        <f t="shared" ref="Q308:V308" si="403">Q315+Q314</f>
        <v>8041.4000000000005</v>
      </c>
      <c r="R308" s="1695">
        <f t="shared" si="403"/>
        <v>8076.4000000000005</v>
      </c>
      <c r="S308" s="1695">
        <f t="shared" si="403"/>
        <v>8076.4000000000005</v>
      </c>
      <c r="T308" s="1695">
        <f t="shared" si="403"/>
        <v>8076.4000000000005</v>
      </c>
      <c r="U308" s="1695">
        <f t="shared" si="403"/>
        <v>8076.4000000000005</v>
      </c>
      <c r="V308" s="1695">
        <f t="shared" si="403"/>
        <v>8076.4000000000005</v>
      </c>
      <c r="W308" s="1685"/>
      <c r="X308" s="1685"/>
      <c r="Y308" s="1685"/>
      <c r="Z308" s="1685"/>
      <c r="AA308" s="1685"/>
      <c r="AB308" s="1685"/>
      <c r="AC308" s="1685"/>
      <c r="AD308" s="1685"/>
    </row>
    <row r="309" spans="1:51" ht="15.75">
      <c r="A309" s="1685"/>
      <c r="B309" s="1692" t="s">
        <v>165</v>
      </c>
      <c r="C309" s="1743"/>
      <c r="D309" s="1743"/>
      <c r="E309" s="1743">
        <f>E318</f>
        <v>205</v>
      </c>
      <c r="F309" s="1743">
        <f>F318</f>
        <v>402</v>
      </c>
      <c r="G309" s="1743" t="e">
        <f ca="1">G308-G310</f>
        <v>#DIV/0!</v>
      </c>
      <c r="H309" s="1743">
        <f t="shared" ref="H309:M309" si="404">H318</f>
        <v>552.6</v>
      </c>
      <c r="I309" s="1743">
        <f t="shared" si="404"/>
        <v>529.9</v>
      </c>
      <c r="J309" s="1743">
        <f t="shared" si="404"/>
        <v>658</v>
      </c>
      <c r="K309" s="1743">
        <f t="shared" si="404"/>
        <v>2456</v>
      </c>
      <c r="L309" s="1743">
        <f t="shared" si="404"/>
        <v>575.5</v>
      </c>
      <c r="M309" s="1743">
        <f t="shared" si="404"/>
        <v>1169.4000000000001</v>
      </c>
      <c r="N309" s="1743">
        <f>N318</f>
        <v>1384.3</v>
      </c>
      <c r="O309" s="1743">
        <f>O318</f>
        <v>996.6</v>
      </c>
      <c r="P309" s="1743">
        <f t="shared" ref="P309:Q309" ca="1" si="405">P308-P310</f>
        <v>846.96808829055954</v>
      </c>
      <c r="Q309" s="1743">
        <f t="shared" ca="1" si="405"/>
        <v>1074.9534328396085</v>
      </c>
      <c r="R309" s="1743">
        <f t="shared" ref="R309:S309" ca="1" si="406">R308-R310</f>
        <v>1274.4896894454023</v>
      </c>
      <c r="S309" s="1743">
        <f t="shared" ca="1" si="406"/>
        <v>1417.0964441814549</v>
      </c>
      <c r="T309" s="1743">
        <f t="shared" ref="T309:V309" ca="1" si="407">T308-T310</f>
        <v>1546.7487182433142</v>
      </c>
      <c r="U309" s="1743">
        <f t="shared" ca="1" si="407"/>
        <v>1741.6754063883081</v>
      </c>
      <c r="V309" s="1743">
        <f t="shared" ca="1" si="407"/>
        <v>1954.7641081356451</v>
      </c>
      <c r="W309" s="1743">
        <f>W308-W310</f>
        <v>0</v>
      </c>
      <c r="X309" s="1685"/>
      <c r="Y309" s="1685"/>
      <c r="Z309" s="1685"/>
      <c r="AA309" s="1685"/>
      <c r="AB309" s="1685"/>
      <c r="AC309" s="1685"/>
      <c r="AD309" s="1685"/>
    </row>
    <row r="310" spans="1:51" ht="15.75">
      <c r="A310" s="1685"/>
      <c r="B310" s="1689" t="s">
        <v>115</v>
      </c>
      <c r="C310" s="1691"/>
      <c r="D310" s="1691"/>
      <c r="E310" s="1691">
        <f>E308-E309</f>
        <v>257</v>
      </c>
      <c r="F310" s="1691">
        <f>F308-F309</f>
        <v>1326</v>
      </c>
      <c r="G310" s="1691" t="e">
        <f ca="1">G240</f>
        <v>#DIV/0!</v>
      </c>
      <c r="H310" s="1691" t="e">
        <f t="shared" ref="H310:O310" si="408">H308-H309</f>
        <v>#REF!</v>
      </c>
      <c r="I310" s="1691">
        <f t="shared" si="408"/>
        <v>5985.1</v>
      </c>
      <c r="J310" s="1691">
        <f t="shared" si="408"/>
        <v>6066</v>
      </c>
      <c r="K310" s="1691">
        <f t="shared" si="408"/>
        <v>6060.1</v>
      </c>
      <c r="L310" s="1691">
        <f t="shared" si="408"/>
        <v>7781.4</v>
      </c>
      <c r="M310" s="1691">
        <f t="shared" si="408"/>
        <v>8031.1</v>
      </c>
      <c r="N310" s="1691">
        <f t="shared" si="408"/>
        <v>6269.5</v>
      </c>
      <c r="O310" s="1691">
        <f t="shared" si="408"/>
        <v>7251.1</v>
      </c>
      <c r="P310" s="1691">
        <f t="shared" ref="P310:V310" ca="1" si="409">P221</f>
        <v>7165.431911709441</v>
      </c>
      <c r="Q310" s="1691">
        <f t="shared" ca="1" si="409"/>
        <v>6966.4465671603921</v>
      </c>
      <c r="R310" s="1691">
        <f t="shared" ca="1" si="409"/>
        <v>6801.9103105545983</v>
      </c>
      <c r="S310" s="1691">
        <f t="shared" ca="1" si="409"/>
        <v>6659.3035558185438</v>
      </c>
      <c r="T310" s="1691">
        <f t="shared" ca="1" si="409"/>
        <v>6529.6512817566845</v>
      </c>
      <c r="U310" s="1691">
        <f t="shared" ca="1" si="409"/>
        <v>6334.7245936116888</v>
      </c>
      <c r="V310" s="1691">
        <f t="shared" ca="1" si="409"/>
        <v>6121.6358918643564</v>
      </c>
      <c r="W310" s="1685"/>
      <c r="X310" s="1685"/>
      <c r="Y310" s="1685"/>
      <c r="Z310" s="1685"/>
      <c r="AA310" s="1685"/>
      <c r="AB310" s="1685"/>
      <c r="AC310" s="1685"/>
      <c r="AD310" s="1685"/>
    </row>
    <row r="311" spans="1:51" ht="15.75">
      <c r="A311" s="1685"/>
      <c r="B311" s="1692" t="s">
        <v>166</v>
      </c>
      <c r="C311" s="1693"/>
      <c r="D311" s="1693"/>
      <c r="E311" s="1693" t="e">
        <f t="shared" ref="E311:V311" si="410">E309/E3</f>
        <v>#DIV/0!</v>
      </c>
      <c r="F311" s="1693">
        <f t="shared" si="410"/>
        <v>0.17252711223203024</v>
      </c>
      <c r="G311" s="1693" t="e">
        <f t="shared" ca="1" si="410"/>
        <v>#DIV/0!</v>
      </c>
      <c r="H311" s="1693">
        <f t="shared" si="410"/>
        <v>0.15264452328885925</v>
      </c>
      <c r="I311" s="1693">
        <f t="shared" si="410"/>
        <v>0.14775600453409579</v>
      </c>
      <c r="J311" s="1693">
        <f t="shared" si="410"/>
        <v>0.17813792084822663</v>
      </c>
      <c r="K311" s="1693">
        <f t="shared" si="410"/>
        <v>0.6351012386542888</v>
      </c>
      <c r="L311" s="1693">
        <f t="shared" si="410"/>
        <v>0.15285524568393094</v>
      </c>
      <c r="M311" s="1693">
        <f t="shared" si="410"/>
        <v>0.24406759970082631</v>
      </c>
      <c r="N311" s="1693">
        <f t="shared" si="410"/>
        <v>0.28749740394600209</v>
      </c>
      <c r="O311" s="1693">
        <f t="shared" si="410"/>
        <v>0.2209217264081931</v>
      </c>
      <c r="P311" s="1693">
        <f t="shared" ca="1" si="410"/>
        <v>0.18951729857120103</v>
      </c>
      <c r="Q311" s="1693">
        <f t="shared" ca="1" si="410"/>
        <v>0.23395841694651887</v>
      </c>
      <c r="R311" s="1693">
        <f t="shared" ca="1" si="410"/>
        <v>0.27111190196368218</v>
      </c>
      <c r="S311" s="1693">
        <f t="shared" ca="1" si="410"/>
        <v>0.29537328115043299</v>
      </c>
      <c r="T311" s="1693">
        <f t="shared" ca="1" si="410"/>
        <v>0.31585141881187767</v>
      </c>
      <c r="U311" s="1693">
        <f t="shared" ca="1" si="410"/>
        <v>0.34801497832710432</v>
      </c>
      <c r="V311" s="1693">
        <f t="shared" ca="1" si="410"/>
        <v>0.38211276255003218</v>
      </c>
      <c r="W311" s="1685"/>
      <c r="X311" s="1685"/>
      <c r="Y311" s="1685"/>
      <c r="Z311" s="1685"/>
      <c r="AA311" s="1685"/>
      <c r="AB311" s="1685"/>
      <c r="AC311" s="1685"/>
      <c r="AD311" s="1685"/>
    </row>
    <row r="312" spans="1:51" ht="15.75">
      <c r="A312" s="1685"/>
      <c r="B312" s="1692" t="s">
        <v>273</v>
      </c>
      <c r="C312" s="1693"/>
      <c r="D312" s="1693"/>
      <c r="E312" s="1698" t="e">
        <f t="shared" ref="E312:V312" si="411">E310/E74</f>
        <v>#DIV/0!</v>
      </c>
      <c r="F312" s="1698" t="e">
        <f t="shared" si="411"/>
        <v>#DIV/0!</v>
      </c>
      <c r="G312" s="1698" t="e">
        <f t="shared" ca="1" si="411"/>
        <v>#DIV/0!</v>
      </c>
      <c r="H312" s="1698" t="e">
        <f t="shared" si="411"/>
        <v>#REF!</v>
      </c>
      <c r="I312" s="1698">
        <f t="shared" si="411"/>
        <v>4.3779533318703834</v>
      </c>
      <c r="J312" s="1698">
        <f t="shared" si="411"/>
        <v>4.2942951047739673</v>
      </c>
      <c r="K312" s="1698">
        <f t="shared" si="411"/>
        <v>4.0226352472618654</v>
      </c>
      <c r="L312" s="1698">
        <f t="shared" si="411"/>
        <v>5.2399999999999993</v>
      </c>
      <c r="M312" s="1698">
        <f t="shared" si="411"/>
        <v>4.4163477791613337</v>
      </c>
      <c r="N312" s="1698">
        <f t="shared" si="411"/>
        <v>3.6493015133876603</v>
      </c>
      <c r="O312" s="1698">
        <f t="shared" si="411"/>
        <v>4.261342266102492</v>
      </c>
      <c r="P312" s="1698">
        <f t="shared" ca="1" si="411"/>
        <v>4.5376710133347595</v>
      </c>
      <c r="Q312" s="1698">
        <f t="shared" ca="1" si="411"/>
        <v>3.8641735424295023</v>
      </c>
      <c r="R312" s="1698">
        <f t="shared" ca="1" si="411"/>
        <v>3.6030194434459246</v>
      </c>
      <c r="S312" s="1698">
        <f t="shared" ca="1" si="411"/>
        <v>3.4221465134265876</v>
      </c>
      <c r="T312" s="1698">
        <f t="shared" ca="1" si="411"/>
        <v>3.2619461314738989</v>
      </c>
      <c r="U312" s="1698">
        <f t="shared" ca="1" si="411"/>
        <v>3.0945667536739125</v>
      </c>
      <c r="V312" s="1698">
        <f t="shared" ca="1" si="411"/>
        <v>2.9235436304781985</v>
      </c>
      <c r="W312" s="1685"/>
      <c r="X312" s="1685"/>
      <c r="Y312" s="1685"/>
      <c r="Z312" s="1685"/>
      <c r="AA312" s="1685"/>
      <c r="AB312" s="1685"/>
      <c r="AC312" s="1685"/>
      <c r="AD312" s="1685"/>
    </row>
    <row r="313" spans="1:51" ht="15.75">
      <c r="A313" s="1685"/>
      <c r="B313" s="1692"/>
      <c r="C313" s="1692"/>
      <c r="D313" s="1692"/>
      <c r="E313" s="1692"/>
      <c r="F313" s="1692"/>
      <c r="G313" s="1692"/>
      <c r="H313" s="1692"/>
      <c r="I313" s="1692"/>
      <c r="J313" s="1692"/>
      <c r="K313" s="1692"/>
      <c r="L313" s="1692"/>
      <c r="M313" s="1692"/>
      <c r="N313" s="1692"/>
      <c r="O313" s="1692"/>
      <c r="P313" s="1692"/>
      <c r="Q313" s="1692"/>
      <c r="R313" s="1692"/>
      <c r="S313" s="1692"/>
      <c r="T313" s="1692"/>
      <c r="U313" s="1692"/>
      <c r="V313" s="1692"/>
      <c r="W313" s="1685"/>
      <c r="X313" s="1685"/>
      <c r="Y313" s="1685"/>
      <c r="Z313" s="1685"/>
      <c r="AA313" s="1685"/>
      <c r="AB313" s="1685"/>
      <c r="AC313" s="1685"/>
      <c r="AD313" s="1685"/>
    </row>
    <row r="314" spans="1:51" ht="15.75">
      <c r="A314" s="1685"/>
      <c r="B314" s="1744" t="s">
        <v>167</v>
      </c>
      <c r="C314" s="1730"/>
      <c r="D314" s="1730"/>
      <c r="E314" s="1730">
        <v>58</v>
      </c>
      <c r="F314" s="1730">
        <v>82</v>
      </c>
      <c r="G314" s="1730">
        <f>F314</f>
        <v>82</v>
      </c>
      <c r="H314" s="1730">
        <v>150.80000000000001</v>
      </c>
      <c r="I314" s="1730">
        <v>263.3</v>
      </c>
      <c r="J314" s="1730">
        <v>302.5</v>
      </c>
      <c r="K314" s="1730">
        <v>180.2</v>
      </c>
      <c r="L314" s="1730">
        <v>161.9</v>
      </c>
      <c r="M314" s="1730">
        <v>113</v>
      </c>
      <c r="N314" s="1730">
        <v>118.2</v>
      </c>
      <c r="O314" s="1730">
        <v>581.9</v>
      </c>
      <c r="P314" s="1745">
        <f t="shared" ref="P314:V314" si="412">O314</f>
        <v>581.9</v>
      </c>
      <c r="Q314" s="1745">
        <f t="shared" si="412"/>
        <v>581.9</v>
      </c>
      <c r="R314" s="1745">
        <f t="shared" si="412"/>
        <v>581.9</v>
      </c>
      <c r="S314" s="1745">
        <f t="shared" si="412"/>
        <v>581.9</v>
      </c>
      <c r="T314" s="1745">
        <f t="shared" si="412"/>
        <v>581.9</v>
      </c>
      <c r="U314" s="1745">
        <f t="shared" si="412"/>
        <v>581.9</v>
      </c>
      <c r="V314" s="1745">
        <f t="shared" si="412"/>
        <v>581.9</v>
      </c>
      <c r="W314" s="1685"/>
      <c r="X314" s="1685"/>
      <c r="Y314" s="1685"/>
      <c r="Z314" s="1685"/>
      <c r="AA314" s="1685"/>
      <c r="AB314" s="1685"/>
      <c r="AC314" s="1685"/>
      <c r="AD314" s="1685"/>
    </row>
    <row r="315" spans="1:51" ht="15.75">
      <c r="A315" s="1685"/>
      <c r="B315" s="1744" t="s">
        <v>168</v>
      </c>
      <c r="C315" s="1730"/>
      <c r="D315" s="1730"/>
      <c r="E315" s="1738">
        <f t="shared" ref="E315:V315" si="413">E527-E314</f>
        <v>404</v>
      </c>
      <c r="F315" s="1738">
        <f t="shared" si="413"/>
        <v>1646</v>
      </c>
      <c r="G315" s="1738">
        <f t="shared" si="413"/>
        <v>4588.1100141043726</v>
      </c>
      <c r="H315" s="1738" t="e">
        <f t="shared" si="413"/>
        <v>#REF!</v>
      </c>
      <c r="I315" s="1738">
        <f t="shared" si="413"/>
        <v>6251.7</v>
      </c>
      <c r="J315" s="1738">
        <f t="shared" si="413"/>
        <v>6421.5</v>
      </c>
      <c r="K315" s="1738">
        <f t="shared" si="413"/>
        <v>8335.9</v>
      </c>
      <c r="L315" s="1738">
        <f t="shared" si="413"/>
        <v>8195</v>
      </c>
      <c r="M315" s="1738">
        <f t="shared" si="413"/>
        <v>9087.5</v>
      </c>
      <c r="N315" s="1738">
        <f t="shared" si="413"/>
        <v>7535.6</v>
      </c>
      <c r="O315" s="1738">
        <f t="shared" si="413"/>
        <v>7665.8000000000011</v>
      </c>
      <c r="P315" s="1738">
        <f t="shared" si="413"/>
        <v>7430.5000000000009</v>
      </c>
      <c r="Q315" s="1738">
        <f t="shared" si="413"/>
        <v>7459.5000000000009</v>
      </c>
      <c r="R315" s="1738">
        <f t="shared" si="413"/>
        <v>7494.5000000000009</v>
      </c>
      <c r="S315" s="1738">
        <f t="shared" si="413"/>
        <v>7494.5000000000009</v>
      </c>
      <c r="T315" s="1738">
        <f t="shared" si="413"/>
        <v>7494.5000000000009</v>
      </c>
      <c r="U315" s="1738">
        <f t="shared" si="413"/>
        <v>7494.5000000000009</v>
      </c>
      <c r="V315" s="1738">
        <f t="shared" si="413"/>
        <v>7494.5000000000009</v>
      </c>
      <c r="W315" s="1685"/>
      <c r="X315" s="1685"/>
      <c r="Y315" s="1685"/>
      <c r="Z315" s="1685"/>
      <c r="AA315" s="1685"/>
      <c r="AB315" s="1685"/>
      <c r="AC315" s="1685"/>
      <c r="AD315" s="1685"/>
    </row>
    <row r="316" spans="1:51" ht="15.75">
      <c r="A316" s="1685"/>
      <c r="B316" s="1744" t="s">
        <v>169</v>
      </c>
      <c r="C316" s="1738"/>
      <c r="D316" s="1738"/>
      <c r="E316" s="1738"/>
      <c r="F316" s="1738"/>
      <c r="G316" s="1738"/>
      <c r="H316" s="1738"/>
      <c r="I316" s="1738"/>
      <c r="J316" s="1738"/>
      <c r="K316" s="1738"/>
      <c r="L316" s="1738"/>
      <c r="M316" s="1738"/>
      <c r="N316" s="1738"/>
      <c r="O316" s="1738"/>
      <c r="P316" s="1738"/>
      <c r="Q316" s="1738"/>
      <c r="R316" s="1738"/>
      <c r="S316" s="1738"/>
      <c r="T316" s="1738"/>
      <c r="U316" s="1738"/>
      <c r="V316" s="1738"/>
      <c r="W316" s="1685"/>
      <c r="X316" s="1685"/>
      <c r="Y316" s="1685"/>
      <c r="Z316" s="1685"/>
      <c r="AA316" s="1685"/>
      <c r="AB316" s="1685"/>
      <c r="AC316" s="1685"/>
      <c r="AD316" s="1685"/>
    </row>
    <row r="317" spans="1:51" ht="15.75">
      <c r="A317" s="1685"/>
      <c r="B317" s="1692"/>
      <c r="C317" s="1692"/>
      <c r="D317" s="1692"/>
      <c r="E317" s="1692"/>
      <c r="F317" s="1692"/>
      <c r="G317" s="1692"/>
      <c r="H317" s="1692"/>
      <c r="I317" s="1692"/>
      <c r="J317" s="1692"/>
      <c r="K317" s="1692"/>
      <c r="L317" s="1692"/>
      <c r="M317" s="1692"/>
      <c r="N317" s="1692"/>
      <c r="O317" s="1692"/>
      <c r="P317" s="1692"/>
      <c r="Q317" s="1692"/>
      <c r="R317" s="1692"/>
      <c r="S317" s="1692"/>
      <c r="T317" s="1692"/>
      <c r="U317" s="1692"/>
      <c r="V317" s="1692"/>
      <c r="W317" s="1685"/>
      <c r="X317" s="1685"/>
      <c r="Y317" s="1685"/>
      <c r="Z317" s="1685"/>
      <c r="AA317" s="1685"/>
      <c r="AB317" s="1685"/>
      <c r="AC317" s="1685"/>
      <c r="AD317" s="1685"/>
    </row>
    <row r="318" spans="1:51" ht="15.75">
      <c r="A318" s="1685"/>
      <c r="B318" s="1692" t="s">
        <v>170</v>
      </c>
      <c r="C318" s="1746"/>
      <c r="D318" s="1746"/>
      <c r="E318" s="1746">
        <v>205</v>
      </c>
      <c r="F318" s="1746">
        <v>402</v>
      </c>
      <c r="G318" s="1695">
        <v>525</v>
      </c>
      <c r="H318" s="1746">
        <v>552.6</v>
      </c>
      <c r="I318" s="1746">
        <v>529.9</v>
      </c>
      <c r="J318" s="1746">
        <f>631+27</f>
        <v>658</v>
      </c>
      <c r="K318" s="1746">
        <f>1183.8+1272.2</f>
        <v>2456</v>
      </c>
      <c r="L318" s="1746">
        <f>894.2-157.1-161.6</f>
        <v>575.5</v>
      </c>
      <c r="M318" s="1746">
        <f>179.8+562.9+157.7+141.8+24.2+103</f>
        <v>1169.4000000000001</v>
      </c>
      <c r="N318" s="1746">
        <f>781+603.3</f>
        <v>1384.3</v>
      </c>
      <c r="O318" s="1746">
        <f>996.6</f>
        <v>996.6</v>
      </c>
      <c r="P318" s="1695">
        <f t="shared" ref="P318:V318" ca="1" si="414">P315+P314-P310</f>
        <v>846.96808829055954</v>
      </c>
      <c r="Q318" s="1695">
        <f t="shared" ca="1" si="414"/>
        <v>1074.9534328396085</v>
      </c>
      <c r="R318" s="1695">
        <f t="shared" ca="1" si="414"/>
        <v>1274.4896894454023</v>
      </c>
      <c r="S318" s="1695">
        <f t="shared" ca="1" si="414"/>
        <v>1417.0964441814567</v>
      </c>
      <c r="T318" s="1695">
        <f t="shared" ca="1" si="414"/>
        <v>1546.748718243316</v>
      </c>
      <c r="U318" s="1695">
        <f t="shared" ca="1" si="414"/>
        <v>1741.6754063883118</v>
      </c>
      <c r="V318" s="1695">
        <f t="shared" ca="1" si="414"/>
        <v>1954.7641081356442</v>
      </c>
      <c r="W318" s="1685"/>
      <c r="X318" s="1685"/>
      <c r="Y318" s="1685"/>
      <c r="Z318" s="1685"/>
      <c r="AA318" s="1685"/>
      <c r="AB318" s="1685"/>
      <c r="AC318" s="1685"/>
      <c r="AD318" s="1685"/>
    </row>
    <row r="319" spans="1:51" ht="15.75">
      <c r="A319" s="1685"/>
      <c r="B319" s="1692"/>
      <c r="C319" s="1692"/>
      <c r="D319" s="1692"/>
      <c r="E319" s="1692"/>
      <c r="F319" s="1692"/>
      <c r="G319" s="1692"/>
      <c r="H319" s="1692"/>
      <c r="I319" s="1692"/>
      <c r="J319" s="1692"/>
      <c r="K319" s="1692"/>
      <c r="L319" s="1692"/>
      <c r="M319" s="1692"/>
      <c r="N319" s="1692"/>
      <c r="O319" s="1692"/>
      <c r="P319" s="1692"/>
      <c r="Q319" s="1692"/>
      <c r="R319" s="1692"/>
      <c r="S319" s="1692"/>
      <c r="T319" s="1692"/>
      <c r="U319" s="1692"/>
      <c r="V319" s="1692"/>
      <c r="W319" s="1685"/>
      <c r="X319" s="1685"/>
      <c r="Y319" s="1685"/>
      <c r="Z319" s="1685"/>
      <c r="AA319" s="1685"/>
      <c r="AB319" s="1685"/>
      <c r="AC319" s="1685"/>
      <c r="AD319" s="1685"/>
    </row>
    <row r="320" spans="1:51" ht="15.75">
      <c r="A320" s="1685"/>
      <c r="B320" s="1692" t="s">
        <v>171</v>
      </c>
      <c r="C320" s="1695">
        <f>C321+C322</f>
        <v>0</v>
      </c>
      <c r="D320" s="1695">
        <f>D321+D322</f>
        <v>0</v>
      </c>
      <c r="E320" s="1695">
        <f>E321+E322</f>
        <v>294</v>
      </c>
      <c r="F320" s="1695">
        <f>F321+F322</f>
        <v>391</v>
      </c>
      <c r="G320" s="1695" t="e">
        <f ca="1">G321+G322</f>
        <v>#DIV/0!</v>
      </c>
      <c r="H320" s="1730">
        <f>1185.4</f>
        <v>1185.4000000000001</v>
      </c>
      <c r="I320" s="1730">
        <f>565.4+517.7</f>
        <v>1083.0999999999999</v>
      </c>
      <c r="J320" s="1730">
        <f>562.5+703.4</f>
        <v>1265.9000000000001</v>
      </c>
      <c r="K320" s="1730">
        <f>560.8+872.6</f>
        <v>1433.4</v>
      </c>
      <c r="L320" s="1730">
        <f>17.3+1465.6+1139.4</f>
        <v>2622.3</v>
      </c>
      <c r="M320" s="1694">
        <f>1592.4+1568.7+1253.7</f>
        <v>4414.8</v>
      </c>
      <c r="N320" s="1694">
        <f>1592.8+1500.5</f>
        <v>3093.3</v>
      </c>
      <c r="O320" s="1694">
        <f>1592.8+1358.9</f>
        <v>2951.7</v>
      </c>
      <c r="P320" s="1695">
        <f t="shared" ref="P320:V320" ca="1" si="415">P321+P322</f>
        <v>3243.6756921509259</v>
      </c>
      <c r="Q320" s="1695">
        <f t="shared" ca="1" si="415"/>
        <v>3267.7138342936528</v>
      </c>
      <c r="R320" s="1695">
        <f t="shared" ca="1" si="415"/>
        <v>3281.8002180221997</v>
      </c>
      <c r="S320" s="1695">
        <f t="shared" ca="1" si="415"/>
        <v>3278.1529748847811</v>
      </c>
      <c r="T320" s="1695">
        <f t="shared" ca="1" si="415"/>
        <v>3259.5641006666892</v>
      </c>
      <c r="U320" s="1695">
        <f t="shared" ca="1" si="415"/>
        <v>3232.7228533756061</v>
      </c>
      <c r="V320" s="1695">
        <f t="shared" ca="1" si="415"/>
        <v>3197.5452729414947</v>
      </c>
      <c r="W320" s="1685"/>
      <c r="X320" s="1685"/>
      <c r="Y320" s="1685"/>
      <c r="Z320" s="1685"/>
      <c r="AA320" s="1685"/>
      <c r="AB320" s="1685"/>
      <c r="AC320" s="1685"/>
      <c r="AD320" s="1685"/>
      <c r="AY320" s="547">
        <f>Master!O203</f>
        <v>176.9</v>
      </c>
    </row>
    <row r="321" spans="1:30" ht="15.75">
      <c r="A321" s="1685"/>
      <c r="B321" s="1692" t="s">
        <v>172</v>
      </c>
      <c r="C321" s="1730"/>
      <c r="D321" s="1730"/>
      <c r="E321" s="1730">
        <v>34</v>
      </c>
      <c r="F321" s="1730">
        <v>51</v>
      </c>
      <c r="G321" s="1695" t="e">
        <f ca="1">F321-(G382-G410)</f>
        <v>#DIV/0!</v>
      </c>
      <c r="H321" s="1746">
        <v>0</v>
      </c>
      <c r="I321" s="1746">
        <v>0</v>
      </c>
      <c r="J321" s="1746">
        <v>0</v>
      </c>
      <c r="K321" s="1746">
        <v>0</v>
      </c>
      <c r="L321" s="1746">
        <v>0</v>
      </c>
      <c r="M321" s="1746">
        <v>0</v>
      </c>
      <c r="N321" s="1746">
        <v>0</v>
      </c>
      <c r="O321" s="1746">
        <v>0</v>
      </c>
      <c r="P321" s="1695">
        <f t="shared" ref="P321:V321" ca="1" si="416">O321-(P382-P410)</f>
        <v>291.97569215092585</v>
      </c>
      <c r="Q321" s="1695">
        <f t="shared" ca="1" si="416"/>
        <v>316.01383429365279</v>
      </c>
      <c r="R321" s="1695">
        <f t="shared" ca="1" si="416"/>
        <v>330.1002180221999</v>
      </c>
      <c r="S321" s="1695">
        <f t="shared" ca="1" si="416"/>
        <v>326.45297488478121</v>
      </c>
      <c r="T321" s="1695">
        <f t="shared" ca="1" si="416"/>
        <v>307.8641006666893</v>
      </c>
      <c r="U321" s="1695">
        <f t="shared" ca="1" si="416"/>
        <v>281.02285337555537</v>
      </c>
      <c r="V321" s="1695">
        <f t="shared" ca="1" si="416"/>
        <v>245.84527294123438</v>
      </c>
      <c r="W321" s="1685"/>
      <c r="X321" s="1685"/>
      <c r="Y321" s="1685"/>
      <c r="Z321" s="1685"/>
      <c r="AA321" s="1685"/>
      <c r="AB321" s="1685"/>
      <c r="AC321" s="1685"/>
      <c r="AD321" s="1685"/>
    </row>
    <row r="322" spans="1:30" ht="15.75">
      <c r="A322" s="1685"/>
      <c r="B322" s="1692" t="s">
        <v>4</v>
      </c>
      <c r="C322" s="1730"/>
      <c r="D322" s="1730"/>
      <c r="E322" s="1730">
        <f>20+170+70</f>
        <v>260</v>
      </c>
      <c r="F322" s="1730">
        <f>17+158+165</f>
        <v>340</v>
      </c>
      <c r="G322" s="1695">
        <f t="shared" ref="G322:V322" si="417">F322</f>
        <v>340</v>
      </c>
      <c r="H322" s="1695">
        <f t="shared" ref="H322:O322" si="418">H320-H321</f>
        <v>1185.4000000000001</v>
      </c>
      <c r="I322" s="1695">
        <f t="shared" si="418"/>
        <v>1083.0999999999999</v>
      </c>
      <c r="J322" s="1695">
        <f t="shared" si="418"/>
        <v>1265.9000000000001</v>
      </c>
      <c r="K322" s="1695">
        <f t="shared" si="418"/>
        <v>1433.4</v>
      </c>
      <c r="L322" s="1695">
        <f t="shared" si="418"/>
        <v>2622.3</v>
      </c>
      <c r="M322" s="1695">
        <f t="shared" si="418"/>
        <v>4414.8</v>
      </c>
      <c r="N322" s="1695">
        <f t="shared" si="418"/>
        <v>3093.3</v>
      </c>
      <c r="O322" s="1695">
        <f t="shared" si="418"/>
        <v>2951.7</v>
      </c>
      <c r="P322" s="1695">
        <f t="shared" si="417"/>
        <v>2951.7</v>
      </c>
      <c r="Q322" s="1695">
        <f t="shared" si="417"/>
        <v>2951.7</v>
      </c>
      <c r="R322" s="1695">
        <f t="shared" si="417"/>
        <v>2951.7</v>
      </c>
      <c r="S322" s="1695">
        <f t="shared" si="417"/>
        <v>2951.7</v>
      </c>
      <c r="T322" s="1695">
        <f t="shared" si="417"/>
        <v>2951.7</v>
      </c>
      <c r="U322" s="1695">
        <f t="shared" si="417"/>
        <v>2951.7</v>
      </c>
      <c r="V322" s="1695">
        <f t="shared" si="417"/>
        <v>2951.7</v>
      </c>
      <c r="W322" s="1685"/>
      <c r="X322" s="1685"/>
      <c r="Y322" s="1685"/>
      <c r="Z322" s="1685"/>
      <c r="AA322" s="1685"/>
      <c r="AB322" s="1685"/>
      <c r="AC322" s="1685"/>
      <c r="AD322" s="1685"/>
    </row>
    <row r="323" spans="1:30" ht="15.75">
      <c r="A323" s="1685"/>
      <c r="B323" s="1692"/>
      <c r="C323" s="1692"/>
      <c r="D323" s="1692"/>
      <c r="E323" s="1692"/>
      <c r="F323" s="1692"/>
      <c r="G323" s="1692"/>
      <c r="H323" s="1692"/>
      <c r="I323" s="1692"/>
      <c r="J323" s="1692"/>
      <c r="K323" s="1692" t="s">
        <v>72</v>
      </c>
      <c r="L323" s="1685"/>
      <c r="M323" s="1685"/>
      <c r="N323" s="1685"/>
      <c r="O323" s="1685"/>
      <c r="P323" s="1685"/>
      <c r="Q323" s="1685"/>
      <c r="R323" s="1685"/>
      <c r="S323" s="1685"/>
      <c r="T323" s="1685"/>
      <c r="U323" s="1685"/>
      <c r="V323" s="1685"/>
      <c r="W323" s="1685"/>
      <c r="X323" s="1685"/>
      <c r="Y323" s="1685"/>
      <c r="Z323" s="1685"/>
      <c r="AA323" s="1685"/>
      <c r="AB323" s="1685"/>
      <c r="AC323" s="1685"/>
      <c r="AD323" s="1685"/>
    </row>
    <row r="324" spans="1:30" ht="15.75">
      <c r="A324" s="1685"/>
      <c r="B324" s="1687" t="s">
        <v>2790</v>
      </c>
      <c r="C324" s="1688">
        <f>C284</f>
        <v>40908</v>
      </c>
      <c r="D324" s="1688">
        <f t="shared" ref="D324:P324" si="419">D284</f>
        <v>41274</v>
      </c>
      <c r="E324" s="1688">
        <f t="shared" si="419"/>
        <v>41639</v>
      </c>
      <c r="F324" s="1688">
        <f t="shared" si="419"/>
        <v>42004</v>
      </c>
      <c r="G324" s="1688">
        <f t="shared" si="419"/>
        <v>42369</v>
      </c>
      <c r="H324" s="1688">
        <f t="shared" si="419"/>
        <v>42735</v>
      </c>
      <c r="I324" s="1688">
        <f t="shared" si="419"/>
        <v>43100</v>
      </c>
      <c r="J324" s="1688">
        <f t="shared" si="419"/>
        <v>43465</v>
      </c>
      <c r="K324" s="1688">
        <f t="shared" si="419"/>
        <v>43830</v>
      </c>
      <c r="L324" s="1688">
        <f t="shared" si="419"/>
        <v>44196</v>
      </c>
      <c r="M324" s="1688">
        <f t="shared" si="419"/>
        <v>44561</v>
      </c>
      <c r="N324" s="1688">
        <f t="shared" si="419"/>
        <v>44926</v>
      </c>
      <c r="O324" s="1688">
        <f t="shared" si="419"/>
        <v>45291</v>
      </c>
      <c r="P324" s="1688">
        <f t="shared" si="419"/>
        <v>45657</v>
      </c>
      <c r="Q324" s="1688">
        <f t="shared" ref="Q324:V324" si="420">Q284</f>
        <v>46022</v>
      </c>
      <c r="R324" s="1688">
        <f t="shared" si="420"/>
        <v>46387</v>
      </c>
      <c r="S324" s="1688">
        <f t="shared" si="420"/>
        <v>46752</v>
      </c>
      <c r="T324" s="1688">
        <f t="shared" si="420"/>
        <v>47118</v>
      </c>
      <c r="U324" s="1688">
        <f t="shared" si="420"/>
        <v>47483</v>
      </c>
      <c r="V324" s="1688">
        <f t="shared" si="420"/>
        <v>47848</v>
      </c>
      <c r="W324" s="1685"/>
      <c r="X324" s="1685"/>
      <c r="Y324" s="1685"/>
      <c r="Z324" s="1685"/>
      <c r="AA324" s="1685"/>
      <c r="AB324" s="1685"/>
      <c r="AC324" s="1685"/>
      <c r="AD324" s="1685"/>
    </row>
    <row r="325" spans="1:30" ht="15.75">
      <c r="A325" s="1685"/>
      <c r="B325" s="1726" t="s">
        <v>2796</v>
      </c>
      <c r="C325" s="1692"/>
      <c r="D325" s="1692"/>
      <c r="E325" s="1692"/>
      <c r="F325" s="1692"/>
      <c r="G325" s="1692"/>
      <c r="H325" s="1747">
        <f>H508</f>
        <v>70.900000000000006</v>
      </c>
      <c r="I325" s="1747">
        <f>I508</f>
        <v>159.4</v>
      </c>
      <c r="J325" s="1747">
        <f>J508</f>
        <v>157.6</v>
      </c>
      <c r="K325" s="1747">
        <f>K508</f>
        <v>167.6</v>
      </c>
      <c r="L325" s="1747">
        <v>168.1</v>
      </c>
      <c r="M325" s="1747">
        <v>99.8</v>
      </c>
      <c r="N325" s="1747">
        <v>150</v>
      </c>
      <c r="O325" s="1747">
        <v>150</v>
      </c>
      <c r="P325" s="1748">
        <f t="shared" ref="P325:V325" si="421">+O325+P326-P328+P327-P329</f>
        <v>180.09659936227479</v>
      </c>
      <c r="Q325" s="1748">
        <f t="shared" si="421"/>
        <v>297.17322421643087</v>
      </c>
      <c r="R325" s="1748">
        <f t="shared" si="421"/>
        <v>417.01453625348881</v>
      </c>
      <c r="S325" s="1748">
        <f t="shared" si="421"/>
        <v>539.57665334846274</v>
      </c>
      <c r="T325" s="1748">
        <f t="shared" si="421"/>
        <v>664.94576851076044</v>
      </c>
      <c r="U325" s="1748">
        <f t="shared" si="421"/>
        <v>793.35357403045168</v>
      </c>
      <c r="V325" s="1748">
        <f t="shared" si="421"/>
        <v>924.90270919943964</v>
      </c>
      <c r="W325" s="1685"/>
      <c r="X325" s="1685"/>
      <c r="Y325" s="1685"/>
      <c r="Z325" s="1685"/>
      <c r="AA325" s="1685"/>
      <c r="AB325" s="1685"/>
      <c r="AC325" s="1685"/>
      <c r="AD325" s="1685"/>
    </row>
    <row r="326" spans="1:30" ht="15.75">
      <c r="A326" s="1685"/>
      <c r="B326" s="1726" t="s">
        <v>2782</v>
      </c>
      <c r="C326" s="1692"/>
      <c r="D326" s="1692"/>
      <c r="E326" s="1692"/>
      <c r="F326" s="1692"/>
      <c r="G326" s="1692"/>
      <c r="H326" s="1740">
        <f t="shared" ref="H326:O326" si="422">H325-G325</f>
        <v>70.900000000000006</v>
      </c>
      <c r="I326" s="1740">
        <f t="shared" si="422"/>
        <v>88.5</v>
      </c>
      <c r="J326" s="1740">
        <f t="shared" si="422"/>
        <v>-1.8000000000000114</v>
      </c>
      <c r="K326" s="1740">
        <f t="shared" si="422"/>
        <v>10</v>
      </c>
      <c r="L326" s="1740">
        <f t="shared" si="422"/>
        <v>0.5</v>
      </c>
      <c r="M326" s="1740">
        <f t="shared" si="422"/>
        <v>-68.3</v>
      </c>
      <c r="N326" s="1740">
        <f t="shared" si="422"/>
        <v>50.2</v>
      </c>
      <c r="O326" s="1740">
        <f t="shared" si="422"/>
        <v>0</v>
      </c>
      <c r="P326" s="1748">
        <f t="shared" ref="P326:V326" si="423">-P333-P334</f>
        <v>150.09659936227476</v>
      </c>
      <c r="Q326" s="1748">
        <f t="shared" si="423"/>
        <v>137.07662485415605</v>
      </c>
      <c r="R326" s="1748">
        <f t="shared" si="423"/>
        <v>139.84131203705795</v>
      </c>
      <c r="S326" s="1748">
        <f t="shared" si="423"/>
        <v>142.56211709497398</v>
      </c>
      <c r="T326" s="1748">
        <f t="shared" si="423"/>
        <v>145.3691151622977</v>
      </c>
      <c r="U326" s="1748">
        <f t="shared" si="423"/>
        <v>148.40780551969129</v>
      </c>
      <c r="V326" s="1748">
        <f t="shared" si="423"/>
        <v>151.54913516898799</v>
      </c>
      <c r="W326" s="1685"/>
      <c r="X326" s="1685"/>
      <c r="Y326" s="1685"/>
      <c r="Z326" s="1685"/>
      <c r="AA326" s="1685"/>
      <c r="AB326" s="1685"/>
      <c r="AC326" s="1685"/>
      <c r="AD326" s="1685"/>
    </row>
    <row r="327" spans="1:30" ht="15.75">
      <c r="A327" s="1685"/>
      <c r="B327" s="1726" t="s">
        <v>2783</v>
      </c>
      <c r="C327" s="1692"/>
      <c r="D327" s="1692"/>
      <c r="E327" s="1692"/>
      <c r="F327" s="1692"/>
      <c r="G327" s="1749">
        <v>0</v>
      </c>
      <c r="H327" s="1749">
        <v>3</v>
      </c>
      <c r="I327" s="1747">
        <v>82.7</v>
      </c>
      <c r="J327" s="1747">
        <v>171.7</v>
      </c>
      <c r="K327" s="1747">
        <v>129.69999999999999</v>
      </c>
      <c r="L327" s="1747">
        <v>108</v>
      </c>
      <c r="M327" s="1747">
        <v>110</v>
      </c>
      <c r="N327" s="1747">
        <v>149</v>
      </c>
      <c r="O327" s="1747">
        <v>176.9</v>
      </c>
      <c r="P327" s="1750">
        <v>170</v>
      </c>
      <c r="Q327" s="1750">
        <v>170</v>
      </c>
      <c r="R327" s="1750">
        <v>170</v>
      </c>
      <c r="S327" s="1750">
        <v>170</v>
      </c>
      <c r="T327" s="1750">
        <v>170</v>
      </c>
      <c r="U327" s="1750">
        <v>170</v>
      </c>
      <c r="V327" s="1750">
        <v>170</v>
      </c>
      <c r="W327" s="1685"/>
      <c r="X327" s="1685"/>
      <c r="Y327" s="1685"/>
      <c r="Z327" s="1685"/>
      <c r="AA327" s="1685"/>
      <c r="AB327" s="1685"/>
      <c r="AC327" s="1685"/>
      <c r="AD327" s="1685"/>
    </row>
    <row r="328" spans="1:30" ht="15.75">
      <c r="A328" s="1685"/>
      <c r="B328" s="1726" t="s">
        <v>2784</v>
      </c>
      <c r="C328" s="1692"/>
      <c r="D328" s="1692"/>
      <c r="E328" s="1692"/>
      <c r="F328" s="1692"/>
      <c r="G328" s="1749">
        <v>0</v>
      </c>
      <c r="H328" s="1749">
        <v>0</v>
      </c>
      <c r="I328" s="1747">
        <v>59.4</v>
      </c>
      <c r="J328" s="1747">
        <v>196.5</v>
      </c>
      <c r="K328" s="1747">
        <v>224.5</v>
      </c>
      <c r="L328" s="1747">
        <v>218</v>
      </c>
      <c r="M328" s="1747">
        <v>184</v>
      </c>
      <c r="N328" s="1747">
        <v>196.7</v>
      </c>
      <c r="O328" s="1747">
        <v>239</v>
      </c>
      <c r="P328" s="1750">
        <v>280</v>
      </c>
      <c r="Q328" s="1750">
        <v>180</v>
      </c>
      <c r="R328" s="1750">
        <v>180</v>
      </c>
      <c r="S328" s="1750">
        <v>180</v>
      </c>
      <c r="T328" s="1750">
        <v>180</v>
      </c>
      <c r="U328" s="1750">
        <v>180</v>
      </c>
      <c r="V328" s="1750">
        <v>180</v>
      </c>
      <c r="W328" s="1685"/>
      <c r="X328" s="1685"/>
      <c r="Y328" s="1685"/>
      <c r="Z328" s="1685"/>
      <c r="AA328" s="1685"/>
      <c r="AB328" s="1685"/>
      <c r="AC328" s="1685"/>
      <c r="AD328" s="1685"/>
    </row>
    <row r="329" spans="1:30" ht="15.75">
      <c r="A329" s="1685"/>
      <c r="B329" s="1726" t="s">
        <v>2785</v>
      </c>
      <c r="C329" s="1692"/>
      <c r="D329" s="1692"/>
      <c r="E329" s="1692"/>
      <c r="F329" s="1692"/>
      <c r="G329" s="1692"/>
      <c r="H329" s="1692">
        <f>G327</f>
        <v>0</v>
      </c>
      <c r="I329" s="1749">
        <v>8.6</v>
      </c>
      <c r="J329" s="1749">
        <v>7.7</v>
      </c>
      <c r="K329" s="1749">
        <v>8.6999999999999993</v>
      </c>
      <c r="L329" s="1749">
        <v>2.2000000000000002</v>
      </c>
      <c r="M329" s="1749">
        <v>0</v>
      </c>
      <c r="N329" s="1749">
        <v>0</v>
      </c>
      <c r="O329" s="1749">
        <v>0</v>
      </c>
      <c r="P329" s="1750">
        <v>10</v>
      </c>
      <c r="Q329" s="1750">
        <v>10</v>
      </c>
      <c r="R329" s="1750">
        <v>10</v>
      </c>
      <c r="S329" s="1750">
        <v>10</v>
      </c>
      <c r="T329" s="1750">
        <v>10</v>
      </c>
      <c r="U329" s="1750">
        <v>10</v>
      </c>
      <c r="V329" s="1750">
        <v>10</v>
      </c>
      <c r="W329" s="1685"/>
      <c r="X329" s="1685"/>
      <c r="Y329" s="1685"/>
      <c r="Z329" s="1685"/>
      <c r="AA329" s="1685"/>
      <c r="AB329" s="1685"/>
      <c r="AC329" s="1685"/>
      <c r="AD329" s="1685"/>
    </row>
    <row r="330" spans="1:30" ht="15.75">
      <c r="A330" s="1685"/>
      <c r="B330" s="1726" t="s">
        <v>2786</v>
      </c>
      <c r="C330" s="1692"/>
      <c r="D330" s="1692"/>
      <c r="E330" s="1692"/>
      <c r="F330" s="1692"/>
      <c r="G330" s="1692"/>
      <c r="H330" s="1692"/>
      <c r="I330" s="1692"/>
      <c r="J330" s="1751"/>
      <c r="K330" s="1692"/>
      <c r="L330" s="1685"/>
      <c r="M330" s="1685"/>
      <c r="N330" s="1685"/>
      <c r="O330" s="1685"/>
      <c r="P330" s="1685"/>
      <c r="Q330" s="1685"/>
      <c r="R330" s="1685"/>
      <c r="S330" s="1685"/>
      <c r="T330" s="1685"/>
      <c r="U330" s="1685"/>
      <c r="V330" s="1685"/>
      <c r="W330" s="1685"/>
      <c r="X330" s="1685"/>
      <c r="Y330" s="1685"/>
      <c r="Z330" s="1685"/>
      <c r="AA330" s="1685"/>
      <c r="AB330" s="1685"/>
      <c r="AC330" s="1685"/>
      <c r="AD330" s="1685"/>
    </row>
    <row r="331" spans="1:30" ht="15.75">
      <c r="A331" s="1685"/>
      <c r="B331" s="1692"/>
      <c r="C331" s="1692"/>
      <c r="D331" s="1692"/>
      <c r="E331" s="1692"/>
      <c r="F331" s="1692"/>
      <c r="G331" s="1692"/>
      <c r="H331" s="1692"/>
      <c r="I331" s="1692"/>
      <c r="J331" s="1692"/>
      <c r="K331" s="1692"/>
      <c r="L331" s="1685"/>
      <c r="M331" s="1685"/>
      <c r="N331" s="1685"/>
      <c r="O331" s="1685"/>
      <c r="P331" s="1685"/>
      <c r="Q331" s="1685"/>
      <c r="R331" s="1685"/>
      <c r="S331" s="1685"/>
      <c r="T331" s="1685"/>
      <c r="U331" s="1685"/>
      <c r="V331" s="1685"/>
      <c r="W331" s="1685"/>
      <c r="X331" s="1685"/>
      <c r="Y331" s="1685"/>
      <c r="Z331" s="1685"/>
      <c r="AA331" s="1685"/>
      <c r="AB331" s="1685"/>
      <c r="AC331" s="1685"/>
      <c r="AD331" s="1685"/>
    </row>
    <row r="332" spans="1:30" ht="15.75">
      <c r="A332" s="1685"/>
      <c r="B332" s="1692" t="s">
        <v>2789</v>
      </c>
      <c r="C332" s="1695"/>
      <c r="D332" s="1695"/>
      <c r="E332" s="1695"/>
      <c r="F332" s="1695"/>
      <c r="G332" s="1695">
        <f t="shared" ref="G332:V332" si="424">G121</f>
        <v>0</v>
      </c>
      <c r="H332" s="1695">
        <f t="shared" si="424"/>
        <v>0</v>
      </c>
      <c r="I332" s="1695">
        <f t="shared" si="424"/>
        <v>776.5462392108509</v>
      </c>
      <c r="J332" s="1695">
        <f t="shared" si="424"/>
        <v>771.39999999999986</v>
      </c>
      <c r="K332" s="1695">
        <f t="shared" si="424"/>
        <v>727.09999999999991</v>
      </c>
      <c r="L332" s="1695">
        <f t="shared" si="424"/>
        <v>631</v>
      </c>
      <c r="M332" s="1695">
        <f t="shared" si="424"/>
        <v>855.89999999999986</v>
      </c>
      <c r="N332" s="1695">
        <f t="shared" si="424"/>
        <v>816.3</v>
      </c>
      <c r="O332" s="1695">
        <f t="shared" si="424"/>
        <v>730.9</v>
      </c>
      <c r="P332" s="1695">
        <f t="shared" si="424"/>
        <v>714.74571124892748</v>
      </c>
      <c r="Q332" s="1695">
        <f t="shared" si="424"/>
        <v>721.45592028503188</v>
      </c>
      <c r="R332" s="1695">
        <f t="shared" si="424"/>
        <v>736.00690545819975</v>
      </c>
      <c r="S332" s="1695">
        <f t="shared" si="424"/>
        <v>750.3269320788105</v>
      </c>
      <c r="T332" s="1695">
        <f t="shared" si="424"/>
        <v>765.10060611735639</v>
      </c>
      <c r="U332" s="1695">
        <f t="shared" si="424"/>
        <v>781.09371326153314</v>
      </c>
      <c r="V332" s="1695">
        <f t="shared" si="424"/>
        <v>797.62702720519997</v>
      </c>
      <c r="W332" s="1685"/>
      <c r="X332" s="1685"/>
      <c r="Y332" s="1685"/>
      <c r="Z332" s="1685"/>
      <c r="AA332" s="1685"/>
      <c r="AB332" s="1685"/>
      <c r="AC332" s="1685"/>
      <c r="AD332" s="1685"/>
    </row>
    <row r="333" spans="1:30" ht="15.75">
      <c r="A333" s="1685"/>
      <c r="B333" s="1726" t="s">
        <v>2787</v>
      </c>
      <c r="C333" s="1695"/>
      <c r="D333" s="1695"/>
      <c r="E333" s="1695"/>
      <c r="F333" s="1695"/>
      <c r="G333" s="1695"/>
      <c r="H333" s="1694">
        <v>-45.5</v>
      </c>
      <c r="I333" s="1694">
        <v>-54.9</v>
      </c>
      <c r="J333" s="1694">
        <v>-53.9</v>
      </c>
      <c r="K333" s="1694">
        <v>-96.1</v>
      </c>
      <c r="L333" s="1694">
        <v>-99.1</v>
      </c>
      <c r="M333" s="1694">
        <v>-100.5</v>
      </c>
      <c r="N333" s="1694">
        <v>-161</v>
      </c>
      <c r="O333" s="1694">
        <v>-143</v>
      </c>
      <c r="P333" s="1695">
        <f t="shared" ref="P333:P335" si="425">P339*P$332</f>
        <v>-128.65422802480694</v>
      </c>
      <c r="Q333" s="1695">
        <f t="shared" ref="Q333:R335" si="426">Q339*Q$332</f>
        <v>-115.43294724560511</v>
      </c>
      <c r="R333" s="1695">
        <f t="shared" si="426"/>
        <v>-117.76110487331196</v>
      </c>
      <c r="S333" s="1695">
        <f t="shared" ref="S333:V333" si="427">S339*S$332</f>
        <v>-120.05230913260968</v>
      </c>
      <c r="T333" s="1695">
        <f t="shared" si="427"/>
        <v>-122.41609697877702</v>
      </c>
      <c r="U333" s="1695">
        <f t="shared" si="427"/>
        <v>-124.9749941218453</v>
      </c>
      <c r="V333" s="1695">
        <f t="shared" si="427"/>
        <v>-127.620324352832</v>
      </c>
      <c r="W333" s="1685"/>
      <c r="X333" s="1685"/>
      <c r="Y333" s="1685"/>
      <c r="Z333" s="1685"/>
      <c r="AA333" s="1685"/>
      <c r="AB333" s="1685"/>
      <c r="AC333" s="1685"/>
      <c r="AD333" s="1685"/>
    </row>
    <row r="334" spans="1:30" ht="15.75">
      <c r="A334" s="1685"/>
      <c r="B334" s="1726" t="s">
        <v>703</v>
      </c>
      <c r="C334" s="1695"/>
      <c r="D334" s="1695"/>
      <c r="E334" s="1695"/>
      <c r="F334" s="1695"/>
      <c r="G334" s="1695"/>
      <c r="H334" s="1694">
        <v>-7.4</v>
      </c>
      <c r="I334" s="1694">
        <v>-4.2</v>
      </c>
      <c r="J334" s="1694">
        <v>-3.9</v>
      </c>
      <c r="K334" s="1694">
        <v>-0.2</v>
      </c>
      <c r="L334" s="1694">
        <v>0</v>
      </c>
      <c r="M334" s="1694">
        <v>0</v>
      </c>
      <c r="N334" s="1694">
        <v>0</v>
      </c>
      <c r="O334" s="1694">
        <v>0</v>
      </c>
      <c r="P334" s="1695">
        <f t="shared" si="425"/>
        <v>-21.442371337467822</v>
      </c>
      <c r="Q334" s="1695">
        <f t="shared" si="426"/>
        <v>-21.643677608550956</v>
      </c>
      <c r="R334" s="1695">
        <f t="shared" si="426"/>
        <v>-22.080207163745992</v>
      </c>
      <c r="S334" s="1695">
        <f t="shared" ref="S334:V334" si="428">S340*S$332</f>
        <v>-22.509807962364313</v>
      </c>
      <c r="T334" s="1695">
        <f t="shared" si="428"/>
        <v>-22.95301818352069</v>
      </c>
      <c r="U334" s="1695">
        <f t="shared" si="428"/>
        <v>-23.432811397845992</v>
      </c>
      <c r="V334" s="1695">
        <f t="shared" si="428"/>
        <v>-23.928810816155998</v>
      </c>
      <c r="W334" s="1685"/>
      <c r="X334" s="1685"/>
      <c r="Y334" s="1685"/>
      <c r="Z334" s="1685"/>
      <c r="AA334" s="1685"/>
      <c r="AB334" s="1685"/>
      <c r="AC334" s="1685"/>
      <c r="AD334" s="1685"/>
    </row>
    <row r="335" spans="1:30" ht="15.75">
      <c r="A335" s="1685"/>
      <c r="B335" s="1752" t="s">
        <v>2788</v>
      </c>
      <c r="C335" s="1717"/>
      <c r="D335" s="1717"/>
      <c r="E335" s="1717"/>
      <c r="F335" s="1717"/>
      <c r="G335" s="1717"/>
      <c r="H335" s="1721">
        <v>-24.9</v>
      </c>
      <c r="I335" s="1721">
        <v>-78.3</v>
      </c>
      <c r="J335" s="1721">
        <v>62.8</v>
      </c>
      <c r="K335" s="1721">
        <v>-36.1</v>
      </c>
      <c r="L335" s="1721">
        <f>26+7.8</f>
        <v>33.799999999999997</v>
      </c>
      <c r="M335" s="1721">
        <v>-19.100000000000001</v>
      </c>
      <c r="N335" s="1721">
        <v>4.9000000000000004</v>
      </c>
      <c r="O335" s="1721">
        <v>-2.1</v>
      </c>
      <c r="P335" s="1717">
        <f t="shared" si="425"/>
        <v>-2.0535859811502912</v>
      </c>
      <c r="Q335" s="1717">
        <f t="shared" si="426"/>
        <v>-2.0728655528780506</v>
      </c>
      <c r="R335" s="1717">
        <f t="shared" si="426"/>
        <v>-2.1146730078837321</v>
      </c>
      <c r="S335" s="1717">
        <f t="shared" ref="S335:V335" si="429">S341*S$332</f>
        <v>-2.1558168796901112</v>
      </c>
      <c r="T335" s="1717">
        <f t="shared" si="429"/>
        <v>-2.1982641576774506</v>
      </c>
      <c r="U335" s="1717">
        <f t="shared" si="429"/>
        <v>-2.2442150743593103</v>
      </c>
      <c r="V335" s="1717">
        <f t="shared" si="429"/>
        <v>-2.2917180970459983</v>
      </c>
      <c r="W335" s="1685"/>
      <c r="X335" s="1685"/>
      <c r="Y335" s="1685"/>
      <c r="Z335" s="1685"/>
      <c r="AA335" s="1685"/>
      <c r="AB335" s="1685"/>
      <c r="AC335" s="1685"/>
      <c r="AD335" s="1685"/>
    </row>
    <row r="336" spans="1:30" ht="15.75">
      <c r="A336" s="1685"/>
      <c r="B336" s="1726" t="s">
        <v>2722</v>
      </c>
      <c r="C336" s="1695"/>
      <c r="D336" s="1695"/>
      <c r="E336" s="1695"/>
      <c r="F336" s="1695"/>
      <c r="G336" s="1695"/>
      <c r="H336" s="1695">
        <f>SUM(H332:H335)</f>
        <v>-77.8</v>
      </c>
      <c r="I336" s="1695">
        <f>SUM(I332:I335)</f>
        <v>639.14623921085092</v>
      </c>
      <c r="J336" s="1695">
        <f>SUM(J332:J335)</f>
        <v>776.39999999999986</v>
      </c>
      <c r="K336" s="1695">
        <f t="shared" ref="K336:P336" si="430">SUM(K332:K335)</f>
        <v>594.69999999999982</v>
      </c>
      <c r="L336" s="1695">
        <f t="shared" si="430"/>
        <v>565.69999999999993</v>
      </c>
      <c r="M336" s="1695">
        <v>736.3</v>
      </c>
      <c r="N336" s="1695">
        <f>SUM(N332:N335)</f>
        <v>660.19999999999993</v>
      </c>
      <c r="O336" s="1695">
        <f>SUM(O332:O335)</f>
        <v>585.79999999999995</v>
      </c>
      <c r="P336" s="1695">
        <f t="shared" si="430"/>
        <v>562.59552590550243</v>
      </c>
      <c r="Q336" s="1695">
        <f t="shared" ref="Q336:V336" si="431">SUM(Q332:Q335)</f>
        <v>582.30642987799774</v>
      </c>
      <c r="R336" s="1695">
        <f t="shared" si="431"/>
        <v>594.05092041325804</v>
      </c>
      <c r="S336" s="1695">
        <f t="shared" si="431"/>
        <v>605.60899810414639</v>
      </c>
      <c r="T336" s="1695">
        <f t="shared" si="431"/>
        <v>617.53322679738119</v>
      </c>
      <c r="U336" s="1695">
        <f t="shared" si="431"/>
        <v>630.44169266748258</v>
      </c>
      <c r="V336" s="1695">
        <f t="shared" si="431"/>
        <v>643.78617393916602</v>
      </c>
      <c r="W336" s="1685"/>
      <c r="X336" s="1685"/>
      <c r="Y336" s="1685"/>
      <c r="Z336" s="1685"/>
      <c r="AA336" s="1685"/>
      <c r="AB336" s="1685"/>
      <c r="AC336" s="1685"/>
      <c r="AD336" s="1685"/>
    </row>
    <row r="337" spans="1:30" ht="15.75">
      <c r="A337" s="1685"/>
      <c r="B337" s="1692"/>
      <c r="C337" s="1695"/>
      <c r="D337" s="1695"/>
      <c r="E337" s="1695"/>
      <c r="F337" s="1695"/>
      <c r="G337" s="1695"/>
      <c r="H337" s="1695"/>
      <c r="I337" s="1695"/>
      <c r="J337" s="1695"/>
      <c r="K337" s="1693"/>
      <c r="L337" s="1711"/>
      <c r="M337" s="1685"/>
      <c r="N337" s="1685"/>
      <c r="O337" s="1685"/>
      <c r="P337" s="1685"/>
      <c r="Q337" s="1685"/>
      <c r="R337" s="1685"/>
      <c r="S337" s="1685"/>
      <c r="T337" s="1685"/>
      <c r="U337" s="1685"/>
      <c r="V337" s="1685"/>
      <c r="W337" s="1685"/>
      <c r="X337" s="1685"/>
      <c r="Y337" s="1685"/>
      <c r="Z337" s="1685"/>
      <c r="AA337" s="1685"/>
      <c r="AB337" s="1685"/>
      <c r="AC337" s="1685"/>
      <c r="AD337" s="1685"/>
    </row>
    <row r="338" spans="1:30" ht="15.75">
      <c r="A338" s="1685"/>
      <c r="B338" s="1692" t="s">
        <v>343</v>
      </c>
      <c r="C338" s="1695"/>
      <c r="D338" s="1695"/>
      <c r="E338" s="1695"/>
      <c r="F338" s="1695"/>
      <c r="G338" s="1695"/>
      <c r="H338" s="1695"/>
      <c r="I338" s="1695"/>
      <c r="J338" s="1695"/>
      <c r="K338" s="1695"/>
      <c r="L338" s="1711"/>
      <c r="M338" s="1685"/>
      <c r="N338" s="1685"/>
      <c r="O338" s="1685"/>
      <c r="P338" s="1685"/>
      <c r="Q338" s="1685"/>
      <c r="R338" s="1685"/>
      <c r="S338" s="1685"/>
      <c r="T338" s="1685"/>
      <c r="U338" s="1685"/>
      <c r="V338" s="1685"/>
      <c r="W338" s="1685"/>
      <c r="X338" s="1685"/>
      <c r="Y338" s="1685"/>
      <c r="Z338" s="1685"/>
      <c r="AA338" s="1685"/>
      <c r="AB338" s="1685"/>
      <c r="AC338" s="1685"/>
      <c r="AD338" s="1685"/>
    </row>
    <row r="339" spans="1:30" ht="15.75">
      <c r="A339" s="1685"/>
      <c r="B339" s="1753" t="str">
        <f>B333</f>
        <v>Vendor financing</v>
      </c>
      <c r="C339" s="1695"/>
      <c r="D339" s="1695"/>
      <c r="E339" s="1695"/>
      <c r="F339" s="1695"/>
      <c r="G339" s="1695"/>
      <c r="H339" s="1693"/>
      <c r="I339" s="1693">
        <f t="shared" ref="I339:M341" si="432">I333/I$332</f>
        <v>-7.0697657432210334E-2</v>
      </c>
      <c r="J339" s="1693">
        <f t="shared" si="432"/>
        <v>-6.9872958257713252E-2</v>
      </c>
      <c r="K339" s="1693">
        <f t="shared" si="432"/>
        <v>-0.13216889011140145</v>
      </c>
      <c r="L339" s="1693">
        <f t="shared" si="432"/>
        <v>-0.15705229793977812</v>
      </c>
      <c r="M339" s="1693">
        <f t="shared" si="432"/>
        <v>-0.11742025937609536</v>
      </c>
      <c r="N339" s="1693">
        <f t="shared" ref="N339:O339" si="433">N333/N$332</f>
        <v>-0.1972314100208257</v>
      </c>
      <c r="O339" s="1693">
        <f t="shared" si="433"/>
        <v>-0.19564919961691066</v>
      </c>
      <c r="P339" s="1754">
        <v>-0.18</v>
      </c>
      <c r="Q339" s="1754">
        <v>-0.16</v>
      </c>
      <c r="R339" s="1754">
        <v>-0.16</v>
      </c>
      <c r="S339" s="1754">
        <v>-0.16</v>
      </c>
      <c r="T339" s="1754">
        <v>-0.16</v>
      </c>
      <c r="U339" s="1754">
        <v>-0.16</v>
      </c>
      <c r="V339" s="1754">
        <v>-0.16</v>
      </c>
      <c r="W339" s="1685"/>
      <c r="X339" s="1685"/>
      <c r="Y339" s="1685"/>
      <c r="Z339" s="1685"/>
      <c r="AA339" s="1685"/>
      <c r="AB339" s="1685"/>
      <c r="AC339" s="1685"/>
      <c r="AD339" s="1685"/>
    </row>
    <row r="340" spans="1:30" ht="15.75">
      <c r="A340" s="1685"/>
      <c r="B340" s="1753" t="str">
        <f>B334</f>
        <v>Capital leases</v>
      </c>
      <c r="C340" s="1695"/>
      <c r="D340" s="1695"/>
      <c r="E340" s="1695"/>
      <c r="F340" s="1695"/>
      <c r="G340" s="1695"/>
      <c r="H340" s="1693"/>
      <c r="I340" s="1693">
        <f t="shared" si="432"/>
        <v>-5.40856395656254E-3</v>
      </c>
      <c r="J340" s="1693">
        <f t="shared" si="432"/>
        <v>-5.0557428052890856E-3</v>
      </c>
      <c r="K340" s="1693">
        <f t="shared" si="432"/>
        <v>-2.7506532801540369E-4</v>
      </c>
      <c r="L340" s="1693">
        <f t="shared" si="432"/>
        <v>0</v>
      </c>
      <c r="M340" s="1693">
        <f t="shared" si="432"/>
        <v>0</v>
      </c>
      <c r="N340" s="1693">
        <f t="shared" ref="N340:O340" si="434">N334/N$332</f>
        <v>0</v>
      </c>
      <c r="O340" s="1693">
        <f t="shared" si="434"/>
        <v>0</v>
      </c>
      <c r="P340" s="1754">
        <v>-0.03</v>
      </c>
      <c r="Q340" s="1754">
        <v>-0.03</v>
      </c>
      <c r="R340" s="1754">
        <v>-0.03</v>
      </c>
      <c r="S340" s="1754">
        <v>-0.03</v>
      </c>
      <c r="T340" s="1754">
        <v>-0.03</v>
      </c>
      <c r="U340" s="1754">
        <v>-0.03</v>
      </c>
      <c r="V340" s="1754">
        <v>-0.03</v>
      </c>
      <c r="W340" s="1685"/>
      <c r="X340" s="1685"/>
      <c r="Y340" s="1685"/>
      <c r="Z340" s="1685"/>
      <c r="AA340" s="1685"/>
      <c r="AB340" s="1685"/>
      <c r="AC340" s="1685"/>
      <c r="AD340" s="1685"/>
    </row>
    <row r="341" spans="1:30" ht="15.75">
      <c r="A341" s="1685"/>
      <c r="B341" s="1753" t="str">
        <f>B335</f>
        <v>Payables</v>
      </c>
      <c r="C341" s="1695"/>
      <c r="D341" s="1695"/>
      <c r="E341" s="1695"/>
      <c r="F341" s="1695"/>
      <c r="G341" s="1695"/>
      <c r="H341" s="1693"/>
      <c r="I341" s="1693">
        <f t="shared" si="432"/>
        <v>-0.10083108519020162</v>
      </c>
      <c r="J341" s="1693">
        <f t="shared" si="432"/>
        <v>8.1410422608244756E-2</v>
      </c>
      <c r="K341" s="1693">
        <f t="shared" si="432"/>
        <v>-4.9649291706780369E-2</v>
      </c>
      <c r="L341" s="1693">
        <f t="shared" si="432"/>
        <v>5.3565768621236132E-2</v>
      </c>
      <c r="M341" s="1693">
        <f t="shared" si="432"/>
        <v>-2.231569108540718E-2</v>
      </c>
      <c r="N341" s="1693">
        <f t="shared" ref="N341:O341" si="435">N335/N$332</f>
        <v>6.002695087590347E-3</v>
      </c>
      <c r="O341" s="1693">
        <f t="shared" si="435"/>
        <v>-2.8731700643042828E-3</v>
      </c>
      <c r="P341" s="1755">
        <f t="shared" ref="P341:V341" si="436">O341</f>
        <v>-2.8731700643042828E-3</v>
      </c>
      <c r="Q341" s="1755">
        <f t="shared" si="436"/>
        <v>-2.8731700643042828E-3</v>
      </c>
      <c r="R341" s="1755">
        <f t="shared" si="436"/>
        <v>-2.8731700643042828E-3</v>
      </c>
      <c r="S341" s="1755">
        <f t="shared" si="436"/>
        <v>-2.8731700643042828E-3</v>
      </c>
      <c r="T341" s="1755">
        <f t="shared" si="436"/>
        <v>-2.8731700643042828E-3</v>
      </c>
      <c r="U341" s="1755">
        <f t="shared" si="436"/>
        <v>-2.8731700643042828E-3</v>
      </c>
      <c r="V341" s="1755">
        <f t="shared" si="436"/>
        <v>-2.8731700643042828E-3</v>
      </c>
      <c r="W341" s="1685"/>
      <c r="X341" s="1685"/>
      <c r="Y341" s="1685"/>
      <c r="Z341" s="1685"/>
      <c r="AA341" s="1685"/>
      <c r="AB341" s="1685"/>
      <c r="AC341" s="1685"/>
      <c r="AD341" s="1685"/>
    </row>
    <row r="342" spans="1:30" ht="15.75">
      <c r="A342" s="1685"/>
      <c r="B342" s="1692"/>
      <c r="C342" s="1695"/>
      <c r="D342" s="1695"/>
      <c r="E342" s="1695"/>
      <c r="F342" s="1695"/>
      <c r="G342" s="1695"/>
      <c r="H342" s="1695"/>
      <c r="I342" s="1695"/>
      <c r="J342" s="1695"/>
      <c r="K342" s="1695"/>
      <c r="L342" s="1711"/>
      <c r="M342" s="1685"/>
      <c r="N342" s="1685"/>
      <c r="O342" s="1685"/>
      <c r="P342" s="1685"/>
      <c r="Q342" s="1685"/>
      <c r="R342" s="1685"/>
      <c r="S342" s="1685"/>
      <c r="T342" s="1685"/>
      <c r="U342" s="1685"/>
      <c r="V342" s="1685"/>
      <c r="W342" s="1685"/>
      <c r="X342" s="1685"/>
      <c r="Y342" s="1685"/>
      <c r="Z342" s="1685"/>
      <c r="AA342" s="1685"/>
      <c r="AB342" s="1685"/>
      <c r="AC342" s="1685"/>
      <c r="AD342" s="1685"/>
    </row>
    <row r="343" spans="1:30" ht="15.75">
      <c r="A343" s="1685"/>
      <c r="B343" s="1687" t="s">
        <v>173</v>
      </c>
      <c r="C343" s="1688">
        <f t="shared" ref="C343:P343" si="437">C284</f>
        <v>40908</v>
      </c>
      <c r="D343" s="1688">
        <f t="shared" si="437"/>
        <v>41274</v>
      </c>
      <c r="E343" s="1688">
        <f t="shared" si="437"/>
        <v>41639</v>
      </c>
      <c r="F343" s="1688">
        <f t="shared" si="437"/>
        <v>42004</v>
      </c>
      <c r="G343" s="1688">
        <f t="shared" si="437"/>
        <v>42369</v>
      </c>
      <c r="H343" s="1688">
        <f t="shared" si="437"/>
        <v>42735</v>
      </c>
      <c r="I343" s="1688">
        <f t="shared" si="437"/>
        <v>43100</v>
      </c>
      <c r="J343" s="1688">
        <f t="shared" si="437"/>
        <v>43465</v>
      </c>
      <c r="K343" s="1688">
        <f t="shared" si="437"/>
        <v>43830</v>
      </c>
      <c r="L343" s="1688">
        <f t="shared" si="437"/>
        <v>44196</v>
      </c>
      <c r="M343" s="1688">
        <f t="shared" si="437"/>
        <v>44561</v>
      </c>
      <c r="N343" s="1688">
        <f t="shared" si="437"/>
        <v>44926</v>
      </c>
      <c r="O343" s="1688">
        <f t="shared" si="437"/>
        <v>45291</v>
      </c>
      <c r="P343" s="1688">
        <f t="shared" si="437"/>
        <v>45657</v>
      </c>
      <c r="Q343" s="1688">
        <f t="shared" ref="Q343:V343" si="438">Q284</f>
        <v>46022</v>
      </c>
      <c r="R343" s="1688">
        <f t="shared" si="438"/>
        <v>46387</v>
      </c>
      <c r="S343" s="1688">
        <f t="shared" si="438"/>
        <v>46752</v>
      </c>
      <c r="T343" s="1688">
        <f t="shared" si="438"/>
        <v>47118</v>
      </c>
      <c r="U343" s="1688">
        <f t="shared" si="438"/>
        <v>47483</v>
      </c>
      <c r="V343" s="1688">
        <f t="shared" si="438"/>
        <v>47848</v>
      </c>
      <c r="W343" s="1685"/>
      <c r="X343" s="1685"/>
      <c r="Y343" s="1685"/>
      <c r="Z343" s="1685"/>
      <c r="AA343" s="1685"/>
      <c r="AB343" s="1685"/>
      <c r="AC343" s="1685"/>
      <c r="AD343" s="1685"/>
    </row>
    <row r="344" spans="1:30" ht="15.75">
      <c r="A344" s="1685"/>
      <c r="B344" s="1692" t="s">
        <v>94</v>
      </c>
      <c r="C344" s="1730"/>
      <c r="D344" s="1730"/>
      <c r="E344" s="1730">
        <v>36</v>
      </c>
      <c r="F344" s="1730">
        <v>50</v>
      </c>
      <c r="G344" s="1695">
        <f>G345*G3</f>
        <v>77.069262995656416</v>
      </c>
      <c r="H344" s="1694">
        <v>0</v>
      </c>
      <c r="I344" s="1694">
        <v>0</v>
      </c>
      <c r="J344" s="1694">
        <v>0</v>
      </c>
      <c r="K344" s="1694">
        <v>0</v>
      </c>
      <c r="L344" s="1694">
        <v>0</v>
      </c>
      <c r="M344" s="1694">
        <v>0</v>
      </c>
      <c r="N344" s="1694">
        <v>0</v>
      </c>
      <c r="O344" s="1694">
        <v>0</v>
      </c>
      <c r="P344" s="1695">
        <f t="shared" ref="P344:V344" si="439">P345*P3</f>
        <v>0</v>
      </c>
      <c r="Q344" s="1695">
        <f t="shared" si="439"/>
        <v>0</v>
      </c>
      <c r="R344" s="1695">
        <f t="shared" si="439"/>
        <v>0</v>
      </c>
      <c r="S344" s="1695">
        <f t="shared" si="439"/>
        <v>0</v>
      </c>
      <c r="T344" s="1695">
        <f t="shared" si="439"/>
        <v>0</v>
      </c>
      <c r="U344" s="1695">
        <f t="shared" si="439"/>
        <v>0</v>
      </c>
      <c r="V344" s="1695">
        <f t="shared" si="439"/>
        <v>0</v>
      </c>
      <c r="W344" s="1685"/>
      <c r="X344" s="1685"/>
      <c r="Y344" s="1685"/>
      <c r="Z344" s="1685"/>
      <c r="AA344" s="1685"/>
      <c r="AB344" s="1685"/>
      <c r="AC344" s="1685"/>
      <c r="AD344" s="1685"/>
    </row>
    <row r="345" spans="1:30" ht="15.75">
      <c r="A345" s="1685"/>
      <c r="B345" s="1692" t="s">
        <v>174</v>
      </c>
      <c r="C345" s="1690"/>
      <c r="D345" s="1690"/>
      <c r="E345" s="1690" t="e">
        <f>E344/E3</f>
        <v>#DIV/0!</v>
      </c>
      <c r="F345" s="1690">
        <f>F344/F3</f>
        <v>2.1458596048759979E-2</v>
      </c>
      <c r="G345" s="1756">
        <f t="shared" ref="G345:V345" si="440">F345</f>
        <v>2.1458596048759979E-2</v>
      </c>
      <c r="H345" s="1690">
        <f t="shared" ref="H345:O345" si="441">H344/H3</f>
        <v>0</v>
      </c>
      <c r="I345" s="1690">
        <f t="shared" si="441"/>
        <v>0</v>
      </c>
      <c r="J345" s="1690">
        <f t="shared" si="441"/>
        <v>0</v>
      </c>
      <c r="K345" s="1690">
        <f t="shared" si="441"/>
        <v>0</v>
      </c>
      <c r="L345" s="1690">
        <f t="shared" si="441"/>
        <v>0</v>
      </c>
      <c r="M345" s="1690">
        <f t="shared" si="441"/>
        <v>0</v>
      </c>
      <c r="N345" s="1690">
        <f t="shared" si="441"/>
        <v>0</v>
      </c>
      <c r="O345" s="1690">
        <f t="shared" si="441"/>
        <v>0</v>
      </c>
      <c r="P345" s="1756">
        <f t="shared" si="440"/>
        <v>0</v>
      </c>
      <c r="Q345" s="1756">
        <f t="shared" si="440"/>
        <v>0</v>
      </c>
      <c r="R345" s="1756">
        <f t="shared" si="440"/>
        <v>0</v>
      </c>
      <c r="S345" s="1756">
        <f t="shared" si="440"/>
        <v>0</v>
      </c>
      <c r="T345" s="1756">
        <f t="shared" si="440"/>
        <v>0</v>
      </c>
      <c r="U345" s="1756">
        <f t="shared" si="440"/>
        <v>0</v>
      </c>
      <c r="V345" s="1756">
        <f t="shared" si="440"/>
        <v>0</v>
      </c>
      <c r="W345" s="1685"/>
      <c r="X345" s="1685"/>
      <c r="Y345" s="1685"/>
      <c r="Z345" s="1685"/>
      <c r="AA345" s="1685"/>
      <c r="AB345" s="1685"/>
      <c r="AC345" s="1685"/>
      <c r="AD345" s="1685"/>
    </row>
    <row r="346" spans="1:30" ht="15.75">
      <c r="A346" s="1685"/>
      <c r="B346" s="1692" t="s">
        <v>175</v>
      </c>
      <c r="C346" s="1695"/>
      <c r="D346" s="1695"/>
      <c r="E346" s="1695">
        <f t="shared" ref="E346:K346" si="442">D344-E344</f>
        <v>-36</v>
      </c>
      <c r="F346" s="1695">
        <f t="shared" si="442"/>
        <v>-14</v>
      </c>
      <c r="G346" s="1695">
        <f t="shared" si="442"/>
        <v>-27.069262995656416</v>
      </c>
      <c r="H346" s="1695">
        <f t="shared" si="442"/>
        <v>77.069262995656416</v>
      </c>
      <c r="I346" s="1695">
        <f t="shared" si="442"/>
        <v>0</v>
      </c>
      <c r="J346" s="1695">
        <f t="shared" si="442"/>
        <v>0</v>
      </c>
      <c r="K346" s="1695">
        <f t="shared" si="442"/>
        <v>0</v>
      </c>
      <c r="L346" s="1695">
        <f t="shared" ref="L346:V346" si="443">K344-L344</f>
        <v>0</v>
      </c>
      <c r="M346" s="1695">
        <f t="shared" si="443"/>
        <v>0</v>
      </c>
      <c r="N346" s="1695">
        <f t="shared" si="443"/>
        <v>0</v>
      </c>
      <c r="O346" s="1695">
        <f t="shared" si="443"/>
        <v>0</v>
      </c>
      <c r="P346" s="1695">
        <f t="shared" si="443"/>
        <v>0</v>
      </c>
      <c r="Q346" s="1695">
        <f t="shared" si="443"/>
        <v>0</v>
      </c>
      <c r="R346" s="1695">
        <f t="shared" si="443"/>
        <v>0</v>
      </c>
      <c r="S346" s="1695">
        <f t="shared" si="443"/>
        <v>0</v>
      </c>
      <c r="T346" s="1695">
        <f t="shared" si="443"/>
        <v>0</v>
      </c>
      <c r="U346" s="1695">
        <f t="shared" si="443"/>
        <v>0</v>
      </c>
      <c r="V346" s="1695">
        <f t="shared" si="443"/>
        <v>0</v>
      </c>
      <c r="W346" s="1685"/>
      <c r="X346" s="1685"/>
      <c r="Y346" s="1685"/>
      <c r="Z346" s="1685"/>
      <c r="AA346" s="1685"/>
      <c r="AB346" s="1685"/>
      <c r="AC346" s="1685"/>
      <c r="AD346" s="1685"/>
    </row>
    <row r="347" spans="1:30" ht="15.75">
      <c r="A347" s="1685"/>
      <c r="B347" s="1692" t="s">
        <v>95</v>
      </c>
      <c r="C347" s="1730"/>
      <c r="D347" s="1730"/>
      <c r="E347" s="1730">
        <v>433</v>
      </c>
      <c r="F347" s="1730">
        <v>587</v>
      </c>
      <c r="G347" s="1695">
        <f>G348*G3</f>
        <v>1310.9096666666665</v>
      </c>
      <c r="H347" s="1730">
        <v>531.6</v>
      </c>
      <c r="I347" s="1730">
        <v>556.5</v>
      </c>
      <c r="J347" s="1730">
        <v>607.29999999999995</v>
      </c>
      <c r="K347" s="1730">
        <v>585.20000000000005</v>
      </c>
      <c r="L347" s="1730">
        <v>560.70000000000005</v>
      </c>
      <c r="M347" s="1730">
        <v>536.4</v>
      </c>
      <c r="N347" s="1730">
        <v>603.29999999999995</v>
      </c>
      <c r="O347" s="1730">
        <v>686.1</v>
      </c>
      <c r="P347" s="1695">
        <f t="shared" ref="P347:V347" si="444">P348*P3</f>
        <v>679.70921082504321</v>
      </c>
      <c r="Q347" s="1695">
        <f t="shared" si="444"/>
        <v>698.80490024595122</v>
      </c>
      <c r="R347" s="1695">
        <f t="shared" si="444"/>
        <v>714.97804745185363</v>
      </c>
      <c r="S347" s="1695">
        <f t="shared" si="444"/>
        <v>729.68121487267638</v>
      </c>
      <c r="T347" s="1695">
        <f t="shared" si="444"/>
        <v>744.80382372008239</v>
      </c>
      <c r="U347" s="1695">
        <f t="shared" si="444"/>
        <v>761.15700423619523</v>
      </c>
      <c r="V347" s="1695">
        <f t="shared" si="444"/>
        <v>778.05048502727107</v>
      </c>
      <c r="W347" s="1685"/>
      <c r="X347" s="1685"/>
      <c r="Y347" s="1685"/>
      <c r="Z347" s="1685"/>
      <c r="AA347" s="1685"/>
      <c r="AB347" s="1685"/>
      <c r="AC347" s="1685"/>
      <c r="AD347" s="1685"/>
    </row>
    <row r="348" spans="1:30" ht="15.75">
      <c r="A348" s="1685"/>
      <c r="B348" s="1692" t="s">
        <v>174</v>
      </c>
      <c r="C348" s="1690"/>
      <c r="D348" s="1690"/>
      <c r="E348" s="1690" t="e">
        <f>E347/E3</f>
        <v>#DIV/0!</v>
      </c>
      <c r="F348" s="1690">
        <f>F347/F3</f>
        <v>0.25192391761244215</v>
      </c>
      <c r="G348" s="1756">
        <v>0.36499999999999999</v>
      </c>
      <c r="H348" s="1690">
        <f t="shared" ref="H348:O348" si="445">H347/H3</f>
        <v>0.14684369992826199</v>
      </c>
      <c r="I348" s="1690">
        <f t="shared" si="445"/>
        <v>0.15517308270093283</v>
      </c>
      <c r="J348" s="1690">
        <f t="shared" si="445"/>
        <v>0.16441209624791492</v>
      </c>
      <c r="K348" s="1690">
        <f t="shared" si="445"/>
        <v>0.15132786842853821</v>
      </c>
      <c r="L348" s="1690">
        <f t="shared" si="445"/>
        <v>0.14892430278884464</v>
      </c>
      <c r="M348" s="1690">
        <f t="shared" si="445"/>
        <v>0.11195301905209784</v>
      </c>
      <c r="N348" s="1690">
        <f t="shared" si="445"/>
        <v>0.12529595015576322</v>
      </c>
      <c r="O348" s="1690">
        <f t="shared" si="445"/>
        <v>0.15209150761455076</v>
      </c>
      <c r="P348" s="1756">
        <f t="shared" ref="P348:V348" si="446">O348</f>
        <v>0.15209150761455076</v>
      </c>
      <c r="Q348" s="1756">
        <f t="shared" si="446"/>
        <v>0.15209150761455076</v>
      </c>
      <c r="R348" s="1756">
        <f t="shared" si="446"/>
        <v>0.15209150761455076</v>
      </c>
      <c r="S348" s="1756">
        <f t="shared" si="446"/>
        <v>0.15209150761455076</v>
      </c>
      <c r="T348" s="1756">
        <f t="shared" si="446"/>
        <v>0.15209150761455076</v>
      </c>
      <c r="U348" s="1756">
        <f t="shared" si="446"/>
        <v>0.15209150761455076</v>
      </c>
      <c r="V348" s="1756">
        <f t="shared" si="446"/>
        <v>0.15209150761455076</v>
      </c>
      <c r="W348" s="1685"/>
      <c r="X348" s="1685"/>
      <c r="Y348" s="1685"/>
      <c r="Z348" s="1685"/>
      <c r="AA348" s="1685"/>
      <c r="AB348" s="1685"/>
      <c r="AC348" s="1685"/>
      <c r="AD348" s="1685"/>
    </row>
    <row r="349" spans="1:30" ht="15.75">
      <c r="A349" s="1685"/>
      <c r="B349" s="1692" t="s">
        <v>176</v>
      </c>
      <c r="C349" s="1695"/>
      <c r="D349" s="1695"/>
      <c r="E349" s="1695">
        <f t="shared" ref="E349:K349" si="447">D347-E347</f>
        <v>-433</v>
      </c>
      <c r="F349" s="1695">
        <f t="shared" si="447"/>
        <v>-154</v>
      </c>
      <c r="G349" s="1695">
        <f t="shared" si="447"/>
        <v>-723.90966666666645</v>
      </c>
      <c r="H349" s="1695">
        <f t="shared" si="447"/>
        <v>779.30966666666643</v>
      </c>
      <c r="I349" s="1695">
        <f t="shared" si="447"/>
        <v>-24.899999999999977</v>
      </c>
      <c r="J349" s="1695">
        <f t="shared" si="447"/>
        <v>-50.799999999999955</v>
      </c>
      <c r="K349" s="1695">
        <f t="shared" si="447"/>
        <v>22.099999999999909</v>
      </c>
      <c r="L349" s="1695">
        <f t="shared" ref="L349:V349" si="448">K347-L347</f>
        <v>24.5</v>
      </c>
      <c r="M349" s="1695">
        <f t="shared" si="448"/>
        <v>24.300000000000068</v>
      </c>
      <c r="N349" s="1695">
        <f t="shared" si="448"/>
        <v>-66.899999999999977</v>
      </c>
      <c r="O349" s="1695">
        <f t="shared" si="448"/>
        <v>-82.800000000000068</v>
      </c>
      <c r="P349" s="1695">
        <f t="shared" si="448"/>
        <v>6.390789174956808</v>
      </c>
      <c r="Q349" s="1695">
        <f t="shared" si="448"/>
        <v>-19.095689420908002</v>
      </c>
      <c r="R349" s="1695">
        <f t="shared" si="448"/>
        <v>-16.17314720590241</v>
      </c>
      <c r="S349" s="1695">
        <f t="shared" si="448"/>
        <v>-14.703167420822751</v>
      </c>
      <c r="T349" s="1695">
        <f t="shared" si="448"/>
        <v>-15.122608847406013</v>
      </c>
      <c r="U349" s="1695">
        <f t="shared" si="448"/>
        <v>-16.353180516112843</v>
      </c>
      <c r="V349" s="1695">
        <f t="shared" si="448"/>
        <v>-16.893480791075831</v>
      </c>
      <c r="W349" s="1685"/>
      <c r="X349" s="1685"/>
      <c r="Y349" s="1685"/>
      <c r="Z349" s="1685"/>
      <c r="AA349" s="1685"/>
      <c r="AB349" s="1685"/>
      <c r="AC349" s="1685"/>
      <c r="AD349" s="1685"/>
    </row>
    <row r="350" spans="1:30" ht="15.75">
      <c r="A350" s="1685"/>
      <c r="B350" s="1692" t="s">
        <v>177</v>
      </c>
      <c r="C350" s="1730"/>
      <c r="D350" s="1730"/>
      <c r="E350" s="1730">
        <v>0</v>
      </c>
      <c r="F350" s="1730">
        <v>56</v>
      </c>
      <c r="G350" s="1695">
        <f>G351*G3</f>
        <v>86.317574555135181</v>
      </c>
      <c r="H350" s="1730">
        <f>1509.2-H347-H318</f>
        <v>425</v>
      </c>
      <c r="I350" s="1730">
        <f>1374.8-I347-I318</f>
        <v>288.39999999999998</v>
      </c>
      <c r="J350" s="1730">
        <f>1644.8-J347-J318</f>
        <v>379.5</v>
      </c>
      <c r="K350" s="1730">
        <f>2055.2+1272.2-K347-K318</f>
        <v>286.19999999999982</v>
      </c>
      <c r="L350" s="1730">
        <f>1951.9-L347-L318</f>
        <v>815.7</v>
      </c>
      <c r="M350" s="1730">
        <f>2066.2-M347-M318</f>
        <v>360.39999999999964</v>
      </c>
      <c r="N350" s="1730">
        <f>2078.9-N347-N318</f>
        <v>91.300000000000182</v>
      </c>
      <c r="O350" s="1730">
        <f>2412.2-O347-O318</f>
        <v>729.49999999999989</v>
      </c>
      <c r="P350" s="1695">
        <f t="shared" ref="P350:V350" si="449">P351*P3</f>
        <v>722.70495452101568</v>
      </c>
      <c r="Q350" s="1695">
        <f t="shared" si="449"/>
        <v>743.00856249733465</v>
      </c>
      <c r="R350" s="1695">
        <f t="shared" si="449"/>
        <v>760.20475967953223</v>
      </c>
      <c r="S350" s="1695">
        <f t="shared" si="449"/>
        <v>775.83799191024241</v>
      </c>
      <c r="T350" s="1695">
        <f t="shared" si="449"/>
        <v>791.91719779011805</v>
      </c>
      <c r="U350" s="1695">
        <f t="shared" si="449"/>
        <v>809.30481648492105</v>
      </c>
      <c r="V350" s="1695">
        <f t="shared" si="449"/>
        <v>827.26691273486972</v>
      </c>
      <c r="W350" s="1685"/>
      <c r="X350" s="1685"/>
      <c r="Y350" s="1685"/>
      <c r="Z350" s="1685"/>
      <c r="AA350" s="1685"/>
      <c r="AB350" s="1685"/>
      <c r="AC350" s="1685"/>
      <c r="AD350" s="1685"/>
    </row>
    <row r="351" spans="1:30" ht="15.75">
      <c r="A351" s="1685"/>
      <c r="B351" s="1692" t="s">
        <v>174</v>
      </c>
      <c r="C351" s="1690"/>
      <c r="D351" s="1690"/>
      <c r="E351" s="1690" t="e">
        <f>E350/E3</f>
        <v>#DIV/0!</v>
      </c>
      <c r="F351" s="1690">
        <f>F350/F3</f>
        <v>2.4033627574611176E-2</v>
      </c>
      <c r="G351" s="1756">
        <f t="shared" ref="G351:V351" si="450">F351</f>
        <v>2.4033627574611176E-2</v>
      </c>
      <c r="H351" s="1756">
        <f t="shared" si="450"/>
        <v>2.4033627574611176E-2</v>
      </c>
      <c r="I351" s="1690">
        <f t="shared" ref="I351:O351" si="451">I350/I3</f>
        <v>8.041674222991739E-2</v>
      </c>
      <c r="J351" s="1690">
        <f t="shared" si="451"/>
        <v>0.1027406397597295</v>
      </c>
      <c r="K351" s="1690">
        <f t="shared" si="451"/>
        <v>7.4008947273150383E-2</v>
      </c>
      <c r="L351" s="1690">
        <f t="shared" si="451"/>
        <v>0.21665338645418328</v>
      </c>
      <c r="M351" s="1690">
        <f t="shared" si="451"/>
        <v>7.5219739124489232E-2</v>
      </c>
      <c r="N351" s="1690">
        <f t="shared" si="451"/>
        <v>1.8961578400830775E-2</v>
      </c>
      <c r="O351" s="1690">
        <f t="shared" si="451"/>
        <v>0.16171222096606144</v>
      </c>
      <c r="P351" s="1756">
        <f t="shared" si="450"/>
        <v>0.16171222096606144</v>
      </c>
      <c r="Q351" s="1756">
        <f t="shared" si="450"/>
        <v>0.16171222096606144</v>
      </c>
      <c r="R351" s="1756">
        <f t="shared" si="450"/>
        <v>0.16171222096606144</v>
      </c>
      <c r="S351" s="1756">
        <f t="shared" si="450"/>
        <v>0.16171222096606144</v>
      </c>
      <c r="T351" s="1756">
        <f t="shared" si="450"/>
        <v>0.16171222096606144</v>
      </c>
      <c r="U351" s="1756">
        <f t="shared" si="450"/>
        <v>0.16171222096606144</v>
      </c>
      <c r="V351" s="1756">
        <f t="shared" si="450"/>
        <v>0.16171222096606144</v>
      </c>
      <c r="W351" s="1685"/>
      <c r="X351" s="1685"/>
      <c r="Y351" s="1685"/>
      <c r="Z351" s="1685"/>
      <c r="AA351" s="1685"/>
      <c r="AB351" s="1685"/>
      <c r="AC351" s="1685"/>
      <c r="AD351" s="1685"/>
    </row>
    <row r="352" spans="1:30" ht="15.75">
      <c r="A352" s="1685"/>
      <c r="B352" s="1692" t="s">
        <v>178</v>
      </c>
      <c r="C352" s="1695"/>
      <c r="D352" s="1695"/>
      <c r="E352" s="1695">
        <f t="shared" ref="E352:K352" si="452">D350-E350</f>
        <v>0</v>
      </c>
      <c r="F352" s="1695">
        <f t="shared" si="452"/>
        <v>-56</v>
      </c>
      <c r="G352" s="1695">
        <f t="shared" si="452"/>
        <v>-30.317574555135181</v>
      </c>
      <c r="H352" s="1695">
        <f t="shared" si="452"/>
        <v>-338.6824254448648</v>
      </c>
      <c r="I352" s="1695">
        <f t="shared" si="452"/>
        <v>136.60000000000002</v>
      </c>
      <c r="J352" s="1695">
        <f t="shared" si="452"/>
        <v>-91.100000000000023</v>
      </c>
      <c r="K352" s="1695">
        <f t="shared" si="452"/>
        <v>93.300000000000182</v>
      </c>
      <c r="L352" s="1695">
        <f t="shared" ref="L352:V352" si="453">K350-L350</f>
        <v>-529.50000000000023</v>
      </c>
      <c r="M352" s="1695">
        <f t="shared" si="453"/>
        <v>455.30000000000041</v>
      </c>
      <c r="N352" s="1695">
        <f t="shared" si="453"/>
        <v>269.09999999999945</v>
      </c>
      <c r="O352" s="1695">
        <f t="shared" si="453"/>
        <v>-638.1999999999997</v>
      </c>
      <c r="P352" s="1695">
        <f t="shared" si="453"/>
        <v>6.795045478984207</v>
      </c>
      <c r="Q352" s="1695">
        <f t="shared" si="453"/>
        <v>-20.303607976318972</v>
      </c>
      <c r="R352" s="1695">
        <f t="shared" si="453"/>
        <v>-17.196197182197579</v>
      </c>
      <c r="S352" s="1695">
        <f t="shared" si="453"/>
        <v>-15.633232230710178</v>
      </c>
      <c r="T352" s="1695">
        <f t="shared" si="453"/>
        <v>-16.079205879875644</v>
      </c>
      <c r="U352" s="1695">
        <f t="shared" si="453"/>
        <v>-17.387618694802995</v>
      </c>
      <c r="V352" s="1695">
        <f t="shared" si="453"/>
        <v>-17.962096249948672</v>
      </c>
      <c r="W352" s="1685"/>
      <c r="X352" s="1685"/>
      <c r="Y352" s="1685"/>
      <c r="Z352" s="1685"/>
      <c r="AA352" s="1685"/>
      <c r="AB352" s="1685"/>
      <c r="AC352" s="1685"/>
      <c r="AD352" s="1685"/>
    </row>
    <row r="353" spans="1:30" ht="15.75">
      <c r="A353" s="1685"/>
      <c r="B353" s="1692"/>
      <c r="C353" s="1692"/>
      <c r="D353" s="1692"/>
      <c r="E353" s="1692"/>
      <c r="F353" s="1692"/>
      <c r="G353" s="1692"/>
      <c r="H353" s="1692"/>
      <c r="I353" s="1692"/>
      <c r="J353" s="1692"/>
      <c r="K353" s="1692"/>
      <c r="L353" s="1692"/>
      <c r="M353" s="1692"/>
      <c r="N353" s="1692"/>
      <c r="O353" s="1692"/>
      <c r="P353" s="1692"/>
      <c r="Q353" s="1692"/>
      <c r="R353" s="1692"/>
      <c r="S353" s="1692"/>
      <c r="T353" s="1692"/>
      <c r="U353" s="1692"/>
      <c r="V353" s="1692"/>
      <c r="W353" s="1685"/>
      <c r="X353" s="1685"/>
      <c r="Y353" s="1685"/>
      <c r="Z353" s="1685"/>
      <c r="AA353" s="1685"/>
      <c r="AB353" s="1685"/>
      <c r="AC353" s="1685"/>
      <c r="AD353" s="1685"/>
    </row>
    <row r="354" spans="1:30" ht="15.75">
      <c r="A354" s="1685"/>
      <c r="B354" s="1692" t="s">
        <v>105</v>
      </c>
      <c r="C354" s="1730"/>
      <c r="D354" s="1730"/>
      <c r="E354" s="1730">
        <v>612</v>
      </c>
      <c r="F354" s="1730">
        <v>771</v>
      </c>
      <c r="G354" s="1695">
        <f>G355*G3</f>
        <v>897.88333333333321</v>
      </c>
      <c r="H354" s="1694">
        <v>219.4</v>
      </c>
      <c r="I354" s="1694">
        <v>286.8</v>
      </c>
      <c r="J354" s="1694">
        <v>297.39999999999998</v>
      </c>
      <c r="K354" s="1694">
        <v>346.6</v>
      </c>
      <c r="L354" s="1694">
        <v>351.7</v>
      </c>
      <c r="M354" s="1694">
        <v>398</v>
      </c>
      <c r="N354" s="1694">
        <v>525.1</v>
      </c>
      <c r="O354" s="1694">
        <v>424.2</v>
      </c>
      <c r="P354" s="1695">
        <f t="shared" ref="P354:V354" si="454">P355*P3</f>
        <v>420.24872064128164</v>
      </c>
      <c r="Q354" s="1695">
        <f t="shared" si="454"/>
        <v>432.05515039255579</v>
      </c>
      <c r="R354" s="1695">
        <f t="shared" si="454"/>
        <v>442.05463887053827</v>
      </c>
      <c r="S354" s="1695">
        <f t="shared" si="454"/>
        <v>451.14527233492106</v>
      </c>
      <c r="T354" s="1695">
        <f t="shared" si="454"/>
        <v>460.4952368780921</v>
      </c>
      <c r="U354" s="1695">
        <f t="shared" si="454"/>
        <v>470.60603585045044</v>
      </c>
      <c r="V354" s="1695">
        <f t="shared" si="454"/>
        <v>481.05089017427258</v>
      </c>
      <c r="W354" s="1685"/>
      <c r="X354" s="1685"/>
      <c r="Y354" s="1685"/>
      <c r="Z354" s="1685"/>
      <c r="AA354" s="1685"/>
      <c r="AB354" s="1685"/>
      <c r="AC354" s="1685"/>
      <c r="AD354" s="1685"/>
    </row>
    <row r="355" spans="1:30" ht="15.75">
      <c r="A355" s="1685"/>
      <c r="B355" s="1692" t="s">
        <v>174</v>
      </c>
      <c r="C355" s="1690"/>
      <c r="D355" s="1690"/>
      <c r="E355" s="1690" t="e">
        <f>E354/E3</f>
        <v>#DIV/0!</v>
      </c>
      <c r="F355" s="1690">
        <f>F354/F3</f>
        <v>0.3308915510718789</v>
      </c>
      <c r="G355" s="1756">
        <v>0.25</v>
      </c>
      <c r="H355" s="1690">
        <f t="shared" ref="H355:O355" si="455">H354/H3</f>
        <v>6.0604792634049443E-2</v>
      </c>
      <c r="I355" s="1690">
        <f t="shared" si="455"/>
        <v>7.9970602189806894E-2</v>
      </c>
      <c r="J355" s="1690">
        <f t="shared" si="455"/>
        <v>8.0514008602222784E-2</v>
      </c>
      <c r="K355" s="1690">
        <f t="shared" si="455"/>
        <v>8.9627886529957859E-2</v>
      </c>
      <c r="L355" s="1690">
        <f t="shared" si="455"/>
        <v>9.341301460823373E-2</v>
      </c>
      <c r="M355" s="1690">
        <f t="shared" si="455"/>
        <v>8.3067303472660212E-2</v>
      </c>
      <c r="N355" s="1690">
        <f t="shared" si="455"/>
        <v>0.10905503634475598</v>
      </c>
      <c r="O355" s="1690">
        <f t="shared" si="455"/>
        <v>9.4034714371217659E-2</v>
      </c>
      <c r="P355" s="1756">
        <f t="shared" ref="P355:V355" si="456">O355</f>
        <v>9.4034714371217659E-2</v>
      </c>
      <c r="Q355" s="1756">
        <f t="shared" si="456"/>
        <v>9.4034714371217659E-2</v>
      </c>
      <c r="R355" s="1756">
        <f t="shared" si="456"/>
        <v>9.4034714371217659E-2</v>
      </c>
      <c r="S355" s="1756">
        <f t="shared" si="456"/>
        <v>9.4034714371217659E-2</v>
      </c>
      <c r="T355" s="1756">
        <f t="shared" si="456"/>
        <v>9.4034714371217659E-2</v>
      </c>
      <c r="U355" s="1756">
        <f t="shared" si="456"/>
        <v>9.4034714371217659E-2</v>
      </c>
      <c r="V355" s="1756">
        <f t="shared" si="456"/>
        <v>9.4034714371217659E-2</v>
      </c>
      <c r="W355" s="1685"/>
      <c r="X355" s="1685"/>
      <c r="Y355" s="1685"/>
      <c r="Z355" s="1685"/>
      <c r="AA355" s="1685"/>
      <c r="AB355" s="1685"/>
      <c r="AC355" s="1685"/>
      <c r="AD355" s="1685"/>
    </row>
    <row r="356" spans="1:30" ht="15.75">
      <c r="A356" s="1685"/>
      <c r="B356" s="1692" t="s">
        <v>179</v>
      </c>
      <c r="C356" s="1695"/>
      <c r="D356" s="1695"/>
      <c r="E356" s="1695">
        <f t="shared" ref="E356:K356" si="457">D354-E354</f>
        <v>-612</v>
      </c>
      <c r="F356" s="1695">
        <f t="shared" si="457"/>
        <v>-159</v>
      </c>
      <c r="G356" s="1695">
        <f t="shared" si="457"/>
        <v>-126.88333333333321</v>
      </c>
      <c r="H356" s="1695">
        <f t="shared" si="457"/>
        <v>678.48333333333323</v>
      </c>
      <c r="I356" s="1695">
        <f t="shared" si="457"/>
        <v>-67.400000000000006</v>
      </c>
      <c r="J356" s="1695">
        <f t="shared" si="457"/>
        <v>-10.599999999999966</v>
      </c>
      <c r="K356" s="1695">
        <f t="shared" si="457"/>
        <v>-49.200000000000045</v>
      </c>
      <c r="L356" s="1695">
        <f t="shared" ref="L356:V356" si="458">K354-L354</f>
        <v>-5.0999999999999659</v>
      </c>
      <c r="M356" s="1695">
        <f t="shared" si="458"/>
        <v>-46.300000000000011</v>
      </c>
      <c r="N356" s="1695">
        <f t="shared" si="458"/>
        <v>-127.10000000000002</v>
      </c>
      <c r="O356" s="1695">
        <f t="shared" si="458"/>
        <v>100.90000000000003</v>
      </c>
      <c r="P356" s="1695">
        <f t="shared" si="458"/>
        <v>3.9512793587183523</v>
      </c>
      <c r="Q356" s="1695">
        <f t="shared" si="458"/>
        <v>-11.806429751274152</v>
      </c>
      <c r="R356" s="1695">
        <f t="shared" si="458"/>
        <v>-9.9994884779824815</v>
      </c>
      <c r="S356" s="1695">
        <f t="shared" si="458"/>
        <v>-9.0906334643827904</v>
      </c>
      <c r="T356" s="1695">
        <f t="shared" si="458"/>
        <v>-9.3499645431710405</v>
      </c>
      <c r="U356" s="1695">
        <f t="shared" si="458"/>
        <v>-10.110798972358339</v>
      </c>
      <c r="V356" s="1695">
        <f t="shared" si="458"/>
        <v>-10.444854323822142</v>
      </c>
      <c r="W356" s="1685"/>
      <c r="X356" s="1685"/>
      <c r="Y356" s="1685"/>
      <c r="Z356" s="1685"/>
      <c r="AA356" s="1685"/>
      <c r="AB356" s="1685"/>
      <c r="AC356" s="1685"/>
      <c r="AD356" s="1685"/>
    </row>
    <row r="357" spans="1:30" ht="15.75">
      <c r="A357" s="1685"/>
      <c r="B357" s="1692" t="s">
        <v>104</v>
      </c>
      <c r="C357" s="1730"/>
      <c r="D357" s="1730"/>
      <c r="E357" s="1730">
        <f>140+121+274+23</f>
        <v>558</v>
      </c>
      <c r="F357" s="1730">
        <f>119+118</f>
        <v>237</v>
      </c>
      <c r="G357" s="1695">
        <f>G358*G3</f>
        <v>359.15333333333331</v>
      </c>
      <c r="H357" s="1730">
        <f>1348-H354-H314</f>
        <v>977.8</v>
      </c>
      <c r="I357" s="1730">
        <f>1586.9-I354-I314</f>
        <v>1036.8000000000002</v>
      </c>
      <c r="J357" s="1730">
        <f>1608.7-J354-J314</f>
        <v>1008.8000000000002</v>
      </c>
      <c r="K357" s="1730">
        <f>1576-K354-K314</f>
        <v>1049.2</v>
      </c>
      <c r="L357" s="1730">
        <f>1705-L354-L314</f>
        <v>1191.3999999999999</v>
      </c>
      <c r="M357" s="1730">
        <f>1514.5-M354-M314</f>
        <v>1003.5</v>
      </c>
      <c r="N357" s="1730">
        <f>1761.9-N354-N314</f>
        <v>1118.6000000000001</v>
      </c>
      <c r="O357" s="1730">
        <f>2132.6-O354-O314</f>
        <v>1126.5</v>
      </c>
      <c r="P357" s="1695">
        <f t="shared" ref="P357:V357" si="459">P358*P3</f>
        <v>1117.2701577586549</v>
      </c>
      <c r="Q357" s="1695">
        <f t="shared" si="459"/>
        <v>1171.6318179600282</v>
      </c>
      <c r="R357" s="1695">
        <f t="shared" si="459"/>
        <v>1222.252940043164</v>
      </c>
      <c r="S357" s="1695">
        <f t="shared" si="459"/>
        <v>1295.3644230742973</v>
      </c>
      <c r="T357" s="1695">
        <f t="shared" si="459"/>
        <v>1371.1815597892814</v>
      </c>
      <c r="U357" s="1695">
        <f t="shared" si="459"/>
        <v>1401.2877150659851</v>
      </c>
      <c r="V357" s="1695">
        <f t="shared" si="459"/>
        <v>1432.388561495156</v>
      </c>
      <c r="W357" s="1685"/>
      <c r="X357" s="1685"/>
      <c r="Y357" s="1685"/>
      <c r="Z357" s="1685"/>
      <c r="AA357" s="1685"/>
      <c r="AB357" s="1685"/>
      <c r="AC357" s="1685"/>
      <c r="AD357" s="1685"/>
    </row>
    <row r="358" spans="1:30" ht="15.75">
      <c r="A358" s="1685"/>
      <c r="B358" s="1692" t="s">
        <v>174</v>
      </c>
      <c r="C358" s="1690"/>
      <c r="D358" s="1690"/>
      <c r="E358" s="1690" t="e">
        <f>E357/E3</f>
        <v>#DIV/0!</v>
      </c>
      <c r="F358" s="1690">
        <f>F357/F3</f>
        <v>0.1017137452711223</v>
      </c>
      <c r="G358" s="1756">
        <v>0.1</v>
      </c>
      <c r="H358" s="1756">
        <f>G358</f>
        <v>0.1</v>
      </c>
      <c r="I358" s="1690">
        <f t="shared" ref="I358:O358" si="460">I357/I3</f>
        <v>0.28909874599160323</v>
      </c>
      <c r="J358" s="1690">
        <f t="shared" si="460"/>
        <v>0.27310871512415053</v>
      </c>
      <c r="K358" s="1690">
        <f t="shared" si="460"/>
        <v>0.27131442165964159</v>
      </c>
      <c r="L358" s="1690">
        <f t="shared" si="460"/>
        <v>0.31644090305444883</v>
      </c>
      <c r="M358" s="1690">
        <f t="shared" si="460"/>
        <v>0.20944230913269982</v>
      </c>
      <c r="N358" s="1690">
        <f t="shared" si="460"/>
        <v>0.23231568016614748</v>
      </c>
      <c r="O358" s="1690">
        <f t="shared" si="460"/>
        <v>0.24971736383587151</v>
      </c>
      <c r="P358" s="1756">
        <v>0.25</v>
      </c>
      <c r="Q358" s="1756">
        <v>0.255</v>
      </c>
      <c r="R358" s="1756">
        <v>0.26</v>
      </c>
      <c r="S358" s="1756">
        <v>0.27</v>
      </c>
      <c r="T358" s="1756">
        <v>0.28000000000000003</v>
      </c>
      <c r="U358" s="1756">
        <v>0.28000000000000003</v>
      </c>
      <c r="V358" s="1756">
        <v>0.28000000000000003</v>
      </c>
      <c r="W358" s="1685"/>
      <c r="X358" s="1685"/>
      <c r="Y358" s="1685"/>
      <c r="Z358" s="1685"/>
      <c r="AA358" s="1685"/>
      <c r="AB358" s="1685"/>
      <c r="AC358" s="1685"/>
      <c r="AD358" s="1685"/>
    </row>
    <row r="359" spans="1:30" ht="15.75">
      <c r="A359" s="1685"/>
      <c r="B359" s="1692" t="s">
        <v>180</v>
      </c>
      <c r="C359" s="1695"/>
      <c r="D359" s="1695"/>
      <c r="E359" s="1695">
        <f t="shared" ref="E359:K359" si="461">D357-E357</f>
        <v>-558</v>
      </c>
      <c r="F359" s="1695">
        <f t="shared" si="461"/>
        <v>321</v>
      </c>
      <c r="G359" s="1695">
        <f t="shared" si="461"/>
        <v>-122.15333333333331</v>
      </c>
      <c r="H359" s="1695">
        <f t="shared" si="461"/>
        <v>-618.64666666666665</v>
      </c>
      <c r="I359" s="1695">
        <f t="shared" si="461"/>
        <v>-59.000000000000227</v>
      </c>
      <c r="J359" s="1695">
        <f t="shared" si="461"/>
        <v>28</v>
      </c>
      <c r="K359" s="1695">
        <f t="shared" si="461"/>
        <v>-40.399999999999864</v>
      </c>
      <c r="L359" s="1695">
        <f t="shared" ref="L359:V359" si="462">K357-L357</f>
        <v>-142.19999999999982</v>
      </c>
      <c r="M359" s="1695">
        <f t="shared" si="462"/>
        <v>187.89999999999986</v>
      </c>
      <c r="N359" s="1695">
        <f t="shared" si="462"/>
        <v>-115.10000000000014</v>
      </c>
      <c r="O359" s="1695">
        <f t="shared" si="462"/>
        <v>-7.8999999999998636</v>
      </c>
      <c r="P359" s="1695">
        <f t="shared" si="462"/>
        <v>9.229842241345068</v>
      </c>
      <c r="Q359" s="1695">
        <f t="shared" si="462"/>
        <v>-54.361660201373297</v>
      </c>
      <c r="R359" s="1695">
        <f t="shared" si="462"/>
        <v>-50.621122083135788</v>
      </c>
      <c r="S359" s="1695">
        <f t="shared" si="462"/>
        <v>-73.111483031133275</v>
      </c>
      <c r="T359" s="1695">
        <f t="shared" si="462"/>
        <v>-75.817136714984144</v>
      </c>
      <c r="U359" s="1695">
        <f t="shared" si="462"/>
        <v>-30.106155276703703</v>
      </c>
      <c r="V359" s="1695">
        <f t="shared" si="462"/>
        <v>-31.100846429170815</v>
      </c>
      <c r="W359" s="1685"/>
      <c r="X359" s="1685"/>
      <c r="Y359" s="1685"/>
      <c r="Z359" s="1685"/>
      <c r="AA359" s="1685"/>
      <c r="AB359" s="1685"/>
      <c r="AC359" s="1685"/>
      <c r="AD359" s="1685"/>
    </row>
    <row r="360" spans="1:30" ht="15.75">
      <c r="A360" s="1685"/>
      <c r="B360" s="1692"/>
      <c r="C360" s="1695"/>
      <c r="D360" s="1695"/>
      <c r="E360" s="1695"/>
      <c r="F360" s="1695"/>
      <c r="G360" s="1695"/>
      <c r="H360" s="1695"/>
      <c r="I360" s="1695"/>
      <c r="J360" s="1695"/>
      <c r="K360" s="1695"/>
      <c r="L360" s="1695"/>
      <c r="M360" s="1695"/>
      <c r="N360" s="1695"/>
      <c r="O360" s="1695"/>
      <c r="P360" s="1695"/>
      <c r="Q360" s="1695"/>
      <c r="R360" s="1695"/>
      <c r="S360" s="1695"/>
      <c r="T360" s="1695"/>
      <c r="U360" s="1695"/>
      <c r="V360" s="1695"/>
      <c r="W360" s="1685"/>
      <c r="X360" s="1685"/>
      <c r="Y360" s="1685"/>
      <c r="Z360" s="1685"/>
      <c r="AA360" s="1685"/>
      <c r="AB360" s="1685"/>
      <c r="AC360" s="1685"/>
      <c r="AD360" s="1685"/>
    </row>
    <row r="361" spans="1:30" ht="15.75">
      <c r="A361" s="1685"/>
      <c r="B361" s="1689" t="s">
        <v>181</v>
      </c>
      <c r="C361" s="1691"/>
      <c r="D361" s="1691"/>
      <c r="E361" s="1691">
        <f>E346+E349+E352-E356-E359</f>
        <v>701</v>
      </c>
      <c r="F361" s="1691">
        <f>F346+F349+F352-F356-F359+274</f>
        <v>-112</v>
      </c>
      <c r="G361" s="1691">
        <f t="shared" ref="G361:P361" si="463">G346+G349+G352-G356-G359</f>
        <v>-532.25983755079153</v>
      </c>
      <c r="H361" s="1691">
        <f t="shared" si="463"/>
        <v>457.85983755079155</v>
      </c>
      <c r="I361" s="1691">
        <f t="shared" si="463"/>
        <v>238.10000000000028</v>
      </c>
      <c r="J361" s="1691">
        <f>J346+J349+J352-J356-J359</f>
        <v>-159.30000000000001</v>
      </c>
      <c r="K361" s="1691">
        <f t="shared" si="463"/>
        <v>205</v>
      </c>
      <c r="L361" s="1727">
        <v>208</v>
      </c>
      <c r="M361" s="1727">
        <v>171</v>
      </c>
      <c r="N361" s="1727">
        <v>181</v>
      </c>
      <c r="O361" s="1727">
        <f>130-52</f>
        <v>78</v>
      </c>
      <c r="P361" s="1691">
        <f t="shared" si="463"/>
        <v>4.7130538775945752E-3</v>
      </c>
      <c r="Q361" s="1691">
        <f t="shared" ref="Q361:V361" si="464">Q346+Q349+Q352-Q356-Q359</f>
        <v>26.768792555420475</v>
      </c>
      <c r="R361" s="1691">
        <f t="shared" si="464"/>
        <v>27.25126617301828</v>
      </c>
      <c r="S361" s="1691">
        <f t="shared" si="464"/>
        <v>51.865716843983137</v>
      </c>
      <c r="T361" s="1691">
        <f t="shared" si="464"/>
        <v>53.965286530873527</v>
      </c>
      <c r="U361" s="1691">
        <f t="shared" si="464"/>
        <v>6.476155038146203</v>
      </c>
      <c r="V361" s="1691">
        <f t="shared" si="464"/>
        <v>6.6901237119684538</v>
      </c>
      <c r="W361" s="1685"/>
      <c r="X361" s="1685"/>
      <c r="Y361" s="1685"/>
      <c r="Z361" s="1685"/>
      <c r="AA361" s="1685"/>
      <c r="AB361" s="1685"/>
      <c r="AC361" s="1685"/>
      <c r="AD361" s="1685"/>
    </row>
    <row r="362" spans="1:30" ht="15.75">
      <c r="A362" s="1685"/>
      <c r="B362" s="1689"/>
      <c r="C362" s="1691"/>
      <c r="D362" s="1691"/>
      <c r="E362" s="1691"/>
      <c r="F362" s="1691"/>
      <c r="G362" s="1691"/>
      <c r="H362" s="1691"/>
      <c r="I362" s="1691"/>
      <c r="J362" s="1691"/>
      <c r="K362" s="1691"/>
      <c r="L362" s="1685"/>
      <c r="M362" s="1685"/>
      <c r="N362" s="1685"/>
      <c r="O362" s="1685"/>
      <c r="P362" s="1685"/>
      <c r="Q362" s="1685"/>
      <c r="R362" s="1685"/>
      <c r="S362" s="1685"/>
      <c r="T362" s="1685"/>
      <c r="U362" s="1685"/>
      <c r="V362" s="1685"/>
      <c r="W362" s="1685"/>
      <c r="X362" s="1685"/>
      <c r="Y362" s="1685"/>
      <c r="Z362" s="1685"/>
      <c r="AA362" s="1685"/>
      <c r="AB362" s="1685"/>
      <c r="AC362" s="1685"/>
      <c r="AD362" s="1685"/>
    </row>
    <row r="363" spans="1:30" ht="15.75">
      <c r="A363" s="1685"/>
      <c r="B363" s="1687" t="s">
        <v>182</v>
      </c>
      <c r="C363" s="1688">
        <f t="shared" ref="C363:P363" si="465">C343</f>
        <v>40908</v>
      </c>
      <c r="D363" s="1688">
        <f t="shared" si="465"/>
        <v>41274</v>
      </c>
      <c r="E363" s="1688">
        <f t="shared" si="465"/>
        <v>41639</v>
      </c>
      <c r="F363" s="1688">
        <f t="shared" si="465"/>
        <v>42004</v>
      </c>
      <c r="G363" s="1688">
        <f t="shared" si="465"/>
        <v>42369</v>
      </c>
      <c r="H363" s="1688">
        <f t="shared" si="465"/>
        <v>42735</v>
      </c>
      <c r="I363" s="1688">
        <f t="shared" si="465"/>
        <v>43100</v>
      </c>
      <c r="J363" s="1688">
        <f t="shared" si="465"/>
        <v>43465</v>
      </c>
      <c r="K363" s="1688">
        <f t="shared" si="465"/>
        <v>43830</v>
      </c>
      <c r="L363" s="1688">
        <f t="shared" si="465"/>
        <v>44196</v>
      </c>
      <c r="M363" s="1688">
        <f t="shared" si="465"/>
        <v>44561</v>
      </c>
      <c r="N363" s="1688">
        <f t="shared" si="465"/>
        <v>44926</v>
      </c>
      <c r="O363" s="1688">
        <f t="shared" si="465"/>
        <v>45291</v>
      </c>
      <c r="P363" s="1688">
        <f t="shared" si="465"/>
        <v>45657</v>
      </c>
      <c r="Q363" s="1688">
        <f t="shared" ref="Q363:V363" si="466">Q343</f>
        <v>46022</v>
      </c>
      <c r="R363" s="1688">
        <f t="shared" si="466"/>
        <v>46387</v>
      </c>
      <c r="S363" s="1688">
        <f t="shared" si="466"/>
        <v>46752</v>
      </c>
      <c r="T363" s="1688">
        <f t="shared" si="466"/>
        <v>47118</v>
      </c>
      <c r="U363" s="1688">
        <f t="shared" si="466"/>
        <v>47483</v>
      </c>
      <c r="V363" s="1688">
        <f t="shared" si="466"/>
        <v>47848</v>
      </c>
      <c r="W363" s="1685"/>
      <c r="X363" s="1685"/>
      <c r="Y363" s="1685"/>
      <c r="Z363" s="1685"/>
      <c r="AA363" s="1685"/>
      <c r="AB363" s="1685"/>
      <c r="AC363" s="1685"/>
      <c r="AD363" s="1685"/>
    </row>
    <row r="364" spans="1:30" ht="15.75">
      <c r="A364" s="1685"/>
      <c r="B364" s="1692" t="s">
        <v>182</v>
      </c>
      <c r="C364" s="1695"/>
      <c r="D364" s="1695"/>
      <c r="E364" s="1730">
        <v>199</v>
      </c>
      <c r="F364" s="1730">
        <v>209</v>
      </c>
      <c r="G364" s="1695">
        <f>F364-G366</f>
        <v>162</v>
      </c>
      <c r="H364" s="1730">
        <v>82</v>
      </c>
      <c r="I364" s="1695">
        <f t="shared" ref="I364:V364" si="467">H364-I366</f>
        <v>82</v>
      </c>
      <c r="J364" s="1695">
        <f t="shared" si="467"/>
        <v>82</v>
      </c>
      <c r="K364" s="1695">
        <f t="shared" si="467"/>
        <v>82</v>
      </c>
      <c r="L364" s="1695">
        <f t="shared" si="467"/>
        <v>82</v>
      </c>
      <c r="M364" s="1695">
        <f t="shared" si="467"/>
        <v>82</v>
      </c>
      <c r="N364" s="1695">
        <f t="shared" si="467"/>
        <v>82</v>
      </c>
      <c r="O364" s="1695">
        <f t="shared" si="467"/>
        <v>82</v>
      </c>
      <c r="P364" s="1695">
        <f t="shared" si="467"/>
        <v>82</v>
      </c>
      <c r="Q364" s="1695">
        <f t="shared" si="467"/>
        <v>82</v>
      </c>
      <c r="R364" s="1695">
        <f t="shared" si="467"/>
        <v>82</v>
      </c>
      <c r="S364" s="1695">
        <f t="shared" si="467"/>
        <v>82</v>
      </c>
      <c r="T364" s="1695">
        <f t="shared" si="467"/>
        <v>82</v>
      </c>
      <c r="U364" s="1695">
        <f t="shared" si="467"/>
        <v>82</v>
      </c>
      <c r="V364" s="1695">
        <f t="shared" si="467"/>
        <v>82</v>
      </c>
      <c r="W364" s="1685"/>
      <c r="X364" s="1685"/>
      <c r="Y364" s="1685"/>
      <c r="Z364" s="1685"/>
      <c r="AA364" s="1685"/>
      <c r="AB364" s="1685"/>
      <c r="AC364" s="1685"/>
      <c r="AD364" s="1685"/>
    </row>
    <row r="365" spans="1:30" ht="15.75">
      <c r="A365" s="1685"/>
      <c r="B365" s="1692" t="s">
        <v>158</v>
      </c>
      <c r="C365" s="1695"/>
      <c r="D365" s="1695"/>
      <c r="E365" s="1695">
        <f t="shared" ref="E365:V365" si="468">D364-E364</f>
        <v>-199</v>
      </c>
      <c r="F365" s="1695">
        <f t="shared" si="468"/>
        <v>-10</v>
      </c>
      <c r="G365" s="1695">
        <f t="shared" si="468"/>
        <v>47</v>
      </c>
      <c r="H365" s="1695">
        <f t="shared" si="468"/>
        <v>80</v>
      </c>
      <c r="I365" s="1695">
        <f t="shared" si="468"/>
        <v>0</v>
      </c>
      <c r="J365" s="1695">
        <f t="shared" si="468"/>
        <v>0</v>
      </c>
      <c r="K365" s="1695">
        <f t="shared" si="468"/>
        <v>0</v>
      </c>
      <c r="L365" s="1695">
        <f t="shared" si="468"/>
        <v>0</v>
      </c>
      <c r="M365" s="1695">
        <f t="shared" si="468"/>
        <v>0</v>
      </c>
      <c r="N365" s="1695">
        <f t="shared" si="468"/>
        <v>0</v>
      </c>
      <c r="O365" s="1695">
        <f t="shared" si="468"/>
        <v>0</v>
      </c>
      <c r="P365" s="1695">
        <f t="shared" si="468"/>
        <v>0</v>
      </c>
      <c r="Q365" s="1695">
        <f t="shared" si="468"/>
        <v>0</v>
      </c>
      <c r="R365" s="1695">
        <f t="shared" si="468"/>
        <v>0</v>
      </c>
      <c r="S365" s="1695">
        <f t="shared" si="468"/>
        <v>0</v>
      </c>
      <c r="T365" s="1695">
        <f t="shared" si="468"/>
        <v>0</v>
      </c>
      <c r="U365" s="1695">
        <f t="shared" si="468"/>
        <v>0</v>
      </c>
      <c r="V365" s="1695">
        <f t="shared" si="468"/>
        <v>0</v>
      </c>
      <c r="W365" s="1685"/>
      <c r="X365" s="1685"/>
      <c r="Y365" s="1685"/>
      <c r="Z365" s="1685"/>
      <c r="AA365" s="1685"/>
      <c r="AB365" s="1685"/>
      <c r="AC365" s="1685"/>
      <c r="AD365" s="1685"/>
    </row>
    <row r="366" spans="1:30" ht="15.75">
      <c r="A366" s="1685"/>
      <c r="B366" s="1692" t="s">
        <v>183</v>
      </c>
      <c r="C366" s="1757"/>
      <c r="D366" s="1757"/>
      <c r="E366" s="1757"/>
      <c r="F366" s="1757">
        <v>52</v>
      </c>
      <c r="G366" s="1757">
        <v>47</v>
      </c>
      <c r="H366" s="1757">
        <f>23/2</f>
        <v>11.5</v>
      </c>
      <c r="I366" s="1757">
        <v>0</v>
      </c>
      <c r="J366" s="1757">
        <v>0</v>
      </c>
      <c r="K366" s="1757">
        <v>0</v>
      </c>
      <c r="L366" s="1757">
        <v>0</v>
      </c>
      <c r="M366" s="1757">
        <v>0</v>
      </c>
      <c r="N366" s="1757">
        <v>0</v>
      </c>
      <c r="O366" s="1757">
        <v>0</v>
      </c>
      <c r="P366" s="1757">
        <v>0</v>
      </c>
      <c r="Q366" s="1757">
        <v>0</v>
      </c>
      <c r="R366" s="1757">
        <v>0</v>
      </c>
      <c r="S366" s="1757">
        <v>0</v>
      </c>
      <c r="T366" s="1757">
        <v>0</v>
      </c>
      <c r="U366" s="1757">
        <v>0</v>
      </c>
      <c r="V366" s="1757">
        <v>0</v>
      </c>
      <c r="W366" s="1685"/>
      <c r="X366" s="1685"/>
      <c r="Y366" s="1685"/>
      <c r="Z366" s="1685"/>
      <c r="AA366" s="1685"/>
      <c r="AB366" s="1685"/>
      <c r="AC366" s="1685"/>
      <c r="AD366" s="1685"/>
    </row>
    <row r="367" spans="1:30" ht="15.75">
      <c r="A367" s="1685"/>
      <c r="B367" s="1689"/>
      <c r="C367" s="1691"/>
      <c r="D367" s="1691"/>
      <c r="E367" s="1691"/>
      <c r="F367" s="1691"/>
      <c r="G367" s="1691"/>
      <c r="H367" s="1691"/>
      <c r="I367" s="1691"/>
      <c r="J367" s="1691"/>
      <c r="K367" s="1691"/>
      <c r="L367" s="1691"/>
      <c r="M367" s="1691"/>
      <c r="N367" s="1691"/>
      <c r="O367" s="1691"/>
      <c r="P367" s="1691"/>
      <c r="Q367" s="1691"/>
      <c r="R367" s="1691"/>
      <c r="S367" s="1691"/>
      <c r="T367" s="1691"/>
      <c r="U367" s="1691"/>
      <c r="V367" s="1691"/>
      <c r="W367" s="1685"/>
      <c r="X367" s="1685"/>
      <c r="Y367" s="1685"/>
      <c r="Z367" s="1685"/>
      <c r="AA367" s="1685"/>
      <c r="AB367" s="1685"/>
      <c r="AC367" s="1685"/>
      <c r="AD367" s="1685"/>
    </row>
    <row r="368" spans="1:30" ht="15.75">
      <c r="A368" s="1685"/>
      <c r="B368" s="1692" t="s">
        <v>184</v>
      </c>
      <c r="C368" s="1730"/>
      <c r="D368" s="1730"/>
      <c r="E368" s="1695">
        <f t="shared" ref="E368:V368" si="469">D368+E369</f>
        <v>0</v>
      </c>
      <c r="F368" s="1695">
        <f t="shared" si="469"/>
        <v>0</v>
      </c>
      <c r="G368" s="1695">
        <f t="shared" si="469"/>
        <v>0</v>
      </c>
      <c r="H368" s="1695">
        <f t="shared" si="469"/>
        <v>0</v>
      </c>
      <c r="I368" s="1695">
        <f t="shared" si="469"/>
        <v>0</v>
      </c>
      <c r="J368" s="1695">
        <f t="shared" si="469"/>
        <v>0</v>
      </c>
      <c r="K368" s="1695">
        <f t="shared" si="469"/>
        <v>0</v>
      </c>
      <c r="L368" s="1695">
        <f t="shared" si="469"/>
        <v>0</v>
      </c>
      <c r="M368" s="1695">
        <f t="shared" si="469"/>
        <v>0</v>
      </c>
      <c r="N368" s="1695">
        <f t="shared" si="469"/>
        <v>0</v>
      </c>
      <c r="O368" s="1695">
        <f t="shared" si="469"/>
        <v>0</v>
      </c>
      <c r="P368" s="1695">
        <f t="shared" si="469"/>
        <v>0</v>
      </c>
      <c r="Q368" s="1695">
        <f t="shared" si="469"/>
        <v>0</v>
      </c>
      <c r="R368" s="1695">
        <f t="shared" si="469"/>
        <v>0</v>
      </c>
      <c r="S368" s="1695">
        <f t="shared" si="469"/>
        <v>0</v>
      </c>
      <c r="T368" s="1695">
        <f t="shared" si="469"/>
        <v>0</v>
      </c>
      <c r="U368" s="1695">
        <f t="shared" si="469"/>
        <v>0</v>
      </c>
      <c r="V368" s="1695">
        <f t="shared" si="469"/>
        <v>0</v>
      </c>
      <c r="W368" s="1685"/>
      <c r="X368" s="1685"/>
      <c r="Y368" s="1685"/>
      <c r="Z368" s="1685"/>
      <c r="AA368" s="1685"/>
      <c r="AB368" s="1685"/>
      <c r="AC368" s="1685"/>
      <c r="AD368" s="1685"/>
    </row>
    <row r="369" spans="1:30" ht="15.75">
      <c r="A369" s="1685"/>
      <c r="B369" s="1692" t="s">
        <v>185</v>
      </c>
      <c r="C369" s="1695"/>
      <c r="D369" s="1695"/>
      <c r="E369" s="1757"/>
      <c r="F369" s="1757"/>
      <c r="G369" s="1757"/>
      <c r="H369" s="1757"/>
      <c r="I369" s="1757"/>
      <c r="J369" s="1757"/>
      <c r="K369" s="1757"/>
      <c r="L369" s="1757"/>
      <c r="M369" s="1757"/>
      <c r="N369" s="1757"/>
      <c r="O369" s="1757"/>
      <c r="P369" s="1757"/>
      <c r="Q369" s="1757"/>
      <c r="R369" s="1757"/>
      <c r="S369" s="1757"/>
      <c r="T369" s="1757"/>
      <c r="U369" s="1757"/>
      <c r="V369" s="1757"/>
      <c r="W369" s="1685"/>
      <c r="X369" s="1685"/>
      <c r="Y369" s="1685"/>
      <c r="Z369" s="1685"/>
      <c r="AA369" s="1685"/>
      <c r="AB369" s="1685"/>
      <c r="AC369" s="1685"/>
      <c r="AD369" s="1685"/>
    </row>
    <row r="370" spans="1:30" ht="15.75">
      <c r="A370" s="1685"/>
      <c r="B370" s="1689"/>
      <c r="C370" s="1691"/>
      <c r="D370" s="1691"/>
      <c r="E370" s="1691"/>
      <c r="F370" s="1691"/>
      <c r="G370" s="1691"/>
      <c r="H370" s="1691"/>
      <c r="I370" s="1691"/>
      <c r="J370" s="1691"/>
      <c r="K370" s="1691"/>
      <c r="L370" s="1691"/>
      <c r="M370" s="1691"/>
      <c r="N370" s="1691"/>
      <c r="O370" s="1691"/>
      <c r="P370" s="1691"/>
      <c r="Q370" s="1691"/>
      <c r="R370" s="1691"/>
      <c r="S370" s="1691"/>
      <c r="T370" s="1691"/>
      <c r="U370" s="1691"/>
      <c r="V370" s="1691"/>
      <c r="W370" s="1685"/>
      <c r="X370" s="1685"/>
      <c r="Y370" s="1685"/>
      <c r="Z370" s="1685"/>
      <c r="AA370" s="1685"/>
      <c r="AB370" s="1685"/>
      <c r="AC370" s="1685"/>
      <c r="AD370" s="1685"/>
    </row>
    <row r="371" spans="1:30" ht="15.75">
      <c r="A371" s="1685"/>
      <c r="B371" s="1692" t="s">
        <v>186</v>
      </c>
      <c r="C371" s="1730"/>
      <c r="D371" s="1730"/>
      <c r="E371" s="1730">
        <v>42</v>
      </c>
      <c r="F371" s="1730">
        <v>99</v>
      </c>
      <c r="G371" s="1695">
        <f>F371-G372</f>
        <v>49</v>
      </c>
      <c r="H371" s="1730">
        <v>0</v>
      </c>
      <c r="I371" s="1695">
        <f>H371-I372</f>
        <v>0</v>
      </c>
      <c r="J371" s="1695">
        <f t="shared" ref="J371:V371" si="470">I371-J372</f>
        <v>0</v>
      </c>
      <c r="K371" s="1695">
        <f t="shared" si="470"/>
        <v>0</v>
      </c>
      <c r="L371" s="1695">
        <f t="shared" si="470"/>
        <v>0</v>
      </c>
      <c r="M371" s="1695">
        <f t="shared" si="470"/>
        <v>0</v>
      </c>
      <c r="N371" s="1695">
        <f t="shared" si="470"/>
        <v>0</v>
      </c>
      <c r="O371" s="1695">
        <f t="shared" si="470"/>
        <v>0</v>
      </c>
      <c r="P371" s="1695">
        <f t="shared" si="470"/>
        <v>0</v>
      </c>
      <c r="Q371" s="1695">
        <f t="shared" si="470"/>
        <v>0</v>
      </c>
      <c r="R371" s="1695">
        <f t="shared" si="470"/>
        <v>0</v>
      </c>
      <c r="S371" s="1695">
        <f t="shared" si="470"/>
        <v>0</v>
      </c>
      <c r="T371" s="1695">
        <f t="shared" si="470"/>
        <v>0</v>
      </c>
      <c r="U371" s="1695">
        <f t="shared" si="470"/>
        <v>0</v>
      </c>
      <c r="V371" s="1695">
        <f t="shared" si="470"/>
        <v>0</v>
      </c>
      <c r="W371" s="1685"/>
      <c r="X371" s="1685"/>
      <c r="Y371" s="1685"/>
      <c r="Z371" s="1685"/>
      <c r="AA371" s="1685"/>
      <c r="AB371" s="1685"/>
      <c r="AC371" s="1685"/>
      <c r="AD371" s="1685"/>
    </row>
    <row r="372" spans="1:30" ht="15.75">
      <c r="A372" s="1685"/>
      <c r="B372" s="1692" t="s">
        <v>187</v>
      </c>
      <c r="C372" s="1738"/>
      <c r="D372" s="1738"/>
      <c r="E372" s="1757">
        <v>130</v>
      </c>
      <c r="F372" s="1757">
        <v>52</v>
      </c>
      <c r="G372" s="1757">
        <v>50</v>
      </c>
      <c r="H372" s="1757">
        <v>50</v>
      </c>
      <c r="I372" s="1757">
        <v>0</v>
      </c>
      <c r="J372" s="1757">
        <v>0</v>
      </c>
      <c r="K372" s="1757">
        <v>0</v>
      </c>
      <c r="L372" s="1757">
        <v>0</v>
      </c>
      <c r="M372" s="1757">
        <v>0</v>
      </c>
      <c r="N372" s="1757">
        <v>0</v>
      </c>
      <c r="O372" s="1757">
        <v>0</v>
      </c>
      <c r="P372" s="1757">
        <v>0</v>
      </c>
      <c r="Q372" s="1757">
        <v>0</v>
      </c>
      <c r="R372" s="1757">
        <v>0</v>
      </c>
      <c r="S372" s="1757">
        <v>0</v>
      </c>
      <c r="T372" s="1757">
        <v>0</v>
      </c>
      <c r="U372" s="1757">
        <v>0</v>
      </c>
      <c r="V372" s="1757">
        <v>0</v>
      </c>
      <c r="W372" s="1685"/>
      <c r="X372" s="1685"/>
      <c r="Y372" s="1685"/>
      <c r="Z372" s="1685"/>
      <c r="AA372" s="1685"/>
      <c r="AB372" s="1685"/>
      <c r="AC372" s="1685"/>
      <c r="AD372" s="1685"/>
    </row>
    <row r="373" spans="1:30" ht="15.75">
      <c r="A373" s="1685"/>
      <c r="B373" s="1689"/>
      <c r="C373" s="1691"/>
      <c r="D373" s="1691"/>
      <c r="E373" s="1691"/>
      <c r="F373" s="1691"/>
      <c r="G373" s="1691"/>
      <c r="H373" s="1691"/>
      <c r="I373" s="1691"/>
      <c r="J373" s="1691"/>
      <c r="K373" s="1691"/>
      <c r="L373" s="1691"/>
      <c r="M373" s="1691"/>
      <c r="N373" s="1691"/>
      <c r="O373" s="1691"/>
      <c r="P373" s="1691"/>
      <c r="Q373" s="1691"/>
      <c r="R373" s="1691"/>
      <c r="S373" s="1691"/>
      <c r="T373" s="1691"/>
      <c r="U373" s="1691"/>
      <c r="V373" s="1691"/>
      <c r="W373" s="1685"/>
      <c r="X373" s="1685"/>
      <c r="Y373" s="1685"/>
      <c r="Z373" s="1685"/>
      <c r="AA373" s="1685"/>
      <c r="AB373" s="1685"/>
      <c r="AC373" s="1685"/>
      <c r="AD373" s="1685"/>
    </row>
    <row r="374" spans="1:30" ht="15.75">
      <c r="A374" s="1685"/>
      <c r="B374" s="1692" t="s">
        <v>110</v>
      </c>
      <c r="C374" s="1757"/>
      <c r="D374" s="1757"/>
      <c r="E374" s="1757">
        <f>26+27</f>
        <v>53</v>
      </c>
      <c r="F374" s="1757">
        <f>373+879+225</f>
        <v>1477</v>
      </c>
      <c r="G374" s="1695">
        <f>F374</f>
        <v>1477</v>
      </c>
      <c r="H374" s="1757" t="e">
        <f>8458.7-H175-H173-H364</f>
        <v>#REF!</v>
      </c>
      <c r="I374" s="1757">
        <f>8926.3-I175-I173-I364</f>
        <v>1005.6999999999994</v>
      </c>
      <c r="J374" s="1757">
        <f>9323.2-J175-J173-J364</f>
        <v>1211.0000000000005</v>
      </c>
      <c r="K374" s="1757">
        <f>10957.6-K175-K173-K364</f>
        <v>963.7000000000005</v>
      </c>
      <c r="L374" s="1757">
        <f>11786.3-L175-L173-L364</f>
        <v>1804.2999999999993</v>
      </c>
      <c r="M374" s="1757">
        <f>12472.6-M175-M173-M364</f>
        <v>1788.6000000000004</v>
      </c>
      <c r="N374" s="1757">
        <f>11009.1-N175-N173-N364</f>
        <v>1629.5999999999997</v>
      </c>
      <c r="O374" s="1757">
        <f>11284-O175-O173-O364</f>
        <v>1403.599999999999</v>
      </c>
      <c r="P374" s="1695">
        <f t="shared" ref="P374:V374" si="471">O374+P14</f>
        <v>1328.599999999999</v>
      </c>
      <c r="Q374" s="1695">
        <f t="shared" si="471"/>
        <v>1248.599999999999</v>
      </c>
      <c r="R374" s="1695">
        <f t="shared" si="471"/>
        <v>1168.599999999999</v>
      </c>
      <c r="S374" s="1695">
        <f t="shared" si="471"/>
        <v>1088.599999999999</v>
      </c>
      <c r="T374" s="1695">
        <f t="shared" si="471"/>
        <v>1008.599999999999</v>
      </c>
      <c r="U374" s="1695">
        <f t="shared" si="471"/>
        <v>928.599999999999</v>
      </c>
      <c r="V374" s="1695">
        <f t="shared" si="471"/>
        <v>848.599999999999</v>
      </c>
      <c r="W374" s="1685"/>
      <c r="X374" s="1685"/>
      <c r="Y374" s="1685"/>
      <c r="Z374" s="1685"/>
      <c r="AA374" s="1685"/>
      <c r="AB374" s="1685"/>
      <c r="AC374" s="1685"/>
      <c r="AD374" s="1685"/>
    </row>
    <row r="375" spans="1:30" ht="15.75">
      <c r="A375" s="1685"/>
      <c r="B375" s="1689"/>
      <c r="C375" s="1691"/>
      <c r="D375" s="1691"/>
      <c r="E375" s="1691"/>
      <c r="F375" s="1691"/>
      <c r="G375" s="1691"/>
      <c r="H375" s="1691"/>
      <c r="I375" s="1691"/>
      <c r="J375" s="1691"/>
      <c r="K375" s="1691"/>
      <c r="L375" s="1691"/>
      <c r="M375" s="1691"/>
      <c r="N375" s="1691"/>
      <c r="O375" s="1691"/>
      <c r="P375" s="1691"/>
      <c r="Q375" s="1691"/>
      <c r="R375" s="1691"/>
      <c r="S375" s="1691"/>
      <c r="T375" s="1691"/>
      <c r="U375" s="1691"/>
      <c r="V375" s="1691"/>
      <c r="W375" s="1685"/>
      <c r="X375" s="1685"/>
      <c r="Y375" s="1685"/>
      <c r="Z375" s="1685"/>
      <c r="AA375" s="1685"/>
      <c r="AB375" s="1685"/>
      <c r="AC375" s="1685"/>
      <c r="AD375" s="1685"/>
    </row>
    <row r="376" spans="1:30" ht="15.75">
      <c r="A376" s="1685"/>
      <c r="B376" s="1687" t="s">
        <v>7816</v>
      </c>
      <c r="C376" s="1688"/>
      <c r="D376" s="1688"/>
      <c r="E376" s="1688"/>
      <c r="F376" s="1688"/>
      <c r="G376" s="1688"/>
      <c r="H376" s="1688"/>
      <c r="I376" s="1688"/>
      <c r="J376" s="1688"/>
      <c r="K376" s="1688"/>
      <c r="L376" s="1688"/>
      <c r="M376" s="1688"/>
      <c r="N376" s="1688"/>
      <c r="O376" s="1688"/>
      <c r="P376" s="1688"/>
      <c r="Q376" s="1688"/>
      <c r="R376" s="1688"/>
      <c r="S376" s="1688"/>
      <c r="T376" s="1688"/>
      <c r="U376" s="1688"/>
      <c r="V376" s="1688"/>
      <c r="W376" s="1685"/>
      <c r="X376" s="1685"/>
      <c r="Y376" s="1685"/>
      <c r="Z376" s="1685"/>
      <c r="AA376" s="1685"/>
      <c r="AB376" s="1685"/>
      <c r="AC376" s="1685"/>
      <c r="AD376" s="1685"/>
    </row>
    <row r="377" spans="1:30" ht="15.75">
      <c r="A377" s="1685"/>
      <c r="B377" s="1689"/>
      <c r="C377" s="1691"/>
      <c r="D377" s="1691"/>
      <c r="E377" s="1691"/>
      <c r="F377" s="1691"/>
      <c r="G377" s="1691"/>
      <c r="H377" s="1691"/>
      <c r="I377" s="1691"/>
      <c r="J377" s="1691"/>
      <c r="K377" s="1691"/>
      <c r="L377" s="1691"/>
      <c r="M377" s="1691"/>
      <c r="N377" s="1691"/>
      <c r="O377" s="1691"/>
      <c r="P377" s="1691"/>
      <c r="Q377" s="1691"/>
      <c r="R377" s="1691"/>
      <c r="S377" s="1691"/>
      <c r="T377" s="1691"/>
      <c r="U377" s="1691"/>
      <c r="V377" s="1691"/>
      <c r="W377" s="1685"/>
      <c r="X377" s="1685"/>
      <c r="Y377" s="1685"/>
      <c r="Z377" s="1685"/>
      <c r="AA377" s="1685"/>
      <c r="AB377" s="1685"/>
      <c r="AC377" s="1685"/>
      <c r="AD377" s="1685"/>
    </row>
    <row r="378" spans="1:30" ht="15.75">
      <c r="A378" s="1685"/>
      <c r="B378" s="1715" t="s">
        <v>7817</v>
      </c>
      <c r="C378" s="1852"/>
      <c r="D378" s="1852"/>
      <c r="E378" s="1852"/>
      <c r="F378" s="1852"/>
      <c r="G378" s="1852"/>
      <c r="H378" s="1852"/>
      <c r="I378" s="1853"/>
      <c r="J378" s="1853"/>
      <c r="K378" s="1853"/>
      <c r="L378" s="1853"/>
      <c r="M378" s="1853"/>
      <c r="N378" s="1853"/>
      <c r="O378" s="1853"/>
      <c r="P378" s="1853">
        <v>80</v>
      </c>
      <c r="Q378" s="1853">
        <v>75</v>
      </c>
      <c r="R378" s="1853">
        <v>25</v>
      </c>
      <c r="S378" s="1853">
        <v>0</v>
      </c>
      <c r="T378" s="1853">
        <v>0</v>
      </c>
      <c r="U378" s="1853">
        <v>0</v>
      </c>
      <c r="V378" s="1853">
        <v>0</v>
      </c>
      <c r="W378" s="1685"/>
      <c r="X378" s="1685"/>
      <c r="Y378" s="1685"/>
      <c r="Z378" s="1685"/>
      <c r="AA378" s="1685"/>
      <c r="AB378" s="1685"/>
      <c r="AC378" s="1685"/>
      <c r="AD378" s="1685"/>
    </row>
    <row r="379" spans="1:30" ht="15.75">
      <c r="A379" s="1685"/>
      <c r="B379" s="1689" t="s">
        <v>7818</v>
      </c>
      <c r="C379" s="1691"/>
      <c r="D379" s="1691"/>
      <c r="E379" s="1691"/>
      <c r="F379" s="1691"/>
      <c r="G379" s="1691"/>
      <c r="H379" s="1691"/>
      <c r="I379" s="1691"/>
      <c r="J379" s="1691"/>
      <c r="K379" s="1691"/>
      <c r="L379" s="1691"/>
      <c r="M379" s="1691"/>
      <c r="N379" s="1691"/>
      <c r="O379" s="1691"/>
      <c r="P379" s="1691">
        <f>P378+Q378</f>
        <v>155</v>
      </c>
      <c r="Q379" s="1691">
        <f t="shared" ref="Q379:V379" si="472">Q378+R378</f>
        <v>100</v>
      </c>
      <c r="R379" s="1691">
        <f t="shared" si="472"/>
        <v>25</v>
      </c>
      <c r="S379" s="1691">
        <f t="shared" si="472"/>
        <v>0</v>
      </c>
      <c r="T379" s="1691">
        <f t="shared" si="472"/>
        <v>0</v>
      </c>
      <c r="U379" s="1691">
        <f t="shared" si="472"/>
        <v>0</v>
      </c>
      <c r="V379" s="1691">
        <f t="shared" si="472"/>
        <v>0</v>
      </c>
      <c r="W379" s="1685"/>
      <c r="X379" s="1685"/>
      <c r="Y379" s="1685"/>
      <c r="Z379" s="1685"/>
      <c r="AA379" s="1685"/>
      <c r="AB379" s="1685"/>
      <c r="AC379" s="1685"/>
      <c r="AD379" s="1685"/>
    </row>
    <row r="380" spans="1:30" ht="15.75">
      <c r="A380" s="1685"/>
      <c r="B380" s="1689"/>
      <c r="C380" s="1691"/>
      <c r="D380" s="1691"/>
      <c r="E380" s="1691"/>
      <c r="F380" s="1691"/>
      <c r="G380" s="1691"/>
      <c r="H380" s="1691"/>
      <c r="I380" s="1691"/>
      <c r="J380" s="1691"/>
      <c r="K380" s="1691"/>
      <c r="L380" s="1691"/>
      <c r="M380" s="1691"/>
      <c r="N380" s="1691"/>
      <c r="O380" s="1691"/>
      <c r="P380" s="1691"/>
      <c r="Q380" s="1691"/>
      <c r="R380" s="1691"/>
      <c r="S380" s="1691"/>
      <c r="T380" s="1691"/>
      <c r="U380" s="1691"/>
      <c r="V380" s="1691"/>
      <c r="W380" s="1685"/>
      <c r="X380" s="1685"/>
      <c r="Y380" s="1685"/>
      <c r="Z380" s="1685"/>
      <c r="AA380" s="1685"/>
      <c r="AB380" s="1685"/>
      <c r="AC380" s="1685"/>
      <c r="AD380" s="1685"/>
    </row>
    <row r="381" spans="1:30" ht="15.75">
      <c r="A381" s="1685"/>
      <c r="B381" s="1687" t="s">
        <v>67</v>
      </c>
      <c r="C381" s="1688">
        <f>C363</f>
        <v>40908</v>
      </c>
      <c r="D381" s="1688">
        <f t="shared" ref="D381:K381" si="473">D363</f>
        <v>41274</v>
      </c>
      <c r="E381" s="1688">
        <f t="shared" si="473"/>
        <v>41639</v>
      </c>
      <c r="F381" s="1688">
        <f t="shared" si="473"/>
        <v>42004</v>
      </c>
      <c r="G381" s="1688">
        <f t="shared" si="473"/>
        <v>42369</v>
      </c>
      <c r="H381" s="1688">
        <f t="shared" si="473"/>
        <v>42735</v>
      </c>
      <c r="I381" s="1688">
        <f t="shared" si="473"/>
        <v>43100</v>
      </c>
      <c r="J381" s="1688">
        <f t="shared" si="473"/>
        <v>43465</v>
      </c>
      <c r="K381" s="1688">
        <f t="shared" si="473"/>
        <v>43830</v>
      </c>
      <c r="L381" s="1688">
        <f t="shared" ref="L381:Q381" si="474">L363</f>
        <v>44196</v>
      </c>
      <c r="M381" s="1688">
        <f t="shared" si="474"/>
        <v>44561</v>
      </c>
      <c r="N381" s="1688">
        <f t="shared" si="474"/>
        <v>44926</v>
      </c>
      <c r="O381" s="1688">
        <f t="shared" si="474"/>
        <v>45291</v>
      </c>
      <c r="P381" s="1688">
        <f t="shared" si="474"/>
        <v>45657</v>
      </c>
      <c r="Q381" s="1688">
        <f t="shared" si="474"/>
        <v>46022</v>
      </c>
      <c r="R381" s="1688">
        <f t="shared" ref="R381:S381" si="475">R363</f>
        <v>46387</v>
      </c>
      <c r="S381" s="1688">
        <f t="shared" si="475"/>
        <v>46752</v>
      </c>
      <c r="T381" s="1688">
        <f t="shared" ref="T381:V381" si="476">T363</f>
        <v>47118</v>
      </c>
      <c r="U381" s="1688">
        <f t="shared" si="476"/>
        <v>47483</v>
      </c>
      <c r="V381" s="1688">
        <f t="shared" si="476"/>
        <v>47848</v>
      </c>
      <c r="W381" s="1685"/>
      <c r="X381" s="1685"/>
      <c r="Y381" s="1685"/>
      <c r="Z381" s="1685"/>
      <c r="AA381" s="1685"/>
      <c r="AB381" s="1685"/>
      <c r="AC381" s="1685"/>
      <c r="AD381" s="1685"/>
    </row>
    <row r="382" spans="1:30" ht="15.75">
      <c r="A382" s="1685"/>
      <c r="B382" s="1692" t="s">
        <v>67</v>
      </c>
      <c r="C382" s="1730"/>
      <c r="D382" s="1730"/>
      <c r="E382" s="1730">
        <f>SUM(Quarts!K176:L176)</f>
        <v>32</v>
      </c>
      <c r="F382" s="1730">
        <f>SUM(Quarts!V176:W176)</f>
        <v>32</v>
      </c>
      <c r="G382" s="1695" t="e">
        <f t="shared" ref="G382:P382" ca="1" si="477">G383+G384</f>
        <v>#DIV/0!</v>
      </c>
      <c r="H382" s="1695" t="e">
        <f t="shared" ca="1" si="477"/>
        <v>#DIV/0!</v>
      </c>
      <c r="I382" s="1694">
        <v>147.5</v>
      </c>
      <c r="J382" s="1694">
        <v>51</v>
      </c>
      <c r="K382" s="1694">
        <v>-98.2</v>
      </c>
      <c r="L382" s="1694">
        <v>-29.3</v>
      </c>
      <c r="M382" s="1694">
        <v>189.5</v>
      </c>
      <c r="N382" s="1694">
        <v>86.5</v>
      </c>
      <c r="O382" s="1694">
        <v>24.4</v>
      </c>
      <c r="P382" s="1695">
        <f t="shared" ca="1" si="477"/>
        <v>-7.7378661125339026</v>
      </c>
      <c r="Q382" s="1695">
        <f t="shared" ref="Q382:V382" ca="1" si="478">Q383+Q384</f>
        <v>120.18822845201427</v>
      </c>
      <c r="R382" s="1695">
        <f t="shared" ca="1" si="478"/>
        <v>136.94050729592678</v>
      </c>
      <c r="S382" s="1695">
        <f t="shared" ca="1" si="478"/>
        <v>159.32271827423523</v>
      </c>
      <c r="T382" s="1695">
        <f t="shared" ca="1" si="478"/>
        <v>178.7301155158149</v>
      </c>
      <c r="U382" s="1695">
        <f t="shared" ca="1" si="478"/>
        <v>190.60503325156955</v>
      </c>
      <c r="V382" s="1695">
        <f t="shared" ca="1" si="478"/>
        <v>202.69034345379765</v>
      </c>
      <c r="W382" s="1685"/>
      <c r="X382" s="1685"/>
      <c r="Y382" s="1685"/>
      <c r="Z382" s="1685"/>
      <c r="AA382" s="1685"/>
      <c r="AB382" s="1685"/>
      <c r="AC382" s="1685"/>
      <c r="AD382" s="1685"/>
    </row>
    <row r="383" spans="1:30" ht="15.75">
      <c r="A383" s="1685"/>
      <c r="B383" s="1692" t="s">
        <v>188</v>
      </c>
      <c r="C383" s="1692"/>
      <c r="D383" s="1692"/>
      <c r="E383" s="1730">
        <v>0</v>
      </c>
      <c r="F383" s="1730">
        <v>-33</v>
      </c>
      <c r="G383" s="1730">
        <v>0</v>
      </c>
      <c r="H383" s="1730">
        <v>0</v>
      </c>
      <c r="I383" s="1730">
        <v>0</v>
      </c>
      <c r="J383" s="1730">
        <v>0</v>
      </c>
      <c r="K383" s="1730">
        <v>-180</v>
      </c>
      <c r="L383" s="1730">
        <v>0</v>
      </c>
      <c r="M383" s="1730">
        <v>0</v>
      </c>
      <c r="N383" s="1730">
        <v>0</v>
      </c>
      <c r="O383" s="1730">
        <v>0</v>
      </c>
      <c r="P383" s="1730">
        <v>0</v>
      </c>
      <c r="Q383" s="1730">
        <v>0</v>
      </c>
      <c r="R383" s="1730">
        <v>0</v>
      </c>
      <c r="S383" s="1730">
        <v>0</v>
      </c>
      <c r="T383" s="1730">
        <v>0</v>
      </c>
      <c r="U383" s="1730">
        <v>0</v>
      </c>
      <c r="V383" s="1730">
        <v>0</v>
      </c>
      <c r="W383" s="1685"/>
      <c r="X383" s="1685"/>
      <c r="Y383" s="1685"/>
      <c r="Z383" s="1685"/>
      <c r="AA383" s="1685"/>
      <c r="AB383" s="1685"/>
      <c r="AC383" s="1685"/>
      <c r="AD383" s="1685"/>
    </row>
    <row r="384" spans="1:30" ht="15.75">
      <c r="A384" s="1685"/>
      <c r="B384" s="1692" t="s">
        <v>189</v>
      </c>
      <c r="C384" s="1695"/>
      <c r="D384" s="1695"/>
      <c r="E384" s="1695">
        <f>E382-E383</f>
        <v>32</v>
      </c>
      <c r="F384" s="1695">
        <f>F382-F383</f>
        <v>65</v>
      </c>
      <c r="G384" s="1695" t="e">
        <f t="shared" ref="G384:P384" ca="1" si="479">G393</f>
        <v>#DIV/0!</v>
      </c>
      <c r="H384" s="1695" t="e">
        <f t="shared" ca="1" si="479"/>
        <v>#DIV/0!</v>
      </c>
      <c r="I384" s="1695">
        <f>I382-I383</f>
        <v>147.5</v>
      </c>
      <c r="J384" s="1695">
        <f>J382-J383</f>
        <v>51</v>
      </c>
      <c r="K384" s="1695">
        <f>K382-K383</f>
        <v>81.8</v>
      </c>
      <c r="L384" s="1695">
        <f t="shared" si="479"/>
        <v>29.6</v>
      </c>
      <c r="M384" s="1695">
        <f t="shared" si="479"/>
        <v>130.55742444152435</v>
      </c>
      <c r="N384" s="1695">
        <f t="shared" si="479"/>
        <v>112.63499999999998</v>
      </c>
      <c r="O384" s="1695">
        <f t="shared" si="479"/>
        <v>36.639999999999965</v>
      </c>
      <c r="P384" s="1695">
        <f t="shared" ca="1" si="479"/>
        <v>-7.7378661125339026</v>
      </c>
      <c r="Q384" s="1695">
        <f t="shared" ref="Q384:V384" ca="1" si="480">Q393</f>
        <v>120.18822845201427</v>
      </c>
      <c r="R384" s="1695">
        <f t="shared" ca="1" si="480"/>
        <v>136.94050729592678</v>
      </c>
      <c r="S384" s="1695">
        <f t="shared" ca="1" si="480"/>
        <v>159.32271827423534</v>
      </c>
      <c r="T384" s="1695">
        <f t="shared" ca="1" si="480"/>
        <v>178.7301155158155</v>
      </c>
      <c r="U384" s="1695">
        <f t="shared" ca="1" si="480"/>
        <v>190.60503325157046</v>
      </c>
      <c r="V384" s="1695">
        <f t="shared" ca="1" si="480"/>
        <v>202.69034345379728</v>
      </c>
      <c r="W384" s="1685"/>
      <c r="X384" s="1685"/>
      <c r="Y384" s="1685"/>
      <c r="Z384" s="1685"/>
      <c r="AA384" s="1685"/>
      <c r="AB384" s="1685"/>
      <c r="AC384" s="1685"/>
      <c r="AD384" s="1685"/>
    </row>
    <row r="385" spans="1:30" ht="15.75">
      <c r="A385" s="1685"/>
      <c r="B385" s="1692"/>
      <c r="C385" s="1692"/>
      <c r="D385" s="1692"/>
      <c r="E385" s="1692"/>
      <c r="F385" s="1692"/>
      <c r="G385" s="1692"/>
      <c r="H385" s="1692"/>
      <c r="I385" s="1692"/>
      <c r="J385" s="1692"/>
      <c r="K385" s="1692"/>
      <c r="L385" s="1692"/>
      <c r="M385" s="1692"/>
      <c r="N385" s="1692"/>
      <c r="O385" s="1692"/>
      <c r="P385" s="1692"/>
      <c r="Q385" s="1692"/>
      <c r="R385" s="1692"/>
      <c r="S385" s="1692"/>
      <c r="T385" s="1692"/>
      <c r="U385" s="1692"/>
      <c r="V385" s="1692"/>
      <c r="W385" s="1685"/>
      <c r="X385" s="1685"/>
      <c r="Y385" s="1685"/>
      <c r="Z385" s="1685"/>
      <c r="AA385" s="1685"/>
      <c r="AB385" s="1685"/>
      <c r="AC385" s="1685"/>
      <c r="AD385" s="1685"/>
    </row>
    <row r="386" spans="1:30" ht="15.75">
      <c r="A386" s="1685"/>
      <c r="B386" s="1692" t="s">
        <v>80</v>
      </c>
      <c r="C386" s="1695"/>
      <c r="D386" s="1695"/>
      <c r="E386" s="1695">
        <f t="shared" ref="E386:V386" si="481">E6</f>
        <v>0</v>
      </c>
      <c r="F386" s="1695">
        <f t="shared" si="481"/>
        <v>0</v>
      </c>
      <c r="G386" s="1695">
        <f t="shared" si="481"/>
        <v>0</v>
      </c>
      <c r="H386" s="1695">
        <f t="shared" si="481"/>
        <v>1448.600076899188</v>
      </c>
      <c r="I386" s="1695">
        <f t="shared" si="481"/>
        <v>1367.1</v>
      </c>
      <c r="J386" s="1695">
        <f t="shared" si="481"/>
        <v>1412.5717613715995</v>
      </c>
      <c r="K386" s="1695">
        <f t="shared" si="481"/>
        <v>1506.5</v>
      </c>
      <c r="L386" s="1695">
        <f t="shared" si="481"/>
        <v>1485</v>
      </c>
      <c r="M386" s="1695">
        <f t="shared" si="481"/>
        <v>1818.4935611038109</v>
      </c>
      <c r="N386" s="1695">
        <f t="shared" si="481"/>
        <v>1718</v>
      </c>
      <c r="O386" s="1695">
        <f t="shared" si="481"/>
        <v>1701.6</v>
      </c>
      <c r="P386" s="1695">
        <f t="shared" si="481"/>
        <v>1579.0990335466222</v>
      </c>
      <c r="Q386" s="1695">
        <f t="shared" si="481"/>
        <v>1802.8296324342652</v>
      </c>
      <c r="R386" s="1695">
        <f t="shared" si="481"/>
        <v>1887.8361378059224</v>
      </c>
      <c r="S386" s="1695">
        <f t="shared" si="481"/>
        <v>1945.9434392102044</v>
      </c>
      <c r="T386" s="1695">
        <f t="shared" si="481"/>
        <v>2001.7655162215337</v>
      </c>
      <c r="U386" s="1695">
        <f t="shared" si="481"/>
        <v>2047.0473245054468</v>
      </c>
      <c r="V386" s="1695">
        <f t="shared" si="481"/>
        <v>2093.9095377424046</v>
      </c>
      <c r="W386" s="1685"/>
      <c r="X386" s="1685"/>
      <c r="Y386" s="1685"/>
      <c r="Z386" s="1685"/>
      <c r="AA386" s="1685"/>
      <c r="AB386" s="1685"/>
      <c r="AC386" s="1685"/>
      <c r="AD386" s="1685"/>
    </row>
    <row r="387" spans="1:30" ht="15.75">
      <c r="A387" s="1685"/>
      <c r="B387" s="1692" t="s">
        <v>190</v>
      </c>
      <c r="C387" s="1695"/>
      <c r="D387" s="1695"/>
      <c r="E387" s="1695">
        <f t="shared" ref="E387:P387" si="482">-E248</f>
        <v>-185</v>
      </c>
      <c r="F387" s="1695">
        <f t="shared" si="482"/>
        <v>-206</v>
      </c>
      <c r="G387" s="1695">
        <f t="shared" si="482"/>
        <v>-510.72874493927122</v>
      </c>
      <c r="H387" s="1695">
        <f t="shared" si="482"/>
        <v>-537.95833401629272</v>
      </c>
      <c r="I387" s="1695">
        <f t="shared" si="482"/>
        <v>-758.22586206896551</v>
      </c>
      <c r="J387" s="1695">
        <f t="shared" si="482"/>
        <v>-792.58390804597695</v>
      </c>
      <c r="K387" s="1695">
        <f t="shared" si="482"/>
        <v>-837.50287356321837</v>
      </c>
      <c r="L387" s="1695">
        <f t="shared" si="482"/>
        <v>-886.7494252873563</v>
      </c>
      <c r="M387" s="1695">
        <f t="shared" si="482"/>
        <v>-940.01896551724144</v>
      </c>
      <c r="N387" s="1695">
        <f t="shared" si="482"/>
        <v>-888.33908045977012</v>
      </c>
      <c r="O387" s="1695">
        <f t="shared" si="482"/>
        <v>-988.52701149425286</v>
      </c>
      <c r="P387" s="1695">
        <f t="shared" si="482"/>
        <v>-963.52657087860496</v>
      </c>
      <c r="Q387" s="1695">
        <f t="shared" ref="Q387:V387" si="483">-Q248</f>
        <v>-758.30302665584293</v>
      </c>
      <c r="R387" s="1695">
        <f t="shared" si="483"/>
        <v>-733.36613644695353</v>
      </c>
      <c r="S387" s="1695">
        <f t="shared" si="483"/>
        <v>-723.66162956827691</v>
      </c>
      <c r="T387" s="1695">
        <f t="shared" si="483"/>
        <v>-720.60664815121686</v>
      </c>
      <c r="U387" s="1695">
        <f t="shared" si="483"/>
        <v>-730.80022133616399</v>
      </c>
      <c r="V387" s="1695">
        <f t="shared" si="483"/>
        <v>-742.32246871766097</v>
      </c>
      <c r="W387" s="1685"/>
      <c r="X387" s="1685"/>
      <c r="Y387" s="1685"/>
      <c r="Z387" s="1685"/>
      <c r="AA387" s="1685"/>
      <c r="AB387" s="1685"/>
      <c r="AC387" s="1685"/>
      <c r="AD387" s="1685"/>
    </row>
    <row r="388" spans="1:30" ht="15.75">
      <c r="A388" s="1685"/>
      <c r="B388" s="1692" t="s">
        <v>191</v>
      </c>
      <c r="C388" s="1695"/>
      <c r="D388" s="1695"/>
      <c r="E388" s="1695">
        <f t="shared" ref="E388:P388" si="484">-E262</f>
        <v>-50</v>
      </c>
      <c r="F388" s="1695">
        <f t="shared" si="484"/>
        <v>-50</v>
      </c>
      <c r="G388" s="1695">
        <f t="shared" si="484"/>
        <v>-84.885057471264361</v>
      </c>
      <c r="H388" s="1695">
        <f t="shared" si="484"/>
        <v>-82.445831681860227</v>
      </c>
      <c r="I388" s="1695">
        <f t="shared" si="484"/>
        <v>-35.474137931034484</v>
      </c>
      <c r="J388" s="1695">
        <f t="shared" si="484"/>
        <v>-37.816091954022987</v>
      </c>
      <c r="K388" s="1695">
        <f t="shared" si="484"/>
        <v>-33.497126436781613</v>
      </c>
      <c r="L388" s="1695">
        <f t="shared" si="484"/>
        <v>-27.850574712643677</v>
      </c>
      <c r="M388" s="1695">
        <f t="shared" si="484"/>
        <v>-24.681034482758619</v>
      </c>
      <c r="N388" s="1695">
        <f t="shared" si="484"/>
        <v>-22.660919540229884</v>
      </c>
      <c r="O388" s="1695">
        <f t="shared" si="484"/>
        <v>-19.772988505747126</v>
      </c>
      <c r="P388" s="1695">
        <f t="shared" si="484"/>
        <v>-15.563218390804598</v>
      </c>
      <c r="Q388" s="1695">
        <f t="shared" ref="Q388:V388" si="485">-Q262</f>
        <v>-15.115999471528603</v>
      </c>
      <c r="R388" s="1695">
        <f t="shared" si="485"/>
        <v>-14.681631670622608</v>
      </c>
      <c r="S388" s="1695">
        <f t="shared" si="485"/>
        <v>-14.259745703075982</v>
      </c>
      <c r="T388" s="1695">
        <f t="shared" si="485"/>
        <v>-13.849982895516327</v>
      </c>
      <c r="U388" s="1695">
        <f t="shared" si="485"/>
        <v>-13.451994881277354</v>
      </c>
      <c r="V388" s="1695">
        <f t="shared" si="485"/>
        <v>-13.065443304229156</v>
      </c>
      <c r="W388" s="1685"/>
      <c r="X388" s="1685"/>
      <c r="Y388" s="1685"/>
      <c r="Z388" s="1685"/>
      <c r="AA388" s="1685"/>
      <c r="AB388" s="1685"/>
      <c r="AC388" s="1685"/>
      <c r="AD388" s="1685"/>
    </row>
    <row r="389" spans="1:30" ht="15.75">
      <c r="A389" s="1685"/>
      <c r="B389" s="1692" t="s">
        <v>192</v>
      </c>
      <c r="C389" s="1695"/>
      <c r="D389" s="1695"/>
      <c r="E389" s="1695">
        <f t="shared" ref="E389:P389" si="486">-E287</f>
        <v>-133</v>
      </c>
      <c r="F389" s="1695">
        <f t="shared" si="486"/>
        <v>-58</v>
      </c>
      <c r="G389" s="1695" t="e">
        <f t="shared" ca="1" si="486"/>
        <v>#DIV/0!</v>
      </c>
      <c r="H389" s="1695" t="e">
        <f t="shared" ca="1" si="486"/>
        <v>#DIV/0!</v>
      </c>
      <c r="I389" s="1695">
        <f t="shared" si="486"/>
        <v>-381.8</v>
      </c>
      <c r="J389" s="1695">
        <f t="shared" si="486"/>
        <v>-443.7</v>
      </c>
      <c r="K389" s="1695">
        <f t="shared" si="486"/>
        <v>-499.2</v>
      </c>
      <c r="L389" s="1695">
        <f t="shared" si="486"/>
        <v>-533.4</v>
      </c>
      <c r="M389" s="1695">
        <f t="shared" si="486"/>
        <v>-527.4</v>
      </c>
      <c r="N389" s="1695">
        <f t="shared" si="486"/>
        <v>-556.70000000000005</v>
      </c>
      <c r="O389" s="1695">
        <f t="shared" si="486"/>
        <v>-601.70000000000005</v>
      </c>
      <c r="P389" s="1695">
        <f t="shared" ca="1" si="486"/>
        <v>-619.35390955854734</v>
      </c>
      <c r="Q389" s="1695">
        <f t="shared" ref="Q389:V389" ca="1" si="487">-Q287</f>
        <v>-653.82239239434932</v>
      </c>
      <c r="R389" s="1695">
        <f t="shared" ca="1" si="487"/>
        <v>-711.84928438857503</v>
      </c>
      <c r="S389" s="1695">
        <f t="shared" ca="1" si="487"/>
        <v>-710.13856933186582</v>
      </c>
      <c r="T389" s="1695">
        <f t="shared" ca="1" si="487"/>
        <v>-708.77727418787629</v>
      </c>
      <c r="U389" s="1695">
        <f t="shared" ca="1" si="487"/>
        <v>-707.15437937684362</v>
      </c>
      <c r="V389" s="1695">
        <f t="shared" ca="1" si="487"/>
        <v>-705.11430242739141</v>
      </c>
      <c r="W389" s="1685"/>
      <c r="X389" s="1685"/>
      <c r="Y389" s="1685"/>
      <c r="Z389" s="1685"/>
      <c r="AA389" s="1685"/>
      <c r="AB389" s="1685"/>
      <c r="AC389" s="1685"/>
      <c r="AD389" s="1685"/>
    </row>
    <row r="390" spans="1:30" ht="15.75">
      <c r="A390" s="1685"/>
      <c r="B390" s="1692" t="s">
        <v>193</v>
      </c>
      <c r="C390" s="1692"/>
      <c r="D390" s="1692"/>
      <c r="E390" s="1692"/>
      <c r="F390" s="1692"/>
      <c r="G390" s="1692"/>
      <c r="H390" s="1692"/>
      <c r="I390" s="1692"/>
      <c r="J390" s="1692"/>
      <c r="K390" s="1692"/>
      <c r="L390" s="1692"/>
      <c r="M390" s="1692"/>
      <c r="N390" s="1692"/>
      <c r="O390" s="1692"/>
      <c r="P390" s="1692"/>
      <c r="Q390" s="1692"/>
      <c r="R390" s="1692"/>
      <c r="S390" s="1692"/>
      <c r="T390" s="1692"/>
      <c r="U390" s="1692"/>
      <c r="V390" s="1692"/>
      <c r="W390" s="1685"/>
      <c r="X390" s="1685"/>
      <c r="Y390" s="1685"/>
      <c r="Z390" s="1685"/>
      <c r="AA390" s="1685"/>
      <c r="AB390" s="1685"/>
      <c r="AC390" s="1685"/>
      <c r="AD390" s="1685"/>
    </row>
    <row r="391" spans="1:30" ht="15.75">
      <c r="A391" s="1685"/>
      <c r="B391" s="1692" t="s">
        <v>194</v>
      </c>
      <c r="C391" s="1695"/>
      <c r="D391" s="1695"/>
      <c r="E391" s="1695">
        <f>SUM(E386:E390)</f>
        <v>-368</v>
      </c>
      <c r="F391" s="1695">
        <f>SUM(F386:F390)</f>
        <v>-314</v>
      </c>
      <c r="G391" s="1695" t="e">
        <f ca="1">SUM(G386:G390)</f>
        <v>#DIV/0!</v>
      </c>
      <c r="H391" s="1695" t="e">
        <f ca="1">SUM(H386:H390)</f>
        <v>#DIV/0!</v>
      </c>
      <c r="I391" s="1695">
        <f>SUM(I386:I390)</f>
        <v>191.59999999999985</v>
      </c>
      <c r="J391" s="1695">
        <f t="shared" ref="J391:P391" si="488">SUM(J386:J390)</f>
        <v>138.47176137159948</v>
      </c>
      <c r="K391" s="1695">
        <f>SUM(K386:K390)</f>
        <v>136.30000000000001</v>
      </c>
      <c r="L391" s="1695">
        <f t="shared" si="488"/>
        <v>37</v>
      </c>
      <c r="M391" s="1695">
        <f t="shared" si="488"/>
        <v>326.39356110381084</v>
      </c>
      <c r="N391" s="1695">
        <f t="shared" si="488"/>
        <v>250.29999999999995</v>
      </c>
      <c r="O391" s="1695">
        <f t="shared" si="488"/>
        <v>91.599999999999909</v>
      </c>
      <c r="P391" s="1695">
        <f t="shared" ca="1" si="488"/>
        <v>-19.344665281334755</v>
      </c>
      <c r="Q391" s="1695">
        <f t="shared" ref="Q391:V391" ca="1" si="489">SUM(Q386:Q390)</f>
        <v>375.58821391254457</v>
      </c>
      <c r="R391" s="1695">
        <f t="shared" ca="1" si="489"/>
        <v>427.93908529977114</v>
      </c>
      <c r="S391" s="1695">
        <f t="shared" ca="1" si="489"/>
        <v>497.88349460698544</v>
      </c>
      <c r="T391" s="1695">
        <f t="shared" ca="1" si="489"/>
        <v>558.53161098692419</v>
      </c>
      <c r="U391" s="1695">
        <f t="shared" ca="1" si="489"/>
        <v>595.64072891116177</v>
      </c>
      <c r="V391" s="1695">
        <f t="shared" ca="1" si="489"/>
        <v>633.40732329312311</v>
      </c>
      <c r="W391" s="1685"/>
      <c r="X391" s="1685"/>
      <c r="Y391" s="1685"/>
      <c r="Z391" s="1685"/>
      <c r="AA391" s="1685"/>
      <c r="AB391" s="1685"/>
      <c r="AC391" s="1685"/>
      <c r="AD391" s="1685"/>
    </row>
    <row r="392" spans="1:30" ht="15.75">
      <c r="A392" s="1685"/>
      <c r="B392" s="1692" t="s">
        <v>195</v>
      </c>
      <c r="C392" s="1735"/>
      <c r="D392" s="1735"/>
      <c r="E392" s="1735">
        <v>0.25</v>
      </c>
      <c r="F392" s="1735">
        <v>0.25</v>
      </c>
      <c r="G392" s="1735">
        <v>0.24</v>
      </c>
      <c r="H392" s="1735">
        <v>0.26</v>
      </c>
      <c r="I392" s="1735">
        <v>0.32</v>
      </c>
      <c r="J392" s="1735">
        <v>1.3</v>
      </c>
      <c r="K392" s="1735">
        <v>0.65</v>
      </c>
      <c r="L392" s="1735">
        <v>0.8</v>
      </c>
      <c r="M392" s="1735">
        <v>0.4</v>
      </c>
      <c r="N392" s="1735">
        <v>0.45</v>
      </c>
      <c r="O392" s="1735">
        <v>0.4</v>
      </c>
      <c r="P392" s="1735">
        <v>0.4</v>
      </c>
      <c r="Q392" s="1735">
        <v>0.32</v>
      </c>
      <c r="R392" s="1735">
        <v>0.32</v>
      </c>
      <c r="S392" s="1735">
        <v>0.32</v>
      </c>
      <c r="T392" s="1735">
        <v>0.32</v>
      </c>
      <c r="U392" s="1735">
        <v>0.32</v>
      </c>
      <c r="V392" s="1735">
        <v>0.32</v>
      </c>
      <c r="W392" s="1685"/>
      <c r="X392" s="1685"/>
      <c r="Y392" s="1685"/>
      <c r="Z392" s="1685"/>
      <c r="AA392" s="1685"/>
      <c r="AB392" s="1685"/>
      <c r="AC392" s="1685"/>
      <c r="AD392" s="1685"/>
    </row>
    <row r="393" spans="1:30" ht="15.75">
      <c r="A393" s="1685"/>
      <c r="B393" s="1692" t="s">
        <v>67</v>
      </c>
      <c r="C393" s="1695"/>
      <c r="D393" s="1695"/>
      <c r="E393" s="1695">
        <f>E391*E392</f>
        <v>-92</v>
      </c>
      <c r="F393" s="1695">
        <f>F391*F392</f>
        <v>-78.5</v>
      </c>
      <c r="G393" s="1695" t="e">
        <f ca="1">G391*G392</f>
        <v>#DIV/0!</v>
      </c>
      <c r="H393" s="1695" t="e">
        <f ca="1">H391*H392</f>
        <v>#DIV/0!</v>
      </c>
      <c r="I393" s="1695">
        <f>I384</f>
        <v>147.5</v>
      </c>
      <c r="J393" s="1695">
        <f t="shared" ref="J393:P393" si="490">J391*J392</f>
        <v>180.01328978307933</v>
      </c>
      <c r="K393" s="1701">
        <f>K391*K392</f>
        <v>88.595000000000013</v>
      </c>
      <c r="L393" s="1695">
        <f t="shared" si="490"/>
        <v>29.6</v>
      </c>
      <c r="M393" s="1695">
        <f t="shared" si="490"/>
        <v>130.55742444152435</v>
      </c>
      <c r="N393" s="1695">
        <f t="shared" si="490"/>
        <v>112.63499999999998</v>
      </c>
      <c r="O393" s="1695">
        <f t="shared" si="490"/>
        <v>36.639999999999965</v>
      </c>
      <c r="P393" s="1695">
        <f t="shared" ca="1" si="490"/>
        <v>-7.7378661125339026</v>
      </c>
      <c r="Q393" s="1695">
        <f t="shared" ref="Q393:V393" ca="1" si="491">Q391*Q392</f>
        <v>120.18822845201427</v>
      </c>
      <c r="R393" s="1695">
        <f t="shared" ca="1" si="491"/>
        <v>136.94050729592678</v>
      </c>
      <c r="S393" s="1695">
        <f t="shared" ca="1" si="491"/>
        <v>159.32271827423534</v>
      </c>
      <c r="T393" s="1695">
        <f t="shared" ca="1" si="491"/>
        <v>178.73011551581575</v>
      </c>
      <c r="U393" s="1695">
        <f t="shared" ca="1" si="491"/>
        <v>190.60503325157177</v>
      </c>
      <c r="V393" s="1695">
        <f t="shared" ca="1" si="491"/>
        <v>202.69034345379941</v>
      </c>
      <c r="W393" s="1685"/>
      <c r="X393" s="1685"/>
      <c r="Y393" s="1685"/>
      <c r="Z393" s="1685"/>
      <c r="AA393" s="1685"/>
      <c r="AB393" s="1685"/>
      <c r="AC393" s="1685"/>
      <c r="AD393" s="1685"/>
    </row>
    <row r="394" spans="1:30" ht="15.75">
      <c r="A394" s="1685"/>
      <c r="B394" s="1692" t="s">
        <v>196</v>
      </c>
      <c r="C394" s="1693"/>
      <c r="D394" s="1693"/>
      <c r="E394" s="1693">
        <f>E384/E391</f>
        <v>-8.6956521739130432E-2</v>
      </c>
      <c r="F394" s="1693">
        <f>F384/F391</f>
        <v>-0.2070063694267516</v>
      </c>
      <c r="G394" s="1693" t="e">
        <f ca="1">G384/G391</f>
        <v>#DIV/0!</v>
      </c>
      <c r="H394" s="1693" t="e">
        <f ca="1">H384/H391</f>
        <v>#DIV/0!</v>
      </c>
      <c r="I394" s="1693">
        <f>I384/I391</f>
        <v>0.76983298538622191</v>
      </c>
      <c r="J394" s="1693">
        <f t="shared" ref="J394:P394" si="492">J384/J391</f>
        <v>0.36830614050714378</v>
      </c>
      <c r="K394" s="1693">
        <f t="shared" si="492"/>
        <v>0.60014673514306671</v>
      </c>
      <c r="L394" s="1693">
        <f t="shared" si="492"/>
        <v>0.8</v>
      </c>
      <c r="M394" s="1693">
        <f t="shared" si="492"/>
        <v>0.4</v>
      </c>
      <c r="N394" s="1693">
        <f t="shared" si="492"/>
        <v>0.45</v>
      </c>
      <c r="O394" s="1693">
        <f t="shared" si="492"/>
        <v>0.4</v>
      </c>
      <c r="P394" s="1693">
        <f t="shared" ca="1" si="492"/>
        <v>0.4</v>
      </c>
      <c r="Q394" s="1693">
        <f t="shared" ref="Q394:V394" ca="1" si="493">Q384/Q391</f>
        <v>0.32</v>
      </c>
      <c r="R394" s="1693">
        <f t="shared" ca="1" si="493"/>
        <v>0.32000000000000006</v>
      </c>
      <c r="S394" s="1693">
        <f t="shared" ca="1" si="493"/>
        <v>0.32</v>
      </c>
      <c r="T394" s="1693">
        <f t="shared" ca="1" si="493"/>
        <v>0.31999999999999956</v>
      </c>
      <c r="U394" s="1693">
        <f t="shared" ca="1" si="493"/>
        <v>0.31999999999999779</v>
      </c>
      <c r="V394" s="1693">
        <f t="shared" ca="1" si="493"/>
        <v>0.31999999999999668</v>
      </c>
      <c r="W394" s="1685"/>
      <c r="X394" s="1685"/>
      <c r="Y394" s="1685"/>
      <c r="Z394" s="1685"/>
      <c r="AA394" s="1685"/>
      <c r="AB394" s="1685"/>
      <c r="AC394" s="1685"/>
      <c r="AD394" s="1685"/>
    </row>
    <row r="395" spans="1:30" ht="15.75">
      <c r="A395" s="1685"/>
      <c r="B395" s="1692"/>
      <c r="C395" s="1693"/>
      <c r="D395" s="1693"/>
      <c r="E395" s="1693"/>
      <c r="F395" s="1693"/>
      <c r="G395" s="1693"/>
      <c r="H395" s="1693"/>
      <c r="I395" s="1693"/>
      <c r="J395" s="1693"/>
      <c r="K395" s="1693"/>
      <c r="L395" s="1693"/>
      <c r="M395" s="1693"/>
      <c r="N395" s="1693"/>
      <c r="O395" s="1693"/>
      <c r="P395" s="1693"/>
      <c r="Q395" s="1693"/>
      <c r="R395" s="1693"/>
      <c r="S395" s="1693"/>
      <c r="T395" s="1693"/>
      <c r="U395" s="1693"/>
      <c r="V395" s="1693"/>
      <c r="W395" s="1685"/>
      <c r="X395" s="1685"/>
      <c r="Y395" s="1685"/>
      <c r="Z395" s="1685"/>
      <c r="AA395" s="1685"/>
      <c r="AB395" s="1685"/>
      <c r="AC395" s="1685"/>
      <c r="AD395" s="1685"/>
    </row>
    <row r="396" spans="1:30" ht="15.75">
      <c r="A396" s="1685"/>
      <c r="B396" s="1692" t="s">
        <v>197</v>
      </c>
      <c r="C396" s="1695"/>
      <c r="D396" s="1695"/>
      <c r="E396" s="1695">
        <f>E391</f>
        <v>-368</v>
      </c>
      <c r="F396" s="1695">
        <f>F391</f>
        <v>-314</v>
      </c>
      <c r="G396" s="1695" t="e">
        <f ca="1">G391</f>
        <v>#DIV/0!</v>
      </c>
      <c r="H396" s="1695" t="e">
        <f ca="1">H391</f>
        <v>#DIV/0!</v>
      </c>
      <c r="I396" s="1695">
        <f>I391</f>
        <v>191.59999999999985</v>
      </c>
      <c r="J396" s="1695">
        <f t="shared" ref="J396:P396" si="494">J391</f>
        <v>138.47176137159948</v>
      </c>
      <c r="K396" s="1695">
        <f t="shared" si="494"/>
        <v>136.30000000000001</v>
      </c>
      <c r="L396" s="1695">
        <f t="shared" si="494"/>
        <v>37</v>
      </c>
      <c r="M396" s="1695">
        <f t="shared" si="494"/>
        <v>326.39356110381084</v>
      </c>
      <c r="N396" s="1695">
        <f t="shared" si="494"/>
        <v>250.29999999999995</v>
      </c>
      <c r="O396" s="1695">
        <f t="shared" si="494"/>
        <v>91.599999999999909</v>
      </c>
      <c r="P396" s="1695">
        <f t="shared" ca="1" si="494"/>
        <v>-19.344665281334755</v>
      </c>
      <c r="Q396" s="1695">
        <f t="shared" ref="Q396:V396" ca="1" si="495">Q391</f>
        <v>375.58821391254457</v>
      </c>
      <c r="R396" s="1695">
        <f t="shared" ca="1" si="495"/>
        <v>427.93908529977114</v>
      </c>
      <c r="S396" s="1695">
        <f t="shared" ca="1" si="495"/>
        <v>497.88349460698544</v>
      </c>
      <c r="T396" s="1695">
        <f t="shared" ca="1" si="495"/>
        <v>558.53161098692419</v>
      </c>
      <c r="U396" s="1695">
        <f t="shared" ca="1" si="495"/>
        <v>595.64072891116177</v>
      </c>
      <c r="V396" s="1695">
        <f t="shared" ca="1" si="495"/>
        <v>633.40732329312311</v>
      </c>
      <c r="W396" s="1685"/>
      <c r="X396" s="1685"/>
      <c r="Y396" s="1685"/>
      <c r="Z396" s="1685"/>
      <c r="AA396" s="1685"/>
      <c r="AB396" s="1685"/>
      <c r="AC396" s="1685"/>
      <c r="AD396" s="1685"/>
    </row>
    <row r="397" spans="1:30" ht="15.75">
      <c r="A397" s="1685"/>
      <c r="B397" s="1692"/>
      <c r="C397" s="1693"/>
      <c r="D397" s="1693"/>
      <c r="E397" s="1693"/>
      <c r="F397" s="1693"/>
      <c r="G397" s="1693"/>
      <c r="H397" s="1693"/>
      <c r="I397" s="1693"/>
      <c r="J397" s="1693"/>
      <c r="K397" s="1693"/>
      <c r="L397" s="1693"/>
      <c r="M397" s="1693"/>
      <c r="N397" s="1693"/>
      <c r="O397" s="1693"/>
      <c r="P397" s="1693"/>
      <c r="Q397" s="1693"/>
      <c r="R397" s="1693"/>
      <c r="S397" s="1693"/>
      <c r="T397" s="1693"/>
      <c r="U397" s="1693"/>
      <c r="V397" s="1693"/>
      <c r="W397" s="1685"/>
      <c r="X397" s="1685"/>
      <c r="Y397" s="1685"/>
      <c r="Z397" s="1685"/>
      <c r="AA397" s="1685"/>
      <c r="AB397" s="1685"/>
      <c r="AC397" s="1685"/>
      <c r="AD397" s="1685"/>
    </row>
    <row r="398" spans="1:30" ht="15.75">
      <c r="A398" s="1685"/>
      <c r="B398" s="1692" t="s">
        <v>198</v>
      </c>
      <c r="C398" s="1695"/>
      <c r="D398" s="1695">
        <v>0</v>
      </c>
      <c r="E398" s="1695">
        <v>0</v>
      </c>
      <c r="F398" s="1695">
        <v>0</v>
      </c>
      <c r="G398" s="1695">
        <v>0</v>
      </c>
      <c r="H398" s="1695">
        <v>0</v>
      </c>
      <c r="I398" s="1695">
        <v>0</v>
      </c>
      <c r="J398" s="1695">
        <v>0</v>
      </c>
      <c r="K398" s="1695">
        <v>0</v>
      </c>
      <c r="L398" s="1695">
        <v>0</v>
      </c>
      <c r="M398" s="1695">
        <v>0</v>
      </c>
      <c r="N398" s="1695">
        <v>0</v>
      </c>
      <c r="O398" s="1695">
        <v>0</v>
      </c>
      <c r="P398" s="1695">
        <v>0</v>
      </c>
      <c r="Q398" s="1695">
        <v>0</v>
      </c>
      <c r="R398" s="1695">
        <v>0</v>
      </c>
      <c r="S398" s="1695">
        <v>0</v>
      </c>
      <c r="T398" s="1695">
        <v>0</v>
      </c>
      <c r="U398" s="1695">
        <v>0</v>
      </c>
      <c r="V398" s="1695">
        <v>0</v>
      </c>
      <c r="W398" s="1685"/>
      <c r="X398" s="1685"/>
      <c r="Y398" s="1685"/>
      <c r="Z398" s="1685"/>
      <c r="AA398" s="1685"/>
      <c r="AB398" s="1685"/>
      <c r="AC398" s="1685"/>
      <c r="AD398" s="1685"/>
    </row>
    <row r="399" spans="1:30" ht="15.75">
      <c r="A399" s="1685"/>
      <c r="B399" s="1692" t="s">
        <v>199</v>
      </c>
      <c r="C399" s="1758"/>
      <c r="D399" s="1758">
        <f t="shared" ref="D399:V399" si="496">C398</f>
        <v>0</v>
      </c>
      <c r="E399" s="1758">
        <f t="shared" si="496"/>
        <v>0</v>
      </c>
      <c r="F399" s="1758">
        <f t="shared" si="496"/>
        <v>0</v>
      </c>
      <c r="G399" s="1758">
        <f t="shared" si="496"/>
        <v>0</v>
      </c>
      <c r="H399" s="1758">
        <f t="shared" si="496"/>
        <v>0</v>
      </c>
      <c r="I399" s="1758">
        <f t="shared" si="496"/>
        <v>0</v>
      </c>
      <c r="J399" s="1758">
        <f t="shared" si="496"/>
        <v>0</v>
      </c>
      <c r="K399" s="1758">
        <f t="shared" si="496"/>
        <v>0</v>
      </c>
      <c r="L399" s="1758">
        <f t="shared" si="496"/>
        <v>0</v>
      </c>
      <c r="M399" s="1758">
        <f t="shared" si="496"/>
        <v>0</v>
      </c>
      <c r="N399" s="1758">
        <f t="shared" si="496"/>
        <v>0</v>
      </c>
      <c r="O399" s="1758">
        <f t="shared" si="496"/>
        <v>0</v>
      </c>
      <c r="P399" s="1758">
        <f t="shared" si="496"/>
        <v>0</v>
      </c>
      <c r="Q399" s="1758">
        <f t="shared" si="496"/>
        <v>0</v>
      </c>
      <c r="R399" s="1758">
        <f t="shared" si="496"/>
        <v>0</v>
      </c>
      <c r="S399" s="1758">
        <f t="shared" si="496"/>
        <v>0</v>
      </c>
      <c r="T399" s="1758">
        <f t="shared" si="496"/>
        <v>0</v>
      </c>
      <c r="U399" s="1758">
        <f t="shared" si="496"/>
        <v>0</v>
      </c>
      <c r="V399" s="1758">
        <f t="shared" si="496"/>
        <v>0</v>
      </c>
      <c r="W399" s="1685"/>
      <c r="X399" s="1685"/>
      <c r="Y399" s="1685"/>
      <c r="Z399" s="1685"/>
      <c r="AA399" s="1685"/>
      <c r="AB399" s="1685"/>
      <c r="AC399" s="1685"/>
      <c r="AD399" s="1685"/>
    </row>
    <row r="400" spans="1:30" ht="15.75">
      <c r="A400" s="1685"/>
      <c r="B400" s="1692" t="s">
        <v>200</v>
      </c>
      <c r="C400" s="1695"/>
      <c r="D400" s="1695">
        <f t="shared" ref="D400:I400" si="497">D396-D399</f>
        <v>0</v>
      </c>
      <c r="E400" s="1695">
        <f t="shared" si="497"/>
        <v>-368</v>
      </c>
      <c r="F400" s="1695">
        <f t="shared" si="497"/>
        <v>-314</v>
      </c>
      <c r="G400" s="1695" t="e">
        <f t="shared" ca="1" si="497"/>
        <v>#DIV/0!</v>
      </c>
      <c r="H400" s="1695" t="e">
        <f t="shared" ca="1" si="497"/>
        <v>#DIV/0!</v>
      </c>
      <c r="I400" s="1695">
        <f t="shared" si="497"/>
        <v>191.59999999999985</v>
      </c>
      <c r="J400" s="1695">
        <f t="shared" ref="J400:P400" si="498">J396-J399</f>
        <v>138.47176137159948</v>
      </c>
      <c r="K400" s="1695">
        <f t="shared" si="498"/>
        <v>136.30000000000001</v>
      </c>
      <c r="L400" s="1695">
        <f t="shared" si="498"/>
        <v>37</v>
      </c>
      <c r="M400" s="1695">
        <f t="shared" si="498"/>
        <v>326.39356110381084</v>
      </c>
      <c r="N400" s="1695">
        <f t="shared" si="498"/>
        <v>250.29999999999995</v>
      </c>
      <c r="O400" s="1695">
        <f t="shared" si="498"/>
        <v>91.599999999999909</v>
      </c>
      <c r="P400" s="1695">
        <f t="shared" ca="1" si="498"/>
        <v>-19.344665281334755</v>
      </c>
      <c r="Q400" s="1695">
        <f t="shared" ref="Q400:V400" ca="1" si="499">Q396-Q399</f>
        <v>375.58821391254457</v>
      </c>
      <c r="R400" s="1695">
        <f t="shared" ca="1" si="499"/>
        <v>427.93908529977114</v>
      </c>
      <c r="S400" s="1695">
        <f t="shared" ca="1" si="499"/>
        <v>497.88349460698544</v>
      </c>
      <c r="T400" s="1695">
        <f t="shared" ca="1" si="499"/>
        <v>558.53161098692419</v>
      </c>
      <c r="U400" s="1695">
        <f t="shared" ca="1" si="499"/>
        <v>595.64072891116177</v>
      </c>
      <c r="V400" s="1695">
        <f t="shared" ca="1" si="499"/>
        <v>633.40732329312311</v>
      </c>
      <c r="W400" s="1685"/>
      <c r="X400" s="1685"/>
      <c r="Y400" s="1685"/>
      <c r="Z400" s="1685"/>
      <c r="AA400" s="1685"/>
      <c r="AB400" s="1685"/>
      <c r="AC400" s="1685"/>
      <c r="AD400" s="1685"/>
    </row>
    <row r="401" spans="1:30" ht="15.75">
      <c r="A401" s="1685"/>
      <c r="B401" s="1692"/>
      <c r="C401" s="1695"/>
      <c r="D401" s="1695"/>
      <c r="E401" s="1695"/>
      <c r="F401" s="1695"/>
      <c r="G401" s="1695"/>
      <c r="H401" s="1695"/>
      <c r="I401" s="1695"/>
      <c r="J401" s="1695"/>
      <c r="K401" s="1695"/>
      <c r="L401" s="1695"/>
      <c r="M401" s="1695"/>
      <c r="N401" s="1695"/>
      <c r="O401" s="1695"/>
      <c r="P401" s="1695"/>
      <c r="Q401" s="1695"/>
      <c r="R401" s="1695"/>
      <c r="S401" s="1695"/>
      <c r="T401" s="1695"/>
      <c r="U401" s="1695"/>
      <c r="V401" s="1695"/>
      <c r="W401" s="1685"/>
      <c r="X401" s="1685"/>
      <c r="Y401" s="1685"/>
      <c r="Z401" s="1685"/>
      <c r="AA401" s="1685"/>
      <c r="AB401" s="1685"/>
      <c r="AC401" s="1685"/>
      <c r="AD401" s="1685"/>
    </row>
    <row r="402" spans="1:30" ht="15.75">
      <c r="A402" s="1685"/>
      <c r="B402" s="1692" t="s">
        <v>201</v>
      </c>
      <c r="C402" s="1695"/>
      <c r="D402" s="1695">
        <f t="shared" ref="D402:I402" si="500">D400*D394+D401</f>
        <v>0</v>
      </c>
      <c r="E402" s="1695">
        <f t="shared" si="500"/>
        <v>32</v>
      </c>
      <c r="F402" s="1695">
        <f t="shared" si="500"/>
        <v>65</v>
      </c>
      <c r="G402" s="1695" t="e">
        <f t="shared" ca="1" si="500"/>
        <v>#DIV/0!</v>
      </c>
      <c r="H402" s="1695" t="e">
        <f t="shared" ca="1" si="500"/>
        <v>#DIV/0!</v>
      </c>
      <c r="I402" s="1695">
        <f t="shared" si="500"/>
        <v>147.5</v>
      </c>
      <c r="J402" s="1695">
        <f t="shared" ref="J402:P402" si="501">J400*J394+J401</f>
        <v>51.000000000000007</v>
      </c>
      <c r="K402" s="1695">
        <f t="shared" si="501"/>
        <v>81.8</v>
      </c>
      <c r="L402" s="1695">
        <f t="shared" si="501"/>
        <v>29.6</v>
      </c>
      <c r="M402" s="1695">
        <f t="shared" si="501"/>
        <v>130.55742444152435</v>
      </c>
      <c r="N402" s="1695">
        <f t="shared" si="501"/>
        <v>112.63499999999998</v>
      </c>
      <c r="O402" s="1695">
        <f t="shared" si="501"/>
        <v>36.639999999999965</v>
      </c>
      <c r="P402" s="1695">
        <f t="shared" ca="1" si="501"/>
        <v>-7.7378661125339026</v>
      </c>
      <c r="Q402" s="1695">
        <f t="shared" ref="Q402:V402" ca="1" si="502">Q400*Q394+Q401</f>
        <v>120.18822845201427</v>
      </c>
      <c r="R402" s="1695">
        <f t="shared" ca="1" si="502"/>
        <v>136.94050729592678</v>
      </c>
      <c r="S402" s="1695">
        <f t="shared" ca="1" si="502"/>
        <v>159.32271827423534</v>
      </c>
      <c r="T402" s="1695">
        <f t="shared" ca="1" si="502"/>
        <v>178.7301155158155</v>
      </c>
      <c r="U402" s="1695">
        <f t="shared" ca="1" si="502"/>
        <v>190.60503325157046</v>
      </c>
      <c r="V402" s="1695">
        <f t="shared" ca="1" si="502"/>
        <v>202.69034345379728</v>
      </c>
      <c r="W402" s="1685"/>
      <c r="X402" s="1685"/>
      <c r="Y402" s="1685"/>
      <c r="Z402" s="1685"/>
      <c r="AA402" s="1685"/>
      <c r="AB402" s="1685"/>
      <c r="AC402" s="1685"/>
      <c r="AD402" s="1685"/>
    </row>
    <row r="403" spans="1:30" ht="15.75">
      <c r="A403" s="1685"/>
      <c r="B403" s="1692" t="s">
        <v>202</v>
      </c>
      <c r="C403" s="1695"/>
      <c r="D403" s="1695">
        <f t="shared" ref="D403:I403" si="503">D398*0.39</f>
        <v>0</v>
      </c>
      <c r="E403" s="1695">
        <f t="shared" si="503"/>
        <v>0</v>
      </c>
      <c r="F403" s="1695">
        <f t="shared" si="503"/>
        <v>0</v>
      </c>
      <c r="G403" s="1695">
        <f t="shared" si="503"/>
        <v>0</v>
      </c>
      <c r="H403" s="1695">
        <f t="shared" si="503"/>
        <v>0</v>
      </c>
      <c r="I403" s="1695">
        <f t="shared" si="503"/>
        <v>0</v>
      </c>
      <c r="J403" s="1695">
        <f t="shared" ref="J403:P403" si="504">J398*0.39</f>
        <v>0</v>
      </c>
      <c r="K403" s="1695">
        <f t="shared" si="504"/>
        <v>0</v>
      </c>
      <c r="L403" s="1695">
        <f t="shared" si="504"/>
        <v>0</v>
      </c>
      <c r="M403" s="1695">
        <f t="shared" si="504"/>
        <v>0</v>
      </c>
      <c r="N403" s="1695">
        <f t="shared" si="504"/>
        <v>0</v>
      </c>
      <c r="O403" s="1695">
        <f t="shared" si="504"/>
        <v>0</v>
      </c>
      <c r="P403" s="1695">
        <f t="shared" si="504"/>
        <v>0</v>
      </c>
      <c r="Q403" s="1695">
        <f t="shared" ref="Q403:V403" si="505">Q398*0.39</f>
        <v>0</v>
      </c>
      <c r="R403" s="1695">
        <f t="shared" si="505"/>
        <v>0</v>
      </c>
      <c r="S403" s="1695">
        <f t="shared" si="505"/>
        <v>0</v>
      </c>
      <c r="T403" s="1695">
        <f t="shared" si="505"/>
        <v>0</v>
      </c>
      <c r="U403" s="1695">
        <f t="shared" si="505"/>
        <v>0</v>
      </c>
      <c r="V403" s="1695">
        <f t="shared" si="505"/>
        <v>0</v>
      </c>
      <c r="W403" s="1685"/>
      <c r="X403" s="1685"/>
      <c r="Y403" s="1685"/>
      <c r="Z403" s="1685"/>
      <c r="AA403" s="1685"/>
      <c r="AB403" s="1685"/>
      <c r="AC403" s="1685"/>
      <c r="AD403" s="1685"/>
    </row>
    <row r="404" spans="1:30" ht="15.75">
      <c r="A404" s="1685"/>
      <c r="B404" s="1692" t="s">
        <v>203</v>
      </c>
      <c r="C404" s="1695"/>
      <c r="D404" s="1695">
        <f t="shared" ref="D404:I404" si="506">D391*D392-D402</f>
        <v>0</v>
      </c>
      <c r="E404" s="1695">
        <f t="shared" si="506"/>
        <v>-124</v>
      </c>
      <c r="F404" s="1695">
        <f t="shared" si="506"/>
        <v>-143.5</v>
      </c>
      <c r="G404" s="1695" t="e">
        <f t="shared" ca="1" si="506"/>
        <v>#DIV/0!</v>
      </c>
      <c r="H404" s="1695" t="e">
        <f t="shared" ca="1" si="506"/>
        <v>#DIV/0!</v>
      </c>
      <c r="I404" s="1695">
        <f t="shared" si="506"/>
        <v>-86.188000000000045</v>
      </c>
      <c r="J404" s="1695">
        <f t="shared" ref="J404:P404" si="507">J391*J392-J402</f>
        <v>129.01328978307933</v>
      </c>
      <c r="K404" s="1695">
        <f t="shared" si="507"/>
        <v>6.7950000000000159</v>
      </c>
      <c r="L404" s="1695">
        <f t="shared" si="507"/>
        <v>0</v>
      </c>
      <c r="M404" s="1695">
        <f t="shared" si="507"/>
        <v>0</v>
      </c>
      <c r="N404" s="1695">
        <f t="shared" si="507"/>
        <v>0</v>
      </c>
      <c r="O404" s="1695">
        <f t="shared" si="507"/>
        <v>0</v>
      </c>
      <c r="P404" s="1695">
        <f t="shared" ca="1" si="507"/>
        <v>0</v>
      </c>
      <c r="Q404" s="1695">
        <f t="shared" ref="Q404:V404" ca="1" si="508">Q391*Q392-Q402</f>
        <v>0</v>
      </c>
      <c r="R404" s="1695">
        <f t="shared" ca="1" si="508"/>
        <v>0</v>
      </c>
      <c r="S404" s="1695">
        <f t="shared" ca="1" si="508"/>
        <v>0</v>
      </c>
      <c r="T404" s="1695">
        <f t="shared" ca="1" si="508"/>
        <v>2.5579538487363607E-13</v>
      </c>
      <c r="U404" s="1695">
        <f t="shared" ca="1" si="508"/>
        <v>1.3073986337985843E-12</v>
      </c>
      <c r="V404" s="1695">
        <f t="shared" ca="1" si="508"/>
        <v>2.1316282072803006E-12</v>
      </c>
      <c r="W404" s="1685"/>
      <c r="X404" s="1685"/>
      <c r="Y404" s="1685"/>
      <c r="Z404" s="1685"/>
      <c r="AA404" s="1685"/>
      <c r="AB404" s="1685"/>
      <c r="AC404" s="1685"/>
      <c r="AD404" s="1685"/>
    </row>
    <row r="405" spans="1:30" ht="15.75">
      <c r="A405" s="1685"/>
      <c r="B405" s="1692" t="s">
        <v>204</v>
      </c>
      <c r="C405" s="1695"/>
      <c r="D405" s="1695" t="e">
        <f t="shared" ref="D405:V405" ca="1" si="509">NPV(7%,D404:AB404)</f>
        <v>#DIV/0!</v>
      </c>
      <c r="E405" s="1695" t="e">
        <f t="shared" ca="1" si="509"/>
        <v>#DIV/0!</v>
      </c>
      <c r="F405" s="1695" t="e">
        <f t="shared" ca="1" si="509"/>
        <v>#DIV/0!</v>
      </c>
      <c r="G405" s="1695" t="e">
        <f t="shared" ca="1" si="509"/>
        <v>#DIV/0!</v>
      </c>
      <c r="H405" s="1695" t="e">
        <f t="shared" ca="1" si="509"/>
        <v>#DIV/0!</v>
      </c>
      <c r="I405" s="1695">
        <f t="shared" ca="1" si="509"/>
        <v>37.682415121670545</v>
      </c>
      <c r="J405" s="1695">
        <f t="shared" ca="1" si="509"/>
        <v>126.50818418018753</v>
      </c>
      <c r="K405" s="1695">
        <f t="shared" ca="1" si="509"/>
        <v>6.3504672897213386</v>
      </c>
      <c r="L405" s="1695">
        <f t="shared" ca="1" si="509"/>
        <v>1.8164721169149322E-12</v>
      </c>
      <c r="M405" s="1695">
        <f t="shared" ca="1" si="509"/>
        <v>1.9436251650989776E-12</v>
      </c>
      <c r="N405" s="1695">
        <f t="shared" ca="1" si="509"/>
        <v>2.0796789266559066E-12</v>
      </c>
      <c r="O405" s="1695">
        <f t="shared" ca="1" si="509"/>
        <v>2.2252564515218198E-12</v>
      </c>
      <c r="P405" s="1695">
        <f t="shared" ca="1" si="509"/>
        <v>2.3810244031283478E-12</v>
      </c>
      <c r="Q405" s="1695">
        <f t="shared" ca="1" si="509"/>
        <v>2.5476961113473322E-12</v>
      </c>
      <c r="R405" s="1695">
        <f t="shared" ca="1" si="509"/>
        <v>2.7260348391416456E-12</v>
      </c>
      <c r="S405" s="1695">
        <f t="shared" ca="1" si="509"/>
        <v>2.9168572778815606E-12</v>
      </c>
      <c r="T405" s="1695">
        <f t="shared" ca="1" si="509"/>
        <v>3.1210372873332708E-12</v>
      </c>
      <c r="U405" s="1695">
        <f t="shared" ca="1" si="509"/>
        <v>3.0837145125729633E-12</v>
      </c>
      <c r="V405" s="1695">
        <f t="shared" ca="1" si="509"/>
        <v>1.9921758946544864E-12</v>
      </c>
      <c r="W405" s="1685"/>
      <c r="X405" s="1685"/>
      <c r="Y405" s="1685"/>
      <c r="Z405" s="1685"/>
      <c r="AA405" s="1685"/>
      <c r="AB405" s="1685"/>
      <c r="AC405" s="1685"/>
      <c r="AD405" s="1685"/>
    </row>
    <row r="406" spans="1:30" ht="15.75">
      <c r="A406" s="1685"/>
      <c r="B406" s="1692" t="s">
        <v>2779</v>
      </c>
      <c r="C406" s="1695"/>
      <c r="D406" s="1695"/>
      <c r="E406" s="1695"/>
      <c r="F406" s="1695"/>
      <c r="G406" s="1695"/>
      <c r="H406" s="1695"/>
      <c r="I406" s="1730">
        <v>0</v>
      </c>
      <c r="J406" s="1730"/>
      <c r="K406" s="1730">
        <v>0</v>
      </c>
      <c r="L406" s="1730">
        <v>0</v>
      </c>
      <c r="M406" s="1730">
        <v>0</v>
      </c>
      <c r="N406" s="1730">
        <v>0</v>
      </c>
      <c r="O406" s="1730">
        <v>0</v>
      </c>
      <c r="P406" s="1730">
        <v>0</v>
      </c>
      <c r="Q406" s="1730">
        <v>0</v>
      </c>
      <c r="R406" s="1730">
        <v>0</v>
      </c>
      <c r="S406" s="1730">
        <v>0</v>
      </c>
      <c r="T406" s="1730">
        <v>0</v>
      </c>
      <c r="U406" s="1730">
        <v>0</v>
      </c>
      <c r="V406" s="1730">
        <v>0</v>
      </c>
      <c r="W406" s="1685"/>
      <c r="X406" s="1685"/>
      <c r="Y406" s="1685"/>
      <c r="Z406" s="1685"/>
      <c r="AA406" s="1685"/>
      <c r="AB406" s="1685"/>
      <c r="AC406" s="1685"/>
      <c r="AD406" s="1685"/>
    </row>
    <row r="407" spans="1:30" ht="15.75">
      <c r="A407" s="1685"/>
      <c r="B407" s="1692"/>
      <c r="C407" s="1692"/>
      <c r="D407" s="1692"/>
      <c r="E407" s="1692"/>
      <c r="F407" s="1692"/>
      <c r="G407" s="1692"/>
      <c r="H407" s="1692"/>
      <c r="I407" s="1692"/>
      <c r="J407" s="1692"/>
      <c r="K407" s="1692"/>
      <c r="L407" s="1692"/>
      <c r="M407" s="1692"/>
      <c r="N407" s="1692"/>
      <c r="O407" s="1692"/>
      <c r="P407" s="1692"/>
      <c r="Q407" s="1692"/>
      <c r="R407" s="1692"/>
      <c r="S407" s="1692"/>
      <c r="T407" s="1692"/>
      <c r="U407" s="1692"/>
      <c r="V407" s="1692"/>
      <c r="W407" s="1685"/>
      <c r="X407" s="1685"/>
      <c r="Y407" s="1685"/>
      <c r="Z407" s="1685"/>
      <c r="AA407" s="1685"/>
      <c r="AB407" s="1685"/>
      <c r="AC407" s="1685"/>
      <c r="AD407" s="1685"/>
    </row>
    <row r="408" spans="1:30" ht="15.75">
      <c r="A408" s="1685"/>
      <c r="B408" s="1689" t="s">
        <v>205</v>
      </c>
      <c r="C408" s="1692"/>
      <c r="D408" s="1692"/>
      <c r="E408" s="1692"/>
      <c r="F408" s="1692"/>
      <c r="G408" s="1692"/>
      <c r="H408" s="1692"/>
      <c r="I408" s="1692"/>
      <c r="J408" s="1692"/>
      <c r="K408" s="1692"/>
      <c r="L408" s="1692"/>
      <c r="M408" s="1692"/>
      <c r="N408" s="1692"/>
      <c r="O408" s="1692"/>
      <c r="P408" s="1692"/>
      <c r="Q408" s="1692"/>
      <c r="R408" s="1692"/>
      <c r="S408" s="1692"/>
      <c r="T408" s="1692"/>
      <c r="U408" s="1692"/>
      <c r="V408" s="1692"/>
      <c r="W408" s="1685"/>
      <c r="X408" s="1685"/>
      <c r="Y408" s="1685"/>
      <c r="Z408" s="1685"/>
      <c r="AA408" s="1685"/>
      <c r="AB408" s="1685"/>
      <c r="AC408" s="1685"/>
      <c r="AD408" s="1685"/>
    </row>
    <row r="409" spans="1:30" ht="15.75">
      <c r="A409" s="1685"/>
      <c r="B409" s="1692" t="s">
        <v>206</v>
      </c>
      <c r="C409" s="1695"/>
      <c r="D409" s="1695">
        <f>D402</f>
        <v>0</v>
      </c>
      <c r="E409" s="1695">
        <f>E402</f>
        <v>32</v>
      </c>
      <c r="F409" s="1695">
        <f>F402</f>
        <v>65</v>
      </c>
      <c r="G409" s="1695" t="e">
        <f ca="1">G402</f>
        <v>#DIV/0!</v>
      </c>
      <c r="H409" s="1695" t="e">
        <f ca="1">H402</f>
        <v>#DIV/0!</v>
      </c>
      <c r="I409" s="1694">
        <v>110.9</v>
      </c>
      <c r="J409" s="1694">
        <v>145.6</v>
      </c>
      <c r="K409" s="1694">
        <v>130.1</v>
      </c>
      <c r="L409" s="1694">
        <v>81.599999999999994</v>
      </c>
      <c r="M409" s="1694">
        <v>44.3</v>
      </c>
      <c r="N409" s="1694">
        <v>115.6</v>
      </c>
      <c r="O409" s="1694">
        <v>79.8</v>
      </c>
      <c r="P409" s="1694">
        <f>0.18*P10</f>
        <v>284.23782603839197</v>
      </c>
      <c r="Q409" s="1694">
        <f t="shared" ref="Q409:V409" si="510">0.08*Q10</f>
        <v>144.22637059474121</v>
      </c>
      <c r="R409" s="1694">
        <f t="shared" si="510"/>
        <v>151.0268910244738</v>
      </c>
      <c r="S409" s="1694">
        <f t="shared" si="510"/>
        <v>155.67547513681635</v>
      </c>
      <c r="T409" s="1694">
        <f t="shared" si="510"/>
        <v>160.1412412977227</v>
      </c>
      <c r="U409" s="1694">
        <f t="shared" si="510"/>
        <v>163.76378596043574</v>
      </c>
      <c r="V409" s="1694">
        <f t="shared" si="510"/>
        <v>167.51276301939237</v>
      </c>
      <c r="W409" s="1685"/>
      <c r="X409" s="1685"/>
      <c r="Y409" s="1685"/>
      <c r="Z409" s="1685"/>
      <c r="AA409" s="1685"/>
      <c r="AB409" s="1685"/>
      <c r="AC409" s="1685"/>
      <c r="AD409" s="1685"/>
    </row>
    <row r="410" spans="1:30" ht="15.75">
      <c r="A410" s="1685"/>
      <c r="B410" s="1692" t="s">
        <v>207</v>
      </c>
      <c r="C410" s="1731"/>
      <c r="D410" s="1731">
        <f t="shared" ref="D410:I410" si="511">D409</f>
        <v>0</v>
      </c>
      <c r="E410" s="1731">
        <f t="shared" si="511"/>
        <v>32</v>
      </c>
      <c r="F410" s="1731">
        <f t="shared" si="511"/>
        <v>65</v>
      </c>
      <c r="G410" s="1731" t="e">
        <f t="shared" ca="1" si="511"/>
        <v>#DIV/0!</v>
      </c>
      <c r="H410" s="1731" t="e">
        <f t="shared" ca="1" si="511"/>
        <v>#DIV/0!</v>
      </c>
      <c r="I410" s="1731">
        <f t="shared" si="511"/>
        <v>110.9</v>
      </c>
      <c r="J410" s="1731">
        <f t="shared" ref="J410:P410" si="512">J409</f>
        <v>145.6</v>
      </c>
      <c r="K410" s="1731">
        <f t="shared" si="512"/>
        <v>130.1</v>
      </c>
      <c r="L410" s="1731">
        <f t="shared" si="512"/>
        <v>81.599999999999994</v>
      </c>
      <c r="M410" s="1731">
        <f t="shared" si="512"/>
        <v>44.3</v>
      </c>
      <c r="N410" s="1731">
        <f t="shared" si="512"/>
        <v>115.6</v>
      </c>
      <c r="O410" s="1731">
        <f t="shared" si="512"/>
        <v>79.8</v>
      </c>
      <c r="P410" s="1731">
        <f t="shared" si="512"/>
        <v>284.23782603839197</v>
      </c>
      <c r="Q410" s="1731">
        <f t="shared" ref="Q410:V410" si="513">Q409</f>
        <v>144.22637059474121</v>
      </c>
      <c r="R410" s="1731">
        <f t="shared" si="513"/>
        <v>151.0268910244738</v>
      </c>
      <c r="S410" s="1731">
        <f t="shared" si="513"/>
        <v>155.67547513681635</v>
      </c>
      <c r="T410" s="1731">
        <f t="shared" si="513"/>
        <v>160.1412412977227</v>
      </c>
      <c r="U410" s="1731">
        <f t="shared" si="513"/>
        <v>163.76378596043574</v>
      </c>
      <c r="V410" s="1731">
        <f t="shared" si="513"/>
        <v>167.51276301939237</v>
      </c>
      <c r="W410" s="1685"/>
      <c r="X410" s="1685"/>
      <c r="Y410" s="1685"/>
      <c r="Z410" s="1685"/>
      <c r="AA410" s="1685"/>
      <c r="AB410" s="1685"/>
      <c r="AC410" s="1685"/>
      <c r="AD410" s="1685"/>
    </row>
    <row r="411" spans="1:30" ht="15.75">
      <c r="A411" s="1685"/>
      <c r="B411" s="1692"/>
      <c r="C411" s="1692"/>
      <c r="D411" s="1692"/>
      <c r="E411" s="1692"/>
      <c r="F411" s="1692"/>
      <c r="G411" s="1692"/>
      <c r="H411" s="1692"/>
      <c r="I411" s="1692"/>
      <c r="J411" s="1692"/>
      <c r="K411" s="1692"/>
      <c r="L411" s="1692"/>
      <c r="M411" s="1692"/>
      <c r="N411" s="1692"/>
      <c r="O411" s="1692"/>
      <c r="P411" s="1692"/>
      <c r="Q411" s="1692"/>
      <c r="R411" s="1692"/>
      <c r="S411" s="1692"/>
      <c r="T411" s="1692"/>
      <c r="U411" s="1692"/>
      <c r="V411" s="1692"/>
      <c r="W411" s="1685"/>
      <c r="X411" s="1685"/>
      <c r="Y411" s="1685"/>
      <c r="Z411" s="1685"/>
      <c r="AA411" s="1685"/>
      <c r="AB411" s="1685"/>
      <c r="AC411" s="1685"/>
      <c r="AD411" s="1685"/>
    </row>
    <row r="412" spans="1:30" ht="15.75">
      <c r="A412" s="1685"/>
      <c r="B412" s="1687" t="s">
        <v>208</v>
      </c>
      <c r="C412" s="1688">
        <f>C381</f>
        <v>40908</v>
      </c>
      <c r="D412" s="1688">
        <f t="shared" ref="D412:K412" si="514">D381</f>
        <v>41274</v>
      </c>
      <c r="E412" s="1688">
        <f t="shared" si="514"/>
        <v>41639</v>
      </c>
      <c r="F412" s="1688">
        <f t="shared" si="514"/>
        <v>42004</v>
      </c>
      <c r="G412" s="1688">
        <f t="shared" si="514"/>
        <v>42369</v>
      </c>
      <c r="H412" s="1688">
        <f t="shared" si="514"/>
        <v>42735</v>
      </c>
      <c r="I412" s="1688">
        <f t="shared" si="514"/>
        <v>43100</v>
      </c>
      <c r="J412" s="1688">
        <f t="shared" si="514"/>
        <v>43465</v>
      </c>
      <c r="K412" s="1688">
        <f t="shared" si="514"/>
        <v>43830</v>
      </c>
      <c r="L412" s="1688">
        <f t="shared" ref="L412:Q412" si="515">L381</f>
        <v>44196</v>
      </c>
      <c r="M412" s="1688">
        <f t="shared" si="515"/>
        <v>44561</v>
      </c>
      <c r="N412" s="1688">
        <f t="shared" si="515"/>
        <v>44926</v>
      </c>
      <c r="O412" s="1688">
        <f t="shared" si="515"/>
        <v>45291</v>
      </c>
      <c r="P412" s="1688">
        <f t="shared" si="515"/>
        <v>45657</v>
      </c>
      <c r="Q412" s="1688">
        <f t="shared" si="515"/>
        <v>46022</v>
      </c>
      <c r="R412" s="1688">
        <f t="shared" ref="R412:S412" si="516">R381</f>
        <v>46387</v>
      </c>
      <c r="S412" s="1688">
        <f t="shared" si="516"/>
        <v>46752</v>
      </c>
      <c r="T412" s="1688">
        <f t="shared" ref="T412:V412" si="517">T381</f>
        <v>47118</v>
      </c>
      <c r="U412" s="1688">
        <f t="shared" si="517"/>
        <v>47483</v>
      </c>
      <c r="V412" s="1688">
        <f t="shared" si="517"/>
        <v>47848</v>
      </c>
      <c r="W412" s="1685"/>
      <c r="X412" s="1685"/>
      <c r="Y412" s="1685"/>
      <c r="Z412" s="1685"/>
      <c r="AA412" s="1685"/>
      <c r="AB412" s="1685"/>
      <c r="AC412" s="1685"/>
      <c r="AD412" s="1685"/>
    </row>
    <row r="413" spans="1:30" ht="15.75">
      <c r="A413" s="1685"/>
      <c r="B413" s="1692" t="s">
        <v>208</v>
      </c>
      <c r="C413" s="1730">
        <v>0</v>
      </c>
      <c r="D413" s="1730">
        <v>0</v>
      </c>
      <c r="E413" s="1730">
        <f>SUM(Quarts!K163:L163)-SUM(Quarts!K162:L162)</f>
        <v>-10</v>
      </c>
      <c r="F413" s="1730">
        <f>SUM(Quarts!V163:W163)-SUM(Quarts!V162:W162)</f>
        <v>-8</v>
      </c>
      <c r="G413" s="1695">
        <f t="shared" ref="G413:P413" si="518">G415+G414</f>
        <v>0</v>
      </c>
      <c r="H413" s="1695">
        <f t="shared" si="518"/>
        <v>0</v>
      </c>
      <c r="I413" s="1695">
        <f t="shared" si="518"/>
        <v>0</v>
      </c>
      <c r="J413" s="1695">
        <f t="shared" si="518"/>
        <v>0</v>
      </c>
      <c r="K413" s="1695">
        <f t="shared" si="518"/>
        <v>0</v>
      </c>
      <c r="L413" s="1695">
        <f t="shared" si="518"/>
        <v>0</v>
      </c>
      <c r="M413" s="1695">
        <f t="shared" si="518"/>
        <v>0</v>
      </c>
      <c r="N413" s="1695">
        <f t="shared" si="518"/>
        <v>0</v>
      </c>
      <c r="O413" s="1695">
        <f t="shared" si="518"/>
        <v>0</v>
      </c>
      <c r="P413" s="1695">
        <f t="shared" si="518"/>
        <v>0</v>
      </c>
      <c r="Q413" s="1695">
        <f t="shared" ref="Q413:V413" si="519">Q415+Q414</f>
        <v>0</v>
      </c>
      <c r="R413" s="1695">
        <f t="shared" si="519"/>
        <v>0</v>
      </c>
      <c r="S413" s="1695">
        <f t="shared" si="519"/>
        <v>0</v>
      </c>
      <c r="T413" s="1695">
        <f t="shared" si="519"/>
        <v>0</v>
      </c>
      <c r="U413" s="1695">
        <f t="shared" si="519"/>
        <v>0</v>
      </c>
      <c r="V413" s="1695">
        <f t="shared" si="519"/>
        <v>0</v>
      </c>
      <c r="W413" s="1685"/>
      <c r="X413" s="1685"/>
      <c r="Y413" s="1685"/>
      <c r="Z413" s="1685"/>
      <c r="AA413" s="1685"/>
      <c r="AB413" s="1685"/>
      <c r="AC413" s="1685"/>
      <c r="AD413" s="1685"/>
    </row>
    <row r="414" spans="1:30" ht="15.75">
      <c r="A414" s="1685"/>
      <c r="B414" s="1692" t="s">
        <v>188</v>
      </c>
      <c r="C414" s="1730">
        <v>0</v>
      </c>
      <c r="D414" s="1730">
        <v>0</v>
      </c>
      <c r="E414" s="1730">
        <v>0</v>
      </c>
      <c r="F414" s="1730">
        <v>0</v>
      </c>
      <c r="G414" s="1730">
        <v>0</v>
      </c>
      <c r="H414" s="1730">
        <v>0</v>
      </c>
      <c r="I414" s="1730">
        <v>0</v>
      </c>
      <c r="J414" s="1730">
        <v>0</v>
      </c>
      <c r="K414" s="1730">
        <v>0</v>
      </c>
      <c r="L414" s="1730">
        <v>0</v>
      </c>
      <c r="M414" s="1730">
        <v>0</v>
      </c>
      <c r="N414" s="1730">
        <v>0</v>
      </c>
      <c r="O414" s="1730">
        <v>0</v>
      </c>
      <c r="P414" s="1730">
        <v>0</v>
      </c>
      <c r="Q414" s="1730">
        <v>0</v>
      </c>
      <c r="R414" s="1730">
        <v>0</v>
      </c>
      <c r="S414" s="1730">
        <v>0</v>
      </c>
      <c r="T414" s="1730">
        <v>0</v>
      </c>
      <c r="U414" s="1730">
        <v>0</v>
      </c>
      <c r="V414" s="1730">
        <v>0</v>
      </c>
      <c r="W414" s="1685"/>
      <c r="X414" s="1685"/>
      <c r="Y414" s="1685"/>
      <c r="Z414" s="1685"/>
      <c r="AA414" s="1685"/>
      <c r="AB414" s="1685"/>
      <c r="AC414" s="1685"/>
      <c r="AD414" s="1685"/>
    </row>
    <row r="415" spans="1:30" ht="15.75">
      <c r="A415" s="1685"/>
      <c r="B415" s="1692" t="s">
        <v>209</v>
      </c>
      <c r="C415" s="1757">
        <v>0</v>
      </c>
      <c r="D415" s="1695">
        <f>D413+D414</f>
        <v>0</v>
      </c>
      <c r="E415" s="1757">
        <v>0</v>
      </c>
      <c r="F415" s="1757">
        <v>0</v>
      </c>
      <c r="G415" s="1757">
        <v>0</v>
      </c>
      <c r="H415" s="1757">
        <v>0</v>
      </c>
      <c r="I415" s="1757">
        <v>0</v>
      </c>
      <c r="J415" s="1757">
        <v>0</v>
      </c>
      <c r="K415" s="1757">
        <v>0</v>
      </c>
      <c r="L415" s="1757">
        <v>0</v>
      </c>
      <c r="M415" s="1757">
        <v>0</v>
      </c>
      <c r="N415" s="1757">
        <v>0</v>
      </c>
      <c r="O415" s="1757">
        <v>0</v>
      </c>
      <c r="P415" s="1757">
        <v>0</v>
      </c>
      <c r="Q415" s="1757">
        <v>0</v>
      </c>
      <c r="R415" s="1757">
        <v>0</v>
      </c>
      <c r="S415" s="1757">
        <v>0</v>
      </c>
      <c r="T415" s="1757">
        <v>0</v>
      </c>
      <c r="U415" s="1757">
        <v>0</v>
      </c>
      <c r="V415" s="1757">
        <v>0</v>
      </c>
      <c r="W415" s="1685"/>
      <c r="X415" s="1685"/>
      <c r="Y415" s="1685"/>
      <c r="Z415" s="1685"/>
      <c r="AA415" s="1685"/>
      <c r="AB415" s="1685"/>
      <c r="AC415" s="1685"/>
      <c r="AD415" s="1685"/>
    </row>
    <row r="416" spans="1:30" ht="15.75">
      <c r="A416" s="1685"/>
      <c r="B416" s="1692"/>
      <c r="C416" s="1692"/>
      <c r="D416" s="1692"/>
      <c r="E416" s="1692"/>
      <c r="F416" s="1692"/>
      <c r="G416" s="1692"/>
      <c r="H416" s="1692"/>
      <c r="I416" s="1692"/>
      <c r="J416" s="1692"/>
      <c r="K416" s="1692"/>
      <c r="L416" s="1692"/>
      <c r="M416" s="1692"/>
      <c r="N416" s="1692"/>
      <c r="O416" s="1692"/>
      <c r="P416" s="1692"/>
      <c r="Q416" s="1692"/>
      <c r="R416" s="1692"/>
      <c r="S416" s="1692"/>
      <c r="T416" s="1692"/>
      <c r="U416" s="1692"/>
      <c r="V416" s="1692"/>
      <c r="W416" s="1685"/>
      <c r="X416" s="1685"/>
      <c r="Y416" s="1685"/>
      <c r="Z416" s="1685"/>
      <c r="AA416" s="1685"/>
      <c r="AB416" s="1685"/>
      <c r="AC416" s="1685"/>
      <c r="AD416" s="1685"/>
    </row>
    <row r="417" spans="1:30" ht="15.75">
      <c r="A417" s="1685"/>
      <c r="B417" s="1692" t="s">
        <v>101</v>
      </c>
      <c r="C417" s="1730">
        <v>0.1</v>
      </c>
      <c r="D417" s="1730">
        <v>0.1</v>
      </c>
      <c r="E417" s="1730">
        <f>58+188+0</f>
        <v>246</v>
      </c>
      <c r="F417" s="1730">
        <f>59+1+14</f>
        <v>74</v>
      </c>
      <c r="G417" s="1695">
        <f t="shared" ref="G417:V417" si="520">F417+G413</f>
        <v>74</v>
      </c>
      <c r="H417" s="1730">
        <v>95</v>
      </c>
      <c r="I417" s="1730">
        <v>0</v>
      </c>
      <c r="J417" s="1730">
        <v>0</v>
      </c>
      <c r="K417" s="1730">
        <v>0</v>
      </c>
      <c r="L417" s="1730">
        <v>0</v>
      </c>
      <c r="M417" s="1695">
        <f t="shared" si="520"/>
        <v>0</v>
      </c>
      <c r="N417" s="1695">
        <f t="shared" si="520"/>
        <v>0</v>
      </c>
      <c r="O417" s="1695">
        <f t="shared" si="520"/>
        <v>0</v>
      </c>
      <c r="P417" s="1695">
        <f t="shared" si="520"/>
        <v>0</v>
      </c>
      <c r="Q417" s="1695">
        <f t="shared" si="520"/>
        <v>0</v>
      </c>
      <c r="R417" s="1695">
        <f t="shared" si="520"/>
        <v>0</v>
      </c>
      <c r="S417" s="1695">
        <f t="shared" si="520"/>
        <v>0</v>
      </c>
      <c r="T417" s="1695">
        <f t="shared" si="520"/>
        <v>0</v>
      </c>
      <c r="U417" s="1695">
        <f t="shared" si="520"/>
        <v>0</v>
      </c>
      <c r="V417" s="1695">
        <f t="shared" si="520"/>
        <v>0</v>
      </c>
      <c r="W417" s="1685"/>
      <c r="X417" s="1685"/>
      <c r="Y417" s="1685"/>
      <c r="Z417" s="1685"/>
      <c r="AA417" s="1685"/>
      <c r="AB417" s="1685"/>
      <c r="AC417" s="1685"/>
      <c r="AD417" s="1685"/>
    </row>
    <row r="418" spans="1:30" ht="15.75">
      <c r="A418" s="1685"/>
      <c r="B418" s="1692" t="s">
        <v>210</v>
      </c>
      <c r="C418" s="1730">
        <v>0</v>
      </c>
      <c r="D418" s="1730">
        <v>0</v>
      </c>
      <c r="E418" s="1730">
        <v>0</v>
      </c>
      <c r="F418" s="1730">
        <v>0</v>
      </c>
      <c r="G418" s="1730">
        <v>0</v>
      </c>
      <c r="H418" s="1730">
        <v>0</v>
      </c>
      <c r="I418" s="1730">
        <v>0</v>
      </c>
      <c r="J418" s="1730">
        <v>0</v>
      </c>
      <c r="K418" s="1730">
        <v>0</v>
      </c>
      <c r="L418" s="1730">
        <v>0</v>
      </c>
      <c r="M418" s="1730">
        <v>0</v>
      </c>
      <c r="N418" s="1730">
        <v>0</v>
      </c>
      <c r="O418" s="1730">
        <v>0</v>
      </c>
      <c r="P418" s="1730">
        <v>0</v>
      </c>
      <c r="Q418" s="1730">
        <v>0</v>
      </c>
      <c r="R418" s="1730">
        <v>0</v>
      </c>
      <c r="S418" s="1730">
        <v>0</v>
      </c>
      <c r="T418" s="1730">
        <v>0</v>
      </c>
      <c r="U418" s="1730">
        <v>0</v>
      </c>
      <c r="V418" s="1730">
        <v>0</v>
      </c>
      <c r="W418" s="1685"/>
      <c r="X418" s="1685"/>
      <c r="Y418" s="1685"/>
      <c r="Z418" s="1685"/>
      <c r="AA418" s="1685"/>
      <c r="AB418" s="1685"/>
      <c r="AC418" s="1685"/>
      <c r="AD418" s="1685"/>
    </row>
    <row r="419" spans="1:30" ht="15.75">
      <c r="A419" s="1685"/>
      <c r="B419" s="1692"/>
      <c r="C419" s="1692"/>
      <c r="D419" s="1692"/>
      <c r="E419" s="1692"/>
      <c r="F419" s="1692"/>
      <c r="G419" s="1692"/>
      <c r="H419" s="1692"/>
      <c r="I419" s="1692"/>
      <c r="J419" s="1692"/>
      <c r="K419" s="1692"/>
      <c r="L419" s="1692"/>
      <c r="M419" s="1692"/>
      <c r="N419" s="1692"/>
      <c r="O419" s="1692"/>
      <c r="P419" s="1692"/>
      <c r="Q419" s="1692"/>
      <c r="R419" s="1692"/>
      <c r="S419" s="1692"/>
      <c r="T419" s="1692"/>
      <c r="U419" s="1692"/>
      <c r="V419" s="1692"/>
      <c r="W419" s="1685"/>
      <c r="X419" s="1685"/>
      <c r="Y419" s="1685"/>
      <c r="Z419" s="1685"/>
      <c r="AA419" s="1685"/>
      <c r="AB419" s="1685"/>
      <c r="AC419" s="1685"/>
      <c r="AD419" s="1685"/>
    </row>
    <row r="420" spans="1:30" ht="15.75">
      <c r="A420" s="1685"/>
      <c r="B420" s="1687" t="s">
        <v>111</v>
      </c>
      <c r="C420" s="1688">
        <f>C412</f>
        <v>40908</v>
      </c>
      <c r="D420" s="1688">
        <f t="shared" ref="D420:K420" si="521">D412</f>
        <v>41274</v>
      </c>
      <c r="E420" s="1688">
        <f t="shared" si="521"/>
        <v>41639</v>
      </c>
      <c r="F420" s="1688">
        <f t="shared" si="521"/>
        <v>42004</v>
      </c>
      <c r="G420" s="1688">
        <f t="shared" si="521"/>
        <v>42369</v>
      </c>
      <c r="H420" s="1688">
        <f t="shared" si="521"/>
        <v>42735</v>
      </c>
      <c r="I420" s="1688">
        <f t="shared" si="521"/>
        <v>43100</v>
      </c>
      <c r="J420" s="1688">
        <f t="shared" si="521"/>
        <v>43465</v>
      </c>
      <c r="K420" s="1688">
        <f t="shared" si="521"/>
        <v>43830</v>
      </c>
      <c r="L420" s="1688">
        <f t="shared" ref="L420:Q420" si="522">L412</f>
        <v>44196</v>
      </c>
      <c r="M420" s="1688">
        <f t="shared" si="522"/>
        <v>44561</v>
      </c>
      <c r="N420" s="1688">
        <f t="shared" si="522"/>
        <v>44926</v>
      </c>
      <c r="O420" s="1688">
        <f t="shared" si="522"/>
        <v>45291</v>
      </c>
      <c r="P420" s="1688">
        <f t="shared" si="522"/>
        <v>45657</v>
      </c>
      <c r="Q420" s="1688">
        <f t="shared" si="522"/>
        <v>46022</v>
      </c>
      <c r="R420" s="1688">
        <f t="shared" ref="R420:S420" si="523">R412</f>
        <v>46387</v>
      </c>
      <c r="S420" s="1688">
        <f t="shared" si="523"/>
        <v>46752</v>
      </c>
      <c r="T420" s="1688">
        <f t="shared" ref="T420:V420" si="524">T412</f>
        <v>47118</v>
      </c>
      <c r="U420" s="1688">
        <f t="shared" si="524"/>
        <v>47483</v>
      </c>
      <c r="V420" s="1688">
        <f t="shared" si="524"/>
        <v>47848</v>
      </c>
      <c r="W420" s="1685"/>
      <c r="X420" s="1685"/>
      <c r="Y420" s="1685"/>
      <c r="Z420" s="1685"/>
      <c r="AA420" s="1685"/>
      <c r="AB420" s="1685"/>
      <c r="AC420" s="1685"/>
      <c r="AD420" s="1685"/>
    </row>
    <row r="421" spans="1:30" ht="15.75">
      <c r="A421" s="1685"/>
      <c r="B421" s="1692" t="s">
        <v>111</v>
      </c>
      <c r="C421" s="1730">
        <v>0</v>
      </c>
      <c r="D421" s="1730"/>
      <c r="E421" s="1730">
        <f>SUM(Quarts!K177:L177)</f>
        <v>92</v>
      </c>
      <c r="F421" s="1730">
        <f>SUM(Quarts!V177:W177)</f>
        <v>68</v>
      </c>
      <c r="G421" s="1738">
        <f>G423+G424</f>
        <v>83.679999999999993</v>
      </c>
      <c r="H421" s="1738">
        <f t="shared" ref="H421:P421" ca="1" si="525">H423+H424</f>
        <v>111.2</v>
      </c>
      <c r="I421" s="1732">
        <v>-20.6</v>
      </c>
      <c r="J421" s="1732">
        <v>-290.60000000000002</v>
      </c>
      <c r="K421" s="1732">
        <v>-102.3</v>
      </c>
      <c r="L421" s="1732">
        <v>-121.7</v>
      </c>
      <c r="M421" s="1732">
        <v>-50</v>
      </c>
      <c r="N421" s="1732">
        <v>-26.3</v>
      </c>
      <c r="O421" s="1732">
        <v>-13.2</v>
      </c>
      <c r="P421" s="1738">
        <f t="shared" ca="1" si="525"/>
        <v>77.84076919798315</v>
      </c>
      <c r="Q421" s="1738">
        <f t="shared" ref="Q421:V421" ca="1" si="526">Q423+Q424</f>
        <v>84.452359165802662</v>
      </c>
      <c r="R421" s="1738">
        <f t="shared" si="526"/>
        <v>50</v>
      </c>
      <c r="S421" s="1738">
        <f t="shared" si="526"/>
        <v>55</v>
      </c>
      <c r="T421" s="1738">
        <f t="shared" si="526"/>
        <v>60</v>
      </c>
      <c r="U421" s="1738">
        <f t="shared" si="526"/>
        <v>65</v>
      </c>
      <c r="V421" s="1738">
        <f t="shared" si="526"/>
        <v>70</v>
      </c>
      <c r="W421" s="1685"/>
      <c r="X421" s="1685"/>
      <c r="Y421" s="1685"/>
      <c r="Z421" s="1685"/>
      <c r="AA421" s="1685"/>
      <c r="AB421" s="1685"/>
      <c r="AC421" s="1685"/>
      <c r="AD421" s="1685"/>
    </row>
    <row r="422" spans="1:30" ht="15.75">
      <c r="A422" s="1685"/>
      <c r="B422" s="1692"/>
      <c r="C422" s="1730"/>
      <c r="D422" s="1730"/>
      <c r="E422" s="1730"/>
      <c r="F422" s="1730"/>
      <c r="G422" s="1738"/>
      <c r="H422" s="1738"/>
      <c r="I422" s="1738"/>
      <c r="J422" s="1738"/>
      <c r="K422" s="1738"/>
      <c r="L422" s="1738"/>
      <c r="M422" s="1738"/>
      <c r="N422" s="1738"/>
      <c r="O422" s="1738"/>
      <c r="P422" s="1738"/>
      <c r="Q422" s="1738"/>
      <c r="R422" s="1738"/>
      <c r="S422" s="1738"/>
      <c r="T422" s="1738"/>
      <c r="U422" s="1738"/>
      <c r="V422" s="1738"/>
      <c r="W422" s="1685"/>
      <c r="X422" s="1685"/>
      <c r="Y422" s="1685"/>
      <c r="Z422" s="1685"/>
      <c r="AA422" s="1685"/>
      <c r="AB422" s="1685"/>
      <c r="AC422" s="1685"/>
      <c r="AD422" s="1685"/>
    </row>
    <row r="423" spans="1:30" ht="15.75">
      <c r="A423" s="1685"/>
      <c r="B423" s="1692" t="s">
        <v>29</v>
      </c>
      <c r="C423" s="1730"/>
      <c r="D423" s="1730"/>
      <c r="E423" s="1730"/>
      <c r="F423" s="1730">
        <f>F421</f>
        <v>68</v>
      </c>
      <c r="G423" s="1738">
        <f>F423+10</f>
        <v>78</v>
      </c>
      <c r="H423" s="1738">
        <f>G423+10</f>
        <v>88</v>
      </c>
      <c r="I423" s="1745">
        <f ca="1">I421-I424</f>
        <v>-5.5039999999999996</v>
      </c>
      <c r="J423" s="1745">
        <f ca="1">J421-J424</f>
        <v>-279.76013515472448</v>
      </c>
      <c r="K423" s="1745">
        <v>22</v>
      </c>
      <c r="L423" s="1745">
        <v>24</v>
      </c>
      <c r="M423" s="1745">
        <v>25</v>
      </c>
      <c r="N423" s="1745">
        <f t="shared" ref="N423:V423" si="527">M423+5</f>
        <v>30</v>
      </c>
      <c r="O423" s="1745">
        <f t="shared" si="527"/>
        <v>35</v>
      </c>
      <c r="P423" s="1745">
        <f t="shared" si="527"/>
        <v>40</v>
      </c>
      <c r="Q423" s="1745">
        <f t="shared" si="527"/>
        <v>45</v>
      </c>
      <c r="R423" s="1745">
        <f t="shared" si="527"/>
        <v>50</v>
      </c>
      <c r="S423" s="1745">
        <f t="shared" si="527"/>
        <v>55</v>
      </c>
      <c r="T423" s="1745">
        <f t="shared" si="527"/>
        <v>60</v>
      </c>
      <c r="U423" s="1745">
        <f t="shared" si="527"/>
        <v>65</v>
      </c>
      <c r="V423" s="1745">
        <f t="shared" si="527"/>
        <v>70</v>
      </c>
      <c r="W423" s="1685"/>
      <c r="X423" s="1685"/>
      <c r="Y423" s="1685"/>
      <c r="Z423" s="1685"/>
      <c r="AA423" s="1685"/>
      <c r="AB423" s="1685"/>
      <c r="AC423" s="1685"/>
      <c r="AD423" s="1685"/>
    </row>
    <row r="424" spans="1:30" ht="15.75">
      <c r="A424" s="1685"/>
      <c r="B424" s="1692" t="s">
        <v>467</v>
      </c>
      <c r="C424" s="1730"/>
      <c r="D424" s="1730"/>
      <c r="E424" s="1730"/>
      <c r="F424" s="1730"/>
      <c r="G424" s="1738">
        <f>-LiLAC!P159</f>
        <v>5.6799999999999988</v>
      </c>
      <c r="H424" s="1738">
        <f ca="1">-LiLAC!Q159</f>
        <v>23.200000000000003</v>
      </c>
      <c r="I424" s="1738">
        <f ca="1">-LiLAC!R159</f>
        <v>-15.096000000000002</v>
      </c>
      <c r="J424" s="1738">
        <f ca="1">-LiLAC!S159</f>
        <v>-10.839864845275535</v>
      </c>
      <c r="K424" s="1738">
        <f ca="1">-LiLAC!T159</f>
        <v>8.0539596328972625</v>
      </c>
      <c r="L424" s="1738">
        <f ca="1">-LiLAC!U159</f>
        <v>9.9179086252590594</v>
      </c>
      <c r="M424" s="1738">
        <f ca="1">-LiLAC!V159</f>
        <v>13.959958139733004</v>
      </c>
      <c r="N424" s="1738">
        <f ca="1">-LiLAC!W159</f>
        <v>23.459710775972116</v>
      </c>
      <c r="O424" s="1738">
        <f ca="1">-LiLAC!X159</f>
        <v>33.406271107701734</v>
      </c>
      <c r="P424" s="1738">
        <f ca="1">-LiLAC!Y159</f>
        <v>37.840769197983143</v>
      </c>
      <c r="Q424" s="1738">
        <f ca="1">-LiLAC!Z159</f>
        <v>39.452359165802662</v>
      </c>
      <c r="R424" s="1738">
        <f>-LiLAC!AA159</f>
        <v>0</v>
      </c>
      <c r="S424" s="1738">
        <f>-LiLAC!AB159</f>
        <v>0</v>
      </c>
      <c r="T424" s="1738">
        <f>-LiLAC!AC159</f>
        <v>0</v>
      </c>
      <c r="U424" s="1738">
        <f>-LiLAC!AD159</f>
        <v>0</v>
      </c>
      <c r="V424" s="1738">
        <f>-LiLAC!AE159</f>
        <v>0</v>
      </c>
      <c r="W424" s="1685"/>
      <c r="X424" s="1685"/>
      <c r="Y424" s="1685"/>
      <c r="Z424" s="1685"/>
      <c r="AA424" s="1685"/>
      <c r="AB424" s="1685"/>
      <c r="AC424" s="1685"/>
      <c r="AD424" s="1685"/>
    </row>
    <row r="425" spans="1:30" ht="15.75">
      <c r="A425" s="1685"/>
      <c r="B425" s="1692"/>
      <c r="C425" s="1730"/>
      <c r="D425" s="1730"/>
      <c r="E425" s="1730"/>
      <c r="F425" s="1730"/>
      <c r="G425" s="1738"/>
      <c r="H425" s="1738"/>
      <c r="I425" s="1738"/>
      <c r="J425" s="1738"/>
      <c r="K425" s="1738"/>
      <c r="L425" s="1738"/>
      <c r="M425" s="1738"/>
      <c r="N425" s="1738"/>
      <c r="O425" s="1738"/>
      <c r="P425" s="1738"/>
      <c r="Q425" s="1738"/>
      <c r="R425" s="1738"/>
      <c r="S425" s="1738"/>
      <c r="T425" s="1738"/>
      <c r="U425" s="1738"/>
      <c r="V425" s="1738"/>
      <c r="W425" s="1685"/>
      <c r="X425" s="1685"/>
      <c r="Y425" s="1685"/>
      <c r="Z425" s="1685"/>
      <c r="AA425" s="1685"/>
      <c r="AB425" s="1685"/>
      <c r="AC425" s="1685"/>
      <c r="AD425" s="1685"/>
    </row>
    <row r="426" spans="1:30" ht="15.75">
      <c r="A426" s="1685"/>
      <c r="B426" s="1692" t="s">
        <v>188</v>
      </c>
      <c r="C426" s="1730"/>
      <c r="D426" s="1730"/>
      <c r="E426" s="1730"/>
      <c r="F426" s="1730"/>
      <c r="G426" s="1692"/>
      <c r="H426" s="1692"/>
      <c r="I426" s="1692"/>
      <c r="J426" s="1692"/>
      <c r="K426" s="1692"/>
      <c r="L426" s="1692"/>
      <c r="M426" s="1692"/>
      <c r="N426" s="1692"/>
      <c r="O426" s="1692"/>
      <c r="P426" s="1692"/>
      <c r="Q426" s="1692"/>
      <c r="R426" s="1692"/>
      <c r="S426" s="1692"/>
      <c r="T426" s="1692"/>
      <c r="U426" s="1692"/>
      <c r="V426" s="1692"/>
      <c r="W426" s="1685"/>
      <c r="X426" s="1685"/>
      <c r="Y426" s="1685"/>
      <c r="Z426" s="1685"/>
      <c r="AA426" s="1685"/>
      <c r="AB426" s="1685"/>
      <c r="AC426" s="1685"/>
      <c r="AD426" s="1685"/>
    </row>
    <row r="427" spans="1:30" ht="15.75">
      <c r="A427" s="1685"/>
      <c r="B427" s="1692" t="s">
        <v>211</v>
      </c>
      <c r="C427" s="1695">
        <f>C421-C426</f>
        <v>0</v>
      </c>
      <c r="D427" s="1695">
        <f>D421-D426</f>
        <v>0</v>
      </c>
      <c r="E427" s="1694">
        <f t="shared" ref="E427:V427" si="528">D427*1.05</f>
        <v>0</v>
      </c>
      <c r="F427" s="1694">
        <f t="shared" si="528"/>
        <v>0</v>
      </c>
      <c r="G427" s="1694">
        <f t="shared" si="528"/>
        <v>0</v>
      </c>
      <c r="H427" s="1694">
        <f t="shared" si="528"/>
        <v>0</v>
      </c>
      <c r="I427" s="1694">
        <f t="shared" si="528"/>
        <v>0</v>
      </c>
      <c r="J427" s="1694">
        <f t="shared" si="528"/>
        <v>0</v>
      </c>
      <c r="K427" s="1694">
        <f t="shared" si="528"/>
        <v>0</v>
      </c>
      <c r="L427" s="1694">
        <f t="shared" si="528"/>
        <v>0</v>
      </c>
      <c r="M427" s="1694">
        <f t="shared" si="528"/>
        <v>0</v>
      </c>
      <c r="N427" s="1694">
        <f t="shared" si="528"/>
        <v>0</v>
      </c>
      <c r="O427" s="1694">
        <f t="shared" si="528"/>
        <v>0</v>
      </c>
      <c r="P427" s="1694">
        <f t="shared" si="528"/>
        <v>0</v>
      </c>
      <c r="Q427" s="1694">
        <f t="shared" si="528"/>
        <v>0</v>
      </c>
      <c r="R427" s="1694">
        <f t="shared" si="528"/>
        <v>0</v>
      </c>
      <c r="S427" s="1694">
        <f t="shared" si="528"/>
        <v>0</v>
      </c>
      <c r="T427" s="1694">
        <f t="shared" si="528"/>
        <v>0</v>
      </c>
      <c r="U427" s="1694">
        <f t="shared" si="528"/>
        <v>0</v>
      </c>
      <c r="V427" s="1694">
        <f t="shared" si="528"/>
        <v>0</v>
      </c>
      <c r="W427" s="1685"/>
      <c r="X427" s="1685"/>
      <c r="Y427" s="1685"/>
      <c r="Z427" s="1685"/>
      <c r="AA427" s="1685"/>
      <c r="AB427" s="1685"/>
      <c r="AC427" s="1685"/>
      <c r="AD427" s="1685"/>
    </row>
    <row r="428" spans="1:30" ht="15.75">
      <c r="A428" s="1685"/>
      <c r="B428" s="1692"/>
      <c r="C428" s="1695"/>
      <c r="D428" s="1695"/>
      <c r="E428" s="1695"/>
      <c r="F428" s="1695"/>
      <c r="G428" s="1695"/>
      <c r="H428" s="1695"/>
      <c r="I428" s="1695"/>
      <c r="J428" s="1695"/>
      <c r="K428" s="1695"/>
      <c r="L428" s="1695"/>
      <c r="M428" s="1695"/>
      <c r="N428" s="1695"/>
      <c r="O428" s="1695"/>
      <c r="P428" s="1695"/>
      <c r="Q428" s="1695"/>
      <c r="R428" s="1695"/>
      <c r="S428" s="1695"/>
      <c r="T428" s="1695"/>
      <c r="U428" s="1695"/>
      <c r="V428" s="1695"/>
      <c r="W428" s="1685"/>
      <c r="X428" s="1685"/>
      <c r="Y428" s="1685"/>
      <c r="Z428" s="1685"/>
      <c r="AA428" s="1685"/>
      <c r="AB428" s="1685"/>
      <c r="AC428" s="1685"/>
      <c r="AD428" s="1685"/>
    </row>
    <row r="429" spans="1:30" ht="15.75">
      <c r="A429" s="1685"/>
      <c r="B429" s="1692" t="s">
        <v>212</v>
      </c>
      <c r="C429" s="1730">
        <v>0</v>
      </c>
      <c r="D429" s="1730"/>
      <c r="E429" s="1730">
        <v>350</v>
      </c>
      <c r="F429" s="1730">
        <v>340</v>
      </c>
      <c r="G429" s="1695">
        <f>F429+G421-G448</f>
        <v>337.68</v>
      </c>
      <c r="H429" s="1730">
        <v>1480.8</v>
      </c>
      <c r="I429" s="1730">
        <v>1361</v>
      </c>
      <c r="J429" s="1730">
        <v>1010.8</v>
      </c>
      <c r="K429" s="1730">
        <v>870.1</v>
      </c>
      <c r="L429" s="1730">
        <v>729</v>
      </c>
      <c r="M429" s="1730">
        <v>677.4</v>
      </c>
      <c r="N429" s="1730">
        <v>648.70000000000005</v>
      </c>
      <c r="O429" s="1730">
        <v>546.20000000000005</v>
      </c>
      <c r="P429" s="1695">
        <f t="shared" ref="P429:V429" ca="1" si="529">O429+P421-P448</f>
        <v>589.0407691979832</v>
      </c>
      <c r="Q429" s="1695">
        <f t="shared" ca="1" si="529"/>
        <v>623.4931283637859</v>
      </c>
      <c r="R429" s="1695">
        <f t="shared" ca="1" si="529"/>
        <v>623.4931283637859</v>
      </c>
      <c r="S429" s="1695">
        <f t="shared" ca="1" si="529"/>
        <v>628.4931283637859</v>
      </c>
      <c r="T429" s="1695">
        <f t="shared" ca="1" si="529"/>
        <v>638.4931283637859</v>
      </c>
      <c r="U429" s="1695">
        <f t="shared" ca="1" si="529"/>
        <v>653.4931283637859</v>
      </c>
      <c r="V429" s="1695">
        <f t="shared" ca="1" si="529"/>
        <v>673.4931283637859</v>
      </c>
      <c r="W429" s="1685"/>
      <c r="X429" s="1685"/>
      <c r="Y429" s="1685"/>
      <c r="Z429" s="1685"/>
      <c r="AA429" s="1685"/>
      <c r="AB429" s="1685"/>
      <c r="AC429" s="1685"/>
      <c r="AD429" s="1685"/>
    </row>
    <row r="430" spans="1:30" ht="15.75">
      <c r="A430" s="1685"/>
      <c r="B430" s="1692"/>
      <c r="C430" s="1692"/>
      <c r="D430" s="1692"/>
      <c r="E430" s="1692"/>
      <c r="F430" s="1692"/>
      <c r="G430" s="1692"/>
      <c r="H430" s="1692"/>
      <c r="I430" s="1692"/>
      <c r="J430" s="1692"/>
      <c r="K430" s="1692"/>
      <c r="L430" s="1692"/>
      <c r="M430" s="1692"/>
      <c r="N430" s="1692"/>
      <c r="O430" s="1692"/>
      <c r="P430" s="1692"/>
      <c r="Q430" s="1692"/>
      <c r="R430" s="1692"/>
      <c r="S430" s="1692"/>
      <c r="T430" s="1692"/>
      <c r="U430" s="1692"/>
      <c r="V430" s="1692"/>
      <c r="W430" s="1685"/>
      <c r="X430" s="1685"/>
      <c r="Y430" s="1685"/>
      <c r="Z430" s="1685"/>
      <c r="AA430" s="1685"/>
      <c r="AB430" s="1685"/>
      <c r="AC430" s="1685"/>
      <c r="AD430" s="1685"/>
    </row>
    <row r="431" spans="1:30" ht="15.75">
      <c r="A431" s="1685"/>
      <c r="B431" s="1687" t="s">
        <v>112</v>
      </c>
      <c r="C431" s="1688">
        <f t="shared" ref="C431:P431" si="530">C420</f>
        <v>40908</v>
      </c>
      <c r="D431" s="1688">
        <f t="shared" si="530"/>
        <v>41274</v>
      </c>
      <c r="E431" s="1688">
        <f t="shared" si="530"/>
        <v>41639</v>
      </c>
      <c r="F431" s="1688">
        <f t="shared" si="530"/>
        <v>42004</v>
      </c>
      <c r="G431" s="1688">
        <f t="shared" si="530"/>
        <v>42369</v>
      </c>
      <c r="H431" s="1688">
        <f t="shared" si="530"/>
        <v>42735</v>
      </c>
      <c r="I431" s="1688">
        <f t="shared" si="530"/>
        <v>43100</v>
      </c>
      <c r="J431" s="1688">
        <f t="shared" si="530"/>
        <v>43465</v>
      </c>
      <c r="K431" s="1688">
        <f t="shared" si="530"/>
        <v>43830</v>
      </c>
      <c r="L431" s="1688">
        <f t="shared" si="530"/>
        <v>44196</v>
      </c>
      <c r="M431" s="1688">
        <f t="shared" si="530"/>
        <v>44561</v>
      </c>
      <c r="N431" s="1688">
        <f t="shared" si="530"/>
        <v>44926</v>
      </c>
      <c r="O431" s="1688">
        <f t="shared" si="530"/>
        <v>45291</v>
      </c>
      <c r="P431" s="1688">
        <f t="shared" si="530"/>
        <v>45657</v>
      </c>
      <c r="Q431" s="1688">
        <f t="shared" ref="Q431:V431" si="531">Q420</f>
        <v>46022</v>
      </c>
      <c r="R431" s="1688">
        <f t="shared" si="531"/>
        <v>46387</v>
      </c>
      <c r="S431" s="1688">
        <f t="shared" si="531"/>
        <v>46752</v>
      </c>
      <c r="T431" s="1688">
        <f t="shared" si="531"/>
        <v>47118</v>
      </c>
      <c r="U431" s="1688">
        <f t="shared" si="531"/>
        <v>47483</v>
      </c>
      <c r="V431" s="1688">
        <f t="shared" si="531"/>
        <v>47848</v>
      </c>
      <c r="W431" s="1685"/>
      <c r="X431" s="1685"/>
      <c r="Y431" s="1685"/>
      <c r="Z431" s="1685"/>
      <c r="AA431" s="1685"/>
      <c r="AB431" s="1685"/>
      <c r="AC431" s="1685"/>
      <c r="AD431" s="1685"/>
    </row>
    <row r="432" spans="1:30" ht="15.75">
      <c r="A432" s="1685"/>
      <c r="B432" s="1692" t="s">
        <v>112</v>
      </c>
      <c r="C432" s="1730"/>
      <c r="D432" s="1730"/>
      <c r="E432" s="1730">
        <v>489</v>
      </c>
      <c r="F432" s="1730">
        <v>1136</v>
      </c>
      <c r="G432" s="1695">
        <f>F432+SUM(G433:G440)</f>
        <v>1136</v>
      </c>
      <c r="H432" s="1730">
        <v>4252.6000000000004</v>
      </c>
      <c r="I432" s="1730">
        <v>3330</v>
      </c>
      <c r="J432" s="1730">
        <v>3112.6</v>
      </c>
      <c r="K432" s="1730">
        <v>3109.8</v>
      </c>
      <c r="L432" s="1730">
        <v>2714.7</v>
      </c>
      <c r="M432" s="1730">
        <v>2236</v>
      </c>
      <c r="N432" s="1730">
        <v>1917.4</v>
      </c>
      <c r="O432" s="1730">
        <v>1763.5</v>
      </c>
      <c r="P432" s="1695">
        <f t="shared" ref="P432:V432" ca="1" si="532">O432+SUM(P433:P440)</f>
        <v>988.05243163321586</v>
      </c>
      <c r="Q432" s="1695">
        <f t="shared" ca="1" si="532"/>
        <v>944.00005792794354</v>
      </c>
      <c r="R432" s="1695">
        <f t="shared" ca="1" si="532"/>
        <v>1007.798635931788</v>
      </c>
      <c r="S432" s="1695">
        <f t="shared" ca="1" si="532"/>
        <v>1106.383412264538</v>
      </c>
      <c r="T432" s="1695">
        <f t="shared" ca="1" si="532"/>
        <v>1232.810827735645</v>
      </c>
      <c r="U432" s="1695">
        <f t="shared" ca="1" si="532"/>
        <v>1370.4025169952811</v>
      </c>
      <c r="V432" s="1695">
        <f t="shared" ca="1" si="532"/>
        <v>1518.8799699228946</v>
      </c>
      <c r="W432" s="1685"/>
      <c r="X432" s="1685"/>
      <c r="Y432" s="1685"/>
      <c r="Z432" s="1685"/>
      <c r="AA432" s="1685"/>
      <c r="AB432" s="1685"/>
      <c r="AC432" s="1685"/>
      <c r="AD432" s="1685"/>
    </row>
    <row r="433" spans="1:30" ht="15.75">
      <c r="A433" s="1685"/>
      <c r="B433" s="1692" t="s">
        <v>69</v>
      </c>
      <c r="C433" s="1695">
        <f t="shared" ref="C433:V433" si="533">C30</f>
        <v>0</v>
      </c>
      <c r="D433" s="1695">
        <f t="shared" si="533"/>
        <v>0</v>
      </c>
      <c r="E433" s="1695">
        <f t="shared" si="533"/>
        <v>0</v>
      </c>
      <c r="F433" s="1695">
        <f t="shared" si="533"/>
        <v>0</v>
      </c>
      <c r="G433" s="1695">
        <f t="shared" si="533"/>
        <v>0</v>
      </c>
      <c r="H433" s="1695" t="e">
        <f t="shared" ca="1" si="533"/>
        <v>#DIV/0!</v>
      </c>
      <c r="I433" s="1695">
        <f t="shared" si="533"/>
        <v>-726.30000000000007</v>
      </c>
      <c r="J433" s="1695">
        <f t="shared" si="533"/>
        <v>-344.72823862840039</v>
      </c>
      <c r="K433" s="1695">
        <f t="shared" si="533"/>
        <v>-97.500000000000128</v>
      </c>
      <c r="L433" s="1695">
        <f t="shared" si="533"/>
        <v>-687.19999999999982</v>
      </c>
      <c r="M433" s="1695">
        <f t="shared" si="533"/>
        <v>-450.50643889618914</v>
      </c>
      <c r="N433" s="1695">
        <f t="shared" si="533"/>
        <v>-175.70000000000019</v>
      </c>
      <c r="O433" s="1695">
        <f t="shared" si="533"/>
        <v>-73.800000000000054</v>
      </c>
      <c r="P433" s="1695">
        <f t="shared" ca="1" si="533"/>
        <v>-625.44756836678414</v>
      </c>
      <c r="Q433" s="1695">
        <f t="shared" ca="1" si="533"/>
        <v>90.947626294727641</v>
      </c>
      <c r="R433" s="1695">
        <f t="shared" ca="1" si="533"/>
        <v>160.99857800384441</v>
      </c>
      <c r="S433" s="1695">
        <f t="shared" ca="1" si="533"/>
        <v>203.56077633275038</v>
      </c>
      <c r="T433" s="1695">
        <f t="shared" ca="1" si="533"/>
        <v>239.80149547110881</v>
      </c>
      <c r="U433" s="1695">
        <f t="shared" ca="1" si="533"/>
        <v>260.03569565958799</v>
      </c>
      <c r="V433" s="1695">
        <f t="shared" ca="1" si="533"/>
        <v>280.71697983940317</v>
      </c>
      <c r="W433" s="1685"/>
      <c r="X433" s="1685"/>
      <c r="Y433" s="1685"/>
      <c r="Z433" s="1685"/>
      <c r="AA433" s="1685"/>
      <c r="AB433" s="1685"/>
      <c r="AC433" s="1685"/>
      <c r="AD433" s="1685"/>
    </row>
    <row r="434" spans="1:30" ht="15.75">
      <c r="A434" s="1685"/>
      <c r="B434" s="1692" t="s">
        <v>213</v>
      </c>
      <c r="C434" s="1695"/>
      <c r="D434" s="1695">
        <f t="shared" ref="D434:V434" si="534">-C485-D450</f>
        <v>0</v>
      </c>
      <c r="E434" s="1695">
        <f t="shared" si="534"/>
        <v>0</v>
      </c>
      <c r="F434" s="1695">
        <f t="shared" si="534"/>
        <v>-100</v>
      </c>
      <c r="G434" s="1695">
        <f t="shared" si="534"/>
        <v>0</v>
      </c>
      <c r="H434" s="1695">
        <f t="shared" si="534"/>
        <v>-194</v>
      </c>
      <c r="I434" s="1695">
        <f t="shared" si="534"/>
        <v>0</v>
      </c>
      <c r="J434" s="1695">
        <f t="shared" si="534"/>
        <v>0</v>
      </c>
      <c r="K434" s="1695">
        <f t="shared" si="534"/>
        <v>0</v>
      </c>
      <c r="L434" s="1695">
        <f t="shared" si="534"/>
        <v>0</v>
      </c>
      <c r="M434" s="1695">
        <f t="shared" si="534"/>
        <v>0</v>
      </c>
      <c r="N434" s="1695">
        <f t="shared" si="534"/>
        <v>0</v>
      </c>
      <c r="O434" s="1695">
        <f t="shared" si="534"/>
        <v>0</v>
      </c>
      <c r="P434" s="1695">
        <f t="shared" si="534"/>
        <v>0</v>
      </c>
      <c r="Q434" s="1695">
        <f t="shared" si="534"/>
        <v>0</v>
      </c>
      <c r="R434" s="1695">
        <f t="shared" si="534"/>
        <v>0</v>
      </c>
      <c r="S434" s="1695">
        <f t="shared" si="534"/>
        <v>0</v>
      </c>
      <c r="T434" s="1695">
        <f t="shared" si="534"/>
        <v>0</v>
      </c>
      <c r="U434" s="1695">
        <f t="shared" si="534"/>
        <v>0</v>
      </c>
      <c r="V434" s="1695">
        <f t="shared" si="534"/>
        <v>0</v>
      </c>
      <c r="W434" s="1685"/>
      <c r="X434" s="1685"/>
      <c r="Y434" s="1685"/>
      <c r="Z434" s="1685"/>
      <c r="AA434" s="1685"/>
      <c r="AB434" s="1685"/>
      <c r="AC434" s="1685"/>
      <c r="AD434" s="1685"/>
    </row>
    <row r="435" spans="1:30" ht="15.75">
      <c r="A435" s="1685"/>
      <c r="B435" s="1692" t="s">
        <v>214</v>
      </c>
      <c r="C435" s="1695"/>
      <c r="D435" s="1695"/>
      <c r="E435" s="1695"/>
      <c r="F435" s="1695"/>
      <c r="G435" s="1695"/>
      <c r="H435" s="1695">
        <f>-H442*H444</f>
        <v>-25.2800000000002</v>
      </c>
      <c r="I435" s="1695">
        <f t="shared" ref="I435:P435" si="535">-I442*I444</f>
        <v>-50</v>
      </c>
      <c r="J435" s="1695">
        <f t="shared" si="535"/>
        <v>0</v>
      </c>
      <c r="K435" s="1695">
        <f t="shared" si="535"/>
        <v>0</v>
      </c>
      <c r="L435" s="1695">
        <f t="shared" si="535"/>
        <v>-10.67</v>
      </c>
      <c r="M435" s="1694">
        <v>-65</v>
      </c>
      <c r="N435" s="1695">
        <f t="shared" si="535"/>
        <v>-183.35</v>
      </c>
      <c r="O435" s="1695">
        <f t="shared" si="535"/>
        <v>-100.10000000000001</v>
      </c>
      <c r="P435" s="1695">
        <f t="shared" si="535"/>
        <v>-150</v>
      </c>
      <c r="Q435" s="1695">
        <f t="shared" ref="Q435:V435" si="536">-Q442*Q444</f>
        <v>-135</v>
      </c>
      <c r="R435" s="1695">
        <f t="shared" si="536"/>
        <v>-97.2</v>
      </c>
      <c r="S435" s="1695">
        <f t="shared" si="536"/>
        <v>-104.97600000000003</v>
      </c>
      <c r="T435" s="1695">
        <f t="shared" si="536"/>
        <v>-113.37408000000003</v>
      </c>
      <c r="U435" s="1695">
        <f t="shared" si="536"/>
        <v>-122.44400640000003</v>
      </c>
      <c r="V435" s="1695">
        <f t="shared" si="536"/>
        <v>-132.23952691200003</v>
      </c>
      <c r="W435" s="1685"/>
      <c r="X435" s="1685"/>
      <c r="Y435" s="1685"/>
      <c r="Z435" s="1685"/>
      <c r="AA435" s="1685"/>
      <c r="AB435" s="1685"/>
      <c r="AC435" s="1685"/>
      <c r="AD435" s="1685"/>
    </row>
    <row r="436" spans="1:30" ht="15.75">
      <c r="A436" s="1685"/>
      <c r="B436" s="1692" t="s">
        <v>271</v>
      </c>
      <c r="C436" s="1695"/>
      <c r="D436" s="1695"/>
      <c r="E436" s="1757"/>
      <c r="F436" s="1757">
        <f>252.812284*0.45*1.55</f>
        <v>176.33656809000001</v>
      </c>
      <c r="G436" s="1695"/>
      <c r="H436" s="1695"/>
      <c r="I436" s="1695"/>
      <c r="J436" s="1695"/>
      <c r="K436" s="1695"/>
      <c r="L436" s="1695"/>
      <c r="M436" s="1695"/>
      <c r="N436" s="1695"/>
      <c r="O436" s="1695"/>
      <c r="P436" s="1695"/>
      <c r="Q436" s="1695"/>
      <c r="R436" s="1695"/>
      <c r="S436" s="1695"/>
      <c r="T436" s="1695"/>
      <c r="U436" s="1695"/>
      <c r="V436" s="1695"/>
      <c r="W436" s="1685"/>
      <c r="X436" s="1685"/>
      <c r="Y436" s="1685"/>
      <c r="Z436" s="1685"/>
      <c r="AA436" s="1685"/>
      <c r="AB436" s="1685"/>
      <c r="AC436" s="1685"/>
      <c r="AD436" s="1685"/>
    </row>
    <row r="437" spans="1:30" ht="15.75">
      <c r="A437" s="1685"/>
      <c r="B437" s="1692" t="s">
        <v>272</v>
      </c>
      <c r="C437" s="1695"/>
      <c r="D437" s="1695"/>
      <c r="E437" s="1757"/>
      <c r="F437" s="1757">
        <f>1557.529605*0.5</f>
        <v>778.76480249999997</v>
      </c>
      <c r="G437" s="1695"/>
      <c r="H437" s="1695"/>
      <c r="I437" s="1695"/>
      <c r="J437" s="1695"/>
      <c r="K437" s="1695"/>
      <c r="L437" s="1694">
        <v>350</v>
      </c>
      <c r="M437" s="1695"/>
      <c r="N437" s="1695"/>
      <c r="O437" s="1695"/>
      <c r="P437" s="1695"/>
      <c r="Q437" s="1695"/>
      <c r="R437" s="1695"/>
      <c r="S437" s="1695"/>
      <c r="T437" s="1695"/>
      <c r="U437" s="1695"/>
      <c r="V437" s="1695"/>
      <c r="W437" s="1685"/>
      <c r="X437" s="1685"/>
      <c r="Y437" s="1685"/>
      <c r="Z437" s="1685"/>
      <c r="AA437" s="1685"/>
      <c r="AB437" s="1685"/>
      <c r="AC437" s="1685"/>
      <c r="AD437" s="1685"/>
    </row>
    <row r="438" spans="1:30" ht="15.75">
      <c r="A438" s="1685"/>
      <c r="B438" s="1692" t="s">
        <v>5095</v>
      </c>
      <c r="C438" s="1695"/>
      <c r="D438" s="1695"/>
      <c r="E438" s="1695"/>
      <c r="F438" s="1695"/>
      <c r="G438" s="1695"/>
      <c r="H438" s="1695"/>
      <c r="I438" s="1695"/>
      <c r="J438" s="1695"/>
      <c r="K438" s="1695"/>
      <c r="L438" s="1759">
        <f>Notes!D2735</f>
        <v>7.14</v>
      </c>
      <c r="M438" s="1695"/>
      <c r="N438" s="1695"/>
      <c r="O438" s="1695"/>
      <c r="P438" s="1695"/>
      <c r="Q438" s="1695"/>
      <c r="R438" s="1695"/>
      <c r="S438" s="1695"/>
      <c r="T438" s="1695"/>
      <c r="U438" s="1695"/>
      <c r="V438" s="1695"/>
      <c r="W438" s="1685"/>
      <c r="X438" s="1685"/>
      <c r="Y438" s="1685"/>
      <c r="Z438" s="1685"/>
      <c r="AA438" s="1685"/>
      <c r="AB438" s="1685"/>
      <c r="AC438" s="1685"/>
      <c r="AD438" s="1685"/>
    </row>
    <row r="439" spans="1:30" ht="15.75">
      <c r="A439" s="1685"/>
      <c r="B439" s="1692" t="s">
        <v>4171</v>
      </c>
      <c r="C439" s="1695"/>
      <c r="D439" s="1695"/>
      <c r="E439" s="1695"/>
      <c r="F439" s="1695"/>
      <c r="G439" s="1695"/>
      <c r="H439" s="1695"/>
      <c r="I439" s="1695"/>
      <c r="J439" s="1695"/>
      <c r="K439" s="1695"/>
      <c r="L439" s="1695">
        <f>L437/L438</f>
        <v>49.019607843137258</v>
      </c>
      <c r="M439" s="1695"/>
      <c r="N439" s="1695"/>
      <c r="O439" s="1695"/>
      <c r="P439" s="1695"/>
      <c r="Q439" s="1695"/>
      <c r="R439" s="1695"/>
      <c r="S439" s="1695"/>
      <c r="T439" s="1695"/>
      <c r="U439" s="1695"/>
      <c r="V439" s="1695"/>
      <c r="W439" s="1685"/>
      <c r="X439" s="1685"/>
      <c r="Y439" s="1685"/>
      <c r="Z439" s="1685"/>
      <c r="AA439" s="1685"/>
      <c r="AB439" s="1685"/>
      <c r="AC439" s="1685"/>
      <c r="AD439" s="1685"/>
    </row>
    <row r="440" spans="1:30" ht="15.75">
      <c r="A440" s="1685"/>
      <c r="B440" s="1692" t="s">
        <v>4</v>
      </c>
      <c r="C440" s="1692"/>
      <c r="D440" s="1692"/>
      <c r="E440" s="1692"/>
      <c r="F440" s="1692"/>
      <c r="G440" s="1692"/>
      <c r="H440" s="1692"/>
      <c r="I440" s="1692"/>
      <c r="J440" s="1692"/>
      <c r="K440" s="1692"/>
      <c r="L440" s="1692"/>
      <c r="M440" s="1692"/>
      <c r="N440" s="1692"/>
      <c r="O440" s="1692"/>
      <c r="P440" s="1692"/>
      <c r="Q440" s="1692"/>
      <c r="R440" s="1692"/>
      <c r="S440" s="1692"/>
      <c r="T440" s="1692"/>
      <c r="U440" s="1692"/>
      <c r="V440" s="1692"/>
      <c r="W440" s="1685"/>
      <c r="X440" s="1685"/>
      <c r="Y440" s="1685"/>
      <c r="Z440" s="1685"/>
      <c r="AA440" s="1685"/>
      <c r="AB440" s="1685"/>
      <c r="AC440" s="1685"/>
      <c r="AD440" s="1685"/>
    </row>
    <row r="441" spans="1:30" ht="15.75">
      <c r="A441" s="1685"/>
      <c r="B441" s="1692"/>
      <c r="C441" s="1692"/>
      <c r="D441" s="1692"/>
      <c r="E441" s="1692"/>
      <c r="F441" s="1692"/>
      <c r="G441" s="1692"/>
      <c r="H441" s="1692"/>
      <c r="I441" s="1692"/>
      <c r="J441" s="1692"/>
      <c r="K441" s="1692"/>
      <c r="L441" s="1692"/>
      <c r="M441" s="1692"/>
      <c r="N441" s="1692"/>
      <c r="O441" s="1692"/>
      <c r="P441" s="1692"/>
      <c r="Q441" s="1692"/>
      <c r="R441" s="1692"/>
      <c r="S441" s="1692"/>
      <c r="T441" s="1692"/>
      <c r="U441" s="1692"/>
      <c r="V441" s="1692"/>
      <c r="W441" s="1685"/>
      <c r="X441" s="1685"/>
      <c r="Y441" s="1685"/>
      <c r="Z441" s="1685"/>
      <c r="AA441" s="1685"/>
      <c r="AB441" s="1685"/>
      <c r="AC441" s="1685"/>
      <c r="AD441" s="1685"/>
    </row>
    <row r="442" spans="1:30" ht="15.75">
      <c r="A442" s="1685"/>
      <c r="B442" s="1692" t="s">
        <v>2343</v>
      </c>
      <c r="C442" s="1695"/>
      <c r="D442" s="1695"/>
      <c r="E442" s="1695"/>
      <c r="F442" s="1695"/>
      <c r="G442" s="1695"/>
      <c r="H442" s="1694">
        <f>-H475</f>
        <v>1.26400000000001</v>
      </c>
      <c r="I442" s="1694">
        <v>2.5</v>
      </c>
      <c r="J442" s="1694">
        <v>0</v>
      </c>
      <c r="K442" s="1694">
        <v>0</v>
      </c>
      <c r="L442" s="1694">
        <f>9.7/10</f>
        <v>0.97</v>
      </c>
      <c r="M442" s="1694">
        <v>5</v>
      </c>
      <c r="N442" s="1694">
        <v>19.3</v>
      </c>
      <c r="O442" s="1694">
        <v>14.3</v>
      </c>
      <c r="P442" s="1694">
        <v>20</v>
      </c>
      <c r="Q442" s="1694">
        <v>15</v>
      </c>
      <c r="R442" s="1694">
        <v>10</v>
      </c>
      <c r="S442" s="1694">
        <v>10</v>
      </c>
      <c r="T442" s="1694">
        <v>10</v>
      </c>
      <c r="U442" s="1694">
        <v>10</v>
      </c>
      <c r="V442" s="1694">
        <v>10</v>
      </c>
      <c r="W442" s="1685"/>
      <c r="X442" s="1685"/>
      <c r="Y442" s="1685"/>
      <c r="Z442" s="1685"/>
      <c r="AA442" s="1685"/>
      <c r="AB442" s="1685"/>
      <c r="AC442" s="1685"/>
      <c r="AD442" s="1685"/>
    </row>
    <row r="443" spans="1:30" ht="15.75">
      <c r="A443" s="1685"/>
      <c r="B443" s="1692" t="s">
        <v>2344</v>
      </c>
      <c r="C443" s="1695"/>
      <c r="D443" s="1695"/>
      <c r="E443" s="1695"/>
      <c r="F443" s="1695"/>
      <c r="G443" s="1695"/>
      <c r="H443" s="1690">
        <f>H442/G470</f>
        <v>7.2643678160920115E-3</v>
      </c>
      <c r="I443" s="1690">
        <f>I442/H470</f>
        <v>1.4472952945535385E-2</v>
      </c>
      <c r="J443" s="1690">
        <f>J442/I470</f>
        <v>0</v>
      </c>
      <c r="K443" s="1690">
        <f t="shared" ref="K443:V443" si="537">K442/J470</f>
        <v>0</v>
      </c>
      <c r="L443" s="1690">
        <f t="shared" si="537"/>
        <v>5.3318968360414236E-3</v>
      </c>
      <c r="M443" s="1690">
        <f t="shared" si="537"/>
        <v>2.1548937637374477E-2</v>
      </c>
      <c r="N443" s="1690">
        <f t="shared" si="537"/>
        <v>8.4011665868628391E-2</v>
      </c>
      <c r="O443" s="1690">
        <f t="shared" si="537"/>
        <v>6.6357308584686775E-2</v>
      </c>
      <c r="P443" s="1690">
        <f t="shared" si="537"/>
        <v>9.7703957010258927E-2</v>
      </c>
      <c r="Q443" s="1690">
        <f t="shared" si="537"/>
        <v>8.1212777476989712E-2</v>
      </c>
      <c r="R443" s="1690">
        <f t="shared" si="537"/>
        <v>5.892751915144373E-2</v>
      </c>
      <c r="S443" s="1690">
        <f t="shared" si="537"/>
        <v>6.2617407639323733E-2</v>
      </c>
      <c r="T443" s="1690">
        <f t="shared" si="537"/>
        <v>6.6800267201068811E-2</v>
      </c>
      <c r="U443" s="1690">
        <f t="shared" si="537"/>
        <v>7.158196134574088E-2</v>
      </c>
      <c r="V443" s="1690">
        <f t="shared" si="537"/>
        <v>7.7101002313030076E-2</v>
      </c>
      <c r="W443" s="1685"/>
      <c r="X443" s="1685"/>
      <c r="Y443" s="1685"/>
      <c r="Z443" s="1685"/>
      <c r="AA443" s="1685"/>
      <c r="AB443" s="1685"/>
      <c r="AC443" s="1685"/>
      <c r="AD443" s="1685"/>
    </row>
    <row r="444" spans="1:30" ht="15.75">
      <c r="A444" s="1685"/>
      <c r="B444" s="1692" t="s">
        <v>1122</v>
      </c>
      <c r="C444" s="1695"/>
      <c r="D444" s="1695"/>
      <c r="E444" s="1695"/>
      <c r="F444" s="1695"/>
      <c r="G444" s="1695"/>
      <c r="H444" s="1694">
        <v>20</v>
      </c>
      <c r="I444" s="1694">
        <v>20</v>
      </c>
      <c r="J444" s="1694">
        <v>16</v>
      </c>
      <c r="K444" s="1694">
        <v>10</v>
      </c>
      <c r="L444" s="1694">
        <v>11</v>
      </c>
      <c r="M444" s="1694">
        <v>11.5</v>
      </c>
      <c r="N444" s="1694">
        <v>9.5</v>
      </c>
      <c r="O444" s="1694">
        <v>7</v>
      </c>
      <c r="P444" s="1760">
        <v>7.5</v>
      </c>
      <c r="Q444" s="1760">
        <v>9</v>
      </c>
      <c r="R444" s="1760">
        <f t="shared" ref="R444:V444" si="538">Q444*1.08</f>
        <v>9.7200000000000006</v>
      </c>
      <c r="S444" s="1760">
        <f t="shared" si="538"/>
        <v>10.497600000000002</v>
      </c>
      <c r="T444" s="1760">
        <f t="shared" si="538"/>
        <v>11.337408000000003</v>
      </c>
      <c r="U444" s="1760">
        <f t="shared" si="538"/>
        <v>12.244400640000004</v>
      </c>
      <c r="V444" s="1760">
        <f t="shared" si="538"/>
        <v>13.223952691200004</v>
      </c>
      <c r="W444" s="1685"/>
      <c r="X444" s="1685"/>
      <c r="Y444" s="1685"/>
      <c r="Z444" s="1685"/>
      <c r="AA444" s="1685"/>
      <c r="AB444" s="1685"/>
      <c r="AC444" s="1685"/>
      <c r="AD444" s="1685"/>
    </row>
    <row r="445" spans="1:30" ht="15.75">
      <c r="A445" s="1685"/>
      <c r="B445" s="1692"/>
      <c r="C445" s="1692"/>
      <c r="D445" s="1692"/>
      <c r="E445" s="1692"/>
      <c r="F445" s="1692"/>
      <c r="G445" s="1692"/>
      <c r="H445" s="1692"/>
      <c r="I445" s="1692"/>
      <c r="J445" s="1692"/>
      <c r="K445" s="1692"/>
      <c r="L445" s="1692"/>
      <c r="M445" s="1692"/>
      <c r="N445" s="1761"/>
      <c r="O445" s="1692"/>
      <c r="P445" s="1692"/>
      <c r="Q445" s="1692"/>
      <c r="R445" s="1692"/>
      <c r="S445" s="1692"/>
      <c r="T445" s="1692"/>
      <c r="U445" s="1692"/>
      <c r="V445" s="1692"/>
      <c r="W445" s="1685"/>
      <c r="X445" s="1685"/>
      <c r="Y445" s="1685"/>
      <c r="Z445" s="1685"/>
      <c r="AA445" s="1685"/>
      <c r="AB445" s="1685"/>
      <c r="AC445" s="1685"/>
      <c r="AD445" s="1685"/>
    </row>
    <row r="446" spans="1:30" ht="15.75">
      <c r="A446" s="1685"/>
      <c r="B446" s="1687" t="s">
        <v>215</v>
      </c>
      <c r="C446" s="1688">
        <f t="shared" ref="C446:Q446" si="539">C431</f>
        <v>40908</v>
      </c>
      <c r="D446" s="1688">
        <f t="shared" si="539"/>
        <v>41274</v>
      </c>
      <c r="E446" s="1688">
        <f t="shared" si="539"/>
        <v>41639</v>
      </c>
      <c r="F446" s="1688">
        <f t="shared" si="539"/>
        <v>42004</v>
      </c>
      <c r="G446" s="1688">
        <f t="shared" si="539"/>
        <v>42369</v>
      </c>
      <c r="H446" s="1688">
        <f t="shared" si="539"/>
        <v>42735</v>
      </c>
      <c r="I446" s="1688">
        <f t="shared" si="539"/>
        <v>43100</v>
      </c>
      <c r="J446" s="1688">
        <f t="shared" si="539"/>
        <v>43465</v>
      </c>
      <c r="K446" s="1688">
        <f t="shared" si="539"/>
        <v>43830</v>
      </c>
      <c r="L446" s="1688">
        <f t="shared" si="539"/>
        <v>44196</v>
      </c>
      <c r="M446" s="1688">
        <f t="shared" si="539"/>
        <v>44561</v>
      </c>
      <c r="N446" s="1688">
        <f t="shared" si="539"/>
        <v>44926</v>
      </c>
      <c r="O446" s="1688">
        <f t="shared" si="539"/>
        <v>45291</v>
      </c>
      <c r="P446" s="1688">
        <f t="shared" si="539"/>
        <v>45657</v>
      </c>
      <c r="Q446" s="1688">
        <f t="shared" si="539"/>
        <v>46022</v>
      </c>
      <c r="R446" s="1688">
        <f t="shared" ref="R446:S446" si="540">R431</f>
        <v>46387</v>
      </c>
      <c r="S446" s="1688">
        <f t="shared" si="540"/>
        <v>46752</v>
      </c>
      <c r="T446" s="1688">
        <f t="shared" ref="T446:V446" si="541">T431</f>
        <v>47118</v>
      </c>
      <c r="U446" s="1688">
        <f t="shared" si="541"/>
        <v>47483</v>
      </c>
      <c r="V446" s="1688">
        <f t="shared" si="541"/>
        <v>47848</v>
      </c>
      <c r="W446" s="1685"/>
      <c r="X446" s="1685"/>
      <c r="Y446" s="1685"/>
      <c r="Z446" s="1685"/>
      <c r="AA446" s="1685"/>
      <c r="AB446" s="1685"/>
      <c r="AC446" s="1685"/>
      <c r="AD446" s="1685"/>
    </row>
    <row r="447" spans="1:30" ht="15.75">
      <c r="A447" s="1685"/>
      <c r="B447" s="1689"/>
      <c r="C447" s="1689"/>
      <c r="D447" s="1689"/>
      <c r="E447" s="1689"/>
      <c r="F447" s="1689"/>
      <c r="G447" s="1689"/>
      <c r="H447" s="1689"/>
      <c r="I447" s="1689"/>
      <c r="J447" s="1689"/>
      <c r="K447" s="1689"/>
      <c r="L447" s="1689"/>
      <c r="M447" s="1689"/>
      <c r="N447" s="1689"/>
      <c r="O447" s="1689"/>
      <c r="P447" s="1689"/>
      <c r="Q447" s="1689"/>
      <c r="R447" s="1689"/>
      <c r="S447" s="1689"/>
      <c r="T447" s="1689"/>
      <c r="U447" s="1689"/>
      <c r="V447" s="1689"/>
      <c r="W447" s="1685"/>
      <c r="X447" s="1685"/>
      <c r="Y447" s="1685"/>
      <c r="Z447" s="1685"/>
      <c r="AA447" s="1685"/>
      <c r="AB447" s="1685"/>
      <c r="AC447" s="1685"/>
      <c r="AD447" s="1685"/>
    </row>
    <row r="448" spans="1:30" ht="15.75">
      <c r="A448" s="1685"/>
      <c r="B448" s="1692" t="s">
        <v>2770</v>
      </c>
      <c r="C448" s="1689"/>
      <c r="D448" s="1689"/>
      <c r="E448" s="1730">
        <v>72</v>
      </c>
      <c r="F448" s="1730">
        <v>86</v>
      </c>
      <c r="G448" s="1732">
        <f>F448</f>
        <v>86</v>
      </c>
      <c r="H448" s="1732">
        <v>46</v>
      </c>
      <c r="I448" s="1732">
        <v>62</v>
      </c>
      <c r="J448" s="1732">
        <v>28</v>
      </c>
      <c r="K448" s="1732">
        <v>37.700000000000003</v>
      </c>
      <c r="L448" s="1732">
        <v>18.8</v>
      </c>
      <c r="M448" s="1732">
        <v>47.6</v>
      </c>
      <c r="N448" s="1732">
        <v>1.9</v>
      </c>
      <c r="O448" s="1732">
        <v>75.400000000000006</v>
      </c>
      <c r="P448" s="1761">
        <v>35</v>
      </c>
      <c r="Q448" s="1761">
        <v>50</v>
      </c>
      <c r="R448" s="1761">
        <v>50</v>
      </c>
      <c r="S448" s="1761">
        <v>50</v>
      </c>
      <c r="T448" s="1761">
        <v>50</v>
      </c>
      <c r="U448" s="1761">
        <v>50</v>
      </c>
      <c r="V448" s="1761">
        <v>50</v>
      </c>
      <c r="W448" s="1685"/>
      <c r="X448" s="1685"/>
      <c r="Y448" s="1685"/>
      <c r="Z448" s="1685"/>
      <c r="AA448" s="1685"/>
      <c r="AB448" s="1685"/>
      <c r="AC448" s="1685"/>
      <c r="AD448" s="1685"/>
    </row>
    <row r="449" spans="1:30" ht="15.75">
      <c r="A449" s="1685"/>
      <c r="B449" s="1692" t="s">
        <v>216</v>
      </c>
      <c r="C449" s="1689"/>
      <c r="D449" s="1689"/>
      <c r="E449" s="1740"/>
      <c r="F449" s="1740"/>
      <c r="G449" s="1740"/>
      <c r="H449" s="1740"/>
      <c r="I449" s="1740"/>
      <c r="J449" s="1740"/>
      <c r="K449" s="1740"/>
      <c r="L449" s="1740"/>
      <c r="M449" s="1740"/>
      <c r="N449" s="1740"/>
      <c r="O449" s="1740"/>
      <c r="P449" s="1740"/>
      <c r="Q449" s="1740"/>
      <c r="R449" s="1740"/>
      <c r="S449" s="1740"/>
      <c r="T449" s="1740"/>
      <c r="U449" s="1740"/>
      <c r="V449" s="1740"/>
      <c r="W449" s="1685"/>
      <c r="X449" s="1685"/>
      <c r="Y449" s="1685"/>
      <c r="Z449" s="1685"/>
      <c r="AA449" s="1685"/>
      <c r="AB449" s="1685"/>
      <c r="AC449" s="1685"/>
      <c r="AD449" s="1685"/>
    </row>
    <row r="450" spans="1:30" ht="15.75">
      <c r="A450" s="1685"/>
      <c r="B450" s="1692" t="s">
        <v>217</v>
      </c>
      <c r="C450" s="1689"/>
      <c r="D450" s="1689"/>
      <c r="E450" s="1689"/>
      <c r="F450" s="1689"/>
      <c r="G450" s="1689"/>
      <c r="H450" s="1689"/>
      <c r="I450" s="1689"/>
      <c r="J450" s="1689"/>
      <c r="K450" s="1689"/>
      <c r="L450" s="1689"/>
      <c r="M450" s="1689"/>
      <c r="N450" s="1689"/>
      <c r="O450" s="1689"/>
      <c r="P450" s="1689"/>
      <c r="Q450" s="1689"/>
      <c r="R450" s="1689"/>
      <c r="S450" s="1689"/>
      <c r="T450" s="1689"/>
      <c r="U450" s="1689"/>
      <c r="V450" s="1689"/>
      <c r="W450" s="1685"/>
      <c r="X450" s="1685"/>
      <c r="Y450" s="1685"/>
      <c r="Z450" s="1685"/>
      <c r="AA450" s="1685"/>
      <c r="AB450" s="1685"/>
      <c r="AC450" s="1685"/>
      <c r="AD450" s="1685"/>
    </row>
    <row r="451" spans="1:30" ht="15.75">
      <c r="A451" s="1685"/>
      <c r="B451" s="1692" t="s">
        <v>218</v>
      </c>
      <c r="C451" s="1689"/>
      <c r="D451" s="1689"/>
      <c r="E451" s="1689"/>
      <c r="F451" s="1689"/>
      <c r="G451" s="1689"/>
      <c r="H451" s="1689"/>
      <c r="I451" s="1689"/>
      <c r="J451" s="1689"/>
      <c r="K451" s="1689"/>
      <c r="L451" s="1689"/>
      <c r="M451" s="1689"/>
      <c r="N451" s="1689"/>
      <c r="O451" s="1689"/>
      <c r="P451" s="1689"/>
      <c r="Q451" s="1689"/>
      <c r="R451" s="1689"/>
      <c r="S451" s="1689"/>
      <c r="T451" s="1689"/>
      <c r="U451" s="1689"/>
      <c r="V451" s="1689"/>
      <c r="W451" s="1685"/>
      <c r="X451" s="1685"/>
      <c r="Y451" s="1685"/>
      <c r="Z451" s="1685"/>
      <c r="AA451" s="1685"/>
      <c r="AB451" s="1685"/>
      <c r="AC451" s="1685"/>
      <c r="AD451" s="1685"/>
    </row>
    <row r="452" spans="1:30" ht="15.75">
      <c r="A452" s="1685"/>
      <c r="B452" s="1692" t="s">
        <v>7886</v>
      </c>
      <c r="C452" s="1762"/>
      <c r="D452" s="1762"/>
      <c r="E452" s="1762"/>
      <c r="F452" s="1749">
        <f>3020-1145</f>
        <v>1875</v>
      </c>
      <c r="G452" s="1747">
        <v>1974</v>
      </c>
      <c r="H452" s="1762"/>
      <c r="I452" s="1749">
        <v>38</v>
      </c>
      <c r="J452" s="1749">
        <f>250+19</f>
        <v>269</v>
      </c>
      <c r="K452" s="1749">
        <v>161</v>
      </c>
      <c r="L452" s="1749">
        <f>1950</f>
        <v>1950</v>
      </c>
      <c r="M452" s="1749">
        <v>500</v>
      </c>
      <c r="N452" s="1763">
        <f>200-'New quarts'!AO394+300</f>
        <v>-858</v>
      </c>
      <c r="O452" s="1762"/>
      <c r="P452" s="1747">
        <f>-Notes!C5182</f>
        <v>-95</v>
      </c>
      <c r="Q452" s="1747">
        <f>-Notes!D5182</f>
        <v>-72</v>
      </c>
      <c r="R452" s="1747">
        <f>-Notes!E5182</f>
        <v>-45</v>
      </c>
      <c r="S452" s="1747">
        <f>-Notes!F5182</f>
        <v>-40</v>
      </c>
      <c r="T452" s="1747">
        <f>'Puerto Rico'!P148</f>
        <v>0</v>
      </c>
      <c r="U452" s="1747">
        <f>'Puerto Rico'!Q148</f>
        <v>0</v>
      </c>
      <c r="V452" s="1747">
        <f>'Puerto Rico'!R148</f>
        <v>0</v>
      </c>
      <c r="W452" s="1685"/>
      <c r="X452" s="1685"/>
      <c r="Y452" s="1685"/>
      <c r="Z452" s="1685"/>
      <c r="AA452" s="1685"/>
      <c r="AB452" s="1685"/>
      <c r="AC452" s="1685"/>
      <c r="AD452" s="1685"/>
    </row>
    <row r="453" spans="1:30" ht="15.75">
      <c r="A453" s="1685"/>
      <c r="B453" s="1692" t="s">
        <v>7887</v>
      </c>
      <c r="C453" s="1762"/>
      <c r="D453" s="1762"/>
      <c r="E453" s="1762"/>
      <c r="F453" s="1749"/>
      <c r="G453" s="1747"/>
      <c r="H453" s="1762"/>
      <c r="I453" s="1749"/>
      <c r="J453" s="1749"/>
      <c r="K453" s="1749"/>
      <c r="L453" s="1749"/>
      <c r="M453" s="1749"/>
      <c r="N453" s="1763"/>
      <c r="O453" s="1762"/>
      <c r="P453" s="1747">
        <f>-82*0.625</f>
        <v>-51.25</v>
      </c>
      <c r="Q453" s="1747"/>
      <c r="R453" s="1747"/>
      <c r="S453" s="1747">
        <f>-82-P453</f>
        <v>-30.75</v>
      </c>
      <c r="T453" s="1747"/>
      <c r="U453" s="1747"/>
      <c r="V453" s="1747"/>
      <c r="W453" s="1685"/>
      <c r="X453" s="1685"/>
      <c r="Y453" s="1685"/>
      <c r="Z453" s="1685"/>
      <c r="AA453" s="1685"/>
      <c r="AB453" s="1685"/>
      <c r="AC453" s="1685"/>
      <c r="AD453" s="1685"/>
    </row>
    <row r="454" spans="1:30" ht="15.75">
      <c r="A454" s="1685"/>
      <c r="B454" s="1692" t="s">
        <v>220</v>
      </c>
      <c r="C454" s="1762"/>
      <c r="D454" s="1762"/>
      <c r="E454" s="1762"/>
      <c r="F454" s="1762"/>
      <c r="G454" s="1762"/>
      <c r="H454" s="1749">
        <f>-75-80</f>
        <v>-155</v>
      </c>
      <c r="I454" s="1762"/>
      <c r="J454" s="1762"/>
      <c r="K454" s="1749">
        <v>-104</v>
      </c>
      <c r="L454" s="1762"/>
      <c r="M454" s="1762"/>
      <c r="N454" s="1762"/>
      <c r="O454" s="1762"/>
      <c r="P454" s="1762"/>
      <c r="Q454" s="1762"/>
      <c r="R454" s="1762"/>
      <c r="S454" s="1762"/>
      <c r="T454" s="1762"/>
      <c r="U454" s="1762"/>
      <c r="V454" s="1762"/>
      <c r="W454" s="1685"/>
      <c r="X454" s="1685"/>
      <c r="Y454" s="1685"/>
      <c r="Z454" s="1685"/>
      <c r="AA454" s="1685"/>
      <c r="AB454" s="1685"/>
      <c r="AC454" s="1685"/>
      <c r="AD454" s="1685"/>
    </row>
    <row r="455" spans="1:30" ht="15.75">
      <c r="A455" s="1685"/>
      <c r="B455" s="1715" t="s">
        <v>4</v>
      </c>
      <c r="C455" s="1764"/>
      <c r="D455" s="1764"/>
      <c r="E455" s="1765"/>
      <c r="F455" s="1765"/>
      <c r="G455" s="1765"/>
      <c r="H455" s="1765"/>
      <c r="I455" s="1765"/>
      <c r="J455" s="1765"/>
      <c r="K455" s="1765"/>
      <c r="L455" s="1765"/>
      <c r="M455" s="1765"/>
      <c r="N455" s="1765"/>
      <c r="O455" s="1765"/>
      <c r="P455" s="1765"/>
      <c r="Q455" s="1765"/>
      <c r="R455" s="1765"/>
      <c r="S455" s="1765"/>
      <c r="T455" s="1765"/>
      <c r="U455" s="1765"/>
      <c r="V455" s="1765"/>
      <c r="W455" s="1685"/>
      <c r="X455" s="1685"/>
      <c r="Y455" s="1685"/>
      <c r="Z455" s="1685"/>
      <c r="AA455" s="1685"/>
      <c r="AB455" s="1685"/>
      <c r="AC455" s="1685"/>
      <c r="AD455" s="1685"/>
    </row>
    <row r="456" spans="1:30" ht="15.75">
      <c r="A456" s="1685"/>
      <c r="B456" s="1689" t="s">
        <v>221</v>
      </c>
      <c r="C456" s="1691">
        <f t="shared" ref="C456:K456" si="542">SUM(C448:C455)</f>
        <v>0</v>
      </c>
      <c r="D456" s="1691">
        <f t="shared" si="542"/>
        <v>0</v>
      </c>
      <c r="E456" s="1691">
        <f t="shared" si="542"/>
        <v>72</v>
      </c>
      <c r="F456" s="1691">
        <f t="shared" si="542"/>
        <v>1961</v>
      </c>
      <c r="G456" s="1691">
        <f t="shared" si="542"/>
        <v>2060</v>
      </c>
      <c r="H456" s="1691">
        <f t="shared" si="542"/>
        <v>-109</v>
      </c>
      <c r="I456" s="1691">
        <f t="shared" si="542"/>
        <v>100</v>
      </c>
      <c r="J456" s="1691">
        <f t="shared" si="542"/>
        <v>297</v>
      </c>
      <c r="K456" s="1691">
        <f t="shared" si="542"/>
        <v>94.699999999999989</v>
      </c>
      <c r="L456" s="1691">
        <f t="shared" ref="L456:Q456" si="543">SUM(L448:L455)</f>
        <v>1968.8</v>
      </c>
      <c r="M456" s="1691">
        <f t="shared" si="543"/>
        <v>547.6</v>
      </c>
      <c r="N456" s="1691">
        <f t="shared" si="543"/>
        <v>-856.1</v>
      </c>
      <c r="O456" s="1691">
        <f t="shared" si="543"/>
        <v>75.400000000000006</v>
      </c>
      <c r="P456" s="1691">
        <f t="shared" si="543"/>
        <v>-111.25</v>
      </c>
      <c r="Q456" s="1691">
        <f t="shared" si="543"/>
        <v>-22</v>
      </c>
      <c r="R456" s="1691">
        <f t="shared" ref="R456:S456" si="544">SUM(R448:R455)</f>
        <v>5</v>
      </c>
      <c r="S456" s="1691">
        <f t="shared" si="544"/>
        <v>-20.75</v>
      </c>
      <c r="T456" s="1691">
        <f t="shared" ref="T456:V456" si="545">SUM(T448:T455)</f>
        <v>50</v>
      </c>
      <c r="U456" s="1691">
        <f t="shared" si="545"/>
        <v>50</v>
      </c>
      <c r="V456" s="1691">
        <f t="shared" si="545"/>
        <v>50</v>
      </c>
      <c r="W456" s="1685"/>
      <c r="X456" s="1685"/>
      <c r="Y456" s="1685"/>
      <c r="Z456" s="1685"/>
      <c r="AA456" s="1685"/>
      <c r="AB456" s="1685"/>
      <c r="AC456" s="1685"/>
      <c r="AD456" s="1685"/>
    </row>
    <row r="457" spans="1:30" ht="15.75">
      <c r="A457" s="1685"/>
      <c r="B457" s="1692"/>
      <c r="C457" s="1692"/>
      <c r="D457" s="1692"/>
      <c r="E457" s="1692"/>
      <c r="F457" s="1692"/>
      <c r="G457" s="1692"/>
      <c r="H457" s="1692"/>
      <c r="I457" s="1692"/>
      <c r="J457" s="1692"/>
      <c r="K457" s="1692"/>
      <c r="L457" s="1692"/>
      <c r="M457" s="1692"/>
      <c r="N457" s="1692"/>
      <c r="O457" s="1692"/>
      <c r="P457" s="1692"/>
      <c r="Q457" s="1692"/>
      <c r="R457" s="1692"/>
      <c r="S457" s="1692"/>
      <c r="T457" s="1692"/>
      <c r="U457" s="1692"/>
      <c r="V457" s="1692"/>
      <c r="W457" s="1685"/>
      <c r="X457" s="1685"/>
      <c r="Y457" s="1685"/>
      <c r="Z457" s="1685"/>
      <c r="AA457" s="1685"/>
      <c r="AB457" s="1685"/>
      <c r="AC457" s="1685"/>
      <c r="AD457" s="1685"/>
    </row>
    <row r="458" spans="1:30" ht="15.75">
      <c r="A458" s="1685"/>
      <c r="B458" s="1687" t="s">
        <v>222</v>
      </c>
      <c r="C458" s="1688">
        <f>C446</f>
        <v>40908</v>
      </c>
      <c r="D458" s="1688">
        <f t="shared" ref="D458:K458" si="546">D446</f>
        <v>41274</v>
      </c>
      <c r="E458" s="1688">
        <f t="shared" si="546"/>
        <v>41639</v>
      </c>
      <c r="F458" s="1688">
        <f t="shared" si="546"/>
        <v>42004</v>
      </c>
      <c r="G458" s="1688">
        <f t="shared" si="546"/>
        <v>42369</v>
      </c>
      <c r="H458" s="1688">
        <f t="shared" si="546"/>
        <v>42735</v>
      </c>
      <c r="I458" s="1688">
        <f t="shared" si="546"/>
        <v>43100</v>
      </c>
      <c r="J458" s="1688">
        <f t="shared" si="546"/>
        <v>43465</v>
      </c>
      <c r="K458" s="1688">
        <f t="shared" si="546"/>
        <v>43830</v>
      </c>
      <c r="L458" s="1688">
        <f t="shared" ref="L458:Q458" si="547">L446</f>
        <v>44196</v>
      </c>
      <c r="M458" s="1688">
        <f t="shared" si="547"/>
        <v>44561</v>
      </c>
      <c r="N458" s="1688">
        <f t="shared" si="547"/>
        <v>44926</v>
      </c>
      <c r="O458" s="1688">
        <f t="shared" si="547"/>
        <v>45291</v>
      </c>
      <c r="P458" s="1688">
        <f t="shared" si="547"/>
        <v>45657</v>
      </c>
      <c r="Q458" s="1688">
        <f t="shared" si="547"/>
        <v>46022</v>
      </c>
      <c r="R458" s="1688">
        <f t="shared" ref="R458:S458" si="548">R446</f>
        <v>46387</v>
      </c>
      <c r="S458" s="1688">
        <f t="shared" si="548"/>
        <v>46752</v>
      </c>
      <c r="T458" s="1688">
        <f t="shared" ref="T458:V458" si="549">T446</f>
        <v>47118</v>
      </c>
      <c r="U458" s="1688">
        <f t="shared" si="549"/>
        <v>47483</v>
      </c>
      <c r="V458" s="1688">
        <f t="shared" si="549"/>
        <v>47848</v>
      </c>
      <c r="W458" s="1685"/>
      <c r="X458" s="1685"/>
      <c r="Y458" s="1685"/>
      <c r="Z458" s="1685"/>
      <c r="AA458" s="1685"/>
      <c r="AB458" s="1685"/>
      <c r="AC458" s="1685"/>
      <c r="AD458" s="1685"/>
    </row>
    <row r="459" spans="1:30" ht="15.75">
      <c r="A459" s="1685"/>
      <c r="B459" s="1692" t="s">
        <v>8</v>
      </c>
      <c r="C459" s="1695"/>
      <c r="D459" s="1695">
        <f t="shared" ref="D459:V459" si="550">D6</f>
        <v>0</v>
      </c>
      <c r="E459" s="1695">
        <f t="shared" si="550"/>
        <v>0</v>
      </c>
      <c r="F459" s="1695">
        <f t="shared" si="550"/>
        <v>0</v>
      </c>
      <c r="G459" s="1695">
        <f t="shared" si="550"/>
        <v>0</v>
      </c>
      <c r="H459" s="1695">
        <f t="shared" si="550"/>
        <v>1448.600076899188</v>
      </c>
      <c r="I459" s="1695">
        <f t="shared" si="550"/>
        <v>1367.1</v>
      </c>
      <c r="J459" s="1695">
        <f t="shared" si="550"/>
        <v>1412.5717613715995</v>
      </c>
      <c r="K459" s="1695">
        <f t="shared" si="550"/>
        <v>1506.5</v>
      </c>
      <c r="L459" s="1695">
        <f t="shared" si="550"/>
        <v>1485</v>
      </c>
      <c r="M459" s="1695">
        <f t="shared" si="550"/>
        <v>1818.4935611038109</v>
      </c>
      <c r="N459" s="1695">
        <f t="shared" si="550"/>
        <v>1718</v>
      </c>
      <c r="O459" s="1695">
        <f t="shared" si="550"/>
        <v>1701.6</v>
      </c>
      <c r="P459" s="1695">
        <f t="shared" si="550"/>
        <v>1579.0990335466222</v>
      </c>
      <c r="Q459" s="1695">
        <f t="shared" si="550"/>
        <v>1802.8296324342652</v>
      </c>
      <c r="R459" s="1695">
        <f t="shared" si="550"/>
        <v>1887.8361378059224</v>
      </c>
      <c r="S459" s="1695">
        <f t="shared" si="550"/>
        <v>1945.9434392102044</v>
      </c>
      <c r="T459" s="1695">
        <f t="shared" si="550"/>
        <v>2001.7655162215337</v>
      </c>
      <c r="U459" s="1695">
        <f t="shared" si="550"/>
        <v>2047.0473245054468</v>
      </c>
      <c r="V459" s="1695">
        <f t="shared" si="550"/>
        <v>2093.9095377424046</v>
      </c>
      <c r="W459" s="1685"/>
      <c r="X459" s="1685"/>
      <c r="Y459" s="1685"/>
      <c r="Z459" s="1685"/>
      <c r="AA459" s="1685"/>
      <c r="AB459" s="1685"/>
      <c r="AC459" s="1685"/>
      <c r="AD459" s="1685"/>
    </row>
    <row r="460" spans="1:30" ht="15.75">
      <c r="A460" s="1685"/>
      <c r="B460" s="1692" t="s">
        <v>223</v>
      </c>
      <c r="C460" s="1695"/>
      <c r="D460" s="1695">
        <f t="shared" ref="D460:Q460" si="551">-D248</f>
        <v>0</v>
      </c>
      <c r="E460" s="1695">
        <f t="shared" si="551"/>
        <v>-185</v>
      </c>
      <c r="F460" s="1695">
        <f t="shared" si="551"/>
        <v>-206</v>
      </c>
      <c r="G460" s="1695">
        <f t="shared" si="551"/>
        <v>-510.72874493927122</v>
      </c>
      <c r="H460" s="1695">
        <f t="shared" si="551"/>
        <v>-537.95833401629272</v>
      </c>
      <c r="I460" s="1695">
        <f t="shared" si="551"/>
        <v>-758.22586206896551</v>
      </c>
      <c r="J460" s="1695">
        <f t="shared" si="551"/>
        <v>-792.58390804597695</v>
      </c>
      <c r="K460" s="1695">
        <f t="shared" si="551"/>
        <v>-837.50287356321837</v>
      </c>
      <c r="L460" s="1695">
        <f t="shared" si="551"/>
        <v>-886.7494252873563</v>
      </c>
      <c r="M460" s="1695">
        <f t="shared" si="551"/>
        <v>-940.01896551724144</v>
      </c>
      <c r="N460" s="1695">
        <f t="shared" si="551"/>
        <v>-888.33908045977012</v>
      </c>
      <c r="O460" s="1695">
        <f t="shared" si="551"/>
        <v>-988.52701149425286</v>
      </c>
      <c r="P460" s="1695">
        <f t="shared" si="551"/>
        <v>-963.52657087860496</v>
      </c>
      <c r="Q460" s="1695">
        <f t="shared" si="551"/>
        <v>-758.30302665584293</v>
      </c>
      <c r="R460" s="1695">
        <f t="shared" ref="R460:S460" si="552">-R248</f>
        <v>-733.36613644695353</v>
      </c>
      <c r="S460" s="1695">
        <f t="shared" si="552"/>
        <v>-723.66162956827691</v>
      </c>
      <c r="T460" s="1695">
        <f t="shared" ref="T460:V460" si="553">-T248</f>
        <v>-720.60664815121686</v>
      </c>
      <c r="U460" s="1695">
        <f t="shared" si="553"/>
        <v>-730.80022133616399</v>
      </c>
      <c r="V460" s="1695">
        <f t="shared" si="553"/>
        <v>-742.32246871766097</v>
      </c>
      <c r="W460" s="1685"/>
      <c r="X460" s="1685"/>
      <c r="Y460" s="1685"/>
      <c r="Z460" s="1685"/>
      <c r="AA460" s="1685"/>
      <c r="AB460" s="1685"/>
      <c r="AC460" s="1685"/>
      <c r="AD460" s="1685"/>
    </row>
    <row r="461" spans="1:30" ht="15.75">
      <c r="A461" s="1685"/>
      <c r="B461" s="1692" t="s">
        <v>191</v>
      </c>
      <c r="C461" s="1695"/>
      <c r="D461" s="1695">
        <f t="shared" ref="D461:Q461" si="554">-D262</f>
        <v>0</v>
      </c>
      <c r="E461" s="1695">
        <f t="shared" si="554"/>
        <v>-50</v>
      </c>
      <c r="F461" s="1695">
        <f t="shared" si="554"/>
        <v>-50</v>
      </c>
      <c r="G461" s="1695">
        <f t="shared" si="554"/>
        <v>-84.885057471264361</v>
      </c>
      <c r="H461" s="1695">
        <f t="shared" si="554"/>
        <v>-82.445831681860227</v>
      </c>
      <c r="I461" s="1695">
        <f t="shared" si="554"/>
        <v>-35.474137931034484</v>
      </c>
      <c r="J461" s="1695">
        <f t="shared" si="554"/>
        <v>-37.816091954022987</v>
      </c>
      <c r="K461" s="1695">
        <f t="shared" si="554"/>
        <v>-33.497126436781613</v>
      </c>
      <c r="L461" s="1695">
        <f t="shared" si="554"/>
        <v>-27.850574712643677</v>
      </c>
      <c r="M461" s="1695">
        <f t="shared" si="554"/>
        <v>-24.681034482758619</v>
      </c>
      <c r="N461" s="1695">
        <f t="shared" si="554"/>
        <v>-22.660919540229884</v>
      </c>
      <c r="O461" s="1695">
        <f t="shared" si="554"/>
        <v>-19.772988505747126</v>
      </c>
      <c r="P461" s="1695">
        <f t="shared" si="554"/>
        <v>-15.563218390804598</v>
      </c>
      <c r="Q461" s="1695">
        <f t="shared" si="554"/>
        <v>-15.115999471528603</v>
      </c>
      <c r="R461" s="1695">
        <f t="shared" ref="R461:S461" si="555">-R262</f>
        <v>-14.681631670622608</v>
      </c>
      <c r="S461" s="1695">
        <f t="shared" si="555"/>
        <v>-14.259745703075982</v>
      </c>
      <c r="T461" s="1695">
        <f t="shared" ref="T461:V461" si="556">-T262</f>
        <v>-13.849982895516327</v>
      </c>
      <c r="U461" s="1695">
        <f t="shared" si="556"/>
        <v>-13.451994881277354</v>
      </c>
      <c r="V461" s="1695">
        <f t="shared" si="556"/>
        <v>-13.065443304229156</v>
      </c>
      <c r="W461" s="1685"/>
      <c r="X461" s="1685"/>
      <c r="Y461" s="1685"/>
      <c r="Z461" s="1685"/>
      <c r="AA461" s="1685"/>
      <c r="AB461" s="1685"/>
      <c r="AC461" s="1685"/>
      <c r="AD461" s="1685"/>
    </row>
    <row r="462" spans="1:30" ht="15.75">
      <c r="A462" s="1685"/>
      <c r="B462" s="1692" t="s">
        <v>224</v>
      </c>
      <c r="C462" s="1695"/>
      <c r="D462" s="1695">
        <f t="shared" ref="D462:Q462" si="557">-D287</f>
        <v>0</v>
      </c>
      <c r="E462" s="1695">
        <f t="shared" si="557"/>
        <v>-133</v>
      </c>
      <c r="F462" s="1695">
        <f t="shared" si="557"/>
        <v>-58</v>
      </c>
      <c r="G462" s="1695" t="e">
        <f t="shared" ca="1" si="557"/>
        <v>#DIV/0!</v>
      </c>
      <c r="H462" s="1695" t="e">
        <f t="shared" ca="1" si="557"/>
        <v>#DIV/0!</v>
      </c>
      <c r="I462" s="1695">
        <f t="shared" si="557"/>
        <v>-381.8</v>
      </c>
      <c r="J462" s="1695">
        <f t="shared" si="557"/>
        <v>-443.7</v>
      </c>
      <c r="K462" s="1695">
        <f t="shared" si="557"/>
        <v>-499.2</v>
      </c>
      <c r="L462" s="1695">
        <f t="shared" si="557"/>
        <v>-533.4</v>
      </c>
      <c r="M462" s="1695">
        <f t="shared" si="557"/>
        <v>-527.4</v>
      </c>
      <c r="N462" s="1695">
        <f t="shared" si="557"/>
        <v>-556.70000000000005</v>
      </c>
      <c r="O462" s="1695">
        <f t="shared" si="557"/>
        <v>-601.70000000000005</v>
      </c>
      <c r="P462" s="1695">
        <f t="shared" ca="1" si="557"/>
        <v>-619.35390955854734</v>
      </c>
      <c r="Q462" s="1695">
        <f t="shared" ca="1" si="557"/>
        <v>-653.82239239434932</v>
      </c>
      <c r="R462" s="1695">
        <f t="shared" ref="R462:S462" ca="1" si="558">-R287</f>
        <v>-711.84928438857503</v>
      </c>
      <c r="S462" s="1695">
        <f t="shared" ca="1" si="558"/>
        <v>-710.13856933186582</v>
      </c>
      <c r="T462" s="1695">
        <f t="shared" ref="T462:V462" ca="1" si="559">-T287</f>
        <v>-708.77727418787629</v>
      </c>
      <c r="U462" s="1695">
        <f t="shared" ca="1" si="559"/>
        <v>-707.15437937684362</v>
      </c>
      <c r="V462" s="1695">
        <f t="shared" ca="1" si="559"/>
        <v>-705.11430242739141</v>
      </c>
      <c r="W462" s="1685"/>
      <c r="X462" s="1685"/>
      <c r="Y462" s="1685"/>
      <c r="Z462" s="1685"/>
      <c r="AA462" s="1685"/>
      <c r="AB462" s="1685"/>
      <c r="AC462" s="1685"/>
      <c r="AD462" s="1685"/>
    </row>
    <row r="463" spans="1:30" ht="15.75">
      <c r="A463" s="1685"/>
      <c r="B463" s="1692" t="s">
        <v>225</v>
      </c>
      <c r="C463" s="1695"/>
      <c r="D463" s="1695">
        <f t="shared" ref="D463:Q463" si="560">D415</f>
        <v>0</v>
      </c>
      <c r="E463" s="1695">
        <f t="shared" si="560"/>
        <v>0</v>
      </c>
      <c r="F463" s="1695">
        <f t="shared" si="560"/>
        <v>0</v>
      </c>
      <c r="G463" s="1695">
        <f t="shared" si="560"/>
        <v>0</v>
      </c>
      <c r="H463" s="1695">
        <f t="shared" si="560"/>
        <v>0</v>
      </c>
      <c r="I463" s="1695">
        <f t="shared" si="560"/>
        <v>0</v>
      </c>
      <c r="J463" s="1695">
        <f t="shared" si="560"/>
        <v>0</v>
      </c>
      <c r="K463" s="1695">
        <f t="shared" si="560"/>
        <v>0</v>
      </c>
      <c r="L463" s="1695">
        <f t="shared" si="560"/>
        <v>0</v>
      </c>
      <c r="M463" s="1695">
        <f t="shared" si="560"/>
        <v>0</v>
      </c>
      <c r="N463" s="1695">
        <f t="shared" si="560"/>
        <v>0</v>
      </c>
      <c r="O463" s="1695">
        <f t="shared" si="560"/>
        <v>0</v>
      </c>
      <c r="P463" s="1695">
        <f t="shared" si="560"/>
        <v>0</v>
      </c>
      <c r="Q463" s="1695">
        <f t="shared" si="560"/>
        <v>0</v>
      </c>
      <c r="R463" s="1695">
        <f t="shared" ref="R463:S463" si="561">R415</f>
        <v>0</v>
      </c>
      <c r="S463" s="1695">
        <f t="shared" si="561"/>
        <v>0</v>
      </c>
      <c r="T463" s="1695">
        <f t="shared" ref="T463:V463" si="562">T415</f>
        <v>0</v>
      </c>
      <c r="U463" s="1695">
        <f t="shared" si="562"/>
        <v>0</v>
      </c>
      <c r="V463" s="1695">
        <f t="shared" si="562"/>
        <v>0</v>
      </c>
      <c r="W463" s="1685"/>
      <c r="X463" s="1685"/>
      <c r="Y463" s="1685"/>
      <c r="Z463" s="1685"/>
      <c r="AA463" s="1685"/>
      <c r="AB463" s="1685"/>
      <c r="AC463" s="1685"/>
      <c r="AD463" s="1685"/>
    </row>
    <row r="464" spans="1:30" ht="15.75">
      <c r="A464" s="1685"/>
      <c r="B464" s="1692" t="s">
        <v>226</v>
      </c>
      <c r="C464" s="1695"/>
      <c r="D464" s="1695">
        <f t="shared" ref="D464:Q464" si="563">-D382</f>
        <v>0</v>
      </c>
      <c r="E464" s="1695">
        <f t="shared" si="563"/>
        <v>-32</v>
      </c>
      <c r="F464" s="1695">
        <f t="shared" si="563"/>
        <v>-32</v>
      </c>
      <c r="G464" s="1695" t="e">
        <f t="shared" ca="1" si="563"/>
        <v>#DIV/0!</v>
      </c>
      <c r="H464" s="1695" t="e">
        <f t="shared" ca="1" si="563"/>
        <v>#DIV/0!</v>
      </c>
      <c r="I464" s="1695">
        <f t="shared" si="563"/>
        <v>-147.5</v>
      </c>
      <c r="J464" s="1695">
        <f t="shared" si="563"/>
        <v>-51</v>
      </c>
      <c r="K464" s="1695">
        <f t="shared" si="563"/>
        <v>98.2</v>
      </c>
      <c r="L464" s="1695">
        <f t="shared" si="563"/>
        <v>29.3</v>
      </c>
      <c r="M464" s="1695">
        <f t="shared" si="563"/>
        <v>-189.5</v>
      </c>
      <c r="N464" s="1695">
        <f t="shared" si="563"/>
        <v>-86.5</v>
      </c>
      <c r="O464" s="1695">
        <f t="shared" si="563"/>
        <v>-24.4</v>
      </c>
      <c r="P464" s="1695">
        <f t="shared" ca="1" si="563"/>
        <v>7.7378661125339026</v>
      </c>
      <c r="Q464" s="1695">
        <f t="shared" ca="1" si="563"/>
        <v>-120.18822845201427</v>
      </c>
      <c r="R464" s="1695">
        <f t="shared" ref="R464:S464" ca="1" si="564">-R382</f>
        <v>-136.94050729592678</v>
      </c>
      <c r="S464" s="1695">
        <f t="shared" ca="1" si="564"/>
        <v>-159.32271827423523</v>
      </c>
      <c r="T464" s="1695">
        <f t="shared" ref="T464:V464" ca="1" si="565">-T382</f>
        <v>-178.7301155158149</v>
      </c>
      <c r="U464" s="1695">
        <f t="shared" ca="1" si="565"/>
        <v>-190.60503325156955</v>
      </c>
      <c r="V464" s="1695">
        <f t="shared" ca="1" si="565"/>
        <v>-202.69034345379765</v>
      </c>
      <c r="W464" s="1685"/>
      <c r="X464" s="1685"/>
      <c r="Y464" s="1685"/>
      <c r="Z464" s="1685"/>
      <c r="AA464" s="1685"/>
      <c r="AB464" s="1685"/>
      <c r="AC464" s="1685"/>
      <c r="AD464" s="1685"/>
    </row>
    <row r="465" spans="1:30" ht="15.75">
      <c r="A465" s="1685"/>
      <c r="B465" s="1715" t="s">
        <v>227</v>
      </c>
      <c r="C465" s="1717"/>
      <c r="D465" s="1717">
        <f t="shared" ref="D465:Q465" si="566">-D421</f>
        <v>0</v>
      </c>
      <c r="E465" s="1717">
        <f t="shared" si="566"/>
        <v>-92</v>
      </c>
      <c r="F465" s="1717">
        <f t="shared" si="566"/>
        <v>-68</v>
      </c>
      <c r="G465" s="1717">
        <f t="shared" si="566"/>
        <v>-83.679999999999993</v>
      </c>
      <c r="H465" s="1717">
        <f t="shared" ca="1" si="566"/>
        <v>-111.2</v>
      </c>
      <c r="I465" s="1717">
        <f t="shared" si="566"/>
        <v>20.6</v>
      </c>
      <c r="J465" s="1717">
        <f t="shared" si="566"/>
        <v>290.60000000000002</v>
      </c>
      <c r="K465" s="1717">
        <f t="shared" si="566"/>
        <v>102.3</v>
      </c>
      <c r="L465" s="1717">
        <f t="shared" si="566"/>
        <v>121.7</v>
      </c>
      <c r="M465" s="1717">
        <f t="shared" si="566"/>
        <v>50</v>
      </c>
      <c r="N465" s="1717">
        <f t="shared" si="566"/>
        <v>26.3</v>
      </c>
      <c r="O465" s="1717">
        <f t="shared" si="566"/>
        <v>13.2</v>
      </c>
      <c r="P465" s="1717">
        <f t="shared" ca="1" si="566"/>
        <v>-77.84076919798315</v>
      </c>
      <c r="Q465" s="1717">
        <f t="shared" ca="1" si="566"/>
        <v>-84.452359165802662</v>
      </c>
      <c r="R465" s="1717">
        <f t="shared" ref="R465:S465" si="567">-R421</f>
        <v>-50</v>
      </c>
      <c r="S465" s="1717">
        <f t="shared" si="567"/>
        <v>-55</v>
      </c>
      <c r="T465" s="1717">
        <f t="shared" ref="T465:V465" si="568">-T421</f>
        <v>-60</v>
      </c>
      <c r="U465" s="1717">
        <f t="shared" si="568"/>
        <v>-65</v>
      </c>
      <c r="V465" s="1717">
        <f t="shared" si="568"/>
        <v>-70</v>
      </c>
      <c r="W465" s="1685"/>
      <c r="X465" s="1685"/>
      <c r="Y465" s="1685"/>
      <c r="Z465" s="1685"/>
      <c r="AA465" s="1685"/>
      <c r="AB465" s="1685"/>
      <c r="AC465" s="1685"/>
      <c r="AD465" s="1685"/>
    </row>
    <row r="466" spans="1:30" ht="15.75">
      <c r="A466" s="1685"/>
      <c r="B466" s="1689" t="s">
        <v>228</v>
      </c>
      <c r="C466" s="1695"/>
      <c r="D466" s="1691">
        <f t="shared" ref="D466:I466" si="569">SUM(D459:D465)</f>
        <v>0</v>
      </c>
      <c r="E466" s="1691">
        <f t="shared" si="569"/>
        <v>-492</v>
      </c>
      <c r="F466" s="1691">
        <f t="shared" si="569"/>
        <v>-414</v>
      </c>
      <c r="G466" s="1691" t="e">
        <f t="shared" ca="1" si="569"/>
        <v>#DIV/0!</v>
      </c>
      <c r="H466" s="1691" t="e">
        <f t="shared" ca="1" si="569"/>
        <v>#DIV/0!</v>
      </c>
      <c r="I466" s="1691">
        <f t="shared" si="569"/>
        <v>64.699999999999847</v>
      </c>
      <c r="J466" s="1691">
        <f t="shared" ref="J466:P466" si="570">SUM(J459:J465)</f>
        <v>378.07176137159951</v>
      </c>
      <c r="K466" s="1691">
        <f t="shared" si="570"/>
        <v>336.8</v>
      </c>
      <c r="L466" s="1691">
        <f t="shared" si="570"/>
        <v>188</v>
      </c>
      <c r="M466" s="1691">
        <f t="shared" si="570"/>
        <v>186.89356110381084</v>
      </c>
      <c r="N466" s="1691">
        <f t="shared" si="570"/>
        <v>190.09999999999997</v>
      </c>
      <c r="O466" s="1691">
        <f t="shared" si="570"/>
        <v>80.399999999999906</v>
      </c>
      <c r="P466" s="1691">
        <f t="shared" ca="1" si="570"/>
        <v>-89.447568366783997</v>
      </c>
      <c r="Q466" s="1691">
        <f t="shared" ref="Q466:V466" ca="1" si="571">SUM(Q459:Q465)</f>
        <v>170.94762629472763</v>
      </c>
      <c r="R466" s="1691">
        <f t="shared" ca="1" si="571"/>
        <v>240.99857800384439</v>
      </c>
      <c r="S466" s="1691">
        <f t="shared" ca="1" si="571"/>
        <v>283.56077633275021</v>
      </c>
      <c r="T466" s="1691">
        <f t="shared" ca="1" si="571"/>
        <v>319.80149547110932</v>
      </c>
      <c r="U466" s="1691">
        <f t="shared" ca="1" si="571"/>
        <v>340.03569565959219</v>
      </c>
      <c r="V466" s="1691">
        <f t="shared" ca="1" si="571"/>
        <v>360.71697983932546</v>
      </c>
      <c r="W466" s="1685"/>
      <c r="X466" s="1685"/>
      <c r="Y466" s="1685"/>
      <c r="Z466" s="1685"/>
      <c r="AA466" s="1685"/>
      <c r="AB466" s="1685"/>
      <c r="AC466" s="1685"/>
      <c r="AD466" s="1685"/>
    </row>
    <row r="467" spans="1:30" ht="15.75">
      <c r="A467" s="1685"/>
      <c r="B467" s="1692" t="s">
        <v>87</v>
      </c>
      <c r="C467" s="1695"/>
      <c r="D467" s="1766"/>
      <c r="E467" s="1766"/>
      <c r="F467" s="1766"/>
      <c r="G467" s="1766"/>
      <c r="H467" s="1766" t="e">
        <f t="shared" ref="H467:P467" ca="1" si="572">H466/H480</f>
        <v>#DIV/0!</v>
      </c>
      <c r="I467" s="1766">
        <f t="shared" si="572"/>
        <v>0.37621903434964882</v>
      </c>
      <c r="J467" s="1766">
        <f t="shared" si="572"/>
        <v>2.146942155752761</v>
      </c>
      <c r="K467" s="1766">
        <f t="shared" si="572"/>
        <v>1.8561229185438692</v>
      </c>
      <c r="L467" s="1766">
        <f t="shared" si="572"/>
        <v>0.90831348410692969</v>
      </c>
      <c r="M467" s="1766">
        <f t="shared" si="572"/>
        <v>0.80948354601442674</v>
      </c>
      <c r="N467" s="1766">
        <f t="shared" si="572"/>
        <v>0.85394065988365542</v>
      </c>
      <c r="O467" s="1766">
        <f t="shared" si="572"/>
        <v>0.38267491670632986</v>
      </c>
      <c r="P467" s="1766">
        <f t="shared" ca="1" si="572"/>
        <v>-0.4594122669069543</v>
      </c>
      <c r="Q467" s="1766">
        <f t="shared" ref="Q467:V467" ca="1" si="573">Q466/Q480</f>
        <v>0.96471572401087835</v>
      </c>
      <c r="R467" s="1766">
        <f t="shared" ca="1" si="573"/>
        <v>1.4632579113773188</v>
      </c>
      <c r="S467" s="1766">
        <f t="shared" ca="1" si="573"/>
        <v>1.8329720512782821</v>
      </c>
      <c r="T467" s="1766">
        <f t="shared" ca="1" si="573"/>
        <v>2.2101001760270167</v>
      </c>
      <c r="U467" s="1766">
        <f t="shared" ca="1" si="573"/>
        <v>2.5243926923503506</v>
      </c>
      <c r="V467" s="1766">
        <f t="shared" ca="1" si="573"/>
        <v>2.8926782665543342</v>
      </c>
      <c r="W467" s="1685"/>
      <c r="X467" s="1685"/>
      <c r="Y467" s="1685"/>
      <c r="Z467" s="1685"/>
      <c r="AA467" s="1685"/>
      <c r="AB467" s="1685"/>
      <c r="AC467" s="1685"/>
      <c r="AD467" s="1685"/>
    </row>
    <row r="468" spans="1:30" ht="15.75">
      <c r="A468" s="1685"/>
      <c r="B468" s="1692" t="s">
        <v>78</v>
      </c>
      <c r="C468" s="1695"/>
      <c r="D468" s="1693"/>
      <c r="E468" s="1693"/>
      <c r="F468" s="1693"/>
      <c r="G468" s="1693"/>
      <c r="H468" s="1693"/>
      <c r="I468" s="1693" t="e">
        <f t="shared" ref="I468:V468" ca="1" si="574">I467/H467-1</f>
        <v>#DIV/0!</v>
      </c>
      <c r="J468" s="1693">
        <f t="shared" si="574"/>
        <v>4.7066282131739383</v>
      </c>
      <c r="K468" s="1693">
        <f t="shared" si="574"/>
        <v>-0.13545741622783714</v>
      </c>
      <c r="L468" s="1693">
        <f t="shared" si="574"/>
        <v>-0.51063936820547273</v>
      </c>
      <c r="M468" s="1693">
        <f t="shared" si="574"/>
        <v>-0.10880597923708502</v>
      </c>
      <c r="N468" s="1693">
        <f t="shared" si="574"/>
        <v>5.4920342838489677E-2</v>
      </c>
      <c r="O468" s="1693">
        <f t="shared" si="574"/>
        <v>-0.5518717696865878</v>
      </c>
      <c r="P468" s="1693">
        <f t="shared" ca="1" si="574"/>
        <v>-2.2005288218551149</v>
      </c>
      <c r="Q468" s="1693">
        <f t="shared" ca="1" si="574"/>
        <v>-3.099891085856147</v>
      </c>
      <c r="R468" s="1693">
        <f t="shared" ca="1" si="574"/>
        <v>0.51677626367870699</v>
      </c>
      <c r="S468" s="1693">
        <f t="shared" ca="1" si="574"/>
        <v>0.2526650544830904</v>
      </c>
      <c r="T468" s="1693">
        <f t="shared" ca="1" si="574"/>
        <v>0.20574679493106962</v>
      </c>
      <c r="U468" s="1693">
        <f t="shared" ca="1" si="574"/>
        <v>0.14220736224197816</v>
      </c>
      <c r="V468" s="1693">
        <f t="shared" ca="1" si="574"/>
        <v>0.14589076228908326</v>
      </c>
      <c r="W468" s="1685"/>
      <c r="X468" s="1685"/>
      <c r="Y468" s="1685"/>
      <c r="Z468" s="1685"/>
      <c r="AA468" s="1685"/>
      <c r="AB468" s="1685"/>
      <c r="AC468" s="1685"/>
      <c r="AD468" s="1685"/>
    </row>
    <row r="469" spans="1:30" ht="15.75">
      <c r="A469" s="1685"/>
      <c r="B469" s="1692"/>
      <c r="C469" s="1695"/>
      <c r="D469" s="1692"/>
      <c r="E469" s="1692"/>
      <c r="F469" s="1692"/>
      <c r="G469" s="1692"/>
      <c r="H469" s="1692"/>
      <c r="I469" s="1692"/>
      <c r="J469" s="1692"/>
      <c r="K469" s="1692"/>
      <c r="L469" s="1692"/>
      <c r="M469" s="1692"/>
      <c r="N469" s="1692"/>
      <c r="O469" s="1692"/>
      <c r="P469" s="1692"/>
      <c r="Q469" s="1692"/>
      <c r="R469" s="1692"/>
      <c r="S469" s="1692"/>
      <c r="T469" s="1692"/>
      <c r="U469" s="1692"/>
      <c r="V469" s="1692"/>
      <c r="W469" s="1685"/>
      <c r="X469" s="1685"/>
      <c r="Y469" s="1685"/>
      <c r="Z469" s="1685"/>
      <c r="AA469" s="1685"/>
      <c r="AB469" s="1685"/>
      <c r="AC469" s="1685"/>
      <c r="AD469" s="1685"/>
    </row>
    <row r="470" spans="1:30" ht="15.75">
      <c r="A470" s="1685"/>
      <c r="B470" s="1692" t="s">
        <v>269</v>
      </c>
      <c r="C470" s="1695"/>
      <c r="D470" s="1757">
        <v>2665.6120000000001</v>
      </c>
      <c r="E470" s="1757">
        <v>2665.6120000000001</v>
      </c>
      <c r="F470" s="1757">
        <v>4475.9539999999997</v>
      </c>
      <c r="G470" s="1698">
        <f>Valuation!F5</f>
        <v>174</v>
      </c>
      <c r="H470" s="1698">
        <f>H471+H472+H473</f>
        <v>172.73599999999999</v>
      </c>
      <c r="I470" s="1698">
        <f>I471+I472+I473</f>
        <v>171.21257300000002</v>
      </c>
      <c r="J470" s="1698">
        <f t="shared" ref="J470:O470" si="575">SUM(J471:J473)</f>
        <v>180.983</v>
      </c>
      <c r="K470" s="1698">
        <f t="shared" si="575"/>
        <v>181.92400000000001</v>
      </c>
      <c r="L470" s="1698">
        <f t="shared" si="575"/>
        <v>232.03</v>
      </c>
      <c r="M470" s="1698">
        <f t="shared" si="575"/>
        <v>229.73000000000002</v>
      </c>
      <c r="N470" s="1698">
        <f t="shared" si="575"/>
        <v>215.5</v>
      </c>
      <c r="O470" s="1698">
        <f t="shared" si="575"/>
        <v>204.7</v>
      </c>
      <c r="P470" s="1698">
        <f t="shared" ref="P470:V470" si="576">O470+P475</f>
        <v>184.7</v>
      </c>
      <c r="Q470" s="1698">
        <f t="shared" si="576"/>
        <v>169.7</v>
      </c>
      <c r="R470" s="1698">
        <f t="shared" si="576"/>
        <v>159.69999999999999</v>
      </c>
      <c r="S470" s="1698">
        <f t="shared" si="576"/>
        <v>149.69999999999999</v>
      </c>
      <c r="T470" s="1698">
        <f t="shared" si="576"/>
        <v>139.69999999999999</v>
      </c>
      <c r="U470" s="1698">
        <f t="shared" si="576"/>
        <v>129.69999999999999</v>
      </c>
      <c r="V470" s="1698">
        <f t="shared" si="576"/>
        <v>119.69999999999999</v>
      </c>
      <c r="W470" s="1685"/>
      <c r="X470" s="1685"/>
      <c r="Y470" s="1685"/>
      <c r="Z470" s="1685"/>
      <c r="AA470" s="1685"/>
      <c r="AB470" s="1685"/>
      <c r="AC470" s="1685"/>
      <c r="AD470" s="1685"/>
    </row>
    <row r="471" spans="1:30" ht="15.75">
      <c r="A471" s="1685"/>
      <c r="B471" s="1744" t="s">
        <v>2878</v>
      </c>
      <c r="C471" s="1695"/>
      <c r="D471" s="1695"/>
      <c r="E471" s="1695"/>
      <c r="F471" s="1695"/>
      <c r="G471" s="1695"/>
      <c r="H471" s="1699">
        <v>50.198999999999998</v>
      </c>
      <c r="I471" s="1699">
        <v>48.428840999999998</v>
      </c>
      <c r="J471" s="1699">
        <v>48.503999999999998</v>
      </c>
      <c r="K471" s="1699">
        <v>48.796999999999997</v>
      </c>
      <c r="L471" s="1699">
        <v>49</v>
      </c>
      <c r="M471" s="1699">
        <v>45.5</v>
      </c>
      <c r="N471" s="1699">
        <v>42.2</v>
      </c>
      <c r="O471" s="1699">
        <v>40.799999999999997</v>
      </c>
      <c r="P471" s="1698">
        <f t="shared" ref="P471:V471" si="577">O471/O$470*P470</f>
        <v>36.813678553981433</v>
      </c>
      <c r="Q471" s="1698">
        <f t="shared" si="577"/>
        <v>33.823937469467509</v>
      </c>
      <c r="R471" s="1698">
        <f t="shared" si="577"/>
        <v>31.830776746458227</v>
      </c>
      <c r="S471" s="1698">
        <f t="shared" si="577"/>
        <v>29.837616023448948</v>
      </c>
      <c r="T471" s="1698">
        <f t="shared" si="577"/>
        <v>27.844455300439666</v>
      </c>
      <c r="U471" s="1698">
        <f t="shared" si="577"/>
        <v>25.851294577430384</v>
      </c>
      <c r="V471" s="1698">
        <f t="shared" si="577"/>
        <v>23.858133854421101</v>
      </c>
      <c r="W471" s="1685"/>
      <c r="X471" s="1685"/>
      <c r="Y471" s="1685"/>
      <c r="Z471" s="1685"/>
      <c r="AA471" s="1685"/>
      <c r="AB471" s="1685"/>
      <c r="AC471" s="1685"/>
      <c r="AD471" s="1685"/>
    </row>
    <row r="472" spans="1:30" ht="15.75">
      <c r="A472" s="1685"/>
      <c r="B472" s="1744" t="s">
        <v>2880</v>
      </c>
      <c r="C472" s="1695"/>
      <c r="D472" s="1695"/>
      <c r="E472" s="1695"/>
      <c r="F472" s="1695"/>
      <c r="G472" s="1695"/>
      <c r="H472" s="1699">
        <v>1.8879999999999999</v>
      </c>
      <c r="I472" s="1699">
        <v>1.9401930000000001</v>
      </c>
      <c r="J472" s="1699">
        <v>1.9359999999999999</v>
      </c>
      <c r="K472" s="1699">
        <v>1.9350000000000001</v>
      </c>
      <c r="L472" s="1699">
        <v>1.93</v>
      </c>
      <c r="M472" s="1699">
        <v>1.93</v>
      </c>
      <c r="N472" s="1699">
        <v>2.1</v>
      </c>
      <c r="O472" s="1699">
        <v>2.2000000000000002</v>
      </c>
      <c r="P472" s="1698">
        <f t="shared" ref="P472:V472" si="578">O472</f>
        <v>2.2000000000000002</v>
      </c>
      <c r="Q472" s="1698">
        <f t="shared" si="578"/>
        <v>2.2000000000000002</v>
      </c>
      <c r="R472" s="1698">
        <f t="shared" si="578"/>
        <v>2.2000000000000002</v>
      </c>
      <c r="S472" s="1698">
        <f t="shared" si="578"/>
        <v>2.2000000000000002</v>
      </c>
      <c r="T472" s="1698">
        <f t="shared" si="578"/>
        <v>2.2000000000000002</v>
      </c>
      <c r="U472" s="1698">
        <f t="shared" si="578"/>
        <v>2.2000000000000002</v>
      </c>
      <c r="V472" s="1698">
        <f t="shared" si="578"/>
        <v>2.2000000000000002</v>
      </c>
      <c r="W472" s="1685"/>
      <c r="X472" s="1685"/>
      <c r="Y472" s="1685"/>
      <c r="Z472" s="1685"/>
      <c r="AA472" s="1685"/>
      <c r="AB472" s="1685"/>
      <c r="AC472" s="1685"/>
      <c r="AD472" s="1685"/>
    </row>
    <row r="473" spans="1:30" ht="15.75">
      <c r="A473" s="1685"/>
      <c r="B473" s="1744" t="s">
        <v>2879</v>
      </c>
      <c r="C473" s="1695"/>
      <c r="D473" s="1695"/>
      <c r="E473" s="1695"/>
      <c r="F473" s="1695"/>
      <c r="G473" s="1695"/>
      <c r="H473" s="1699">
        <v>120.649</v>
      </c>
      <c r="I473" s="1699">
        <v>120.84353900000001</v>
      </c>
      <c r="J473" s="1699">
        <v>130.54300000000001</v>
      </c>
      <c r="K473" s="1699">
        <v>131.19200000000001</v>
      </c>
      <c r="L473" s="1699">
        <v>181.1</v>
      </c>
      <c r="M473" s="1699">
        <v>182.3</v>
      </c>
      <c r="N473" s="1699">
        <v>171.2</v>
      </c>
      <c r="O473" s="1699">
        <v>161.69999999999999</v>
      </c>
      <c r="P473" s="1698">
        <f t="shared" ref="P473:V473" si="579">P470-P471-P472</f>
        <v>145.68632144601855</v>
      </c>
      <c r="Q473" s="1698">
        <f t="shared" si="579"/>
        <v>133.67606253053248</v>
      </c>
      <c r="R473" s="1698">
        <f t="shared" si="579"/>
        <v>125.66922325354176</v>
      </c>
      <c r="S473" s="1698">
        <f t="shared" si="579"/>
        <v>117.66238397655104</v>
      </c>
      <c r="T473" s="1698">
        <f t="shared" si="579"/>
        <v>109.65554469956032</v>
      </c>
      <c r="U473" s="1698">
        <f t="shared" si="579"/>
        <v>101.64870542256961</v>
      </c>
      <c r="V473" s="1698">
        <f t="shared" si="579"/>
        <v>93.641866145578888</v>
      </c>
      <c r="W473" s="1685"/>
      <c r="X473" s="1685"/>
      <c r="Y473" s="1685"/>
      <c r="Z473" s="1685"/>
      <c r="AA473" s="1685"/>
      <c r="AB473" s="1685"/>
      <c r="AC473" s="1685"/>
      <c r="AD473" s="1685"/>
    </row>
    <row r="474" spans="1:30" ht="15.75">
      <c r="A474" s="1685"/>
      <c r="B474" s="1692"/>
      <c r="C474" s="1695"/>
      <c r="D474" s="1695"/>
      <c r="E474" s="1695"/>
      <c r="F474" s="1695"/>
      <c r="G474" s="1695"/>
      <c r="H474" s="1695"/>
      <c r="I474" s="1695"/>
      <c r="J474" s="1695"/>
      <c r="K474" s="1695"/>
      <c r="L474" s="1695"/>
      <c r="M474" s="1690"/>
      <c r="N474" s="1690"/>
      <c r="O474" s="1690"/>
      <c r="P474" s="1690"/>
      <c r="Q474" s="1695"/>
      <c r="R474" s="1695"/>
      <c r="S474" s="1695"/>
      <c r="T474" s="1695"/>
      <c r="U474" s="1695"/>
      <c r="V474" s="1695"/>
      <c r="W474" s="1685"/>
      <c r="X474" s="1685"/>
      <c r="Y474" s="1685"/>
      <c r="Z474" s="1685"/>
      <c r="AA474" s="1685"/>
      <c r="AB474" s="1685"/>
      <c r="AC474" s="1685"/>
      <c r="AD474" s="1685"/>
    </row>
    <row r="475" spans="1:30" ht="15.75">
      <c r="A475" s="1685"/>
      <c r="B475" s="1692" t="s">
        <v>233</v>
      </c>
      <c r="C475" s="1695"/>
      <c r="D475" s="1695"/>
      <c r="E475" s="1695">
        <f>E470-D470</f>
        <v>0</v>
      </c>
      <c r="F475" s="1695">
        <f>F470-E470</f>
        <v>1810.3419999999996</v>
      </c>
      <c r="G475" s="1730">
        <v>0</v>
      </c>
      <c r="H475" s="1698">
        <f>H470-G470</f>
        <v>-1.26400000000001</v>
      </c>
      <c r="I475" s="1698">
        <f>I470-H470</f>
        <v>-1.5234269999999697</v>
      </c>
      <c r="J475" s="1698">
        <f>J470-I470</f>
        <v>9.7704269999999838</v>
      </c>
      <c r="K475" s="1698">
        <f>K470-J470</f>
        <v>0.9410000000000025</v>
      </c>
      <c r="L475" s="1698">
        <f t="shared" ref="L475:O475" si="580">L470-K470</f>
        <v>50.105999999999995</v>
      </c>
      <c r="M475" s="1698">
        <f t="shared" si="580"/>
        <v>-2.2999999999999829</v>
      </c>
      <c r="N475" s="1698">
        <f t="shared" si="580"/>
        <v>-14.230000000000018</v>
      </c>
      <c r="O475" s="1698">
        <f t="shared" si="580"/>
        <v>-10.800000000000011</v>
      </c>
      <c r="P475" s="1738">
        <f t="shared" ref="P475:R475" si="581">-P442</f>
        <v>-20</v>
      </c>
      <c r="Q475" s="1738">
        <f t="shared" si="581"/>
        <v>-15</v>
      </c>
      <c r="R475" s="1738">
        <f t="shared" si="581"/>
        <v>-10</v>
      </c>
      <c r="S475" s="1738">
        <f t="shared" ref="S475:V475" si="582">-S442</f>
        <v>-10</v>
      </c>
      <c r="T475" s="1738">
        <f t="shared" si="582"/>
        <v>-10</v>
      </c>
      <c r="U475" s="1738">
        <f t="shared" si="582"/>
        <v>-10</v>
      </c>
      <c r="V475" s="1738">
        <f t="shared" si="582"/>
        <v>-10</v>
      </c>
      <c r="W475" s="1685"/>
      <c r="X475" s="1685"/>
      <c r="Y475" s="1685"/>
      <c r="Z475" s="1685"/>
      <c r="AA475" s="1685"/>
      <c r="AB475" s="1685"/>
      <c r="AC475" s="1685"/>
      <c r="AD475" s="1685"/>
    </row>
    <row r="476" spans="1:30" ht="15.75">
      <c r="A476" s="1685"/>
      <c r="B476" s="1692" t="s">
        <v>229</v>
      </c>
      <c r="C476" s="1695"/>
      <c r="D476" s="1731"/>
      <c r="E476" s="1731">
        <f t="shared" ref="E476:V476" si="583">(D470+E470)/2</f>
        <v>2665.6120000000001</v>
      </c>
      <c r="F476" s="1731">
        <f t="shared" si="583"/>
        <v>3570.7829999999999</v>
      </c>
      <c r="G476" s="1732">
        <f>G470</f>
        <v>174</v>
      </c>
      <c r="H476" s="1731">
        <f t="shared" si="583"/>
        <v>173.36799999999999</v>
      </c>
      <c r="I476" s="1731">
        <f t="shared" si="583"/>
        <v>171.97428650000001</v>
      </c>
      <c r="J476" s="1731">
        <f t="shared" si="583"/>
        <v>176.09778650000001</v>
      </c>
      <c r="K476" s="1731">
        <f t="shared" si="583"/>
        <v>181.45350000000002</v>
      </c>
      <c r="L476" s="1731">
        <f t="shared" si="583"/>
        <v>206.977</v>
      </c>
      <c r="M476" s="1731">
        <f t="shared" si="583"/>
        <v>230.88</v>
      </c>
      <c r="N476" s="1731">
        <f t="shared" si="583"/>
        <v>222.61500000000001</v>
      </c>
      <c r="O476" s="1731">
        <f t="shared" si="583"/>
        <v>210.1</v>
      </c>
      <c r="P476" s="1731">
        <f t="shared" si="583"/>
        <v>194.7</v>
      </c>
      <c r="Q476" s="1731">
        <f t="shared" si="583"/>
        <v>177.2</v>
      </c>
      <c r="R476" s="1731">
        <f t="shared" si="583"/>
        <v>164.7</v>
      </c>
      <c r="S476" s="1731">
        <f t="shared" si="583"/>
        <v>154.69999999999999</v>
      </c>
      <c r="T476" s="1731">
        <f t="shared" si="583"/>
        <v>144.69999999999999</v>
      </c>
      <c r="U476" s="1731">
        <f t="shared" si="583"/>
        <v>134.69999999999999</v>
      </c>
      <c r="V476" s="1731">
        <f t="shared" si="583"/>
        <v>124.69999999999999</v>
      </c>
      <c r="W476" s="1685"/>
      <c r="X476" s="1685"/>
      <c r="Y476" s="1685"/>
      <c r="Z476" s="1685"/>
      <c r="AA476" s="1685"/>
      <c r="AB476" s="1685"/>
      <c r="AC476" s="1685"/>
      <c r="AD476" s="1685"/>
    </row>
    <row r="477" spans="1:30" ht="15.75">
      <c r="A477" s="1685"/>
      <c r="B477" s="1692" t="s">
        <v>230</v>
      </c>
      <c r="C477" s="1695"/>
      <c r="D477" s="1757">
        <f>137.489+24.66</f>
        <v>162.149</v>
      </c>
      <c r="E477" s="1757">
        <f>137.489+24.66</f>
        <v>162.149</v>
      </c>
      <c r="F477" s="1757">
        <f>137.489+9.141</f>
        <v>146.63</v>
      </c>
      <c r="G477" s="1732">
        <v>0</v>
      </c>
      <c r="H477" s="1731">
        <f>G477</f>
        <v>0</v>
      </c>
      <c r="I477" s="1731">
        <f t="shared" ref="I477:V477" si="584">H477</f>
        <v>0</v>
      </c>
      <c r="J477" s="1731">
        <f t="shared" si="584"/>
        <v>0</v>
      </c>
      <c r="K477" s="1731">
        <f t="shared" si="584"/>
        <v>0</v>
      </c>
      <c r="L477" s="1731">
        <f t="shared" si="584"/>
        <v>0</v>
      </c>
      <c r="M477" s="1731">
        <f t="shared" si="584"/>
        <v>0</v>
      </c>
      <c r="N477" s="1731">
        <f t="shared" si="584"/>
        <v>0</v>
      </c>
      <c r="O477" s="1731">
        <f t="shared" si="584"/>
        <v>0</v>
      </c>
      <c r="P477" s="1731">
        <f t="shared" si="584"/>
        <v>0</v>
      </c>
      <c r="Q477" s="1731">
        <f t="shared" si="584"/>
        <v>0</v>
      </c>
      <c r="R477" s="1731">
        <f t="shared" si="584"/>
        <v>0</v>
      </c>
      <c r="S477" s="1731">
        <f t="shared" si="584"/>
        <v>0</v>
      </c>
      <c r="T477" s="1731">
        <f t="shared" si="584"/>
        <v>0</v>
      </c>
      <c r="U477" s="1731">
        <f t="shared" si="584"/>
        <v>0</v>
      </c>
      <c r="V477" s="1731">
        <f t="shared" si="584"/>
        <v>0</v>
      </c>
      <c r="W477" s="1685"/>
      <c r="X477" s="1685"/>
      <c r="Y477" s="1685"/>
      <c r="Z477" s="1685"/>
      <c r="AA477" s="1685"/>
      <c r="AB477" s="1685"/>
      <c r="AC477" s="1685"/>
      <c r="AD477" s="1685"/>
    </row>
    <row r="478" spans="1:30" ht="15.75">
      <c r="A478" s="1685"/>
      <c r="B478" s="1692" t="s">
        <v>231</v>
      </c>
      <c r="C478" s="1695"/>
      <c r="D478" s="1767">
        <f t="shared" ref="D478:I478" si="585">D477/D470</f>
        <v>6.0829933238595861E-2</v>
      </c>
      <c r="E478" s="1767">
        <f t="shared" si="585"/>
        <v>6.0829933238595861E-2</v>
      </c>
      <c r="F478" s="1767">
        <f t="shared" si="585"/>
        <v>3.2759496634683916E-2</v>
      </c>
      <c r="G478" s="1767">
        <f t="shared" si="585"/>
        <v>0</v>
      </c>
      <c r="H478" s="1767">
        <f t="shared" si="585"/>
        <v>0</v>
      </c>
      <c r="I478" s="1767">
        <f t="shared" si="585"/>
        <v>0</v>
      </c>
      <c r="J478" s="1767">
        <f t="shared" ref="J478:P478" si="586">J477/J470</f>
        <v>0</v>
      </c>
      <c r="K478" s="1767">
        <f t="shared" si="586"/>
        <v>0</v>
      </c>
      <c r="L478" s="1767">
        <f t="shared" si="586"/>
        <v>0</v>
      </c>
      <c r="M478" s="1767">
        <f t="shared" si="586"/>
        <v>0</v>
      </c>
      <c r="N478" s="1767">
        <f t="shared" si="586"/>
        <v>0</v>
      </c>
      <c r="O478" s="1767">
        <f t="shared" si="586"/>
        <v>0</v>
      </c>
      <c r="P478" s="1767">
        <f t="shared" si="586"/>
        <v>0</v>
      </c>
      <c r="Q478" s="1767">
        <f t="shared" ref="Q478:V478" si="587">Q477/Q470</f>
        <v>0</v>
      </c>
      <c r="R478" s="1767">
        <f t="shared" si="587"/>
        <v>0</v>
      </c>
      <c r="S478" s="1767">
        <f t="shared" si="587"/>
        <v>0</v>
      </c>
      <c r="T478" s="1767">
        <f t="shared" si="587"/>
        <v>0</v>
      </c>
      <c r="U478" s="1767">
        <f t="shared" si="587"/>
        <v>0</v>
      </c>
      <c r="V478" s="1767">
        <f t="shared" si="587"/>
        <v>0</v>
      </c>
      <c r="W478" s="1685"/>
      <c r="X478" s="1685"/>
      <c r="Y478" s="1685"/>
      <c r="Z478" s="1685"/>
      <c r="AA478" s="1685"/>
      <c r="AB478" s="1685"/>
      <c r="AC478" s="1685"/>
      <c r="AD478" s="1685"/>
    </row>
    <row r="479" spans="1:30" ht="15.75">
      <c r="A479" s="1685"/>
      <c r="B479" s="1692" t="s">
        <v>232</v>
      </c>
      <c r="C479" s="1695"/>
      <c r="D479" s="1731">
        <f t="shared" ref="D479:I479" si="588">D470-D477</f>
        <v>2503.4630000000002</v>
      </c>
      <c r="E479" s="1731">
        <f t="shared" si="588"/>
        <v>2503.4630000000002</v>
      </c>
      <c r="F479" s="1731">
        <f t="shared" si="588"/>
        <v>4329.3239999999996</v>
      </c>
      <c r="G479" s="1731">
        <f t="shared" si="588"/>
        <v>174</v>
      </c>
      <c r="H479" s="1731">
        <f t="shared" si="588"/>
        <v>172.73599999999999</v>
      </c>
      <c r="I479" s="1731">
        <f t="shared" si="588"/>
        <v>171.21257300000002</v>
      </c>
      <c r="J479" s="1731">
        <f t="shared" ref="J479:P479" si="589">J470-J477</f>
        <v>180.983</v>
      </c>
      <c r="K479" s="1731">
        <f t="shared" si="589"/>
        <v>181.92400000000001</v>
      </c>
      <c r="L479" s="1731">
        <f t="shared" si="589"/>
        <v>232.03</v>
      </c>
      <c r="M479" s="1731">
        <f t="shared" si="589"/>
        <v>229.73000000000002</v>
      </c>
      <c r="N479" s="1731">
        <f t="shared" si="589"/>
        <v>215.5</v>
      </c>
      <c r="O479" s="1731">
        <f t="shared" si="589"/>
        <v>204.7</v>
      </c>
      <c r="P479" s="1731">
        <f t="shared" si="589"/>
        <v>184.7</v>
      </c>
      <c r="Q479" s="1731">
        <f t="shared" ref="Q479:V479" si="590">Q470-Q477</f>
        <v>169.7</v>
      </c>
      <c r="R479" s="1731">
        <f t="shared" si="590"/>
        <v>159.69999999999999</v>
      </c>
      <c r="S479" s="1731">
        <f t="shared" si="590"/>
        <v>149.69999999999999</v>
      </c>
      <c r="T479" s="1731">
        <f t="shared" si="590"/>
        <v>139.69999999999999</v>
      </c>
      <c r="U479" s="1731">
        <f t="shared" si="590"/>
        <v>129.69999999999999</v>
      </c>
      <c r="V479" s="1731">
        <f t="shared" si="590"/>
        <v>119.69999999999999</v>
      </c>
      <c r="W479" s="1685"/>
      <c r="X479" s="1685"/>
      <c r="Y479" s="1685"/>
      <c r="Z479" s="1685"/>
      <c r="AA479" s="1685"/>
      <c r="AB479" s="1685"/>
      <c r="AC479" s="1685"/>
      <c r="AD479" s="1685"/>
    </row>
    <row r="480" spans="1:30" ht="15.75">
      <c r="A480" s="1685"/>
      <c r="B480" s="1692" t="s">
        <v>281</v>
      </c>
      <c r="C480" s="1695"/>
      <c r="D480" s="1731"/>
      <c r="E480" s="1731"/>
      <c r="F480" s="1731"/>
      <c r="G480" s="1731"/>
      <c r="H480" s="1731">
        <f t="shared" ref="H480:V480" si="591">(G479+H479)/2</f>
        <v>173.36799999999999</v>
      </c>
      <c r="I480" s="1731">
        <f t="shared" si="591"/>
        <v>171.97428650000001</v>
      </c>
      <c r="J480" s="1731">
        <f t="shared" si="591"/>
        <v>176.09778650000001</v>
      </c>
      <c r="K480" s="1731">
        <f t="shared" si="591"/>
        <v>181.45350000000002</v>
      </c>
      <c r="L480" s="1731">
        <f t="shared" si="591"/>
        <v>206.977</v>
      </c>
      <c r="M480" s="1731">
        <f t="shared" si="591"/>
        <v>230.88</v>
      </c>
      <c r="N480" s="1731">
        <f t="shared" si="591"/>
        <v>222.61500000000001</v>
      </c>
      <c r="O480" s="1731">
        <f t="shared" si="591"/>
        <v>210.1</v>
      </c>
      <c r="P480" s="1731">
        <f t="shared" si="591"/>
        <v>194.7</v>
      </c>
      <c r="Q480" s="1731">
        <f t="shared" si="591"/>
        <v>177.2</v>
      </c>
      <c r="R480" s="1731">
        <f t="shared" si="591"/>
        <v>164.7</v>
      </c>
      <c r="S480" s="1731">
        <f t="shared" si="591"/>
        <v>154.69999999999999</v>
      </c>
      <c r="T480" s="1731">
        <f t="shared" si="591"/>
        <v>144.69999999999999</v>
      </c>
      <c r="U480" s="1731">
        <f t="shared" si="591"/>
        <v>134.69999999999999</v>
      </c>
      <c r="V480" s="1731">
        <f t="shared" si="591"/>
        <v>124.69999999999999</v>
      </c>
      <c r="W480" s="1685"/>
      <c r="X480" s="1685"/>
      <c r="Y480" s="1685"/>
      <c r="Z480" s="1685"/>
      <c r="AA480" s="1685"/>
      <c r="AB480" s="1685"/>
      <c r="AC480" s="1685"/>
      <c r="AD480" s="1685"/>
    </row>
    <row r="481" spans="1:30" ht="15.75">
      <c r="A481" s="1685"/>
      <c r="B481" s="1692"/>
      <c r="C481" s="1695"/>
      <c r="D481" s="1731"/>
      <c r="E481" s="1731"/>
      <c r="F481" s="1731"/>
      <c r="G481" s="1731"/>
      <c r="H481" s="1731"/>
      <c r="I481" s="1731"/>
      <c r="J481" s="1731"/>
      <c r="K481" s="1731"/>
      <c r="L481" s="1731"/>
      <c r="M481" s="1731"/>
      <c r="N481" s="1731"/>
      <c r="O481" s="1731"/>
      <c r="P481" s="1731"/>
      <c r="Q481" s="1731"/>
      <c r="R481" s="1731"/>
      <c r="S481" s="1731"/>
      <c r="T481" s="1731"/>
      <c r="U481" s="1731"/>
      <c r="V481" s="1731"/>
      <c r="W481" s="1685"/>
      <c r="X481" s="1685"/>
      <c r="Y481" s="1685"/>
      <c r="Z481" s="1685"/>
      <c r="AA481" s="1685"/>
      <c r="AB481" s="1685"/>
      <c r="AC481" s="1685"/>
      <c r="AD481" s="1685"/>
    </row>
    <row r="482" spans="1:30" ht="15.75">
      <c r="A482" s="1685"/>
      <c r="B482" s="1692" t="s">
        <v>88</v>
      </c>
      <c r="C482" s="1695"/>
      <c r="D482" s="1733"/>
      <c r="E482" s="1733">
        <f>E485/E479</f>
        <v>3.9944668644992951E-2</v>
      </c>
      <c r="F482" s="1768">
        <v>2.6700000000000002E-2</v>
      </c>
      <c r="G482" s="1769">
        <f t="shared" ref="G482:V482" si="592">(1+G483)*F482</f>
        <v>2.6700000000000002E-2</v>
      </c>
      <c r="H482" s="1769">
        <f t="shared" si="592"/>
        <v>2.6700000000000002E-2</v>
      </c>
      <c r="I482" s="1769">
        <f t="shared" si="592"/>
        <v>2.6700000000000002E-2</v>
      </c>
      <c r="J482" s="1769">
        <f t="shared" si="592"/>
        <v>2.6700000000000002E-2</v>
      </c>
      <c r="K482" s="1769">
        <f t="shared" si="592"/>
        <v>2.6700000000000002E-2</v>
      </c>
      <c r="L482" s="1769">
        <f t="shared" si="592"/>
        <v>2.6700000000000002E-2</v>
      </c>
      <c r="M482" s="1769">
        <f t="shared" si="592"/>
        <v>2.6700000000000002E-2</v>
      </c>
      <c r="N482" s="1769">
        <f t="shared" si="592"/>
        <v>2.6700000000000002E-2</v>
      </c>
      <c r="O482" s="1769">
        <f t="shared" si="592"/>
        <v>2.6700000000000002E-2</v>
      </c>
      <c r="P482" s="1769">
        <f t="shared" si="592"/>
        <v>2.6700000000000002E-2</v>
      </c>
      <c r="Q482" s="1769">
        <f t="shared" si="592"/>
        <v>2.6700000000000002E-2</v>
      </c>
      <c r="R482" s="1769">
        <f t="shared" si="592"/>
        <v>2.6700000000000002E-2</v>
      </c>
      <c r="S482" s="1769">
        <f t="shared" si="592"/>
        <v>2.6700000000000002E-2</v>
      </c>
      <c r="T482" s="1769">
        <f t="shared" si="592"/>
        <v>2.6700000000000002E-2</v>
      </c>
      <c r="U482" s="1769">
        <f t="shared" si="592"/>
        <v>2.6700000000000002E-2</v>
      </c>
      <c r="V482" s="1769">
        <f t="shared" si="592"/>
        <v>2.6700000000000002E-2</v>
      </c>
      <c r="W482" s="1685"/>
      <c r="X482" s="1685"/>
      <c r="Y482" s="1685"/>
      <c r="Z482" s="1685"/>
      <c r="AA482" s="1685"/>
      <c r="AB482" s="1685"/>
      <c r="AC482" s="1685"/>
      <c r="AD482" s="1685"/>
    </row>
    <row r="483" spans="1:30" ht="15.75">
      <c r="A483" s="1685"/>
      <c r="B483" s="1692" t="s">
        <v>78</v>
      </c>
      <c r="C483" s="1770"/>
      <c r="D483" s="1770"/>
      <c r="E483" s="1771">
        <v>0</v>
      </c>
      <c r="F483" s="1771">
        <v>0</v>
      </c>
      <c r="G483" s="1771">
        <f>F483</f>
        <v>0</v>
      </c>
      <c r="H483" s="1771">
        <f t="shared" ref="H483:V483" si="593">G483</f>
        <v>0</v>
      </c>
      <c r="I483" s="1771">
        <f t="shared" si="593"/>
        <v>0</v>
      </c>
      <c r="J483" s="1771">
        <f t="shared" si="593"/>
        <v>0</v>
      </c>
      <c r="K483" s="1771">
        <f t="shared" si="593"/>
        <v>0</v>
      </c>
      <c r="L483" s="1771">
        <f t="shared" si="593"/>
        <v>0</v>
      </c>
      <c r="M483" s="1771">
        <f t="shared" si="593"/>
        <v>0</v>
      </c>
      <c r="N483" s="1771">
        <f t="shared" si="593"/>
        <v>0</v>
      </c>
      <c r="O483" s="1771">
        <f t="shared" si="593"/>
        <v>0</v>
      </c>
      <c r="P483" s="1771">
        <f t="shared" si="593"/>
        <v>0</v>
      </c>
      <c r="Q483" s="1771">
        <f t="shared" si="593"/>
        <v>0</v>
      </c>
      <c r="R483" s="1771">
        <f t="shared" si="593"/>
        <v>0</v>
      </c>
      <c r="S483" s="1771">
        <f t="shared" si="593"/>
        <v>0</v>
      </c>
      <c r="T483" s="1771">
        <f t="shared" si="593"/>
        <v>0</v>
      </c>
      <c r="U483" s="1771">
        <f t="shared" si="593"/>
        <v>0</v>
      </c>
      <c r="V483" s="1771">
        <f t="shared" si="593"/>
        <v>0</v>
      </c>
      <c r="W483" s="1685"/>
      <c r="X483" s="1685"/>
      <c r="Y483" s="1685"/>
      <c r="Z483" s="1685"/>
      <c r="AA483" s="1685"/>
      <c r="AB483" s="1685"/>
      <c r="AC483" s="1685"/>
      <c r="AD483" s="1685"/>
    </row>
    <row r="484" spans="1:30" ht="15.75">
      <c r="A484" s="1685"/>
      <c r="B484" s="1692"/>
      <c r="C484" s="1693"/>
      <c r="D484" s="1731"/>
      <c r="E484" s="1693"/>
      <c r="F484" s="1693"/>
      <c r="G484" s="1693"/>
      <c r="H484" s="1693"/>
      <c r="I484" s="1693"/>
      <c r="J484" s="1693"/>
      <c r="K484" s="1693"/>
      <c r="L484" s="1693"/>
      <c r="M484" s="1693"/>
      <c r="N484" s="1693"/>
      <c r="O484" s="1693"/>
      <c r="P484" s="1693"/>
      <c r="Q484" s="1693"/>
      <c r="R484" s="1693"/>
      <c r="S484" s="1693"/>
      <c r="T484" s="1693"/>
      <c r="U484" s="1693"/>
      <c r="V484" s="1693"/>
      <c r="W484" s="1685"/>
      <c r="X484" s="1685"/>
      <c r="Y484" s="1685"/>
      <c r="Z484" s="1685"/>
      <c r="AA484" s="1685"/>
      <c r="AB484" s="1685"/>
      <c r="AC484" s="1685"/>
      <c r="AD484" s="1685"/>
    </row>
    <row r="485" spans="1:30" ht="15.75">
      <c r="A485" s="1685"/>
      <c r="B485" s="1692" t="s">
        <v>234</v>
      </c>
      <c r="C485" s="1731"/>
      <c r="D485" s="1731"/>
      <c r="E485" s="1732">
        <v>100</v>
      </c>
      <c r="F485" s="1731"/>
      <c r="G485" s="1732">
        <v>194</v>
      </c>
      <c r="H485" s="1731"/>
      <c r="I485" s="1731"/>
      <c r="J485" s="1731"/>
      <c r="K485" s="1731"/>
      <c r="L485" s="1731"/>
      <c r="M485" s="1731"/>
      <c r="N485" s="1731"/>
      <c r="O485" s="1731"/>
      <c r="P485" s="1731"/>
      <c r="Q485" s="1731"/>
      <c r="R485" s="1731"/>
      <c r="S485" s="1731"/>
      <c r="T485" s="1731"/>
      <c r="U485" s="1731"/>
      <c r="V485" s="1731"/>
      <c r="W485" s="1685"/>
      <c r="X485" s="1685"/>
      <c r="Y485" s="1685"/>
      <c r="Z485" s="1685"/>
      <c r="AA485" s="1685"/>
      <c r="AB485" s="1685"/>
      <c r="AC485" s="1685"/>
      <c r="AD485" s="1685"/>
    </row>
    <row r="486" spans="1:30" ht="15.75">
      <c r="A486" s="1685"/>
      <c r="B486" s="1692" t="s">
        <v>235</v>
      </c>
      <c r="C486" s="1693"/>
      <c r="D486" s="1693"/>
      <c r="E486" s="1693" t="e">
        <f t="shared" ref="E486:P486" si="594">E482/E467</f>
        <v>#DIV/0!</v>
      </c>
      <c r="F486" s="1693" t="e">
        <f t="shared" si="594"/>
        <v>#DIV/0!</v>
      </c>
      <c r="G486" s="1693" t="e">
        <f t="shared" si="594"/>
        <v>#DIV/0!</v>
      </c>
      <c r="H486" s="1693" t="e">
        <f t="shared" ca="1" si="594"/>
        <v>#DIV/0!</v>
      </c>
      <c r="I486" s="1693">
        <f t="shared" si="594"/>
        <v>7.0969295974497859E-2</v>
      </c>
      <c r="J486" s="1693">
        <f t="shared" si="594"/>
        <v>1.243629220678209E-2</v>
      </c>
      <c r="K486" s="1693">
        <f t="shared" si="594"/>
        <v>1.4384823188836106E-2</v>
      </c>
      <c r="L486" s="1693">
        <f t="shared" si="594"/>
        <v>2.9395137765957452E-2</v>
      </c>
      <c r="M486" s="1693">
        <f t="shared" si="594"/>
        <v>3.2983993475173307E-2</v>
      </c>
      <c r="N486" s="1693">
        <f t="shared" si="594"/>
        <v>3.1266809573908476E-2</v>
      </c>
      <c r="O486" s="1693">
        <f t="shared" si="594"/>
        <v>6.9772014925373216E-2</v>
      </c>
      <c r="P486" s="1693">
        <f t="shared" ca="1" si="594"/>
        <v>-5.8117734164481086E-2</v>
      </c>
      <c r="Q486" s="1693">
        <f t="shared" ref="Q486:V486" ca="1" si="595">Q482/Q467</f>
        <v>2.767654691994937E-2</v>
      </c>
      <c r="R486" s="1693">
        <f t="shared" ca="1" si="595"/>
        <v>1.8246954137338733E-2</v>
      </c>
      <c r="S486" s="1693">
        <f t="shared" ca="1" si="595"/>
        <v>1.4566506882295285E-2</v>
      </c>
      <c r="T486" s="1693">
        <f t="shared" ca="1" si="595"/>
        <v>1.2080900354479505E-2</v>
      </c>
      <c r="U486" s="1693">
        <f t="shared" ca="1" si="595"/>
        <v>1.0576801335588089E-2</v>
      </c>
      <c r="V486" s="1693">
        <f t="shared" ca="1" si="595"/>
        <v>9.2302003678425629E-3</v>
      </c>
      <c r="W486" s="1685"/>
      <c r="X486" s="1685"/>
      <c r="Y486" s="1685"/>
      <c r="Z486" s="1685"/>
      <c r="AA486" s="1685"/>
      <c r="AB486" s="1685"/>
      <c r="AC486" s="1685"/>
      <c r="AD486" s="1685"/>
    </row>
    <row r="487" spans="1:30" ht="15.75">
      <c r="A487" s="1685"/>
      <c r="B487" s="1692" t="s">
        <v>236</v>
      </c>
      <c r="C487" s="1693"/>
      <c r="D487" s="1693"/>
      <c r="E487" s="1693" t="e">
        <f t="shared" ref="E487:P487" si="596">E482/E467</f>
        <v>#DIV/0!</v>
      </c>
      <c r="F487" s="1693" t="e">
        <f t="shared" si="596"/>
        <v>#DIV/0!</v>
      </c>
      <c r="G487" s="1693" t="e">
        <f t="shared" si="596"/>
        <v>#DIV/0!</v>
      </c>
      <c r="H487" s="1693" t="e">
        <f t="shared" ca="1" si="596"/>
        <v>#DIV/0!</v>
      </c>
      <c r="I487" s="1693">
        <f t="shared" si="596"/>
        <v>7.0969295974497859E-2</v>
      </c>
      <c r="J487" s="1693">
        <f t="shared" si="596"/>
        <v>1.243629220678209E-2</v>
      </c>
      <c r="K487" s="1693">
        <f t="shared" si="596"/>
        <v>1.4384823188836106E-2</v>
      </c>
      <c r="L487" s="1693">
        <f t="shared" si="596"/>
        <v>2.9395137765957452E-2</v>
      </c>
      <c r="M487" s="1693">
        <f t="shared" si="596"/>
        <v>3.2983993475173307E-2</v>
      </c>
      <c r="N487" s="1693">
        <f t="shared" si="596"/>
        <v>3.1266809573908476E-2</v>
      </c>
      <c r="O487" s="1693">
        <f t="shared" si="596"/>
        <v>6.9772014925373216E-2</v>
      </c>
      <c r="P487" s="1693">
        <f t="shared" ca="1" si="596"/>
        <v>-5.8117734164481086E-2</v>
      </c>
      <c r="Q487" s="1693">
        <f t="shared" ref="Q487:V487" ca="1" si="597">Q482/Q467</f>
        <v>2.767654691994937E-2</v>
      </c>
      <c r="R487" s="1693">
        <f t="shared" ca="1" si="597"/>
        <v>1.8246954137338733E-2</v>
      </c>
      <c r="S487" s="1693">
        <f t="shared" ca="1" si="597"/>
        <v>1.4566506882295285E-2</v>
      </c>
      <c r="T487" s="1693">
        <f t="shared" ca="1" si="597"/>
        <v>1.2080900354479505E-2</v>
      </c>
      <c r="U487" s="1693">
        <f t="shared" ca="1" si="597"/>
        <v>1.0576801335588089E-2</v>
      </c>
      <c r="V487" s="1693">
        <f t="shared" ca="1" si="597"/>
        <v>9.2302003678425629E-3</v>
      </c>
      <c r="W487" s="1685"/>
      <c r="X487" s="1685"/>
      <c r="Y487" s="1685"/>
      <c r="Z487" s="1685"/>
      <c r="AA487" s="1685"/>
      <c r="AB487" s="1685"/>
      <c r="AC487" s="1685"/>
      <c r="AD487" s="1685"/>
    </row>
    <row r="488" spans="1:30" ht="15.75">
      <c r="A488" s="1685"/>
      <c r="B488" s="1692" t="s">
        <v>237</v>
      </c>
      <c r="C488" s="1693"/>
      <c r="D488" s="1693"/>
      <c r="E488" s="1693">
        <f>E485/E494</f>
        <v>-0.38910505836575876</v>
      </c>
      <c r="F488" s="1693">
        <f>F485/F494</f>
        <v>0</v>
      </c>
      <c r="G488" s="1693" t="e">
        <f ca="1">G485/G494</f>
        <v>#DIV/0!</v>
      </c>
      <c r="H488" s="1693" t="e">
        <f ca="1">H485/H494</f>
        <v>#DIV/0!</v>
      </c>
      <c r="I488" s="1693">
        <f>I485/I494</f>
        <v>0</v>
      </c>
      <c r="J488" s="1693">
        <f t="shared" ref="J488:P488" si="598">J485/J494</f>
        <v>0</v>
      </c>
      <c r="K488" s="1693">
        <f t="shared" si="598"/>
        <v>0</v>
      </c>
      <c r="L488" s="1693">
        <f t="shared" si="598"/>
        <v>0</v>
      </c>
      <c r="M488" s="1693">
        <f t="shared" si="598"/>
        <v>0</v>
      </c>
      <c r="N488" s="1693">
        <f t="shared" si="598"/>
        <v>0</v>
      </c>
      <c r="O488" s="1693">
        <f t="shared" si="598"/>
        <v>0</v>
      </c>
      <c r="P488" s="1693">
        <f t="shared" ca="1" si="598"/>
        <v>0</v>
      </c>
      <c r="Q488" s="1693">
        <f t="shared" ref="Q488:V488" ca="1" si="599">Q485/Q494</f>
        <v>0</v>
      </c>
      <c r="R488" s="1693">
        <f t="shared" ca="1" si="599"/>
        <v>0</v>
      </c>
      <c r="S488" s="1693">
        <f t="shared" ca="1" si="599"/>
        <v>0</v>
      </c>
      <c r="T488" s="1693">
        <f t="shared" ca="1" si="599"/>
        <v>0</v>
      </c>
      <c r="U488" s="1693">
        <f t="shared" ca="1" si="599"/>
        <v>0</v>
      </c>
      <c r="V488" s="1693">
        <f t="shared" ca="1" si="599"/>
        <v>0</v>
      </c>
      <c r="W488" s="1685"/>
      <c r="X488" s="1685"/>
      <c r="Y488" s="1685"/>
      <c r="Z488" s="1685"/>
      <c r="AA488" s="1685"/>
      <c r="AB488" s="1685"/>
      <c r="AC488" s="1685"/>
      <c r="AD488" s="1685"/>
    </row>
    <row r="489" spans="1:30" ht="15.75">
      <c r="A489" s="1685"/>
      <c r="B489" s="1692"/>
      <c r="C489" s="1692"/>
      <c r="D489" s="1692"/>
      <c r="E489" s="1692"/>
      <c r="F489" s="1695"/>
      <c r="G489" s="1695"/>
      <c r="H489" s="1695"/>
      <c r="I489" s="1695"/>
      <c r="J489" s="1695"/>
      <c r="K489" s="1695"/>
      <c r="L489" s="1695"/>
      <c r="M489" s="1695"/>
      <c r="N489" s="1695"/>
      <c r="O489" s="1695"/>
      <c r="P489" s="1695"/>
      <c r="Q489" s="1695"/>
      <c r="R489" s="1695"/>
      <c r="S489" s="1695"/>
      <c r="T489" s="1695"/>
      <c r="U489" s="1695"/>
      <c r="V489" s="1695"/>
      <c r="W489" s="1685"/>
      <c r="X489" s="1685"/>
      <c r="Y489" s="1685"/>
      <c r="Z489" s="1685"/>
      <c r="AA489" s="1685"/>
      <c r="AB489" s="1685"/>
      <c r="AC489" s="1685"/>
      <c r="AD489" s="1685"/>
    </row>
    <row r="490" spans="1:30" ht="15.75">
      <c r="A490" s="1685"/>
      <c r="B490" s="1692" t="s">
        <v>228</v>
      </c>
      <c r="C490" s="1695"/>
      <c r="D490" s="1695"/>
      <c r="E490" s="1695">
        <f t="shared" ref="E490:P490" si="600">E466</f>
        <v>-492</v>
      </c>
      <c r="F490" s="1695">
        <f t="shared" si="600"/>
        <v>-414</v>
      </c>
      <c r="G490" s="1695" t="e">
        <f ca="1">G466</f>
        <v>#DIV/0!</v>
      </c>
      <c r="H490" s="1695" t="e">
        <f t="shared" ca="1" si="600"/>
        <v>#DIV/0!</v>
      </c>
      <c r="I490" s="1695">
        <f t="shared" si="600"/>
        <v>64.699999999999847</v>
      </c>
      <c r="J490" s="1695">
        <f t="shared" si="600"/>
        <v>378.07176137159951</v>
      </c>
      <c r="K490" s="1695">
        <f t="shared" si="600"/>
        <v>336.8</v>
      </c>
      <c r="L490" s="1695">
        <f t="shared" si="600"/>
        <v>188</v>
      </c>
      <c r="M490" s="1695">
        <f t="shared" si="600"/>
        <v>186.89356110381084</v>
      </c>
      <c r="N490" s="1695">
        <f t="shared" si="600"/>
        <v>190.09999999999997</v>
      </c>
      <c r="O490" s="1695">
        <f t="shared" si="600"/>
        <v>80.399999999999906</v>
      </c>
      <c r="P490" s="1695">
        <f t="shared" ca="1" si="600"/>
        <v>-89.447568366783997</v>
      </c>
      <c r="Q490" s="1695">
        <f t="shared" ref="Q490:V490" ca="1" si="601">Q466</f>
        <v>170.94762629472763</v>
      </c>
      <c r="R490" s="1695">
        <f t="shared" ca="1" si="601"/>
        <v>240.99857800384439</v>
      </c>
      <c r="S490" s="1695">
        <f t="shared" ca="1" si="601"/>
        <v>283.56077633275021</v>
      </c>
      <c r="T490" s="1695">
        <f t="shared" ca="1" si="601"/>
        <v>319.80149547110932</v>
      </c>
      <c r="U490" s="1695">
        <f t="shared" ca="1" si="601"/>
        <v>340.03569565959219</v>
      </c>
      <c r="V490" s="1695">
        <f t="shared" ca="1" si="601"/>
        <v>360.71697983932546</v>
      </c>
      <c r="W490" s="1685"/>
      <c r="X490" s="1685"/>
      <c r="Y490" s="1685"/>
      <c r="Z490" s="1685"/>
      <c r="AA490" s="1685"/>
      <c r="AB490" s="1685"/>
      <c r="AC490" s="1685"/>
      <c r="AD490" s="1685"/>
    </row>
    <row r="491" spans="1:30" ht="15.75">
      <c r="A491" s="1685"/>
      <c r="B491" s="1692" t="s">
        <v>238</v>
      </c>
      <c r="C491" s="1695"/>
      <c r="D491" s="1695"/>
      <c r="E491" s="1695">
        <f t="shared" ref="E491:P491" si="602">-E460</f>
        <v>185</v>
      </c>
      <c r="F491" s="1695">
        <f t="shared" si="602"/>
        <v>206</v>
      </c>
      <c r="G491" s="1695">
        <f>-G460</f>
        <v>510.72874493927122</v>
      </c>
      <c r="H491" s="1695">
        <f t="shared" si="602"/>
        <v>537.95833401629272</v>
      </c>
      <c r="I491" s="1695">
        <f t="shared" si="602"/>
        <v>758.22586206896551</v>
      </c>
      <c r="J491" s="1695">
        <f t="shared" si="602"/>
        <v>792.58390804597695</v>
      </c>
      <c r="K491" s="1695">
        <f t="shared" si="602"/>
        <v>837.50287356321837</v>
      </c>
      <c r="L491" s="1695">
        <f t="shared" si="602"/>
        <v>886.7494252873563</v>
      </c>
      <c r="M491" s="1695">
        <f t="shared" si="602"/>
        <v>940.01896551724144</v>
      </c>
      <c r="N491" s="1695">
        <f t="shared" si="602"/>
        <v>888.33908045977012</v>
      </c>
      <c r="O491" s="1695">
        <f t="shared" si="602"/>
        <v>988.52701149425286</v>
      </c>
      <c r="P491" s="1695">
        <f t="shared" si="602"/>
        <v>963.52657087860496</v>
      </c>
      <c r="Q491" s="1695">
        <f t="shared" ref="Q491:V492" si="603">-Q460</f>
        <v>758.30302665584293</v>
      </c>
      <c r="R491" s="1695">
        <f t="shared" si="603"/>
        <v>733.36613644695353</v>
      </c>
      <c r="S491" s="1695">
        <f t="shared" si="603"/>
        <v>723.66162956827691</v>
      </c>
      <c r="T491" s="1695">
        <f t="shared" si="603"/>
        <v>720.60664815121686</v>
      </c>
      <c r="U491" s="1695">
        <f t="shared" si="603"/>
        <v>730.80022133616399</v>
      </c>
      <c r="V491" s="1695">
        <f t="shared" si="603"/>
        <v>742.32246871766097</v>
      </c>
      <c r="W491" s="1685"/>
      <c r="X491" s="1685"/>
      <c r="Y491" s="1685"/>
      <c r="Z491" s="1685"/>
      <c r="AA491" s="1685"/>
      <c r="AB491" s="1685"/>
      <c r="AC491" s="1685"/>
      <c r="AD491" s="1685"/>
    </row>
    <row r="492" spans="1:30" ht="15.75">
      <c r="A492" s="1685"/>
      <c r="B492" s="1692" t="s">
        <v>239</v>
      </c>
      <c r="C492" s="1695"/>
      <c r="D492" s="1695"/>
      <c r="E492" s="1695">
        <f t="shared" ref="E492:P492" si="604">-E461</f>
        <v>50</v>
      </c>
      <c r="F492" s="1695">
        <f t="shared" si="604"/>
        <v>50</v>
      </c>
      <c r="G492" s="1695">
        <f>-G461</f>
        <v>84.885057471264361</v>
      </c>
      <c r="H492" s="1695">
        <f t="shared" si="604"/>
        <v>82.445831681860227</v>
      </c>
      <c r="I492" s="1695">
        <f t="shared" si="604"/>
        <v>35.474137931034484</v>
      </c>
      <c r="J492" s="1695">
        <f t="shared" si="604"/>
        <v>37.816091954022987</v>
      </c>
      <c r="K492" s="1695">
        <f t="shared" si="604"/>
        <v>33.497126436781613</v>
      </c>
      <c r="L492" s="1695">
        <f t="shared" si="604"/>
        <v>27.850574712643677</v>
      </c>
      <c r="M492" s="1695">
        <f t="shared" si="604"/>
        <v>24.681034482758619</v>
      </c>
      <c r="N492" s="1695">
        <f t="shared" si="604"/>
        <v>22.660919540229884</v>
      </c>
      <c r="O492" s="1695">
        <f t="shared" si="604"/>
        <v>19.772988505747126</v>
      </c>
      <c r="P492" s="1695">
        <f t="shared" si="604"/>
        <v>15.563218390804598</v>
      </c>
      <c r="Q492" s="1695">
        <f t="shared" si="603"/>
        <v>15.115999471528603</v>
      </c>
      <c r="R492" s="1695">
        <f t="shared" si="603"/>
        <v>14.681631670622608</v>
      </c>
      <c r="S492" s="1695">
        <f t="shared" si="603"/>
        <v>14.259745703075982</v>
      </c>
      <c r="T492" s="1695">
        <f t="shared" si="603"/>
        <v>13.849982895516327</v>
      </c>
      <c r="U492" s="1695">
        <f t="shared" si="603"/>
        <v>13.451994881277354</v>
      </c>
      <c r="V492" s="1695">
        <f t="shared" si="603"/>
        <v>13.065443304229156</v>
      </c>
      <c r="W492" s="1685"/>
      <c r="X492" s="1685"/>
      <c r="Y492" s="1685"/>
      <c r="Z492" s="1685"/>
      <c r="AA492" s="1685"/>
      <c r="AB492" s="1685"/>
      <c r="AC492" s="1685"/>
      <c r="AD492" s="1685"/>
    </row>
    <row r="493" spans="1:30" ht="15.75">
      <c r="A493" s="1685"/>
      <c r="B493" s="1715" t="s">
        <v>240</v>
      </c>
      <c r="C493" s="1717"/>
      <c r="D493" s="1717"/>
      <c r="E493" s="1717">
        <f t="shared" ref="E493:V493" si="605">-E121</f>
        <v>0</v>
      </c>
      <c r="F493" s="1717">
        <f t="shared" si="605"/>
        <v>0</v>
      </c>
      <c r="G493" s="1717">
        <f t="shared" si="605"/>
        <v>0</v>
      </c>
      <c r="H493" s="1717">
        <f t="shared" si="605"/>
        <v>0</v>
      </c>
      <c r="I493" s="1717">
        <f t="shared" si="605"/>
        <v>-776.5462392108509</v>
      </c>
      <c r="J493" s="1717">
        <f t="shared" si="605"/>
        <v>-771.39999999999986</v>
      </c>
      <c r="K493" s="1717">
        <f t="shared" si="605"/>
        <v>-727.09999999999991</v>
      </c>
      <c r="L493" s="1717">
        <f t="shared" si="605"/>
        <v>-631</v>
      </c>
      <c r="M493" s="1717">
        <f t="shared" si="605"/>
        <v>-855.89999999999986</v>
      </c>
      <c r="N493" s="1717">
        <f t="shared" si="605"/>
        <v>-816.3</v>
      </c>
      <c r="O493" s="1717">
        <f t="shared" si="605"/>
        <v>-730.9</v>
      </c>
      <c r="P493" s="1717">
        <f t="shared" si="605"/>
        <v>-714.74571124892748</v>
      </c>
      <c r="Q493" s="1717">
        <f t="shared" si="605"/>
        <v>-721.45592028503188</v>
      </c>
      <c r="R493" s="1717">
        <f t="shared" si="605"/>
        <v>-736.00690545819975</v>
      </c>
      <c r="S493" s="1717">
        <f t="shared" si="605"/>
        <v>-750.3269320788105</v>
      </c>
      <c r="T493" s="1717">
        <f t="shared" si="605"/>
        <v>-765.10060611735639</v>
      </c>
      <c r="U493" s="1717">
        <f t="shared" si="605"/>
        <v>-781.09371326153314</v>
      </c>
      <c r="V493" s="1717">
        <f t="shared" si="605"/>
        <v>-797.62702720519997</v>
      </c>
      <c r="W493" s="1685"/>
      <c r="X493" s="1685"/>
      <c r="Y493" s="1685"/>
      <c r="Z493" s="1685"/>
      <c r="AA493" s="1685"/>
      <c r="AB493" s="1685"/>
      <c r="AC493" s="1685"/>
      <c r="AD493" s="1685"/>
    </row>
    <row r="494" spans="1:30" ht="15.75">
      <c r="A494" s="1685"/>
      <c r="B494" s="1689" t="s">
        <v>241</v>
      </c>
      <c r="C494" s="1691"/>
      <c r="D494" s="1691"/>
      <c r="E494" s="1691">
        <f>SUM(E490:E493)</f>
        <v>-257</v>
      </c>
      <c r="F494" s="1691">
        <f>SUM(F490:F493)</f>
        <v>-158</v>
      </c>
      <c r="G494" s="1691" t="e">
        <f ca="1">SUM(G490:G493)</f>
        <v>#DIV/0!</v>
      </c>
      <c r="H494" s="1691" t="e">
        <f ca="1">SUM(H490:H493)</f>
        <v>#DIV/0!</v>
      </c>
      <c r="I494" s="1691">
        <f>SUM(I490:I493)</f>
        <v>81.853760789148964</v>
      </c>
      <c r="J494" s="1691">
        <f t="shared" ref="J494:P494" si="606">SUM(J490:J493)</f>
        <v>437.07176137159968</v>
      </c>
      <c r="K494" s="1691">
        <f t="shared" si="606"/>
        <v>480.70000000000005</v>
      </c>
      <c r="L494" s="1691">
        <f t="shared" si="606"/>
        <v>471.59999999999991</v>
      </c>
      <c r="M494" s="1691">
        <f t="shared" si="606"/>
        <v>295.69356110381091</v>
      </c>
      <c r="N494" s="1691">
        <f t="shared" si="606"/>
        <v>284.79999999999995</v>
      </c>
      <c r="O494" s="1691">
        <f t="shared" si="606"/>
        <v>357.80000000000007</v>
      </c>
      <c r="P494" s="1691">
        <f t="shared" ca="1" si="606"/>
        <v>174.8965096536981</v>
      </c>
      <c r="Q494" s="1691">
        <f t="shared" ref="Q494:V494" ca="1" si="607">SUM(Q490:Q493)</f>
        <v>222.91073213706738</v>
      </c>
      <c r="R494" s="1691">
        <f t="shared" ca="1" si="607"/>
        <v>253.03944066322083</v>
      </c>
      <c r="S494" s="1691">
        <f t="shared" ca="1" si="607"/>
        <v>271.15521952529252</v>
      </c>
      <c r="T494" s="1691">
        <f t="shared" ca="1" si="607"/>
        <v>289.15752040048619</v>
      </c>
      <c r="U494" s="1691">
        <f t="shared" ca="1" si="607"/>
        <v>303.19419861550045</v>
      </c>
      <c r="V494" s="1691">
        <f t="shared" ca="1" si="607"/>
        <v>318.47786465601553</v>
      </c>
      <c r="W494" s="1685"/>
      <c r="X494" s="1685"/>
      <c r="Y494" s="1685"/>
      <c r="Z494" s="1685"/>
      <c r="AA494" s="1685"/>
      <c r="AB494" s="1685"/>
      <c r="AC494" s="1685"/>
      <c r="AD494" s="1685"/>
    </row>
    <row r="495" spans="1:30" ht="15.75">
      <c r="A495" s="1685"/>
      <c r="B495" s="1692" t="s">
        <v>242</v>
      </c>
      <c r="C495" s="1766"/>
      <c r="D495" s="1766"/>
      <c r="E495" s="1766" t="e">
        <f>E494/E480</f>
        <v>#DIV/0!</v>
      </c>
      <c r="F495" s="1766" t="e">
        <f t="shared" ref="F495:P495" si="608">F494/F480</f>
        <v>#DIV/0!</v>
      </c>
      <c r="G495" s="1766" t="e">
        <f t="shared" ca="1" si="608"/>
        <v>#DIV/0!</v>
      </c>
      <c r="H495" s="1766" t="e">
        <f t="shared" ca="1" si="608"/>
        <v>#DIV/0!</v>
      </c>
      <c r="I495" s="1766">
        <f t="shared" si="608"/>
        <v>0.47596511347729281</v>
      </c>
      <c r="J495" s="1766">
        <f t="shared" si="608"/>
        <v>2.4819832779192805</v>
      </c>
      <c r="K495" s="1766">
        <f t="shared" si="608"/>
        <v>2.6491635598100891</v>
      </c>
      <c r="L495" s="1766">
        <f t="shared" si="608"/>
        <v>2.2785140377916382</v>
      </c>
      <c r="M495" s="1766">
        <f t="shared" si="608"/>
        <v>1.2807240172548984</v>
      </c>
      <c r="N495" s="1766">
        <f t="shared" si="608"/>
        <v>1.2793387687262761</v>
      </c>
      <c r="O495" s="1766">
        <f t="shared" si="608"/>
        <v>1.7029985721085201</v>
      </c>
      <c r="P495" s="1766">
        <f t="shared" ca="1" si="608"/>
        <v>0.89828715795427894</v>
      </c>
      <c r="Q495" s="1766">
        <f t="shared" ref="Q495:V495" ca="1" si="609">Q494/Q480</f>
        <v>1.2579612423085067</v>
      </c>
      <c r="R495" s="1766">
        <f t="shared" ca="1" si="609"/>
        <v>1.536365759946696</v>
      </c>
      <c r="S495" s="1766">
        <f t="shared" ca="1" si="609"/>
        <v>1.7527809924065452</v>
      </c>
      <c r="T495" s="1766">
        <f t="shared" ca="1" si="609"/>
        <v>1.9983242598513216</v>
      </c>
      <c r="U495" s="1766">
        <f t="shared" ca="1" si="609"/>
        <v>2.2508849191945099</v>
      </c>
      <c r="V495" s="1766">
        <f t="shared" ca="1" si="609"/>
        <v>2.5539524030153613</v>
      </c>
      <c r="W495" s="1685"/>
      <c r="X495" s="1685"/>
      <c r="Y495" s="1685"/>
      <c r="Z495" s="1685"/>
      <c r="AA495" s="1685"/>
      <c r="AB495" s="1685"/>
      <c r="AC495" s="1685"/>
      <c r="AD495" s="1685"/>
    </row>
    <row r="496" spans="1:30" ht="15.75">
      <c r="A496" s="1685"/>
      <c r="B496" s="1692" t="s">
        <v>78</v>
      </c>
      <c r="C496" s="1693"/>
      <c r="D496" s="1693"/>
      <c r="E496" s="1693"/>
      <c r="F496" s="1693" t="e">
        <f t="shared" ref="F496:V496" si="610">F495/E495-1</f>
        <v>#DIV/0!</v>
      </c>
      <c r="G496" s="1693" t="e">
        <f t="shared" ca="1" si="610"/>
        <v>#DIV/0!</v>
      </c>
      <c r="H496" s="1693" t="e">
        <f t="shared" ca="1" si="610"/>
        <v>#DIV/0!</v>
      </c>
      <c r="I496" s="1693" t="e">
        <f t="shared" ca="1" si="610"/>
        <v>#DIV/0!</v>
      </c>
      <c r="J496" s="1693">
        <f t="shared" si="610"/>
        <v>4.214632769587829</v>
      </c>
      <c r="K496" s="1693">
        <f t="shared" si="610"/>
        <v>6.7357537570100323E-2</v>
      </c>
      <c r="L496" s="1693">
        <f t="shared" si="610"/>
        <v>-0.13991190564504885</v>
      </c>
      <c r="M496" s="1693">
        <f t="shared" si="610"/>
        <v>-0.43791260619302974</v>
      </c>
      <c r="N496" s="1693">
        <f t="shared" si="610"/>
        <v>-1.0816136107070218E-3</v>
      </c>
      <c r="O496" s="1693">
        <f t="shared" si="610"/>
        <v>0.33115529188882831</v>
      </c>
      <c r="P496" s="1693">
        <f t="shared" ca="1" si="610"/>
        <v>-0.47252618254277823</v>
      </c>
      <c r="Q496" s="1693">
        <f t="shared" ca="1" si="610"/>
        <v>0.40039989570076262</v>
      </c>
      <c r="R496" s="1693">
        <f t="shared" ca="1" si="610"/>
        <v>0.22131406618480898</v>
      </c>
      <c r="S496" s="1693">
        <f t="shared" ca="1" si="610"/>
        <v>0.14086179092363893</v>
      </c>
      <c r="T496" s="1693">
        <f t="shared" ca="1" si="610"/>
        <v>0.14008781958985583</v>
      </c>
      <c r="U496" s="1693">
        <f t="shared" ca="1" si="610"/>
        <v>0.12638622490725271</v>
      </c>
      <c r="V496" s="1693">
        <f t="shared" ca="1" si="610"/>
        <v>0.13464370445438201</v>
      </c>
      <c r="W496" s="1685"/>
      <c r="X496" s="1685"/>
      <c r="Y496" s="1685"/>
      <c r="Z496" s="1685"/>
      <c r="AA496" s="1685"/>
      <c r="AB496" s="1685"/>
      <c r="AC496" s="1685"/>
      <c r="AD496" s="1685"/>
    </row>
    <row r="497" spans="1:30" ht="15.75">
      <c r="A497" s="1685"/>
      <c r="B497" s="1685"/>
      <c r="C497" s="1685"/>
      <c r="D497" s="1685"/>
      <c r="E497" s="1685"/>
      <c r="F497" s="1685"/>
      <c r="G497" s="1685"/>
      <c r="H497" s="1685"/>
      <c r="I497" s="1685"/>
      <c r="J497" s="1685"/>
      <c r="K497" s="1685"/>
      <c r="L497" s="1685"/>
      <c r="M497" s="1685"/>
      <c r="N497" s="1685"/>
      <c r="O497" s="1685"/>
      <c r="P497" s="1685"/>
      <c r="Q497" s="1685"/>
      <c r="R497" s="1685"/>
      <c r="S497" s="1685"/>
      <c r="T497" s="1685"/>
      <c r="U497" s="1685"/>
      <c r="V497" s="1685"/>
      <c r="W497" s="1685"/>
      <c r="X497" s="1685"/>
      <c r="Y497" s="1685"/>
      <c r="Z497" s="1685"/>
      <c r="AA497" s="1685"/>
      <c r="AB497" s="1685"/>
      <c r="AC497" s="1685"/>
      <c r="AD497" s="1685"/>
    </row>
    <row r="498" spans="1:30" ht="15.75">
      <c r="A498" s="1685"/>
      <c r="B498" s="1689" t="s">
        <v>243</v>
      </c>
      <c r="C498" s="1688">
        <f t="shared" ref="C498:P498" si="611">C458</f>
        <v>40908</v>
      </c>
      <c r="D498" s="1688">
        <f t="shared" si="611"/>
        <v>41274</v>
      </c>
      <c r="E498" s="1688">
        <f t="shared" si="611"/>
        <v>41639</v>
      </c>
      <c r="F498" s="1688">
        <f t="shared" si="611"/>
        <v>42004</v>
      </c>
      <c r="G498" s="1688">
        <f t="shared" si="611"/>
        <v>42369</v>
      </c>
      <c r="H498" s="1688">
        <f t="shared" si="611"/>
        <v>42735</v>
      </c>
      <c r="I498" s="1688">
        <f t="shared" si="611"/>
        <v>43100</v>
      </c>
      <c r="J498" s="1688">
        <f t="shared" si="611"/>
        <v>43465</v>
      </c>
      <c r="K498" s="1688">
        <f t="shared" si="611"/>
        <v>43830</v>
      </c>
      <c r="L498" s="1688">
        <f t="shared" si="611"/>
        <v>44196</v>
      </c>
      <c r="M498" s="1688">
        <f t="shared" si="611"/>
        <v>44561</v>
      </c>
      <c r="N498" s="1688">
        <f t="shared" si="611"/>
        <v>44926</v>
      </c>
      <c r="O498" s="1688">
        <f t="shared" si="611"/>
        <v>45291</v>
      </c>
      <c r="P498" s="1688">
        <f t="shared" si="611"/>
        <v>45657</v>
      </c>
      <c r="Q498" s="1688">
        <f t="shared" ref="Q498:V498" si="612">Q458</f>
        <v>46022</v>
      </c>
      <c r="R498" s="1688">
        <f t="shared" si="612"/>
        <v>46387</v>
      </c>
      <c r="S498" s="1688">
        <f t="shared" si="612"/>
        <v>46752</v>
      </c>
      <c r="T498" s="1688">
        <f t="shared" si="612"/>
        <v>47118</v>
      </c>
      <c r="U498" s="1688">
        <f t="shared" si="612"/>
        <v>47483</v>
      </c>
      <c r="V498" s="1688">
        <f t="shared" si="612"/>
        <v>47848</v>
      </c>
      <c r="W498" s="1685"/>
      <c r="X498" s="1685"/>
      <c r="Y498" s="1685"/>
      <c r="Z498" s="1685"/>
      <c r="AA498" s="1685"/>
      <c r="AB498" s="1685"/>
      <c r="AC498" s="1685"/>
      <c r="AD498" s="1685"/>
    </row>
    <row r="499" spans="1:30" ht="15.75" hidden="1" outlineLevel="1">
      <c r="A499" s="1772">
        <v>1250</v>
      </c>
      <c r="B499" s="1692" t="s">
        <v>275</v>
      </c>
      <c r="C499" s="1751">
        <f>D499</f>
        <v>0</v>
      </c>
      <c r="D499" s="1749"/>
      <c r="E499" s="1749"/>
      <c r="F499" s="1749">
        <v>1250</v>
      </c>
      <c r="G499" s="1751">
        <f>F499-G530</f>
        <v>1250</v>
      </c>
      <c r="H499" s="1772">
        <v>1250</v>
      </c>
      <c r="I499" s="1772">
        <v>0</v>
      </c>
      <c r="J499" s="1772">
        <v>0</v>
      </c>
      <c r="K499" s="1772">
        <v>0</v>
      </c>
      <c r="L499" s="1772">
        <v>0</v>
      </c>
      <c r="M499" s="1751">
        <f t="shared" ref="M499:V499" si="613">L499-M530</f>
        <v>0</v>
      </c>
      <c r="N499" s="1751">
        <f t="shared" si="613"/>
        <v>0</v>
      </c>
      <c r="O499" s="1751">
        <f t="shared" si="613"/>
        <v>0</v>
      </c>
      <c r="P499" s="1751">
        <f t="shared" si="613"/>
        <v>0</v>
      </c>
      <c r="Q499" s="1751">
        <f t="shared" si="613"/>
        <v>0</v>
      </c>
      <c r="R499" s="1751">
        <f t="shared" si="613"/>
        <v>0</v>
      </c>
      <c r="S499" s="1751">
        <f t="shared" si="613"/>
        <v>0</v>
      </c>
      <c r="T499" s="1751">
        <f t="shared" si="613"/>
        <v>0</v>
      </c>
      <c r="U499" s="1751">
        <f t="shared" si="613"/>
        <v>0</v>
      </c>
      <c r="V499" s="1751">
        <f t="shared" si="613"/>
        <v>0</v>
      </c>
      <c r="W499" s="1685"/>
      <c r="X499" s="1685"/>
      <c r="Y499" s="1685"/>
      <c r="Z499" s="1685"/>
      <c r="AA499" s="1685"/>
      <c r="AB499" s="1685"/>
      <c r="AC499" s="1685"/>
      <c r="AD499" s="1685"/>
    </row>
    <row r="500" spans="1:30" ht="15.75" hidden="1" outlineLevel="1">
      <c r="A500" s="1772">
        <f>F500/1.48</f>
        <v>147.97297297297297</v>
      </c>
      <c r="B500" s="1692" t="s">
        <v>274</v>
      </c>
      <c r="C500" s="1751">
        <f>D500</f>
        <v>0</v>
      </c>
      <c r="D500" s="1772"/>
      <c r="E500" s="1772">
        <v>242</v>
      </c>
      <c r="F500" s="1772">
        <v>219</v>
      </c>
      <c r="G500" s="1751">
        <f>F500-G531</f>
        <v>219</v>
      </c>
      <c r="H500" s="1772">
        <v>181.1</v>
      </c>
      <c r="I500" s="1772">
        <v>198</v>
      </c>
      <c r="J500" s="1772">
        <v>0</v>
      </c>
      <c r="K500" s="1772">
        <v>0</v>
      </c>
      <c r="L500" s="1772">
        <v>0</v>
      </c>
      <c r="M500" s="1751">
        <f t="shared" ref="M500:V500" si="614">L500-M531</f>
        <v>0</v>
      </c>
      <c r="N500" s="1751">
        <f t="shared" si="614"/>
        <v>0</v>
      </c>
      <c r="O500" s="1751">
        <f t="shared" si="614"/>
        <v>0</v>
      </c>
      <c r="P500" s="1751">
        <f t="shared" si="614"/>
        <v>0</v>
      </c>
      <c r="Q500" s="1751">
        <f t="shared" si="614"/>
        <v>0</v>
      </c>
      <c r="R500" s="1751">
        <f t="shared" si="614"/>
        <v>0</v>
      </c>
      <c r="S500" s="1751">
        <f t="shared" si="614"/>
        <v>0</v>
      </c>
      <c r="T500" s="1751">
        <f t="shared" si="614"/>
        <v>0</v>
      </c>
      <c r="U500" s="1751">
        <f t="shared" si="614"/>
        <v>0</v>
      </c>
      <c r="V500" s="1751">
        <f t="shared" si="614"/>
        <v>0</v>
      </c>
      <c r="W500" s="1685"/>
      <c r="X500" s="1685"/>
      <c r="Y500" s="1685"/>
      <c r="Z500" s="1685"/>
      <c r="AA500" s="1685"/>
      <c r="AB500" s="1685"/>
      <c r="AC500" s="1685"/>
      <c r="AD500" s="1685"/>
    </row>
    <row r="501" spans="1:30" ht="15.75" collapsed="1">
      <c r="A501" s="1772"/>
      <c r="B501" s="1692" t="s">
        <v>4070</v>
      </c>
      <c r="C501" s="1751"/>
      <c r="D501" s="1772"/>
      <c r="E501" s="1772"/>
      <c r="F501" s="1772"/>
      <c r="G501" s="1751"/>
      <c r="H501" s="1772">
        <v>1100</v>
      </c>
      <c r="I501" s="1772">
        <v>1825</v>
      </c>
      <c r="J501" s="1772">
        <v>1875</v>
      </c>
      <c r="K501" s="1772">
        <v>1636.5</v>
      </c>
      <c r="L501" s="1772">
        <v>1510</v>
      </c>
      <c r="M501" s="1751">
        <f>L501-M532</f>
        <v>1510</v>
      </c>
      <c r="N501" s="1751"/>
      <c r="O501" s="1751"/>
      <c r="P501" s="1751"/>
      <c r="Q501" s="1751"/>
      <c r="R501" s="1751"/>
      <c r="S501" s="1751"/>
      <c r="T501" s="1751"/>
      <c r="U501" s="1751"/>
      <c r="V501" s="1751"/>
      <c r="W501" s="1685"/>
      <c r="X501" s="1685"/>
      <c r="Y501" s="1685"/>
      <c r="Z501" s="1685"/>
      <c r="AA501" s="1685"/>
      <c r="AB501" s="1685"/>
      <c r="AC501" s="1685"/>
      <c r="AD501" s="1685"/>
    </row>
    <row r="502" spans="1:30" ht="15.75">
      <c r="A502" s="1685"/>
      <c r="B502" s="1692" t="s">
        <v>3456</v>
      </c>
      <c r="C502" s="1751">
        <f>D502</f>
        <v>0</v>
      </c>
      <c r="D502" s="1772"/>
      <c r="E502" s="1772">
        <v>220</v>
      </c>
      <c r="F502" s="1772">
        <v>259</v>
      </c>
      <c r="G502" s="1751">
        <f>F502-G533</f>
        <v>259</v>
      </c>
      <c r="H502" s="1772">
        <v>311.89999999999998</v>
      </c>
      <c r="I502" s="1751" t="e">
        <f>I527-I499-I500-I501-I503-I504-I507-I508-I509-#REF!-#REF!</f>
        <v>#REF!</v>
      </c>
      <c r="J502" s="1751" t="e">
        <f>J527-J499-J500-J501-J503-J504-J507-J508-J509-#REF!-#REF!</f>
        <v>#REF!</v>
      </c>
      <c r="K502" s="1751">
        <f>K527-SUM(K503:K520)-K501-K500-K499</f>
        <v>1229.5</v>
      </c>
      <c r="L502" s="1751">
        <f>L527-SUM(L503:L520)-L501-L500-L499</f>
        <v>1066.2999999999993</v>
      </c>
      <c r="M502" s="1751">
        <f>M527-SUM(M503:M520)-M501-M500-M499</f>
        <v>2144.8999999999996</v>
      </c>
      <c r="N502" s="1751">
        <f>N527-N505-N506-N508-N510-N511-N512-N513-N514-N515-N516-N517-N518-N521-N522</f>
        <v>183.30000000000018</v>
      </c>
      <c r="O502" s="1751">
        <f>O527-O505-O506-O508-O510-O511-O512-O513-O514-O515-O516-O517-O518-O521-O522</f>
        <v>183.40000000000055</v>
      </c>
      <c r="P502" s="1751">
        <f t="shared" ref="P502:V504" si="615">O502-P533</f>
        <v>183.40000000000055</v>
      </c>
      <c r="Q502" s="1751">
        <f t="shared" si="615"/>
        <v>183.40000000000055</v>
      </c>
      <c r="R502" s="1751">
        <f t="shared" si="615"/>
        <v>183.40000000000055</v>
      </c>
      <c r="S502" s="1751">
        <f t="shared" si="615"/>
        <v>183.40000000000055</v>
      </c>
      <c r="T502" s="1751">
        <f t="shared" si="615"/>
        <v>183.40000000000055</v>
      </c>
      <c r="U502" s="1751">
        <f t="shared" si="615"/>
        <v>183.40000000000055</v>
      </c>
      <c r="V502" s="1751">
        <f t="shared" si="615"/>
        <v>183.40000000000055</v>
      </c>
      <c r="W502" s="1685"/>
      <c r="X502" s="1685"/>
      <c r="Y502" s="1685"/>
      <c r="Z502" s="1685"/>
      <c r="AA502" s="1685"/>
      <c r="AB502" s="1685"/>
      <c r="AC502" s="1685"/>
      <c r="AD502" s="1685"/>
    </row>
    <row r="503" spans="1:30" ht="15.75" hidden="1" outlineLevel="1">
      <c r="A503" s="1685"/>
      <c r="B503" s="1692" t="s">
        <v>2795</v>
      </c>
      <c r="C503" s="1751"/>
      <c r="D503" s="1751"/>
      <c r="E503" s="1751"/>
      <c r="F503" s="1751"/>
      <c r="G503" s="1772">
        <v>750</v>
      </c>
      <c r="H503" s="1772">
        <v>750</v>
      </c>
      <c r="I503" s="1772">
        <v>750</v>
      </c>
      <c r="J503" s="1772">
        <v>475</v>
      </c>
      <c r="K503" s="1772">
        <v>0</v>
      </c>
      <c r="L503" s="1772">
        <v>0</v>
      </c>
      <c r="M503" s="1751">
        <f t="shared" ref="M503:O504" si="616">L503-M534</f>
        <v>0</v>
      </c>
      <c r="N503" s="1751">
        <f t="shared" si="616"/>
        <v>0</v>
      </c>
      <c r="O503" s="1751">
        <f t="shared" si="616"/>
        <v>0</v>
      </c>
      <c r="P503" s="1751">
        <f t="shared" si="615"/>
        <v>0</v>
      </c>
      <c r="Q503" s="1751">
        <f t="shared" si="615"/>
        <v>0</v>
      </c>
      <c r="R503" s="1751">
        <f t="shared" si="615"/>
        <v>0</v>
      </c>
      <c r="S503" s="1751">
        <f t="shared" si="615"/>
        <v>0</v>
      </c>
      <c r="T503" s="1751">
        <f t="shared" si="615"/>
        <v>0</v>
      </c>
      <c r="U503" s="1751">
        <f t="shared" si="615"/>
        <v>0</v>
      </c>
      <c r="V503" s="1751">
        <f t="shared" si="615"/>
        <v>0</v>
      </c>
      <c r="W503" s="1685"/>
      <c r="X503" s="1685"/>
      <c r="Y503" s="1685"/>
      <c r="Z503" s="1685"/>
      <c r="AA503" s="1685"/>
      <c r="AB503" s="1685"/>
      <c r="AC503" s="1685"/>
      <c r="AD503" s="1685"/>
    </row>
    <row r="504" spans="1:30" ht="15.75" hidden="1" outlineLevel="1">
      <c r="A504" s="1685"/>
      <c r="B504" s="1692" t="s">
        <v>1311</v>
      </c>
      <c r="C504" s="1751"/>
      <c r="D504" s="1751"/>
      <c r="E504" s="1751"/>
      <c r="F504" s="1751">
        <f>LiLAC!O209</f>
        <v>1400.0659087164279</v>
      </c>
      <c r="G504" s="1751">
        <f>LiLAC!P209</f>
        <v>1258.1100141043723</v>
      </c>
      <c r="H504" s="1772">
        <v>1400</v>
      </c>
      <c r="I504" s="1772">
        <v>1400</v>
      </c>
      <c r="J504" s="1772">
        <v>1260</v>
      </c>
      <c r="K504" s="1772">
        <v>1260</v>
      </c>
      <c r="L504" s="1772">
        <v>0</v>
      </c>
      <c r="M504" s="1751">
        <f t="shared" si="616"/>
        <v>0</v>
      </c>
      <c r="N504" s="1751">
        <f t="shared" si="616"/>
        <v>0</v>
      </c>
      <c r="O504" s="1751">
        <f t="shared" si="616"/>
        <v>0</v>
      </c>
      <c r="P504" s="1751">
        <f t="shared" si="615"/>
        <v>0</v>
      </c>
      <c r="Q504" s="1751">
        <f t="shared" si="615"/>
        <v>0</v>
      </c>
      <c r="R504" s="1751">
        <f t="shared" si="615"/>
        <v>0</v>
      </c>
      <c r="S504" s="1751">
        <f t="shared" si="615"/>
        <v>0</v>
      </c>
      <c r="T504" s="1751">
        <f t="shared" si="615"/>
        <v>0</v>
      </c>
      <c r="U504" s="1751">
        <f t="shared" si="615"/>
        <v>0</v>
      </c>
      <c r="V504" s="1751">
        <f t="shared" si="615"/>
        <v>0</v>
      </c>
      <c r="W504" s="1685"/>
      <c r="X504" s="1685"/>
      <c r="Y504" s="1685"/>
      <c r="Z504" s="1685"/>
      <c r="AA504" s="1685"/>
      <c r="AB504" s="1685"/>
      <c r="AC504" s="1685"/>
      <c r="AD504" s="1685"/>
    </row>
    <row r="505" spans="1:30" ht="15.75" collapsed="1">
      <c r="A505" s="1685"/>
      <c r="B505" s="1692" t="s">
        <v>5488</v>
      </c>
      <c r="C505" s="1751"/>
      <c r="D505" s="1751"/>
      <c r="E505" s="1751"/>
      <c r="F505" s="1751"/>
      <c r="G505" s="1751"/>
      <c r="H505" s="1772"/>
      <c r="I505" s="1772"/>
      <c r="J505" s="1772"/>
      <c r="K505" s="1772"/>
      <c r="L505" s="1772">
        <v>600</v>
      </c>
      <c r="M505" s="1751">
        <f>L505-M538</f>
        <v>600</v>
      </c>
      <c r="N505" s="1772">
        <v>0</v>
      </c>
      <c r="O505" s="1772">
        <v>0</v>
      </c>
      <c r="P505" s="1772">
        <v>0</v>
      </c>
      <c r="Q505" s="1772">
        <v>0</v>
      </c>
      <c r="R505" s="1772">
        <v>0</v>
      </c>
      <c r="S505" s="1772">
        <v>0</v>
      </c>
      <c r="T505" s="1772">
        <v>0</v>
      </c>
      <c r="U505" s="1772">
        <v>0</v>
      </c>
      <c r="V505" s="1772">
        <v>0</v>
      </c>
      <c r="W505" s="1685"/>
      <c r="X505" s="1685"/>
      <c r="Y505" s="1685"/>
      <c r="Z505" s="1685"/>
      <c r="AA505" s="1685"/>
      <c r="AB505" s="1685"/>
      <c r="AC505" s="1685"/>
      <c r="AD505" s="1685"/>
    </row>
    <row r="506" spans="1:30" ht="15.75">
      <c r="A506" s="1685"/>
      <c r="B506" s="1692" t="s">
        <v>5489</v>
      </c>
      <c r="C506" s="1751"/>
      <c r="D506" s="1751"/>
      <c r="E506" s="1751"/>
      <c r="F506" s="1751"/>
      <c r="G506" s="1751"/>
      <c r="H506" s="1772"/>
      <c r="I506" s="1772"/>
      <c r="J506" s="1772"/>
      <c r="K506" s="1772"/>
      <c r="L506" s="1772">
        <v>550</v>
      </c>
      <c r="M506" s="1751">
        <f>L506-M539</f>
        <v>550</v>
      </c>
      <c r="N506" s="1772">
        <v>0</v>
      </c>
      <c r="O506" s="1772">
        <v>0</v>
      </c>
      <c r="P506" s="1772">
        <v>0</v>
      </c>
      <c r="Q506" s="1772">
        <v>0</v>
      </c>
      <c r="R506" s="1772">
        <v>0</v>
      </c>
      <c r="S506" s="1772">
        <v>0</v>
      </c>
      <c r="T506" s="1772">
        <v>0</v>
      </c>
      <c r="U506" s="1772">
        <v>0</v>
      </c>
      <c r="V506" s="1772">
        <v>0</v>
      </c>
      <c r="W506" s="1685"/>
      <c r="X506" s="1685"/>
      <c r="Y506" s="1685"/>
      <c r="Z506" s="1685"/>
      <c r="AA506" s="1685"/>
      <c r="AB506" s="1685"/>
      <c r="AC506" s="1685"/>
      <c r="AD506" s="1685"/>
    </row>
    <row r="507" spans="1:30" ht="15.75" hidden="1" outlineLevel="1">
      <c r="A507" s="1685"/>
      <c r="B507" s="1692" t="s">
        <v>984</v>
      </c>
      <c r="C507" s="1751"/>
      <c r="D507" s="1751"/>
      <c r="E507" s="1751"/>
      <c r="F507" s="1751">
        <f>LiLAC!O208</f>
        <v>672</v>
      </c>
      <c r="G507" s="1751">
        <f>LiLAC!P208</f>
        <v>934</v>
      </c>
      <c r="H507" s="1772">
        <v>942.5</v>
      </c>
      <c r="I507" s="1772">
        <v>982.5</v>
      </c>
      <c r="J507" s="1772">
        <v>942.5</v>
      </c>
      <c r="K507" s="1772">
        <v>0</v>
      </c>
      <c r="L507" s="1772">
        <v>0</v>
      </c>
      <c r="M507" s="1751">
        <f t="shared" ref="M507:V507" si="617">L507-M538</f>
        <v>0</v>
      </c>
      <c r="N507" s="1751">
        <f t="shared" si="617"/>
        <v>0</v>
      </c>
      <c r="O507" s="1751">
        <f t="shared" si="617"/>
        <v>0</v>
      </c>
      <c r="P507" s="1751">
        <f t="shared" si="617"/>
        <v>0</v>
      </c>
      <c r="Q507" s="1751">
        <f t="shared" si="617"/>
        <v>0</v>
      </c>
      <c r="R507" s="1751">
        <f t="shared" si="617"/>
        <v>0</v>
      </c>
      <c r="S507" s="1751">
        <f t="shared" si="617"/>
        <v>0</v>
      </c>
      <c r="T507" s="1751">
        <f t="shared" si="617"/>
        <v>0</v>
      </c>
      <c r="U507" s="1751">
        <f t="shared" si="617"/>
        <v>0</v>
      </c>
      <c r="V507" s="1751">
        <f t="shared" si="617"/>
        <v>0</v>
      </c>
      <c r="W507" s="1685"/>
      <c r="X507" s="1685"/>
      <c r="Y507" s="1685"/>
      <c r="Z507" s="1685"/>
      <c r="AA507" s="1685"/>
      <c r="AB507" s="1685"/>
      <c r="AC507" s="1685"/>
      <c r="AD507" s="1685"/>
    </row>
    <row r="508" spans="1:30" ht="15.75" collapsed="1">
      <c r="A508" s="1685"/>
      <c r="B508" s="1692" t="s">
        <v>2797</v>
      </c>
      <c r="C508" s="1751"/>
      <c r="D508" s="1751"/>
      <c r="E508" s="1751"/>
      <c r="F508" s="1751"/>
      <c r="G508" s="1751"/>
      <c r="H508" s="1772">
        <f>48.9+22</f>
        <v>70.900000000000006</v>
      </c>
      <c r="I508" s="1772">
        <f>137.4+22</f>
        <v>159.4</v>
      </c>
      <c r="J508" s="1772">
        <v>157.6</v>
      </c>
      <c r="K508" s="1772">
        <v>167.6</v>
      </c>
      <c r="L508" s="1772">
        <v>168.1</v>
      </c>
      <c r="M508" s="1751">
        <f>L508-M539</f>
        <v>168.1</v>
      </c>
      <c r="N508" s="1772">
        <v>217</v>
      </c>
      <c r="O508" s="1772">
        <v>299</v>
      </c>
      <c r="P508" s="1751">
        <f t="shared" ref="P508:P518" si="618">O508-P539</f>
        <v>299</v>
      </c>
      <c r="Q508" s="1751">
        <f t="shared" ref="Q508:V508" si="619">P508-Q539</f>
        <v>299</v>
      </c>
      <c r="R508" s="1751">
        <f t="shared" si="619"/>
        <v>299</v>
      </c>
      <c r="S508" s="1751">
        <f t="shared" si="619"/>
        <v>299</v>
      </c>
      <c r="T508" s="1751">
        <f t="shared" si="619"/>
        <v>299</v>
      </c>
      <c r="U508" s="1751">
        <f t="shared" si="619"/>
        <v>299</v>
      </c>
      <c r="V508" s="1751">
        <f t="shared" si="619"/>
        <v>299</v>
      </c>
      <c r="W508" s="1685"/>
      <c r="X508" s="1685"/>
      <c r="Y508" s="1685"/>
      <c r="Z508" s="1685"/>
      <c r="AA508" s="1685"/>
      <c r="AB508" s="1685"/>
      <c r="AC508" s="1685"/>
      <c r="AD508" s="1685"/>
    </row>
    <row r="509" spans="1:30" ht="15.75" hidden="1" outlineLevel="1">
      <c r="A509" s="1685"/>
      <c r="B509" s="1692" t="s">
        <v>3455</v>
      </c>
      <c r="C509" s="1751"/>
      <c r="D509" s="1751"/>
      <c r="E509" s="1751"/>
      <c r="F509" s="1751"/>
      <c r="G509" s="1751"/>
      <c r="H509" s="1772"/>
      <c r="I509" s="1772">
        <v>700</v>
      </c>
      <c r="J509" s="1772">
        <v>700</v>
      </c>
      <c r="K509" s="1772">
        <v>0</v>
      </c>
      <c r="L509" s="1772">
        <v>0</v>
      </c>
      <c r="M509" s="1751">
        <f>L509-M540</f>
        <v>0</v>
      </c>
      <c r="N509" s="1751">
        <f>M509-N540</f>
        <v>0</v>
      </c>
      <c r="O509" s="1751">
        <f>N509-O540</f>
        <v>0</v>
      </c>
      <c r="P509" s="1751">
        <f t="shared" si="618"/>
        <v>0</v>
      </c>
      <c r="Q509" s="1751">
        <f t="shared" ref="Q509:V509" si="620">P509-Q540</f>
        <v>0</v>
      </c>
      <c r="R509" s="1751">
        <f t="shared" si="620"/>
        <v>0</v>
      </c>
      <c r="S509" s="1751">
        <f t="shared" si="620"/>
        <v>0</v>
      </c>
      <c r="T509" s="1751">
        <f t="shared" si="620"/>
        <v>0</v>
      </c>
      <c r="U509" s="1751">
        <f t="shared" si="620"/>
        <v>0</v>
      </c>
      <c r="V509" s="1751">
        <f t="shared" si="620"/>
        <v>0</v>
      </c>
      <c r="W509" s="1685"/>
      <c r="X509" s="1685"/>
      <c r="Y509" s="1685"/>
      <c r="Z509" s="1685"/>
      <c r="AA509" s="1685"/>
      <c r="AB509" s="1685"/>
      <c r="AC509" s="1685"/>
      <c r="AD509" s="1685"/>
    </row>
    <row r="510" spans="1:30" ht="15.75" collapsed="1">
      <c r="A510" s="1685" t="s">
        <v>1933</v>
      </c>
      <c r="B510" s="1692" t="s">
        <v>4686</v>
      </c>
      <c r="C510" s="1751"/>
      <c r="D510" s="1751"/>
      <c r="E510" s="1751"/>
      <c r="F510" s="1751"/>
      <c r="G510" s="1751"/>
      <c r="H510" s="1751"/>
      <c r="I510" s="1751"/>
      <c r="J510" s="1772"/>
      <c r="K510" s="1772">
        <v>400</v>
      </c>
      <c r="L510" s="1772">
        <v>550</v>
      </c>
      <c r="M510" s="1772">
        <v>495</v>
      </c>
      <c r="N510" s="1772">
        <v>495</v>
      </c>
      <c r="O510" s="1772">
        <v>495</v>
      </c>
      <c r="P510" s="1751">
        <f t="shared" si="618"/>
        <v>0</v>
      </c>
      <c r="Q510" s="1751">
        <f t="shared" ref="Q510:V510" si="621">P510-Q541</f>
        <v>0</v>
      </c>
      <c r="R510" s="1751">
        <f t="shared" si="621"/>
        <v>0</v>
      </c>
      <c r="S510" s="1751">
        <f t="shared" si="621"/>
        <v>0</v>
      </c>
      <c r="T510" s="1751">
        <f t="shared" si="621"/>
        <v>0</v>
      </c>
      <c r="U510" s="1751">
        <f t="shared" si="621"/>
        <v>0</v>
      </c>
      <c r="V510" s="1751">
        <f t="shared" si="621"/>
        <v>0</v>
      </c>
      <c r="W510" s="1685"/>
      <c r="X510" s="1685"/>
      <c r="Y510" s="1685"/>
      <c r="Z510" s="1685"/>
      <c r="AA510" s="1685"/>
      <c r="AB510" s="1685"/>
      <c r="AC510" s="1685"/>
      <c r="AD510" s="1685"/>
    </row>
    <row r="511" spans="1:30" ht="15.75">
      <c r="A511" s="1685" t="s">
        <v>1933</v>
      </c>
      <c r="B511" s="1692" t="s">
        <v>7681</v>
      </c>
      <c r="C511" s="1751"/>
      <c r="D511" s="1751"/>
      <c r="E511" s="1751"/>
      <c r="F511" s="1751"/>
      <c r="G511" s="1751"/>
      <c r="H511" s="1751"/>
      <c r="I511" s="1751"/>
      <c r="J511" s="1772"/>
      <c r="K511" s="1772">
        <v>1220</v>
      </c>
      <c r="L511" s="1772">
        <v>1220</v>
      </c>
      <c r="M511" s="1772">
        <v>1220</v>
      </c>
      <c r="N511" s="1772">
        <v>1220</v>
      </c>
      <c r="O511" s="1772">
        <v>1220</v>
      </c>
      <c r="P511" s="1751">
        <f t="shared" si="618"/>
        <v>0</v>
      </c>
      <c r="Q511" s="1751">
        <f t="shared" ref="Q511:V511" si="622">P511-Q542</f>
        <v>0</v>
      </c>
      <c r="R511" s="1751">
        <f t="shared" si="622"/>
        <v>0</v>
      </c>
      <c r="S511" s="1751">
        <f t="shared" si="622"/>
        <v>0</v>
      </c>
      <c r="T511" s="1751">
        <f t="shared" si="622"/>
        <v>0</v>
      </c>
      <c r="U511" s="1751">
        <f t="shared" si="622"/>
        <v>0</v>
      </c>
      <c r="V511" s="1751">
        <f t="shared" si="622"/>
        <v>0</v>
      </c>
      <c r="W511" s="1685"/>
      <c r="X511" s="1685"/>
      <c r="Y511" s="1685"/>
      <c r="Z511" s="1685"/>
      <c r="AA511" s="1685"/>
      <c r="AB511" s="1685"/>
      <c r="AC511" s="1685"/>
      <c r="AD511" s="1685"/>
    </row>
    <row r="512" spans="1:30" ht="15.75">
      <c r="A512" s="1685"/>
      <c r="B512" s="1692" t="s">
        <v>7368</v>
      </c>
      <c r="C512" s="1751"/>
      <c r="D512" s="1751"/>
      <c r="E512" s="1751"/>
      <c r="F512" s="1751"/>
      <c r="G512" s="1751"/>
      <c r="H512" s="1751"/>
      <c r="I512" s="1751"/>
      <c r="J512" s="1772"/>
      <c r="K512" s="1772"/>
      <c r="L512" s="1772"/>
      <c r="M512" s="1751"/>
      <c r="N512" s="1772">
        <v>590</v>
      </c>
      <c r="O512" s="1772">
        <v>590</v>
      </c>
      <c r="P512" s="1751">
        <f t="shared" si="618"/>
        <v>590</v>
      </c>
      <c r="Q512" s="1751">
        <f t="shared" ref="Q512:V512" si="623">P512-Q543</f>
        <v>590</v>
      </c>
      <c r="R512" s="1751">
        <f t="shared" si="623"/>
        <v>0</v>
      </c>
      <c r="S512" s="1751">
        <f t="shared" si="623"/>
        <v>0</v>
      </c>
      <c r="T512" s="1751">
        <f t="shared" si="623"/>
        <v>0</v>
      </c>
      <c r="U512" s="1751">
        <f t="shared" si="623"/>
        <v>0</v>
      </c>
      <c r="V512" s="1751">
        <f t="shared" si="623"/>
        <v>0</v>
      </c>
      <c r="W512" s="1685"/>
      <c r="X512" s="1685"/>
      <c r="Y512" s="1685"/>
      <c r="Z512" s="1685"/>
      <c r="AA512" s="1685"/>
      <c r="AB512" s="1685"/>
      <c r="AC512" s="1685"/>
      <c r="AD512" s="1685"/>
    </row>
    <row r="513" spans="1:30" ht="15.75">
      <c r="A513" s="1685"/>
      <c r="B513" s="1692" t="s">
        <v>7369</v>
      </c>
      <c r="C513" s="1751"/>
      <c r="D513" s="1751"/>
      <c r="E513" s="1751"/>
      <c r="F513" s="1751"/>
      <c r="G513" s="1751"/>
      <c r="H513" s="1751"/>
      <c r="I513" s="1751"/>
      <c r="J513" s="1772"/>
      <c r="K513" s="1772"/>
      <c r="L513" s="1772"/>
      <c r="M513" s="1751"/>
      <c r="N513" s="1772">
        <v>1510</v>
      </c>
      <c r="O513" s="1772">
        <v>1510</v>
      </c>
      <c r="P513" s="1751">
        <f t="shared" si="618"/>
        <v>1510</v>
      </c>
      <c r="Q513" s="1751">
        <f t="shared" ref="Q513:V513" si="624">P513-Q544</f>
        <v>0</v>
      </c>
      <c r="R513" s="1751">
        <f t="shared" si="624"/>
        <v>0</v>
      </c>
      <c r="S513" s="1751">
        <f t="shared" si="624"/>
        <v>0</v>
      </c>
      <c r="T513" s="1751">
        <f t="shared" si="624"/>
        <v>0</v>
      </c>
      <c r="U513" s="1751">
        <f t="shared" si="624"/>
        <v>0</v>
      </c>
      <c r="V513" s="1751">
        <f t="shared" si="624"/>
        <v>0</v>
      </c>
      <c r="W513" s="1685"/>
      <c r="X513" s="1685"/>
      <c r="Y513" s="1685"/>
      <c r="Z513" s="1685"/>
      <c r="AA513" s="1685"/>
      <c r="AB513" s="1685"/>
      <c r="AC513" s="1685"/>
      <c r="AD513" s="1685"/>
    </row>
    <row r="514" spans="1:30" ht="15.75">
      <c r="A514" s="1685"/>
      <c r="B514" s="1692" t="s">
        <v>7370</v>
      </c>
      <c r="C514" s="1751"/>
      <c r="D514" s="1751"/>
      <c r="E514" s="1751"/>
      <c r="F514" s="1751"/>
      <c r="G514" s="1751"/>
      <c r="H514" s="1751"/>
      <c r="I514" s="1751"/>
      <c r="J514" s="1772"/>
      <c r="K514" s="1772"/>
      <c r="L514" s="1772"/>
      <c r="M514" s="1751"/>
      <c r="N514" s="1772">
        <v>435</v>
      </c>
      <c r="O514" s="1772">
        <v>435</v>
      </c>
      <c r="P514" s="1751">
        <f t="shared" si="618"/>
        <v>435</v>
      </c>
      <c r="Q514" s="1751">
        <f t="shared" ref="Q514:V514" si="625">P514-Q545</f>
        <v>435</v>
      </c>
      <c r="R514" s="1751">
        <f t="shared" si="625"/>
        <v>0</v>
      </c>
      <c r="S514" s="1751">
        <f t="shared" si="625"/>
        <v>0</v>
      </c>
      <c r="T514" s="1751">
        <f t="shared" si="625"/>
        <v>0</v>
      </c>
      <c r="U514" s="1751">
        <f t="shared" si="625"/>
        <v>0</v>
      </c>
      <c r="V514" s="1751">
        <f t="shared" si="625"/>
        <v>0</v>
      </c>
      <c r="W514" s="1685"/>
      <c r="X514" s="1685"/>
      <c r="Y514" s="1685"/>
      <c r="Z514" s="1685"/>
      <c r="AA514" s="1685"/>
      <c r="AB514" s="1685"/>
      <c r="AC514" s="1685"/>
      <c r="AD514" s="1685"/>
    </row>
    <row r="515" spans="1:30" ht="15.75">
      <c r="A515" s="1685"/>
      <c r="B515" s="1692" t="s">
        <v>4685</v>
      </c>
      <c r="C515" s="1751"/>
      <c r="D515" s="1751"/>
      <c r="E515" s="1751"/>
      <c r="F515" s="1751"/>
      <c r="G515" s="1751"/>
      <c r="H515" s="1751"/>
      <c r="I515" s="1751"/>
      <c r="J515" s="1772"/>
      <c r="K515" s="1772">
        <v>402.5</v>
      </c>
      <c r="L515" s="1772">
        <v>402.5</v>
      </c>
      <c r="M515" s="1751">
        <f>L515-M546</f>
        <v>402.5</v>
      </c>
      <c r="N515" s="1772">
        <v>402.5</v>
      </c>
      <c r="O515" s="1772">
        <v>220.3</v>
      </c>
      <c r="P515" s="1751">
        <f t="shared" si="618"/>
        <v>0</v>
      </c>
      <c r="Q515" s="1751">
        <f t="shared" ref="Q515:V515" si="626">P515-Q546</f>
        <v>0</v>
      </c>
      <c r="R515" s="1751">
        <f t="shared" si="626"/>
        <v>0</v>
      </c>
      <c r="S515" s="1751">
        <f t="shared" si="626"/>
        <v>0</v>
      </c>
      <c r="T515" s="1751">
        <f t="shared" si="626"/>
        <v>0</v>
      </c>
      <c r="U515" s="1751">
        <f t="shared" si="626"/>
        <v>0</v>
      </c>
      <c r="V515" s="1751">
        <f t="shared" si="626"/>
        <v>0</v>
      </c>
      <c r="W515" s="1685"/>
      <c r="X515" s="1685"/>
      <c r="Y515" s="1685"/>
      <c r="Z515" s="1685"/>
      <c r="AA515" s="1685"/>
      <c r="AB515" s="1685"/>
      <c r="AC515" s="1685"/>
      <c r="AD515" s="1685"/>
    </row>
    <row r="516" spans="1:30" ht="15.75">
      <c r="A516" s="1685"/>
      <c r="B516" s="1692" t="s">
        <v>7371</v>
      </c>
      <c r="C516" s="1751"/>
      <c r="D516" s="1751"/>
      <c r="E516" s="1751"/>
      <c r="F516" s="1751"/>
      <c r="G516" s="1751"/>
      <c r="H516" s="1751"/>
      <c r="I516" s="1751"/>
      <c r="J516" s="1772"/>
      <c r="K516" s="1772"/>
      <c r="L516" s="1772"/>
      <c r="M516" s="1751"/>
      <c r="N516" s="1772">
        <v>620</v>
      </c>
      <c r="O516" s="1772">
        <v>620</v>
      </c>
      <c r="P516" s="1751">
        <f t="shared" si="618"/>
        <v>620</v>
      </c>
      <c r="Q516" s="1751">
        <f t="shared" ref="Q516:V516" si="627">P516-Q547</f>
        <v>620</v>
      </c>
      <c r="R516" s="1751">
        <f t="shared" si="627"/>
        <v>0</v>
      </c>
      <c r="S516" s="1751">
        <f t="shared" si="627"/>
        <v>0</v>
      </c>
      <c r="T516" s="1751">
        <f t="shared" si="627"/>
        <v>0</v>
      </c>
      <c r="U516" s="1751">
        <f t="shared" si="627"/>
        <v>0</v>
      </c>
      <c r="V516" s="1751">
        <f t="shared" si="627"/>
        <v>0</v>
      </c>
      <c r="W516" s="1685"/>
      <c r="X516" s="1685"/>
      <c r="Y516" s="1685"/>
      <c r="Z516" s="1685"/>
      <c r="AA516" s="1685"/>
      <c r="AB516" s="1685"/>
      <c r="AC516" s="1685"/>
      <c r="AD516" s="1685"/>
    </row>
    <row r="517" spans="1:30" ht="15.75">
      <c r="A517" s="1685"/>
      <c r="B517" s="1692" t="s">
        <v>7372</v>
      </c>
      <c r="C517" s="1751"/>
      <c r="D517" s="1751"/>
      <c r="E517" s="1751"/>
      <c r="F517" s="1751"/>
      <c r="G517" s="1751"/>
      <c r="H517" s="1751"/>
      <c r="I517" s="1751"/>
      <c r="J517" s="1751"/>
      <c r="K517" s="1772">
        <v>1200</v>
      </c>
      <c r="L517" s="1772">
        <v>1290</v>
      </c>
      <c r="M517" s="1772">
        <v>1290</v>
      </c>
      <c r="N517" s="1772">
        <v>1161</v>
      </c>
      <c r="O517" s="1772">
        <v>1161</v>
      </c>
      <c r="P517" s="1751">
        <f t="shared" si="618"/>
        <v>1161</v>
      </c>
      <c r="Q517" s="1751">
        <f t="shared" ref="Q517:V517" si="628">P517-Q548</f>
        <v>0</v>
      </c>
      <c r="R517" s="1751">
        <f t="shared" si="628"/>
        <v>0</v>
      </c>
      <c r="S517" s="1751">
        <f t="shared" si="628"/>
        <v>0</v>
      </c>
      <c r="T517" s="1751">
        <f t="shared" si="628"/>
        <v>0</v>
      </c>
      <c r="U517" s="1751">
        <f t="shared" si="628"/>
        <v>0</v>
      </c>
      <c r="V517" s="1751">
        <f t="shared" si="628"/>
        <v>0</v>
      </c>
      <c r="W517" s="1685"/>
      <c r="X517" s="1685"/>
      <c r="Y517" s="1685"/>
      <c r="Z517" s="1685"/>
      <c r="AA517" s="1685"/>
      <c r="AB517" s="1685"/>
      <c r="AC517" s="1685"/>
      <c r="AD517" s="1685"/>
    </row>
    <row r="518" spans="1:30" ht="15.75">
      <c r="A518" s="1685"/>
      <c r="B518" s="1692" t="s">
        <v>7373</v>
      </c>
      <c r="C518" s="1751"/>
      <c r="D518" s="1751"/>
      <c r="E518" s="1751"/>
      <c r="F518" s="1751"/>
      <c r="G518" s="1751"/>
      <c r="H518" s="1751"/>
      <c r="I518" s="1751"/>
      <c r="J518" s="1751"/>
      <c r="K518" s="1772">
        <v>1000</v>
      </c>
      <c r="L518" s="1772">
        <v>1000</v>
      </c>
      <c r="M518" s="1772">
        <v>820</v>
      </c>
      <c r="N518" s="1772">
        <v>820</v>
      </c>
      <c r="O518" s="1772">
        <v>820</v>
      </c>
      <c r="P518" s="1751">
        <f t="shared" si="618"/>
        <v>820</v>
      </c>
      <c r="Q518" s="1751">
        <f t="shared" ref="Q518:V518" si="629">P518-Q549</f>
        <v>820</v>
      </c>
      <c r="R518" s="1751">
        <f t="shared" si="629"/>
        <v>0</v>
      </c>
      <c r="S518" s="1751">
        <f t="shared" si="629"/>
        <v>0</v>
      </c>
      <c r="T518" s="1751">
        <f t="shared" si="629"/>
        <v>0</v>
      </c>
      <c r="U518" s="1751">
        <f t="shared" si="629"/>
        <v>0</v>
      </c>
      <c r="V518" s="1751">
        <f t="shared" si="629"/>
        <v>0</v>
      </c>
      <c r="W518" s="1685"/>
      <c r="X518" s="1685"/>
      <c r="Y518" s="1685"/>
      <c r="Z518" s="1685"/>
      <c r="AA518" s="1685"/>
      <c r="AB518" s="1685"/>
      <c r="AC518" s="1685"/>
      <c r="AD518" s="1685"/>
    </row>
    <row r="519" spans="1:30" ht="15.75" hidden="1" outlineLevel="1">
      <c r="A519" s="1685"/>
      <c r="B519" s="1692" t="s">
        <v>4498</v>
      </c>
      <c r="C519" s="1751"/>
      <c r="D519" s="1751"/>
      <c r="E519" s="1751"/>
      <c r="F519" s="1751"/>
      <c r="G519" s="1751"/>
      <c r="H519" s="1751"/>
      <c r="I519" s="1751"/>
      <c r="J519" s="1751"/>
      <c r="K519" s="1751"/>
      <c r="L519" s="1751"/>
      <c r="M519" s="1751"/>
      <c r="N519" s="1751"/>
      <c r="O519" s="1751"/>
      <c r="P519" s="1751"/>
      <c r="Q519" s="1751"/>
      <c r="R519" s="1751"/>
      <c r="S519" s="1751"/>
      <c r="T519" s="1751"/>
      <c r="U519" s="1751"/>
      <c r="V519" s="1751"/>
      <c r="W519" s="1685"/>
      <c r="X519" s="1685"/>
      <c r="Y519" s="1685"/>
      <c r="Z519" s="1685"/>
      <c r="AA519" s="1685"/>
      <c r="AB519" s="1685"/>
      <c r="AC519" s="1685"/>
      <c r="AD519" s="1685"/>
    </row>
    <row r="520" spans="1:30" ht="15.75" hidden="1" outlineLevel="1">
      <c r="A520" s="1685"/>
      <c r="B520" s="1715" t="s">
        <v>4498</v>
      </c>
      <c r="C520" s="1773"/>
      <c r="D520" s="1773"/>
      <c r="E520" s="1773"/>
      <c r="F520" s="1773"/>
      <c r="G520" s="1773"/>
      <c r="H520" s="1773"/>
      <c r="I520" s="1773"/>
      <c r="J520" s="1773"/>
      <c r="K520" s="1773"/>
      <c r="L520" s="1773"/>
      <c r="M520" s="1773"/>
      <c r="N520" s="1773"/>
      <c r="O520" s="1773"/>
      <c r="P520" s="1773"/>
      <c r="Q520" s="1773"/>
      <c r="R520" s="1773"/>
      <c r="S520" s="1773"/>
      <c r="T520" s="1773"/>
      <c r="U520" s="1773"/>
      <c r="V520" s="1773"/>
      <c r="W520" s="1685"/>
      <c r="X520" s="1685"/>
      <c r="Y520" s="1685"/>
      <c r="Z520" s="1685"/>
      <c r="AA520" s="1685"/>
      <c r="AB520" s="1685"/>
      <c r="AC520" s="1685"/>
      <c r="AD520" s="1685"/>
    </row>
    <row r="521" spans="1:30" ht="15.75" outlineLevel="1">
      <c r="A521" s="1685"/>
      <c r="B521" s="1692" t="s">
        <v>7374</v>
      </c>
      <c r="C521" s="1751"/>
      <c r="D521" s="1751"/>
      <c r="E521" s="1751"/>
      <c r="F521" s="1751"/>
      <c r="G521" s="1751"/>
      <c r="H521" s="1751"/>
      <c r="I521" s="1751"/>
      <c r="J521" s="1751"/>
      <c r="K521" s="1751"/>
      <c r="L521" s="1751"/>
      <c r="M521" s="1751"/>
      <c r="N521" s="1772">
        <v>0</v>
      </c>
      <c r="O521" s="1772">
        <f>400+50</f>
        <v>450</v>
      </c>
      <c r="P521" s="1751">
        <f>O521-P552</f>
        <v>450</v>
      </c>
      <c r="Q521" s="1751">
        <f t="shared" ref="Q521:V521" si="630">P521-Q552</f>
        <v>450</v>
      </c>
      <c r="R521" s="1751">
        <f t="shared" si="630"/>
        <v>450</v>
      </c>
      <c r="S521" s="1751">
        <f t="shared" si="630"/>
        <v>450</v>
      </c>
      <c r="T521" s="1751">
        <f t="shared" si="630"/>
        <v>450</v>
      </c>
      <c r="U521" s="1751">
        <f t="shared" si="630"/>
        <v>450</v>
      </c>
      <c r="V521" s="1751">
        <f t="shared" si="630"/>
        <v>450</v>
      </c>
      <c r="W521" s="1685"/>
      <c r="X521" s="1685"/>
      <c r="Y521" s="1685"/>
      <c r="Z521" s="1685"/>
      <c r="AA521" s="1685"/>
      <c r="AB521" s="1685"/>
      <c r="AC521" s="1685"/>
      <c r="AD521" s="1685"/>
    </row>
    <row r="522" spans="1:30" ht="15.75" outlineLevel="1">
      <c r="A522" s="1685"/>
      <c r="B522" s="1692" t="s">
        <v>7375</v>
      </c>
      <c r="C522" s="1751"/>
      <c r="D522" s="1751"/>
      <c r="E522" s="1751"/>
      <c r="F522" s="1751"/>
      <c r="G522" s="1751"/>
      <c r="H522" s="1751"/>
      <c r="I522" s="1751"/>
      <c r="J522" s="1751"/>
      <c r="K522" s="1751"/>
      <c r="L522" s="1751"/>
      <c r="M522" s="1751"/>
      <c r="N522" s="1751"/>
      <c r="O522" s="1772">
        <v>244</v>
      </c>
      <c r="P522" s="1751">
        <f>O522-P553</f>
        <v>244</v>
      </c>
      <c r="Q522" s="1751">
        <f t="shared" ref="Q522:V522" si="631">P522-Q553</f>
        <v>244</v>
      </c>
      <c r="R522" s="1751">
        <f t="shared" si="631"/>
        <v>244</v>
      </c>
      <c r="S522" s="1751">
        <f t="shared" si="631"/>
        <v>244</v>
      </c>
      <c r="T522" s="1751">
        <f t="shared" si="631"/>
        <v>244</v>
      </c>
      <c r="U522" s="1751">
        <f t="shared" si="631"/>
        <v>244</v>
      </c>
      <c r="V522" s="1751">
        <f t="shared" si="631"/>
        <v>244</v>
      </c>
      <c r="W522" s="1685"/>
      <c r="X522" s="1685"/>
      <c r="Y522" s="1685"/>
      <c r="Z522" s="1685"/>
      <c r="AA522" s="1685"/>
      <c r="AB522" s="1685"/>
      <c r="AC522" s="1685"/>
      <c r="AD522" s="1685"/>
    </row>
    <row r="523" spans="1:30" ht="15.75" outlineLevel="1">
      <c r="A523" s="1685"/>
      <c r="B523" s="1689" t="s">
        <v>7378</v>
      </c>
      <c r="C523" s="1751"/>
      <c r="D523" s="1751"/>
      <c r="E523" s="1751"/>
      <c r="F523" s="1751"/>
      <c r="G523" s="1751"/>
      <c r="H523" s="1751"/>
      <c r="I523" s="1751"/>
      <c r="J523" s="1751"/>
      <c r="K523" s="1751"/>
      <c r="L523" s="1751"/>
      <c r="M523" s="1751"/>
      <c r="N523" s="1751"/>
      <c r="O523" s="1772">
        <v>0</v>
      </c>
      <c r="P523" s="1772">
        <v>1700</v>
      </c>
      <c r="Q523" s="1751">
        <f>P523-Q554</f>
        <v>1700</v>
      </c>
      <c r="R523" s="1751">
        <f t="shared" ref="R523:V523" si="632">Q523-R554</f>
        <v>1700</v>
      </c>
      <c r="S523" s="1751">
        <f t="shared" si="632"/>
        <v>1700</v>
      </c>
      <c r="T523" s="1751">
        <f t="shared" si="632"/>
        <v>1700</v>
      </c>
      <c r="U523" s="1751">
        <f t="shared" si="632"/>
        <v>1700</v>
      </c>
      <c r="V523" s="1751">
        <f t="shared" si="632"/>
        <v>1700</v>
      </c>
      <c r="W523" s="1685"/>
      <c r="X523" s="1685"/>
      <c r="Y523" s="1685"/>
      <c r="Z523" s="1685"/>
      <c r="AA523" s="1685"/>
      <c r="AB523" s="1685"/>
      <c r="AC523" s="1685"/>
      <c r="AD523" s="1685"/>
    </row>
    <row r="524" spans="1:30" ht="15.75" outlineLevel="1">
      <c r="A524" s="1685"/>
      <c r="B524" s="1689" t="s">
        <v>7379</v>
      </c>
      <c r="C524" s="1751"/>
      <c r="D524" s="1751"/>
      <c r="E524" s="1751"/>
      <c r="F524" s="1751"/>
      <c r="G524" s="1751"/>
      <c r="H524" s="1751"/>
      <c r="I524" s="1751"/>
      <c r="J524" s="1751"/>
      <c r="K524" s="1751"/>
      <c r="L524" s="1751"/>
      <c r="M524" s="1751"/>
      <c r="N524" s="1751"/>
      <c r="O524" s="1772">
        <v>0</v>
      </c>
      <c r="P524" s="1772">
        <v>0</v>
      </c>
      <c r="Q524" s="1772">
        <v>1500</v>
      </c>
      <c r="R524" s="1751">
        <f>Q524-R555</f>
        <v>1500</v>
      </c>
      <c r="S524" s="1751">
        <f t="shared" ref="S524:V524" si="633">R524-S555</f>
        <v>1500</v>
      </c>
      <c r="T524" s="1751">
        <f t="shared" si="633"/>
        <v>1500</v>
      </c>
      <c r="U524" s="1751">
        <f t="shared" si="633"/>
        <v>1500</v>
      </c>
      <c r="V524" s="1751">
        <f t="shared" si="633"/>
        <v>1500</v>
      </c>
      <c r="W524" s="1685"/>
      <c r="X524" s="1685"/>
      <c r="Y524" s="1685"/>
      <c r="Z524" s="1685"/>
      <c r="AA524" s="1685"/>
      <c r="AB524" s="1685"/>
      <c r="AC524" s="1685"/>
      <c r="AD524" s="1685"/>
    </row>
    <row r="525" spans="1:30" ht="15.75" outlineLevel="1">
      <c r="A525" s="1685"/>
      <c r="B525" s="1689" t="s">
        <v>7376</v>
      </c>
      <c r="C525" s="1751"/>
      <c r="D525" s="1751"/>
      <c r="E525" s="1751"/>
      <c r="F525" s="1751"/>
      <c r="G525" s="1751"/>
      <c r="H525" s="1751"/>
      <c r="I525" s="1751"/>
      <c r="J525" s="1751"/>
      <c r="K525" s="1751"/>
      <c r="L525" s="1751"/>
      <c r="M525" s="1751"/>
      <c r="N525" s="1751"/>
      <c r="O525" s="1772">
        <v>0</v>
      </c>
      <c r="P525" s="1772">
        <v>0</v>
      </c>
      <c r="Q525" s="1772">
        <v>1200</v>
      </c>
      <c r="R525" s="1751">
        <f>Q525-R556</f>
        <v>1200</v>
      </c>
      <c r="S525" s="1751">
        <f>R525-S556</f>
        <v>1200</v>
      </c>
      <c r="T525" s="1751">
        <f t="shared" ref="T525:V525" si="634">S525-T556</f>
        <v>1200</v>
      </c>
      <c r="U525" s="1751">
        <f t="shared" si="634"/>
        <v>1200</v>
      </c>
      <c r="V525" s="1751">
        <f t="shared" si="634"/>
        <v>1200</v>
      </c>
      <c r="W525" s="1685"/>
      <c r="X525" s="1685"/>
      <c r="Y525" s="1685"/>
      <c r="Z525" s="1685"/>
      <c r="AA525" s="1685"/>
      <c r="AB525" s="1685"/>
      <c r="AC525" s="1685"/>
      <c r="AD525" s="1685"/>
    </row>
    <row r="526" spans="1:30" ht="15.75" outlineLevel="1">
      <c r="A526" s="1685"/>
      <c r="B526" s="1689" t="s">
        <v>7377</v>
      </c>
      <c r="C526" s="1751"/>
      <c r="D526" s="1751"/>
      <c r="E526" s="1751"/>
      <c r="F526" s="1751"/>
      <c r="G526" s="1751"/>
      <c r="H526" s="1751"/>
      <c r="I526" s="1751"/>
      <c r="J526" s="1751"/>
      <c r="K526" s="1751"/>
      <c r="L526" s="1751"/>
      <c r="M526" s="1751"/>
      <c r="N526" s="1751"/>
      <c r="O526" s="1751"/>
      <c r="P526" s="1751"/>
      <c r="Q526" s="1751"/>
      <c r="R526" s="1772">
        <v>2500</v>
      </c>
      <c r="S526" s="1751">
        <f>R526</f>
        <v>2500</v>
      </c>
      <c r="T526" s="1751">
        <f t="shared" ref="T526:V526" si="635">S526</f>
        <v>2500</v>
      </c>
      <c r="U526" s="1751">
        <f t="shared" si="635"/>
        <v>2500</v>
      </c>
      <c r="V526" s="1751">
        <f t="shared" si="635"/>
        <v>2500</v>
      </c>
      <c r="W526" s="1685"/>
      <c r="X526" s="1685"/>
      <c r="Y526" s="1685"/>
      <c r="Z526" s="1685"/>
      <c r="AA526" s="1685"/>
      <c r="AB526" s="1685"/>
      <c r="AC526" s="1685"/>
      <c r="AD526" s="1685"/>
    </row>
    <row r="527" spans="1:30" ht="15.75">
      <c r="A527" s="1685"/>
      <c r="B527" s="1774" t="s">
        <v>16</v>
      </c>
      <c r="C527" s="1775">
        <f>SUM(C499:C509)</f>
        <v>0</v>
      </c>
      <c r="D527" s="1775"/>
      <c r="E527" s="1775">
        <f>SUM(E499:E502)</f>
        <v>462</v>
      </c>
      <c r="F527" s="1775">
        <f>SUM(F499:F502)</f>
        <v>1728</v>
      </c>
      <c r="G527" s="1775">
        <f>SUM(G499:G509)</f>
        <v>4670.1100141043726</v>
      </c>
      <c r="H527" s="1775" t="e">
        <f>H499+H500+H501+H502+H503+H504+H507+H508+#REF!</f>
        <v>#REF!</v>
      </c>
      <c r="I527" s="1776">
        <f>6108+263+144</f>
        <v>6515</v>
      </c>
      <c r="J527" s="1776">
        <f>6724</f>
        <v>6724</v>
      </c>
      <c r="K527" s="1776">
        <v>8516.1</v>
      </c>
      <c r="L527" s="1776">
        <f>8195+161.9</f>
        <v>8356.9</v>
      </c>
      <c r="M527" s="1776">
        <v>9200.5</v>
      </c>
      <c r="N527" s="1776">
        <f>7653.8</f>
        <v>7653.8</v>
      </c>
      <c r="O527" s="1776">
        <v>8247.7000000000007</v>
      </c>
      <c r="P527" s="1775">
        <f>P502+P505+P506+P508+P510+P511+P512+P513+P514+P515+P516+P517+P518+P521+P522+P523+P524+P525+P526</f>
        <v>8012.4000000000005</v>
      </c>
      <c r="Q527" s="1775">
        <f t="shared" ref="Q527:V527" si="636">Q502+Q505+Q506+Q508+Q510+Q511+Q512+Q513+Q514+Q515+Q516+Q517+Q518+Q521+Q522+Q523+Q524+Q525+Q526</f>
        <v>8041.4000000000005</v>
      </c>
      <c r="R527" s="1775">
        <f t="shared" si="636"/>
        <v>8076.4000000000005</v>
      </c>
      <c r="S527" s="1775">
        <f t="shared" si="636"/>
        <v>8076.4000000000005</v>
      </c>
      <c r="T527" s="1775">
        <f t="shared" si="636"/>
        <v>8076.4000000000005</v>
      </c>
      <c r="U527" s="1775">
        <f t="shared" si="636"/>
        <v>8076.4000000000005</v>
      </c>
      <c r="V527" s="1775">
        <f t="shared" si="636"/>
        <v>8076.4000000000005</v>
      </c>
      <c r="W527" s="1685"/>
      <c r="X527" s="1685"/>
      <c r="Y527" s="1685"/>
      <c r="Z527" s="1685"/>
      <c r="AA527" s="1685"/>
      <c r="AB527" s="1685"/>
      <c r="AC527" s="1685"/>
      <c r="AD527" s="1685"/>
    </row>
    <row r="528" spans="1:30" ht="15.75">
      <c r="A528" s="1685"/>
      <c r="B528" s="1692"/>
      <c r="C528" s="1751"/>
      <c r="D528" s="1751"/>
      <c r="E528" s="1751"/>
      <c r="F528" s="1751"/>
      <c r="G528" s="1751"/>
      <c r="H528" s="1751"/>
      <c r="I528" s="1751"/>
      <c r="J528" s="1751"/>
      <c r="K528" s="1693"/>
      <c r="L528" s="1685"/>
      <c r="M528" s="1685"/>
      <c r="N528" s="1685"/>
      <c r="O528" s="1685"/>
      <c r="P528" s="1685"/>
      <c r="Q528" s="1685"/>
      <c r="R528" s="1685"/>
      <c r="S528" s="1685"/>
      <c r="T528" s="1685"/>
      <c r="U528" s="1685"/>
      <c r="V528" s="1685"/>
      <c r="W528" s="1685"/>
      <c r="X528" s="1685"/>
      <c r="Y528" s="1685"/>
      <c r="Z528" s="1685"/>
      <c r="AA528" s="1685"/>
      <c r="AB528" s="1685"/>
      <c r="AC528" s="1685"/>
      <c r="AD528" s="1685"/>
    </row>
    <row r="529" spans="1:30" ht="15.75">
      <c r="A529" s="1685"/>
      <c r="B529" s="1689" t="s">
        <v>244</v>
      </c>
      <c r="C529" s="1751"/>
      <c r="D529" s="1751"/>
      <c r="E529" s="1751"/>
      <c r="F529" s="1751"/>
      <c r="G529" s="1693"/>
      <c r="H529" s="1751"/>
      <c r="I529" s="1751"/>
      <c r="J529" s="1751"/>
      <c r="K529" s="1751"/>
      <c r="L529" s="1685"/>
      <c r="M529" s="1685"/>
      <c r="N529" s="1685"/>
      <c r="O529" s="1685"/>
      <c r="P529" s="1685"/>
      <c r="Q529" s="1685"/>
      <c r="R529" s="1685"/>
      <c r="S529" s="1685"/>
      <c r="T529" s="1685"/>
      <c r="U529" s="1685"/>
      <c r="V529" s="1685"/>
      <c r="W529" s="1685"/>
      <c r="X529" s="1685"/>
      <c r="Y529" s="1685"/>
      <c r="Z529" s="1685"/>
      <c r="AA529" s="1685"/>
      <c r="AB529" s="1685"/>
      <c r="AC529" s="1685"/>
      <c r="AD529" s="1685"/>
    </row>
    <row r="530" spans="1:30" ht="15.75" hidden="1" outlineLevel="1">
      <c r="A530" s="1685"/>
      <c r="B530" s="1692" t="str">
        <f t="shared" ref="B530:B550" si="637">B499</f>
        <v>US$1.25bn unsecured, 2021 (Colombus)</v>
      </c>
      <c r="C530" s="1751"/>
      <c r="D530" s="1751"/>
      <c r="E530" s="1751"/>
      <c r="F530" s="1751"/>
      <c r="G530" s="1751"/>
      <c r="H530" s="1751"/>
      <c r="I530" s="1751"/>
      <c r="J530" s="1751"/>
      <c r="K530" s="1751"/>
      <c r="L530" s="1685"/>
      <c r="M530" s="1685"/>
      <c r="N530" s="1685"/>
      <c r="O530" s="1685"/>
      <c r="P530" s="1685"/>
      <c r="Q530" s="1685"/>
      <c r="R530" s="1685"/>
      <c r="S530" s="1685"/>
      <c r="T530" s="1685"/>
      <c r="U530" s="1685"/>
      <c r="V530" s="1685"/>
      <c r="W530" s="1685"/>
      <c r="X530" s="1685"/>
      <c r="Y530" s="1685"/>
      <c r="Z530" s="1685"/>
      <c r="AA530" s="1685"/>
      <c r="AB530" s="1685"/>
      <c r="AC530" s="1685"/>
      <c r="AD530" s="1685"/>
    </row>
    <row r="531" spans="1:30" ht="15.75" hidden="1" outlineLevel="1">
      <c r="A531" s="1685"/>
      <c r="B531" s="1692" t="str">
        <f t="shared" si="637"/>
        <v>Sterling secured, 2019</v>
      </c>
      <c r="C531" s="1751"/>
      <c r="D531" s="1751"/>
      <c r="E531" s="1751"/>
      <c r="F531" s="1751"/>
      <c r="G531" s="1751"/>
      <c r="H531" s="1751"/>
      <c r="I531" s="1751"/>
      <c r="J531" s="1772">
        <v>43</v>
      </c>
      <c r="K531" s="1772">
        <f>J500</f>
        <v>0</v>
      </c>
      <c r="L531" s="1685"/>
      <c r="M531" s="1685"/>
      <c r="N531" s="1685"/>
      <c r="O531" s="1685"/>
      <c r="P531" s="1685"/>
      <c r="Q531" s="1685"/>
      <c r="R531" s="1685"/>
      <c r="S531" s="1685"/>
      <c r="T531" s="1685"/>
      <c r="U531" s="1685"/>
      <c r="V531" s="1685"/>
      <c r="W531" s="1685"/>
      <c r="X531" s="1685"/>
      <c r="Y531" s="1685"/>
      <c r="Z531" s="1685"/>
      <c r="AA531" s="1685"/>
      <c r="AB531" s="1685"/>
      <c r="AC531" s="1685"/>
      <c r="AD531" s="1685"/>
    </row>
    <row r="532" spans="1:30" ht="15.75" collapsed="1">
      <c r="A532" s="1685"/>
      <c r="B532" s="1692" t="str">
        <f t="shared" si="637"/>
        <v>Term loan 2026</v>
      </c>
      <c r="C532" s="1751"/>
      <c r="D532" s="1751"/>
      <c r="E532" s="1751"/>
      <c r="F532" s="1751"/>
      <c r="G532" s="1751"/>
      <c r="H532" s="1751"/>
      <c r="I532" s="1751"/>
      <c r="J532" s="1685"/>
      <c r="K532" s="1685"/>
      <c r="L532" s="1685"/>
      <c r="M532" s="1685"/>
      <c r="N532" s="1685"/>
      <c r="O532" s="1685"/>
      <c r="P532" s="1685"/>
      <c r="Q532" s="1685"/>
      <c r="R532" s="1685"/>
      <c r="S532" s="1685"/>
      <c r="T532" s="1685"/>
      <c r="U532" s="1685"/>
      <c r="V532" s="1685"/>
      <c r="W532" s="1685"/>
      <c r="X532" s="1685"/>
      <c r="Y532" s="1685"/>
      <c r="Z532" s="1685"/>
      <c r="AA532" s="1685"/>
      <c r="AB532" s="1685"/>
      <c r="AC532" s="1685"/>
      <c r="AD532" s="1685"/>
    </row>
    <row r="533" spans="1:30" ht="15.75">
      <c r="A533" s="1685"/>
      <c r="B533" s="1692" t="str">
        <f t="shared" si="637"/>
        <v>Other facilities (revolver, regional)</v>
      </c>
      <c r="C533" s="1751"/>
      <c r="D533" s="1751"/>
      <c r="E533" s="1751"/>
      <c r="F533" s="1751"/>
      <c r="G533" s="1751"/>
      <c r="H533" s="1751"/>
      <c r="I533" s="1751"/>
      <c r="J533" s="1777"/>
      <c r="K533" s="1685"/>
      <c r="L533" s="1685"/>
      <c r="M533" s="1685"/>
      <c r="N533" s="1685"/>
      <c r="O533" s="1685"/>
      <c r="P533" s="1685"/>
      <c r="Q533" s="1685"/>
      <c r="R533" s="1685"/>
      <c r="S533" s="1685"/>
      <c r="T533" s="1685"/>
      <c r="U533" s="1685"/>
      <c r="V533" s="1685"/>
      <c r="W533" s="1685"/>
      <c r="X533" s="1685"/>
      <c r="Y533" s="1685"/>
      <c r="Z533" s="1685"/>
      <c r="AA533" s="1685"/>
      <c r="AB533" s="1685"/>
      <c r="AC533" s="1685"/>
      <c r="AD533" s="1685"/>
    </row>
    <row r="534" spans="1:30" ht="15.75" hidden="1" outlineLevel="1">
      <c r="A534" s="1685"/>
      <c r="B534" s="1692" t="str">
        <f t="shared" si="637"/>
        <v>US$750m unsecured, 2022 (Sable)</v>
      </c>
      <c r="C534" s="1751"/>
      <c r="D534" s="1751"/>
      <c r="E534" s="1751"/>
      <c r="F534" s="1751"/>
      <c r="G534" s="1751"/>
      <c r="H534" s="1751"/>
      <c r="I534" s="1751"/>
      <c r="J534" s="1772">
        <v>275</v>
      </c>
      <c r="K534" s="1685"/>
      <c r="L534" s="1685"/>
      <c r="M534" s="1685"/>
      <c r="N534" s="1685"/>
      <c r="O534" s="1685"/>
      <c r="P534" s="1685"/>
      <c r="Q534" s="1685"/>
      <c r="R534" s="1685"/>
      <c r="S534" s="1685"/>
      <c r="T534" s="1685"/>
      <c r="U534" s="1685"/>
      <c r="V534" s="1685"/>
      <c r="W534" s="1685"/>
      <c r="X534" s="1685"/>
      <c r="Y534" s="1685"/>
      <c r="Z534" s="1685"/>
      <c r="AA534" s="1685"/>
      <c r="AB534" s="1685"/>
      <c r="AC534" s="1685"/>
      <c r="AD534" s="1685"/>
    </row>
    <row r="535" spans="1:30" ht="15.75" hidden="1" outlineLevel="1">
      <c r="A535" s="1685"/>
      <c r="B535" s="1692" t="str">
        <f t="shared" si="637"/>
        <v>VTR US$1.4bn</v>
      </c>
      <c r="C535" s="1751"/>
      <c r="D535" s="1751"/>
      <c r="E535" s="1751"/>
      <c r="F535" s="1751"/>
      <c r="G535" s="1751"/>
      <c r="H535" s="1751"/>
      <c r="I535" s="1751"/>
      <c r="J535" s="1685"/>
      <c r="K535" s="1685"/>
      <c r="L535" s="1777">
        <f>K504</f>
        <v>1260</v>
      </c>
      <c r="M535" s="1685"/>
      <c r="N535" s="1685"/>
      <c r="O535" s="1685"/>
      <c r="P535" s="1685"/>
      <c r="Q535" s="1685"/>
      <c r="R535" s="1685"/>
      <c r="S535" s="1685"/>
      <c r="T535" s="1685"/>
      <c r="U535" s="1685"/>
      <c r="V535" s="1685"/>
      <c r="W535" s="1685"/>
      <c r="X535" s="1685"/>
      <c r="Y535" s="1685"/>
      <c r="Z535" s="1685"/>
      <c r="AA535" s="1685"/>
      <c r="AB535" s="1685"/>
      <c r="AC535" s="1685"/>
      <c r="AD535" s="1685"/>
    </row>
    <row r="536" spans="1:30" ht="15.75" collapsed="1">
      <c r="A536" s="1685"/>
      <c r="B536" s="1692" t="str">
        <f t="shared" si="637"/>
        <v>2028 VTR senior secured notes, 5.125%</v>
      </c>
      <c r="C536" s="1751"/>
      <c r="D536" s="1751"/>
      <c r="E536" s="1751"/>
      <c r="F536" s="1751"/>
      <c r="G536" s="1751"/>
      <c r="H536" s="1751"/>
      <c r="I536" s="1751"/>
      <c r="J536" s="1685"/>
      <c r="K536" s="1685"/>
      <c r="L536" s="1777"/>
      <c r="M536" s="1685"/>
      <c r="N536" s="1685"/>
      <c r="O536" s="1685"/>
      <c r="P536" s="1685"/>
      <c r="Q536" s="1685"/>
      <c r="R536" s="1685"/>
      <c r="S536" s="1685"/>
      <c r="T536" s="1685"/>
      <c r="U536" s="1685"/>
      <c r="V536" s="1685"/>
      <c r="W536" s="1685"/>
      <c r="X536" s="1685"/>
      <c r="Y536" s="1685"/>
      <c r="Z536" s="1685"/>
      <c r="AA536" s="1685"/>
      <c r="AB536" s="1685"/>
      <c r="AC536" s="1685"/>
      <c r="AD536" s="1685"/>
    </row>
    <row r="537" spans="1:30" ht="15.75">
      <c r="A537" s="1685"/>
      <c r="B537" s="1692" t="str">
        <f t="shared" si="637"/>
        <v>2028 VTR senior notes, 6.375%</v>
      </c>
      <c r="C537" s="1751"/>
      <c r="D537" s="1751"/>
      <c r="E537" s="1751"/>
      <c r="F537" s="1751"/>
      <c r="G537" s="1751"/>
      <c r="H537" s="1751"/>
      <c r="I537" s="1751"/>
      <c r="J537" s="1685"/>
      <c r="K537" s="1685"/>
      <c r="L537" s="1685"/>
      <c r="M537" s="1685"/>
      <c r="N537" s="1685"/>
      <c r="O537" s="1685"/>
      <c r="P537" s="1685"/>
      <c r="Q537" s="1685"/>
      <c r="R537" s="1685"/>
      <c r="S537" s="1685"/>
      <c r="T537" s="1685"/>
      <c r="U537" s="1685"/>
      <c r="V537" s="1685"/>
      <c r="W537" s="1685"/>
      <c r="X537" s="1685"/>
      <c r="Y537" s="1685"/>
      <c r="Z537" s="1685"/>
      <c r="AA537" s="1685"/>
      <c r="AB537" s="1685"/>
      <c r="AC537" s="1685"/>
      <c r="AD537" s="1685"/>
    </row>
    <row r="538" spans="1:30" ht="15.75" hidden="1" outlineLevel="1">
      <c r="A538" s="1685"/>
      <c r="B538" s="1692" t="str">
        <f t="shared" si="637"/>
        <v>PR</v>
      </c>
      <c r="C538" s="1751"/>
      <c r="D538" s="1751"/>
      <c r="E538" s="1751"/>
      <c r="F538" s="1751"/>
      <c r="G538" s="1751"/>
      <c r="H538" s="1751"/>
      <c r="I538" s="1751"/>
      <c r="J538" s="1685"/>
      <c r="K538" s="1685"/>
      <c r="L538" s="1685"/>
      <c r="M538" s="1685"/>
      <c r="N538" s="1685"/>
      <c r="O538" s="1685"/>
      <c r="P538" s="1685"/>
      <c r="Q538" s="1685"/>
      <c r="R538" s="1685"/>
      <c r="S538" s="1685"/>
      <c r="T538" s="1685"/>
      <c r="U538" s="1685"/>
      <c r="V538" s="1685"/>
      <c r="W538" s="1685"/>
      <c r="X538" s="1685"/>
      <c r="Y538" s="1685"/>
      <c r="Z538" s="1685"/>
      <c r="AA538" s="1685"/>
      <c r="AB538" s="1685"/>
      <c r="AC538" s="1685"/>
      <c r="AD538" s="1685"/>
    </row>
    <row r="539" spans="1:30" ht="15.75" collapsed="1">
      <c r="A539" s="1685"/>
      <c r="B539" s="1692" t="str">
        <f t="shared" si="637"/>
        <v>Vendor financing / cap lease</v>
      </c>
      <c r="C539" s="1751"/>
      <c r="D539" s="1751"/>
      <c r="E539" s="1751"/>
      <c r="F539" s="1751"/>
      <c r="G539" s="1751"/>
      <c r="H539" s="1751"/>
      <c r="I539" s="1751"/>
      <c r="J539" s="1685"/>
      <c r="K539" s="1685"/>
      <c r="L539" s="1685"/>
      <c r="M539" s="1685"/>
      <c r="N539" s="1685"/>
      <c r="O539" s="1685"/>
      <c r="P539" s="1685"/>
      <c r="Q539" s="1685"/>
      <c r="R539" s="1685"/>
      <c r="S539" s="1777"/>
      <c r="T539" s="1685"/>
      <c r="U539" s="1685"/>
      <c r="V539" s="1685"/>
      <c r="W539" s="1685"/>
      <c r="X539" s="1685"/>
      <c r="Y539" s="1685"/>
      <c r="Z539" s="1685"/>
      <c r="AA539" s="1685"/>
      <c r="AB539" s="1685"/>
      <c r="AC539" s="1685"/>
      <c r="AD539" s="1685"/>
    </row>
    <row r="540" spans="1:30" ht="15.75" hidden="1" outlineLevel="1">
      <c r="A540" s="1685"/>
      <c r="B540" s="1692" t="str">
        <f t="shared" si="637"/>
        <v>2027 senior notes</v>
      </c>
      <c r="C540" s="1751"/>
      <c r="D540" s="1751"/>
      <c r="E540" s="1751"/>
      <c r="F540" s="1751"/>
      <c r="G540" s="1751"/>
      <c r="H540" s="1751"/>
      <c r="I540" s="1751"/>
      <c r="J540" s="1685"/>
      <c r="K540" s="1685"/>
      <c r="L540" s="1685"/>
      <c r="M540" s="1685"/>
      <c r="N540" s="1685"/>
      <c r="O540" s="1685"/>
      <c r="P540" s="1685"/>
      <c r="Q540" s="1685"/>
      <c r="R540" s="1685"/>
      <c r="S540" s="1685"/>
      <c r="T540" s="1685"/>
      <c r="U540" s="1685"/>
      <c r="V540" s="1685"/>
      <c r="W540" s="1685"/>
      <c r="X540" s="1685"/>
      <c r="Y540" s="1685"/>
      <c r="Z540" s="1685"/>
      <c r="AA540" s="1685"/>
      <c r="AB540" s="1685"/>
      <c r="AC540" s="1685"/>
      <c r="AD540" s="1685"/>
    </row>
    <row r="541" spans="1:30" ht="15.75" collapsed="1">
      <c r="A541" s="1685"/>
      <c r="B541" s="1692" t="str">
        <f t="shared" si="637"/>
        <v>CWC 2027 senior secured</v>
      </c>
      <c r="C541" s="1751"/>
      <c r="D541" s="1751"/>
      <c r="E541" s="1751"/>
      <c r="F541" s="1751"/>
      <c r="G541" s="1751"/>
      <c r="H541" s="1751"/>
      <c r="I541" s="1751"/>
      <c r="J541" s="1751"/>
      <c r="K541" s="1751"/>
      <c r="L541" s="1751"/>
      <c r="M541" s="1751"/>
      <c r="N541" s="1751"/>
      <c r="O541" s="1751"/>
      <c r="P541" s="1777">
        <f>O510</f>
        <v>495</v>
      </c>
      <c r="Q541" s="1777"/>
      <c r="R541" s="1751"/>
      <c r="S541" s="1777"/>
      <c r="T541" s="1751"/>
      <c r="U541" s="1751"/>
      <c r="V541" s="1751"/>
      <c r="W541" s="1685"/>
      <c r="X541" s="1685"/>
      <c r="Y541" s="1685"/>
      <c r="Z541" s="1685"/>
      <c r="AA541" s="1685"/>
      <c r="AB541" s="1685"/>
      <c r="AC541" s="1685"/>
      <c r="AD541" s="1685"/>
    </row>
    <row r="542" spans="1:30" ht="15.75">
      <c r="A542" s="1685"/>
      <c r="B542" s="1692" t="str">
        <f t="shared" si="637"/>
        <v>CWC 2027 senior (unsecured)</v>
      </c>
      <c r="C542" s="1751"/>
      <c r="D542" s="1751"/>
      <c r="E542" s="1751"/>
      <c r="F542" s="1751"/>
      <c r="G542" s="1751"/>
      <c r="H542" s="1751"/>
      <c r="I542" s="1751"/>
      <c r="J542" s="1751"/>
      <c r="K542" s="1751"/>
      <c r="L542" s="1751"/>
      <c r="M542" s="1751"/>
      <c r="N542" s="1751"/>
      <c r="O542" s="1751"/>
      <c r="P542" s="1751">
        <f>O511</f>
        <v>1220</v>
      </c>
      <c r="Q542" s="1751"/>
      <c r="R542" s="1751"/>
      <c r="S542" s="1751"/>
      <c r="T542" s="1751"/>
      <c r="U542" s="1751"/>
      <c r="V542" s="1751"/>
      <c r="W542" s="1685"/>
      <c r="X542" s="1685"/>
      <c r="Y542" s="1685"/>
      <c r="Z542" s="1685"/>
      <c r="AA542" s="1685"/>
      <c r="AB542" s="1685"/>
      <c r="AC542" s="1685"/>
      <c r="AD542" s="1685"/>
    </row>
    <row r="543" spans="1:30" ht="15.75">
      <c r="A543" s="1685"/>
      <c r="B543" s="1692" t="str">
        <f t="shared" si="637"/>
        <v>CWC Term loan floating Oct 29 SOFR +3%</v>
      </c>
      <c r="C543" s="1751"/>
      <c r="D543" s="1751"/>
      <c r="E543" s="1751"/>
      <c r="F543" s="1751"/>
      <c r="G543" s="1751"/>
      <c r="H543" s="1751"/>
      <c r="I543" s="1751"/>
      <c r="J543" s="1751"/>
      <c r="K543" s="1751"/>
      <c r="L543" s="1751"/>
      <c r="M543" s="1751"/>
      <c r="N543" s="1751"/>
      <c r="O543" s="1751"/>
      <c r="P543" s="1751"/>
      <c r="Q543" s="1751"/>
      <c r="R543" s="1751">
        <f>Q512</f>
        <v>590</v>
      </c>
      <c r="S543" s="1751"/>
      <c r="T543" s="1751"/>
      <c r="U543" s="1751">
        <f>T512</f>
        <v>0</v>
      </c>
      <c r="V543" s="1751"/>
      <c r="W543" s="1685"/>
      <c r="X543" s="1685"/>
      <c r="Y543" s="1685"/>
      <c r="Z543" s="1685"/>
      <c r="AA543" s="1685"/>
      <c r="AB543" s="1685"/>
      <c r="AC543" s="1685"/>
      <c r="AD543" s="1685"/>
    </row>
    <row r="544" spans="1:30" ht="15.75">
      <c r="A544" s="1685"/>
      <c r="B544" s="1692" t="str">
        <f t="shared" si="637"/>
        <v>CWC Term loan floating Jan 28 SOFR +2.25%</v>
      </c>
      <c r="C544" s="1751"/>
      <c r="D544" s="1751"/>
      <c r="E544" s="1751"/>
      <c r="F544" s="1751"/>
      <c r="G544" s="1751"/>
      <c r="H544" s="1751"/>
      <c r="I544" s="1751"/>
      <c r="J544" s="1751"/>
      <c r="K544" s="1751"/>
      <c r="L544" s="1751"/>
      <c r="M544" s="1751"/>
      <c r="N544" s="1751"/>
      <c r="O544" s="1751"/>
      <c r="P544" s="1751"/>
      <c r="Q544" s="1751">
        <f>P513</f>
        <v>1510</v>
      </c>
      <c r="R544" s="1751"/>
      <c r="S544" s="1751"/>
      <c r="T544" s="1751">
        <f>S513</f>
        <v>0</v>
      </c>
      <c r="U544" s="1751"/>
      <c r="V544" s="1751"/>
      <c r="W544" s="1685"/>
      <c r="X544" s="1685"/>
      <c r="Y544" s="1685"/>
      <c r="Z544" s="1685"/>
      <c r="AA544" s="1685"/>
      <c r="AB544" s="1685"/>
      <c r="AC544" s="1685"/>
      <c r="AD544" s="1685"/>
    </row>
    <row r="545" spans="1:30" ht="15.75">
      <c r="A545" s="1685"/>
      <c r="B545" s="1692" t="str">
        <f t="shared" si="637"/>
        <v>CWC Term loan Jan 2028 4.25%</v>
      </c>
      <c r="C545" s="1751"/>
      <c r="D545" s="1751"/>
      <c r="E545" s="1751"/>
      <c r="F545" s="1751"/>
      <c r="G545" s="1751"/>
      <c r="H545" s="1751"/>
      <c r="I545" s="1751"/>
      <c r="J545" s="1751"/>
      <c r="K545" s="1751"/>
      <c r="L545" s="1751"/>
      <c r="M545" s="1751"/>
      <c r="N545" s="1751"/>
      <c r="O545" s="1751"/>
      <c r="P545" s="1751"/>
      <c r="Q545" s="1751"/>
      <c r="R545" s="1751">
        <f>Q514</f>
        <v>435</v>
      </c>
      <c r="S545" s="1751"/>
      <c r="T545" s="1751"/>
      <c r="U545" s="1751"/>
      <c r="V545" s="1751"/>
      <c r="W545" s="1685"/>
      <c r="X545" s="1685"/>
      <c r="Y545" s="1685"/>
      <c r="Z545" s="1685"/>
      <c r="AA545" s="1685"/>
      <c r="AB545" s="1685"/>
      <c r="AC545" s="1685"/>
      <c r="AD545" s="1685"/>
    </row>
    <row r="546" spans="1:30" ht="15.75">
      <c r="A546" s="1685"/>
      <c r="B546" s="1692" t="str">
        <f t="shared" si="637"/>
        <v>Convert</v>
      </c>
      <c r="C546" s="1751"/>
      <c r="D546" s="1751"/>
      <c r="E546" s="1751"/>
      <c r="F546" s="1751"/>
      <c r="G546" s="1751"/>
      <c r="H546" s="1751"/>
      <c r="I546" s="1751"/>
      <c r="J546" s="1751"/>
      <c r="K546" s="1751"/>
      <c r="L546" s="1751"/>
      <c r="M546" s="1751"/>
      <c r="N546" s="1751"/>
      <c r="O546" s="1751"/>
      <c r="P546" s="1751">
        <f>O515</f>
        <v>220.3</v>
      </c>
      <c r="Q546" s="1751"/>
      <c r="R546" s="1751"/>
      <c r="S546" s="1751"/>
      <c r="T546" s="1751"/>
      <c r="U546" s="1751"/>
      <c r="V546" s="1751"/>
      <c r="W546" s="1685"/>
      <c r="X546" s="1685"/>
      <c r="Y546" s="1685"/>
      <c r="Z546" s="1685"/>
      <c r="AA546" s="1685"/>
      <c r="AB546" s="1685"/>
      <c r="AC546" s="1685"/>
      <c r="AD546" s="1685"/>
    </row>
    <row r="547" spans="1:30" ht="15.75">
      <c r="A547" s="1685"/>
      <c r="B547" s="1692" t="str">
        <f t="shared" si="637"/>
        <v>PR Term loan floating (9.29%)</v>
      </c>
      <c r="C547" s="1751"/>
      <c r="D547" s="1751"/>
      <c r="E547" s="1751"/>
      <c r="F547" s="1751"/>
      <c r="G547" s="1751"/>
      <c r="H547" s="1751"/>
      <c r="I547" s="1751"/>
      <c r="J547" s="1751"/>
      <c r="K547" s="1751"/>
      <c r="L547" s="1751"/>
      <c r="M547" s="1751"/>
      <c r="N547" s="1751"/>
      <c r="O547" s="1751"/>
      <c r="P547" s="1751"/>
      <c r="Q547" s="1751"/>
      <c r="R547" s="1751">
        <f>Q516</f>
        <v>620</v>
      </c>
      <c r="S547" s="1751"/>
      <c r="T547" s="1751"/>
      <c r="U547" s="1751"/>
      <c r="V547" s="1751"/>
      <c r="W547" s="1685"/>
      <c r="X547" s="1685"/>
      <c r="Y547" s="1685"/>
      <c r="Z547" s="1685"/>
      <c r="AA547" s="1685"/>
      <c r="AB547" s="1685"/>
      <c r="AC547" s="1685"/>
      <c r="AD547" s="1685"/>
    </row>
    <row r="548" spans="1:30" ht="15.75">
      <c r="A548" s="1685"/>
      <c r="B548" s="1692" t="str">
        <f t="shared" si="637"/>
        <v>PR 6.75% senior secured Oct 27</v>
      </c>
      <c r="C548" s="1751"/>
      <c r="D548" s="1751"/>
      <c r="E548" s="1751"/>
      <c r="F548" s="1751"/>
      <c r="G548" s="1751"/>
      <c r="H548" s="1751"/>
      <c r="I548" s="1751"/>
      <c r="J548" s="1751"/>
      <c r="K548" s="1751"/>
      <c r="L548" s="1751"/>
      <c r="M548" s="1751"/>
      <c r="N548" s="1751"/>
      <c r="O548" s="1751"/>
      <c r="P548" s="1751"/>
      <c r="Q548" s="1751">
        <f>P517</f>
        <v>1161</v>
      </c>
      <c r="R548" s="1751">
        <f>Q517</f>
        <v>0</v>
      </c>
      <c r="S548" s="1751"/>
      <c r="T548" s="1751"/>
      <c r="U548" s="1751"/>
      <c r="V548" s="1751"/>
      <c r="W548" s="1685"/>
      <c r="X548" s="1685"/>
      <c r="Y548" s="1685"/>
      <c r="Z548" s="1685"/>
      <c r="AA548" s="1685"/>
      <c r="AB548" s="1685"/>
      <c r="AC548" s="1685"/>
      <c r="AD548" s="1685"/>
    </row>
    <row r="549" spans="1:30" ht="15.75">
      <c r="A549" s="1685"/>
      <c r="B549" s="1692" t="str">
        <f t="shared" si="637"/>
        <v>PR 5.125% senior secured Jul 29</v>
      </c>
      <c r="C549" s="1751"/>
      <c r="D549" s="1751"/>
      <c r="E549" s="1751"/>
      <c r="F549" s="1751"/>
      <c r="G549" s="1751"/>
      <c r="H549" s="1751"/>
      <c r="I549" s="1751"/>
      <c r="J549" s="1751"/>
      <c r="K549" s="1751"/>
      <c r="L549" s="1751"/>
      <c r="M549" s="1751"/>
      <c r="N549" s="1751"/>
      <c r="O549" s="1751"/>
      <c r="P549" s="1751"/>
      <c r="Q549" s="1751"/>
      <c r="R549" s="1751">
        <f>Q518</f>
        <v>820</v>
      </c>
      <c r="S549" s="1751"/>
      <c r="T549" s="1751"/>
      <c r="U549" s="1751"/>
      <c r="V549" s="1751"/>
      <c r="W549" s="1685"/>
      <c r="X549" s="1685"/>
      <c r="Y549" s="1685"/>
      <c r="Z549" s="1685"/>
      <c r="AA549" s="1685"/>
      <c r="AB549" s="1685"/>
      <c r="AC549" s="1685"/>
      <c r="AD549" s="1685"/>
    </row>
    <row r="550" spans="1:30" ht="15.75" hidden="1" outlineLevel="1">
      <c r="A550" s="1685"/>
      <c r="B550" s="1692" t="str">
        <f t="shared" si="637"/>
        <v>xx</v>
      </c>
      <c r="C550" s="1751"/>
      <c r="D550" s="1751"/>
      <c r="E550" s="1751"/>
      <c r="F550" s="1751"/>
      <c r="G550" s="1751"/>
      <c r="H550" s="1751"/>
      <c r="I550" s="1751"/>
      <c r="J550" s="1751"/>
      <c r="K550" s="1751"/>
      <c r="L550" s="1751"/>
      <c r="M550" s="1751"/>
      <c r="N550" s="1751"/>
      <c r="O550" s="1751"/>
      <c r="P550" s="1751"/>
      <c r="Q550" s="1751"/>
      <c r="R550" s="1751"/>
      <c r="S550" s="1751"/>
      <c r="T550" s="1751"/>
      <c r="U550" s="1751"/>
      <c r="V550" s="1751"/>
      <c r="W550" s="1685"/>
      <c r="X550" s="1685"/>
      <c r="Y550" s="1685"/>
      <c r="Z550" s="1685"/>
      <c r="AA550" s="1685"/>
      <c r="AB550" s="1685"/>
      <c r="AC550" s="1685"/>
      <c r="AD550" s="1685"/>
    </row>
    <row r="551" spans="1:30" ht="15.75" hidden="1" outlineLevel="1">
      <c r="A551" s="1685"/>
      <c r="B551" s="1715" t="e">
        <f>#REF!</f>
        <v>#REF!</v>
      </c>
      <c r="C551" s="1773"/>
      <c r="D551" s="1773"/>
      <c r="E551" s="1773"/>
      <c r="F551" s="1773"/>
      <c r="G551" s="1773"/>
      <c r="H551" s="1773"/>
      <c r="I551" s="1773"/>
      <c r="J551" s="1773"/>
      <c r="K551" s="1773"/>
      <c r="L551" s="1773"/>
      <c r="M551" s="1773"/>
      <c r="N551" s="1773"/>
      <c r="O551" s="1773"/>
      <c r="P551" s="1773"/>
      <c r="Q551" s="1773"/>
      <c r="R551" s="1773"/>
      <c r="S551" s="1773"/>
      <c r="T551" s="1773"/>
      <c r="U551" s="1773"/>
      <c r="V551" s="1773"/>
      <c r="W551" s="1685"/>
      <c r="X551" s="1685"/>
      <c r="Y551" s="1685"/>
      <c r="Z551" s="1685"/>
      <c r="AA551" s="1685"/>
      <c r="AB551" s="1685"/>
      <c r="AC551" s="1685"/>
      <c r="AD551" s="1685"/>
    </row>
    <row r="552" spans="1:30" ht="15.75" outlineLevel="1">
      <c r="A552" s="1685"/>
      <c r="B552" s="1692" t="str">
        <f t="shared" ref="B552:B557" si="638">B521</f>
        <v>Costa Rica 10.875% 2031</v>
      </c>
      <c r="C552" s="1751"/>
      <c r="D552" s="1751"/>
      <c r="E552" s="1751"/>
      <c r="F552" s="1751"/>
      <c r="G552" s="1751"/>
      <c r="H552" s="1751"/>
      <c r="I552" s="1751"/>
      <c r="J552" s="1751"/>
      <c r="K552" s="1751"/>
      <c r="L552" s="1751"/>
      <c r="M552" s="1751"/>
      <c r="N552" s="1751"/>
      <c r="O552" s="1751"/>
      <c r="P552" s="1751"/>
      <c r="Q552" s="1751"/>
      <c r="R552" s="1751"/>
      <c r="S552" s="1751"/>
      <c r="T552" s="1751"/>
      <c r="U552" s="1751"/>
      <c r="V552" s="1751"/>
      <c r="W552" s="1685"/>
      <c r="X552" s="1685"/>
      <c r="Y552" s="1685"/>
      <c r="Z552" s="1685"/>
      <c r="AA552" s="1685"/>
      <c r="AB552" s="1685"/>
      <c r="AC552" s="1685"/>
      <c r="AD552" s="1685"/>
    </row>
    <row r="553" spans="1:30" ht="15.75" outlineLevel="1">
      <c r="A553" s="1685"/>
      <c r="B553" s="1692" t="str">
        <f t="shared" si="638"/>
        <v>Tower financing</v>
      </c>
      <c r="C553" s="1751"/>
      <c r="D553" s="1751"/>
      <c r="E553" s="1751"/>
      <c r="F553" s="1751"/>
      <c r="G553" s="1751"/>
      <c r="H553" s="1751"/>
      <c r="I553" s="1751"/>
      <c r="J553" s="1751"/>
      <c r="K553" s="1751"/>
      <c r="L553" s="1751"/>
      <c r="M553" s="1751"/>
      <c r="N553" s="1751"/>
      <c r="O553" s="1751"/>
      <c r="P553" s="1751"/>
      <c r="Q553" s="1751"/>
      <c r="R553" s="1751"/>
      <c r="S553" s="1751"/>
      <c r="T553" s="1751"/>
      <c r="U553" s="1751"/>
      <c r="V553" s="1751"/>
      <c r="W553" s="1685"/>
      <c r="X553" s="1685"/>
      <c r="Y553" s="1685"/>
      <c r="Z553" s="1685"/>
      <c r="AA553" s="1685"/>
      <c r="AB553" s="1685"/>
      <c r="AC553" s="1685"/>
      <c r="AD553" s="1685"/>
    </row>
    <row r="554" spans="1:30" ht="15.75" outlineLevel="1">
      <c r="A554" s="1685"/>
      <c r="B554" s="1689" t="str">
        <f t="shared" si="638"/>
        <v>Refi CWC 1</v>
      </c>
      <c r="C554" s="1751"/>
      <c r="D554" s="1751"/>
      <c r="E554" s="1751"/>
      <c r="F554" s="1751"/>
      <c r="G554" s="1751"/>
      <c r="H554" s="1751"/>
      <c r="I554" s="1751"/>
      <c r="J554" s="1751"/>
      <c r="K554" s="1751"/>
      <c r="L554" s="1751"/>
      <c r="M554" s="1751"/>
      <c r="N554" s="1751"/>
      <c r="O554" s="1751"/>
      <c r="P554" s="1751"/>
      <c r="Q554" s="1751"/>
      <c r="R554" s="1751"/>
      <c r="S554" s="1751"/>
      <c r="T554" s="1751"/>
      <c r="U554" s="1751"/>
      <c r="V554" s="1751"/>
      <c r="W554" s="1685"/>
      <c r="X554" s="1685"/>
      <c r="Y554" s="1685"/>
      <c r="Z554" s="1685"/>
      <c r="AA554" s="1685"/>
      <c r="AB554" s="1685"/>
      <c r="AC554" s="1685"/>
      <c r="AD554" s="1685"/>
    </row>
    <row r="555" spans="1:30" ht="15.75" outlineLevel="1">
      <c r="A555" s="1685"/>
      <c r="B555" s="1689" t="str">
        <f t="shared" si="638"/>
        <v>Refi CWC 2</v>
      </c>
      <c r="C555" s="1751"/>
      <c r="D555" s="1751"/>
      <c r="E555" s="1751"/>
      <c r="F555" s="1751"/>
      <c r="G555" s="1751"/>
      <c r="H555" s="1751"/>
      <c r="I555" s="1751"/>
      <c r="J555" s="1751"/>
      <c r="K555" s="1751"/>
      <c r="L555" s="1751"/>
      <c r="M555" s="1751"/>
      <c r="N555" s="1751"/>
      <c r="O555" s="1751"/>
      <c r="P555" s="1751"/>
      <c r="Q555" s="1751"/>
      <c r="R555" s="1751"/>
      <c r="S555" s="1751"/>
      <c r="T555" s="1751"/>
      <c r="U555" s="1751"/>
      <c r="V555" s="1751"/>
      <c r="W555" s="1685"/>
      <c r="X555" s="1685"/>
      <c r="Y555" s="1685"/>
      <c r="Z555" s="1685"/>
      <c r="AA555" s="1685"/>
      <c r="AB555" s="1685"/>
      <c r="AC555" s="1685"/>
      <c r="AD555" s="1685"/>
    </row>
    <row r="556" spans="1:30" ht="15.75" outlineLevel="1">
      <c r="A556" s="1685"/>
      <c r="B556" s="1689" t="str">
        <f t="shared" si="638"/>
        <v>Refi PR</v>
      </c>
      <c r="C556" s="1751"/>
      <c r="D556" s="1751"/>
      <c r="E556" s="1751"/>
      <c r="F556" s="1751"/>
      <c r="G556" s="1751"/>
      <c r="H556" s="1751"/>
      <c r="I556" s="1751"/>
      <c r="J556" s="1751"/>
      <c r="K556" s="1751"/>
      <c r="L556" s="1751"/>
      <c r="M556" s="1751"/>
      <c r="N556" s="1751"/>
      <c r="O556" s="1751"/>
      <c r="P556" s="1751"/>
      <c r="Q556" s="1751"/>
      <c r="R556" s="1751"/>
      <c r="S556" s="1751"/>
      <c r="T556" s="1751"/>
      <c r="U556" s="1751"/>
      <c r="V556" s="1751"/>
      <c r="W556" s="1685"/>
      <c r="X556" s="1685"/>
      <c r="Y556" s="1685"/>
      <c r="Z556" s="1685"/>
      <c r="AA556" s="1685"/>
      <c r="AB556" s="1685"/>
      <c r="AC556" s="1685"/>
      <c r="AD556" s="1685"/>
    </row>
    <row r="557" spans="1:30" ht="15.75" outlineLevel="1">
      <c r="A557" s="1685"/>
      <c r="B557" s="1689" t="str">
        <f t="shared" si="638"/>
        <v>Refi Other</v>
      </c>
      <c r="C557" s="1751"/>
      <c r="D557" s="1751"/>
      <c r="E557" s="1751"/>
      <c r="F557" s="1751"/>
      <c r="G557" s="1751"/>
      <c r="H557" s="1751"/>
      <c r="I557" s="1751"/>
      <c r="J557" s="1751"/>
      <c r="K557" s="1751"/>
      <c r="L557" s="1751"/>
      <c r="M557" s="1751"/>
      <c r="N557" s="1751"/>
      <c r="O557" s="1751"/>
      <c r="P557" s="1751"/>
      <c r="Q557" s="1751"/>
      <c r="R557" s="1751"/>
      <c r="S557" s="1751"/>
      <c r="T557" s="1751"/>
      <c r="U557" s="1751"/>
      <c r="V557" s="1751"/>
      <c r="W557" s="1685"/>
      <c r="X557" s="1685"/>
      <c r="Y557" s="1685"/>
      <c r="Z557" s="1685"/>
      <c r="AA557" s="1685"/>
      <c r="AB557" s="1685"/>
      <c r="AC557" s="1685"/>
      <c r="AD557" s="1685"/>
    </row>
    <row r="558" spans="1:30" ht="15.75">
      <c r="A558" s="1685"/>
      <c r="B558" s="1778" t="s">
        <v>16</v>
      </c>
      <c r="C558" s="1779"/>
      <c r="D558" s="1779">
        <f t="shared" ref="D558:J558" si="639">SUM(D530:D540)</f>
        <v>0</v>
      </c>
      <c r="E558" s="1779">
        <f t="shared" si="639"/>
        <v>0</v>
      </c>
      <c r="F558" s="1779">
        <f t="shared" si="639"/>
        <v>0</v>
      </c>
      <c r="G558" s="1779">
        <f t="shared" si="639"/>
        <v>0</v>
      </c>
      <c r="H558" s="1779">
        <f t="shared" si="639"/>
        <v>0</v>
      </c>
      <c r="I558" s="1779">
        <f t="shared" si="639"/>
        <v>0</v>
      </c>
      <c r="J558" s="1779">
        <f t="shared" si="639"/>
        <v>318</v>
      </c>
      <c r="K558" s="1779">
        <f>SUM(K530:K551)</f>
        <v>0</v>
      </c>
      <c r="L558" s="1779">
        <f>SUM(L530:L551)</f>
        <v>1260</v>
      </c>
      <c r="M558" s="1779">
        <f>SUM(M530:M551)</f>
        <v>0</v>
      </c>
      <c r="N558" s="1779">
        <f>SUM(N530:N552)</f>
        <v>0</v>
      </c>
      <c r="O558" s="1779">
        <f>SUM(O530:O552)</f>
        <v>0</v>
      </c>
      <c r="P558" s="1779">
        <f>SUM(P530:P557)</f>
        <v>1935.3</v>
      </c>
      <c r="Q558" s="1779">
        <f t="shared" ref="Q558:V558" si="640">SUM(Q530:Q557)</f>
        <v>2671</v>
      </c>
      <c r="R558" s="1779">
        <f t="shared" si="640"/>
        <v>2465</v>
      </c>
      <c r="S558" s="1779">
        <f t="shared" si="640"/>
        <v>0</v>
      </c>
      <c r="T558" s="1779">
        <f t="shared" si="640"/>
        <v>0</v>
      </c>
      <c r="U558" s="1779">
        <f t="shared" si="640"/>
        <v>0</v>
      </c>
      <c r="V558" s="1779">
        <f t="shared" si="640"/>
        <v>0</v>
      </c>
      <c r="W558" s="1685"/>
      <c r="X558" s="1685"/>
      <c r="Y558" s="1685"/>
      <c r="Z558" s="1685"/>
      <c r="AA558" s="1685"/>
      <c r="AB558" s="1685"/>
      <c r="AC558" s="1685"/>
      <c r="AD558" s="1685"/>
    </row>
    <row r="559" spans="1:30" ht="15.75">
      <c r="A559" s="1685"/>
      <c r="B559" s="1692" t="s">
        <v>245</v>
      </c>
      <c r="C559" s="1751"/>
      <c r="D559" s="1751"/>
      <c r="E559" s="1751"/>
      <c r="F559" s="1772"/>
      <c r="G559" s="1772"/>
      <c r="H559" s="1772"/>
      <c r="I559" s="1772"/>
      <c r="J559" s="1772"/>
      <c r="K559" s="1772"/>
      <c r="L559" s="1772"/>
      <c r="M559" s="1772"/>
      <c r="N559" s="1772"/>
      <c r="O559" s="1772"/>
      <c r="P559" s="1772"/>
      <c r="Q559" s="1772"/>
      <c r="R559" s="1772"/>
      <c r="S559" s="1772"/>
      <c r="T559" s="1772"/>
      <c r="U559" s="1772"/>
      <c r="V559" s="1772"/>
      <c r="W559" s="1685"/>
      <c r="X559" s="1685"/>
      <c r="Y559" s="1685"/>
      <c r="Z559" s="1685"/>
      <c r="AA559" s="1685"/>
      <c r="AB559" s="1685"/>
      <c r="AC559" s="1685"/>
      <c r="AD559" s="1685"/>
    </row>
    <row r="560" spans="1:30" ht="15.75">
      <c r="A560" s="1685"/>
      <c r="B560" s="1692"/>
      <c r="C560" s="1751"/>
      <c r="D560" s="1751"/>
      <c r="E560" s="1751"/>
      <c r="F560" s="1751"/>
      <c r="G560" s="1751"/>
      <c r="H560" s="1751"/>
      <c r="I560" s="1751"/>
      <c r="J560" s="1685"/>
      <c r="K560" s="1685"/>
      <c r="L560" s="1685"/>
      <c r="M560" s="1685"/>
      <c r="N560" s="1685"/>
      <c r="O560" s="1685"/>
      <c r="P560" s="1685"/>
      <c r="Q560" s="1685"/>
      <c r="R560" s="1685"/>
      <c r="S560" s="1685"/>
      <c r="T560" s="1685"/>
      <c r="U560" s="1685"/>
      <c r="V560" s="1685"/>
      <c r="W560" s="1685"/>
      <c r="X560" s="1685"/>
      <c r="Y560" s="1685"/>
      <c r="Z560" s="1685"/>
      <c r="AA560" s="1685"/>
      <c r="AB560" s="1685"/>
      <c r="AC560" s="1685"/>
      <c r="AD560" s="1685"/>
    </row>
    <row r="561" spans="1:30" ht="15.75">
      <c r="A561" s="1685"/>
      <c r="B561" s="1689" t="s">
        <v>246</v>
      </c>
      <c r="C561" s="1751"/>
      <c r="D561" s="1751"/>
      <c r="E561" s="1751"/>
      <c r="F561" s="1751"/>
      <c r="G561" s="1751"/>
      <c r="H561" s="1751"/>
      <c r="I561" s="1751"/>
      <c r="J561" s="1685"/>
      <c r="K561" s="1685"/>
      <c r="L561" s="1685"/>
      <c r="M561" s="1685"/>
      <c r="N561" s="1685"/>
      <c r="O561" s="1685"/>
      <c r="P561" s="1685"/>
      <c r="Q561" s="1685"/>
      <c r="R561" s="1685"/>
      <c r="S561" s="1685"/>
      <c r="T561" s="1685"/>
      <c r="U561" s="1685"/>
      <c r="V561" s="1685"/>
      <c r="W561" s="1685"/>
      <c r="X561" s="1685"/>
      <c r="Y561" s="1685"/>
      <c r="Z561" s="1685"/>
      <c r="AA561" s="1685"/>
      <c r="AB561" s="1685"/>
      <c r="AC561" s="1685"/>
      <c r="AD561" s="1685"/>
    </row>
    <row r="562" spans="1:30" ht="15.75">
      <c r="A562" s="1685"/>
      <c r="B562" s="1689" t="s">
        <v>247</v>
      </c>
      <c r="C562" s="1751"/>
      <c r="D562" s="1751"/>
      <c r="E562" s="1751"/>
      <c r="F562" s="1751"/>
      <c r="G562" s="1751"/>
      <c r="H562" s="1751"/>
      <c r="I562" s="1751"/>
      <c r="J562" s="1685"/>
      <c r="K562" s="1685"/>
      <c r="L562" s="1685"/>
      <c r="M562" s="1685"/>
      <c r="N562" s="1685"/>
      <c r="O562" s="1685"/>
      <c r="P562" s="1685"/>
      <c r="Q562" s="1685"/>
      <c r="R562" s="1685"/>
      <c r="S562" s="1685"/>
      <c r="T562" s="1685"/>
      <c r="U562" s="1685"/>
      <c r="V562" s="1685"/>
      <c r="W562" s="1685"/>
      <c r="X562" s="1685"/>
      <c r="Y562" s="1685"/>
      <c r="Z562" s="1685"/>
      <c r="AA562" s="1685"/>
      <c r="AB562" s="1685"/>
      <c r="AC562" s="1685"/>
      <c r="AD562" s="1685"/>
    </row>
    <row r="563" spans="1:30" ht="15.75">
      <c r="A563" s="1685"/>
      <c r="B563" s="1689" t="s">
        <v>6892</v>
      </c>
      <c r="C563" s="1751"/>
      <c r="D563" s="1751"/>
      <c r="E563" s="1751"/>
      <c r="F563" s="1751"/>
      <c r="G563" s="1751"/>
      <c r="H563" s="1751"/>
      <c r="I563" s="1751"/>
      <c r="J563" s="1685"/>
      <c r="K563" s="1685"/>
      <c r="L563" s="1685"/>
      <c r="M563" s="1685"/>
      <c r="N563" s="1685"/>
      <c r="O563" s="1780">
        <v>5.2999999999999999E-2</v>
      </c>
      <c r="P563" s="1780">
        <f t="shared" ref="P563:V563" si="641">O563</f>
        <v>5.2999999999999999E-2</v>
      </c>
      <c r="Q563" s="1780">
        <f t="shared" si="641"/>
        <v>5.2999999999999999E-2</v>
      </c>
      <c r="R563" s="1780">
        <f t="shared" si="641"/>
        <v>5.2999999999999999E-2</v>
      </c>
      <c r="S563" s="1780">
        <f t="shared" si="641"/>
        <v>5.2999999999999999E-2</v>
      </c>
      <c r="T563" s="1780">
        <f t="shared" si="641"/>
        <v>5.2999999999999999E-2</v>
      </c>
      <c r="U563" s="1780">
        <f t="shared" si="641"/>
        <v>5.2999999999999999E-2</v>
      </c>
      <c r="V563" s="1780">
        <f t="shared" si="641"/>
        <v>5.2999999999999999E-2</v>
      </c>
      <c r="W563" s="1685"/>
      <c r="X563" s="1685"/>
      <c r="Y563" s="1685"/>
      <c r="Z563" s="1685"/>
      <c r="AA563" s="1685"/>
      <c r="AB563" s="1685"/>
      <c r="AC563" s="1685"/>
      <c r="AD563" s="1685"/>
    </row>
    <row r="564" spans="1:30" ht="15.75">
      <c r="A564" s="1685"/>
      <c r="B564" s="1689" t="s">
        <v>4687</v>
      </c>
      <c r="C564" s="1751"/>
      <c r="D564" s="1751"/>
      <c r="E564" s="1751"/>
      <c r="F564" s="1751"/>
      <c r="G564" s="1751"/>
      <c r="H564" s="1751"/>
      <c r="I564" s="1751"/>
      <c r="J564" s="1685"/>
      <c r="K564" s="1781">
        <v>0</v>
      </c>
      <c r="L564" s="1711">
        <f t="shared" ref="L564:N564" si="642">K564</f>
        <v>0</v>
      </c>
      <c r="M564" s="1711">
        <f t="shared" si="642"/>
        <v>0</v>
      </c>
      <c r="N564" s="1711">
        <f t="shared" si="642"/>
        <v>0</v>
      </c>
      <c r="O564" s="1711"/>
      <c r="P564" s="1711"/>
      <c r="Q564" s="1711"/>
      <c r="R564" s="1711"/>
      <c r="S564" s="1711"/>
      <c r="T564" s="1711"/>
      <c r="U564" s="1711"/>
      <c r="V564" s="1711"/>
      <c r="W564" s="1685"/>
      <c r="X564" s="1685"/>
      <c r="Y564" s="1685"/>
      <c r="Z564" s="1685"/>
      <c r="AA564" s="1685"/>
      <c r="AB564" s="1685"/>
      <c r="AC564" s="1685"/>
      <c r="AD564" s="1685"/>
    </row>
    <row r="565" spans="1:30" ht="15.75" hidden="1" outlineLevel="1">
      <c r="A565" s="1685"/>
      <c r="B565" s="1692" t="str">
        <f t="shared" ref="B565:B588" si="643">B499</f>
        <v>US$1.25bn unsecured, 2021 (Colombus)</v>
      </c>
      <c r="C565" s="1782"/>
      <c r="D565" s="1751"/>
      <c r="E565" s="1751"/>
      <c r="F565" s="1781">
        <v>7.3749999999999996E-2</v>
      </c>
      <c r="G565" s="1690">
        <f>F565</f>
        <v>7.3749999999999996E-2</v>
      </c>
      <c r="H565" s="1690">
        <f>G565</f>
        <v>7.3749999999999996E-2</v>
      </c>
      <c r="I565" s="1690">
        <f>H565</f>
        <v>7.3749999999999996E-2</v>
      </c>
      <c r="J565" s="1690">
        <f>I565</f>
        <v>7.3749999999999996E-2</v>
      </c>
      <c r="K565" s="1690"/>
      <c r="L565" s="1690"/>
      <c r="M565" s="1690"/>
      <c r="N565" s="1690"/>
      <c r="O565" s="1690"/>
      <c r="P565" s="1690"/>
      <c r="Q565" s="1690"/>
      <c r="R565" s="1690"/>
      <c r="S565" s="1690"/>
      <c r="T565" s="1690"/>
      <c r="U565" s="1690"/>
      <c r="V565" s="1690"/>
      <c r="W565" s="1685"/>
      <c r="X565" s="1685"/>
      <c r="Y565" s="1685"/>
      <c r="Z565" s="1685"/>
      <c r="AA565" s="1685"/>
      <c r="AB565" s="1685"/>
      <c r="AC565" s="1685"/>
      <c r="AD565" s="1685"/>
    </row>
    <row r="566" spans="1:30" ht="15.75" hidden="1" outlineLevel="1">
      <c r="A566" s="1685"/>
      <c r="B566" s="1692" t="str">
        <f t="shared" si="643"/>
        <v>Sterling secured, 2019</v>
      </c>
      <c r="C566" s="1782"/>
      <c r="D566" s="1751"/>
      <c r="E566" s="1751"/>
      <c r="F566" s="1781">
        <v>8.6249999999999993E-2</v>
      </c>
      <c r="G566" s="1690">
        <f t="shared" ref="G566:I568" si="644">F566</f>
        <v>8.6249999999999993E-2</v>
      </c>
      <c r="H566" s="1690">
        <f t="shared" si="644"/>
        <v>8.6249999999999993E-2</v>
      </c>
      <c r="I566" s="1690">
        <f t="shared" si="644"/>
        <v>8.6249999999999993E-2</v>
      </c>
      <c r="J566" s="1690">
        <f>I566</f>
        <v>8.6249999999999993E-2</v>
      </c>
      <c r="K566" s="1690"/>
      <c r="L566" s="1690"/>
      <c r="M566" s="1690"/>
      <c r="N566" s="1690"/>
      <c r="O566" s="1690"/>
      <c r="P566" s="1690"/>
      <c r="Q566" s="1690"/>
      <c r="R566" s="1690"/>
      <c r="S566" s="1690"/>
      <c r="T566" s="1690"/>
      <c r="U566" s="1690"/>
      <c r="V566" s="1690"/>
      <c r="W566" s="1685"/>
      <c r="X566" s="1685"/>
      <c r="Y566" s="1685"/>
      <c r="Z566" s="1685"/>
      <c r="AA566" s="1685"/>
      <c r="AB566" s="1685"/>
      <c r="AC566" s="1685"/>
      <c r="AD566" s="1685"/>
    </row>
    <row r="567" spans="1:30" ht="15.75" collapsed="1">
      <c r="A567" s="1685"/>
      <c r="B567" s="1692" t="str">
        <f t="shared" si="643"/>
        <v>Term loan 2026</v>
      </c>
      <c r="C567" s="1782"/>
      <c r="D567" s="1751"/>
      <c r="E567" s="1751"/>
      <c r="F567" s="1781">
        <v>5.7500000000000002E-2</v>
      </c>
      <c r="G567" s="1690">
        <f>F567</f>
        <v>5.7500000000000002E-2</v>
      </c>
      <c r="H567" s="1690">
        <f>G567</f>
        <v>5.7500000000000002E-2</v>
      </c>
      <c r="I567" s="1690">
        <f>H567</f>
        <v>5.7500000000000002E-2</v>
      </c>
      <c r="J567" s="1690">
        <f>I567</f>
        <v>5.7500000000000002E-2</v>
      </c>
      <c r="K567" s="1781">
        <f>K564+3.25%</f>
        <v>3.2500000000000001E-2</v>
      </c>
      <c r="L567" s="1781">
        <f>-0.5%+2.25%</f>
        <v>1.7499999999999998E-2</v>
      </c>
      <c r="M567" s="1781">
        <v>0.03</v>
      </c>
      <c r="N567" s="1781">
        <f>M567-0.75%</f>
        <v>2.2499999999999999E-2</v>
      </c>
      <c r="O567" s="1781"/>
      <c r="P567" s="1711"/>
      <c r="Q567" s="1711"/>
      <c r="R567" s="1711"/>
      <c r="S567" s="1711"/>
      <c r="T567" s="1711"/>
      <c r="U567" s="1711"/>
      <c r="V567" s="1711"/>
      <c r="W567" s="1685"/>
      <c r="X567" s="1685"/>
      <c r="Y567" s="1685"/>
      <c r="Z567" s="1685"/>
      <c r="AA567" s="1685"/>
      <c r="AB567" s="1685"/>
      <c r="AC567" s="1685"/>
      <c r="AD567" s="1685"/>
    </row>
    <row r="568" spans="1:30" ht="15.75">
      <c r="A568" s="1685"/>
      <c r="B568" s="1692" t="str">
        <f t="shared" si="643"/>
        <v>Other facilities (revolver, regional)</v>
      </c>
      <c r="C568" s="1782"/>
      <c r="D568" s="1751"/>
      <c r="E568" s="1751"/>
      <c r="F568" s="1781">
        <v>4.4999999999999998E-2</v>
      </c>
      <c r="G568" s="1690">
        <f t="shared" si="644"/>
        <v>4.4999999999999998E-2</v>
      </c>
      <c r="H568" s="1690">
        <f t="shared" si="644"/>
        <v>4.4999999999999998E-2</v>
      </c>
      <c r="I568" s="1781">
        <v>0.12</v>
      </c>
      <c r="J568" s="1781">
        <v>0.14000000000000001</v>
      </c>
      <c r="K568" s="1783"/>
      <c r="L568" s="1784">
        <v>0.06</v>
      </c>
      <c r="M568" s="1690">
        <f t="shared" ref="M568:N568" si="645">L568</f>
        <v>0.06</v>
      </c>
      <c r="N568" s="1690">
        <f t="shared" si="645"/>
        <v>0.06</v>
      </c>
      <c r="O568" s="1690">
        <f>O600/AVERAGE(N502,O502)</f>
        <v>0.17346059449140941</v>
      </c>
      <c r="P568" s="1783">
        <v>0.32</v>
      </c>
      <c r="Q568" s="1783">
        <v>0.28000000000000003</v>
      </c>
      <c r="R568" s="1783">
        <v>0.26</v>
      </c>
      <c r="S568" s="1783">
        <v>0.26</v>
      </c>
      <c r="T568" s="1783">
        <v>0.26</v>
      </c>
      <c r="U568" s="1783">
        <v>0.26</v>
      </c>
      <c r="V568" s="1783">
        <v>0.26</v>
      </c>
      <c r="W568" s="1685"/>
      <c r="X568" s="1685"/>
      <c r="Y568" s="1685"/>
      <c r="Z568" s="1685"/>
      <c r="AA568" s="1685"/>
      <c r="AB568" s="1685"/>
      <c r="AC568" s="1685"/>
      <c r="AD568" s="1685"/>
    </row>
    <row r="569" spans="1:30" ht="15.75" hidden="1" outlineLevel="1">
      <c r="A569" s="1685"/>
      <c r="B569" s="1692" t="str">
        <f t="shared" si="643"/>
        <v>US$750m unsecured, 2022 (Sable)</v>
      </c>
      <c r="C569" s="1685"/>
      <c r="D569" s="1685"/>
      <c r="E569" s="1685"/>
      <c r="F569" s="1781">
        <v>6.8750000000000006E-2</v>
      </c>
      <c r="G569" s="1690">
        <f>F569</f>
        <v>6.8750000000000006E-2</v>
      </c>
      <c r="H569" s="1690">
        <f>G569</f>
        <v>6.8750000000000006E-2</v>
      </c>
      <c r="I569" s="1690">
        <f>H569</f>
        <v>6.8750000000000006E-2</v>
      </c>
      <c r="J569" s="1690">
        <f>I569</f>
        <v>6.8750000000000006E-2</v>
      </c>
      <c r="K569" s="1690"/>
      <c r="L569" s="1690"/>
      <c r="M569" s="1690"/>
      <c r="N569" s="1690"/>
      <c r="O569" s="1690"/>
      <c r="P569" s="1690"/>
      <c r="Q569" s="1690"/>
      <c r="R569" s="1690"/>
      <c r="S569" s="1690"/>
      <c r="T569" s="1690"/>
      <c r="U569" s="1690"/>
      <c r="V569" s="1690"/>
      <c r="W569" s="1685"/>
      <c r="X569" s="1685"/>
      <c r="Y569" s="1685"/>
      <c r="Z569" s="1685"/>
      <c r="AA569" s="1685"/>
      <c r="AB569" s="1685"/>
      <c r="AC569" s="1685"/>
      <c r="AD569" s="1685"/>
    </row>
    <row r="570" spans="1:30" ht="15.75" hidden="1" outlineLevel="1">
      <c r="A570" s="1685"/>
      <c r="B570" s="1692" t="str">
        <f t="shared" si="643"/>
        <v>VTR US$1.4bn</v>
      </c>
      <c r="C570" s="1685"/>
      <c r="D570" s="1685"/>
      <c r="E570" s="1685"/>
      <c r="F570" s="1781">
        <v>7.4999999999999997E-2</v>
      </c>
      <c r="G570" s="1781">
        <v>7.2499999999999995E-2</v>
      </c>
      <c r="H570" s="1781">
        <v>6.88E-2</v>
      </c>
      <c r="I570" s="1690">
        <f t="shared" ref="I570:V570" si="646">H570</f>
        <v>6.88E-2</v>
      </c>
      <c r="J570" s="1690">
        <f t="shared" si="646"/>
        <v>6.88E-2</v>
      </c>
      <c r="K570" s="1690">
        <f t="shared" si="646"/>
        <v>6.88E-2</v>
      </c>
      <c r="L570" s="1781">
        <f t="shared" si="646"/>
        <v>6.88E-2</v>
      </c>
      <c r="M570" s="1690">
        <f t="shared" si="646"/>
        <v>6.88E-2</v>
      </c>
      <c r="N570" s="1690">
        <f t="shared" si="646"/>
        <v>6.88E-2</v>
      </c>
      <c r="O570" s="1690">
        <f t="shared" si="646"/>
        <v>6.88E-2</v>
      </c>
      <c r="P570" s="1690">
        <f t="shared" si="646"/>
        <v>6.88E-2</v>
      </c>
      <c r="Q570" s="1690">
        <f t="shared" si="646"/>
        <v>6.88E-2</v>
      </c>
      <c r="R570" s="1690">
        <f t="shared" si="646"/>
        <v>6.88E-2</v>
      </c>
      <c r="S570" s="1690">
        <f t="shared" si="646"/>
        <v>6.88E-2</v>
      </c>
      <c r="T570" s="1690">
        <f t="shared" si="646"/>
        <v>6.88E-2</v>
      </c>
      <c r="U570" s="1690">
        <f t="shared" si="646"/>
        <v>6.88E-2</v>
      </c>
      <c r="V570" s="1690">
        <f t="shared" si="646"/>
        <v>6.88E-2</v>
      </c>
      <c r="W570" s="1685"/>
      <c r="X570" s="1685"/>
      <c r="Y570" s="1685"/>
      <c r="Z570" s="1685"/>
      <c r="AA570" s="1685"/>
      <c r="AB570" s="1685"/>
      <c r="AC570" s="1685"/>
      <c r="AD570" s="1685"/>
    </row>
    <row r="571" spans="1:30" ht="15.75" collapsed="1">
      <c r="A571" s="1685"/>
      <c r="B571" s="1692" t="str">
        <f t="shared" si="643"/>
        <v>2028 VTR senior secured notes, 5.125%</v>
      </c>
      <c r="C571" s="1685"/>
      <c r="D571" s="1685"/>
      <c r="E571" s="1685"/>
      <c r="F571" s="1781"/>
      <c r="G571" s="1781"/>
      <c r="H571" s="1781"/>
      <c r="I571" s="1690"/>
      <c r="J571" s="1690"/>
      <c r="K571" s="1690"/>
      <c r="L571" s="1781">
        <v>5.1249999999999997E-2</v>
      </c>
      <c r="M571" s="1690">
        <f t="shared" ref="M571:N572" si="647">L571</f>
        <v>5.1249999999999997E-2</v>
      </c>
      <c r="N571" s="1690">
        <f t="shared" si="647"/>
        <v>5.1249999999999997E-2</v>
      </c>
      <c r="O571" s="1690"/>
      <c r="P571" s="1690"/>
      <c r="Q571" s="1690"/>
      <c r="R571" s="1690"/>
      <c r="S571" s="1690"/>
      <c r="T571" s="1690"/>
      <c r="U571" s="1690"/>
      <c r="V571" s="1690"/>
      <c r="W571" s="1685"/>
      <c r="X571" s="1685"/>
      <c r="Y571" s="1685"/>
      <c r="Z571" s="1685"/>
      <c r="AA571" s="1685"/>
      <c r="AB571" s="1685"/>
      <c r="AC571" s="1685"/>
      <c r="AD571" s="1685"/>
    </row>
    <row r="572" spans="1:30" ht="15.75">
      <c r="A572" s="1685"/>
      <c r="B572" s="1692" t="str">
        <f t="shared" si="643"/>
        <v>2028 VTR senior notes, 6.375%</v>
      </c>
      <c r="C572" s="1685"/>
      <c r="D572" s="1685"/>
      <c r="E572" s="1685"/>
      <c r="F572" s="1781"/>
      <c r="G572" s="1781"/>
      <c r="H572" s="1781"/>
      <c r="I572" s="1690"/>
      <c r="J572" s="1690"/>
      <c r="K572" s="1690"/>
      <c r="L572" s="1781">
        <v>6.3750000000000001E-2</v>
      </c>
      <c r="M572" s="1690">
        <f t="shared" si="647"/>
        <v>6.3750000000000001E-2</v>
      </c>
      <c r="N572" s="1690">
        <f t="shared" si="647"/>
        <v>6.3750000000000001E-2</v>
      </c>
      <c r="O572" s="1690"/>
      <c r="P572" s="1690"/>
      <c r="Q572" s="1690"/>
      <c r="R572" s="1690"/>
      <c r="S572" s="1690"/>
      <c r="T572" s="1690"/>
      <c r="U572" s="1690"/>
      <c r="V572" s="1690"/>
      <c r="W572" s="1685"/>
      <c r="X572" s="1685"/>
      <c r="Y572" s="1685"/>
      <c r="Z572" s="1685"/>
      <c r="AA572" s="1685"/>
      <c r="AB572" s="1685"/>
      <c r="AC572" s="1685"/>
      <c r="AD572" s="1685"/>
    </row>
    <row r="573" spans="1:30" ht="15.75" hidden="1" outlineLevel="1">
      <c r="A573" s="1685"/>
      <c r="B573" s="1692" t="str">
        <f t="shared" si="643"/>
        <v>PR</v>
      </c>
      <c r="C573" s="1685"/>
      <c r="D573" s="1685"/>
      <c r="E573" s="1685"/>
      <c r="F573" s="1781">
        <v>7.1999999999999995E-2</v>
      </c>
      <c r="G573" s="1690">
        <f>F573</f>
        <v>7.1999999999999995E-2</v>
      </c>
      <c r="H573" s="1781">
        <v>5.11E-2</v>
      </c>
      <c r="I573" s="1690">
        <f>H573</f>
        <v>5.11E-2</v>
      </c>
      <c r="J573" s="1690">
        <f>I573</f>
        <v>5.11E-2</v>
      </c>
      <c r="K573" s="1690">
        <f>J573</f>
        <v>5.11E-2</v>
      </c>
      <c r="L573" s="1690"/>
      <c r="M573" s="1690"/>
      <c r="N573" s="1690"/>
      <c r="O573" s="1690"/>
      <c r="P573" s="1690"/>
      <c r="Q573" s="1690"/>
      <c r="R573" s="1690"/>
      <c r="S573" s="1690"/>
      <c r="T573" s="1690"/>
      <c r="U573" s="1690"/>
      <c r="V573" s="1690"/>
      <c r="W573" s="1685"/>
      <c r="X573" s="1685"/>
      <c r="Y573" s="1685"/>
      <c r="Z573" s="1685"/>
      <c r="AA573" s="1685"/>
      <c r="AB573" s="1685"/>
      <c r="AC573" s="1685"/>
      <c r="AD573" s="1685"/>
    </row>
    <row r="574" spans="1:30" ht="15.75" collapsed="1">
      <c r="A574" s="1685"/>
      <c r="B574" s="1692" t="str">
        <f t="shared" si="643"/>
        <v>Vendor financing / cap lease</v>
      </c>
      <c r="C574" s="1685"/>
      <c r="D574" s="1685"/>
      <c r="E574" s="1685"/>
      <c r="F574" s="1781">
        <v>3.5000000000000003E-2</v>
      </c>
      <c r="G574" s="1711">
        <f>F574</f>
        <v>3.5000000000000003E-2</v>
      </c>
      <c r="H574" s="1781">
        <v>5.5E-2</v>
      </c>
      <c r="I574" s="1711">
        <f>H574</f>
        <v>5.5E-2</v>
      </c>
      <c r="J574" s="1711">
        <f>I574</f>
        <v>5.5E-2</v>
      </c>
      <c r="K574" s="1711"/>
      <c r="L574" s="1690">
        <v>0.03</v>
      </c>
      <c r="M574" s="1690">
        <v>0.03</v>
      </c>
      <c r="N574" s="1690">
        <v>0.03</v>
      </c>
      <c r="O574" s="1781">
        <v>0.05</v>
      </c>
      <c r="P574" s="1785">
        <f>O574</f>
        <v>0.05</v>
      </c>
      <c r="Q574" s="1785">
        <f t="shared" ref="Q574:V574" si="648">P574</f>
        <v>0.05</v>
      </c>
      <c r="R574" s="1785">
        <f t="shared" si="648"/>
        <v>0.05</v>
      </c>
      <c r="S574" s="1785">
        <f t="shared" si="648"/>
        <v>0.05</v>
      </c>
      <c r="T574" s="1785">
        <f t="shared" si="648"/>
        <v>0.05</v>
      </c>
      <c r="U574" s="1785">
        <f t="shared" si="648"/>
        <v>0.05</v>
      </c>
      <c r="V574" s="1785">
        <f t="shared" si="648"/>
        <v>0.05</v>
      </c>
      <c r="W574" s="1685"/>
      <c r="X574" s="1685"/>
      <c r="Y574" s="1685"/>
      <c r="Z574" s="1685"/>
      <c r="AA574" s="1685"/>
      <c r="AB574" s="1685"/>
      <c r="AC574" s="1685"/>
      <c r="AD574" s="1685"/>
    </row>
    <row r="575" spans="1:30" ht="15.75" hidden="1" outlineLevel="1">
      <c r="A575" s="1685"/>
      <c r="B575" s="1692" t="str">
        <f t="shared" si="643"/>
        <v>2027 senior notes</v>
      </c>
      <c r="C575" s="1685"/>
      <c r="D575" s="1685"/>
      <c r="E575" s="1685"/>
      <c r="F575" s="1685"/>
      <c r="G575" s="1685"/>
      <c r="H575" s="1685"/>
      <c r="I575" s="1781">
        <v>6.8750000000000006E-2</v>
      </c>
      <c r="J575" s="1711">
        <f>I575</f>
        <v>6.8750000000000006E-2</v>
      </c>
      <c r="K575" s="1711"/>
      <c r="L575" s="1711"/>
      <c r="M575" s="1711"/>
      <c r="N575" s="1711"/>
      <c r="O575" s="1711"/>
      <c r="P575" s="1711"/>
      <c r="Q575" s="1711"/>
      <c r="R575" s="1711"/>
      <c r="S575" s="1711"/>
      <c r="T575" s="1711"/>
      <c r="U575" s="1711"/>
      <c r="V575" s="1711"/>
      <c r="W575" s="1685"/>
      <c r="X575" s="1685"/>
      <c r="Y575" s="1685"/>
      <c r="Z575" s="1685"/>
      <c r="AA575" s="1685"/>
      <c r="AB575" s="1685"/>
      <c r="AC575" s="1685"/>
      <c r="AD575" s="1685"/>
    </row>
    <row r="576" spans="1:30" ht="15.75" collapsed="1">
      <c r="A576" s="1685"/>
      <c r="B576" s="1692" t="str">
        <f t="shared" si="643"/>
        <v>CWC 2027 senior secured</v>
      </c>
      <c r="C576" s="1685"/>
      <c r="D576" s="1685"/>
      <c r="E576" s="1685"/>
      <c r="F576" s="1685"/>
      <c r="G576" s="1685"/>
      <c r="H576" s="1685"/>
      <c r="I576" s="1685"/>
      <c r="J576" s="1685"/>
      <c r="K576" s="1781">
        <v>5.7500000000000002E-2</v>
      </c>
      <c r="L576" s="1781">
        <v>5.7500000000000002E-2</v>
      </c>
      <c r="M576" s="1781">
        <v>5.7500000000000002E-2</v>
      </c>
      <c r="N576" s="1781">
        <v>5.7500000000000002E-2</v>
      </c>
      <c r="O576" s="1781">
        <f t="shared" ref="M576:V584" si="649">N576</f>
        <v>5.7500000000000002E-2</v>
      </c>
      <c r="P576" s="1786">
        <f t="shared" si="649"/>
        <v>5.7500000000000002E-2</v>
      </c>
      <c r="Q576" s="1786">
        <f t="shared" si="649"/>
        <v>5.7500000000000002E-2</v>
      </c>
      <c r="R576" s="1786">
        <f t="shared" si="649"/>
        <v>5.7500000000000002E-2</v>
      </c>
      <c r="S576" s="1786">
        <f t="shared" si="649"/>
        <v>5.7500000000000002E-2</v>
      </c>
      <c r="T576" s="1786">
        <f t="shared" si="649"/>
        <v>5.7500000000000002E-2</v>
      </c>
      <c r="U576" s="1786">
        <f t="shared" si="649"/>
        <v>5.7500000000000002E-2</v>
      </c>
      <c r="V576" s="1786">
        <f t="shared" si="649"/>
        <v>5.7500000000000002E-2</v>
      </c>
      <c r="W576" s="1685"/>
      <c r="X576" s="1685"/>
      <c r="Y576" s="1685"/>
      <c r="Z576" s="1685"/>
      <c r="AA576" s="1685"/>
      <c r="AB576" s="1685"/>
      <c r="AC576" s="1685"/>
      <c r="AD576" s="1685"/>
    </row>
    <row r="577" spans="1:30" ht="15.75">
      <c r="A577" s="1685"/>
      <c r="B577" s="1692" t="str">
        <f t="shared" si="643"/>
        <v>CWC 2027 senior (unsecured)</v>
      </c>
      <c r="C577" s="1685"/>
      <c r="D577" s="1685"/>
      <c r="E577" s="1685"/>
      <c r="F577" s="1685"/>
      <c r="G577" s="1685"/>
      <c r="H577" s="1685"/>
      <c r="I577" s="1685"/>
      <c r="J577" s="1685"/>
      <c r="K577" s="1781">
        <v>6.8750000000000006E-2</v>
      </c>
      <c r="L577" s="1781">
        <v>6.8750000000000006E-2</v>
      </c>
      <c r="M577" s="1781">
        <v>6.8750000000000006E-2</v>
      </c>
      <c r="N577" s="1781">
        <v>6.8750000000000006E-2</v>
      </c>
      <c r="O577" s="1781">
        <f t="shared" si="649"/>
        <v>6.8750000000000006E-2</v>
      </c>
      <c r="P577" s="1787">
        <f t="shared" si="649"/>
        <v>6.8750000000000006E-2</v>
      </c>
      <c r="Q577" s="1787">
        <f t="shared" si="649"/>
        <v>6.8750000000000006E-2</v>
      </c>
      <c r="R577" s="1787">
        <f t="shared" si="649"/>
        <v>6.8750000000000006E-2</v>
      </c>
      <c r="S577" s="1787">
        <f t="shared" si="649"/>
        <v>6.8750000000000006E-2</v>
      </c>
      <c r="T577" s="1787">
        <f t="shared" si="649"/>
        <v>6.8750000000000006E-2</v>
      </c>
      <c r="U577" s="1787">
        <f t="shared" si="649"/>
        <v>6.8750000000000006E-2</v>
      </c>
      <c r="V577" s="1787">
        <f t="shared" si="649"/>
        <v>6.8750000000000006E-2</v>
      </c>
      <c r="W577" s="1685"/>
      <c r="X577" s="1685"/>
      <c r="Y577" s="1685"/>
      <c r="Z577" s="1685"/>
      <c r="AA577" s="1685"/>
      <c r="AB577" s="1685"/>
      <c r="AC577" s="1685"/>
      <c r="AD577" s="1685"/>
    </row>
    <row r="578" spans="1:30" ht="15.75">
      <c r="A578" s="1706"/>
      <c r="B578" s="1692" t="str">
        <f t="shared" si="643"/>
        <v>CWC Term loan floating Oct 29 SOFR +3%</v>
      </c>
      <c r="C578" s="1685"/>
      <c r="D578" s="1685"/>
      <c r="E578" s="1685"/>
      <c r="F578" s="1685"/>
      <c r="G578" s="1685"/>
      <c r="H578" s="1685"/>
      <c r="I578" s="1685"/>
      <c r="J578" s="1685"/>
      <c r="K578" s="1781"/>
      <c r="L578" s="1781"/>
      <c r="M578" s="1781"/>
      <c r="N578" s="1781"/>
      <c r="O578" s="1781">
        <f>O563+2.25%</f>
        <v>7.5499999999999998E-2</v>
      </c>
      <c r="P578" s="1785">
        <f t="shared" ref="P578:R578" si="650">P563+2.25%</f>
        <v>7.5499999999999998E-2</v>
      </c>
      <c r="Q578" s="1785">
        <f t="shared" si="650"/>
        <v>7.5499999999999998E-2</v>
      </c>
      <c r="R578" s="1785">
        <f t="shared" si="650"/>
        <v>7.5499999999999998E-2</v>
      </c>
      <c r="S578" s="1785">
        <f t="shared" ref="S578:V578" si="651">S563+2.25%</f>
        <v>7.5499999999999998E-2</v>
      </c>
      <c r="T578" s="1785">
        <f t="shared" si="651"/>
        <v>7.5499999999999998E-2</v>
      </c>
      <c r="U578" s="1785">
        <f t="shared" si="651"/>
        <v>7.5499999999999998E-2</v>
      </c>
      <c r="V578" s="1785">
        <f t="shared" si="651"/>
        <v>7.5499999999999998E-2</v>
      </c>
      <c r="W578" s="1685"/>
      <c r="X578" s="1685"/>
      <c r="Y578" s="1685"/>
      <c r="Z578" s="1685"/>
      <c r="AA578" s="1685"/>
      <c r="AB578" s="1685"/>
      <c r="AC578" s="1685"/>
      <c r="AD578" s="1685"/>
    </row>
    <row r="579" spans="1:30" ht="15.75">
      <c r="A579" s="1685"/>
      <c r="B579" s="1692" t="str">
        <f t="shared" si="643"/>
        <v>CWC Term loan floating Jan 28 SOFR +2.25%</v>
      </c>
      <c r="C579" s="1685"/>
      <c r="D579" s="1685"/>
      <c r="E579" s="1685"/>
      <c r="F579" s="1685"/>
      <c r="G579" s="1685"/>
      <c r="H579" s="1685"/>
      <c r="I579" s="1685"/>
      <c r="J579" s="1685"/>
      <c r="K579" s="1781"/>
      <c r="L579" s="1781"/>
      <c r="M579" s="1781"/>
      <c r="N579" s="1781"/>
      <c r="O579" s="1781">
        <f>O563+3%</f>
        <v>8.299999999999999E-2</v>
      </c>
      <c r="P579" s="1785">
        <f t="shared" ref="P579:R579" si="652">P563+3%</f>
        <v>8.299999999999999E-2</v>
      </c>
      <c r="Q579" s="1785">
        <f t="shared" si="652"/>
        <v>8.299999999999999E-2</v>
      </c>
      <c r="R579" s="1785">
        <f t="shared" si="652"/>
        <v>8.299999999999999E-2</v>
      </c>
      <c r="S579" s="1785">
        <f t="shared" ref="S579:V579" si="653">S563+3%</f>
        <v>8.299999999999999E-2</v>
      </c>
      <c r="T579" s="1785">
        <f t="shared" si="653"/>
        <v>8.299999999999999E-2</v>
      </c>
      <c r="U579" s="1785">
        <f t="shared" si="653"/>
        <v>8.299999999999999E-2</v>
      </c>
      <c r="V579" s="1785">
        <f t="shared" si="653"/>
        <v>8.299999999999999E-2</v>
      </c>
      <c r="W579" s="1685"/>
      <c r="X579" s="1685"/>
      <c r="Y579" s="1685"/>
      <c r="Z579" s="1685"/>
      <c r="AA579" s="1685"/>
      <c r="AB579" s="1685"/>
      <c r="AC579" s="1685"/>
      <c r="AD579" s="1685"/>
    </row>
    <row r="580" spans="1:30" ht="15.75">
      <c r="A580" s="1685"/>
      <c r="B580" s="1692" t="str">
        <f t="shared" si="643"/>
        <v>CWC Term loan Jan 2028 4.25%</v>
      </c>
      <c r="C580" s="1685"/>
      <c r="D580" s="1685"/>
      <c r="E580" s="1685"/>
      <c r="F580" s="1685"/>
      <c r="G580" s="1685"/>
      <c r="H580" s="1685"/>
      <c r="I580" s="1685"/>
      <c r="J580" s="1685"/>
      <c r="K580" s="1781"/>
      <c r="L580" s="1781"/>
      <c r="M580" s="1781"/>
      <c r="N580" s="1781"/>
      <c r="O580" s="1781">
        <v>4.2500000000000003E-2</v>
      </c>
      <c r="P580" s="1785">
        <v>4.2500000000000003E-2</v>
      </c>
      <c r="Q580" s="1785">
        <v>4.2500000000000003E-2</v>
      </c>
      <c r="R580" s="1785">
        <v>4.2500000000000003E-2</v>
      </c>
      <c r="S580" s="1785">
        <v>4.2500000000000003E-2</v>
      </c>
      <c r="T580" s="1785">
        <v>4.2500000000000003E-2</v>
      </c>
      <c r="U580" s="1785">
        <v>4.2500000000000003E-2</v>
      </c>
      <c r="V580" s="1785">
        <v>4.2500000000000003E-2</v>
      </c>
      <c r="W580" s="1685"/>
      <c r="X580" s="1685"/>
      <c r="Y580" s="1685"/>
      <c r="Z580" s="1685"/>
      <c r="AA580" s="1685"/>
      <c r="AB580" s="1685"/>
      <c r="AC580" s="1685"/>
      <c r="AD580" s="1685"/>
    </row>
    <row r="581" spans="1:30" ht="15.75">
      <c r="A581" s="1685"/>
      <c r="B581" s="1692" t="str">
        <f t="shared" si="643"/>
        <v>Convert</v>
      </c>
      <c r="C581" s="1685"/>
      <c r="D581" s="1685"/>
      <c r="E581" s="1685"/>
      <c r="F581" s="1685"/>
      <c r="G581" s="1685"/>
      <c r="H581" s="1685"/>
      <c r="I581" s="1685"/>
      <c r="J581" s="1685"/>
      <c r="K581" s="1781">
        <v>0.02</v>
      </c>
      <c r="L581" s="1781">
        <v>0.02</v>
      </c>
      <c r="M581" s="1711">
        <f t="shared" si="649"/>
        <v>0.02</v>
      </c>
      <c r="N581" s="1711">
        <f t="shared" si="649"/>
        <v>0.02</v>
      </c>
      <c r="O581" s="1784">
        <f t="shared" si="649"/>
        <v>0.02</v>
      </c>
      <c r="P581" s="1711">
        <f t="shared" si="649"/>
        <v>0.02</v>
      </c>
      <c r="Q581" s="1711">
        <f t="shared" si="649"/>
        <v>0.02</v>
      </c>
      <c r="R581" s="1711">
        <f t="shared" si="649"/>
        <v>0.02</v>
      </c>
      <c r="S581" s="1711">
        <f t="shared" si="649"/>
        <v>0.02</v>
      </c>
      <c r="T581" s="1711">
        <f t="shared" si="649"/>
        <v>0.02</v>
      </c>
      <c r="U581" s="1711">
        <f t="shared" si="649"/>
        <v>0.02</v>
      </c>
      <c r="V581" s="1711">
        <f t="shared" si="649"/>
        <v>0.02</v>
      </c>
      <c r="W581" s="1685"/>
      <c r="X581" s="1685"/>
      <c r="Y581" s="1685"/>
      <c r="Z581" s="1685"/>
      <c r="AA581" s="1685"/>
      <c r="AB581" s="1685"/>
      <c r="AC581" s="1685"/>
      <c r="AD581" s="1685"/>
    </row>
    <row r="582" spans="1:30" ht="15.75">
      <c r="A582" s="1685"/>
      <c r="B582" s="1692" t="str">
        <f t="shared" si="643"/>
        <v>PR Term loan floating (9.29%)</v>
      </c>
      <c r="C582" s="1685"/>
      <c r="D582" s="1685"/>
      <c r="E582" s="1685"/>
      <c r="F582" s="1685"/>
      <c r="G582" s="1685"/>
      <c r="H582" s="1685"/>
      <c r="I582" s="1685"/>
      <c r="J582" s="1685"/>
      <c r="K582" s="1781"/>
      <c r="L582" s="1781"/>
      <c r="M582" s="1711"/>
      <c r="N582" s="1711"/>
      <c r="O582" s="1784">
        <f>O563+3.75%</f>
        <v>9.0499999999999997E-2</v>
      </c>
      <c r="P582" s="1785">
        <f t="shared" ref="P582:R582" si="654">P563+3.75%</f>
        <v>9.0499999999999997E-2</v>
      </c>
      <c r="Q582" s="1785">
        <f t="shared" si="654"/>
        <v>9.0499999999999997E-2</v>
      </c>
      <c r="R582" s="1785">
        <f t="shared" si="654"/>
        <v>9.0499999999999997E-2</v>
      </c>
      <c r="S582" s="1785">
        <f t="shared" ref="S582:V582" si="655">S563+3.75%</f>
        <v>9.0499999999999997E-2</v>
      </c>
      <c r="T582" s="1785">
        <f t="shared" si="655"/>
        <v>9.0499999999999997E-2</v>
      </c>
      <c r="U582" s="1785">
        <f t="shared" si="655"/>
        <v>9.0499999999999997E-2</v>
      </c>
      <c r="V582" s="1785">
        <f t="shared" si="655"/>
        <v>9.0499999999999997E-2</v>
      </c>
      <c r="W582" s="1685"/>
      <c r="X582" s="1685"/>
      <c r="Y582" s="1685"/>
      <c r="Z582" s="1685"/>
      <c r="AA582" s="1685"/>
      <c r="AB582" s="1685"/>
      <c r="AC582" s="1685"/>
      <c r="AD582" s="1685"/>
    </row>
    <row r="583" spans="1:30" ht="15.75">
      <c r="A583" s="1685"/>
      <c r="B583" s="1692" t="str">
        <f t="shared" si="643"/>
        <v>PR 6.75% senior secured Oct 27</v>
      </c>
      <c r="C583" s="1685"/>
      <c r="D583" s="1685"/>
      <c r="E583" s="1685"/>
      <c r="F583" s="1685"/>
      <c r="G583" s="1685"/>
      <c r="H583" s="1685"/>
      <c r="I583" s="1685"/>
      <c r="J583" s="1685"/>
      <c r="K583" s="1781">
        <v>6.7500000000000004E-2</v>
      </c>
      <c r="L583" s="1781">
        <v>6.7500000000000004E-2</v>
      </c>
      <c r="M583" s="1781">
        <v>6.7500000000000004E-2</v>
      </c>
      <c r="N583" s="1781">
        <v>6.7500000000000004E-2</v>
      </c>
      <c r="O583" s="1781">
        <f t="shared" si="649"/>
        <v>6.7500000000000004E-2</v>
      </c>
      <c r="P583" s="1786">
        <f t="shared" si="649"/>
        <v>6.7500000000000004E-2</v>
      </c>
      <c r="Q583" s="1786">
        <f t="shared" si="649"/>
        <v>6.7500000000000004E-2</v>
      </c>
      <c r="R583" s="1786">
        <f t="shared" si="649"/>
        <v>6.7500000000000004E-2</v>
      </c>
      <c r="S583" s="1786">
        <f t="shared" si="649"/>
        <v>6.7500000000000004E-2</v>
      </c>
      <c r="T583" s="1786">
        <f t="shared" si="649"/>
        <v>6.7500000000000004E-2</v>
      </c>
      <c r="U583" s="1786">
        <f t="shared" si="649"/>
        <v>6.7500000000000004E-2</v>
      </c>
      <c r="V583" s="1786">
        <f t="shared" si="649"/>
        <v>6.7500000000000004E-2</v>
      </c>
      <c r="W583" s="1685"/>
      <c r="X583" s="1685"/>
      <c r="Y583" s="1685"/>
      <c r="Z583" s="1685"/>
      <c r="AA583" s="1685"/>
      <c r="AB583" s="1685"/>
      <c r="AC583" s="1685"/>
      <c r="AD583" s="1685"/>
    </row>
    <row r="584" spans="1:30" ht="15.75">
      <c r="A584" s="1685"/>
      <c r="B584" s="1692" t="str">
        <f t="shared" si="643"/>
        <v>PR 5.125% senior secured Jul 29</v>
      </c>
      <c r="C584" s="1685"/>
      <c r="D584" s="1685"/>
      <c r="E584" s="1685"/>
      <c r="F584" s="1685"/>
      <c r="G584" s="1685"/>
      <c r="H584" s="1685"/>
      <c r="I584" s="1685"/>
      <c r="J584" s="1685"/>
      <c r="K584" s="1781">
        <v>6.7599999999999993E-2</v>
      </c>
      <c r="L584" s="1781">
        <v>5.1400000000000001E-2</v>
      </c>
      <c r="M584" s="1781">
        <v>5.1249999999999997E-2</v>
      </c>
      <c r="N584" s="1781">
        <v>5.1249999999999997E-2</v>
      </c>
      <c r="O584" s="1781">
        <f t="shared" si="649"/>
        <v>5.1249999999999997E-2</v>
      </c>
      <c r="P584" s="1787">
        <f t="shared" si="649"/>
        <v>5.1249999999999997E-2</v>
      </c>
      <c r="Q584" s="1787">
        <f t="shared" si="649"/>
        <v>5.1249999999999997E-2</v>
      </c>
      <c r="R584" s="1787">
        <f t="shared" si="649"/>
        <v>5.1249999999999997E-2</v>
      </c>
      <c r="S584" s="1787">
        <f t="shared" si="649"/>
        <v>5.1249999999999997E-2</v>
      </c>
      <c r="T584" s="1787">
        <f t="shared" si="649"/>
        <v>5.1249999999999997E-2</v>
      </c>
      <c r="U584" s="1787">
        <f t="shared" si="649"/>
        <v>5.1249999999999997E-2</v>
      </c>
      <c r="V584" s="1787">
        <f t="shared" si="649"/>
        <v>5.1249999999999997E-2</v>
      </c>
      <c r="W584" s="1685"/>
      <c r="X584" s="1685"/>
      <c r="Y584" s="1685"/>
      <c r="Z584" s="1685"/>
      <c r="AA584" s="1685"/>
      <c r="AB584" s="1685"/>
      <c r="AC584" s="1685"/>
      <c r="AD584" s="1685"/>
    </row>
    <row r="585" spans="1:30" ht="15.75" hidden="1" outlineLevel="1">
      <c r="A585" s="1685"/>
      <c r="B585" s="1692" t="str">
        <f t="shared" si="643"/>
        <v>xx</v>
      </c>
      <c r="C585" s="1685"/>
      <c r="D585" s="1685"/>
      <c r="E585" s="1685"/>
      <c r="F585" s="1685"/>
      <c r="G585" s="1685"/>
      <c r="H585" s="1685"/>
      <c r="I585" s="1685"/>
      <c r="J585" s="1685"/>
      <c r="K585" s="1711"/>
      <c r="L585" s="1711"/>
      <c r="M585" s="1711"/>
      <c r="N585" s="1711"/>
      <c r="O585" s="1711"/>
      <c r="P585" s="1711"/>
      <c r="Q585" s="1711"/>
      <c r="R585" s="1711"/>
      <c r="S585" s="1711"/>
      <c r="T585" s="1711"/>
      <c r="U585" s="1711"/>
      <c r="V585" s="1711"/>
      <c r="W585" s="1685"/>
      <c r="X585" s="1685"/>
      <c r="Y585" s="1685"/>
      <c r="Z585" s="1685"/>
      <c r="AA585" s="1685"/>
      <c r="AB585" s="1685"/>
      <c r="AC585" s="1685"/>
      <c r="AD585" s="1685"/>
    </row>
    <row r="586" spans="1:30" ht="15.75" hidden="1" outlineLevel="1">
      <c r="A586" s="1685"/>
      <c r="B586" s="1692" t="str">
        <f t="shared" si="643"/>
        <v>xx</v>
      </c>
      <c r="C586" s="1685"/>
      <c r="D586" s="1685"/>
      <c r="E586" s="1685"/>
      <c r="F586" s="1685"/>
      <c r="G586" s="1685"/>
      <c r="H586" s="1685"/>
      <c r="I586" s="1685"/>
      <c r="J586" s="1685"/>
      <c r="K586" s="1711"/>
      <c r="L586" s="1711"/>
      <c r="M586" s="1711"/>
      <c r="N586" s="1711"/>
      <c r="O586" s="1711"/>
      <c r="P586" s="1711"/>
      <c r="Q586" s="1711"/>
      <c r="R586" s="1711"/>
      <c r="S586" s="1711"/>
      <c r="T586" s="1711"/>
      <c r="U586" s="1711"/>
      <c r="V586" s="1711"/>
      <c r="W586" s="1685"/>
      <c r="X586" s="1685"/>
      <c r="Y586" s="1685"/>
      <c r="Z586" s="1685"/>
      <c r="AA586" s="1685"/>
      <c r="AB586" s="1685"/>
      <c r="AC586" s="1685"/>
      <c r="AD586" s="1685"/>
    </row>
    <row r="587" spans="1:30" ht="15.75" outlineLevel="1">
      <c r="A587" s="1685"/>
      <c r="B587" s="1692" t="str">
        <f t="shared" si="643"/>
        <v>Costa Rica 10.875% 2031</v>
      </c>
      <c r="C587" s="1685"/>
      <c r="D587" s="1685"/>
      <c r="E587" s="1685"/>
      <c r="F587" s="1685"/>
      <c r="G587" s="1685"/>
      <c r="H587" s="1685"/>
      <c r="I587" s="1685"/>
      <c r="J587" s="1685"/>
      <c r="K587" s="1711"/>
      <c r="L587" s="1711"/>
      <c r="M587" s="1711"/>
      <c r="N587" s="1711"/>
      <c r="O587" s="1784">
        <v>0.10875</v>
      </c>
      <c r="P587" s="1788">
        <v>0.10875</v>
      </c>
      <c r="Q587" s="1788">
        <v>0.10875</v>
      </c>
      <c r="R587" s="1788">
        <v>0.10875</v>
      </c>
      <c r="S587" s="1788">
        <v>0.10875</v>
      </c>
      <c r="T587" s="1788">
        <v>0.10875</v>
      </c>
      <c r="U587" s="1788">
        <v>0.10875</v>
      </c>
      <c r="V587" s="1788">
        <v>0.10875</v>
      </c>
      <c r="W587" s="1685"/>
      <c r="X587" s="1685"/>
      <c r="Y587" s="1685"/>
      <c r="Z587" s="1685"/>
      <c r="AA587" s="1685"/>
      <c r="AB587" s="1685"/>
      <c r="AC587" s="1685"/>
      <c r="AD587" s="1685"/>
    </row>
    <row r="588" spans="1:30" ht="15.75" outlineLevel="1">
      <c r="A588" s="1685"/>
      <c r="B588" s="1692" t="str">
        <f t="shared" si="643"/>
        <v>Tower financing</v>
      </c>
      <c r="C588" s="1685"/>
      <c r="D588" s="1685"/>
      <c r="E588" s="1685"/>
      <c r="F588" s="1685"/>
      <c r="G588" s="1685"/>
      <c r="H588" s="1685"/>
      <c r="I588" s="1685"/>
      <c r="J588" s="1685"/>
      <c r="K588" s="1711"/>
      <c r="L588" s="1711"/>
      <c r="M588" s="1711"/>
      <c r="N588" s="1711"/>
      <c r="O588" s="1784">
        <v>0.1</v>
      </c>
      <c r="P588" s="1785">
        <f>O588</f>
        <v>0.1</v>
      </c>
      <c r="Q588" s="1785">
        <f t="shared" ref="Q588:V588" si="656">P588</f>
        <v>0.1</v>
      </c>
      <c r="R588" s="1785">
        <f t="shared" si="656"/>
        <v>0.1</v>
      </c>
      <c r="S588" s="1785">
        <f t="shared" si="656"/>
        <v>0.1</v>
      </c>
      <c r="T588" s="1785">
        <f t="shared" si="656"/>
        <v>0.1</v>
      </c>
      <c r="U588" s="1785">
        <f t="shared" si="656"/>
        <v>0.1</v>
      </c>
      <c r="V588" s="1785">
        <f t="shared" si="656"/>
        <v>0.1</v>
      </c>
      <c r="W588" s="1685"/>
      <c r="X588" s="1685"/>
      <c r="Y588" s="1685"/>
      <c r="Z588" s="1685"/>
      <c r="AA588" s="1685"/>
      <c r="AB588" s="1685"/>
      <c r="AC588" s="1685"/>
      <c r="AD588" s="1685"/>
    </row>
    <row r="589" spans="1:30" ht="15.75" outlineLevel="1">
      <c r="A589" s="1685"/>
      <c r="B589" s="1689" t="str">
        <f>B554</f>
        <v>Refi CWC 1</v>
      </c>
      <c r="C589" s="1685"/>
      <c r="D589" s="1685"/>
      <c r="E589" s="1685"/>
      <c r="F589" s="1685"/>
      <c r="G589" s="1685"/>
      <c r="H589" s="1685"/>
      <c r="I589" s="1685"/>
      <c r="J589" s="1685"/>
      <c r="K589" s="1711"/>
      <c r="L589" s="1711"/>
      <c r="M589" s="1711"/>
      <c r="N589" s="1711"/>
      <c r="O589" s="1711"/>
      <c r="P589" s="1789">
        <v>7.1249999999999994E-2</v>
      </c>
      <c r="Q589" s="1711">
        <f>P589</f>
        <v>7.1249999999999994E-2</v>
      </c>
      <c r="R589" s="1711">
        <f t="shared" ref="R589:V592" si="657">Q589</f>
        <v>7.1249999999999994E-2</v>
      </c>
      <c r="S589" s="1711">
        <f t="shared" si="657"/>
        <v>7.1249999999999994E-2</v>
      </c>
      <c r="T589" s="1711">
        <f t="shared" si="657"/>
        <v>7.1249999999999994E-2</v>
      </c>
      <c r="U589" s="1711">
        <f t="shared" si="657"/>
        <v>7.1249999999999994E-2</v>
      </c>
      <c r="V589" s="1711">
        <f t="shared" si="657"/>
        <v>7.1249999999999994E-2</v>
      </c>
      <c r="W589" s="1685"/>
      <c r="X589" s="1685"/>
      <c r="Y589" s="1685"/>
      <c r="Z589" s="1685"/>
      <c r="AA589" s="1685"/>
      <c r="AB589" s="1685"/>
      <c r="AC589" s="1685"/>
      <c r="AD589" s="1685"/>
    </row>
    <row r="590" spans="1:30" ht="15.75" outlineLevel="1">
      <c r="A590" s="1685"/>
      <c r="B590" s="1689" t="str">
        <f>B555</f>
        <v>Refi CWC 2</v>
      </c>
      <c r="C590" s="1685"/>
      <c r="D590" s="1685"/>
      <c r="E590" s="1685"/>
      <c r="F590" s="1685"/>
      <c r="G590" s="1685"/>
      <c r="H590" s="1685"/>
      <c r="I590" s="1685"/>
      <c r="J590" s="1685"/>
      <c r="K590" s="1711"/>
      <c r="L590" s="1711"/>
      <c r="M590" s="1711"/>
      <c r="N590" s="1711"/>
      <c r="O590" s="1711"/>
      <c r="P590" s="1785"/>
      <c r="Q590" s="1789">
        <v>8.5000000000000006E-2</v>
      </c>
      <c r="R590" s="1711">
        <f t="shared" si="657"/>
        <v>8.5000000000000006E-2</v>
      </c>
      <c r="S590" s="1711">
        <f t="shared" si="657"/>
        <v>8.5000000000000006E-2</v>
      </c>
      <c r="T590" s="1711">
        <f t="shared" si="657"/>
        <v>8.5000000000000006E-2</v>
      </c>
      <c r="U590" s="1711">
        <f t="shared" si="657"/>
        <v>8.5000000000000006E-2</v>
      </c>
      <c r="V590" s="1711">
        <f t="shared" si="657"/>
        <v>8.5000000000000006E-2</v>
      </c>
      <c r="W590" s="1685"/>
      <c r="X590" s="1685"/>
      <c r="Y590" s="1685"/>
      <c r="Z590" s="1685"/>
      <c r="AA590" s="1685"/>
      <c r="AB590" s="1685"/>
      <c r="AC590" s="1685"/>
      <c r="AD590" s="1685"/>
    </row>
    <row r="591" spans="1:30" ht="15.75" outlineLevel="1">
      <c r="A591" s="1685"/>
      <c r="B591" s="1689" t="str">
        <f>B556</f>
        <v>Refi PR</v>
      </c>
      <c r="C591" s="1685"/>
      <c r="D591" s="1685"/>
      <c r="E591" s="1685"/>
      <c r="F591" s="1685"/>
      <c r="G591" s="1685"/>
      <c r="H591" s="1685"/>
      <c r="I591" s="1685"/>
      <c r="J591" s="1685"/>
      <c r="K591" s="1711"/>
      <c r="L591" s="1711"/>
      <c r="M591" s="1711"/>
      <c r="N591" s="1711"/>
      <c r="O591" s="1711"/>
      <c r="P591" s="1785"/>
      <c r="Q591" s="1789">
        <v>9.5000000000000001E-2</v>
      </c>
      <c r="R591" s="1711">
        <f t="shared" si="657"/>
        <v>9.5000000000000001E-2</v>
      </c>
      <c r="S591" s="1711">
        <f t="shared" si="657"/>
        <v>9.5000000000000001E-2</v>
      </c>
      <c r="T591" s="1711">
        <f t="shared" si="657"/>
        <v>9.5000000000000001E-2</v>
      </c>
      <c r="U591" s="1711">
        <f t="shared" si="657"/>
        <v>9.5000000000000001E-2</v>
      </c>
      <c r="V591" s="1711">
        <f t="shared" si="657"/>
        <v>9.5000000000000001E-2</v>
      </c>
      <c r="W591" s="1685"/>
      <c r="X591" s="1685"/>
      <c r="Y591" s="1685"/>
      <c r="Z591" s="1685"/>
      <c r="AA591" s="1685"/>
      <c r="AB591" s="1685"/>
      <c r="AC591" s="1685"/>
      <c r="AD591" s="1685"/>
    </row>
    <row r="592" spans="1:30" ht="15.75" outlineLevel="1">
      <c r="A592" s="1685"/>
      <c r="B592" s="1689" t="str">
        <f>B557</f>
        <v>Refi Other</v>
      </c>
      <c r="C592" s="1685"/>
      <c r="D592" s="1685"/>
      <c r="E592" s="1685"/>
      <c r="F592" s="1685"/>
      <c r="G592" s="1685"/>
      <c r="H592" s="1685"/>
      <c r="I592" s="1685"/>
      <c r="J592" s="1685"/>
      <c r="K592" s="1711"/>
      <c r="L592" s="1711"/>
      <c r="M592" s="1711"/>
      <c r="N592" s="1711"/>
      <c r="O592" s="1711"/>
      <c r="P592" s="1785"/>
      <c r="Q592" s="1785"/>
      <c r="R592" s="1789">
        <v>0.09</v>
      </c>
      <c r="S592" s="1785">
        <f>R592</f>
        <v>0.09</v>
      </c>
      <c r="T592" s="1785">
        <f t="shared" si="657"/>
        <v>0.09</v>
      </c>
      <c r="U592" s="1785">
        <f t="shared" si="657"/>
        <v>0.09</v>
      </c>
      <c r="V592" s="1785">
        <f t="shared" si="657"/>
        <v>0.09</v>
      </c>
      <c r="W592" s="1685"/>
      <c r="X592" s="1685"/>
      <c r="Y592" s="1685"/>
      <c r="Z592" s="1685"/>
      <c r="AA592" s="1685"/>
      <c r="AB592" s="1685"/>
      <c r="AC592" s="1685"/>
      <c r="AD592" s="1685"/>
    </row>
    <row r="593" spans="1:30" ht="15.75" outlineLevel="1">
      <c r="A593" s="1685"/>
      <c r="B593" s="1692"/>
      <c r="C593" s="1685"/>
      <c r="D593" s="1685"/>
      <c r="E593" s="1685"/>
      <c r="F593" s="1685"/>
      <c r="G593" s="1685"/>
      <c r="H593" s="1685"/>
      <c r="I593" s="1685"/>
      <c r="J593" s="1685"/>
      <c r="K593" s="1711"/>
      <c r="L593" s="1711"/>
      <c r="M593" s="1711"/>
      <c r="N593" s="1711"/>
      <c r="O593" s="1788"/>
      <c r="P593" s="1788"/>
      <c r="Q593" s="1788"/>
      <c r="R593" s="1788"/>
      <c r="S593" s="1788"/>
      <c r="T593" s="1788"/>
      <c r="U593" s="1788"/>
      <c r="V593" s="1788"/>
      <c r="W593" s="1685"/>
      <c r="X593" s="1685"/>
      <c r="Y593" s="1685"/>
      <c r="Z593" s="1685"/>
      <c r="AA593" s="1685"/>
      <c r="AB593" s="1685"/>
      <c r="AC593" s="1685"/>
      <c r="AD593" s="1685"/>
    </row>
    <row r="594" spans="1:30" ht="15.75">
      <c r="A594" s="1685"/>
      <c r="B594" s="1689" t="str">
        <f>B558</f>
        <v>Total</v>
      </c>
      <c r="C594" s="1685"/>
      <c r="D594" s="1685"/>
      <c r="E594" s="1685"/>
      <c r="F594" s="1685"/>
      <c r="G594" s="1685"/>
      <c r="H594" s="1685"/>
      <c r="I594" s="1685"/>
      <c r="J594" s="1685"/>
      <c r="K594" s="1685"/>
      <c r="L594" s="1685"/>
      <c r="M594" s="1685"/>
      <c r="N594" s="1685"/>
      <c r="O594" s="1685"/>
      <c r="P594" s="1685"/>
      <c r="Q594" s="1685"/>
      <c r="R594" s="1685"/>
      <c r="S594" s="1685"/>
      <c r="T594" s="1685"/>
      <c r="U594" s="1685"/>
      <c r="V594" s="1685"/>
      <c r="W594" s="1685"/>
      <c r="X594" s="1685"/>
      <c r="Y594" s="1685"/>
      <c r="Z594" s="1685"/>
      <c r="AA594" s="1685"/>
      <c r="AB594" s="1685"/>
      <c r="AC594" s="1685"/>
      <c r="AD594" s="1685"/>
    </row>
    <row r="595" spans="1:30" ht="15.75">
      <c r="A595" s="1685"/>
      <c r="B595" s="1689"/>
      <c r="C595" s="1685"/>
      <c r="D595" s="1685"/>
      <c r="E595" s="1685"/>
      <c r="F595" s="1685"/>
      <c r="G595" s="1685"/>
      <c r="H595" s="1685"/>
      <c r="I595" s="1685"/>
      <c r="J595" s="1685"/>
      <c r="K595" s="1685"/>
      <c r="L595" s="1685"/>
      <c r="M595" s="1685"/>
      <c r="N595" s="1685"/>
      <c r="O595" s="1685"/>
      <c r="P595" s="1685"/>
      <c r="Q595" s="1685"/>
      <c r="R595" s="1685"/>
      <c r="S595" s="1685"/>
      <c r="T595" s="1685"/>
      <c r="U595" s="1685"/>
      <c r="V595" s="1685"/>
      <c r="W595" s="1685"/>
      <c r="X595" s="1685"/>
      <c r="Y595" s="1685"/>
      <c r="Z595" s="1685"/>
      <c r="AA595" s="1685"/>
      <c r="AB595" s="1685"/>
      <c r="AC595" s="1685"/>
      <c r="AD595" s="1685"/>
    </row>
    <row r="596" spans="1:30" ht="15.75">
      <c r="A596" s="1685"/>
      <c r="B596" s="1689" t="s">
        <v>248</v>
      </c>
      <c r="C596" s="1751"/>
      <c r="D596" s="1751"/>
      <c r="E596" s="1751"/>
      <c r="F596" s="1751"/>
      <c r="G596" s="1751"/>
      <c r="H596" s="1751"/>
      <c r="I596" s="1751"/>
      <c r="J596" s="1685"/>
      <c r="K596" s="1685"/>
      <c r="L596" s="1685"/>
      <c r="M596" s="1685"/>
      <c r="N596" s="1685"/>
      <c r="O596" s="1685"/>
      <c r="P596" s="1685"/>
      <c r="Q596" s="1685"/>
      <c r="R596" s="1685"/>
      <c r="S596" s="1685"/>
      <c r="T596" s="1685"/>
      <c r="U596" s="1685"/>
      <c r="V596" s="1685"/>
      <c r="W596" s="1685"/>
      <c r="X596" s="1685"/>
      <c r="Y596" s="1685"/>
      <c r="Z596" s="1685"/>
      <c r="AA596" s="1685"/>
      <c r="AB596" s="1685"/>
      <c r="AC596" s="1685"/>
      <c r="AD596" s="1685"/>
    </row>
    <row r="597" spans="1:30" ht="15.75" hidden="1" outlineLevel="1">
      <c r="A597" s="1685"/>
      <c r="B597" s="1692" t="str">
        <f t="shared" ref="B597:B607" si="658">B565</f>
        <v>US$1.25bn unsecured, 2021 (Colombus)</v>
      </c>
      <c r="C597" s="1751"/>
      <c r="D597" s="1751"/>
      <c r="E597" s="1751"/>
      <c r="F597" s="1751"/>
      <c r="G597" s="1751">
        <f t="shared" ref="G597:V597" si="659">G565*AVERAGE(F499:G499)</f>
        <v>92.1875</v>
      </c>
      <c r="H597" s="1751">
        <f t="shared" si="659"/>
        <v>92.1875</v>
      </c>
      <c r="I597" s="1751">
        <f t="shared" si="659"/>
        <v>46.09375</v>
      </c>
      <c r="J597" s="1751">
        <f t="shared" si="659"/>
        <v>0</v>
      </c>
      <c r="K597" s="1751">
        <f t="shared" si="659"/>
        <v>0</v>
      </c>
      <c r="L597" s="1751">
        <f t="shared" si="659"/>
        <v>0</v>
      </c>
      <c r="M597" s="1751">
        <f t="shared" si="659"/>
        <v>0</v>
      </c>
      <c r="N597" s="1751">
        <f t="shared" si="659"/>
        <v>0</v>
      </c>
      <c r="O597" s="1751">
        <f t="shared" si="659"/>
        <v>0</v>
      </c>
      <c r="P597" s="1751">
        <f t="shared" si="659"/>
        <v>0</v>
      </c>
      <c r="Q597" s="1751">
        <f t="shared" si="659"/>
        <v>0</v>
      </c>
      <c r="R597" s="1751">
        <f t="shared" si="659"/>
        <v>0</v>
      </c>
      <c r="S597" s="1751">
        <f t="shared" si="659"/>
        <v>0</v>
      </c>
      <c r="T597" s="1751">
        <f t="shared" si="659"/>
        <v>0</v>
      </c>
      <c r="U597" s="1751">
        <f t="shared" si="659"/>
        <v>0</v>
      </c>
      <c r="V597" s="1751">
        <f t="shared" si="659"/>
        <v>0</v>
      </c>
      <c r="W597" s="1685"/>
      <c r="X597" s="1685"/>
      <c r="Y597" s="1685"/>
      <c r="Z597" s="1685"/>
      <c r="AA597" s="1685"/>
      <c r="AB597" s="1685"/>
      <c r="AC597" s="1685"/>
      <c r="AD597" s="1685"/>
    </row>
    <row r="598" spans="1:30" ht="15.75" hidden="1" outlineLevel="1">
      <c r="A598" s="1685"/>
      <c r="B598" s="1692" t="str">
        <f t="shared" si="658"/>
        <v>Sterling secured, 2019</v>
      </c>
      <c r="C598" s="1751"/>
      <c r="D598" s="1751"/>
      <c r="E598" s="1751"/>
      <c r="F598" s="1751">
        <f>F566*AVERAGE(E500:F500)</f>
        <v>19.880624999999998</v>
      </c>
      <c r="G598" s="1751">
        <f t="shared" ref="G598:V598" si="660">G566*AVERAGE(F500:G500)</f>
        <v>18.888749999999998</v>
      </c>
      <c r="H598" s="1751">
        <f t="shared" si="660"/>
        <v>17.254312500000001</v>
      </c>
      <c r="I598" s="1751">
        <f t="shared" si="660"/>
        <v>16.3486875</v>
      </c>
      <c r="J598" s="1751">
        <f t="shared" si="660"/>
        <v>8.5387499999999985</v>
      </c>
      <c r="K598" s="1751">
        <f t="shared" si="660"/>
        <v>0</v>
      </c>
      <c r="L598" s="1751">
        <f t="shared" si="660"/>
        <v>0</v>
      </c>
      <c r="M598" s="1751">
        <f t="shared" si="660"/>
        <v>0</v>
      </c>
      <c r="N598" s="1751">
        <f t="shared" si="660"/>
        <v>0</v>
      </c>
      <c r="O598" s="1751">
        <f t="shared" si="660"/>
        <v>0</v>
      </c>
      <c r="P598" s="1751">
        <f t="shared" si="660"/>
        <v>0</v>
      </c>
      <c r="Q598" s="1751">
        <f t="shared" si="660"/>
        <v>0</v>
      </c>
      <c r="R598" s="1751">
        <f t="shared" si="660"/>
        <v>0</v>
      </c>
      <c r="S598" s="1751">
        <f t="shared" si="660"/>
        <v>0</v>
      </c>
      <c r="T598" s="1751">
        <f t="shared" si="660"/>
        <v>0</v>
      </c>
      <c r="U598" s="1751">
        <f t="shared" si="660"/>
        <v>0</v>
      </c>
      <c r="V598" s="1751">
        <f t="shared" si="660"/>
        <v>0</v>
      </c>
      <c r="W598" s="1685"/>
      <c r="X598" s="1685"/>
      <c r="Y598" s="1685"/>
      <c r="Z598" s="1685"/>
      <c r="AA598" s="1685"/>
      <c r="AB598" s="1685"/>
      <c r="AC598" s="1685"/>
      <c r="AD598" s="1685"/>
    </row>
    <row r="599" spans="1:30" ht="15.75" collapsed="1">
      <c r="A599" s="1685"/>
      <c r="B599" s="1692" t="str">
        <f t="shared" si="658"/>
        <v>Term loan 2026</v>
      </c>
      <c r="C599" s="1751"/>
      <c r="D599" s="1751"/>
      <c r="E599" s="1751"/>
      <c r="F599" s="1751"/>
      <c r="G599" s="1751"/>
      <c r="H599" s="1751">
        <f t="shared" ref="H599:N599" si="661">H567*AVERAGE(G501:H501)</f>
        <v>63.25</v>
      </c>
      <c r="I599" s="1751">
        <f t="shared" si="661"/>
        <v>84.09375</v>
      </c>
      <c r="J599" s="1751">
        <f t="shared" si="661"/>
        <v>106.375</v>
      </c>
      <c r="K599" s="1751">
        <f t="shared" si="661"/>
        <v>57.061875000000001</v>
      </c>
      <c r="L599" s="1751">
        <f t="shared" si="661"/>
        <v>27.531874999999996</v>
      </c>
      <c r="M599" s="1751">
        <f t="shared" si="661"/>
        <v>45.3</v>
      </c>
      <c r="N599" s="1751">
        <f t="shared" si="661"/>
        <v>33.975000000000001</v>
      </c>
      <c r="O599" s="1751"/>
      <c r="P599" s="1751"/>
      <c r="Q599" s="1751"/>
      <c r="R599" s="1751"/>
      <c r="S599" s="1751"/>
      <c r="T599" s="1751"/>
      <c r="U599" s="1751"/>
      <c r="V599" s="1751"/>
      <c r="W599" s="1685"/>
      <c r="X599" s="1685"/>
      <c r="Y599" s="1685"/>
      <c r="Z599" s="1685"/>
      <c r="AA599" s="1685"/>
      <c r="AB599" s="1685"/>
      <c r="AC599" s="1685"/>
      <c r="AD599" s="1685"/>
    </row>
    <row r="600" spans="1:30" ht="15.75">
      <c r="A600" s="1685"/>
      <c r="B600" s="1692" t="str">
        <f t="shared" si="658"/>
        <v>Other facilities (revolver, regional)</v>
      </c>
      <c r="C600" s="1751"/>
      <c r="D600" s="1751"/>
      <c r="E600" s="1751"/>
      <c r="F600" s="1751">
        <f>F568*AVERAGE(E502:F502)</f>
        <v>10.7775</v>
      </c>
      <c r="G600" s="1751">
        <f>G568*AVERAGE(F502:G502)</f>
        <v>11.654999999999999</v>
      </c>
      <c r="H600" s="1751">
        <f>H568*AVERAGE(G502:H502)</f>
        <v>12.845249999999998</v>
      </c>
      <c r="I600" s="1751" t="e">
        <f>I568*AVERAGE(H502:I502)</f>
        <v>#REF!</v>
      </c>
      <c r="J600" s="1751" t="e">
        <f>J568*AVERAGE(I502:J502)</f>
        <v>#REF!</v>
      </c>
      <c r="K600" s="1772">
        <v>125</v>
      </c>
      <c r="L600" s="1751">
        <f>L624-SUM(L603:L617)-L599</f>
        <v>143.67712500000002</v>
      </c>
      <c r="M600" s="1751">
        <f>M624-SUM(M603:M617)-M599</f>
        <v>122.05774999999996</v>
      </c>
      <c r="N600" s="1751">
        <f>M600</f>
        <v>122.05774999999996</v>
      </c>
      <c r="O600" s="1751">
        <f>O624-O608-O609-O610-O611-O612-O613-O614-O615-O616-O617-O618-O619</f>
        <v>31.803999999999977</v>
      </c>
      <c r="P600" s="1751">
        <f t="shared" ref="P600:V600" si="662">P568*P502</f>
        <v>58.688000000000173</v>
      </c>
      <c r="Q600" s="1751">
        <f t="shared" si="662"/>
        <v>51.35200000000016</v>
      </c>
      <c r="R600" s="1751">
        <f t="shared" si="662"/>
        <v>47.684000000000147</v>
      </c>
      <c r="S600" s="1751">
        <f t="shared" si="662"/>
        <v>47.684000000000147</v>
      </c>
      <c r="T600" s="1751">
        <f t="shared" si="662"/>
        <v>47.684000000000147</v>
      </c>
      <c r="U600" s="1751">
        <f t="shared" si="662"/>
        <v>47.684000000000147</v>
      </c>
      <c r="V600" s="1751">
        <f t="shared" si="662"/>
        <v>47.684000000000147</v>
      </c>
      <c r="W600" s="1685"/>
      <c r="X600" s="1685"/>
      <c r="Y600" s="1685"/>
      <c r="Z600" s="1685"/>
      <c r="AA600" s="1685"/>
      <c r="AB600" s="1685"/>
      <c r="AC600" s="1685"/>
      <c r="AD600" s="1685"/>
    </row>
    <row r="601" spans="1:30" ht="15.75" hidden="1" outlineLevel="1">
      <c r="A601" s="1685"/>
      <c r="B601" s="1692" t="str">
        <f t="shared" si="658"/>
        <v>US$750m unsecured, 2022 (Sable)</v>
      </c>
      <c r="C601" s="1751"/>
      <c r="D601" s="1751"/>
      <c r="E601" s="1751"/>
      <c r="F601" s="1751"/>
      <c r="G601" s="1751">
        <f>G569*AVERAGE(F503:G503)*8/12</f>
        <v>34.375000000000007</v>
      </c>
      <c r="H601" s="1751">
        <f t="shared" ref="H601:N601" si="663">H569*AVERAGE(G503:H503)</f>
        <v>51.562500000000007</v>
      </c>
      <c r="I601" s="1751">
        <f t="shared" si="663"/>
        <v>51.562500000000007</v>
      </c>
      <c r="J601" s="1751">
        <f t="shared" si="663"/>
        <v>42.109375</v>
      </c>
      <c r="K601" s="1751">
        <f t="shared" si="663"/>
        <v>0</v>
      </c>
      <c r="L601" s="1751">
        <f t="shared" si="663"/>
        <v>0</v>
      </c>
      <c r="M601" s="1751">
        <f t="shared" si="663"/>
        <v>0</v>
      </c>
      <c r="N601" s="1751">
        <f t="shared" si="663"/>
        <v>0</v>
      </c>
      <c r="O601" s="1751">
        <f>O569*O504</f>
        <v>0</v>
      </c>
      <c r="P601" s="1751">
        <f t="shared" ref="P601:V601" si="664">P569*AVERAGE(O503:P503)</f>
        <v>0</v>
      </c>
      <c r="Q601" s="1751">
        <f t="shared" si="664"/>
        <v>0</v>
      </c>
      <c r="R601" s="1751">
        <f t="shared" si="664"/>
        <v>0</v>
      </c>
      <c r="S601" s="1751">
        <f t="shared" si="664"/>
        <v>0</v>
      </c>
      <c r="T601" s="1751">
        <f t="shared" si="664"/>
        <v>0</v>
      </c>
      <c r="U601" s="1751">
        <f t="shared" si="664"/>
        <v>0</v>
      </c>
      <c r="V601" s="1751">
        <f t="shared" si="664"/>
        <v>0</v>
      </c>
      <c r="W601" s="1685"/>
      <c r="X601" s="1685"/>
      <c r="Y601" s="1685"/>
      <c r="Z601" s="1685"/>
      <c r="AA601" s="1685"/>
      <c r="AB601" s="1685"/>
      <c r="AC601" s="1685"/>
      <c r="AD601" s="1685"/>
    </row>
    <row r="602" spans="1:30" ht="15.75" hidden="1" outlineLevel="1">
      <c r="A602" s="1685"/>
      <c r="B602" s="1692" t="str">
        <f t="shared" si="658"/>
        <v>VTR US$1.4bn</v>
      </c>
      <c r="C602" s="1751"/>
      <c r="D602" s="1751"/>
      <c r="E602" s="1751"/>
      <c r="F602" s="1751"/>
      <c r="G602" s="1751">
        <f t="shared" ref="G602:L602" si="665">G570*AVERAGE(F504:G504)</f>
        <v>96.358877202254007</v>
      </c>
      <c r="H602" s="1751">
        <f t="shared" si="665"/>
        <v>91.438984485190417</v>
      </c>
      <c r="I602" s="1751">
        <f t="shared" si="665"/>
        <v>96.32</v>
      </c>
      <c r="J602" s="1751">
        <f t="shared" si="665"/>
        <v>91.504000000000005</v>
      </c>
      <c r="K602" s="1751">
        <f t="shared" si="665"/>
        <v>86.688000000000002</v>
      </c>
      <c r="L602" s="1751">
        <f t="shared" si="665"/>
        <v>43.344000000000001</v>
      </c>
      <c r="M602" s="1751"/>
      <c r="N602" s="1751"/>
      <c r="O602" s="1751">
        <f>O570*O505</f>
        <v>0</v>
      </c>
      <c r="P602" s="1751"/>
      <c r="Q602" s="1751"/>
      <c r="R602" s="1751"/>
      <c r="S602" s="1751"/>
      <c r="T602" s="1751"/>
      <c r="U602" s="1751"/>
      <c r="V602" s="1751"/>
      <c r="W602" s="1685"/>
      <c r="X602" s="1685"/>
      <c r="Y602" s="1685"/>
      <c r="Z602" s="1685"/>
      <c r="AA602" s="1685"/>
      <c r="AB602" s="1685"/>
      <c r="AC602" s="1685"/>
      <c r="AD602" s="1685"/>
    </row>
    <row r="603" spans="1:30" ht="15.75" collapsed="1">
      <c r="A603" s="1685"/>
      <c r="B603" s="1692" t="str">
        <f t="shared" si="658"/>
        <v>2028 VTR senior secured notes, 5.125%</v>
      </c>
      <c r="C603" s="1751"/>
      <c r="D603" s="1751"/>
      <c r="E603" s="1751"/>
      <c r="F603" s="1751"/>
      <c r="G603" s="1751"/>
      <c r="H603" s="1751"/>
      <c r="I603" s="1751"/>
      <c r="J603" s="1751"/>
      <c r="K603" s="1751"/>
      <c r="L603" s="1751">
        <f t="shared" ref="L603:N607" si="666">L571*AVERAGE(K505:L505)</f>
        <v>30.749999999999996</v>
      </c>
      <c r="M603" s="1751">
        <f t="shared" si="666"/>
        <v>30.749999999999996</v>
      </c>
      <c r="N603" s="1751">
        <f t="shared" si="666"/>
        <v>15.374999999999998</v>
      </c>
      <c r="O603" s="1751"/>
      <c r="P603" s="1751"/>
      <c r="Q603" s="1751"/>
      <c r="R603" s="1751"/>
      <c r="S603" s="1751"/>
      <c r="T603" s="1751"/>
      <c r="U603" s="1751"/>
      <c r="V603" s="1751"/>
      <c r="W603" s="1685"/>
      <c r="X603" s="1685"/>
      <c r="Y603" s="1685"/>
      <c r="Z603" s="1685"/>
      <c r="AA603" s="1685"/>
      <c r="AB603" s="1685"/>
      <c r="AC603" s="1685"/>
      <c r="AD603" s="1685"/>
    </row>
    <row r="604" spans="1:30" ht="15.75">
      <c r="A604" s="1685"/>
      <c r="B604" s="1692" t="str">
        <f t="shared" si="658"/>
        <v>2028 VTR senior notes, 6.375%</v>
      </c>
      <c r="C604" s="1751"/>
      <c r="D604" s="1751"/>
      <c r="E604" s="1751"/>
      <c r="F604" s="1751"/>
      <c r="G604" s="1751"/>
      <c r="H604" s="1751"/>
      <c r="I604" s="1751"/>
      <c r="J604" s="1751"/>
      <c r="K604" s="1751"/>
      <c r="L604" s="1751">
        <f t="shared" si="666"/>
        <v>35.0625</v>
      </c>
      <c r="M604" s="1751">
        <f t="shared" si="666"/>
        <v>35.0625</v>
      </c>
      <c r="N604" s="1751">
        <f t="shared" si="666"/>
        <v>17.53125</v>
      </c>
      <c r="O604" s="1751"/>
      <c r="P604" s="1751"/>
      <c r="Q604" s="1751"/>
      <c r="R604" s="1751"/>
      <c r="S604" s="1751"/>
      <c r="T604" s="1751"/>
      <c r="U604" s="1751"/>
      <c r="V604" s="1751"/>
      <c r="W604" s="1685"/>
      <c r="X604" s="1685"/>
      <c r="Y604" s="1685"/>
      <c r="Z604" s="1685"/>
      <c r="AA604" s="1685"/>
      <c r="AB604" s="1685"/>
      <c r="AC604" s="1685"/>
      <c r="AD604" s="1685"/>
    </row>
    <row r="605" spans="1:30" ht="15.75" hidden="1" outlineLevel="1">
      <c r="A605" s="1685"/>
      <c r="B605" s="1692" t="str">
        <f t="shared" si="658"/>
        <v>PR</v>
      </c>
      <c r="C605" s="1751"/>
      <c r="D605" s="1751"/>
      <c r="E605" s="1751"/>
      <c r="F605" s="1751"/>
      <c r="G605" s="1751">
        <f>G573*AVERAGE(F507:G507)</f>
        <v>57.815999999999995</v>
      </c>
      <c r="H605" s="1751">
        <f>H573*AVERAGE(G507:H507)</f>
        <v>47.944575</v>
      </c>
      <c r="I605" s="1751">
        <f>I573*AVERAGE(H507:I507)</f>
        <v>49.183749999999996</v>
      </c>
      <c r="J605" s="1751">
        <f>J573*AVERAGE(I507:J507)</f>
        <v>49.183749999999996</v>
      </c>
      <c r="K605" s="1772">
        <f>K573*AVERAGE(J507:J507)*(9.5/12)</f>
        <v>38.12805208333333</v>
      </c>
      <c r="L605" s="1751">
        <f t="shared" si="666"/>
        <v>0</v>
      </c>
      <c r="M605" s="1751">
        <f t="shared" si="666"/>
        <v>0</v>
      </c>
      <c r="N605" s="1751">
        <f t="shared" si="666"/>
        <v>0</v>
      </c>
      <c r="O605" s="1751">
        <f>O573*O508</f>
        <v>0</v>
      </c>
      <c r="P605" s="1751">
        <f t="shared" ref="P605:V607" si="667">P573*AVERAGE(O507:P507)</f>
        <v>0</v>
      </c>
      <c r="Q605" s="1751">
        <f t="shared" si="667"/>
        <v>0</v>
      </c>
      <c r="R605" s="1751">
        <f t="shared" si="667"/>
        <v>0</v>
      </c>
      <c r="S605" s="1751">
        <f t="shared" si="667"/>
        <v>0</v>
      </c>
      <c r="T605" s="1751">
        <f t="shared" si="667"/>
        <v>0</v>
      </c>
      <c r="U605" s="1751">
        <f t="shared" si="667"/>
        <v>0</v>
      </c>
      <c r="V605" s="1751">
        <f t="shared" si="667"/>
        <v>0</v>
      </c>
      <c r="W605" s="1685"/>
      <c r="X605" s="1685"/>
      <c r="Y605" s="1685"/>
      <c r="Z605" s="1685"/>
      <c r="AA605" s="1685"/>
      <c r="AB605" s="1685"/>
      <c r="AC605" s="1685"/>
      <c r="AD605" s="1685"/>
    </row>
    <row r="606" spans="1:30" ht="15.75" hidden="1" outlineLevel="1">
      <c r="A606" s="1685"/>
      <c r="B606" s="1692" t="str">
        <f t="shared" si="658"/>
        <v>Vendor financing / cap lease</v>
      </c>
      <c r="C606" s="1751"/>
      <c r="D606" s="1751"/>
      <c r="E606" s="1751"/>
      <c r="F606" s="1751"/>
      <c r="G606" s="1751"/>
      <c r="H606" s="1751">
        <f>H574*AVERAGE(G508:H508)</f>
        <v>3.8995000000000002</v>
      </c>
      <c r="I606" s="1751">
        <f>I574*AVERAGE(H508:I508)</f>
        <v>6.3332500000000005</v>
      </c>
      <c r="J606" s="1751">
        <f>J574*AVERAGE(I508:J508)</f>
        <v>8.7174999999999994</v>
      </c>
      <c r="K606" s="1751">
        <f>K574*AVERAGE(J508:K508)</f>
        <v>0</v>
      </c>
      <c r="L606" s="1751">
        <f t="shared" si="666"/>
        <v>5.0354999999999999</v>
      </c>
      <c r="M606" s="1751">
        <f t="shared" si="666"/>
        <v>5.0429999999999993</v>
      </c>
      <c r="N606" s="1751">
        <f t="shared" si="666"/>
        <v>5.7765000000000004</v>
      </c>
      <c r="O606" s="1751">
        <f>O574*O509</f>
        <v>0</v>
      </c>
      <c r="P606" s="1751">
        <f t="shared" si="667"/>
        <v>14.950000000000001</v>
      </c>
      <c r="Q606" s="1751">
        <f t="shared" si="667"/>
        <v>14.950000000000001</v>
      </c>
      <c r="R606" s="1751">
        <f t="shared" si="667"/>
        <v>14.950000000000001</v>
      </c>
      <c r="S606" s="1751">
        <f t="shared" si="667"/>
        <v>14.950000000000001</v>
      </c>
      <c r="T606" s="1751">
        <f t="shared" si="667"/>
        <v>14.950000000000001</v>
      </c>
      <c r="U606" s="1751">
        <f t="shared" si="667"/>
        <v>14.950000000000001</v>
      </c>
      <c r="V606" s="1751">
        <f t="shared" si="667"/>
        <v>14.950000000000001</v>
      </c>
      <c r="W606" s="1685"/>
      <c r="X606" s="1685"/>
      <c r="Y606" s="1685"/>
      <c r="Z606" s="1685"/>
      <c r="AA606" s="1685"/>
      <c r="AB606" s="1685"/>
      <c r="AC606" s="1685"/>
      <c r="AD606" s="1685"/>
    </row>
    <row r="607" spans="1:30" ht="15.75" hidden="1" outlineLevel="1">
      <c r="A607" s="1685"/>
      <c r="B607" s="1692" t="str">
        <f t="shared" si="658"/>
        <v>2027 senior notes</v>
      </c>
      <c r="C607" s="1751"/>
      <c r="D607" s="1751"/>
      <c r="E607" s="1751"/>
      <c r="F607" s="1751"/>
      <c r="G607" s="1751"/>
      <c r="H607" s="1751"/>
      <c r="I607" s="1751"/>
      <c r="J607" s="1751">
        <f>J575*AVERAGE(I509:J509)</f>
        <v>48.125000000000007</v>
      </c>
      <c r="K607" s="1751">
        <f>K575*AVERAGE(J509:K509)</f>
        <v>0</v>
      </c>
      <c r="L607" s="1751">
        <f t="shared" si="666"/>
        <v>0</v>
      </c>
      <c r="M607" s="1751">
        <f t="shared" si="666"/>
        <v>0</v>
      </c>
      <c r="N607" s="1751">
        <f t="shared" si="666"/>
        <v>0</v>
      </c>
      <c r="O607" s="1751">
        <f>O575*O510</f>
        <v>0</v>
      </c>
      <c r="P607" s="1751">
        <f t="shared" si="667"/>
        <v>0</v>
      </c>
      <c r="Q607" s="1751">
        <f t="shared" si="667"/>
        <v>0</v>
      </c>
      <c r="R607" s="1751">
        <f t="shared" si="667"/>
        <v>0</v>
      </c>
      <c r="S607" s="1751">
        <f t="shared" si="667"/>
        <v>0</v>
      </c>
      <c r="T607" s="1751">
        <f t="shared" si="667"/>
        <v>0</v>
      </c>
      <c r="U607" s="1751">
        <f t="shared" si="667"/>
        <v>0</v>
      </c>
      <c r="V607" s="1751">
        <f t="shared" si="667"/>
        <v>0</v>
      </c>
      <c r="W607" s="1685"/>
      <c r="X607" s="1685"/>
      <c r="Y607" s="1685"/>
      <c r="Z607" s="1685"/>
      <c r="AA607" s="1685"/>
      <c r="AB607" s="1685"/>
      <c r="AC607" s="1685"/>
      <c r="AD607" s="1685"/>
    </row>
    <row r="608" spans="1:30" ht="15.75" collapsed="1">
      <c r="A608" s="1685"/>
      <c r="B608" s="1692" t="str">
        <f>B574</f>
        <v>Vendor financing / cap lease</v>
      </c>
      <c r="C608" s="1751"/>
      <c r="D608" s="1751"/>
      <c r="E608" s="1751"/>
      <c r="F608" s="1751"/>
      <c r="G608" s="1751"/>
      <c r="H608" s="1751"/>
      <c r="I608" s="1751"/>
      <c r="J608" s="1751">
        <f t="shared" ref="J608:V608" si="668">J574*J508</f>
        <v>8.6679999999999993</v>
      </c>
      <c r="K608" s="1751">
        <f t="shared" si="668"/>
        <v>0</v>
      </c>
      <c r="L608" s="1751">
        <f t="shared" si="668"/>
        <v>5.0429999999999993</v>
      </c>
      <c r="M608" s="1751">
        <f t="shared" si="668"/>
        <v>5.0429999999999993</v>
      </c>
      <c r="N608" s="1751">
        <f t="shared" si="668"/>
        <v>6.51</v>
      </c>
      <c r="O608" s="1751">
        <f t="shared" si="668"/>
        <v>14.950000000000001</v>
      </c>
      <c r="P608" s="1751">
        <f t="shared" si="668"/>
        <v>14.950000000000001</v>
      </c>
      <c r="Q608" s="1751">
        <f t="shared" si="668"/>
        <v>14.950000000000001</v>
      </c>
      <c r="R608" s="1751">
        <f t="shared" si="668"/>
        <v>14.950000000000001</v>
      </c>
      <c r="S608" s="1751">
        <f t="shared" si="668"/>
        <v>14.950000000000001</v>
      </c>
      <c r="T608" s="1751">
        <f t="shared" si="668"/>
        <v>14.950000000000001</v>
      </c>
      <c r="U608" s="1751">
        <f t="shared" si="668"/>
        <v>14.950000000000001</v>
      </c>
      <c r="V608" s="1751">
        <f t="shared" si="668"/>
        <v>14.950000000000001</v>
      </c>
      <c r="W608" s="1685"/>
      <c r="X608" s="1685"/>
      <c r="Y608" s="1685"/>
      <c r="Z608" s="1685"/>
      <c r="AA608" s="1685"/>
      <c r="AB608" s="1685"/>
      <c r="AC608" s="1685"/>
      <c r="AD608" s="1685"/>
    </row>
    <row r="609" spans="1:30" ht="15.75">
      <c r="A609" s="1685"/>
      <c r="B609" s="1692" t="str">
        <f t="shared" ref="B609:B617" si="669">B576</f>
        <v>CWC 2027 senior secured</v>
      </c>
      <c r="C609" s="1751"/>
      <c r="D609" s="1751"/>
      <c r="E609" s="1751"/>
      <c r="F609" s="1751"/>
      <c r="G609" s="1751"/>
      <c r="H609" s="1751"/>
      <c r="I609" s="1751"/>
      <c r="J609" s="1751">
        <f t="shared" ref="J609:O609" si="670">J576*J510</f>
        <v>0</v>
      </c>
      <c r="K609" s="1751">
        <f t="shared" si="670"/>
        <v>23</v>
      </c>
      <c r="L609" s="1751">
        <f t="shared" si="670"/>
        <v>31.625</v>
      </c>
      <c r="M609" s="1751">
        <f t="shared" si="670"/>
        <v>28.462500000000002</v>
      </c>
      <c r="N609" s="1751">
        <f t="shared" si="670"/>
        <v>28.462500000000002</v>
      </c>
      <c r="O609" s="1751">
        <f t="shared" si="670"/>
        <v>28.462500000000002</v>
      </c>
      <c r="P609" s="1751">
        <f t="shared" ref="P609:V610" si="671">P576*AVERAGE(O510,P510)</f>
        <v>14.231250000000001</v>
      </c>
      <c r="Q609" s="1751">
        <f t="shared" si="671"/>
        <v>0</v>
      </c>
      <c r="R609" s="1751">
        <f t="shared" si="671"/>
        <v>0</v>
      </c>
      <c r="S609" s="1751">
        <f t="shared" si="671"/>
        <v>0</v>
      </c>
      <c r="T609" s="1751">
        <f t="shared" si="671"/>
        <v>0</v>
      </c>
      <c r="U609" s="1751">
        <f t="shared" si="671"/>
        <v>0</v>
      </c>
      <c r="V609" s="1751">
        <f t="shared" si="671"/>
        <v>0</v>
      </c>
      <c r="W609" s="1685"/>
      <c r="X609" s="1685"/>
      <c r="Y609" s="1685"/>
      <c r="Z609" s="1685"/>
      <c r="AA609" s="1685"/>
      <c r="AB609" s="1685"/>
      <c r="AC609" s="1685"/>
      <c r="AD609" s="1685"/>
    </row>
    <row r="610" spans="1:30" ht="15.75">
      <c r="A610" s="1685"/>
      <c r="B610" s="1692" t="str">
        <f t="shared" si="669"/>
        <v>CWC 2027 senior (unsecured)</v>
      </c>
      <c r="C610" s="1751"/>
      <c r="D610" s="1751"/>
      <c r="E610" s="1751"/>
      <c r="F610" s="1751"/>
      <c r="G610" s="1751"/>
      <c r="H610" s="1751"/>
      <c r="I610" s="1751"/>
      <c r="J610" s="1751"/>
      <c r="K610" s="1751">
        <f t="shared" ref="K610:N611" si="672">K576*AVERAGE(J510:K510)</f>
        <v>23</v>
      </c>
      <c r="L610" s="1751">
        <f t="shared" si="672"/>
        <v>27.3125</v>
      </c>
      <c r="M610" s="1751">
        <f t="shared" si="672"/>
        <v>30.043750000000003</v>
      </c>
      <c r="N610" s="1751">
        <f t="shared" si="672"/>
        <v>28.462500000000002</v>
      </c>
      <c r="O610" s="1751">
        <f t="shared" ref="O610:O617" si="673">O577*O511</f>
        <v>83.875</v>
      </c>
      <c r="P610" s="1751">
        <f t="shared" si="671"/>
        <v>41.9375</v>
      </c>
      <c r="Q610" s="1751">
        <f t="shared" si="671"/>
        <v>0</v>
      </c>
      <c r="R610" s="1751">
        <f t="shared" si="671"/>
        <v>0</v>
      </c>
      <c r="S610" s="1751">
        <f t="shared" si="671"/>
        <v>0</v>
      </c>
      <c r="T610" s="1751">
        <f t="shared" si="671"/>
        <v>0</v>
      </c>
      <c r="U610" s="1751">
        <f t="shared" si="671"/>
        <v>0</v>
      </c>
      <c r="V610" s="1751">
        <f t="shared" si="671"/>
        <v>0</v>
      </c>
      <c r="W610" s="1685"/>
      <c r="X610" s="1685"/>
      <c r="Y610" s="1685"/>
      <c r="Z610" s="1685"/>
      <c r="AA610" s="1685"/>
      <c r="AB610" s="1685"/>
      <c r="AC610" s="1685"/>
      <c r="AD610" s="1685"/>
    </row>
    <row r="611" spans="1:30" ht="15.75">
      <c r="A611" s="1685"/>
      <c r="B611" s="1692" t="str">
        <f t="shared" si="669"/>
        <v>CWC Term loan floating Oct 29 SOFR +3%</v>
      </c>
      <c r="C611" s="1751"/>
      <c r="D611" s="1751"/>
      <c r="E611" s="1751"/>
      <c r="F611" s="1751"/>
      <c r="G611" s="1751"/>
      <c r="H611" s="1751"/>
      <c r="I611" s="1751"/>
      <c r="J611" s="1751"/>
      <c r="K611" s="1751">
        <f t="shared" si="672"/>
        <v>83.875</v>
      </c>
      <c r="L611" s="1751">
        <f t="shared" si="672"/>
        <v>83.875</v>
      </c>
      <c r="M611" s="1751">
        <f t="shared" si="672"/>
        <v>83.875</v>
      </c>
      <c r="N611" s="1751">
        <f t="shared" si="672"/>
        <v>83.875</v>
      </c>
      <c r="O611" s="1751">
        <f t="shared" si="673"/>
        <v>44.545000000000002</v>
      </c>
      <c r="P611" s="1751">
        <f t="shared" ref="P611:V617" si="674">P578*P512</f>
        <v>44.545000000000002</v>
      </c>
      <c r="Q611" s="1751">
        <f t="shared" si="674"/>
        <v>44.545000000000002</v>
      </c>
      <c r="R611" s="1751">
        <f t="shared" si="674"/>
        <v>0</v>
      </c>
      <c r="S611" s="1751">
        <f t="shared" si="674"/>
        <v>0</v>
      </c>
      <c r="T611" s="1751">
        <f t="shared" si="674"/>
        <v>0</v>
      </c>
      <c r="U611" s="1751">
        <f t="shared" si="674"/>
        <v>0</v>
      </c>
      <c r="V611" s="1751">
        <f t="shared" si="674"/>
        <v>0</v>
      </c>
      <c r="W611" s="1685"/>
      <c r="X611" s="1685"/>
      <c r="Y611" s="1685"/>
      <c r="Z611" s="1685"/>
      <c r="AA611" s="1685"/>
      <c r="AB611" s="1685"/>
      <c r="AC611" s="1685"/>
      <c r="AD611" s="1685"/>
    </row>
    <row r="612" spans="1:30" ht="15.75">
      <c r="A612" s="1685"/>
      <c r="B612" s="1692" t="str">
        <f t="shared" si="669"/>
        <v>CWC Term loan floating Jan 28 SOFR +2.25%</v>
      </c>
      <c r="C612" s="1751"/>
      <c r="D612" s="1751"/>
      <c r="E612" s="1751"/>
      <c r="F612" s="1751"/>
      <c r="G612" s="1751"/>
      <c r="H612" s="1751"/>
      <c r="I612" s="1751"/>
      <c r="J612" s="1751"/>
      <c r="K612" s="1751"/>
      <c r="L612" s="1751"/>
      <c r="M612" s="1751"/>
      <c r="N612" s="1751"/>
      <c r="O612" s="1751">
        <f t="shared" si="673"/>
        <v>125.32999999999998</v>
      </c>
      <c r="P612" s="1751">
        <f t="shared" si="674"/>
        <v>125.32999999999998</v>
      </c>
      <c r="Q612" s="1751">
        <f t="shared" si="674"/>
        <v>0</v>
      </c>
      <c r="R612" s="1751">
        <f t="shared" si="674"/>
        <v>0</v>
      </c>
      <c r="S612" s="1751">
        <f t="shared" si="674"/>
        <v>0</v>
      </c>
      <c r="T612" s="1751">
        <f t="shared" si="674"/>
        <v>0</v>
      </c>
      <c r="U612" s="1751">
        <f t="shared" si="674"/>
        <v>0</v>
      </c>
      <c r="V612" s="1751">
        <f t="shared" si="674"/>
        <v>0</v>
      </c>
      <c r="W612" s="1685"/>
      <c r="X612" s="1685"/>
      <c r="Y612" s="1685"/>
      <c r="Z612" s="1685"/>
      <c r="AA612" s="1685"/>
      <c r="AB612" s="1685"/>
      <c r="AC612" s="1685"/>
      <c r="AD612" s="1685"/>
    </row>
    <row r="613" spans="1:30" ht="15.75">
      <c r="A613" s="1685"/>
      <c r="B613" s="1692" t="str">
        <f t="shared" si="669"/>
        <v>CWC Term loan Jan 2028 4.25%</v>
      </c>
      <c r="C613" s="1751"/>
      <c r="D613" s="1751"/>
      <c r="E613" s="1751"/>
      <c r="F613" s="1751"/>
      <c r="G613" s="1751"/>
      <c r="H613" s="1751"/>
      <c r="I613" s="1751"/>
      <c r="J613" s="1751"/>
      <c r="K613" s="1751"/>
      <c r="L613" s="1751"/>
      <c r="M613" s="1751"/>
      <c r="N613" s="1751"/>
      <c r="O613" s="1751">
        <f t="shared" si="673"/>
        <v>18.487500000000001</v>
      </c>
      <c r="P613" s="1751">
        <f t="shared" si="674"/>
        <v>18.487500000000001</v>
      </c>
      <c r="Q613" s="1751">
        <f t="shared" si="674"/>
        <v>18.487500000000001</v>
      </c>
      <c r="R613" s="1751">
        <f t="shared" si="674"/>
        <v>0</v>
      </c>
      <c r="S613" s="1751">
        <f t="shared" si="674"/>
        <v>0</v>
      </c>
      <c r="T613" s="1751">
        <f t="shared" si="674"/>
        <v>0</v>
      </c>
      <c r="U613" s="1751">
        <f t="shared" si="674"/>
        <v>0</v>
      </c>
      <c r="V613" s="1751">
        <f t="shared" si="674"/>
        <v>0</v>
      </c>
      <c r="W613" s="1685"/>
      <c r="X613" s="1685"/>
      <c r="Y613" s="1685"/>
      <c r="Z613" s="1685"/>
      <c r="AA613" s="1685"/>
      <c r="AB613" s="1685"/>
      <c r="AC613" s="1685"/>
      <c r="AD613" s="1685"/>
    </row>
    <row r="614" spans="1:30" ht="15.75">
      <c r="A614" s="1685"/>
      <c r="B614" s="1692" t="str">
        <f t="shared" si="669"/>
        <v>Convert</v>
      </c>
      <c r="C614" s="1751"/>
      <c r="D614" s="1751"/>
      <c r="E614" s="1751"/>
      <c r="F614" s="1751"/>
      <c r="G614" s="1751"/>
      <c r="H614" s="1751"/>
      <c r="I614" s="1751"/>
      <c r="J614" s="1751"/>
      <c r="K614" s="1751">
        <f>K581*AVERAGE(J515:K515)</f>
        <v>8.0500000000000007</v>
      </c>
      <c r="L614" s="1751">
        <f>L581*AVERAGE(K515:L515)</f>
        <v>8.0500000000000007</v>
      </c>
      <c r="M614" s="1751">
        <f>M581*AVERAGE(L515:M515)</f>
        <v>8.0500000000000007</v>
      </c>
      <c r="N614" s="1751">
        <f>N581*AVERAGE(M515:N515)</f>
        <v>8.0500000000000007</v>
      </c>
      <c r="O614" s="1751">
        <f t="shared" si="673"/>
        <v>4.4060000000000006</v>
      </c>
      <c r="P614" s="1751">
        <f t="shared" si="674"/>
        <v>0</v>
      </c>
      <c r="Q614" s="1751">
        <f t="shared" si="674"/>
        <v>0</v>
      </c>
      <c r="R614" s="1751">
        <f t="shared" si="674"/>
        <v>0</v>
      </c>
      <c r="S614" s="1751">
        <f t="shared" si="674"/>
        <v>0</v>
      </c>
      <c r="T614" s="1751">
        <f t="shared" si="674"/>
        <v>0</v>
      </c>
      <c r="U614" s="1751">
        <f t="shared" si="674"/>
        <v>0</v>
      </c>
      <c r="V614" s="1751">
        <f t="shared" si="674"/>
        <v>0</v>
      </c>
      <c r="W614" s="1685"/>
      <c r="X614" s="1685"/>
      <c r="Y614" s="1685"/>
      <c r="Z614" s="1685"/>
      <c r="AA614" s="1685"/>
      <c r="AB614" s="1685"/>
      <c r="AC614" s="1685"/>
      <c r="AD614" s="1685"/>
    </row>
    <row r="615" spans="1:30" ht="15.75">
      <c r="A615" s="1685"/>
      <c r="B615" s="1692" t="str">
        <f t="shared" si="669"/>
        <v>PR Term loan floating (9.29%)</v>
      </c>
      <c r="C615" s="1751"/>
      <c r="D615" s="1751"/>
      <c r="E615" s="1751"/>
      <c r="F615" s="1751"/>
      <c r="G615" s="1751"/>
      <c r="H615" s="1751"/>
      <c r="I615" s="1751"/>
      <c r="J615" s="1751"/>
      <c r="K615" s="1751"/>
      <c r="L615" s="1751"/>
      <c r="M615" s="1751"/>
      <c r="N615" s="1751"/>
      <c r="O615" s="1751">
        <f t="shared" si="673"/>
        <v>56.11</v>
      </c>
      <c r="P615" s="1751">
        <f t="shared" si="674"/>
        <v>56.11</v>
      </c>
      <c r="Q615" s="1751">
        <f t="shared" si="674"/>
        <v>56.11</v>
      </c>
      <c r="R615" s="1751">
        <f t="shared" si="674"/>
        <v>0</v>
      </c>
      <c r="S615" s="1751">
        <f t="shared" si="674"/>
        <v>0</v>
      </c>
      <c r="T615" s="1751">
        <f t="shared" si="674"/>
        <v>0</v>
      </c>
      <c r="U615" s="1751">
        <f t="shared" si="674"/>
        <v>0</v>
      </c>
      <c r="V615" s="1751">
        <f t="shared" si="674"/>
        <v>0</v>
      </c>
      <c r="W615" s="1685"/>
      <c r="X615" s="1685"/>
      <c r="Y615" s="1685"/>
      <c r="Z615" s="1685"/>
      <c r="AA615" s="1685"/>
      <c r="AB615" s="1685"/>
      <c r="AC615" s="1685"/>
      <c r="AD615" s="1685"/>
    </row>
    <row r="616" spans="1:30" ht="15.75">
      <c r="A616" s="1685"/>
      <c r="B616" s="1692" t="str">
        <f t="shared" si="669"/>
        <v>PR 6.75% senior secured Oct 27</v>
      </c>
      <c r="C616" s="1751"/>
      <c r="D616" s="1751"/>
      <c r="E616" s="1751"/>
      <c r="F616" s="1751"/>
      <c r="G616" s="1751"/>
      <c r="H616" s="1751"/>
      <c r="I616" s="1751"/>
      <c r="J616" s="1751"/>
      <c r="K616" s="1751">
        <f>K583*AVERAGE(J517:K517)*(2.5/12)</f>
        <v>16.875</v>
      </c>
      <c r="L616" s="1751">
        <f t="shared" ref="L616:N617" si="675">L583*AVERAGE(K517:L517)</f>
        <v>84.037500000000009</v>
      </c>
      <c r="M616" s="1751">
        <f t="shared" si="675"/>
        <v>87.075000000000003</v>
      </c>
      <c r="N616" s="1751">
        <f t="shared" si="675"/>
        <v>82.721250000000012</v>
      </c>
      <c r="O616" s="1751">
        <f t="shared" si="673"/>
        <v>78.367500000000007</v>
      </c>
      <c r="P616" s="1751">
        <f t="shared" si="674"/>
        <v>78.367500000000007</v>
      </c>
      <c r="Q616" s="1751">
        <f t="shared" si="674"/>
        <v>0</v>
      </c>
      <c r="R616" s="1751">
        <f t="shared" si="674"/>
        <v>0</v>
      </c>
      <c r="S616" s="1751">
        <f t="shared" si="674"/>
        <v>0</v>
      </c>
      <c r="T616" s="1751">
        <f t="shared" si="674"/>
        <v>0</v>
      </c>
      <c r="U616" s="1751">
        <f t="shared" si="674"/>
        <v>0</v>
      </c>
      <c r="V616" s="1751">
        <f t="shared" si="674"/>
        <v>0</v>
      </c>
      <c r="W616" s="1685"/>
      <c r="X616" s="1685"/>
      <c r="Y616" s="1685"/>
      <c r="Z616" s="1685"/>
      <c r="AA616" s="1685"/>
      <c r="AB616" s="1685"/>
      <c r="AC616" s="1685"/>
      <c r="AD616" s="1685"/>
    </row>
    <row r="617" spans="1:30" ht="15.75">
      <c r="A617" s="1685"/>
      <c r="B617" s="1692" t="str">
        <f t="shared" si="669"/>
        <v>PR 5.125% senior secured Jul 29</v>
      </c>
      <c r="C617" s="1751"/>
      <c r="D617" s="1751"/>
      <c r="E617" s="1751"/>
      <c r="F617" s="1751"/>
      <c r="G617" s="1751"/>
      <c r="H617" s="1751"/>
      <c r="I617" s="1751"/>
      <c r="J617" s="1751"/>
      <c r="K617" s="1751">
        <f>K584*AVERAGE(J518:K518)*(2.5/12)</f>
        <v>14.083333333333332</v>
      </c>
      <c r="L617" s="1751">
        <f t="shared" si="675"/>
        <v>51.4</v>
      </c>
      <c r="M617" s="1751">
        <f t="shared" si="675"/>
        <v>46.637499999999996</v>
      </c>
      <c r="N617" s="1751">
        <f t="shared" si="675"/>
        <v>42.024999999999999</v>
      </c>
      <c r="O617" s="1751">
        <f t="shared" si="673"/>
        <v>42.024999999999999</v>
      </c>
      <c r="P617" s="1751">
        <f t="shared" si="674"/>
        <v>42.024999999999999</v>
      </c>
      <c r="Q617" s="1751">
        <f t="shared" si="674"/>
        <v>42.024999999999999</v>
      </c>
      <c r="R617" s="1751">
        <f t="shared" si="674"/>
        <v>0</v>
      </c>
      <c r="S617" s="1751">
        <f t="shared" si="674"/>
        <v>0</v>
      </c>
      <c r="T617" s="1751">
        <f t="shared" si="674"/>
        <v>0</v>
      </c>
      <c r="U617" s="1751">
        <f t="shared" si="674"/>
        <v>0</v>
      </c>
      <c r="V617" s="1751">
        <f t="shared" si="674"/>
        <v>0</v>
      </c>
      <c r="W617" s="1685"/>
      <c r="X617" s="1685"/>
      <c r="Y617" s="1685"/>
      <c r="Z617" s="1685"/>
      <c r="AA617" s="1685"/>
      <c r="AB617" s="1685"/>
      <c r="AC617" s="1685"/>
      <c r="AD617" s="1685"/>
    </row>
    <row r="618" spans="1:30" ht="15.75">
      <c r="A618" s="1685"/>
      <c r="B618" s="1692" t="str">
        <f t="shared" ref="B618:B623" si="676">B587</f>
        <v>Costa Rica 10.875% 2031</v>
      </c>
      <c r="C618" s="1751"/>
      <c r="D618" s="1751"/>
      <c r="E618" s="1751"/>
      <c r="F618" s="1751"/>
      <c r="G618" s="1751"/>
      <c r="H618" s="1751"/>
      <c r="I618" s="1751"/>
      <c r="J618" s="1751"/>
      <c r="K618" s="1751"/>
      <c r="L618" s="1751"/>
      <c r="M618" s="1751"/>
      <c r="N618" s="1751"/>
      <c r="O618" s="1751">
        <f t="shared" ref="O618:V619" si="677">O587*O521</f>
        <v>48.9375</v>
      </c>
      <c r="P618" s="1751">
        <f t="shared" si="677"/>
        <v>48.9375</v>
      </c>
      <c r="Q618" s="1751">
        <f t="shared" si="677"/>
        <v>48.9375</v>
      </c>
      <c r="R618" s="1751">
        <f t="shared" si="677"/>
        <v>48.9375</v>
      </c>
      <c r="S618" s="1751">
        <f t="shared" si="677"/>
        <v>48.9375</v>
      </c>
      <c r="T618" s="1751">
        <f t="shared" si="677"/>
        <v>48.9375</v>
      </c>
      <c r="U618" s="1751">
        <f t="shared" si="677"/>
        <v>48.9375</v>
      </c>
      <c r="V618" s="1751">
        <f t="shared" si="677"/>
        <v>48.9375</v>
      </c>
      <c r="W618" s="1685"/>
      <c r="X618" s="1685"/>
      <c r="Y618" s="1685"/>
      <c r="Z618" s="1685"/>
      <c r="AA618" s="1685"/>
      <c r="AB618" s="1685"/>
      <c r="AC618" s="1685"/>
      <c r="AD618" s="1685"/>
    </row>
    <row r="619" spans="1:30" ht="15.75">
      <c r="A619" s="1685"/>
      <c r="B619" s="1692" t="str">
        <f t="shared" si="676"/>
        <v>Tower financing</v>
      </c>
      <c r="C619" s="1751"/>
      <c r="D619" s="1751"/>
      <c r="E619" s="1751"/>
      <c r="F619" s="1751"/>
      <c r="G619" s="1751"/>
      <c r="H619" s="1751"/>
      <c r="I619" s="1751"/>
      <c r="J619" s="1751"/>
      <c r="K619" s="1751"/>
      <c r="L619" s="1751"/>
      <c r="M619" s="1751"/>
      <c r="N619" s="1751"/>
      <c r="O619" s="1751">
        <f t="shared" si="677"/>
        <v>24.400000000000002</v>
      </c>
      <c r="P619" s="1751">
        <f t="shared" si="677"/>
        <v>24.400000000000002</v>
      </c>
      <c r="Q619" s="1751">
        <f t="shared" si="677"/>
        <v>24.400000000000002</v>
      </c>
      <c r="R619" s="1751">
        <f t="shared" si="677"/>
        <v>24.400000000000002</v>
      </c>
      <c r="S619" s="1751">
        <f t="shared" si="677"/>
        <v>24.400000000000002</v>
      </c>
      <c r="T619" s="1751">
        <f t="shared" si="677"/>
        <v>24.400000000000002</v>
      </c>
      <c r="U619" s="1751">
        <f t="shared" si="677"/>
        <v>24.400000000000002</v>
      </c>
      <c r="V619" s="1751">
        <f t="shared" si="677"/>
        <v>24.400000000000002</v>
      </c>
      <c r="W619" s="1685"/>
      <c r="X619" s="1685"/>
      <c r="Y619" s="1685"/>
      <c r="Z619" s="1685"/>
      <c r="AA619" s="1685"/>
      <c r="AB619" s="1685"/>
      <c r="AC619" s="1685"/>
      <c r="AD619" s="1685"/>
    </row>
    <row r="620" spans="1:30" ht="15.75">
      <c r="A620" s="1685"/>
      <c r="B620" s="1689" t="str">
        <f t="shared" si="676"/>
        <v>Refi CWC 1</v>
      </c>
      <c r="C620" s="1751"/>
      <c r="D620" s="1751"/>
      <c r="E620" s="1751"/>
      <c r="F620" s="1751"/>
      <c r="G620" s="1751"/>
      <c r="H620" s="1751"/>
      <c r="I620" s="1751"/>
      <c r="J620" s="1751"/>
      <c r="K620" s="1751"/>
      <c r="L620" s="1751"/>
      <c r="M620" s="1751"/>
      <c r="N620" s="1751"/>
      <c r="O620" s="1751"/>
      <c r="P620" s="1751">
        <f t="shared" ref="P620:V620" si="678">P589*AVERAGE(O523,P523)</f>
        <v>60.562499999999993</v>
      </c>
      <c r="Q620" s="1751">
        <f t="shared" si="678"/>
        <v>121.12499999999999</v>
      </c>
      <c r="R620" s="1751">
        <f t="shared" si="678"/>
        <v>121.12499999999999</v>
      </c>
      <c r="S620" s="1751">
        <f t="shared" si="678"/>
        <v>121.12499999999999</v>
      </c>
      <c r="T620" s="1751">
        <f t="shared" si="678"/>
        <v>121.12499999999999</v>
      </c>
      <c r="U620" s="1751">
        <f t="shared" si="678"/>
        <v>121.12499999999999</v>
      </c>
      <c r="V620" s="1751">
        <f t="shared" si="678"/>
        <v>121.12499999999999</v>
      </c>
      <c r="W620" s="1685"/>
      <c r="X620" s="1685"/>
      <c r="Y620" s="1685"/>
      <c r="Z620" s="1685"/>
      <c r="AA620" s="1685"/>
      <c r="AB620" s="1685"/>
      <c r="AC620" s="1685"/>
      <c r="AD620" s="1685"/>
    </row>
    <row r="621" spans="1:30" ht="15.75">
      <c r="A621" s="1685"/>
      <c r="B621" s="1689" t="str">
        <f t="shared" si="676"/>
        <v>Refi CWC 2</v>
      </c>
      <c r="C621" s="1751"/>
      <c r="D621" s="1751"/>
      <c r="E621" s="1751"/>
      <c r="F621" s="1751"/>
      <c r="G621" s="1751"/>
      <c r="H621" s="1751"/>
      <c r="I621" s="1751"/>
      <c r="J621" s="1751"/>
      <c r="K621" s="1751"/>
      <c r="L621" s="1751"/>
      <c r="M621" s="1751"/>
      <c r="N621" s="1751"/>
      <c r="O621" s="1751"/>
      <c r="P621" s="1751"/>
      <c r="Q621" s="1751">
        <f t="shared" ref="Q621:V622" si="679">Q590*AVERAGE(Q524,Q524)</f>
        <v>127.50000000000001</v>
      </c>
      <c r="R621" s="1751">
        <f t="shared" si="679"/>
        <v>127.50000000000001</v>
      </c>
      <c r="S621" s="1751">
        <f t="shared" si="679"/>
        <v>127.50000000000001</v>
      </c>
      <c r="T621" s="1751">
        <f t="shared" si="679"/>
        <v>127.50000000000001</v>
      </c>
      <c r="U621" s="1751">
        <f t="shared" si="679"/>
        <v>127.50000000000001</v>
      </c>
      <c r="V621" s="1751">
        <f t="shared" si="679"/>
        <v>127.50000000000001</v>
      </c>
      <c r="W621" s="1685"/>
      <c r="X621" s="1685"/>
      <c r="Y621" s="1685"/>
      <c r="Z621" s="1685"/>
      <c r="AA621" s="1685"/>
      <c r="AB621" s="1685"/>
      <c r="AC621" s="1685"/>
      <c r="AD621" s="1685"/>
    </row>
    <row r="622" spans="1:30" ht="15.75">
      <c r="A622" s="1685"/>
      <c r="B622" s="1689" t="str">
        <f t="shared" si="676"/>
        <v>Refi PR</v>
      </c>
      <c r="C622" s="1751"/>
      <c r="D622" s="1751"/>
      <c r="E622" s="1751"/>
      <c r="F622" s="1751"/>
      <c r="G622" s="1751"/>
      <c r="H622" s="1751"/>
      <c r="I622" s="1751"/>
      <c r="J622" s="1751"/>
      <c r="K622" s="1751"/>
      <c r="L622" s="1751"/>
      <c r="M622" s="1751"/>
      <c r="N622" s="1751"/>
      <c r="O622" s="1751"/>
      <c r="P622" s="1751"/>
      <c r="Q622" s="1751">
        <f t="shared" si="679"/>
        <v>114</v>
      </c>
      <c r="R622" s="1751">
        <f t="shared" si="679"/>
        <v>114</v>
      </c>
      <c r="S622" s="1751">
        <f t="shared" si="679"/>
        <v>114</v>
      </c>
      <c r="T622" s="1751">
        <f t="shared" si="679"/>
        <v>114</v>
      </c>
      <c r="U622" s="1751">
        <f t="shared" si="679"/>
        <v>114</v>
      </c>
      <c r="V622" s="1751">
        <f t="shared" si="679"/>
        <v>114</v>
      </c>
      <c r="W622" s="1685"/>
      <c r="X622" s="1685"/>
      <c r="Y622" s="1685"/>
      <c r="Z622" s="1685"/>
      <c r="AA622" s="1685"/>
      <c r="AB622" s="1685"/>
      <c r="AC622" s="1685"/>
      <c r="AD622" s="1685"/>
    </row>
    <row r="623" spans="1:30" ht="15.75">
      <c r="A623" s="1685"/>
      <c r="B623" s="1689" t="str">
        <f t="shared" si="676"/>
        <v>Refi Other</v>
      </c>
      <c r="C623" s="1751"/>
      <c r="D623" s="1751"/>
      <c r="E623" s="1751"/>
      <c r="F623" s="1751"/>
      <c r="G623" s="1751"/>
      <c r="H623" s="1751"/>
      <c r="I623" s="1751"/>
      <c r="J623" s="1751"/>
      <c r="K623" s="1751"/>
      <c r="L623" s="1751"/>
      <c r="M623" s="1751"/>
      <c r="N623" s="1751"/>
      <c r="O623" s="1751"/>
      <c r="P623" s="1751"/>
      <c r="Q623" s="1751"/>
      <c r="R623" s="1751">
        <f>R592*AVERAGE(R526,R526)</f>
        <v>225</v>
      </c>
      <c r="S623" s="1751">
        <f t="shared" ref="S623:V623" si="680">S592*AVERAGE(S526,S526)</f>
        <v>225</v>
      </c>
      <c r="T623" s="1751">
        <f t="shared" si="680"/>
        <v>225</v>
      </c>
      <c r="U623" s="1751">
        <f t="shared" si="680"/>
        <v>225</v>
      </c>
      <c r="V623" s="1751">
        <f t="shared" si="680"/>
        <v>225</v>
      </c>
      <c r="W623" s="1685"/>
      <c r="X623" s="1685"/>
      <c r="Y623" s="1685"/>
      <c r="Z623" s="1685"/>
      <c r="AA623" s="1685"/>
      <c r="AB623" s="1685"/>
      <c r="AC623" s="1685"/>
      <c r="AD623" s="1685"/>
    </row>
    <row r="624" spans="1:30" ht="15.75">
      <c r="A624" s="1685"/>
      <c r="B624" s="1689" t="s">
        <v>16</v>
      </c>
      <c r="C624" s="1782"/>
      <c r="D624" s="1782"/>
      <c r="E624" s="1782"/>
      <c r="F624" s="1782">
        <f>SUM(F597:F609)</f>
        <v>30.658124999999998</v>
      </c>
      <c r="G624" s="1782">
        <f>SUM(G597:G609)</f>
        <v>311.28112720225403</v>
      </c>
      <c r="H624" s="1782">
        <f>SUM(H597:H609)</f>
        <v>380.38262198519038</v>
      </c>
      <c r="I624" s="1782">
        <f t="shared" ref="I624:O624" si="681">I285</f>
        <v>381.8</v>
      </c>
      <c r="J624" s="1782">
        <f t="shared" si="681"/>
        <v>443.7</v>
      </c>
      <c r="K624" s="1782">
        <f t="shared" si="681"/>
        <v>499.2</v>
      </c>
      <c r="L624" s="1782">
        <f t="shared" si="681"/>
        <v>533.4</v>
      </c>
      <c r="M624" s="1782">
        <f t="shared" si="681"/>
        <v>527.4</v>
      </c>
      <c r="N624" s="1782">
        <f t="shared" si="681"/>
        <v>556.70000000000005</v>
      </c>
      <c r="O624" s="1782">
        <f t="shared" si="681"/>
        <v>601.70000000000005</v>
      </c>
      <c r="P624" s="1782">
        <f>P600+P608+P609+P610+P611+P612+P613+P614+P615+P616+P617+P618+P619+P620+P621+P622+P623</f>
        <v>628.57175000000018</v>
      </c>
      <c r="Q624" s="1782">
        <f>Q600+Q608+Q609+Q610+Q611+Q612+Q613+Q614+Q615+Q616+Q617+Q618+Q619+Q620+Q621+Q622+Q623</f>
        <v>663.43200000000013</v>
      </c>
      <c r="R624" s="1782">
        <f t="shared" ref="R624:V624" si="682">R600+R608+R609+R610+R611+R612+R613+R614+R615+R616+R617+R618+R619+R620+R621+R622+R623</f>
        <v>723.59650000000011</v>
      </c>
      <c r="S624" s="1782">
        <f t="shared" si="682"/>
        <v>723.59650000000011</v>
      </c>
      <c r="T624" s="1782">
        <f t="shared" si="682"/>
        <v>723.59650000000011</v>
      </c>
      <c r="U624" s="1782">
        <f t="shared" si="682"/>
        <v>723.59650000000011</v>
      </c>
      <c r="V624" s="1782">
        <f t="shared" si="682"/>
        <v>723.59650000000011</v>
      </c>
      <c r="W624" s="1685"/>
      <c r="X624" s="1685"/>
      <c r="Y624" s="1685"/>
      <c r="Z624" s="1685"/>
      <c r="AA624" s="1685"/>
      <c r="AB624" s="1685"/>
      <c r="AC624" s="1685"/>
      <c r="AD624" s="1685"/>
    </row>
    <row r="625" spans="1:30" ht="15.75">
      <c r="A625" s="1685"/>
      <c r="B625" s="1778" t="s">
        <v>1815</v>
      </c>
      <c r="C625" s="1779"/>
      <c r="D625" s="1779"/>
      <c r="E625" s="1779"/>
      <c r="F625" s="1779"/>
      <c r="G625" s="1790"/>
      <c r="H625" s="1790" t="e">
        <f t="shared" ref="H625:V625" si="683">H624/AVERAGE(G527:H527)</f>
        <v>#REF!</v>
      </c>
      <c r="I625" s="1790" t="e">
        <f t="shared" si="683"/>
        <v>#REF!</v>
      </c>
      <c r="J625" s="1790">
        <f t="shared" si="683"/>
        <v>6.7029231815091767E-2</v>
      </c>
      <c r="K625" s="1790">
        <f t="shared" si="683"/>
        <v>6.5511381158916276E-2</v>
      </c>
      <c r="L625" s="1790">
        <f t="shared" si="683"/>
        <v>6.3225271143246609E-2</v>
      </c>
      <c r="M625" s="1790">
        <f t="shared" si="683"/>
        <v>6.0077232392039819E-2</v>
      </c>
      <c r="N625" s="1790">
        <f t="shared" si="683"/>
        <v>6.6060293218941163E-2</v>
      </c>
      <c r="O625" s="1790">
        <f t="shared" si="683"/>
        <v>7.5678395119957248E-2</v>
      </c>
      <c r="P625" s="1790">
        <f t="shared" si="683"/>
        <v>7.7314622911298217E-2</v>
      </c>
      <c r="Q625" s="1790">
        <f t="shared" si="683"/>
        <v>8.2651085724252213E-2</v>
      </c>
      <c r="R625" s="1790">
        <f t="shared" si="683"/>
        <v>8.9788494707714453E-2</v>
      </c>
      <c r="S625" s="1790">
        <f t="shared" si="683"/>
        <v>8.9593940369471547E-2</v>
      </c>
      <c r="T625" s="1790">
        <f t="shared" si="683"/>
        <v>8.9593940369471547E-2</v>
      </c>
      <c r="U625" s="1790">
        <f t="shared" si="683"/>
        <v>8.9593940369471547E-2</v>
      </c>
      <c r="V625" s="1790">
        <f t="shared" si="683"/>
        <v>8.9593940369471547E-2</v>
      </c>
      <c r="W625" s="1685"/>
      <c r="X625" s="1685"/>
      <c r="Y625" s="1685"/>
      <c r="Z625" s="1685"/>
      <c r="AA625" s="1685"/>
      <c r="AB625" s="1685"/>
      <c r="AC625" s="1685"/>
      <c r="AD625" s="1685"/>
    </row>
    <row r="626" spans="1:30" ht="15.75">
      <c r="A626" s="1685"/>
      <c r="B626" s="1685"/>
      <c r="C626" s="1685"/>
      <c r="D626" s="1685"/>
      <c r="E626" s="1685"/>
      <c r="F626" s="1685"/>
      <c r="G626" s="1685"/>
      <c r="H626" s="1685"/>
      <c r="I626" s="1685"/>
      <c r="J626" s="1685"/>
      <c r="K626" s="1685"/>
      <c r="L626" s="1685"/>
      <c r="M626" s="1685"/>
      <c r="N626" s="1685"/>
      <c r="O626" s="1711"/>
      <c r="P626" s="1685"/>
      <c r="Q626" s="1685"/>
      <c r="R626" s="1685"/>
      <c r="S626" s="1685"/>
      <c r="T626" s="1685"/>
      <c r="U626" s="1685"/>
      <c r="V626" s="1685"/>
      <c r="W626" s="1685"/>
      <c r="X626" s="1685"/>
      <c r="Y626" s="1685"/>
      <c r="Z626" s="1685"/>
      <c r="AA626" s="1685"/>
      <c r="AB626" s="1685"/>
      <c r="AC626" s="1685"/>
      <c r="AD626" s="1685"/>
    </row>
    <row r="627" spans="1:30" ht="15.75">
      <c r="A627" s="1685"/>
      <c r="B627" s="1685"/>
      <c r="C627" s="1685"/>
      <c r="D627" s="1685"/>
      <c r="E627" s="1685"/>
      <c r="F627" s="1685"/>
      <c r="G627" s="1685"/>
      <c r="H627" s="1685"/>
      <c r="I627" s="1685"/>
      <c r="J627" s="1685"/>
      <c r="K627" s="1685"/>
      <c r="L627" s="1685"/>
      <c r="M627" s="1685"/>
      <c r="N627" s="1685"/>
      <c r="O627" s="1685"/>
      <c r="P627" s="1685"/>
      <c r="Q627" s="1685"/>
      <c r="R627" s="1685"/>
      <c r="S627" s="1685"/>
      <c r="T627" s="1685"/>
      <c r="U627" s="1685"/>
      <c r="V627" s="1685"/>
      <c r="W627" s="1685"/>
      <c r="X627" s="1685"/>
      <c r="Y627" s="1685"/>
      <c r="Z627" s="1685"/>
      <c r="AA627" s="1685"/>
      <c r="AB627" s="1685"/>
      <c r="AC627" s="1685"/>
      <c r="AD627" s="1685"/>
    </row>
    <row r="628" spans="1:30" ht="15.75">
      <c r="A628" s="1685"/>
      <c r="B628" s="1685"/>
      <c r="C628" s="1685"/>
      <c r="D628" s="1685"/>
      <c r="E628" s="1685"/>
      <c r="F628" s="1685"/>
      <c r="G628" s="1685"/>
      <c r="H628" s="1685"/>
      <c r="I628" s="1685"/>
      <c r="J628" s="1685"/>
      <c r="K628" s="1685"/>
      <c r="L628" s="1685"/>
      <c r="M628" s="1685"/>
      <c r="N628" s="1685"/>
      <c r="O628" s="1685"/>
      <c r="P628" s="1685"/>
      <c r="Q628" s="1685"/>
      <c r="R628" s="1685"/>
      <c r="S628" s="1685"/>
      <c r="T628" s="1685"/>
      <c r="U628" s="1685"/>
      <c r="V628" s="1685"/>
      <c r="W628" s="1685"/>
      <c r="X628" s="1685"/>
      <c r="Y628" s="1685"/>
      <c r="Z628" s="1685"/>
      <c r="AA628" s="1685"/>
      <c r="AB628" s="1685"/>
      <c r="AC628" s="1685"/>
      <c r="AD628" s="1685"/>
    </row>
    <row r="629" spans="1:30" ht="15.75">
      <c r="A629" s="1685"/>
      <c r="B629" s="1685"/>
      <c r="C629" s="1685"/>
      <c r="D629" s="1685"/>
      <c r="E629" s="1685"/>
      <c r="F629" s="1685"/>
      <c r="G629" s="1685"/>
      <c r="H629" s="1685"/>
      <c r="I629" s="1685"/>
      <c r="J629" s="1685"/>
      <c r="K629" s="1685"/>
      <c r="L629" s="1685"/>
      <c r="M629" s="1685"/>
      <c r="N629" s="1685"/>
      <c r="O629" s="1685"/>
      <c r="P629" s="1685"/>
      <c r="Q629" s="1685"/>
      <c r="R629" s="1685"/>
      <c r="S629" s="1685"/>
      <c r="T629" s="1685"/>
      <c r="U629" s="1685"/>
      <c r="V629" s="1685"/>
      <c r="W629" s="1685"/>
      <c r="X629" s="1685"/>
      <c r="Y629" s="1685"/>
      <c r="Z629" s="1685"/>
      <c r="AA629" s="1685"/>
      <c r="AB629" s="1685"/>
      <c r="AC629" s="1685"/>
      <c r="AD629" s="1685"/>
    </row>
    <row r="630" spans="1:30" ht="15.75">
      <c r="A630" s="1685"/>
      <c r="B630" s="1685"/>
      <c r="C630" s="1685"/>
      <c r="D630" s="1685"/>
      <c r="E630" s="1685"/>
      <c r="F630" s="1685"/>
      <c r="G630" s="1685"/>
      <c r="H630" s="1685"/>
      <c r="I630" s="1685"/>
      <c r="J630" s="1685"/>
      <c r="K630" s="1685"/>
      <c r="L630" s="1685"/>
      <c r="M630" s="1685"/>
      <c r="N630" s="1685"/>
      <c r="O630" s="1685"/>
      <c r="P630" s="1685"/>
      <c r="Q630" s="1685"/>
      <c r="R630" s="1685"/>
      <c r="S630" s="1685"/>
      <c r="T630" s="1685"/>
      <c r="U630" s="1685"/>
      <c r="V630" s="1685"/>
      <c r="W630" s="1685"/>
      <c r="X630" s="1685"/>
      <c r="Y630" s="1685"/>
      <c r="Z630" s="1685"/>
      <c r="AA630" s="1685"/>
      <c r="AB630" s="1685"/>
      <c r="AC630" s="1685"/>
      <c r="AD630" s="1685"/>
    </row>
    <row r="631" spans="1:30" ht="15.75">
      <c r="A631" s="1685"/>
      <c r="B631" s="1685"/>
      <c r="C631" s="1685"/>
      <c r="D631" s="1685"/>
      <c r="E631" s="1685"/>
      <c r="F631" s="1685"/>
      <c r="G631" s="1685"/>
      <c r="H631" s="1685"/>
      <c r="I631" s="1685"/>
      <c r="J631" s="1685"/>
      <c r="K631" s="1685"/>
      <c r="L631" s="1685"/>
      <c r="M631" s="1685"/>
      <c r="N631" s="1685"/>
      <c r="O631" s="1685"/>
      <c r="P631" s="1685"/>
      <c r="Q631" s="1685"/>
      <c r="R631" s="1685"/>
      <c r="S631" s="1685"/>
      <c r="T631" s="1685"/>
      <c r="U631" s="1685"/>
      <c r="V631" s="1685"/>
      <c r="W631" s="1685"/>
      <c r="X631" s="1685"/>
      <c r="Y631" s="1685"/>
      <c r="Z631" s="1685"/>
      <c r="AA631" s="1685"/>
      <c r="AB631" s="1685"/>
      <c r="AC631" s="1685"/>
      <c r="AD631" s="1685"/>
    </row>
    <row r="632" spans="1:30" ht="15.75">
      <c r="A632" s="1685"/>
      <c r="B632" s="1685"/>
      <c r="C632" s="1685"/>
      <c r="D632" s="1685"/>
      <c r="E632" s="1685"/>
      <c r="F632" s="1685"/>
      <c r="G632" s="1685"/>
      <c r="H632" s="1685"/>
      <c r="I632" s="1685"/>
      <c r="J632" s="1685"/>
      <c r="K632" s="1685"/>
      <c r="L632" s="1685"/>
      <c r="M632" s="1685"/>
      <c r="N632" s="1685"/>
      <c r="O632" s="1685"/>
      <c r="P632" s="1685"/>
      <c r="Q632" s="1685"/>
      <c r="R632" s="1685"/>
      <c r="S632" s="1685"/>
      <c r="T632" s="1685"/>
      <c r="U632" s="1685"/>
      <c r="V632" s="1685"/>
      <c r="W632" s="1685"/>
      <c r="X632" s="1685"/>
      <c r="Y632" s="1685"/>
      <c r="Z632" s="1685"/>
      <c r="AA632" s="1685"/>
      <c r="AB632" s="1685"/>
      <c r="AC632" s="1685"/>
      <c r="AD632" s="1685"/>
    </row>
    <row r="633" spans="1:30" ht="15.75">
      <c r="A633" s="1685"/>
      <c r="B633" s="1685"/>
      <c r="C633" s="1685"/>
      <c r="D633" s="1685"/>
      <c r="E633" s="1685"/>
      <c r="F633" s="1685"/>
      <c r="G633" s="1685"/>
      <c r="H633" s="1685"/>
      <c r="I633" s="1685"/>
      <c r="J633" s="1685"/>
      <c r="K633" s="1685"/>
      <c r="L633" s="1685"/>
      <c r="M633" s="1685"/>
      <c r="N633" s="1685"/>
      <c r="O633" s="1685"/>
      <c r="P633" s="1685"/>
      <c r="Q633" s="1685"/>
      <c r="R633" s="1685"/>
      <c r="S633" s="1685"/>
      <c r="T633" s="1685"/>
      <c r="U633" s="1685"/>
      <c r="V633" s="1685"/>
      <c r="W633" s="1685"/>
      <c r="X633" s="1685"/>
      <c r="Y633" s="1685"/>
      <c r="Z633" s="1685"/>
      <c r="AA633" s="1685"/>
      <c r="AB633" s="1685"/>
      <c r="AC633" s="1685"/>
      <c r="AD633" s="1685"/>
    </row>
    <row r="634" spans="1:30" ht="15.75">
      <c r="A634" s="1685"/>
      <c r="B634" s="1685"/>
      <c r="C634" s="1685"/>
      <c r="D634" s="1685"/>
      <c r="E634" s="1685"/>
      <c r="F634" s="1685"/>
      <c r="G634" s="1685"/>
      <c r="H634" s="1685"/>
      <c r="I634" s="1685"/>
      <c r="J634" s="1685"/>
      <c r="K634" s="1685"/>
      <c r="L634" s="1685"/>
      <c r="M634" s="1685"/>
      <c r="N634" s="1685"/>
      <c r="O634" s="1685"/>
      <c r="P634" s="1685"/>
      <c r="Q634" s="1685"/>
      <c r="R634" s="1685"/>
      <c r="S634" s="1685"/>
      <c r="T634" s="1685"/>
      <c r="U634" s="1685"/>
      <c r="V634" s="1685"/>
      <c r="W634" s="1685"/>
      <c r="X634" s="1685"/>
      <c r="Y634" s="1685"/>
      <c r="Z634" s="1685"/>
      <c r="AA634" s="1685"/>
      <c r="AB634" s="1685"/>
      <c r="AC634" s="1685"/>
      <c r="AD634" s="1685"/>
    </row>
    <row r="635" spans="1:30" ht="15.75">
      <c r="A635" s="1685"/>
      <c r="B635" s="1685"/>
      <c r="C635" s="1685"/>
      <c r="D635" s="1685"/>
      <c r="E635" s="1685"/>
      <c r="F635" s="1685"/>
      <c r="G635" s="1685"/>
      <c r="H635" s="1685"/>
      <c r="I635" s="1685"/>
      <c r="J635" s="1685"/>
      <c r="K635" s="1685"/>
      <c r="L635" s="1685"/>
      <c r="M635" s="1685"/>
      <c r="N635" s="1685"/>
      <c r="O635" s="1685"/>
      <c r="P635" s="1685"/>
      <c r="Q635" s="1685"/>
      <c r="R635" s="1685"/>
      <c r="S635" s="1685"/>
      <c r="T635" s="1685"/>
      <c r="U635" s="1685"/>
      <c r="V635" s="1685"/>
      <c r="W635" s="1685"/>
      <c r="X635" s="1685"/>
      <c r="Y635" s="1685"/>
      <c r="Z635" s="1685"/>
      <c r="AA635" s="1685"/>
      <c r="AB635" s="1685"/>
      <c r="AC635" s="1685"/>
      <c r="AD635" s="1685"/>
    </row>
    <row r="636" spans="1:30" ht="15.75">
      <c r="A636" s="1685"/>
      <c r="B636" s="1685"/>
      <c r="C636" s="1685"/>
      <c r="D636" s="1685"/>
      <c r="E636" s="1685"/>
      <c r="F636" s="1685"/>
      <c r="G636" s="1685"/>
      <c r="H636" s="1685"/>
      <c r="I636" s="1685"/>
      <c r="J636" s="1685"/>
      <c r="K636" s="1685"/>
      <c r="L636" s="1685"/>
      <c r="M636" s="1685"/>
      <c r="N636" s="1685"/>
      <c r="O636" s="1685"/>
      <c r="P636" s="1685"/>
      <c r="Q636" s="1685"/>
      <c r="R636" s="1685"/>
      <c r="S636" s="1685"/>
      <c r="T636" s="1685"/>
      <c r="U636" s="1685"/>
      <c r="V636" s="1685"/>
      <c r="W636" s="1685"/>
      <c r="X636" s="1685"/>
      <c r="Y636" s="1685"/>
      <c r="Z636" s="1685"/>
      <c r="AA636" s="1685"/>
      <c r="AB636" s="1685"/>
      <c r="AC636" s="1685"/>
      <c r="AD636" s="1685"/>
    </row>
    <row r="637" spans="1:30" ht="15.75">
      <c r="A637" s="1685"/>
      <c r="B637" s="1685"/>
      <c r="C637" s="1685"/>
      <c r="D637" s="1685"/>
      <c r="E637" s="1685"/>
      <c r="F637" s="1685"/>
      <c r="G637" s="1685"/>
      <c r="H637" s="1685"/>
      <c r="I637" s="1685"/>
      <c r="J637" s="1685"/>
      <c r="K637" s="1685"/>
      <c r="L637" s="1685"/>
      <c r="M637" s="1685"/>
      <c r="N637" s="1685"/>
      <c r="O637" s="1685"/>
      <c r="P637" s="1685"/>
      <c r="Q637" s="1685"/>
      <c r="R637" s="1685"/>
      <c r="S637" s="1685"/>
      <c r="T637" s="1685"/>
      <c r="U637" s="1685"/>
      <c r="V637" s="1685"/>
      <c r="W637" s="1685"/>
      <c r="X637" s="1685"/>
      <c r="Y637" s="1685"/>
      <c r="Z637" s="1685"/>
      <c r="AA637" s="1685"/>
      <c r="AB637" s="1685"/>
      <c r="AC637" s="1685"/>
      <c r="AD637" s="1685"/>
    </row>
    <row r="638" spans="1:30" ht="15.75">
      <c r="A638" s="1685"/>
      <c r="B638" s="1685"/>
      <c r="C638" s="1685"/>
      <c r="D638" s="1685"/>
      <c r="E638" s="1685"/>
      <c r="F638" s="1685"/>
      <c r="G638" s="1685"/>
      <c r="H638" s="1685"/>
      <c r="I638" s="1685"/>
      <c r="J638" s="1685"/>
      <c r="K638" s="1685"/>
      <c r="L638" s="1685"/>
      <c r="M638" s="1685"/>
      <c r="N638" s="1685"/>
      <c r="O638" s="1685"/>
      <c r="P638" s="1685"/>
      <c r="Q638" s="1685"/>
      <c r="R638" s="1685"/>
      <c r="S638" s="1685"/>
      <c r="T638" s="1685"/>
      <c r="U638" s="1685"/>
      <c r="V638" s="1685"/>
      <c r="W638" s="1685"/>
      <c r="X638" s="1685"/>
      <c r="Y638" s="1685"/>
      <c r="Z638" s="1685"/>
      <c r="AA638" s="1685"/>
      <c r="AB638" s="1685"/>
      <c r="AC638" s="1685"/>
      <c r="AD638" s="1685"/>
    </row>
    <row r="639" spans="1:30" ht="15.75">
      <c r="A639" s="1685"/>
      <c r="B639" s="1685"/>
      <c r="C639" s="1685"/>
      <c r="D639" s="1685"/>
      <c r="E639" s="1685"/>
      <c r="F639" s="1685"/>
      <c r="G639" s="1685"/>
      <c r="H639" s="1685"/>
      <c r="I639" s="1685"/>
      <c r="J639" s="1685"/>
      <c r="K639" s="1685"/>
      <c r="L639" s="1685"/>
      <c r="M639" s="1685"/>
      <c r="N639" s="1685"/>
      <c r="O639" s="1685"/>
      <c r="P639" s="1685"/>
      <c r="Q639" s="1685"/>
      <c r="R639" s="1685"/>
      <c r="S639" s="1685"/>
      <c r="T639" s="1685"/>
      <c r="U639" s="1685"/>
      <c r="V639" s="1685"/>
      <c r="W639" s="1685"/>
      <c r="X639" s="1685"/>
      <c r="Y639" s="1685"/>
      <c r="Z639" s="1685"/>
      <c r="AA639" s="1685"/>
      <c r="AB639" s="1685"/>
      <c r="AC639" s="1685"/>
      <c r="AD639" s="1685"/>
    </row>
    <row r="640" spans="1:30" ht="15.75">
      <c r="A640" s="1685"/>
      <c r="B640" s="1685"/>
      <c r="C640" s="1685"/>
      <c r="D640" s="1685"/>
      <c r="E640" s="1685"/>
      <c r="F640" s="1685"/>
      <c r="G640" s="1685"/>
      <c r="H640" s="1685"/>
      <c r="I640" s="1685"/>
      <c r="J640" s="1685"/>
      <c r="K640" s="1685"/>
      <c r="L640" s="1685"/>
      <c r="M640" s="1685"/>
      <c r="N640" s="1685"/>
      <c r="O640" s="1685"/>
      <c r="P640" s="1685"/>
      <c r="Q640" s="1685"/>
      <c r="R640" s="1685"/>
      <c r="S640" s="1685"/>
      <c r="T640" s="1685"/>
      <c r="U640" s="1685"/>
      <c r="V640" s="1685"/>
      <c r="W640" s="1685"/>
      <c r="X640" s="1685"/>
      <c r="Y640" s="1685"/>
      <c r="Z640" s="1685"/>
      <c r="AA640" s="1685"/>
      <c r="AB640" s="1685"/>
      <c r="AC640" s="1685"/>
      <c r="AD640" s="1685"/>
    </row>
    <row r="641" spans="1:30" ht="15.75">
      <c r="A641" s="1685"/>
      <c r="B641" s="1685"/>
      <c r="C641" s="1685"/>
      <c r="D641" s="1685"/>
      <c r="E641" s="1685"/>
      <c r="F641" s="1685"/>
      <c r="G641" s="1685"/>
      <c r="H641" s="1685"/>
      <c r="I641" s="1685"/>
      <c r="J641" s="1685"/>
      <c r="K641" s="1685"/>
      <c r="L641" s="1685"/>
      <c r="M641" s="1685"/>
      <c r="N641" s="1685"/>
      <c r="O641" s="1685"/>
      <c r="P641" s="1685"/>
      <c r="Q641" s="1685"/>
      <c r="R641" s="1685"/>
      <c r="S641" s="1685"/>
      <c r="T641" s="1685"/>
      <c r="U641" s="1685"/>
      <c r="V641" s="1685"/>
      <c r="W641" s="1685"/>
      <c r="X641" s="1685"/>
      <c r="Y641" s="1685"/>
      <c r="Z641" s="1685"/>
      <c r="AA641" s="1685"/>
      <c r="AB641" s="1685"/>
      <c r="AC641" s="1685"/>
      <c r="AD641" s="1685"/>
    </row>
  </sheetData>
  <pageMargins left="0.70866141732283472" right="0.70866141732283472" top="0.74803149606299213" bottom="0.74803149606299213" header="0.31496062992125984" footer="0.31496062992125984"/>
  <pageSetup paperSize="9" scale="30" fitToHeight="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DK1100"/>
  <sheetViews>
    <sheetView topLeftCell="A39" zoomScale="65" zoomScaleNormal="72" workbookViewId="0">
      <pane xSplit="2" topLeftCell="AJ1" activePane="topRight" state="frozen"/>
      <selection activeCell="O354" sqref="O354"/>
      <selection pane="topRight" activeCell="AW42" sqref="AW42"/>
    </sheetView>
  </sheetViews>
  <sheetFormatPr defaultRowHeight="15" outlineLevelRow="3" outlineLevelCol="1"/>
  <cols>
    <col min="2" max="2" width="28.42578125" customWidth="1"/>
    <col min="3" max="11" width="8.42578125" hidden="1" customWidth="1" outlineLevel="1"/>
    <col min="12" max="12" width="9" hidden="1" customWidth="1" outlineLevel="1"/>
    <col min="13" max="16" width="9.140625" hidden="1" customWidth="1" outlineLevel="1"/>
    <col min="17" max="17" width="9.140625" customWidth="1" collapsed="1"/>
    <col min="18" max="22" width="9.140625" customWidth="1"/>
    <col min="26" max="27" width="8.85546875" customWidth="1"/>
    <col min="38" max="38" width="9" customWidth="1"/>
    <col min="59" max="64" width="9" customWidth="1"/>
    <col min="65" max="72" width="8.140625" customWidth="1"/>
  </cols>
  <sheetData>
    <row r="2" spans="2:96" ht="15.75">
      <c r="B2" s="635" t="s">
        <v>3943</v>
      </c>
      <c r="C2" s="53"/>
      <c r="D2" s="53"/>
      <c r="E2" s="53"/>
      <c r="F2" s="53"/>
      <c r="G2" s="53"/>
      <c r="H2" s="53"/>
      <c r="I2" s="53"/>
      <c r="J2" s="53"/>
      <c r="K2" s="53"/>
      <c r="L2" s="58"/>
      <c r="M2" s="54"/>
      <c r="N2" s="53"/>
      <c r="O2" s="5"/>
      <c r="AH2" s="16"/>
      <c r="AI2" s="16"/>
      <c r="AJ2" s="16"/>
      <c r="AK2" s="16"/>
    </row>
    <row r="3" spans="2:96" ht="15.75">
      <c r="B3" s="53"/>
      <c r="C3" s="53"/>
      <c r="H3" s="53"/>
      <c r="I3" s="53"/>
      <c r="J3" s="53"/>
      <c r="K3" s="53"/>
      <c r="L3" s="53"/>
      <c r="M3" s="53"/>
      <c r="N3" s="53"/>
      <c r="O3" s="53"/>
      <c r="R3" s="5"/>
      <c r="S3" s="5"/>
      <c r="T3" s="5"/>
      <c r="U3" s="5"/>
      <c r="V3" s="5"/>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2:96" ht="15.75">
      <c r="B4" s="636" t="s">
        <v>3358</v>
      </c>
      <c r="C4" s="50"/>
      <c r="D4" s="3"/>
      <c r="E4" s="3"/>
      <c r="F4" s="3"/>
      <c r="G4" s="3"/>
      <c r="H4" s="51" t="s">
        <v>882</v>
      </c>
      <c r="I4" s="51" t="s">
        <v>883</v>
      </c>
      <c r="J4" s="51" t="s">
        <v>1619</v>
      </c>
      <c r="K4" s="51" t="s">
        <v>1636</v>
      </c>
      <c r="L4" s="51" t="s">
        <v>2092</v>
      </c>
      <c r="M4" s="51" t="s">
        <v>1559</v>
      </c>
      <c r="N4" s="51" t="s">
        <v>1560</v>
      </c>
      <c r="O4" s="51" t="s">
        <v>2570</v>
      </c>
      <c r="P4" s="51" t="s">
        <v>2866</v>
      </c>
      <c r="Q4" s="51" t="s">
        <v>3156</v>
      </c>
      <c r="R4" s="51" t="s">
        <v>3165</v>
      </c>
      <c r="S4" s="51" t="s">
        <v>3482</v>
      </c>
      <c r="T4" s="51" t="s">
        <v>3779</v>
      </c>
      <c r="U4" s="51" t="s">
        <v>3859</v>
      </c>
      <c r="V4" s="51" t="s">
        <v>3860</v>
      </c>
      <c r="W4" s="854">
        <v>2018</v>
      </c>
      <c r="X4" s="51" t="s">
        <v>4078</v>
      </c>
      <c r="Y4" s="51" t="s">
        <v>4356</v>
      </c>
      <c r="Z4" s="51" t="s">
        <v>4427</v>
      </c>
      <c r="AA4" s="51" t="s">
        <v>4535</v>
      </c>
      <c r="AB4" s="854">
        <v>2019</v>
      </c>
      <c r="AC4" s="51" t="s">
        <v>4755</v>
      </c>
      <c r="AD4" s="51" t="s">
        <v>4922</v>
      </c>
      <c r="AE4" s="51" t="s">
        <v>5188</v>
      </c>
      <c r="AF4" s="51" t="s">
        <v>5371</v>
      </c>
      <c r="AG4" s="854">
        <v>2020</v>
      </c>
      <c r="AH4" s="51" t="s">
        <v>5556</v>
      </c>
      <c r="AI4" s="51" t="s">
        <v>5696</v>
      </c>
      <c r="AJ4" s="51" t="s">
        <v>5878</v>
      </c>
      <c r="AK4" s="51" t="s">
        <v>5920</v>
      </c>
      <c r="AL4" s="854">
        <v>2021</v>
      </c>
      <c r="AM4" s="51" t="s">
        <v>5949</v>
      </c>
      <c r="AN4" s="51" t="s">
        <v>5950</v>
      </c>
      <c r="AO4" s="51" t="s">
        <v>5951</v>
      </c>
      <c r="AP4" s="51" t="s">
        <v>5952</v>
      </c>
      <c r="AQ4" s="854">
        <v>2022</v>
      </c>
      <c r="AR4" s="51" t="s">
        <v>6525</v>
      </c>
      <c r="AS4" s="51" t="s">
        <v>6526</v>
      </c>
      <c r="AT4" s="51" t="s">
        <v>6527</v>
      </c>
      <c r="AU4" s="51" t="s">
        <v>6528</v>
      </c>
      <c r="AV4" s="854">
        <v>2023</v>
      </c>
      <c r="AW4" s="51" t="s">
        <v>7121</v>
      </c>
      <c r="AX4" s="51" t="s">
        <v>7451</v>
      </c>
      <c r="AY4" s="51" t="s">
        <v>7800</v>
      </c>
      <c r="AZ4" s="51" t="s">
        <v>7018</v>
      </c>
      <c r="BA4" s="854" t="s">
        <v>7029</v>
      </c>
      <c r="BB4" s="51" t="s">
        <v>7736</v>
      </c>
      <c r="BC4" s="51" t="s">
        <v>7737</v>
      </c>
      <c r="BD4" s="51" t="s">
        <v>7738</v>
      </c>
      <c r="BE4" s="51" t="s">
        <v>7739</v>
      </c>
      <c r="BF4" s="854" t="s">
        <v>7030</v>
      </c>
      <c r="BG4" s="1443"/>
      <c r="BH4" s="51"/>
      <c r="BI4" s="51" t="str">
        <f t="shared" ref="BI4:BP4" si="0">O4</f>
        <v>Q1 17</v>
      </c>
      <c r="BJ4" s="51" t="str">
        <f t="shared" si="0"/>
        <v>Q2 17</v>
      </c>
      <c r="BK4" s="51" t="str">
        <f t="shared" si="0"/>
        <v>Q3 17</v>
      </c>
      <c r="BL4" s="51" t="str">
        <f t="shared" si="0"/>
        <v>Q4 17</v>
      </c>
      <c r="BM4" s="51" t="str">
        <f t="shared" si="0"/>
        <v>Q1 18</v>
      </c>
      <c r="BN4" s="51" t="str">
        <f t="shared" si="0"/>
        <v>Q2 18</v>
      </c>
      <c r="BO4" s="51" t="str">
        <f t="shared" si="0"/>
        <v>Q3 18</v>
      </c>
      <c r="BP4" s="51" t="str">
        <f t="shared" si="0"/>
        <v>Q4 18</v>
      </c>
      <c r="BQ4" s="51" t="str">
        <f>X4</f>
        <v>Q1 19</v>
      </c>
      <c r="BR4" s="51" t="str">
        <f>Y4</f>
        <v>Q2 19</v>
      </c>
      <c r="BS4" s="51" t="str">
        <f>Z4</f>
        <v>Q3 19</v>
      </c>
      <c r="BT4" s="51" t="str">
        <f>AA4</f>
        <v>Q4 19</v>
      </c>
      <c r="BU4" s="51" t="s">
        <v>4755</v>
      </c>
      <c r="BV4" s="51" t="s">
        <v>4922</v>
      </c>
      <c r="BW4" s="51" t="s">
        <v>5188</v>
      </c>
      <c r="BX4" s="51" t="s">
        <v>5371</v>
      </c>
      <c r="BY4" s="51" t="s">
        <v>5556</v>
      </c>
      <c r="BZ4" s="51" t="s">
        <v>5696</v>
      </c>
      <c r="CA4" s="51" t="s">
        <v>5878</v>
      </c>
      <c r="CB4" s="51" t="s">
        <v>5920</v>
      </c>
      <c r="CC4" s="51" t="s">
        <v>5949</v>
      </c>
      <c r="CD4" s="51" t="s">
        <v>5950</v>
      </c>
      <c r="CE4" s="51" t="s">
        <v>5951</v>
      </c>
      <c r="CF4" s="51" t="s">
        <v>5952</v>
      </c>
      <c r="CG4" s="51" t="s">
        <v>6525</v>
      </c>
      <c r="CH4" s="51" t="s">
        <v>6526</v>
      </c>
      <c r="CI4" s="51" t="s">
        <v>6527</v>
      </c>
      <c r="CJ4" s="51" t="s">
        <v>6528</v>
      </c>
      <c r="CK4" s="51" t="str">
        <f>AW4</f>
        <v>Q1 24</v>
      </c>
      <c r="CL4" s="51" t="str">
        <f>AX4</f>
        <v>Q2 24</v>
      </c>
      <c r="CM4" s="51" t="str">
        <f>AY4</f>
        <v>Q3 24</v>
      </c>
      <c r="CN4" s="51" t="str">
        <f>AZ4</f>
        <v>Q4 24e</v>
      </c>
      <c r="CO4" s="51" t="str">
        <f t="shared" ref="CO4:CR4" si="1">BB4</f>
        <v>Q1 25e</v>
      </c>
      <c r="CP4" s="51" t="str">
        <f t="shared" si="1"/>
        <v>Q2 25e</v>
      </c>
      <c r="CQ4" s="51" t="str">
        <f t="shared" si="1"/>
        <v>Q3 25e</v>
      </c>
      <c r="CR4" s="51" t="str">
        <f t="shared" si="1"/>
        <v>Q4 25e</v>
      </c>
    </row>
    <row r="5" spans="2:96" ht="15.75">
      <c r="B5" s="53" t="s">
        <v>32</v>
      </c>
      <c r="C5" s="53"/>
      <c r="F5" t="s">
        <v>6143</v>
      </c>
      <c r="H5" s="53" t="s">
        <v>5950</v>
      </c>
      <c r="I5" s="53">
        <v>80.7</v>
      </c>
      <c r="J5" s="53"/>
      <c r="K5" s="53">
        <v>82.1</v>
      </c>
      <c r="L5" s="53">
        <v>80.5</v>
      </c>
      <c r="M5" s="621">
        <v>81</v>
      </c>
      <c r="N5" s="621">
        <v>85</v>
      </c>
      <c r="O5" s="53">
        <v>83.6</v>
      </c>
      <c r="P5" s="53">
        <v>87.9</v>
      </c>
      <c r="Q5" s="621">
        <v>89</v>
      </c>
      <c r="R5" s="53">
        <v>91.9</v>
      </c>
      <c r="S5" s="53">
        <v>88.5</v>
      </c>
      <c r="T5" s="53">
        <v>86.3</v>
      </c>
      <c r="U5" s="53">
        <v>90.4</v>
      </c>
      <c r="V5" s="621">
        <f>361.6-S5-T5-U5</f>
        <v>96.4</v>
      </c>
      <c r="W5" s="855">
        <v>361.6</v>
      </c>
      <c r="X5" s="621">
        <v>93</v>
      </c>
      <c r="Y5" s="621">
        <v>99.3</v>
      </c>
      <c r="Z5" s="621">
        <v>95.3</v>
      </c>
      <c r="AA5" s="621">
        <f>383.6-X5-Y5-Z5</f>
        <v>96.000000000000014</v>
      </c>
      <c r="AB5" s="855">
        <f>Master!K40</f>
        <v>383.6</v>
      </c>
      <c r="AC5" s="728">
        <v>96.1</v>
      </c>
      <c r="AD5" s="728">
        <v>87.6</v>
      </c>
      <c r="AE5" s="728">
        <v>93.8</v>
      </c>
      <c r="AF5" s="728">
        <f>375.5-AC5-AD5-AE5</f>
        <v>97.999999999999986</v>
      </c>
      <c r="AG5" s="855">
        <f>Master!L40</f>
        <v>376</v>
      </c>
      <c r="AH5" s="728">
        <v>97.3</v>
      </c>
      <c r="AI5" s="728">
        <v>99.4</v>
      </c>
      <c r="AJ5" s="728">
        <v>100.6</v>
      </c>
      <c r="AK5" s="728">
        <f>402-AH5-AI5-AJ5</f>
        <v>104.69999999999999</v>
      </c>
      <c r="AL5" s="855">
        <f>Master!M40</f>
        <v>402</v>
      </c>
      <c r="AM5" s="728">
        <v>104.8</v>
      </c>
      <c r="AN5" s="728">
        <v>105.3</v>
      </c>
      <c r="AO5" s="728">
        <v>108.5</v>
      </c>
      <c r="AP5" s="728">
        <f>428.8-AM5-AN5-AO5</f>
        <v>110.19999999999999</v>
      </c>
      <c r="AQ5" s="855">
        <f>Master!N40</f>
        <v>429</v>
      </c>
      <c r="AR5" s="728">
        <v>98.8</v>
      </c>
      <c r="AS5" s="728">
        <v>99.6</v>
      </c>
      <c r="AT5" s="728">
        <v>103.2</v>
      </c>
      <c r="AU5" s="728">
        <f>405.7-AR5-AS5-AT5</f>
        <v>104.09999999999998</v>
      </c>
      <c r="AV5" s="855">
        <f>Master!O40</f>
        <v>406</v>
      </c>
      <c r="AW5" s="728">
        <v>101.3</v>
      </c>
      <c r="AX5" s="728">
        <v>104</v>
      </c>
      <c r="AY5" s="728">
        <v>103.1</v>
      </c>
      <c r="AZ5" s="630">
        <f>BA5-AW5-AX5-AY5</f>
        <v>109.75461377811106</v>
      </c>
      <c r="BA5" s="855">
        <f>Master!P40</f>
        <v>418.15461377811107</v>
      </c>
      <c r="BB5" s="630"/>
      <c r="BC5" s="630"/>
      <c r="BD5" s="630"/>
      <c r="BE5" s="630"/>
      <c r="BF5" s="855">
        <f>Master!Q40</f>
        <v>431.58031198993291</v>
      </c>
      <c r="BG5" s="630"/>
      <c r="BH5" s="56"/>
      <c r="BI5" s="56">
        <f t="shared" ref="BI5:BP5" si="2">O5/K5-1</f>
        <v>1.8270401948842885E-2</v>
      </c>
      <c r="BJ5" s="56">
        <f t="shared" si="2"/>
        <v>9.1925465838509357E-2</v>
      </c>
      <c r="BK5" s="56">
        <f t="shared" si="2"/>
        <v>9.8765432098765427E-2</v>
      </c>
      <c r="BL5" s="56">
        <f t="shared" si="2"/>
        <v>8.1176470588235405E-2</v>
      </c>
      <c r="BM5" s="56">
        <f t="shared" si="2"/>
        <v>5.8612440191387671E-2</v>
      </c>
      <c r="BN5" s="56">
        <f t="shared" si="2"/>
        <v>-1.8202502844141155E-2</v>
      </c>
      <c r="BO5" s="56">
        <f t="shared" si="2"/>
        <v>1.5730337078651679E-2</v>
      </c>
      <c r="BP5" s="56">
        <f t="shared" si="2"/>
        <v>4.8966267682263309E-2</v>
      </c>
      <c r="BQ5" s="56">
        <f>X5/S5-1</f>
        <v>5.0847457627118731E-2</v>
      </c>
      <c r="BR5" s="56">
        <f>Y5/T5-1</f>
        <v>0.15063731170336037</v>
      </c>
      <c r="BS5" s="56">
        <f>Z5/U5-1</f>
        <v>5.420353982300874E-2</v>
      </c>
      <c r="BT5" s="56">
        <f>AA5/V5-1</f>
        <v>-4.1493775933608701E-3</v>
      </c>
      <c r="BU5" s="56">
        <f>AC5/X5-1</f>
        <v>3.3333333333333215E-2</v>
      </c>
      <c r="BV5" s="56">
        <f>AD5/Y5-1</f>
        <v>-0.1178247734138973</v>
      </c>
      <c r="BW5" s="56">
        <f>AE5/Z5-1</f>
        <v>-1.5739769150052485E-2</v>
      </c>
      <c r="BX5" s="56">
        <f>AF5/AA5-1</f>
        <v>2.0833333333333037E-2</v>
      </c>
      <c r="BY5" s="56">
        <f>AH5/AC5-1</f>
        <v>1.2486992715921019E-2</v>
      </c>
      <c r="BZ5" s="56">
        <f>AI5/AD5-1</f>
        <v>0.13470319634703221</v>
      </c>
      <c r="CA5" s="56">
        <f>AJ5/AE5-1</f>
        <v>7.2494669509594933E-2</v>
      </c>
      <c r="CB5" s="56">
        <f>AK5/AF5-1</f>
        <v>6.8367346938775553E-2</v>
      </c>
      <c r="CC5" s="56">
        <f>AM5/AH5-1</f>
        <v>7.7081192189105918E-2</v>
      </c>
      <c r="CD5" s="56">
        <f>AN5/AI5-1</f>
        <v>5.9356136820925443E-2</v>
      </c>
      <c r="CE5" s="56">
        <f>AO5/AJ5-1</f>
        <v>7.852882703777353E-2</v>
      </c>
      <c r="CF5" s="56">
        <f>AP5/AK5-1</f>
        <v>5.2531041069723061E-2</v>
      </c>
      <c r="CG5" s="56">
        <f>AR5/AM5-1</f>
        <v>-5.7251908396946605E-2</v>
      </c>
      <c r="CH5" s="56">
        <f>AS5/AN5-1</f>
        <v>-5.4131054131054124E-2</v>
      </c>
      <c r="CI5" s="56">
        <f>AT5/AO5-1</f>
        <v>-4.8847926267281072E-2</v>
      </c>
      <c r="CJ5" s="56">
        <f>AU5/AP5-1</f>
        <v>-5.5353901996370358E-2</v>
      </c>
      <c r="CK5" s="56"/>
      <c r="CL5" s="56"/>
      <c r="CM5" s="56"/>
      <c r="CN5" s="56"/>
    </row>
    <row r="6" spans="2:96" ht="15.75">
      <c r="B6" s="55" t="s">
        <v>2909</v>
      </c>
      <c r="C6" s="55"/>
      <c r="D6" s="8"/>
      <c r="E6" s="10" t="e">
        <f>C6/D6-1</f>
        <v>#DIV/0!</v>
      </c>
      <c r="F6" s="8"/>
      <c r="G6" s="8"/>
      <c r="H6" s="55">
        <f>316.8-I6</f>
        <v>154.4</v>
      </c>
      <c r="I6" s="55">
        <v>162.4</v>
      </c>
      <c r="J6" s="55"/>
      <c r="K6" s="55">
        <f>K17-K5-K12-K13-K14-K15</f>
        <v>184.3</v>
      </c>
      <c r="L6" s="55">
        <f>318.2-M6</f>
        <v>318.2</v>
      </c>
      <c r="M6" s="55"/>
      <c r="N6" s="55"/>
      <c r="O6" s="55">
        <f>O17-O5-O12-O13-O14-O15</f>
        <v>183.3</v>
      </c>
      <c r="P6" s="55"/>
      <c r="Q6" s="55"/>
      <c r="R6" s="55"/>
      <c r="S6" s="55"/>
      <c r="T6" s="55"/>
      <c r="U6" s="55"/>
      <c r="V6" s="55"/>
      <c r="W6" s="856"/>
      <c r="X6" s="55"/>
      <c r="Y6" s="55"/>
      <c r="Z6" s="55"/>
      <c r="AA6" s="55"/>
      <c r="AB6" s="856"/>
      <c r="AC6" s="809"/>
      <c r="AD6" s="809"/>
      <c r="AE6" s="809"/>
      <c r="AF6" s="809"/>
      <c r="AG6" s="856"/>
      <c r="AH6" s="809"/>
      <c r="AI6" s="809"/>
      <c r="AJ6" s="809"/>
      <c r="AK6" s="809"/>
      <c r="AL6" s="856"/>
      <c r="AM6" s="809"/>
      <c r="AN6" s="809"/>
      <c r="AO6" s="809"/>
      <c r="AP6" s="809"/>
      <c r="AQ6" s="856"/>
      <c r="AR6" s="809"/>
      <c r="AS6" s="809"/>
      <c r="AT6" s="809"/>
      <c r="AU6" s="809"/>
      <c r="AV6" s="856"/>
      <c r="AW6" s="809"/>
      <c r="AX6" s="809"/>
      <c r="AY6" s="809"/>
      <c r="AZ6" s="809"/>
      <c r="BA6" s="856"/>
      <c r="BB6" s="809"/>
      <c r="BC6" s="809"/>
      <c r="BD6" s="809"/>
      <c r="BE6" s="809"/>
      <c r="BF6" s="856"/>
      <c r="BG6" s="630"/>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row>
    <row r="7" spans="2:96" ht="15.75">
      <c r="B7" s="53" t="s">
        <v>3</v>
      </c>
      <c r="C7" s="55"/>
      <c r="D7" s="8"/>
      <c r="E7" s="10" t="e">
        <f t="shared" ref="E7:E22" si="3">C7/D7-1</f>
        <v>#DIV/0!</v>
      </c>
      <c r="F7" s="8"/>
      <c r="G7" s="8"/>
      <c r="H7" s="55"/>
      <c r="I7" s="55"/>
      <c r="J7" s="55"/>
      <c r="K7" s="53">
        <f>29.1-L7</f>
        <v>14.600000000000001</v>
      </c>
      <c r="L7" s="53">
        <v>14.5</v>
      </c>
      <c r="M7" s="53">
        <v>14.9</v>
      </c>
      <c r="N7" s="53">
        <v>14.7</v>
      </c>
      <c r="O7" s="53">
        <f>30.5-P7</f>
        <v>15.5</v>
      </c>
      <c r="P7" s="621">
        <v>15</v>
      </c>
      <c r="Q7" s="621">
        <v>15.2</v>
      </c>
      <c r="R7" s="621">
        <v>14.9</v>
      </c>
      <c r="S7" s="702">
        <v>15</v>
      </c>
      <c r="T7" s="702">
        <v>15</v>
      </c>
      <c r="U7" s="702">
        <v>15</v>
      </c>
      <c r="V7" s="702">
        <v>15</v>
      </c>
      <c r="W7" s="855">
        <v>60</v>
      </c>
      <c r="X7" s="702">
        <v>15</v>
      </c>
      <c r="Y7" s="702">
        <v>15</v>
      </c>
      <c r="Z7" s="702">
        <v>15</v>
      </c>
      <c r="AA7" s="702">
        <v>5</v>
      </c>
      <c r="AB7" s="855">
        <v>50</v>
      </c>
      <c r="AC7" s="728"/>
      <c r="AD7" s="728"/>
      <c r="AE7" s="728"/>
      <c r="AF7" s="728"/>
      <c r="AG7" s="855"/>
      <c r="AH7" s="728"/>
      <c r="AI7" s="728"/>
      <c r="AJ7" s="728"/>
      <c r="AK7" s="728"/>
      <c r="AL7" s="855"/>
      <c r="AM7" s="728"/>
      <c r="AN7" s="728"/>
      <c r="AO7" s="728"/>
      <c r="AP7" s="728"/>
      <c r="AQ7" s="855"/>
      <c r="AR7" s="728"/>
      <c r="AS7" s="728"/>
      <c r="AT7" s="728"/>
      <c r="AU7" s="728"/>
      <c r="AV7" s="855"/>
      <c r="AW7" s="728"/>
      <c r="AX7" s="728"/>
      <c r="AY7" s="728"/>
      <c r="AZ7" s="728"/>
      <c r="BA7" s="855"/>
      <c r="BB7" s="728"/>
      <c r="BC7" s="728"/>
      <c r="BD7" s="728"/>
      <c r="BE7" s="728"/>
      <c r="BF7" s="855"/>
      <c r="BG7" s="630"/>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row>
    <row r="8" spans="2:96" ht="15.75">
      <c r="B8" s="53" t="s">
        <v>1416</v>
      </c>
      <c r="C8" s="53"/>
      <c r="E8" s="6" t="e">
        <f t="shared" si="3"/>
        <v>#DIV/0!</v>
      </c>
      <c r="F8">
        <v>177.5</v>
      </c>
      <c r="G8" s="6">
        <f>C8/F8-1</f>
        <v>-1</v>
      </c>
      <c r="H8" s="53"/>
      <c r="I8" s="54" t="e">
        <f>C8/H8-1</f>
        <v>#DIV/0!</v>
      </c>
      <c r="J8" s="53"/>
      <c r="K8" s="53">
        <f>138.5-L8</f>
        <v>69.8</v>
      </c>
      <c r="L8" s="53">
        <v>68.7</v>
      </c>
      <c r="M8" s="53">
        <v>71.7</v>
      </c>
      <c r="N8" s="53">
        <v>79.5</v>
      </c>
      <c r="O8" s="53">
        <f>76.9</f>
        <v>76.900000000000006</v>
      </c>
      <c r="P8" s="714">
        <f>90.8-6/2</f>
        <v>87.8</v>
      </c>
      <c r="Q8" s="621">
        <v>88.2</v>
      </c>
      <c r="R8" s="621">
        <v>88.2</v>
      </c>
      <c r="S8" s="621">
        <v>86.5</v>
      </c>
      <c r="T8" s="621">
        <v>89.3</v>
      </c>
      <c r="U8" s="621">
        <v>89.6</v>
      </c>
      <c r="V8" s="621">
        <f>350.9-S8-T8-U8</f>
        <v>85.499999999999972</v>
      </c>
      <c r="W8" s="855">
        <v>350.9</v>
      </c>
      <c r="X8" s="621">
        <v>88.7</v>
      </c>
      <c r="Y8" s="621">
        <v>85</v>
      </c>
      <c r="Z8" s="621">
        <v>87.2</v>
      </c>
      <c r="AA8" s="621">
        <f>346.4-X8-Y8-Z8</f>
        <v>85.499999999999986</v>
      </c>
      <c r="AB8" s="855">
        <f>Master!K45</f>
        <v>346.4</v>
      </c>
      <c r="AC8" s="728">
        <v>95</v>
      </c>
      <c r="AD8" s="728">
        <v>83.5</v>
      </c>
      <c r="AE8" s="728">
        <v>84.9</v>
      </c>
      <c r="AF8" s="728">
        <f>353.6-AC8-AD8-AE8</f>
        <v>90.200000000000017</v>
      </c>
      <c r="AG8" s="855">
        <f>Master!L45</f>
        <v>354</v>
      </c>
      <c r="AH8" s="728">
        <v>90.4</v>
      </c>
      <c r="AI8" s="728">
        <v>84.8</v>
      </c>
      <c r="AJ8" s="728">
        <v>85.6</v>
      </c>
      <c r="AK8" s="728">
        <f>355.8-AH8-AI8-AJ8</f>
        <v>94.999999999999972</v>
      </c>
      <c r="AL8" s="855">
        <f>Master!M45</f>
        <v>355.8</v>
      </c>
      <c r="AM8" s="858">
        <v>107.6</v>
      </c>
      <c r="AN8" s="858">
        <f>450.8-AM8-AO8-AP8</f>
        <v>116.40000000000003</v>
      </c>
      <c r="AO8" s="858">
        <f>102.8</f>
        <v>102.8</v>
      </c>
      <c r="AP8" s="858">
        <f>124</f>
        <v>124</v>
      </c>
      <c r="AQ8" s="855">
        <f>Master!N45</f>
        <v>451</v>
      </c>
      <c r="AR8" s="858">
        <v>108.7</v>
      </c>
      <c r="AS8" s="858">
        <v>118.6</v>
      </c>
      <c r="AT8" s="858">
        <v>112.5</v>
      </c>
      <c r="AU8" s="858">
        <v>113.5</v>
      </c>
      <c r="AV8" s="855">
        <f>Master!O45</f>
        <v>453</v>
      </c>
      <c r="AW8" s="728">
        <v>108.5</v>
      </c>
      <c r="AX8" s="728">
        <v>119.1</v>
      </c>
      <c r="AY8" s="728">
        <v>109.9</v>
      </c>
      <c r="AZ8" s="630">
        <f>BA8-AW8-AX8-AY8</f>
        <v>120.97930000000002</v>
      </c>
      <c r="BA8" s="855">
        <f>Master!P45</f>
        <v>458.47930000000002</v>
      </c>
      <c r="BB8" s="630"/>
      <c r="BC8" s="630"/>
      <c r="BD8" s="630"/>
      <c r="BE8" s="630"/>
      <c r="BF8" s="855">
        <f>Master!Q45</f>
        <v>470.677572</v>
      </c>
      <c r="BG8" s="630"/>
      <c r="BH8" s="56"/>
      <c r="BI8" s="56">
        <f t="shared" ref="BI8:BP8" si="4">O8/K8-1</f>
        <v>0.10171919770773652</v>
      </c>
      <c r="BJ8" s="56">
        <f t="shared" si="4"/>
        <v>0.27802037845705962</v>
      </c>
      <c r="BK8" s="56">
        <f t="shared" si="4"/>
        <v>0.23012552301255229</v>
      </c>
      <c r="BL8" s="56">
        <f t="shared" si="4"/>
        <v>0.10943396226415092</v>
      </c>
      <c r="BM8" s="56">
        <f t="shared" si="4"/>
        <v>0.12483745123537049</v>
      </c>
      <c r="BN8" s="56">
        <f t="shared" si="4"/>
        <v>1.7084282460136713E-2</v>
      </c>
      <c r="BO8" s="56">
        <f t="shared" si="4"/>
        <v>1.5873015873015817E-2</v>
      </c>
      <c r="BP8" s="56">
        <f t="shared" si="4"/>
        <v>-3.0612244897959551E-2</v>
      </c>
      <c r="BQ8" s="56">
        <f t="shared" ref="BQ8:BT15" si="5">X8/S8-1</f>
        <v>2.5433526011560792E-2</v>
      </c>
      <c r="BR8" s="56">
        <f t="shared" si="5"/>
        <v>-4.8152295632698738E-2</v>
      </c>
      <c r="BS8" s="56">
        <f t="shared" si="5"/>
        <v>-2.6785714285714191E-2</v>
      </c>
      <c r="BT8" s="56">
        <f t="shared" si="5"/>
        <v>0</v>
      </c>
      <c r="BU8" s="56">
        <f t="shared" ref="BU8:BX15" si="6">AC8/X8-1</f>
        <v>7.1025930101465518E-2</v>
      </c>
      <c r="BV8" s="56">
        <f t="shared" si="6"/>
        <v>-1.764705882352946E-2</v>
      </c>
      <c r="BW8" s="56">
        <f t="shared" si="6"/>
        <v>-2.6376146788990806E-2</v>
      </c>
      <c r="BX8" s="56">
        <f t="shared" si="6"/>
        <v>5.4970760233918448E-2</v>
      </c>
      <c r="BY8" s="56">
        <f>AH8/AC8-1</f>
        <v>-4.842105263157892E-2</v>
      </c>
      <c r="BZ8" s="56">
        <f>AI8/AD8-1</f>
        <v>1.5568862275449069E-2</v>
      </c>
      <c r="CA8" s="56">
        <f>AJ8/AE8-1</f>
        <v>8.2449941107183289E-3</v>
      </c>
      <c r="CB8" s="56">
        <f>AK8/AF8-1</f>
        <v>5.3215077605321071E-2</v>
      </c>
      <c r="CC8" s="56">
        <f>AM8/AH8-1</f>
        <v>0.19026548672566368</v>
      </c>
      <c r="CD8" s="56">
        <f>AN8/AI8-1</f>
        <v>0.37264150943396279</v>
      </c>
      <c r="CE8" s="56">
        <f>AO8/AJ8-1</f>
        <v>0.2009345794392523</v>
      </c>
      <c r="CF8" s="56">
        <f>AP8/AK8-1</f>
        <v>0.30526315789473712</v>
      </c>
      <c r="CG8" s="56">
        <f>AR8/AM8-1</f>
        <v>1.0223048327137718E-2</v>
      </c>
      <c r="CH8" s="56">
        <f>AS8/AN8-1</f>
        <v>1.8900343642611395E-2</v>
      </c>
      <c r="CI8" s="56">
        <f>AT8/AO8-1</f>
        <v>9.4357976653696607E-2</v>
      </c>
      <c r="CJ8" s="56">
        <f>AU8/AP8-1</f>
        <v>-8.4677419354838745E-2</v>
      </c>
      <c r="CK8" s="56">
        <f>AW8/AR8-1</f>
        <v>-1.8399264029439477E-3</v>
      </c>
      <c r="CL8" s="56">
        <f>AX8/AS8-1</f>
        <v>4.2158516020236458E-3</v>
      </c>
      <c r="CM8" s="56">
        <f>AY8/AT8-1</f>
        <v>-2.3111111111111082E-2</v>
      </c>
      <c r="CN8" s="56">
        <f>AZ8/AU8-1</f>
        <v>6.5896916299559738E-2</v>
      </c>
    </row>
    <row r="9" spans="2:96" ht="15.75">
      <c r="B9" s="821" t="s">
        <v>3552</v>
      </c>
      <c r="C9" s="53"/>
      <c r="E9" s="6" t="e">
        <f t="shared" si="3"/>
        <v>#DIV/0!</v>
      </c>
      <c r="F9">
        <v>376.1</v>
      </c>
      <c r="G9" s="6">
        <f>C9/F9-1</f>
        <v>-1</v>
      </c>
      <c r="H9" s="53"/>
      <c r="I9" s="54" t="e">
        <f t="shared" ref="I9:I22" si="7">C9/H9-1</f>
        <v>#DIV/0!</v>
      </c>
      <c r="J9" s="53"/>
      <c r="K9" s="53"/>
      <c r="L9" s="53"/>
      <c r="M9" s="53"/>
      <c r="N9" s="53"/>
      <c r="O9" s="621">
        <f>O103</f>
        <v>46.4</v>
      </c>
      <c r="P9" s="621">
        <f>P103</f>
        <v>58.1</v>
      </c>
      <c r="Q9" s="621">
        <f>Q103</f>
        <v>54.1</v>
      </c>
      <c r="R9" s="621"/>
      <c r="S9" s="621">
        <f>S103</f>
        <v>59.600000000000009</v>
      </c>
      <c r="T9" s="621">
        <f>T103</f>
        <v>61.8</v>
      </c>
      <c r="U9" s="621">
        <f>U103</f>
        <v>61.6</v>
      </c>
      <c r="V9" s="621">
        <f>V103</f>
        <v>57.199999999999967</v>
      </c>
      <c r="W9" s="855">
        <v>240.2</v>
      </c>
      <c r="X9" s="621">
        <f>X103</f>
        <v>59.9</v>
      </c>
      <c r="Y9" s="621">
        <f>Y103</f>
        <v>61.6</v>
      </c>
      <c r="Z9" s="621">
        <f>Z103</f>
        <v>61.6</v>
      </c>
      <c r="AA9" s="621">
        <f>AA103</f>
        <v>60.2</v>
      </c>
      <c r="AB9" s="855"/>
      <c r="AC9" s="621">
        <f>AC103</f>
        <v>69.599999999999994</v>
      </c>
      <c r="AD9" s="621">
        <f>AD103</f>
        <v>60.4</v>
      </c>
      <c r="AE9" s="621">
        <f>AE103</f>
        <v>60.7</v>
      </c>
      <c r="AF9" s="621">
        <f>AF103</f>
        <v>63.4</v>
      </c>
      <c r="AG9" s="855"/>
      <c r="AH9" s="621">
        <f>AH103</f>
        <v>66.400000000000006</v>
      </c>
      <c r="AI9" s="621">
        <f>AI103</f>
        <v>60.7</v>
      </c>
      <c r="AJ9" s="621">
        <f>AJ103</f>
        <v>61.6</v>
      </c>
      <c r="AK9" s="621">
        <f>AK103</f>
        <v>69.499999999999972</v>
      </c>
      <c r="AL9" s="855"/>
      <c r="AM9" s="621"/>
      <c r="AN9" s="621"/>
      <c r="AO9" s="621"/>
      <c r="AP9" s="621"/>
      <c r="AQ9" s="855"/>
      <c r="AR9" s="621"/>
      <c r="AS9" s="621"/>
      <c r="AT9" s="621"/>
      <c r="AU9" s="621"/>
      <c r="AV9" s="855"/>
      <c r="AW9" s="621"/>
      <c r="AX9" s="621"/>
      <c r="AY9" s="621"/>
      <c r="AZ9" s="621"/>
      <c r="BA9" s="855"/>
      <c r="BB9" s="621"/>
      <c r="BC9" s="621"/>
      <c r="BD9" s="621"/>
      <c r="BE9" s="621"/>
      <c r="BF9" s="855"/>
      <c r="BG9" s="630"/>
      <c r="BH9" s="56"/>
      <c r="BI9" s="56"/>
      <c r="BJ9" s="56"/>
      <c r="BK9" s="56"/>
      <c r="BL9" s="56"/>
      <c r="BM9" s="56">
        <f t="shared" ref="BM9:BP15" si="8">S9/O9-1</f>
        <v>0.28448275862068995</v>
      </c>
      <c r="BN9" s="56">
        <f t="shared" si="8"/>
        <v>6.3683304647160099E-2</v>
      </c>
      <c r="BO9" s="56">
        <f t="shared" si="8"/>
        <v>0.1386321626617375</v>
      </c>
      <c r="BP9" s="56" t="e">
        <f t="shared" si="8"/>
        <v>#DIV/0!</v>
      </c>
      <c r="BQ9" s="56">
        <f t="shared" si="5"/>
        <v>5.0335570469797197E-3</v>
      </c>
      <c r="BR9" s="56">
        <f t="shared" si="5"/>
        <v>-3.2362459546925182E-3</v>
      </c>
      <c r="BS9" s="56">
        <f t="shared" si="5"/>
        <v>0</v>
      </c>
      <c r="BT9" s="56">
        <f t="shared" si="5"/>
        <v>5.244755244755317E-2</v>
      </c>
      <c r="BU9" s="56">
        <f t="shared" si="6"/>
        <v>0.1619365609348915</v>
      </c>
      <c r="BV9" s="56">
        <f t="shared" si="6"/>
        <v>-1.9480519480519543E-2</v>
      </c>
      <c r="BW9" s="56">
        <f t="shared" si="6"/>
        <v>-1.4610389610389629E-2</v>
      </c>
      <c r="BX9" s="56">
        <f t="shared" si="6"/>
        <v>5.3156146179401897E-2</v>
      </c>
      <c r="BY9" s="56">
        <f t="shared" ref="BY9:BZ15" si="9">AH9/AC9-1</f>
        <v>-4.5977011494252706E-2</v>
      </c>
      <c r="BZ9" s="56">
        <f t="shared" si="9"/>
        <v>4.9668874172186239E-3</v>
      </c>
      <c r="CA9" s="56"/>
      <c r="CB9" s="56"/>
      <c r="CC9" s="56"/>
      <c r="CD9" s="56"/>
      <c r="CE9" s="56"/>
      <c r="CF9" s="56"/>
      <c r="CG9" s="56"/>
      <c r="CH9" s="56"/>
      <c r="CI9" s="56"/>
      <c r="CJ9" s="56"/>
    </row>
    <row r="10" spans="2:96" ht="15.75">
      <c r="B10" s="821" t="s">
        <v>3553</v>
      </c>
      <c r="C10" s="53"/>
      <c r="E10" s="6"/>
      <c r="G10" s="6"/>
      <c r="H10" s="53"/>
      <c r="I10" s="54" t="e">
        <f t="shared" si="7"/>
        <v>#DIV/0!</v>
      </c>
      <c r="J10" s="53"/>
      <c r="K10" s="53"/>
      <c r="L10" s="53"/>
      <c r="M10" s="53"/>
      <c r="N10" s="53"/>
      <c r="O10" s="621">
        <f>O8-O9</f>
        <v>30.500000000000007</v>
      </c>
      <c r="P10" s="621">
        <f>P8-P9</f>
        <v>29.699999999999996</v>
      </c>
      <c r="Q10" s="621">
        <f>Q8-Q9</f>
        <v>34.1</v>
      </c>
      <c r="R10" s="621"/>
      <c r="S10" s="621">
        <f t="shared" ref="S10:Z10" si="10">S8-S9</f>
        <v>26.899999999999991</v>
      </c>
      <c r="T10" s="621">
        <f t="shared" si="10"/>
        <v>27.5</v>
      </c>
      <c r="U10" s="621">
        <f t="shared" si="10"/>
        <v>27.999999999999993</v>
      </c>
      <c r="V10" s="621">
        <f t="shared" si="10"/>
        <v>28.300000000000004</v>
      </c>
      <c r="W10" s="855">
        <f t="shared" si="10"/>
        <v>110.69999999999999</v>
      </c>
      <c r="X10" s="621">
        <f t="shared" si="10"/>
        <v>28.800000000000004</v>
      </c>
      <c r="Y10" s="621">
        <f t="shared" si="10"/>
        <v>23.4</v>
      </c>
      <c r="Z10" s="621">
        <f t="shared" si="10"/>
        <v>25.6</v>
      </c>
      <c r="AA10" s="621">
        <f>AA8-AA9</f>
        <v>25.299999999999983</v>
      </c>
      <c r="AB10" s="855"/>
      <c r="AC10" s="621">
        <f>AC8-AC9</f>
        <v>25.400000000000006</v>
      </c>
      <c r="AD10" s="621">
        <f>AD8-AD9</f>
        <v>23.1</v>
      </c>
      <c r="AE10" s="621">
        <f>AE8-AE9</f>
        <v>24.200000000000003</v>
      </c>
      <c r="AF10" s="621">
        <f>AF8-AF9</f>
        <v>26.800000000000018</v>
      </c>
      <c r="AG10" s="855"/>
      <c r="AH10" s="621">
        <f>AH8-AH9</f>
        <v>24</v>
      </c>
      <c r="AI10" s="621">
        <f>AI8-AI9</f>
        <v>24.099999999999994</v>
      </c>
      <c r="AJ10" s="621">
        <f>AJ8-AJ9</f>
        <v>23.999999999999993</v>
      </c>
      <c r="AK10" s="621">
        <f>AK8-AK9</f>
        <v>25.5</v>
      </c>
      <c r="AL10" s="855"/>
      <c r="AM10" s="621"/>
      <c r="AN10" s="621"/>
      <c r="AO10" s="621"/>
      <c r="AP10" s="621"/>
      <c r="AQ10" s="855"/>
      <c r="AR10" s="621"/>
      <c r="AS10" s="621"/>
      <c r="AT10" s="621"/>
      <c r="AU10" s="621"/>
      <c r="AV10" s="855"/>
      <c r="AW10" s="621"/>
      <c r="AX10" s="621"/>
      <c r="AY10" s="621"/>
      <c r="AZ10" s="621"/>
      <c r="BA10" s="855"/>
      <c r="BB10" s="621"/>
      <c r="BC10" s="621"/>
      <c r="BD10" s="621"/>
      <c r="BE10" s="621"/>
      <c r="BF10" s="855"/>
      <c r="BG10" s="630"/>
      <c r="BH10" s="56"/>
      <c r="BI10" s="56"/>
      <c r="BJ10" s="56"/>
      <c r="BK10" s="56"/>
      <c r="BL10" s="56"/>
      <c r="BM10" s="56">
        <f t="shared" si="8"/>
        <v>-0.11803278688524643</v>
      </c>
      <c r="BN10" s="56">
        <f t="shared" si="8"/>
        <v>-7.4074074074073959E-2</v>
      </c>
      <c r="BO10" s="56">
        <f t="shared" si="8"/>
        <v>-0.17888563049853401</v>
      </c>
      <c r="BP10" s="56" t="e">
        <f t="shared" si="8"/>
        <v>#DIV/0!</v>
      </c>
      <c r="BQ10" s="56">
        <f t="shared" si="5"/>
        <v>7.0631970260223609E-2</v>
      </c>
      <c r="BR10" s="56">
        <f t="shared" si="5"/>
        <v>-0.14909090909090916</v>
      </c>
      <c r="BS10" s="56">
        <f t="shared" si="5"/>
        <v>-8.571428571428541E-2</v>
      </c>
      <c r="BT10" s="56">
        <f t="shared" si="5"/>
        <v>-0.10600706713780994</v>
      </c>
      <c r="BU10" s="56">
        <f t="shared" si="6"/>
        <v>-0.11805555555555547</v>
      </c>
      <c r="BV10" s="56">
        <f t="shared" si="6"/>
        <v>-1.2820512820512664E-2</v>
      </c>
      <c r="BW10" s="56">
        <f t="shared" si="6"/>
        <v>-5.4687499999999889E-2</v>
      </c>
      <c r="BX10" s="56">
        <f t="shared" si="6"/>
        <v>5.9288537549408549E-2</v>
      </c>
      <c r="BY10" s="56">
        <f t="shared" si="9"/>
        <v>-5.5118110236220708E-2</v>
      </c>
      <c r="BZ10" s="56">
        <f t="shared" si="9"/>
        <v>4.3290043290042934E-2</v>
      </c>
      <c r="CA10" s="56"/>
      <c r="CB10" s="56"/>
      <c r="CC10" s="56"/>
      <c r="CD10" s="56"/>
      <c r="CE10" s="56"/>
      <c r="CF10" s="56"/>
      <c r="CG10" s="56"/>
      <c r="CH10" s="56"/>
      <c r="CI10" s="56"/>
      <c r="CJ10" s="56"/>
    </row>
    <row r="11" spans="2:96" ht="15.75">
      <c r="B11" s="53" t="s">
        <v>3029</v>
      </c>
      <c r="C11" s="53"/>
      <c r="E11" s="6" t="e">
        <f t="shared" si="3"/>
        <v>#DIV/0!</v>
      </c>
      <c r="F11">
        <v>128.80000000000001</v>
      </c>
      <c r="G11" s="6">
        <f>C11/F11-1</f>
        <v>-1</v>
      </c>
      <c r="H11" s="53"/>
      <c r="I11" s="54" t="e">
        <f t="shared" si="7"/>
        <v>#DIV/0!</v>
      </c>
      <c r="J11" s="53"/>
      <c r="K11" s="53">
        <f>219-L11</f>
        <v>112.1</v>
      </c>
      <c r="L11" s="53">
        <v>106.9</v>
      </c>
      <c r="M11" s="53">
        <v>102.8</v>
      </c>
      <c r="N11" s="53">
        <v>102.4</v>
      </c>
      <c r="O11" s="53">
        <f>106.4-O7</f>
        <v>90.9</v>
      </c>
      <c r="P11" s="621">
        <f>100.8-P7</f>
        <v>85.8</v>
      </c>
      <c r="Q11" s="621">
        <f>104.2-Q7</f>
        <v>89</v>
      </c>
      <c r="R11" s="53">
        <v>100.7</v>
      </c>
      <c r="S11" s="621">
        <f>121-S7</f>
        <v>106</v>
      </c>
      <c r="T11" s="621">
        <f>122-T7</f>
        <v>107</v>
      </c>
      <c r="U11" s="621">
        <f>118.7-U7</f>
        <v>103.7</v>
      </c>
      <c r="V11" s="621">
        <v>153.5</v>
      </c>
      <c r="W11" s="855">
        <f>480.4-W7</f>
        <v>420.4</v>
      </c>
      <c r="X11" s="621">
        <f>115.5-X7</f>
        <v>100.5</v>
      </c>
      <c r="Y11" s="621">
        <f>147.8-Y7</f>
        <v>132.80000000000001</v>
      </c>
      <c r="Z11" s="621">
        <f>147-Z7</f>
        <v>132</v>
      </c>
      <c r="AA11" s="621">
        <f>429.2+124.6-X11-Y11-Z11-X7-Y7-Z7-AA7</f>
        <v>138.49999999999994</v>
      </c>
      <c r="AB11" s="855">
        <f>Master!K46-AB7</f>
        <v>503.79999999999995</v>
      </c>
      <c r="AC11" s="728">
        <f>91.4+39.6</f>
        <v>131</v>
      </c>
      <c r="AD11" s="728">
        <f>80.8+34.5</f>
        <v>115.3</v>
      </c>
      <c r="AE11" s="728">
        <f>85.2+34.8</f>
        <v>120</v>
      </c>
      <c r="AF11" s="728">
        <f>357.2+139.7-AC11-AD11-AE11</f>
        <v>130.59999999999997</v>
      </c>
      <c r="AG11" s="855">
        <f>Master!L46-AG7</f>
        <v>496.9</v>
      </c>
      <c r="AH11" s="728">
        <f>104.1+34.3</f>
        <v>138.39999999999998</v>
      </c>
      <c r="AI11" s="728">
        <f>106.1+35.3</f>
        <v>141.39999999999998</v>
      </c>
      <c r="AJ11" s="728">
        <f>105.4+34.6</f>
        <v>140</v>
      </c>
      <c r="AK11" s="728">
        <f>422.3+137.9-AH11-AI11-AJ11</f>
        <v>140.40000000000009</v>
      </c>
      <c r="AL11" s="855">
        <f>Master!M46-AL7</f>
        <v>560.20000000000005</v>
      </c>
      <c r="AM11" s="728">
        <f>106.5+33.1</f>
        <v>139.6</v>
      </c>
      <c r="AN11" s="728">
        <f>107.7+32.6</f>
        <v>140.30000000000001</v>
      </c>
      <c r="AO11" s="728">
        <f>106.2+34.2</f>
        <v>140.4</v>
      </c>
      <c r="AP11" s="728">
        <f>430.3+134-AM11-AN11-AO11</f>
        <v>143.99999999999991</v>
      </c>
      <c r="AQ11" s="855">
        <f>Master!N46-AQ7</f>
        <v>564.29999999999995</v>
      </c>
      <c r="AR11" s="728">
        <f>109.9+34.5</f>
        <v>144.4</v>
      </c>
      <c r="AS11" s="728">
        <f>109.9+34.3</f>
        <v>144.19999999999999</v>
      </c>
      <c r="AT11" s="728">
        <f>107.5+34</f>
        <v>141.5</v>
      </c>
      <c r="AU11" s="728">
        <f>456.4+135.6-AR11-AS11-AT11</f>
        <v>161.90000000000003</v>
      </c>
      <c r="AV11" s="855">
        <f>Master!O46-AV7</f>
        <v>592</v>
      </c>
      <c r="AW11" s="728">
        <f>112.9+33.8</f>
        <v>146.69999999999999</v>
      </c>
      <c r="AX11" s="728">
        <f>114.4+34.2</f>
        <v>148.60000000000002</v>
      </c>
      <c r="AY11" s="728">
        <f>110.7+34.1</f>
        <v>144.80000000000001</v>
      </c>
      <c r="AZ11" s="630">
        <f t="shared" ref="AZ11:AZ17" si="11">BA11-AW11-AX11-AY11</f>
        <v>157.81999999999994</v>
      </c>
      <c r="BA11" s="855">
        <f>Master!P46-BA7</f>
        <v>597.91999999999996</v>
      </c>
      <c r="BB11" s="630"/>
      <c r="BC11" s="630"/>
      <c r="BD11" s="630"/>
      <c r="BE11" s="630"/>
      <c r="BF11" s="855">
        <f>Master!Q46-BF7</f>
        <v>603.89919999999995</v>
      </c>
      <c r="BG11" s="630"/>
      <c r="BH11" s="56"/>
      <c r="BI11" s="56">
        <f t="shared" ref="BI11:BL15" si="12">O11/K11-1</f>
        <v>-0.18911685994647631</v>
      </c>
      <c r="BJ11" s="56">
        <f t="shared" si="12"/>
        <v>-0.1973807296538822</v>
      </c>
      <c r="BK11" s="56">
        <f t="shared" si="12"/>
        <v>-0.13424124513618674</v>
      </c>
      <c r="BL11" s="56">
        <f t="shared" si="12"/>
        <v>-1.66015625E-2</v>
      </c>
      <c r="BM11" s="56">
        <f t="shared" si="8"/>
        <v>0.16611661166116609</v>
      </c>
      <c r="BN11" s="56">
        <f t="shared" si="8"/>
        <v>0.24708624708624716</v>
      </c>
      <c r="BO11" s="56">
        <f t="shared" si="8"/>
        <v>0.16516853932584263</v>
      </c>
      <c r="BP11" s="56">
        <f t="shared" si="8"/>
        <v>0.52432969215491565</v>
      </c>
      <c r="BQ11" s="56">
        <f t="shared" si="5"/>
        <v>-5.1886792452830233E-2</v>
      </c>
      <c r="BR11" s="56">
        <f t="shared" si="5"/>
        <v>0.24112149532710281</v>
      </c>
      <c r="BS11" s="56">
        <f t="shared" si="5"/>
        <v>0.27290260366441665</v>
      </c>
      <c r="BT11" s="56">
        <f t="shared" si="5"/>
        <v>-9.7719869706840767E-2</v>
      </c>
      <c r="BU11" s="56">
        <f t="shared" si="6"/>
        <v>0.30348258706467668</v>
      </c>
      <c r="BV11" s="56">
        <f t="shared" si="6"/>
        <v>-0.13177710843373502</v>
      </c>
      <c r="BW11" s="56">
        <f t="shared" si="6"/>
        <v>-9.0909090909090939E-2</v>
      </c>
      <c r="BX11" s="56">
        <f t="shared" si="6"/>
        <v>-5.7039711191335551E-2</v>
      </c>
      <c r="BY11" s="56">
        <f t="shared" si="9"/>
        <v>5.6488549618320505E-2</v>
      </c>
      <c r="BZ11" s="56">
        <f t="shared" si="9"/>
        <v>0.22636600173460519</v>
      </c>
      <c r="CA11" s="56">
        <f t="shared" ref="CA11:CB15" si="13">AJ11/AE11-1</f>
        <v>0.16666666666666674</v>
      </c>
      <c r="CB11" s="56">
        <f t="shared" si="13"/>
        <v>7.5038284839204605E-2</v>
      </c>
      <c r="CC11" s="56">
        <f t="shared" ref="CC11:CF15" si="14">AM11/AH11-1</f>
        <v>8.6705202312140628E-3</v>
      </c>
      <c r="CD11" s="56">
        <f t="shared" si="14"/>
        <v>-7.7793493635075484E-3</v>
      </c>
      <c r="CE11" s="56">
        <f t="shared" si="14"/>
        <v>2.8571428571428914E-3</v>
      </c>
      <c r="CF11" s="56">
        <f t="shared" si="14"/>
        <v>2.564102564102444E-2</v>
      </c>
      <c r="CG11" s="56">
        <f t="shared" ref="CG11:CJ15" si="15">AR11/AM11-1</f>
        <v>3.4383954154727947E-2</v>
      </c>
      <c r="CH11" s="56">
        <f t="shared" si="15"/>
        <v>2.7797576621525044E-2</v>
      </c>
      <c r="CI11" s="56">
        <f t="shared" si="15"/>
        <v>7.8347578347577329E-3</v>
      </c>
      <c r="CJ11" s="56">
        <f t="shared" si="15"/>
        <v>0.12430555555555656</v>
      </c>
      <c r="CK11" s="56"/>
      <c r="CL11" s="56"/>
      <c r="CM11" s="56"/>
      <c r="CN11" s="56"/>
    </row>
    <row r="12" spans="2:96" ht="15.75">
      <c r="B12" s="53" t="s">
        <v>1382</v>
      </c>
      <c r="C12" s="53"/>
      <c r="E12" s="6" t="e">
        <f t="shared" si="3"/>
        <v>#DIV/0!</v>
      </c>
      <c r="G12" s="7"/>
      <c r="H12" s="53" t="e">
        <f ca="1">87.7-I12</f>
        <v>#DIV/0!</v>
      </c>
      <c r="I12" s="54" t="e">
        <f t="shared" ca="1" si="7"/>
        <v>#DIV/0!</v>
      </c>
      <c r="J12" s="53"/>
      <c r="K12" s="53">
        <v>43.5</v>
      </c>
      <c r="L12" s="53">
        <v>42.7</v>
      </c>
      <c r="M12" s="53">
        <v>40.700000000000003</v>
      </c>
      <c r="N12" s="53">
        <v>41.5</v>
      </c>
      <c r="O12" s="53">
        <v>42.8</v>
      </c>
      <c r="P12" s="53">
        <v>41.4</v>
      </c>
      <c r="Q12" s="53">
        <v>38.6</v>
      </c>
      <c r="R12" s="53">
        <v>38.799999999999997</v>
      </c>
      <c r="S12" s="53">
        <v>38.700000000000003</v>
      </c>
      <c r="T12" s="53">
        <v>38.6</v>
      </c>
      <c r="U12" s="53">
        <v>40.6</v>
      </c>
      <c r="V12" s="621">
        <f>157.4-S12-T12-U12</f>
        <v>39.499999999999993</v>
      </c>
      <c r="W12" s="855">
        <v>157.4</v>
      </c>
      <c r="X12" s="621">
        <v>39.6</v>
      </c>
      <c r="Y12" s="621">
        <v>40.5</v>
      </c>
      <c r="Z12" s="621">
        <v>40.5</v>
      </c>
      <c r="AA12" s="621">
        <f>161.3-X12-Y12-Z12</f>
        <v>40.700000000000017</v>
      </c>
      <c r="AB12" s="855">
        <f>Master!K41</f>
        <v>161.30000000000001</v>
      </c>
      <c r="AC12" s="728">
        <v>40.799999999999997</v>
      </c>
      <c r="AD12" s="728">
        <v>39.9</v>
      </c>
      <c r="AE12" s="728">
        <v>40.1</v>
      </c>
      <c r="AF12" s="728">
        <f>160.6-AC12-AD12-AE12</f>
        <v>39.800000000000004</v>
      </c>
      <c r="AG12" s="855">
        <f>Master!L41</f>
        <v>161</v>
      </c>
      <c r="AH12" s="728">
        <v>39.700000000000003</v>
      </c>
      <c r="AI12" s="728">
        <v>39.9</v>
      </c>
      <c r="AJ12" s="728">
        <v>38.700000000000003</v>
      </c>
      <c r="AK12" s="728">
        <f>158.2-AH12-AI12-AJ12</f>
        <v>39.899999999999991</v>
      </c>
      <c r="AL12" s="855">
        <f>Master!M41</f>
        <v>158.19999999999999</v>
      </c>
      <c r="AM12" s="728">
        <v>40.6</v>
      </c>
      <c r="AN12" s="728">
        <v>39.6</v>
      </c>
      <c r="AO12" s="728">
        <v>39.5</v>
      </c>
      <c r="AP12" s="728">
        <f>159.3-AM12-AN12-AO12</f>
        <v>39.600000000000023</v>
      </c>
      <c r="AQ12" s="855">
        <f>Master!N41</f>
        <v>159.30000000000001</v>
      </c>
      <c r="AR12" s="728">
        <v>38.700000000000003</v>
      </c>
      <c r="AS12" s="728">
        <v>39.299999999999997</v>
      </c>
      <c r="AT12" s="728">
        <v>39.200000000000003</v>
      </c>
      <c r="AU12" s="728">
        <f>156.5-AR12-AS12-AT12</f>
        <v>39.299999999999997</v>
      </c>
      <c r="AV12" s="855">
        <f>Master!O41</f>
        <v>156.5</v>
      </c>
      <c r="AW12" s="728">
        <v>39.5</v>
      </c>
      <c r="AX12" s="728">
        <v>38.6</v>
      </c>
      <c r="AY12" s="728">
        <v>39</v>
      </c>
      <c r="AZ12" s="630">
        <f t="shared" si="11"/>
        <v>40.387392231530839</v>
      </c>
      <c r="BA12" s="855">
        <f>Master!P41</f>
        <v>157.48739223153083</v>
      </c>
      <c r="BB12" s="630"/>
      <c r="BC12" s="630"/>
      <c r="BD12" s="630"/>
      <c r="BE12" s="630"/>
      <c r="BF12" s="855">
        <f>Master!Q41</f>
        <v>161.13803543031224</v>
      </c>
      <c r="BG12" s="630"/>
      <c r="BH12" s="56"/>
      <c r="BI12" s="56">
        <f t="shared" si="12"/>
        <v>-1.6091954022988575E-2</v>
      </c>
      <c r="BJ12" s="56">
        <f t="shared" si="12"/>
        <v>-3.0444964871194524E-2</v>
      </c>
      <c r="BK12" s="56">
        <f t="shared" si="12"/>
        <v>-5.1597051597051635E-2</v>
      </c>
      <c r="BL12" s="56">
        <f t="shared" si="12"/>
        <v>-6.5060240963855542E-2</v>
      </c>
      <c r="BM12" s="56">
        <f t="shared" si="8"/>
        <v>-9.5794392523364413E-2</v>
      </c>
      <c r="BN12" s="56">
        <f t="shared" si="8"/>
        <v>-6.7632850241545861E-2</v>
      </c>
      <c r="BO12" s="56">
        <f t="shared" si="8"/>
        <v>5.1813471502590636E-2</v>
      </c>
      <c r="BP12" s="56">
        <f t="shared" si="8"/>
        <v>1.8041237113401998E-2</v>
      </c>
      <c r="BQ12" s="56">
        <f t="shared" si="5"/>
        <v>2.3255813953488413E-2</v>
      </c>
      <c r="BR12" s="56">
        <f t="shared" si="5"/>
        <v>4.9222797927461093E-2</v>
      </c>
      <c r="BS12" s="56">
        <f t="shared" si="5"/>
        <v>-2.4630541871921707E-3</v>
      </c>
      <c r="BT12" s="56">
        <f t="shared" si="5"/>
        <v>3.0379746835443644E-2</v>
      </c>
      <c r="BU12" s="56">
        <f t="shared" si="6"/>
        <v>3.0303030303030276E-2</v>
      </c>
      <c r="BV12" s="56">
        <f t="shared" si="6"/>
        <v>-1.4814814814814836E-2</v>
      </c>
      <c r="BW12" s="56">
        <f t="shared" si="6"/>
        <v>-9.8765432098765205E-3</v>
      </c>
      <c r="BX12" s="56">
        <f t="shared" si="6"/>
        <v>-2.2113022113022462E-2</v>
      </c>
      <c r="BY12" s="56">
        <f t="shared" si="9"/>
        <v>-2.6960784313725394E-2</v>
      </c>
      <c r="BZ12" s="56">
        <f t="shared" si="9"/>
        <v>0</v>
      </c>
      <c r="CA12" s="56">
        <f t="shared" si="13"/>
        <v>-3.4912718204488713E-2</v>
      </c>
      <c r="CB12" s="56">
        <f t="shared" si="13"/>
        <v>2.5125628140700851E-3</v>
      </c>
      <c r="CC12" s="56">
        <f t="shared" si="14"/>
        <v>2.267002518891692E-2</v>
      </c>
      <c r="CD12" s="56">
        <f t="shared" si="14"/>
        <v>-7.5187969924811471E-3</v>
      </c>
      <c r="CE12" s="56">
        <f t="shared" si="14"/>
        <v>2.067183462532296E-2</v>
      </c>
      <c r="CF12" s="56">
        <f t="shared" si="14"/>
        <v>-7.5187969924803699E-3</v>
      </c>
      <c r="CG12" s="56">
        <f t="shared" si="15"/>
        <v>-4.6798029556650245E-2</v>
      </c>
      <c r="CH12" s="56">
        <f t="shared" si="15"/>
        <v>-7.5757575757576801E-3</v>
      </c>
      <c r="CI12" s="56">
        <f t="shared" si="15"/>
        <v>-7.5949367088606889E-3</v>
      </c>
      <c r="CJ12" s="56">
        <f t="shared" si="15"/>
        <v>-7.5757575757582352E-3</v>
      </c>
      <c r="CK12" s="56"/>
      <c r="CL12" s="56"/>
      <c r="CM12" s="56"/>
      <c r="CN12" s="56"/>
    </row>
    <row r="13" spans="2:96" ht="15.75">
      <c r="B13" s="53" t="s">
        <v>0</v>
      </c>
      <c r="C13" s="53"/>
      <c r="E13" s="6" t="e">
        <f t="shared" si="3"/>
        <v>#DIV/0!</v>
      </c>
      <c r="F13">
        <v>1169.7</v>
      </c>
      <c r="G13" s="1493">
        <f>C13/F13-1</f>
        <v>-1</v>
      </c>
      <c r="H13" s="53" t="e">
        <f ca="1">335.4-I13</f>
        <v>#DIV/0!</v>
      </c>
      <c r="I13" s="54" t="e">
        <f t="shared" ca="1" si="7"/>
        <v>#DIV/0!</v>
      </c>
      <c r="J13" s="53"/>
      <c r="K13" s="53">
        <v>165.7</v>
      </c>
      <c r="L13" s="53">
        <v>157.6</v>
      </c>
      <c r="M13" s="53">
        <v>154.1</v>
      </c>
      <c r="N13" s="53">
        <v>166.8</v>
      </c>
      <c r="O13" s="53">
        <v>153.69999999999999</v>
      </c>
      <c r="P13" s="53">
        <v>154.1</v>
      </c>
      <c r="Q13" s="53">
        <v>155</v>
      </c>
      <c r="R13" s="481">
        <v>162</v>
      </c>
      <c r="S13" s="481">
        <v>148.30000000000001</v>
      </c>
      <c r="T13" s="481">
        <v>151.80000000000001</v>
      </c>
      <c r="U13" s="481">
        <v>148.1</v>
      </c>
      <c r="V13" s="481">
        <f>597.4-S13-T13-U13</f>
        <v>149.19999999999996</v>
      </c>
      <c r="W13" s="855">
        <v>597.4</v>
      </c>
      <c r="X13" s="481">
        <v>140.30000000000001</v>
      </c>
      <c r="Y13" s="481">
        <v>142.6</v>
      </c>
      <c r="Z13" s="481">
        <v>136.80000000000001</v>
      </c>
      <c r="AA13" s="818">
        <f>580.4-X13-Y13-Z13</f>
        <v>160.69999999999999</v>
      </c>
      <c r="AB13" s="855">
        <f>Master!K43</f>
        <v>580.4</v>
      </c>
      <c r="AC13" s="728">
        <v>137.69999999999999</v>
      </c>
      <c r="AD13" s="728">
        <v>111.6</v>
      </c>
      <c r="AE13" s="728">
        <v>118.3</v>
      </c>
      <c r="AF13" s="728">
        <v>130.80000000000001</v>
      </c>
      <c r="AG13" s="855">
        <f>Master!L43</f>
        <v>498</v>
      </c>
      <c r="AH13" s="728">
        <v>122</v>
      </c>
      <c r="AI13" s="728">
        <v>127.6</v>
      </c>
      <c r="AJ13" s="728">
        <v>128.19999999999999</v>
      </c>
      <c r="AK13" s="728">
        <v>168.6</v>
      </c>
      <c r="AL13" s="855">
        <f>Master!M43</f>
        <v>545.4</v>
      </c>
      <c r="AM13" s="728">
        <v>127.2</v>
      </c>
      <c r="AN13" s="728">
        <v>141.6</v>
      </c>
      <c r="AO13" s="728">
        <v>171.6</v>
      </c>
      <c r="AP13" s="728">
        <v>201.4</v>
      </c>
      <c r="AQ13" s="855">
        <f>Master!N43</f>
        <v>642.70000000000005</v>
      </c>
      <c r="AR13" s="728">
        <v>165.3</v>
      </c>
      <c r="AS13" s="728">
        <v>180.8</v>
      </c>
      <c r="AT13" s="728">
        <v>190.4</v>
      </c>
      <c r="AU13" s="728">
        <v>206.1</v>
      </c>
      <c r="AV13" s="855">
        <f>Master!O43</f>
        <v>742.6</v>
      </c>
      <c r="AW13" s="728">
        <v>169.2</v>
      </c>
      <c r="AX13" s="728">
        <v>197.2</v>
      </c>
      <c r="AY13" s="728">
        <v>188</v>
      </c>
      <c r="AZ13" s="630">
        <f t="shared" si="11"/>
        <v>205.57663094979858</v>
      </c>
      <c r="BA13" s="855">
        <f>Master!P43</f>
        <v>759.97663094979862</v>
      </c>
      <c r="BB13" s="630"/>
      <c r="BC13" s="630"/>
      <c r="BD13" s="630"/>
      <c r="BE13" s="630"/>
      <c r="BF13" s="855">
        <f>Master!Q43</f>
        <v>780.60479874940756</v>
      </c>
      <c r="BG13" s="630"/>
      <c r="BH13" s="56"/>
      <c r="BI13" s="56">
        <f t="shared" si="12"/>
        <v>-7.2420036210018135E-2</v>
      </c>
      <c r="BJ13" s="56">
        <f t="shared" si="12"/>
        <v>-2.2208121827411165E-2</v>
      </c>
      <c r="BK13" s="56">
        <f t="shared" si="12"/>
        <v>5.8403634003894034E-3</v>
      </c>
      <c r="BL13" s="56">
        <f t="shared" si="12"/>
        <v>-2.877697841726623E-2</v>
      </c>
      <c r="BM13" s="56">
        <f t="shared" si="8"/>
        <v>-3.513337670787231E-2</v>
      </c>
      <c r="BN13" s="56">
        <f t="shared" si="8"/>
        <v>-1.492537313432829E-2</v>
      </c>
      <c r="BO13" s="56">
        <f t="shared" si="8"/>
        <v>-4.45161290322581E-2</v>
      </c>
      <c r="BP13" s="56">
        <f t="shared" si="8"/>
        <v>-7.9012345679012608E-2</v>
      </c>
      <c r="BQ13" s="56">
        <f t="shared" si="5"/>
        <v>-5.3944706675657428E-2</v>
      </c>
      <c r="BR13" s="56">
        <f t="shared" si="5"/>
        <v>-6.0606060606060663E-2</v>
      </c>
      <c r="BS13" s="56">
        <f t="shared" si="5"/>
        <v>-7.6299797434166039E-2</v>
      </c>
      <c r="BT13" s="56">
        <f t="shared" si="5"/>
        <v>7.7077747989276357E-2</v>
      </c>
      <c r="BU13" s="56">
        <f t="shared" si="6"/>
        <v>-1.8531717747683696E-2</v>
      </c>
      <c r="BV13" s="56">
        <f t="shared" si="6"/>
        <v>-0.21739130434782605</v>
      </c>
      <c r="BW13" s="56">
        <f t="shared" si="6"/>
        <v>-0.13523391812865504</v>
      </c>
      <c r="BX13" s="56">
        <f t="shared" si="6"/>
        <v>-0.18606098319850639</v>
      </c>
      <c r="BY13" s="56">
        <f t="shared" si="9"/>
        <v>-0.11401597676107478</v>
      </c>
      <c r="BZ13" s="56">
        <f t="shared" si="9"/>
        <v>0.14336917562724016</v>
      </c>
      <c r="CA13" s="56">
        <f t="shared" si="13"/>
        <v>8.3685545224006619E-2</v>
      </c>
      <c r="CB13" s="56">
        <f t="shared" si="13"/>
        <v>0.28899082568807333</v>
      </c>
      <c r="CC13" s="56">
        <f t="shared" si="14"/>
        <v>4.2622950819672045E-2</v>
      </c>
      <c r="CD13" s="56">
        <f t="shared" si="14"/>
        <v>0.10971786833855801</v>
      </c>
      <c r="CE13" s="56">
        <f t="shared" si="14"/>
        <v>0.3385335413416537</v>
      </c>
      <c r="CF13" s="56">
        <f t="shared" si="14"/>
        <v>0.19454329774614476</v>
      </c>
      <c r="CG13" s="56">
        <f t="shared" si="15"/>
        <v>0.29952830188679247</v>
      </c>
      <c r="CH13" s="56">
        <f t="shared" si="15"/>
        <v>0.27683615819209062</v>
      </c>
      <c r="CI13" s="56">
        <f t="shared" si="15"/>
        <v>0.10955710955710973</v>
      </c>
      <c r="CJ13" s="56">
        <f t="shared" si="15"/>
        <v>2.3336643495531328E-2</v>
      </c>
      <c r="CK13" s="56">
        <f>AW13/AR13-1</f>
        <v>2.3593466424682186E-2</v>
      </c>
      <c r="CL13" s="56">
        <f>AX13/AS13-1</f>
        <v>9.0707964601769886E-2</v>
      </c>
      <c r="CM13" s="56">
        <f>AY13/AT13-1</f>
        <v>-1.2605042016806789E-2</v>
      </c>
      <c r="CN13" s="56">
        <f>AZ13/AU13-1</f>
        <v>-2.5393937418797252E-3</v>
      </c>
    </row>
    <row r="14" spans="2:96" ht="15.75">
      <c r="B14" s="53" t="s">
        <v>31</v>
      </c>
      <c r="C14" s="53"/>
      <c r="E14" s="6"/>
      <c r="G14" s="6"/>
      <c r="H14" s="53">
        <f>161.9-I14</f>
        <v>161.9</v>
      </c>
      <c r="I14" s="54"/>
      <c r="J14" s="53"/>
      <c r="K14" s="53">
        <v>86.2</v>
      </c>
      <c r="L14" s="53">
        <v>75.400000000000006</v>
      </c>
      <c r="M14" s="53">
        <v>72.2</v>
      </c>
      <c r="N14" s="53">
        <v>72.8</v>
      </c>
      <c r="O14" s="621">
        <v>72</v>
      </c>
      <c r="P14" s="53">
        <v>66.2</v>
      </c>
      <c r="Q14" s="53">
        <v>62.8</v>
      </c>
      <c r="R14" s="53">
        <v>60.3</v>
      </c>
      <c r="S14" s="714">
        <v>63</v>
      </c>
      <c r="T14" s="53">
        <v>56.7</v>
      </c>
      <c r="U14" s="53">
        <v>54.6</v>
      </c>
      <c r="V14" s="53">
        <f>229.5-S14-T14-U14</f>
        <v>55.199999999999996</v>
      </c>
      <c r="W14" s="855">
        <v>229.2</v>
      </c>
      <c r="X14" s="53">
        <v>53.6</v>
      </c>
      <c r="Y14" s="53">
        <v>52.5</v>
      </c>
      <c r="Z14" s="53">
        <v>50.1</v>
      </c>
      <c r="AA14" s="53">
        <f>207.3-X14-Y14-Z14</f>
        <v>51.100000000000016</v>
      </c>
      <c r="AB14" s="855">
        <f>Master!K44</f>
        <v>207.3</v>
      </c>
      <c r="AC14" s="728">
        <v>49.3</v>
      </c>
      <c r="AD14" s="728">
        <v>41</v>
      </c>
      <c r="AE14" s="728">
        <v>44.6</v>
      </c>
      <c r="AF14" s="728">
        <f>181.1-AC14-AD14-AE14</f>
        <v>46.20000000000001</v>
      </c>
      <c r="AG14" s="855">
        <f>Master!L44</f>
        <v>181</v>
      </c>
      <c r="AH14" s="728">
        <v>45</v>
      </c>
      <c r="AI14" s="728">
        <v>47.7</v>
      </c>
      <c r="AJ14" s="728">
        <v>47.8</v>
      </c>
      <c r="AK14" s="728">
        <f>189.9-AH14-AI14-AJ14</f>
        <v>49.400000000000006</v>
      </c>
      <c r="AL14" s="855">
        <f>Master!M44</f>
        <v>189.9</v>
      </c>
      <c r="AM14" s="728">
        <v>47.7</v>
      </c>
      <c r="AN14" s="728">
        <v>48.4</v>
      </c>
      <c r="AO14" s="728">
        <v>48.4</v>
      </c>
      <c r="AP14" s="728">
        <f>194.7-AM14-AN14-AO14</f>
        <v>50.199999999999996</v>
      </c>
      <c r="AQ14" s="855">
        <f>Master!N44</f>
        <v>194.7</v>
      </c>
      <c r="AR14" s="728">
        <v>47.1</v>
      </c>
      <c r="AS14" s="728">
        <v>47.6</v>
      </c>
      <c r="AT14" s="728">
        <v>48.9</v>
      </c>
      <c r="AU14" s="728">
        <f>193.4-AR14-AS14-AT14</f>
        <v>49.800000000000018</v>
      </c>
      <c r="AV14" s="855">
        <f>Master!O44</f>
        <v>193</v>
      </c>
      <c r="AW14" s="728">
        <v>51.3</v>
      </c>
      <c r="AX14" s="728">
        <v>55.6</v>
      </c>
      <c r="AY14" s="728">
        <v>47.9</v>
      </c>
      <c r="AZ14" s="630">
        <f t="shared" si="11"/>
        <v>49.077650367806207</v>
      </c>
      <c r="BA14" s="855">
        <f>Master!P44</f>
        <v>203.87765036780618</v>
      </c>
      <c r="BB14" s="630"/>
      <c r="BC14" s="630"/>
      <c r="BD14" s="630"/>
      <c r="BE14" s="630"/>
      <c r="BF14" s="855">
        <f>Master!Q44</f>
        <v>211.2303991778451</v>
      </c>
      <c r="BG14" s="630"/>
      <c r="BH14" s="56"/>
      <c r="BI14" s="56">
        <f t="shared" si="12"/>
        <v>-0.16473317865429238</v>
      </c>
      <c r="BJ14" s="56">
        <f t="shared" si="12"/>
        <v>-0.12201591511936338</v>
      </c>
      <c r="BK14" s="56">
        <f t="shared" si="12"/>
        <v>-0.1301939058171746</v>
      </c>
      <c r="BL14" s="56">
        <f t="shared" si="12"/>
        <v>-0.17170329670329676</v>
      </c>
      <c r="BM14" s="56">
        <f t="shared" si="8"/>
        <v>-0.125</v>
      </c>
      <c r="BN14" s="56">
        <f t="shared" si="8"/>
        <v>-0.14350453172205435</v>
      </c>
      <c r="BO14" s="56">
        <f t="shared" si="8"/>
        <v>-0.13057324840764328</v>
      </c>
      <c r="BP14" s="56">
        <f t="shared" si="8"/>
        <v>-8.4577114427860756E-2</v>
      </c>
      <c r="BQ14" s="56">
        <f t="shared" si="5"/>
        <v>-0.14920634920634923</v>
      </c>
      <c r="BR14" s="56">
        <f t="shared" si="5"/>
        <v>-7.407407407407407E-2</v>
      </c>
      <c r="BS14" s="56">
        <f t="shared" si="5"/>
        <v>-8.2417582417582458E-2</v>
      </c>
      <c r="BT14" s="56">
        <f t="shared" si="5"/>
        <v>-7.4275362318840243E-2</v>
      </c>
      <c r="BU14" s="56">
        <f t="shared" si="6"/>
        <v>-8.0223880597015018E-2</v>
      </c>
      <c r="BV14" s="56">
        <f t="shared" si="6"/>
        <v>-0.21904761904761905</v>
      </c>
      <c r="BW14" s="56">
        <f t="shared" si="6"/>
        <v>-0.1097804391217565</v>
      </c>
      <c r="BX14" s="56">
        <f t="shared" si="6"/>
        <v>-9.589041095890416E-2</v>
      </c>
      <c r="BY14" s="56">
        <f t="shared" si="9"/>
        <v>-8.7221095334685583E-2</v>
      </c>
      <c r="BZ14" s="56">
        <f t="shared" si="9"/>
        <v>0.16341463414634161</v>
      </c>
      <c r="CA14" s="56">
        <f t="shared" si="13"/>
        <v>7.1748878923766801E-2</v>
      </c>
      <c r="CB14" s="56">
        <f t="shared" si="13"/>
        <v>6.9264069264069139E-2</v>
      </c>
      <c r="CC14" s="56">
        <f t="shared" si="14"/>
        <v>6.0000000000000053E-2</v>
      </c>
      <c r="CD14" s="56">
        <f t="shared" si="14"/>
        <v>1.467505241090139E-2</v>
      </c>
      <c r="CE14" s="56">
        <f t="shared" si="14"/>
        <v>1.2552301255230214E-2</v>
      </c>
      <c r="CF14" s="56">
        <f t="shared" si="14"/>
        <v>1.6194331983805377E-2</v>
      </c>
      <c r="CG14" s="56">
        <f t="shared" si="15"/>
        <v>-1.2578616352201255E-2</v>
      </c>
      <c r="CH14" s="56">
        <f t="shared" si="15"/>
        <v>-1.6528925619834656E-2</v>
      </c>
      <c r="CI14" s="56">
        <f t="shared" si="15"/>
        <v>1.0330578512396604E-2</v>
      </c>
      <c r="CJ14" s="56">
        <f t="shared" si="15"/>
        <v>-7.9681274900393895E-3</v>
      </c>
      <c r="CK14" s="56"/>
      <c r="CL14" s="56"/>
      <c r="CM14" s="56"/>
      <c r="CN14" s="56"/>
    </row>
    <row r="15" spans="2:96" ht="15.75">
      <c r="B15" s="53" t="s">
        <v>33</v>
      </c>
      <c r="C15" s="481">
        <f>P58-C16-C17</f>
        <v>0</v>
      </c>
      <c r="D15" s="481">
        <f>Q58-D16-D17</f>
        <v>0</v>
      </c>
      <c r="E15" s="56" t="e">
        <f t="shared" si="3"/>
        <v>#DIV/0!</v>
      </c>
      <c r="G15" s="6"/>
      <c r="H15" s="53" t="e">
        <f ca="1">127.1-I15</f>
        <v>#DIV/0!</v>
      </c>
      <c r="I15" s="54" t="e">
        <f t="shared" ca="1" si="7"/>
        <v>#DIV/0!</v>
      </c>
      <c r="J15" s="53"/>
      <c r="K15" s="53">
        <v>45.7</v>
      </c>
      <c r="L15" s="53">
        <v>41.6</v>
      </c>
      <c r="M15" s="53">
        <v>42.6</v>
      </c>
      <c r="N15" s="53">
        <v>41.5</v>
      </c>
      <c r="O15" s="53">
        <v>40.200000000000003</v>
      </c>
      <c r="P15" s="53">
        <v>41.4</v>
      </c>
      <c r="Q15" s="53">
        <v>41.1</v>
      </c>
      <c r="R15" s="53">
        <v>40.4</v>
      </c>
      <c r="S15" s="53">
        <v>38.5</v>
      </c>
      <c r="T15" s="53">
        <v>37.4</v>
      </c>
      <c r="U15" s="53">
        <v>38.299999999999997</v>
      </c>
      <c r="V15" s="621">
        <f>151.3-S15-T15-U15</f>
        <v>37.100000000000009</v>
      </c>
      <c r="W15" s="855">
        <v>151.30000000000001</v>
      </c>
      <c r="X15" s="621">
        <v>37.5</v>
      </c>
      <c r="Y15" s="621">
        <v>37.4</v>
      </c>
      <c r="Z15" s="621">
        <v>37.4</v>
      </c>
      <c r="AA15" s="1010">
        <f>150.2-X15-Y15-Z15</f>
        <v>37.899999999999984</v>
      </c>
      <c r="AB15" s="855">
        <f>Master!K42</f>
        <v>150.19999999999999</v>
      </c>
      <c r="AC15" s="728">
        <v>36.700000000000003</v>
      </c>
      <c r="AD15" s="728">
        <v>33.6</v>
      </c>
      <c r="AE15" s="728">
        <v>34.9</v>
      </c>
      <c r="AF15" s="728">
        <f>139.2-AC15-AD15-AE15</f>
        <v>33.999999999999979</v>
      </c>
      <c r="AG15" s="855">
        <f>Master!L42</f>
        <v>139</v>
      </c>
      <c r="AH15" s="728">
        <v>33.9</v>
      </c>
      <c r="AI15" s="728">
        <v>35</v>
      </c>
      <c r="AJ15" s="728">
        <v>35.6</v>
      </c>
      <c r="AK15" s="728">
        <f>141.6-AH15-AI15-AJ15</f>
        <v>37.099999999999987</v>
      </c>
      <c r="AL15" s="855">
        <f>Master!M42</f>
        <v>141.6</v>
      </c>
      <c r="AM15" s="728">
        <v>36.5</v>
      </c>
      <c r="AN15" s="728">
        <v>36.799999999999997</v>
      </c>
      <c r="AO15" s="728">
        <v>37.299999999999997</v>
      </c>
      <c r="AP15" s="728">
        <f>148-AM15-AN15-AO15</f>
        <v>37.400000000000006</v>
      </c>
      <c r="AQ15" s="855">
        <f>Master!N42</f>
        <v>148</v>
      </c>
      <c r="AR15" s="728">
        <v>38.6</v>
      </c>
      <c r="AS15" s="728">
        <v>39.4</v>
      </c>
      <c r="AT15" s="728">
        <v>39.5</v>
      </c>
      <c r="AU15" s="728">
        <f>157.6-AR15-AS15-AT15</f>
        <v>40.099999999999994</v>
      </c>
      <c r="AV15" s="855">
        <f>Master!O42</f>
        <v>157.6</v>
      </c>
      <c r="AW15" s="728">
        <v>40.799999999999997</v>
      </c>
      <c r="AX15" s="728">
        <v>39.6</v>
      </c>
      <c r="AY15" s="728">
        <v>41.4</v>
      </c>
      <c r="AZ15" s="630">
        <f t="shared" si="11"/>
        <v>40.049370376250188</v>
      </c>
      <c r="BA15" s="855">
        <f>Master!P42</f>
        <v>161.84937037625019</v>
      </c>
      <c r="BB15" s="630"/>
      <c r="BC15" s="630"/>
      <c r="BD15" s="630"/>
      <c r="BE15" s="630"/>
      <c r="BF15" s="855">
        <f>Master!Q42</f>
        <v>165.08635778377518</v>
      </c>
      <c r="BG15" s="630"/>
      <c r="BH15" s="56"/>
      <c r="BI15" s="56">
        <f t="shared" si="12"/>
        <v>-0.12035010940919033</v>
      </c>
      <c r="BJ15" s="56">
        <f t="shared" si="12"/>
        <v>-4.8076923076924016E-3</v>
      </c>
      <c r="BK15" s="56">
        <f t="shared" si="12"/>
        <v>-3.5211267605633756E-2</v>
      </c>
      <c r="BL15" s="56">
        <f t="shared" si="12"/>
        <v>-2.6506024096385583E-2</v>
      </c>
      <c r="BM15" s="56">
        <f t="shared" si="8"/>
        <v>-4.2288557213930433E-2</v>
      </c>
      <c r="BN15" s="56">
        <f t="shared" si="8"/>
        <v>-9.661835748792269E-2</v>
      </c>
      <c r="BO15" s="56">
        <f t="shared" si="8"/>
        <v>-6.8126520681265346E-2</v>
      </c>
      <c r="BP15" s="56">
        <f t="shared" si="8"/>
        <v>-8.1683168316831423E-2</v>
      </c>
      <c r="BQ15" s="56">
        <f t="shared" si="5"/>
        <v>-2.5974025974025983E-2</v>
      </c>
      <c r="BR15" s="56">
        <f t="shared" si="5"/>
        <v>0</v>
      </c>
      <c r="BS15" s="56">
        <f t="shared" si="5"/>
        <v>-2.3498694516971286E-2</v>
      </c>
      <c r="BT15" s="56">
        <f t="shared" si="5"/>
        <v>2.1563342318058565E-2</v>
      </c>
      <c r="BU15" s="56">
        <f t="shared" si="6"/>
        <v>-2.1333333333333204E-2</v>
      </c>
      <c r="BV15" s="56">
        <f t="shared" si="6"/>
        <v>-0.10160427807486627</v>
      </c>
      <c r="BW15" s="56">
        <f t="shared" si="6"/>
        <v>-6.6844919786096302E-2</v>
      </c>
      <c r="BX15" s="56">
        <f t="shared" si="6"/>
        <v>-0.10290237467018493</v>
      </c>
      <c r="BY15" s="56">
        <f t="shared" si="9"/>
        <v>-7.6294277929155441E-2</v>
      </c>
      <c r="BZ15" s="56">
        <f t="shared" si="9"/>
        <v>4.1666666666666519E-2</v>
      </c>
      <c r="CA15" s="56">
        <f t="shared" si="13"/>
        <v>2.0057306590258062E-2</v>
      </c>
      <c r="CB15" s="56">
        <f t="shared" si="13"/>
        <v>9.1176470588235636E-2</v>
      </c>
      <c r="CC15" s="56">
        <f t="shared" si="14"/>
        <v>7.6696165191740384E-2</v>
      </c>
      <c r="CD15" s="56">
        <f t="shared" si="14"/>
        <v>5.1428571428571379E-2</v>
      </c>
      <c r="CE15" s="56">
        <f t="shared" si="14"/>
        <v>4.7752808988763995E-2</v>
      </c>
      <c r="CF15" s="56">
        <f t="shared" si="14"/>
        <v>8.0862533692727112E-3</v>
      </c>
      <c r="CG15" s="56">
        <f t="shared" si="15"/>
        <v>5.7534246575342562E-2</v>
      </c>
      <c r="CH15" s="56">
        <f t="shared" si="15"/>
        <v>7.0652173913043459E-2</v>
      </c>
      <c r="CI15" s="56">
        <f t="shared" si="15"/>
        <v>5.8981233243967868E-2</v>
      </c>
      <c r="CJ15" s="56">
        <f t="shared" si="15"/>
        <v>7.219251336898358E-2</v>
      </c>
      <c r="CK15" s="56"/>
      <c r="CL15" s="56"/>
      <c r="CM15" s="56"/>
      <c r="CN15" s="56"/>
    </row>
    <row r="16" spans="2:96" ht="15.75">
      <c r="B16" s="50" t="s">
        <v>1417</v>
      </c>
      <c r="C16" s="50"/>
      <c r="D16" s="3"/>
      <c r="E16" s="7" t="e">
        <f t="shared" si="3"/>
        <v>#DIV/0!</v>
      </c>
      <c r="F16" s="3"/>
      <c r="G16" s="7"/>
      <c r="H16" s="50"/>
      <c r="I16" s="57"/>
      <c r="J16" s="50"/>
      <c r="K16" s="50">
        <f>-26.5-L16</f>
        <v>-12.2</v>
      </c>
      <c r="L16" s="50">
        <v>-14.3</v>
      </c>
      <c r="M16" s="50">
        <v>-12.4</v>
      </c>
      <c r="N16" s="50">
        <v>-9.9</v>
      </c>
      <c r="O16" s="622">
        <f>O17-O15-O14-O13-O12-O11-O8-O7-O5</f>
        <v>0</v>
      </c>
      <c r="P16" s="622">
        <f>P17-P15-P14-P13-P12-P11-P8-P7-P5</f>
        <v>0.10000000000012221</v>
      </c>
      <c r="Q16" s="622">
        <f>Q17-Q15-Q14-Q13-Q12-Q11-Q8-Q7-Q5</f>
        <v>0</v>
      </c>
      <c r="R16" s="622">
        <v>-11.6</v>
      </c>
      <c r="S16" s="622">
        <f>S17-S15-S14-S13-S12-S11-S8-S7-S5</f>
        <v>1</v>
      </c>
      <c r="T16" s="622">
        <f>T17-T15-T14-T13-T12-T11-T8-T7-T5</f>
        <v>1.6000000000000512</v>
      </c>
      <c r="U16" s="622">
        <f>U17-U15-U14-U13-U12-U11-U8-U7-U5</f>
        <v>0.80000000000001137</v>
      </c>
      <c r="V16" s="622">
        <f>V17-V15-V14-V13-V12-V11-V8-V7-V5</f>
        <v>-48.600000000000023</v>
      </c>
      <c r="W16" s="857">
        <f>SUM(S16:V16)</f>
        <v>-45.19999999999996</v>
      </c>
      <c r="X16" s="622">
        <f>X17-X15-X14-X13-X12-X11-X8-X7-X5</f>
        <v>1.5999999999998948</v>
      </c>
      <c r="Y16" s="622">
        <f>Y17-Y15-Y14-Y13-Y12-Y11-Y8-Y7-Y5</f>
        <v>1.5000000000000142</v>
      </c>
      <c r="Z16" s="622">
        <f>Z17-Z15-Z14-Z13-Z12-Z11-Z8-Z7-Z5</f>
        <v>1.5999999999999659</v>
      </c>
      <c r="AA16" s="1011">
        <f>AA17-AA15-AA14-AA13-AA12-AA11-AA8-AA7-AA5</f>
        <v>1.8000000000001251</v>
      </c>
      <c r="AB16" s="857">
        <f>0-AB21</f>
        <v>6</v>
      </c>
      <c r="AC16" s="638">
        <f>AC17-AC15-AC14-AC13-AC12-AC11-AC8-AC7-AC5</f>
        <v>1.9999999999999716</v>
      </c>
      <c r="AD16" s="638">
        <f>AD17-AD15-AD14-AD13-AD12-AD11-AD8-AD7-AD5</f>
        <v>2.7999999999999261</v>
      </c>
      <c r="AE16" s="638">
        <f>AE17-AE15-AE14-AE13-AE12-AE11-AE8-AE7-AE5</f>
        <v>2.2999999999999403</v>
      </c>
      <c r="AF16" s="638">
        <f>AF17-AF15-AF14-AF13-AF12-AF11-AF8-AF7-AF5</f>
        <v>-12.59999999999998</v>
      </c>
      <c r="AG16" s="857">
        <f>SUM(AC16:AF16)</f>
        <v>-5.5000000000001421</v>
      </c>
      <c r="AH16" s="638">
        <f>AH17-AH15-AH14-AH13-AH12-AH11-AH8-AH7-AH5</f>
        <v>-14.899999999999991</v>
      </c>
      <c r="AI16" s="638">
        <f>AI17-AI15-AI14-AI13-AI12-AI11-AI8-AI7-AI5</f>
        <v>-13.999999999999957</v>
      </c>
      <c r="AJ16" s="638">
        <f>AJ17-AJ15-AJ14-AJ13-AJ12-AJ11-AJ8-AJ7-AJ5</f>
        <v>-13.100000000000023</v>
      </c>
      <c r="AK16" s="638">
        <f>AK17-AK15-AK14-AK13-AK12-AK11-AK8-AK7-AK5</f>
        <v>-13.600000000000051</v>
      </c>
      <c r="AL16" s="857">
        <f>'New Format'!H221</f>
        <v>-56</v>
      </c>
      <c r="AM16" s="638">
        <f>AM17-AM15-AM14-AM13-AM12-AM11-AM8-AM7-AM5</f>
        <v>-14.399999999999963</v>
      </c>
      <c r="AN16" s="638">
        <f>AN17-AN15-AN14-AN13-AN12-AN11-AN8-AN7-AN5</f>
        <v>-13.899999999999793</v>
      </c>
      <c r="AO16" s="638">
        <f>AO17-AO15-AO14-AO13-AO12-AO11-AO8-AO7-AO5</f>
        <v>-14.999999999999957</v>
      </c>
      <c r="AP16" s="638">
        <f>AP17-AP15-AP14-AP13-AP12-AP11-AP8-AP7-AP5</f>
        <v>-14.099999999999881</v>
      </c>
      <c r="AQ16" s="857">
        <f>'New Format'!I221</f>
        <v>-58</v>
      </c>
      <c r="AR16" s="638">
        <f>AR17-AR15-AR14-AR13-AR12-AR11-AR8-AR7-AR5</f>
        <v>-13.799999999999983</v>
      </c>
      <c r="AS16" s="638">
        <f>AS17-AS15-AS14-AS13-AS12-AS11-AS8-AS7-AS5</f>
        <v>-13.799999999999955</v>
      </c>
      <c r="AT16" s="638">
        <f>AT17-AT15-AT14-AT13-AT12-AT11-AT8-AT7-AT5</f>
        <v>-11.799999999999969</v>
      </c>
      <c r="AU16" s="638">
        <f>AU17-AU15-AU14-AU13-AU12-AU11-AU8-AU7-AU5</f>
        <v>-28.800000000000139</v>
      </c>
      <c r="AV16" s="857">
        <f>'New Format'!J221</f>
        <v>-68</v>
      </c>
      <c r="AW16" s="638">
        <f>AW17-AW15-AW14-AW13-AW12-AW11-AW8-AW7-AW5</f>
        <v>-15.399999999999906</v>
      </c>
      <c r="AX16" s="638">
        <f>AX17-AX15-AX14-AX13-AX12-AX11-AX8-AX7-AX5</f>
        <v>-18.100000000000051</v>
      </c>
      <c r="AY16" s="638">
        <f>AY17-AY15-AY14-AY13-AY12-AY11-AY8-AY7-AY5</f>
        <v>-16.300000000000011</v>
      </c>
      <c r="AZ16" s="638">
        <f t="shared" si="11"/>
        <v>-18.200000000000031</v>
      </c>
      <c r="BA16" s="857">
        <f>'New Format'!K221</f>
        <v>-68</v>
      </c>
      <c r="BB16" s="1545"/>
      <c r="BC16" s="1545"/>
      <c r="BD16" s="1545"/>
      <c r="BE16" s="1545"/>
      <c r="BF16" s="857">
        <f>'New Format'!L221</f>
        <v>-68</v>
      </c>
      <c r="BG16" s="632"/>
      <c r="BH16" s="631"/>
      <c r="BI16" s="631"/>
      <c r="BJ16" s="631"/>
      <c r="BK16" s="631"/>
      <c r="BL16" s="631"/>
      <c r="BM16" s="631"/>
      <c r="BN16" s="631"/>
      <c r="BO16" s="631"/>
      <c r="BP16" s="631"/>
      <c r="BQ16" s="631"/>
      <c r="BR16" s="631"/>
      <c r="BS16" s="631"/>
      <c r="BT16" s="631"/>
      <c r="BU16" s="631"/>
      <c r="BV16" s="631"/>
      <c r="BW16" s="631"/>
      <c r="BX16" s="631"/>
      <c r="BY16" s="631"/>
      <c r="BZ16" s="631"/>
      <c r="CA16" s="631"/>
      <c r="CB16" s="631"/>
      <c r="CC16" s="631"/>
      <c r="CD16" s="631"/>
      <c r="CE16" s="631"/>
      <c r="CF16" s="631"/>
      <c r="CG16" s="631"/>
      <c r="CH16" s="631"/>
      <c r="CI16" s="631"/>
      <c r="CJ16" s="631"/>
      <c r="CK16" s="3"/>
      <c r="CL16" s="3"/>
      <c r="CM16" s="3"/>
      <c r="CN16" s="3"/>
    </row>
    <row r="17" spans="2:96" ht="15.75">
      <c r="B17" s="53" t="s">
        <v>3696</v>
      </c>
      <c r="C17" s="53"/>
      <c r="E17" s="6" t="e">
        <f t="shared" si="3"/>
        <v>#DIV/0!</v>
      </c>
      <c r="G17" s="6"/>
      <c r="H17" s="53" t="e">
        <f ca="1">SUM(H5:H15)</f>
        <v>#DIV/0!</v>
      </c>
      <c r="I17" s="54"/>
      <c r="J17" s="53"/>
      <c r="K17" s="53">
        <v>607.5</v>
      </c>
      <c r="L17" s="621">
        <f>L75</f>
        <v>573.6</v>
      </c>
      <c r="M17" s="481">
        <f>M75</f>
        <v>567.59999999999991</v>
      </c>
      <c r="N17" s="481">
        <f>N75</f>
        <v>594.30000000000007</v>
      </c>
      <c r="O17" s="749">
        <f>575.6</f>
        <v>575.6</v>
      </c>
      <c r="P17" s="749">
        <f>582.7-6/2</f>
        <v>579.70000000000005</v>
      </c>
      <c r="Q17" s="481">
        <v>578.9</v>
      </c>
      <c r="R17" s="481">
        <v>585.70000000000005</v>
      </c>
      <c r="S17" s="749">
        <v>585.5</v>
      </c>
      <c r="T17" s="481">
        <v>583.70000000000005</v>
      </c>
      <c r="U17" s="481">
        <v>581.1</v>
      </c>
      <c r="V17" s="481">
        <v>582.79999999999995</v>
      </c>
      <c r="W17" s="855">
        <f>W5+W7+W8+W11+W12+W13+W14+W15+W16</f>
        <v>2283.0000000000005</v>
      </c>
      <c r="X17" s="481">
        <v>569.79999999999995</v>
      </c>
      <c r="Y17" s="481">
        <v>606.6</v>
      </c>
      <c r="Z17" s="481">
        <v>595.9</v>
      </c>
      <c r="AA17" s="481">
        <v>617.20000000000005</v>
      </c>
      <c r="AB17" s="855">
        <f>AB5+AB7+AB8+AB11+AB12+AB13+AB14+AB15+AB16</f>
        <v>2389</v>
      </c>
      <c r="AC17" s="481">
        <v>588.6</v>
      </c>
      <c r="AD17" s="481">
        <v>515.29999999999995</v>
      </c>
      <c r="AE17" s="481">
        <v>538.9</v>
      </c>
      <c r="AF17" s="481">
        <v>557</v>
      </c>
      <c r="AG17" s="855">
        <f>AG5+AG7+AG8+AG11+AG12+AG13+AG14+AG15+AG16</f>
        <v>2200.4</v>
      </c>
      <c r="AH17" s="481">
        <f>429.8+AH13</f>
        <v>551.79999999999995</v>
      </c>
      <c r="AI17" s="481">
        <f>434.2+AI13</f>
        <v>561.79999999999995</v>
      </c>
      <c r="AJ17" s="481">
        <f>434.5+128.9</f>
        <v>563.4</v>
      </c>
      <c r="AK17" s="481">
        <f>452.7+168.8</f>
        <v>621.5</v>
      </c>
      <c r="AL17" s="855">
        <f t="shared" ref="AL17:AQ17" si="16">AL5+AL7+AL8+AL11+AL12+AL13+AL14+AL15+AL16</f>
        <v>2297.1</v>
      </c>
      <c r="AM17" s="481">
        <f>354.8+AM8+AM13</f>
        <v>589.6</v>
      </c>
      <c r="AN17" s="749">
        <f>1436.8+642.7+450.8-AM17-AO17-AP17</f>
        <v>614.50000000000023</v>
      </c>
      <c r="AO17" s="481">
        <f>359.1+AO13+AO8</f>
        <v>633.5</v>
      </c>
      <c r="AP17" s="481">
        <f>367.3+AP13+AP8</f>
        <v>692.7</v>
      </c>
      <c r="AQ17" s="855">
        <f t="shared" si="16"/>
        <v>2531</v>
      </c>
      <c r="AR17" s="481">
        <f>353.8+AR13+AR8</f>
        <v>627.80000000000007</v>
      </c>
      <c r="AS17" s="481">
        <f>356.3+AS13+AS8</f>
        <v>655.7</v>
      </c>
      <c r="AT17" s="481">
        <f>360.5+AT13+AT8</f>
        <v>663.4</v>
      </c>
      <c r="AU17" s="481">
        <f>366.4+AU13+AU8</f>
        <v>686</v>
      </c>
      <c r="AV17" s="855">
        <f t="shared" ref="AV17:BA17" si="17">AV5+AV7+AV8+AV11+AV12+AV13+AV14+AV15+AV16</f>
        <v>2632.7</v>
      </c>
      <c r="AW17" s="481">
        <f>364.2+AW13+AW8</f>
        <v>641.9</v>
      </c>
      <c r="AX17" s="481">
        <f>368.3+AX13+AX8</f>
        <v>684.6</v>
      </c>
      <c r="AY17" s="481">
        <f>359.9+AY8+AY13</f>
        <v>657.8</v>
      </c>
      <c r="AZ17" s="481">
        <f t="shared" si="11"/>
        <v>705.44495770349727</v>
      </c>
      <c r="BA17" s="855">
        <f t="shared" si="17"/>
        <v>2689.7449577034972</v>
      </c>
      <c r="BB17" s="481"/>
      <c r="BC17" s="481"/>
      <c r="BD17" s="481"/>
      <c r="BE17" s="481"/>
      <c r="BF17" s="855">
        <f t="shared" ref="BF17" si="18">BF5+BF7+BF8+BF11+BF12+BF13+BF14+BF15+BF16</f>
        <v>2756.216675131273</v>
      </c>
      <c r="BG17" s="630"/>
      <c r="BH17" s="56"/>
      <c r="BI17" s="56">
        <f t="shared" ref="BI17:BP17" si="19">O17/K17-1</f>
        <v>-5.2510288065843569E-2</v>
      </c>
      <c r="BJ17" s="56">
        <f t="shared" si="19"/>
        <v>1.0634588563458891E-2</v>
      </c>
      <c r="BK17" s="56">
        <f t="shared" si="19"/>
        <v>1.9908386187456051E-2</v>
      </c>
      <c r="BL17" s="56">
        <f t="shared" si="19"/>
        <v>-1.4470805990240643E-2</v>
      </c>
      <c r="BM17" s="56">
        <f t="shared" si="19"/>
        <v>1.7199444058373814E-2</v>
      </c>
      <c r="BN17" s="56">
        <f t="shared" si="19"/>
        <v>6.9001207521131036E-3</v>
      </c>
      <c r="BO17" s="56">
        <f t="shared" si="19"/>
        <v>3.8003109345310371E-3</v>
      </c>
      <c r="BP17" s="56">
        <f t="shared" si="19"/>
        <v>-4.9513402765922754E-3</v>
      </c>
      <c r="BQ17" s="56">
        <f>X17/S17-1</f>
        <v>-2.6814688300597855E-2</v>
      </c>
      <c r="BR17" s="56">
        <f>Y17/T17-1</f>
        <v>3.9232482439609306E-2</v>
      </c>
      <c r="BS17" s="56">
        <f>Z17/U17-1</f>
        <v>2.5468938220615911E-2</v>
      </c>
      <c r="BT17" s="56">
        <f>AA17/V17-1</f>
        <v>5.9025394646534224E-2</v>
      </c>
      <c r="BU17" s="56">
        <f>AC17/X17-1</f>
        <v>3.2994032994033029E-2</v>
      </c>
      <c r="BV17" s="56">
        <f>AD17/Y17-1</f>
        <v>-0.15051104516979896</v>
      </c>
      <c r="BW17" s="56">
        <f>AE17/Z17-1</f>
        <v>-9.5653633159926144E-2</v>
      </c>
      <c r="BX17" s="56">
        <f>AF17/AA17-1</f>
        <v>-9.7537265068049273E-2</v>
      </c>
      <c r="BY17" s="56">
        <f>AH17/AC17-1</f>
        <v>-6.2521236833163574E-2</v>
      </c>
      <c r="BZ17" s="56">
        <f>AI17/AD17-1</f>
        <v>9.0238695905297872E-2</v>
      </c>
      <c r="CA17" s="56">
        <f>AJ17/AE17-1</f>
        <v>4.5462980144739262E-2</v>
      </c>
      <c r="CB17" s="56">
        <f>AK17/AF17-1</f>
        <v>0.11579892280071813</v>
      </c>
      <c r="CC17" s="56">
        <f>AM17/AH17-1</f>
        <v>6.8503080826386453E-2</v>
      </c>
      <c r="CD17" s="56">
        <f>AN17/AI17-1</f>
        <v>9.3805624777501428E-2</v>
      </c>
      <c r="CE17" s="56">
        <f>AO17/AJ17-1</f>
        <v>0.12442314518991848</v>
      </c>
      <c r="CF17" s="56">
        <f>AP17/AK17-1</f>
        <v>0.11456154465004031</v>
      </c>
      <c r="CG17" s="56">
        <f>AR17/AM17-1</f>
        <v>6.4789687924016404E-2</v>
      </c>
      <c r="CH17" s="56">
        <f>AS17/AN17-1</f>
        <v>6.7046379170056625E-2</v>
      </c>
      <c r="CI17" s="56">
        <f>AT17/AO17-1</f>
        <v>4.719810576164174E-2</v>
      </c>
      <c r="CJ17" s="56">
        <f>AU17/AP17-1</f>
        <v>-9.6722968095857009E-3</v>
      </c>
      <c r="CK17" s="56">
        <f>AW17/AR17-1</f>
        <v>2.2459381968779724E-2</v>
      </c>
      <c r="CL17" s="56">
        <f>AX17/AS17-1</f>
        <v>4.4075034314473127E-2</v>
      </c>
      <c r="CM17" s="56">
        <f>AY17/AT17-1</f>
        <v>-8.4413626771179251E-3</v>
      </c>
      <c r="CN17" s="56">
        <f>AZ17/AU17-1</f>
        <v>2.8345419392853177E-2</v>
      </c>
    </row>
    <row r="18" spans="2:96" ht="15.75">
      <c r="B18" s="53" t="s">
        <v>899</v>
      </c>
      <c r="C18" s="53"/>
      <c r="E18" s="6" t="e">
        <f t="shared" si="3"/>
        <v>#DIV/0!</v>
      </c>
      <c r="G18" s="6"/>
      <c r="H18" s="481">
        <f>'LiLAC valuation'!K316</f>
        <v>220.8</v>
      </c>
      <c r="I18" s="54">
        <f t="shared" si="7"/>
        <v>-1</v>
      </c>
      <c r="J18" s="53"/>
      <c r="K18" s="53"/>
      <c r="L18" s="481">
        <f>'LiLAC valuation'!O316</f>
        <v>210.6</v>
      </c>
      <c r="M18" s="481">
        <f>'LiLAC valuation'!P316</f>
        <v>221.3</v>
      </c>
      <c r="N18" s="481">
        <f>'LiLAC valuation'!Q316</f>
        <v>227.6</v>
      </c>
      <c r="O18" s="481">
        <f>'LiLAC valuation'!R316</f>
        <v>229.3</v>
      </c>
      <c r="P18" s="481">
        <f>'LiLAC valuation'!S316</f>
        <v>231.1</v>
      </c>
      <c r="Q18" s="481">
        <f>'LiLAC valuation'!T316</f>
        <v>242.2</v>
      </c>
      <c r="R18" s="481">
        <f>'LiLAC valuation'!U316</f>
        <v>250.3</v>
      </c>
      <c r="S18" s="481">
        <f>'LiLAC valuation'!V316</f>
        <v>263.8</v>
      </c>
      <c r="T18" s="481">
        <f>'LiLAC valuation'!W316</f>
        <v>260.2</v>
      </c>
      <c r="U18" s="481">
        <f>'LiLAC valuation'!X316</f>
        <v>245.9</v>
      </c>
      <c r="V18" s="481">
        <f>273.8-V20</f>
        <v>241.20000000000002</v>
      </c>
      <c r="W18" s="855">
        <f>Master!J47</f>
        <v>1008.7671488858091</v>
      </c>
      <c r="X18" s="481">
        <f>'LiLAC valuation'!Z316</f>
        <v>243.5</v>
      </c>
      <c r="Y18" s="481">
        <f>274.5-Y20</f>
        <v>242</v>
      </c>
      <c r="Z18" s="481">
        <f>268.4-Z20</f>
        <v>235.09999999999997</v>
      </c>
      <c r="AA18" s="481">
        <f>941.1-X18-Y18-Z18</f>
        <v>220.50000000000006</v>
      </c>
      <c r="AB18" s="855">
        <f>Master!K47</f>
        <v>941.1</v>
      </c>
      <c r="AC18" s="481">
        <f>'LiLAC valuation'!AD316</f>
        <v>206.05608406391843</v>
      </c>
      <c r="AD18" s="481">
        <f>'LiLAC valuation'!AE316</f>
        <v>192.83110571081409</v>
      </c>
      <c r="AE18" s="481">
        <f>'LiLAC valuation'!AF316</f>
        <v>199.49367088607596</v>
      </c>
      <c r="AF18" s="481">
        <f>'LiLAC valuation'!AG316</f>
        <v>207.7016824059636</v>
      </c>
      <c r="AG18" s="855">
        <f>Master!L47</f>
        <v>807.82828282828302</v>
      </c>
      <c r="AH18" s="481">
        <v>210.3</v>
      </c>
      <c r="AI18" s="481">
        <v>209.3</v>
      </c>
      <c r="AJ18" s="481">
        <f>'LiLAC valuation'!AJ316</f>
        <v>193.1</v>
      </c>
      <c r="AK18" s="481">
        <v>174.8</v>
      </c>
      <c r="AL18" s="855">
        <f>Master!M47</f>
        <v>782.99553219448092</v>
      </c>
      <c r="AM18" s="481">
        <f>'LiLAC valuation'!AL316</f>
        <v>170.8</v>
      </c>
      <c r="AN18" s="481">
        <f>'LiLAC valuation'!AM316</f>
        <v>150</v>
      </c>
      <c r="AO18" s="481">
        <f>'LiLAC valuation'!AN316</f>
        <v>129.80000000000001</v>
      </c>
      <c r="AP18" s="481">
        <v>0</v>
      </c>
      <c r="AQ18" s="855">
        <f>Master!N47</f>
        <v>450.6</v>
      </c>
      <c r="AR18" s="481"/>
      <c r="AS18" s="481"/>
      <c r="AT18" s="481"/>
      <c r="AU18" s="481"/>
      <c r="AV18" s="855">
        <f>Master!O47</f>
        <v>0</v>
      </c>
      <c r="AW18" s="481"/>
      <c r="AX18" s="481"/>
      <c r="AY18" s="481"/>
      <c r="AZ18" s="481"/>
      <c r="BA18" s="855">
        <f>Master!P47</f>
        <v>0</v>
      </c>
      <c r="BB18" s="481"/>
      <c r="BC18" s="481"/>
      <c r="BD18" s="481"/>
      <c r="BE18" s="481"/>
      <c r="BF18" s="855">
        <f>Master!Q47</f>
        <v>0</v>
      </c>
      <c r="BG18" s="630"/>
      <c r="BH18" s="53"/>
      <c r="BI18" s="53"/>
    </row>
    <row r="19" spans="2:96" ht="15.75">
      <c r="B19" s="53" t="s">
        <v>984</v>
      </c>
      <c r="C19" s="53"/>
      <c r="E19" s="6"/>
      <c r="G19" s="6"/>
      <c r="H19" s="481">
        <f>'LiLAC valuation'!K351</f>
        <v>90.6</v>
      </c>
      <c r="I19" s="54"/>
      <c r="J19" s="53"/>
      <c r="K19" s="53"/>
      <c r="L19" s="481">
        <f>'LiLAC valuation'!O351</f>
        <v>106.9</v>
      </c>
      <c r="M19" s="481">
        <f>'LiLAC valuation'!P351</f>
        <v>104.8</v>
      </c>
      <c r="N19" s="481">
        <f>'LiLAC valuation'!Q351</f>
        <v>105.2</v>
      </c>
      <c r="O19" s="481">
        <v>0</v>
      </c>
      <c r="P19" s="481">
        <f>'LiLAC valuation'!S351</f>
        <v>108.3</v>
      </c>
      <c r="Q19" s="481">
        <f>'LiLAC valuation'!T351</f>
        <v>88.6</v>
      </c>
      <c r="R19" s="481">
        <f>'LiLAC valuation'!U351</f>
        <v>16.899999999999999</v>
      </c>
      <c r="S19" s="481">
        <f>'LiLAC valuation'!V351</f>
        <v>61.8</v>
      </c>
      <c r="T19" s="481">
        <f>'LiLAC valuation'!W351</f>
        <v>99.6</v>
      </c>
      <c r="U19" s="481">
        <f>'LiLAC valuation'!X351</f>
        <v>88.6</v>
      </c>
      <c r="V19" s="481">
        <v>93.9</v>
      </c>
      <c r="W19" s="855">
        <f>Master!J48</f>
        <v>324.60000000000002</v>
      </c>
      <c r="X19" s="481">
        <f>'LiLAC valuation'!Z351</f>
        <v>98.6</v>
      </c>
      <c r="Y19" s="481">
        <v>103.8</v>
      </c>
      <c r="Z19" s="481">
        <v>104.3</v>
      </c>
      <c r="AA19" s="481">
        <v>105.4</v>
      </c>
      <c r="AB19" s="855">
        <f>Master!K48</f>
        <v>410.3</v>
      </c>
      <c r="AC19" s="481">
        <f>'LiLAC valuation'!AD351</f>
        <v>104.6</v>
      </c>
      <c r="AD19" s="481">
        <f>'LiLAC valuation'!AE351</f>
        <v>109.1</v>
      </c>
      <c r="AE19" s="481">
        <v>114.4</v>
      </c>
      <c r="AF19" s="481">
        <v>296</v>
      </c>
      <c r="AG19" s="855">
        <f>Master!L48</f>
        <v>625</v>
      </c>
      <c r="AH19" s="481">
        <v>361.3</v>
      </c>
      <c r="AI19" s="481">
        <v>360.4</v>
      </c>
      <c r="AJ19" s="481">
        <v>359</v>
      </c>
      <c r="AK19" s="481">
        <v>376</v>
      </c>
      <c r="AL19" s="855">
        <f>Master!M48</f>
        <v>1455</v>
      </c>
      <c r="AM19" s="481">
        <v>369.3</v>
      </c>
      <c r="AN19" s="481">
        <v>364.1</v>
      </c>
      <c r="AO19" s="481">
        <v>366.9</v>
      </c>
      <c r="AP19" s="481">
        <v>373.7</v>
      </c>
      <c r="AQ19" s="855">
        <f>Master!N48</f>
        <v>1470.1</v>
      </c>
      <c r="AR19" s="481">
        <v>365.8</v>
      </c>
      <c r="AS19" s="481">
        <v>352</v>
      </c>
      <c r="AT19" s="481">
        <v>351.2</v>
      </c>
      <c r="AU19" s="481">
        <v>353.5</v>
      </c>
      <c r="AV19" s="855">
        <f>Master!O48</f>
        <v>1417</v>
      </c>
      <c r="AW19" s="481">
        <v>327.2</v>
      </c>
      <c r="AX19" s="481">
        <v>308.60000000000002</v>
      </c>
      <c r="AY19" s="481">
        <v>308.2</v>
      </c>
      <c r="AZ19" s="481">
        <f>AZ43</f>
        <v>335.10280000000006</v>
      </c>
      <c r="BA19" s="855">
        <f>Master!P48</f>
        <v>1278.8028000000002</v>
      </c>
      <c r="BB19" s="481"/>
      <c r="BC19" s="481"/>
      <c r="BD19" s="481"/>
      <c r="BE19" s="481"/>
      <c r="BF19" s="855">
        <f>Master!Q48</f>
        <v>1327.3412871200001</v>
      </c>
      <c r="BG19" s="630"/>
      <c r="BH19" s="53"/>
      <c r="BI19" s="53"/>
    </row>
    <row r="20" spans="2:96" ht="15.75">
      <c r="B20" s="53" t="s">
        <v>3411</v>
      </c>
      <c r="C20" s="53"/>
      <c r="E20" s="6" t="e">
        <f t="shared" si="3"/>
        <v>#DIV/0!</v>
      </c>
      <c r="G20" s="6"/>
      <c r="H20" s="481"/>
      <c r="I20" s="54" t="e">
        <f t="shared" si="7"/>
        <v>#DIV/0!</v>
      </c>
      <c r="J20" s="53"/>
      <c r="K20" s="53"/>
      <c r="L20" s="481"/>
      <c r="M20" s="481"/>
      <c r="N20" s="481"/>
      <c r="O20" s="481">
        <v>45</v>
      </c>
      <c r="P20" s="481"/>
      <c r="Q20" s="481"/>
      <c r="R20" s="481"/>
      <c r="S20" s="481"/>
      <c r="T20" s="481"/>
      <c r="U20" s="481"/>
      <c r="V20" s="621">
        <v>32.6</v>
      </c>
      <c r="W20" s="855">
        <f>Master!J49</f>
        <v>33</v>
      </c>
      <c r="X20" s="621">
        <f>65-Y20</f>
        <v>32.5</v>
      </c>
      <c r="Y20" s="621">
        <v>32.5</v>
      </c>
      <c r="Z20" s="621">
        <v>33.299999999999997</v>
      </c>
      <c r="AA20" s="621">
        <f>132.7-X20-Y20-Z20</f>
        <v>34.399999999999991</v>
      </c>
      <c r="AB20" s="855">
        <f>Master!K49</f>
        <v>132.69999999999999</v>
      </c>
      <c r="AC20" s="481">
        <f>240.1-AC18</f>
        <v>34.043915936081561</v>
      </c>
      <c r="AD20" s="481">
        <f>227.7-AD18</f>
        <v>34.868894289185903</v>
      </c>
      <c r="AE20" s="481">
        <f>236.9-AE18</f>
        <v>37.406329113924045</v>
      </c>
      <c r="AF20" s="481">
        <f>244.3-AF18</f>
        <v>36.598317594036416</v>
      </c>
      <c r="AG20" s="855">
        <f>Master!L49</f>
        <v>143</v>
      </c>
      <c r="AH20" s="481">
        <v>36.200000000000003</v>
      </c>
      <c r="AI20" s="481">
        <v>36.299999999999997</v>
      </c>
      <c r="AJ20" s="481">
        <v>76.900000000000006</v>
      </c>
      <c r="AK20" s="481">
        <v>106.8</v>
      </c>
      <c r="AL20" s="855">
        <f>Master!M49</f>
        <v>256.2</v>
      </c>
      <c r="AM20" s="481">
        <v>107.4</v>
      </c>
      <c r="AN20" s="481">
        <v>108</v>
      </c>
      <c r="AO20" s="481">
        <v>109.2</v>
      </c>
      <c r="AP20" s="481">
        <v>116.7</v>
      </c>
      <c r="AQ20" s="855">
        <f>Master!N49</f>
        <v>441.30000000000007</v>
      </c>
      <c r="AR20" s="481">
        <v>129.19999999999999</v>
      </c>
      <c r="AS20" s="481">
        <v>135.19999999999999</v>
      </c>
      <c r="AT20" s="481">
        <v>134.6</v>
      </c>
      <c r="AU20" s="481">
        <v>148.9</v>
      </c>
      <c r="AV20" s="855">
        <f>Master!O49</f>
        <v>547.9</v>
      </c>
      <c r="AW20" s="481">
        <v>152.30000000000001</v>
      </c>
      <c r="AX20" s="481">
        <v>147.19999999999999</v>
      </c>
      <c r="AY20" s="481">
        <v>145.5</v>
      </c>
      <c r="AZ20" s="481">
        <f>BA20-AW20-AX20-AY20</f>
        <v>142.03287333112166</v>
      </c>
      <c r="BA20" s="855">
        <f>Master!P49</f>
        <v>587.03287333112166</v>
      </c>
      <c r="BB20" s="481"/>
      <c r="BC20" s="481"/>
      <c r="BD20" s="481"/>
      <c r="BE20" s="481"/>
      <c r="BF20" s="855">
        <f>Master!Q49</f>
        <v>597.57661798413017</v>
      </c>
      <c r="BG20" s="630"/>
      <c r="BH20" s="53"/>
      <c r="BI20" s="53"/>
      <c r="BS20" s="56">
        <f t="shared" ref="BS20:CM20" si="20">AD20/Y20-1</f>
        <v>7.288905505187393E-2</v>
      </c>
      <c r="BT20" s="56">
        <f t="shared" si="20"/>
        <v>0.12331318660432578</v>
      </c>
      <c r="BU20" s="56">
        <f t="shared" si="20"/>
        <v>6.3904581221989165E-2</v>
      </c>
      <c r="BV20" s="56">
        <f t="shared" si="20"/>
        <v>7.7618688771665445E-2</v>
      </c>
      <c r="BW20" s="56">
        <f t="shared" si="20"/>
        <v>6.333243414084766E-2</v>
      </c>
      <c r="BX20" s="56">
        <f t="shared" si="20"/>
        <v>4.1042474675141438E-2</v>
      </c>
      <c r="BY20" s="56">
        <f t="shared" si="20"/>
        <v>1.0558018341172892</v>
      </c>
      <c r="BZ20" s="56">
        <f t="shared" si="20"/>
        <v>1.918166927361785</v>
      </c>
      <c r="CA20" s="56">
        <f t="shared" si="20"/>
        <v>0.79160839160839158</v>
      </c>
      <c r="CB20" s="56">
        <f t="shared" si="20"/>
        <v>1.9668508287292816</v>
      </c>
      <c r="CC20" s="56">
        <f t="shared" si="20"/>
        <v>1.9752066115702482</v>
      </c>
      <c r="CD20" s="56">
        <f t="shared" si="20"/>
        <v>0.42002600780234056</v>
      </c>
      <c r="CE20" s="56">
        <f t="shared" si="20"/>
        <v>9.2696629213483206E-2</v>
      </c>
      <c r="CF20" s="56">
        <f t="shared" si="20"/>
        <v>0.72248243559718994</v>
      </c>
      <c r="CG20" s="56">
        <f t="shared" si="20"/>
        <v>0.20297951582867757</v>
      </c>
      <c r="CH20" s="56">
        <f t="shared" si="20"/>
        <v>0.25185185185185177</v>
      </c>
      <c r="CI20" s="56">
        <f t="shared" si="20"/>
        <v>0.23260073260073244</v>
      </c>
      <c r="CJ20" s="56">
        <f t="shared" si="20"/>
        <v>0.27592116538131961</v>
      </c>
      <c r="CK20" s="56">
        <f t="shared" si="20"/>
        <v>0.24155903013822777</v>
      </c>
      <c r="CL20" s="56">
        <f t="shared" si="20"/>
        <v>0.17879256965944301</v>
      </c>
      <c r="CM20" s="56">
        <f t="shared" si="20"/>
        <v>8.8757396449704151E-2</v>
      </c>
    </row>
    <row r="21" spans="2:96" ht="15.75">
      <c r="B21" s="50" t="s">
        <v>3140</v>
      </c>
      <c r="C21" s="50"/>
      <c r="D21" s="3"/>
      <c r="E21" s="7" t="e">
        <f t="shared" si="3"/>
        <v>#DIV/0!</v>
      </c>
      <c r="F21" s="3"/>
      <c r="G21" s="7"/>
      <c r="H21" s="638"/>
      <c r="I21" s="57" t="e">
        <f t="shared" si="7"/>
        <v>#DIV/0!</v>
      </c>
      <c r="J21" s="50"/>
      <c r="K21" s="50"/>
      <c r="L21" s="638"/>
      <c r="M21" s="638">
        <f t="shared" ref="M21:U21" si="21">M22-M17-M18-M19</f>
        <v>0.40000000000010516</v>
      </c>
      <c r="N21" s="638">
        <f t="shared" si="21"/>
        <v>-4.2000000000000881</v>
      </c>
      <c r="O21" s="638">
        <f t="shared" si="21"/>
        <v>105.99999999999994</v>
      </c>
      <c r="P21" s="638">
        <f t="shared" si="21"/>
        <v>-1.2000000000000597</v>
      </c>
      <c r="Q21" s="638">
        <f t="shared" si="21"/>
        <v>-1.6999999999999602</v>
      </c>
      <c r="R21" s="638">
        <f t="shared" si="21"/>
        <v>-2.8000000000000327</v>
      </c>
      <c r="S21" s="638">
        <f t="shared" si="21"/>
        <v>-1.1000000000000085</v>
      </c>
      <c r="T21" s="638">
        <f t="shared" si="21"/>
        <v>-21.500000000000028</v>
      </c>
      <c r="U21" s="638">
        <f t="shared" si="21"/>
        <v>-1.6000000000000227</v>
      </c>
      <c r="V21" s="638">
        <v>-2</v>
      </c>
      <c r="W21" s="857">
        <f>Master!J50</f>
        <v>0</v>
      </c>
      <c r="X21" s="638">
        <f>X22-X17-X18-X19-X20</f>
        <v>-1.3999999999999488</v>
      </c>
      <c r="Y21" s="638">
        <f>Y22-Y17-Y18-Y19-Y20</f>
        <v>-1.9000000000000199</v>
      </c>
      <c r="Z21" s="638">
        <f>Z22-Z17-Z18-Z19-Z20</f>
        <v>-1.7999999999999829</v>
      </c>
      <c r="AA21" s="638">
        <f>AA22-AA17-AA18-AA19-AA20</f>
        <v>-2.5000000000000995</v>
      </c>
      <c r="AB21" s="857">
        <v>-6</v>
      </c>
      <c r="AC21" s="638">
        <f>AC22-AC17-AC18-AC19-AC20</f>
        <v>-2.3000000000000114</v>
      </c>
      <c r="AD21" s="638">
        <f>AD22-AD17-AD18-AD19-AD20</f>
        <v>-3.0999999999999375</v>
      </c>
      <c r="AE21" s="638">
        <f>AE22-AE17-AE18-AE19-AE20</f>
        <v>-2.1999999999999886</v>
      </c>
      <c r="AF21" s="638">
        <f>AF22-AF17-AF18-AF19-AF20</f>
        <v>-0.30000000000001137</v>
      </c>
      <c r="AG21" s="857">
        <f>SUM(AC21:AF21)</f>
        <v>-7.8999999999999488</v>
      </c>
      <c r="AH21" s="638">
        <f>AH22-AH17-AH18-AH19-AH20</f>
        <v>0.30000000000011084</v>
      </c>
      <c r="AI21" s="638">
        <f>AI22-AI17-AI18-AI19-AI20</f>
        <v>0.20000000000005969</v>
      </c>
      <c r="AJ21" s="638">
        <f>AJ22-AJ17-AJ18-AJ19-AJ20</f>
        <v>-0.40000000000000568</v>
      </c>
      <c r="AK21" s="638">
        <v>0</v>
      </c>
      <c r="AL21" s="857">
        <v>0</v>
      </c>
      <c r="AM21" s="638">
        <f>AM22-AM17-AM18-AM19-AM20</f>
        <v>-18.100000000000051</v>
      </c>
      <c r="AN21" s="638">
        <f>AN22-AN17-AN18-AN19-AN20</f>
        <v>-18.60000000000025</v>
      </c>
      <c r="AO21" s="638">
        <f>AO22-AO17-AO18-AO19-AO20</f>
        <v>-17.399999999999991</v>
      </c>
      <c r="AP21" s="638">
        <f>AP22-AP17-AP18-AP19-AP20</f>
        <v>-22.399999999999991</v>
      </c>
      <c r="AQ21" s="857">
        <f>Master!N51</f>
        <v>-78</v>
      </c>
      <c r="AR21" s="638">
        <f>AR22-AR17-AR18-AR19-AR20</f>
        <v>-18.800000000000068</v>
      </c>
      <c r="AS21" s="638">
        <f>AS22-AS17-AS18-AS19-AS20</f>
        <v>-19.900000000000034</v>
      </c>
      <c r="AT21" s="638">
        <f>AT22-AT17-AT18-AT19-AT20</f>
        <v>-23.400000000000006</v>
      </c>
      <c r="AU21" s="638">
        <f>AU22-AU17-AU18-AU19-AU20</f>
        <v>-24.400000000000006</v>
      </c>
      <c r="AV21" s="857">
        <f>Master!O51</f>
        <v>-86.499999999999091</v>
      </c>
      <c r="AW21" s="638">
        <f>AW22-AW17-AW18-AW19-AW20</f>
        <v>-22.399999999999977</v>
      </c>
      <c r="AX21" s="638">
        <f>AX22-AX17-AX18-AX19-AX20</f>
        <v>-22.400000000000034</v>
      </c>
      <c r="AY21" s="638">
        <f>-26.4+4.5</f>
        <v>-21.9</v>
      </c>
      <c r="AZ21" s="638">
        <f>BA21-AW21-AX21-AY21</f>
        <v>-19.799999999999081</v>
      </c>
      <c r="BA21" s="857">
        <f>Master!P51</f>
        <v>-86.499999999999091</v>
      </c>
      <c r="BB21" s="638"/>
      <c r="BC21" s="638"/>
      <c r="BD21" s="638"/>
      <c r="BE21" s="638"/>
      <c r="BF21" s="857">
        <f>Master!Q51</f>
        <v>-86.499999999999091</v>
      </c>
      <c r="BG21" s="630"/>
      <c r="BH21" s="53"/>
      <c r="BI21" s="53"/>
    </row>
    <row r="22" spans="2:96" ht="15.75">
      <c r="B22" s="58" t="s">
        <v>3157</v>
      </c>
      <c r="C22" s="58"/>
      <c r="D22" s="12"/>
      <c r="E22" s="602" t="e">
        <f t="shared" si="3"/>
        <v>#DIV/0!</v>
      </c>
      <c r="F22" s="12">
        <v>423.3</v>
      </c>
      <c r="G22" s="602">
        <f>C22/F22-1</f>
        <v>-1</v>
      </c>
      <c r="H22" s="712" t="e">
        <f ca="1">H17+H18+H19</f>
        <v>#DIV/0!</v>
      </c>
      <c r="I22" s="909" t="e">
        <f t="shared" ca="1" si="7"/>
        <v>#DIV/0!</v>
      </c>
      <c r="J22" s="58"/>
      <c r="K22" s="58"/>
      <c r="L22" s="712">
        <f>L17+L18+L19</f>
        <v>891.1</v>
      </c>
      <c r="M22" s="712">
        <v>894.1</v>
      </c>
      <c r="N22" s="712">
        <v>922.9</v>
      </c>
      <c r="O22" s="712">
        <v>910.9</v>
      </c>
      <c r="P22" s="939">
        <f>920.9-6/2</f>
        <v>917.9</v>
      </c>
      <c r="Q22" s="712">
        <f>Q194</f>
        <v>908</v>
      </c>
      <c r="R22" s="712">
        <f>R194</f>
        <v>850.1</v>
      </c>
      <c r="S22" s="712">
        <f>S194</f>
        <v>910</v>
      </c>
      <c r="T22" s="712">
        <f>T194</f>
        <v>922</v>
      </c>
      <c r="U22" s="712">
        <f>U194</f>
        <v>914</v>
      </c>
      <c r="V22" s="712">
        <v>949</v>
      </c>
      <c r="W22" s="1382">
        <f>Master!J52</f>
        <v>3693.7671488858091</v>
      </c>
      <c r="X22" s="712">
        <v>943</v>
      </c>
      <c r="Y22" s="712">
        <v>983</v>
      </c>
      <c r="Z22" s="712">
        <v>966.8</v>
      </c>
      <c r="AA22" s="712">
        <v>975</v>
      </c>
      <c r="AB22" s="1382">
        <f>Master!K52</f>
        <v>3867.1</v>
      </c>
      <c r="AC22" s="712">
        <v>931</v>
      </c>
      <c r="AD22" s="712">
        <v>849</v>
      </c>
      <c r="AE22" s="712">
        <v>888</v>
      </c>
      <c r="AF22" s="712">
        <v>1097</v>
      </c>
      <c r="AG22" s="1382">
        <f>SUM(AG17:AG21)</f>
        <v>3768.3282828282831</v>
      </c>
      <c r="AH22" s="712">
        <v>1159.9000000000001</v>
      </c>
      <c r="AI22" s="712">
        <v>1168</v>
      </c>
      <c r="AJ22" s="712">
        <v>1192</v>
      </c>
      <c r="AK22" s="712">
        <v>1279</v>
      </c>
      <c r="AL22" s="1382">
        <f>Master!M52</f>
        <v>4791.295532194481</v>
      </c>
      <c r="AM22" s="712">
        <v>1219</v>
      </c>
      <c r="AN22" s="712">
        <v>1218</v>
      </c>
      <c r="AO22" s="712">
        <v>1222</v>
      </c>
      <c r="AP22" s="712">
        <v>1160.7</v>
      </c>
      <c r="AQ22" s="1382">
        <f>Master!N52</f>
        <v>4815</v>
      </c>
      <c r="AR22" s="712">
        <v>1104</v>
      </c>
      <c r="AS22" s="712">
        <v>1123</v>
      </c>
      <c r="AT22" s="712">
        <v>1125.8</v>
      </c>
      <c r="AU22" s="712">
        <v>1164</v>
      </c>
      <c r="AV22" s="1382">
        <f>Master!O52</f>
        <v>4511.1000000000004</v>
      </c>
      <c r="AW22" s="712">
        <v>1099</v>
      </c>
      <c r="AX22" s="712">
        <v>1118</v>
      </c>
      <c r="AY22" s="712">
        <v>1089</v>
      </c>
      <c r="AZ22" s="712">
        <f t="shared" ref="AZ22" si="22">AZ17+AZ19+AZ20+AZ21</f>
        <v>1162.78063103462</v>
      </c>
      <c r="BA22" s="1382">
        <f>Master!P52</f>
        <v>4469.0806310346197</v>
      </c>
      <c r="BB22" s="712"/>
      <c r="BC22" s="712"/>
      <c r="BD22" s="712"/>
      <c r="BE22" s="712"/>
      <c r="BF22" s="1382">
        <f>Master!Q52</f>
        <v>4594.6345802354044</v>
      </c>
      <c r="BG22" s="630"/>
      <c r="BH22" s="53"/>
      <c r="BI22" s="53"/>
    </row>
    <row r="23" spans="2:96" ht="15.75">
      <c r="B23" s="53" t="s">
        <v>5946</v>
      </c>
      <c r="C23" s="53"/>
      <c r="H23" s="481"/>
      <c r="I23" s="54"/>
      <c r="J23" s="53"/>
      <c r="K23" s="53"/>
      <c r="L23" s="481">
        <f t="shared" ref="L23:U23" si="23">L22-L19</f>
        <v>784.2</v>
      </c>
      <c r="M23" s="481">
        <f t="shared" si="23"/>
        <v>789.30000000000007</v>
      </c>
      <c r="N23" s="481">
        <f t="shared" si="23"/>
        <v>817.69999999999993</v>
      </c>
      <c r="O23" s="481">
        <f t="shared" si="23"/>
        <v>910.9</v>
      </c>
      <c r="P23" s="481">
        <f t="shared" si="23"/>
        <v>809.6</v>
      </c>
      <c r="Q23" s="481">
        <f t="shared" si="23"/>
        <v>819.4</v>
      </c>
      <c r="R23" s="481">
        <f t="shared" si="23"/>
        <v>833.2</v>
      </c>
      <c r="S23" s="481">
        <f t="shared" si="23"/>
        <v>848.2</v>
      </c>
      <c r="T23" s="481">
        <f t="shared" si="23"/>
        <v>822.4</v>
      </c>
      <c r="U23" s="481">
        <f t="shared" si="23"/>
        <v>825.4</v>
      </c>
      <c r="V23" s="481"/>
      <c r="W23" s="481"/>
      <c r="X23" s="481"/>
      <c r="Y23" s="54"/>
      <c r="Z23" s="54"/>
      <c r="AA23" s="54"/>
      <c r="AB23" s="481">
        <f>AB17-SUM(X7:AA7)+30</f>
        <v>2369</v>
      </c>
      <c r="AF23" s="481">
        <f>AF22-174</f>
        <v>923</v>
      </c>
      <c r="AG23" s="481">
        <f>AG17</f>
        <v>2200.4</v>
      </c>
      <c r="AH23" s="481">
        <f>AH22-AH55</f>
        <v>970.40000000000009</v>
      </c>
      <c r="AI23" s="481">
        <f>AI22-AI55</f>
        <v>985.7</v>
      </c>
      <c r="AJ23" s="481">
        <f>AJ22-AJ55</f>
        <v>1014.7</v>
      </c>
      <c r="AK23" s="481">
        <f>AK22-AK55</f>
        <v>1093.8</v>
      </c>
      <c r="AL23" s="637"/>
      <c r="AM23" s="481"/>
      <c r="AN23" s="481"/>
      <c r="AO23" s="481"/>
      <c r="AP23" s="481"/>
      <c r="AQ23" s="481"/>
      <c r="AR23" s="481">
        <f>AR17-AR13-AR8</f>
        <v>353.80000000000007</v>
      </c>
      <c r="AS23" s="481"/>
      <c r="AT23" s="481"/>
      <c r="AU23" s="481"/>
      <c r="AV23" s="637"/>
      <c r="AW23" s="481"/>
      <c r="AX23" s="481"/>
      <c r="AY23" s="481"/>
      <c r="AZ23" s="481"/>
      <c r="BA23" s="637"/>
      <c r="BB23" s="481"/>
      <c r="BC23" s="481"/>
      <c r="BD23" s="481"/>
      <c r="BE23" s="481"/>
      <c r="BF23" s="637"/>
      <c r="BG23" s="79"/>
      <c r="BH23" s="79"/>
      <c r="BI23" s="79"/>
      <c r="BJ23" s="79"/>
      <c r="BK23" s="79"/>
      <c r="BL23" s="79"/>
      <c r="BM23" s="79"/>
      <c r="BN23" s="79"/>
      <c r="BO23" s="79"/>
      <c r="BP23" s="79"/>
      <c r="BQ23" s="79"/>
    </row>
    <row r="24" spans="2:96" ht="15.75">
      <c r="B24" s="53"/>
      <c r="C24" s="53"/>
      <c r="H24" s="481"/>
      <c r="I24" s="54"/>
      <c r="J24" s="53"/>
      <c r="K24" s="53"/>
      <c r="L24" s="481"/>
      <c r="M24" s="481"/>
      <c r="N24" s="481"/>
      <c r="O24" s="481"/>
      <c r="P24" s="481"/>
      <c r="Q24" s="481"/>
      <c r="R24" s="481"/>
      <c r="S24" s="481"/>
      <c r="T24" s="481"/>
      <c r="U24" s="481"/>
      <c r="V24" s="481"/>
      <c r="W24" s="481"/>
      <c r="X24" s="481"/>
      <c r="Y24" s="54"/>
      <c r="Z24" s="54"/>
      <c r="AA24" s="54"/>
      <c r="AB24" s="481"/>
      <c r="AF24" s="481"/>
      <c r="AG24" s="481"/>
      <c r="AH24" s="481"/>
      <c r="AI24" s="481"/>
      <c r="AJ24" s="481"/>
      <c r="AK24" s="481"/>
      <c r="AL24" s="637"/>
      <c r="AQ24" s="637"/>
      <c r="AV24" s="637"/>
      <c r="BA24" s="637"/>
      <c r="BF24" s="637"/>
      <c r="BG24" s="79"/>
      <c r="BH24" s="79"/>
      <c r="BI24" s="79"/>
      <c r="BJ24" s="79"/>
      <c r="BK24" s="79"/>
      <c r="BL24" s="79"/>
      <c r="BM24" s="79"/>
      <c r="BN24" s="79"/>
      <c r="BO24" s="79"/>
      <c r="BP24" s="79"/>
      <c r="BQ24" s="79"/>
    </row>
    <row r="25" spans="2:96" ht="15.75">
      <c r="C25" s="53"/>
      <c r="H25" s="481"/>
      <c r="I25" s="54"/>
      <c r="J25" s="53"/>
      <c r="K25" s="53"/>
      <c r="L25" s="481"/>
      <c r="M25" s="481"/>
      <c r="N25" s="481"/>
      <c r="O25" s="481"/>
      <c r="P25" s="481"/>
      <c r="Q25" s="481"/>
      <c r="R25" s="481"/>
      <c r="S25" s="481"/>
      <c r="T25" s="481"/>
      <c r="U25" s="481"/>
      <c r="V25" s="481"/>
      <c r="W25" s="481"/>
      <c r="X25" s="481"/>
      <c r="Y25" s="54"/>
      <c r="Z25" s="54"/>
      <c r="AA25" s="54"/>
      <c r="AB25" s="481"/>
      <c r="AF25" s="481"/>
      <c r="AG25" s="481"/>
      <c r="AH25" s="481"/>
      <c r="AI25" s="481"/>
      <c r="AJ25" s="481"/>
      <c r="AK25" s="481"/>
      <c r="AL25" s="637"/>
      <c r="AQ25" s="637"/>
      <c r="AV25" s="637"/>
      <c r="BA25" s="637"/>
      <c r="BF25" s="637"/>
      <c r="BG25" s="79"/>
      <c r="BH25" s="79"/>
      <c r="BI25" s="79"/>
      <c r="BJ25" s="79"/>
      <c r="BK25" s="79"/>
      <c r="BL25" s="79"/>
      <c r="BM25" s="79"/>
      <c r="BN25" s="79"/>
      <c r="BO25" s="79"/>
      <c r="BP25" s="79"/>
      <c r="BQ25" s="79"/>
    </row>
    <row r="26" spans="2:96" ht="15.75">
      <c r="B26" s="53"/>
      <c r="C26" s="53"/>
      <c r="H26" s="481"/>
      <c r="I26" s="54"/>
      <c r="J26" s="53"/>
      <c r="K26" s="53"/>
      <c r="L26" s="481"/>
      <c r="M26" s="481"/>
      <c r="N26" s="481"/>
      <c r="O26" s="481"/>
      <c r="P26" s="481"/>
      <c r="Q26" s="481"/>
      <c r="R26" s="481"/>
      <c r="S26" s="481"/>
      <c r="T26" s="481"/>
      <c r="U26" s="481"/>
      <c r="V26" s="481"/>
      <c r="W26" s="481"/>
      <c r="X26" s="481"/>
      <c r="Y26" s="54"/>
      <c r="Z26" s="54"/>
      <c r="AA26" s="54"/>
      <c r="AB26" s="481"/>
      <c r="AF26" s="481"/>
      <c r="AG26" s="481"/>
      <c r="AH26" s="481"/>
      <c r="AI26" s="481"/>
      <c r="AJ26" s="481"/>
      <c r="AK26" s="481"/>
      <c r="AL26" s="637"/>
      <c r="AQ26" s="637"/>
      <c r="AV26" s="637"/>
      <c r="BA26" s="637"/>
      <c r="BF26" s="637"/>
      <c r="BG26" s="79"/>
      <c r="BH26" s="79"/>
      <c r="BI26" s="79"/>
      <c r="BJ26" s="79"/>
      <c r="BK26" s="79"/>
      <c r="BL26" s="79"/>
      <c r="BM26" s="79"/>
      <c r="BN26" s="79"/>
      <c r="BO26" s="79"/>
      <c r="BP26" s="79"/>
      <c r="BQ26" s="79"/>
    </row>
    <row r="27" spans="2:96" ht="15.75">
      <c r="B27" s="78" t="s">
        <v>0</v>
      </c>
      <c r="C27" s="53"/>
      <c r="D27" s="53"/>
      <c r="E27" s="53"/>
      <c r="F27" s="53"/>
      <c r="G27" s="53"/>
      <c r="H27" s="481"/>
      <c r="I27" s="481"/>
      <c r="J27" s="53"/>
      <c r="K27" s="53"/>
      <c r="L27" s="481"/>
      <c r="M27" s="481"/>
      <c r="N27" s="481"/>
      <c r="O27" s="481"/>
      <c r="P27" s="481"/>
      <c r="Q27" s="481"/>
      <c r="R27" s="481"/>
      <c r="S27" s="481"/>
      <c r="T27" s="481"/>
      <c r="U27" s="481"/>
      <c r="V27" s="481"/>
      <c r="W27" s="481"/>
      <c r="X27" s="481"/>
      <c r="Y27" s="54"/>
      <c r="Z27" s="54"/>
      <c r="AA27" s="54"/>
      <c r="AB27" s="481"/>
      <c r="AC27" s="53"/>
      <c r="AD27" s="53"/>
      <c r="AE27" s="53"/>
      <c r="AF27" s="481"/>
      <c r="AG27" s="481"/>
      <c r="AH27" s="481"/>
      <c r="AI27" s="481"/>
      <c r="AJ27" s="481"/>
      <c r="AK27" s="481"/>
      <c r="AL27" s="637"/>
      <c r="AM27" s="53"/>
      <c r="AN27" s="53"/>
      <c r="AO27" s="53"/>
      <c r="AP27" s="53"/>
      <c r="AQ27" s="637"/>
      <c r="AR27" s="53"/>
      <c r="AS27" s="53"/>
      <c r="AT27" s="53"/>
      <c r="AU27" s="53"/>
      <c r="AV27" s="637"/>
      <c r="AW27" s="53"/>
      <c r="AX27" s="53"/>
      <c r="AY27" s="53"/>
      <c r="AZ27" s="53"/>
      <c r="BA27" s="637"/>
      <c r="BB27" s="53"/>
      <c r="BC27" s="53"/>
      <c r="BD27" s="53"/>
      <c r="BE27" s="53"/>
      <c r="BF27" s="637"/>
      <c r="BG27" s="79"/>
      <c r="BH27" s="79"/>
      <c r="BI27" s="79"/>
      <c r="BJ27" s="79"/>
      <c r="BK27" s="79"/>
      <c r="BL27" s="79"/>
      <c r="BM27" s="79"/>
      <c r="BN27" s="79"/>
      <c r="BO27" s="79"/>
      <c r="BP27" s="79"/>
      <c r="BQ27" s="79"/>
      <c r="BR27" s="53"/>
      <c r="BS27" s="53"/>
      <c r="BT27" s="53"/>
      <c r="BU27" s="53"/>
      <c r="BV27" s="53"/>
      <c r="BW27" s="53"/>
      <c r="BX27" s="53"/>
      <c r="BY27" s="53"/>
      <c r="BZ27" s="53"/>
      <c r="CA27" s="53"/>
      <c r="CB27" s="53"/>
      <c r="CC27" s="51" t="str">
        <f>CC4</f>
        <v>Q1 22</v>
      </c>
      <c r="CD27" s="51" t="str">
        <f t="shared" ref="CD27:CN27" si="24">CD4</f>
        <v>Q2 22</v>
      </c>
      <c r="CE27" s="51" t="str">
        <f t="shared" si="24"/>
        <v>Q3 22</v>
      </c>
      <c r="CF27" s="51" t="str">
        <f t="shared" si="24"/>
        <v>Q4 22</v>
      </c>
      <c r="CG27" s="51" t="str">
        <f t="shared" ref="CG27" si="25">CG4</f>
        <v>Q1 23</v>
      </c>
      <c r="CH27" s="51" t="str">
        <f t="shared" si="24"/>
        <v>Q2 23</v>
      </c>
      <c r="CI27" s="51" t="str">
        <f t="shared" ref="CI27" si="26">CI4</f>
        <v>Q3 23</v>
      </c>
      <c r="CJ27" s="51" t="str">
        <f t="shared" si="24"/>
        <v>Q4 23</v>
      </c>
      <c r="CK27" s="51" t="str">
        <f t="shared" si="24"/>
        <v>Q1 24</v>
      </c>
      <c r="CL27" s="51" t="str">
        <f t="shared" ref="CL27:CM27" si="27">CL4</f>
        <v>Q2 24</v>
      </c>
      <c r="CM27" s="51" t="str">
        <f t="shared" si="27"/>
        <v>Q3 24</v>
      </c>
      <c r="CN27" s="51" t="str">
        <f t="shared" si="24"/>
        <v>Q4 24e</v>
      </c>
      <c r="CO27" s="51" t="str">
        <f t="shared" ref="CO27:CR27" si="28">CO4</f>
        <v>Q1 25e</v>
      </c>
      <c r="CP27" s="51" t="str">
        <f t="shared" si="28"/>
        <v>Q2 25e</v>
      </c>
      <c r="CQ27" s="51" t="str">
        <f t="shared" si="28"/>
        <v>Q3 25e</v>
      </c>
      <c r="CR27" s="51" t="str">
        <f t="shared" si="28"/>
        <v>Q4 25e</v>
      </c>
    </row>
    <row r="28" spans="2:96" ht="15.75">
      <c r="B28" s="53" t="s">
        <v>6066</v>
      </c>
      <c r="C28" s="53"/>
      <c r="D28" s="53"/>
      <c r="E28" s="53"/>
      <c r="F28" s="53"/>
      <c r="G28" s="53"/>
      <c r="H28" s="481"/>
      <c r="I28" s="481"/>
      <c r="J28" s="53"/>
      <c r="K28" s="53"/>
      <c r="L28" s="481"/>
      <c r="M28" s="481"/>
      <c r="N28" s="481"/>
      <c r="O28" s="481"/>
      <c r="P28" s="481"/>
      <c r="Q28" s="481"/>
      <c r="R28" s="481"/>
      <c r="S28" s="481"/>
      <c r="T28" s="481"/>
      <c r="U28" s="481"/>
      <c r="V28" s="481"/>
      <c r="W28" s="481"/>
      <c r="X28" s="481"/>
      <c r="Y28" s="54"/>
      <c r="Z28" s="54"/>
      <c r="AA28" s="54"/>
      <c r="AB28" s="481"/>
      <c r="AC28" s="53"/>
      <c r="AD28" s="53"/>
      <c r="AE28" s="53"/>
      <c r="AF28" s="481"/>
      <c r="AG28" s="481"/>
      <c r="AH28" s="481"/>
      <c r="AI28" s="481"/>
      <c r="AJ28" s="481"/>
      <c r="AK28" s="481"/>
      <c r="AL28" s="637"/>
      <c r="AM28" s="53"/>
      <c r="AN28" s="53"/>
      <c r="AO28" s="53"/>
      <c r="AP28" s="53"/>
      <c r="AQ28" s="637"/>
      <c r="AR28" s="53"/>
      <c r="AS28" s="53"/>
      <c r="AT28" s="481">
        <v>66</v>
      </c>
      <c r="AU28" s="53"/>
      <c r="AV28" s="637"/>
      <c r="AW28" s="53"/>
      <c r="AX28" s="53"/>
      <c r="AY28" s="481">
        <v>70.5</v>
      </c>
      <c r="AZ28" s="53"/>
      <c r="BA28" s="637"/>
      <c r="BB28" s="53"/>
      <c r="BC28" s="53"/>
      <c r="BD28" s="53"/>
      <c r="BE28" s="53"/>
      <c r="BF28" s="637"/>
      <c r="BG28" s="79"/>
      <c r="BH28" s="79"/>
      <c r="BI28" s="79"/>
      <c r="BJ28" s="79"/>
      <c r="BK28" s="79"/>
      <c r="BL28" s="79"/>
      <c r="BM28" s="79"/>
      <c r="BN28" s="79"/>
      <c r="BO28" s="79"/>
      <c r="BP28" s="79"/>
      <c r="BQ28" s="79"/>
      <c r="BR28" s="53"/>
      <c r="BS28" s="53"/>
      <c r="BT28" s="53"/>
      <c r="BU28" s="53"/>
      <c r="BV28" s="53"/>
      <c r="BW28" s="53"/>
      <c r="BX28" s="53"/>
      <c r="BY28" s="53"/>
      <c r="BZ28" s="53"/>
      <c r="CA28" s="53"/>
      <c r="CB28" s="53"/>
      <c r="CC28" s="79"/>
      <c r="CD28" s="79"/>
      <c r="CE28" s="79"/>
      <c r="CF28" s="79"/>
      <c r="CG28" s="79"/>
      <c r="CH28" s="79"/>
      <c r="CI28" s="79"/>
      <c r="CJ28" s="79"/>
      <c r="CK28" s="79"/>
      <c r="CL28" s="79"/>
      <c r="CM28" s="56">
        <f t="shared" ref="CM28:CM32" si="29">AY28/AT28-1</f>
        <v>6.8181818181818121E-2</v>
      </c>
      <c r="CN28" s="79"/>
      <c r="CO28" s="79"/>
      <c r="CP28" s="79"/>
      <c r="CQ28" s="79"/>
      <c r="CR28" s="79"/>
    </row>
    <row r="29" spans="2:96" ht="15.75">
      <c r="B29" s="50" t="s">
        <v>6068</v>
      </c>
      <c r="C29" s="50"/>
      <c r="D29" s="50"/>
      <c r="E29" s="50"/>
      <c r="F29" s="50"/>
      <c r="G29" s="50"/>
      <c r="H29" s="638"/>
      <c r="I29" s="638"/>
      <c r="J29" s="50"/>
      <c r="K29" s="50"/>
      <c r="L29" s="638"/>
      <c r="M29" s="638"/>
      <c r="N29" s="638"/>
      <c r="O29" s="638"/>
      <c r="P29" s="638"/>
      <c r="Q29" s="638"/>
      <c r="R29" s="638"/>
      <c r="S29" s="638"/>
      <c r="T29" s="638"/>
      <c r="U29" s="638"/>
      <c r="V29" s="638"/>
      <c r="W29" s="638"/>
      <c r="X29" s="638"/>
      <c r="Y29" s="57"/>
      <c r="Z29" s="57"/>
      <c r="AA29" s="57"/>
      <c r="AB29" s="638"/>
      <c r="AC29" s="50"/>
      <c r="AD29" s="50"/>
      <c r="AE29" s="50"/>
      <c r="AF29" s="638"/>
      <c r="AG29" s="638"/>
      <c r="AH29" s="638"/>
      <c r="AI29" s="638"/>
      <c r="AJ29" s="638"/>
      <c r="AK29" s="638"/>
      <c r="AL29" s="1378"/>
      <c r="AM29" s="50"/>
      <c r="AN29" s="50"/>
      <c r="AO29" s="50"/>
      <c r="AP29" s="50"/>
      <c r="AQ29" s="1378"/>
      <c r="AR29" s="50"/>
      <c r="AS29" s="50"/>
      <c r="AT29" s="638">
        <v>13.6</v>
      </c>
      <c r="AU29" s="50"/>
      <c r="AV29" s="1378"/>
      <c r="AW29" s="50"/>
      <c r="AX29" s="50"/>
      <c r="AY29" s="638">
        <v>16</v>
      </c>
      <c r="AZ29" s="50"/>
      <c r="BA29" s="1378"/>
      <c r="BB29" s="53"/>
      <c r="BC29" s="53"/>
      <c r="BD29" s="53"/>
      <c r="BE29" s="53"/>
      <c r="BF29" s="637"/>
      <c r="BG29" s="79"/>
      <c r="BH29" s="79"/>
      <c r="BI29" s="79"/>
      <c r="BJ29" s="79"/>
      <c r="BK29" s="79"/>
      <c r="BL29" s="79"/>
      <c r="BM29" s="79"/>
      <c r="BN29" s="79"/>
      <c r="BO29" s="79"/>
      <c r="BP29" s="79"/>
      <c r="BQ29" s="79"/>
      <c r="BR29" s="53"/>
      <c r="BS29" s="53"/>
      <c r="BT29" s="53"/>
      <c r="BU29" s="53"/>
      <c r="BV29" s="53"/>
      <c r="BW29" s="53"/>
      <c r="BX29" s="53"/>
      <c r="BY29" s="53"/>
      <c r="BZ29" s="53"/>
      <c r="CA29" s="53"/>
      <c r="CB29" s="53"/>
      <c r="CC29" s="79"/>
      <c r="CD29" s="79"/>
      <c r="CE29" s="79"/>
      <c r="CF29" s="79"/>
      <c r="CG29" s="79"/>
      <c r="CH29" s="79"/>
      <c r="CI29" s="79"/>
      <c r="CJ29" s="79"/>
      <c r="CK29" s="79"/>
      <c r="CL29" s="79"/>
      <c r="CM29" s="56">
        <f t="shared" si="29"/>
        <v>0.17647058823529416</v>
      </c>
      <c r="CN29" s="79"/>
      <c r="CO29" s="79"/>
      <c r="CP29" s="79"/>
      <c r="CQ29" s="79"/>
      <c r="CR29" s="79"/>
    </row>
    <row r="30" spans="2:96" ht="15.75">
      <c r="B30" s="53" t="s">
        <v>6065</v>
      </c>
      <c r="C30" s="53"/>
      <c r="D30" s="53"/>
      <c r="E30" s="53"/>
      <c r="F30" s="53"/>
      <c r="G30" s="53"/>
      <c r="H30" s="481"/>
      <c r="I30" s="481"/>
      <c r="J30" s="53"/>
      <c r="K30" s="53"/>
      <c r="L30" s="481"/>
      <c r="M30" s="481"/>
      <c r="N30" s="481"/>
      <c r="O30" s="481"/>
      <c r="P30" s="481"/>
      <c r="Q30" s="481"/>
      <c r="R30" s="481"/>
      <c r="S30" s="481"/>
      <c r="T30" s="481"/>
      <c r="U30" s="481"/>
      <c r="V30" s="481"/>
      <c r="W30" s="481"/>
      <c r="X30" s="481"/>
      <c r="Y30" s="54"/>
      <c r="Z30" s="54"/>
      <c r="AA30" s="54"/>
      <c r="AB30" s="481"/>
      <c r="AC30" s="53"/>
      <c r="AD30" s="53"/>
      <c r="AE30" s="53"/>
      <c r="AF30" s="481"/>
      <c r="AG30" s="481"/>
      <c r="AH30" s="481"/>
      <c r="AI30" s="481"/>
      <c r="AJ30" s="481"/>
      <c r="AK30" s="481"/>
      <c r="AL30" s="637"/>
      <c r="AM30" s="53"/>
      <c r="AN30" s="53"/>
      <c r="AO30" s="53"/>
      <c r="AP30" s="53"/>
      <c r="AQ30" s="637"/>
      <c r="AR30" s="53"/>
      <c r="AS30" s="53"/>
      <c r="AT30" s="481">
        <f>SUM(AT28:AT29)</f>
        <v>79.599999999999994</v>
      </c>
      <c r="AU30" s="53"/>
      <c r="AV30" s="637"/>
      <c r="AW30" s="53"/>
      <c r="AX30" s="53"/>
      <c r="AY30" s="481">
        <f>SUM(AY28:AY29)</f>
        <v>86.5</v>
      </c>
      <c r="AZ30" s="53"/>
      <c r="BA30" s="637"/>
      <c r="BB30" s="53"/>
      <c r="BC30" s="53"/>
      <c r="BD30" s="53"/>
      <c r="BE30" s="53"/>
      <c r="BF30" s="637"/>
      <c r="BG30" s="79"/>
      <c r="BH30" s="79"/>
      <c r="BI30" s="79"/>
      <c r="BJ30" s="79"/>
      <c r="BK30" s="79"/>
      <c r="BL30" s="79"/>
      <c r="BM30" s="79"/>
      <c r="BN30" s="79"/>
      <c r="BO30" s="79"/>
      <c r="BP30" s="79"/>
      <c r="BQ30" s="79"/>
      <c r="BR30" s="53"/>
      <c r="BS30" s="53"/>
      <c r="BT30" s="53"/>
      <c r="BU30" s="53"/>
      <c r="BV30" s="53"/>
      <c r="BW30" s="53"/>
      <c r="BX30" s="53"/>
      <c r="BY30" s="53"/>
      <c r="BZ30" s="53"/>
      <c r="CA30" s="53"/>
      <c r="CB30" s="53"/>
      <c r="CC30" s="79"/>
      <c r="CD30" s="79"/>
      <c r="CE30" s="79"/>
      <c r="CF30" s="79"/>
      <c r="CG30" s="79"/>
      <c r="CH30" s="79"/>
      <c r="CI30" s="79"/>
      <c r="CJ30" s="79"/>
      <c r="CK30" s="79"/>
      <c r="CL30" s="79"/>
      <c r="CM30" s="56">
        <f t="shared" si="29"/>
        <v>8.668341708542715E-2</v>
      </c>
      <c r="CN30" s="79"/>
      <c r="CO30" s="79"/>
      <c r="CP30" s="79"/>
      <c r="CQ30" s="79"/>
      <c r="CR30" s="79"/>
    </row>
    <row r="31" spans="2:96" ht="15.75">
      <c r="B31" s="53" t="s">
        <v>733</v>
      </c>
      <c r="C31" s="53"/>
      <c r="D31" s="53"/>
      <c r="E31" s="53"/>
      <c r="F31" s="53"/>
      <c r="G31" s="53"/>
      <c r="H31" s="481"/>
      <c r="I31" s="481"/>
      <c r="J31" s="53"/>
      <c r="K31" s="53"/>
      <c r="L31" s="481"/>
      <c r="M31" s="481"/>
      <c r="N31" s="481"/>
      <c r="O31" s="481"/>
      <c r="P31" s="481"/>
      <c r="Q31" s="481"/>
      <c r="R31" s="481"/>
      <c r="S31" s="481"/>
      <c r="T31" s="481"/>
      <c r="U31" s="481"/>
      <c r="V31" s="481"/>
      <c r="W31" s="481"/>
      <c r="X31" s="481"/>
      <c r="Y31" s="54"/>
      <c r="Z31" s="54"/>
      <c r="AA31" s="54"/>
      <c r="AB31" s="481"/>
      <c r="AC31" s="53"/>
      <c r="AD31" s="53"/>
      <c r="AE31" s="53"/>
      <c r="AF31" s="481"/>
      <c r="AG31" s="481"/>
      <c r="AH31" s="481"/>
      <c r="AI31" s="481"/>
      <c r="AJ31" s="481"/>
      <c r="AK31" s="481"/>
      <c r="AL31" s="637"/>
      <c r="AM31" s="53"/>
      <c r="AN31" s="53"/>
      <c r="AO31" s="53"/>
      <c r="AP31" s="53"/>
      <c r="AQ31" s="637"/>
      <c r="AR31" s="53"/>
      <c r="AS31" s="53"/>
      <c r="AT31" s="481">
        <v>29.6</v>
      </c>
      <c r="AU31" s="53"/>
      <c r="AV31" s="637"/>
      <c r="AW31" s="53"/>
      <c r="AX31" s="53"/>
      <c r="AY31" s="481">
        <v>31.2</v>
      </c>
      <c r="AZ31" s="53"/>
      <c r="BA31" s="637"/>
      <c r="BB31" s="53"/>
      <c r="BC31" s="53"/>
      <c r="BD31" s="53"/>
      <c r="BE31" s="53"/>
      <c r="BF31" s="637"/>
      <c r="BG31" s="79"/>
      <c r="BH31" s="79"/>
      <c r="BI31" s="79"/>
      <c r="BJ31" s="79"/>
      <c r="BK31" s="79"/>
      <c r="BL31" s="79"/>
      <c r="BM31" s="79"/>
      <c r="BN31" s="79"/>
      <c r="BO31" s="79"/>
      <c r="BP31" s="79"/>
      <c r="BQ31" s="79"/>
      <c r="BR31" s="53"/>
      <c r="BS31" s="53"/>
      <c r="BT31" s="53"/>
      <c r="BU31" s="53"/>
      <c r="BV31" s="53"/>
      <c r="BW31" s="53"/>
      <c r="BX31" s="53"/>
      <c r="BY31" s="53"/>
      <c r="BZ31" s="53"/>
      <c r="CA31" s="53"/>
      <c r="CB31" s="53"/>
      <c r="CC31" s="79"/>
      <c r="CD31" s="79"/>
      <c r="CE31" s="79"/>
      <c r="CF31" s="79"/>
      <c r="CG31" s="79"/>
      <c r="CH31" s="79"/>
      <c r="CI31" s="79"/>
      <c r="CJ31" s="79"/>
      <c r="CK31" s="79"/>
      <c r="CL31" s="79"/>
      <c r="CM31" s="56">
        <f t="shared" si="29"/>
        <v>5.4054054054053946E-2</v>
      </c>
      <c r="CN31" s="79"/>
      <c r="CO31" s="79"/>
      <c r="CP31" s="79"/>
      <c r="CQ31" s="79"/>
      <c r="CR31" s="79"/>
    </row>
    <row r="32" spans="2:96" ht="15.75">
      <c r="B32" s="53" t="s">
        <v>2412</v>
      </c>
      <c r="C32" s="53"/>
      <c r="D32" s="53"/>
      <c r="E32" s="53"/>
      <c r="F32" s="53"/>
      <c r="G32" s="53"/>
      <c r="H32" s="481"/>
      <c r="I32" s="481"/>
      <c r="J32" s="53"/>
      <c r="K32" s="53"/>
      <c r="L32" s="481"/>
      <c r="M32" s="481"/>
      <c r="N32" s="481"/>
      <c r="O32" s="481"/>
      <c r="P32" s="481"/>
      <c r="Q32" s="481"/>
      <c r="R32" s="481"/>
      <c r="S32" s="481"/>
      <c r="T32" s="481"/>
      <c r="U32" s="481"/>
      <c r="V32" s="481"/>
      <c r="W32" s="481"/>
      <c r="X32" s="481"/>
      <c r="Y32" s="54"/>
      <c r="Z32" s="54"/>
      <c r="AA32" s="54"/>
      <c r="AB32" s="481"/>
      <c r="AC32" s="53"/>
      <c r="AD32" s="53"/>
      <c r="AE32" s="53"/>
      <c r="AF32" s="481"/>
      <c r="AG32" s="481"/>
      <c r="AH32" s="481"/>
      <c r="AI32" s="481"/>
      <c r="AJ32" s="481"/>
      <c r="AK32" s="481"/>
      <c r="AL32" s="637"/>
      <c r="AM32" s="53"/>
      <c r="AN32" s="53"/>
      <c r="AO32" s="53"/>
      <c r="AP32" s="53"/>
      <c r="AQ32" s="637"/>
      <c r="AR32" s="53"/>
      <c r="AS32" s="53"/>
      <c r="AT32" s="481">
        <v>1.4</v>
      </c>
      <c r="AU32" s="53"/>
      <c r="AV32" s="637"/>
      <c r="AW32" s="53"/>
      <c r="AX32" s="53"/>
      <c r="AY32" s="481">
        <v>1.2</v>
      </c>
      <c r="AZ32" s="53"/>
      <c r="BA32" s="637"/>
      <c r="BB32" s="53"/>
      <c r="BC32" s="53"/>
      <c r="BD32" s="53"/>
      <c r="BE32" s="53"/>
      <c r="BF32" s="637"/>
      <c r="BG32" s="79"/>
      <c r="BH32" s="79"/>
      <c r="BI32" s="79"/>
      <c r="BJ32" s="79"/>
      <c r="BK32" s="79"/>
      <c r="BL32" s="79"/>
      <c r="BM32" s="79"/>
      <c r="BN32" s="79"/>
      <c r="BO32" s="79"/>
      <c r="BP32" s="79"/>
      <c r="BQ32" s="79"/>
      <c r="BR32" s="53"/>
      <c r="BS32" s="53"/>
      <c r="BT32" s="53"/>
      <c r="BU32" s="53"/>
      <c r="BV32" s="53"/>
      <c r="BW32" s="53"/>
      <c r="BX32" s="53"/>
      <c r="BY32" s="53"/>
      <c r="BZ32" s="53"/>
      <c r="CA32" s="53"/>
      <c r="CB32" s="53"/>
      <c r="CC32" s="79"/>
      <c r="CD32" s="79"/>
      <c r="CE32" s="79"/>
      <c r="CF32" s="79"/>
      <c r="CG32" s="79"/>
      <c r="CH32" s="79"/>
      <c r="CI32" s="79"/>
      <c r="CJ32" s="79"/>
      <c r="CK32" s="79"/>
      <c r="CL32" s="79"/>
      <c r="CM32" s="56">
        <f t="shared" si="29"/>
        <v>-0.14285714285714279</v>
      </c>
      <c r="CN32" s="79"/>
      <c r="CO32" s="79"/>
      <c r="CP32" s="79"/>
      <c r="CQ32" s="79"/>
      <c r="CR32" s="79"/>
    </row>
    <row r="33" spans="2:96" ht="15.75">
      <c r="B33" s="50" t="s">
        <v>4</v>
      </c>
      <c r="C33" s="50"/>
      <c r="D33" s="50"/>
      <c r="E33" s="50"/>
      <c r="F33" s="50"/>
      <c r="G33" s="50"/>
      <c r="H33" s="638"/>
      <c r="I33" s="638"/>
      <c r="J33" s="50"/>
      <c r="K33" s="50"/>
      <c r="L33" s="638"/>
      <c r="M33" s="638"/>
      <c r="N33" s="638"/>
      <c r="O33" s="638"/>
      <c r="P33" s="638"/>
      <c r="Q33" s="638"/>
      <c r="R33" s="638"/>
      <c r="S33" s="638"/>
      <c r="T33" s="638"/>
      <c r="U33" s="638"/>
      <c r="V33" s="638"/>
      <c r="W33" s="638"/>
      <c r="X33" s="638"/>
      <c r="Y33" s="57"/>
      <c r="Z33" s="57"/>
      <c r="AA33" s="57"/>
      <c r="AB33" s="638"/>
      <c r="AC33" s="50"/>
      <c r="AD33" s="50"/>
      <c r="AE33" s="50"/>
      <c r="AF33" s="638"/>
      <c r="AG33" s="638"/>
      <c r="AH33" s="638"/>
      <c r="AI33" s="638"/>
      <c r="AJ33" s="638"/>
      <c r="AK33" s="638"/>
      <c r="AL33" s="1378"/>
      <c r="AM33" s="50"/>
      <c r="AN33" s="50"/>
      <c r="AO33" s="50"/>
      <c r="AP33" s="50"/>
      <c r="AQ33" s="1378"/>
      <c r="AR33" s="50"/>
      <c r="AS33" s="50"/>
      <c r="AT33" s="638">
        <v>79.8</v>
      </c>
      <c r="AU33" s="50"/>
      <c r="AV33" s="1378"/>
      <c r="AW33" s="50"/>
      <c r="AX33" s="50"/>
      <c r="AY33" s="638">
        <v>69.099999999999994</v>
      </c>
      <c r="AZ33" s="50"/>
      <c r="BA33" s="1378"/>
      <c r="BB33" s="53"/>
      <c r="BC33" s="53"/>
      <c r="BD33" s="53"/>
      <c r="BE33" s="53"/>
      <c r="BF33" s="637"/>
      <c r="BG33" s="79"/>
      <c r="BH33" s="79"/>
      <c r="BI33" s="79"/>
      <c r="BJ33" s="79"/>
      <c r="BK33" s="79"/>
      <c r="BL33" s="79"/>
      <c r="BM33" s="79"/>
      <c r="BN33" s="79"/>
      <c r="BO33" s="79"/>
      <c r="BP33" s="79"/>
      <c r="BQ33" s="79"/>
      <c r="BR33" s="53"/>
      <c r="BS33" s="53"/>
      <c r="BT33" s="53"/>
      <c r="BU33" s="53"/>
      <c r="BV33" s="53"/>
      <c r="BW33" s="53"/>
      <c r="BX33" s="53"/>
      <c r="BY33" s="53"/>
      <c r="BZ33" s="53"/>
      <c r="CA33" s="53"/>
      <c r="CB33" s="53"/>
      <c r="CC33" s="79"/>
      <c r="CD33" s="79"/>
      <c r="CE33" s="79"/>
      <c r="CF33" s="79"/>
      <c r="CG33" s="79"/>
      <c r="CH33" s="79"/>
      <c r="CI33" s="79"/>
      <c r="CJ33" s="79"/>
      <c r="CK33" s="79"/>
      <c r="CL33" s="79"/>
      <c r="CM33" s="50"/>
      <c r="CN33" s="79"/>
      <c r="CO33" s="79"/>
      <c r="CP33" s="79"/>
      <c r="CQ33" s="79"/>
      <c r="CR33" s="79"/>
    </row>
    <row r="34" spans="2:96" ht="15.75">
      <c r="B34" s="53" t="s">
        <v>16</v>
      </c>
      <c r="C34" s="53"/>
      <c r="D34" s="53"/>
      <c r="E34" s="53"/>
      <c r="F34" s="53"/>
      <c r="G34" s="53"/>
      <c r="H34" s="481"/>
      <c r="I34" s="481"/>
      <c r="J34" s="53"/>
      <c r="K34" s="53"/>
      <c r="L34" s="481"/>
      <c r="M34" s="481"/>
      <c r="N34" s="481"/>
      <c r="O34" s="481"/>
      <c r="P34" s="481"/>
      <c r="Q34" s="481"/>
      <c r="R34" s="481"/>
      <c r="S34" s="481"/>
      <c r="T34" s="481"/>
      <c r="U34" s="481"/>
      <c r="V34" s="481"/>
      <c r="W34" s="481"/>
      <c r="X34" s="481"/>
      <c r="Y34" s="54"/>
      <c r="Z34" s="54"/>
      <c r="AA34" s="54"/>
      <c r="AB34" s="481"/>
      <c r="AC34" s="53"/>
      <c r="AD34" s="53"/>
      <c r="AE34" s="53"/>
      <c r="AF34" s="481"/>
      <c r="AG34" s="481"/>
      <c r="AH34" s="481"/>
      <c r="AI34" s="481"/>
      <c r="AJ34" s="481"/>
      <c r="AK34" s="481"/>
      <c r="AL34" s="637"/>
      <c r="AM34" s="53"/>
      <c r="AN34" s="53"/>
      <c r="AO34" s="53"/>
      <c r="AP34" s="53"/>
      <c r="AQ34" s="637"/>
      <c r="AR34" s="53"/>
      <c r="AS34" s="53"/>
      <c r="AT34" s="481">
        <f>SUM(AT30:AT33)</f>
        <v>190.39999999999998</v>
      </c>
      <c r="AU34" s="53"/>
      <c r="AV34" s="637"/>
      <c r="AW34" s="53"/>
      <c r="AX34" s="53"/>
      <c r="AY34" s="481">
        <f>SUM(AY30:AY33)</f>
        <v>188</v>
      </c>
      <c r="AZ34" s="53"/>
      <c r="BA34" s="637"/>
      <c r="BB34" s="53"/>
      <c r="BC34" s="53"/>
      <c r="BD34" s="53"/>
      <c r="BE34" s="53"/>
      <c r="BF34" s="637"/>
      <c r="BG34" s="79"/>
      <c r="BH34" s="79"/>
      <c r="BI34" s="79"/>
      <c r="BJ34" s="79"/>
      <c r="BK34" s="79"/>
      <c r="BL34" s="79"/>
      <c r="BM34" s="79"/>
      <c r="BN34" s="79"/>
      <c r="BO34" s="79"/>
      <c r="BP34" s="79"/>
      <c r="BQ34" s="79"/>
      <c r="BR34" s="53"/>
      <c r="BS34" s="53"/>
      <c r="BT34" s="53"/>
      <c r="BU34" s="53"/>
      <c r="BV34" s="53"/>
      <c r="BW34" s="53"/>
      <c r="BX34" s="53"/>
      <c r="BY34" s="53"/>
      <c r="BZ34" s="53"/>
      <c r="CA34" s="53"/>
      <c r="CB34" s="53"/>
      <c r="CC34" s="79"/>
      <c r="CD34" s="79"/>
      <c r="CE34" s="79"/>
      <c r="CF34" s="79"/>
      <c r="CG34" s="79"/>
      <c r="CH34" s="79"/>
      <c r="CI34" s="79"/>
      <c r="CJ34" s="79"/>
      <c r="CK34" s="79"/>
      <c r="CL34" s="79"/>
      <c r="CM34" s="56">
        <f>AY34/AT34-1</f>
        <v>-1.2605042016806567E-2</v>
      </c>
      <c r="CN34" s="79"/>
      <c r="CO34" s="79"/>
      <c r="CP34" s="79"/>
      <c r="CQ34" s="79"/>
      <c r="CR34" s="79"/>
    </row>
    <row r="35" spans="2:96" ht="15.75">
      <c r="B35" s="53"/>
      <c r="C35" s="53"/>
      <c r="D35" s="53"/>
      <c r="E35" s="53"/>
      <c r="F35" s="53"/>
      <c r="G35" s="53"/>
      <c r="H35" s="481"/>
      <c r="I35" s="481"/>
      <c r="J35" s="53"/>
      <c r="K35" s="53"/>
      <c r="L35" s="481"/>
      <c r="M35" s="481"/>
      <c r="N35" s="481"/>
      <c r="O35" s="481"/>
      <c r="P35" s="481"/>
      <c r="Q35" s="481"/>
      <c r="R35" s="481"/>
      <c r="S35" s="481"/>
      <c r="T35" s="481"/>
      <c r="U35" s="481"/>
      <c r="V35" s="481"/>
      <c r="W35" s="481"/>
      <c r="X35" s="481"/>
      <c r="Y35" s="54"/>
      <c r="Z35" s="54"/>
      <c r="AA35" s="54"/>
      <c r="AB35" s="481"/>
      <c r="AC35" s="53"/>
      <c r="AD35" s="53"/>
      <c r="AE35" s="53"/>
      <c r="AF35" s="481"/>
      <c r="AG35" s="481"/>
      <c r="AH35" s="481"/>
      <c r="AI35" s="481"/>
      <c r="AJ35" s="481"/>
      <c r="AK35" s="481"/>
      <c r="AL35" s="637"/>
      <c r="AM35" s="53"/>
      <c r="AN35" s="53"/>
      <c r="AO35" s="53"/>
      <c r="AP35" s="53"/>
      <c r="AQ35" s="637"/>
      <c r="AR35" s="53"/>
      <c r="AS35" s="53"/>
      <c r="AT35" s="53"/>
      <c r="AU35" s="53"/>
      <c r="AV35" s="637"/>
      <c r="AW35" s="53"/>
      <c r="AX35" s="53"/>
      <c r="AY35" s="481"/>
      <c r="AZ35" s="53"/>
      <c r="BA35" s="637"/>
      <c r="BB35" s="53"/>
      <c r="BC35" s="53"/>
      <c r="BD35" s="53"/>
      <c r="BE35" s="53"/>
      <c r="BF35" s="637"/>
      <c r="BG35" s="79"/>
      <c r="BH35" s="79"/>
      <c r="BI35" s="79"/>
      <c r="BJ35" s="79"/>
      <c r="BK35" s="79"/>
      <c r="BL35" s="79"/>
      <c r="BM35" s="79"/>
      <c r="BN35" s="79"/>
      <c r="BO35" s="79"/>
      <c r="BP35" s="79"/>
      <c r="BQ35" s="79"/>
      <c r="BR35" s="53"/>
      <c r="BS35" s="53"/>
      <c r="BT35" s="53"/>
      <c r="BU35" s="53"/>
      <c r="BV35" s="53"/>
      <c r="BW35" s="53"/>
      <c r="BX35" s="53"/>
      <c r="BY35" s="53"/>
      <c r="BZ35" s="53"/>
      <c r="CA35" s="53"/>
      <c r="CB35" s="53"/>
      <c r="CC35" s="79"/>
      <c r="CD35" s="79"/>
      <c r="CE35" s="79"/>
      <c r="CF35" s="79"/>
      <c r="CG35" s="79"/>
      <c r="CH35" s="79"/>
      <c r="CI35" s="79"/>
      <c r="CJ35" s="79"/>
      <c r="CK35" s="79"/>
      <c r="CL35" s="79"/>
      <c r="CM35" s="79"/>
      <c r="CN35" s="79"/>
      <c r="CO35" s="79"/>
      <c r="CP35" s="79"/>
      <c r="CQ35" s="79"/>
      <c r="CR35" s="79"/>
    </row>
    <row r="36" spans="2:96" ht="15.75">
      <c r="B36" s="78" t="s">
        <v>6524</v>
      </c>
      <c r="C36" s="53"/>
      <c r="D36" s="53"/>
      <c r="E36" s="53"/>
      <c r="F36" s="53"/>
      <c r="G36" s="53"/>
      <c r="H36" s="481"/>
      <c r="I36" s="481"/>
      <c r="J36" s="53"/>
      <c r="K36" s="53"/>
      <c r="L36" s="481"/>
      <c r="M36" s="481"/>
      <c r="N36" s="481"/>
      <c r="O36" s="481"/>
      <c r="P36" s="481"/>
      <c r="Q36" s="481"/>
      <c r="R36" s="481"/>
      <c r="S36" s="481"/>
      <c r="T36" s="481"/>
      <c r="U36" s="481"/>
      <c r="V36" s="481"/>
      <c r="W36" s="481"/>
      <c r="X36" s="481"/>
      <c r="Y36" s="54"/>
      <c r="Z36" s="54"/>
      <c r="AA36" s="54"/>
      <c r="AB36" s="481"/>
      <c r="AC36" s="53"/>
      <c r="AD36" s="53"/>
      <c r="AE36" s="53"/>
      <c r="AF36" s="481"/>
      <c r="AG36" s="481"/>
      <c r="AH36" s="481"/>
      <c r="AI36" s="481"/>
      <c r="AJ36" s="481"/>
      <c r="AK36" s="481"/>
      <c r="AL36" s="637"/>
      <c r="AM36" s="53"/>
      <c r="AN36" s="53"/>
      <c r="AO36" s="53"/>
      <c r="AP36" s="53"/>
      <c r="AQ36" s="637"/>
      <c r="AR36" s="53"/>
      <c r="AS36" s="53"/>
      <c r="AT36" s="53"/>
      <c r="AU36" s="53"/>
      <c r="AV36" s="637"/>
      <c r="AW36" s="53"/>
      <c r="AX36" s="53"/>
      <c r="AY36" s="481"/>
      <c r="AZ36" s="53"/>
      <c r="BA36" s="637"/>
      <c r="BB36" s="53"/>
      <c r="BC36" s="53"/>
      <c r="BD36" s="53"/>
      <c r="BE36" s="53"/>
      <c r="BF36" s="637"/>
      <c r="BG36" s="79"/>
      <c r="BH36" s="79"/>
      <c r="BI36" s="79"/>
      <c r="BJ36" s="79"/>
      <c r="BK36" s="79"/>
      <c r="BL36" s="79"/>
      <c r="BM36" s="79"/>
      <c r="BN36" s="79"/>
      <c r="BO36" s="79"/>
      <c r="BP36" s="79"/>
      <c r="BQ36" s="79"/>
      <c r="BR36" s="53"/>
      <c r="BS36" s="53"/>
      <c r="BT36" s="53"/>
      <c r="BU36" s="53"/>
      <c r="BV36" s="53"/>
      <c r="BW36" s="53"/>
      <c r="BX36" s="53"/>
      <c r="BY36" s="53"/>
      <c r="BZ36" s="53"/>
      <c r="CA36" s="53"/>
      <c r="CB36" s="53"/>
      <c r="CC36" s="79"/>
      <c r="CD36" s="79"/>
      <c r="CE36" s="79"/>
      <c r="CF36" s="79"/>
      <c r="CG36" s="79"/>
      <c r="CH36" s="79"/>
      <c r="CI36" s="79"/>
      <c r="CJ36" s="79"/>
      <c r="CK36" s="79"/>
      <c r="CL36" s="79"/>
      <c r="CM36" s="79"/>
      <c r="CN36" s="79"/>
      <c r="CO36" s="79"/>
      <c r="CP36" s="79"/>
      <c r="CQ36" s="79"/>
      <c r="CR36" s="79"/>
    </row>
    <row r="37" spans="2:96" ht="15.75">
      <c r="B37" s="53" t="s">
        <v>6066</v>
      </c>
      <c r="C37" s="53"/>
      <c r="D37" s="53"/>
      <c r="E37" s="53"/>
      <c r="F37" s="53"/>
      <c r="G37" s="53"/>
      <c r="H37" s="481"/>
      <c r="I37" s="481"/>
      <c r="J37" s="53"/>
      <c r="K37" s="53"/>
      <c r="L37" s="481"/>
      <c r="M37" s="481"/>
      <c r="N37" s="481"/>
      <c r="O37" s="481"/>
      <c r="P37" s="481"/>
      <c r="Q37" s="481"/>
      <c r="R37" s="481"/>
      <c r="S37" s="481"/>
      <c r="T37" s="481"/>
      <c r="U37" s="481"/>
      <c r="V37" s="481"/>
      <c r="W37" s="481"/>
      <c r="X37" s="481"/>
      <c r="Y37" s="54"/>
      <c r="Z37" s="54"/>
      <c r="AA37" s="54"/>
      <c r="AB37" s="481"/>
      <c r="AC37" s="53"/>
      <c r="AD37" s="53"/>
      <c r="AE37" s="53"/>
      <c r="AF37" s="481"/>
      <c r="AG37" s="481"/>
      <c r="AH37" s="481">
        <v>116.5</v>
      </c>
      <c r="AI37" s="481">
        <v>123.7</v>
      </c>
      <c r="AJ37" s="481">
        <v>122</v>
      </c>
      <c r="AK37" s="481">
        <f>480.8-AH37-AI37-AJ37</f>
        <v>118.60000000000002</v>
      </c>
      <c r="AL37" s="637"/>
      <c r="AM37" s="481">
        <v>116.8</v>
      </c>
      <c r="AN37" s="481">
        <v>117.2</v>
      </c>
      <c r="AO37" s="481">
        <v>111.2</v>
      </c>
      <c r="AP37" s="481">
        <f>448-AM37-AN37-AO37</f>
        <v>102.8</v>
      </c>
      <c r="AQ37" s="637"/>
      <c r="AR37" s="481">
        <v>103.7</v>
      </c>
      <c r="AS37" s="481">
        <v>102.8</v>
      </c>
      <c r="AT37" s="481">
        <v>99.3</v>
      </c>
      <c r="AU37" s="481">
        <f>398.7-AR37-AS37-AT37</f>
        <v>92.899999999999991</v>
      </c>
      <c r="AV37" s="637"/>
      <c r="AW37" s="481">
        <v>93.5</v>
      </c>
      <c r="AX37" s="481">
        <v>78.7</v>
      </c>
      <c r="AY37" s="481">
        <v>82.7</v>
      </c>
      <c r="AZ37" s="481">
        <f>'Puerto Rico'!L62-AW37-AX37-AY37</f>
        <v>89.576799999999977</v>
      </c>
      <c r="BA37" s="637"/>
      <c r="BB37" s="643">
        <v>92</v>
      </c>
      <c r="BC37" s="643">
        <v>94</v>
      </c>
      <c r="BD37" s="643">
        <v>97</v>
      </c>
      <c r="BE37" s="481">
        <f>'Puerto Rico'!M62-BB37-BC37-BD37</f>
        <v>99.679277120000052</v>
      </c>
      <c r="BF37" s="637"/>
      <c r="BG37" s="79"/>
      <c r="BH37" s="79"/>
      <c r="BI37" s="79">
        <f>0.05*4.5</f>
        <v>0.22500000000000001</v>
      </c>
      <c r="BJ37" s="79">
        <v>15</v>
      </c>
      <c r="BK37" s="79">
        <f>BI37*BJ37*3</f>
        <v>10.125</v>
      </c>
      <c r="BL37" s="79">
        <f>BK37/2</f>
        <v>5.0625</v>
      </c>
      <c r="BM37" s="79"/>
      <c r="BN37" s="79"/>
      <c r="BO37" s="79"/>
      <c r="BP37" s="79"/>
      <c r="BQ37" s="79"/>
      <c r="BR37" s="53"/>
      <c r="BS37" s="53"/>
      <c r="BT37" s="53"/>
      <c r="BU37" s="53"/>
      <c r="BV37" s="53"/>
      <c r="BW37" s="53"/>
      <c r="BX37" s="53"/>
      <c r="BY37" s="53"/>
      <c r="BZ37" s="53"/>
      <c r="CA37" s="53"/>
      <c r="CB37" s="53"/>
      <c r="CC37" s="56">
        <f t="shared" ref="CC37:CF41" si="30">AM37/AH37-1</f>
        <v>2.5751072961373023E-3</v>
      </c>
      <c r="CD37" s="56">
        <f t="shared" si="30"/>
        <v>-5.2546483427647561E-2</v>
      </c>
      <c r="CE37" s="56">
        <f t="shared" si="30"/>
        <v>-8.8524590163934436E-2</v>
      </c>
      <c r="CF37" s="56">
        <f t="shared" si="30"/>
        <v>-0.13322091062394625</v>
      </c>
      <c r="CG37" s="56">
        <f t="shared" ref="CG37:CJ41" si="31">AR37/AM37-1</f>
        <v>-0.11215753424657526</v>
      </c>
      <c r="CH37" s="56">
        <f t="shared" si="31"/>
        <v>-0.12286689419795227</v>
      </c>
      <c r="CI37" s="56">
        <f t="shared" si="31"/>
        <v>-0.10701438848920863</v>
      </c>
      <c r="CJ37" s="56">
        <f t="shared" si="31"/>
        <v>-9.6303501945525394E-2</v>
      </c>
      <c r="CK37" s="56">
        <f t="shared" ref="CK37:CN41" si="32">AW37/AR37-1</f>
        <v>-9.8360655737704916E-2</v>
      </c>
      <c r="CL37" s="56">
        <f t="shared" si="32"/>
        <v>-0.23443579766536959</v>
      </c>
      <c r="CM37" s="56">
        <f t="shared" si="32"/>
        <v>-0.16717019133937561</v>
      </c>
      <c r="CN37" s="56">
        <f t="shared" si="32"/>
        <v>-3.5771797631862334E-2</v>
      </c>
      <c r="CO37" s="56">
        <f t="shared" ref="CO37:CP41" si="33">BB37/AW37-1</f>
        <v>-1.6042780748663055E-2</v>
      </c>
      <c r="CP37" s="56">
        <f t="shared" si="33"/>
        <v>0.19440914866581949</v>
      </c>
      <c r="CQ37" s="56" t="e">
        <f>BD37/#REF!-1</f>
        <v>#REF!</v>
      </c>
      <c r="CR37" s="56">
        <f t="shared" ref="CR37:CR41" si="34">BE37/AZ37-1</f>
        <v>0.11278006269480567</v>
      </c>
    </row>
    <row r="38" spans="2:96" ht="15.75">
      <c r="B38" s="50" t="s">
        <v>6068</v>
      </c>
      <c r="C38" s="50"/>
      <c r="D38" s="50"/>
      <c r="E38" s="50"/>
      <c r="F38" s="50"/>
      <c r="G38" s="50"/>
      <c r="H38" s="638"/>
      <c r="I38" s="638"/>
      <c r="J38" s="50"/>
      <c r="K38" s="50"/>
      <c r="L38" s="638"/>
      <c r="M38" s="638"/>
      <c r="N38" s="638"/>
      <c r="O38" s="638"/>
      <c r="P38" s="638"/>
      <c r="Q38" s="638"/>
      <c r="R38" s="638"/>
      <c r="S38" s="638"/>
      <c r="T38" s="638"/>
      <c r="U38" s="638"/>
      <c r="V38" s="638"/>
      <c r="W38" s="638"/>
      <c r="X38" s="638"/>
      <c r="Y38" s="57"/>
      <c r="Z38" s="57"/>
      <c r="AA38" s="57"/>
      <c r="AB38" s="638"/>
      <c r="AC38" s="50"/>
      <c r="AD38" s="50"/>
      <c r="AE38" s="50"/>
      <c r="AF38" s="638"/>
      <c r="AG38" s="638"/>
      <c r="AH38" s="638">
        <v>73</v>
      </c>
      <c r="AI38" s="638">
        <v>58.600000000000009</v>
      </c>
      <c r="AJ38" s="638">
        <v>55.300000000000011</v>
      </c>
      <c r="AK38" s="638">
        <f>253.5-AH38-AI38-AJ38</f>
        <v>66.59999999999998</v>
      </c>
      <c r="AL38" s="1378"/>
      <c r="AM38" s="638">
        <v>63.2</v>
      </c>
      <c r="AN38" s="638">
        <v>58.3</v>
      </c>
      <c r="AO38" s="638">
        <v>65.099999999999994</v>
      </c>
      <c r="AP38" s="638">
        <f>268.4-AM38-AN38-AO38</f>
        <v>81.799999999999983</v>
      </c>
      <c r="AQ38" s="1378"/>
      <c r="AR38" s="638">
        <v>71.400000000000006</v>
      </c>
      <c r="AS38" s="638">
        <v>54.9</v>
      </c>
      <c r="AT38" s="638">
        <v>58.8</v>
      </c>
      <c r="AU38" s="638">
        <f>250-AR38-AS38-AT38</f>
        <v>64.899999999999991</v>
      </c>
      <c r="AV38" s="1378"/>
      <c r="AW38" s="638">
        <v>44.5</v>
      </c>
      <c r="AX38" s="638">
        <v>43.9</v>
      </c>
      <c r="AY38" s="638">
        <v>42.3</v>
      </c>
      <c r="AZ38" s="638">
        <f>'Puerto Rico'!L64-AW38-AX38-AY38</f>
        <v>56.79999999999994</v>
      </c>
      <c r="BA38" s="1379"/>
      <c r="BB38" s="686">
        <v>47</v>
      </c>
      <c r="BC38" s="686">
        <v>48</v>
      </c>
      <c r="BD38" s="686">
        <v>49</v>
      </c>
      <c r="BE38" s="638">
        <f>'Puerto Rico'!M64-BB38-BC38-BD38</f>
        <v>62.249999999999943</v>
      </c>
      <c r="BF38" s="1379"/>
      <c r="BG38" s="79"/>
      <c r="BH38" s="79"/>
      <c r="BI38" s="79"/>
      <c r="BJ38" s="79"/>
      <c r="BK38" s="79"/>
      <c r="BL38" s="79"/>
      <c r="BM38" s="79"/>
      <c r="BN38" s="79"/>
      <c r="BO38" s="79"/>
      <c r="BP38" s="79"/>
      <c r="BQ38" s="79"/>
      <c r="BR38" s="53"/>
      <c r="BS38" s="53"/>
      <c r="BT38" s="53"/>
      <c r="BU38" s="53"/>
      <c r="BV38" s="53"/>
      <c r="BW38" s="53"/>
      <c r="BX38" s="53"/>
      <c r="BY38" s="53"/>
      <c r="BZ38" s="53"/>
      <c r="CA38" s="53"/>
      <c r="CB38" s="53"/>
      <c r="CC38" s="56">
        <f t="shared" si="30"/>
        <v>-0.13424657534246576</v>
      </c>
      <c r="CD38" s="56">
        <f t="shared" si="30"/>
        <v>-5.119453924914863E-3</v>
      </c>
      <c r="CE38" s="56">
        <f t="shared" si="30"/>
        <v>0.17721518987341733</v>
      </c>
      <c r="CF38" s="56">
        <f t="shared" si="30"/>
        <v>0.22822822822822841</v>
      </c>
      <c r="CG38" s="56">
        <f t="shared" si="31"/>
        <v>0.129746835443038</v>
      </c>
      <c r="CH38" s="56">
        <f t="shared" si="31"/>
        <v>-5.831903945111494E-2</v>
      </c>
      <c r="CI38" s="56">
        <f t="shared" si="31"/>
        <v>-9.6774193548387011E-2</v>
      </c>
      <c r="CJ38" s="56">
        <f t="shared" si="31"/>
        <v>-0.20660146699266502</v>
      </c>
      <c r="CK38" s="56">
        <f t="shared" si="32"/>
        <v>-0.37675070028011215</v>
      </c>
      <c r="CL38" s="56">
        <f t="shared" si="32"/>
        <v>-0.20036429872495443</v>
      </c>
      <c r="CM38" s="56">
        <f t="shared" si="32"/>
        <v>-0.28061224489795922</v>
      </c>
      <c r="CN38" s="56">
        <f t="shared" si="32"/>
        <v>-0.1248073959938375</v>
      </c>
      <c r="CO38" s="56">
        <f t="shared" si="33"/>
        <v>5.6179775280898792E-2</v>
      </c>
      <c r="CP38" s="56">
        <f t="shared" si="33"/>
        <v>9.339407744874717E-2</v>
      </c>
      <c r="CQ38" s="56" t="e">
        <f>BD38/#REF!-1</f>
        <v>#REF!</v>
      </c>
      <c r="CR38" s="56">
        <f t="shared" si="34"/>
        <v>9.5950704225352235E-2</v>
      </c>
    </row>
    <row r="39" spans="2:96" ht="15.75">
      <c r="B39" s="53" t="s">
        <v>6065</v>
      </c>
      <c r="C39" s="53"/>
      <c r="D39" s="53"/>
      <c r="E39" s="53"/>
      <c r="F39" s="53"/>
      <c r="G39" s="53"/>
      <c r="H39" s="481"/>
      <c r="I39" s="481"/>
      <c r="J39" s="53"/>
      <c r="K39" s="53"/>
      <c r="L39" s="481"/>
      <c r="M39" s="481"/>
      <c r="N39" s="481"/>
      <c r="O39" s="481"/>
      <c r="P39" s="481"/>
      <c r="Q39" s="481"/>
      <c r="R39" s="481"/>
      <c r="S39" s="481"/>
      <c r="T39" s="481"/>
      <c r="U39" s="481"/>
      <c r="V39" s="481"/>
      <c r="W39" s="481"/>
      <c r="X39" s="481"/>
      <c r="Y39" s="54"/>
      <c r="Z39" s="54"/>
      <c r="AA39" s="54"/>
      <c r="AB39" s="481"/>
      <c r="AC39" s="53"/>
      <c r="AD39" s="53"/>
      <c r="AE39" s="53"/>
      <c r="AF39" s="481"/>
      <c r="AG39" s="481"/>
      <c r="AH39" s="481">
        <v>189.5</v>
      </c>
      <c r="AI39" s="481">
        <v>182.3</v>
      </c>
      <c r="AJ39" s="481">
        <v>177.3</v>
      </c>
      <c r="AK39" s="481">
        <f>SUM(AK37:AK38)</f>
        <v>185.2</v>
      </c>
      <c r="AL39" s="637"/>
      <c r="AM39" s="481">
        <v>180</v>
      </c>
      <c r="AN39" s="481">
        <v>175.5</v>
      </c>
      <c r="AO39" s="481">
        <f>AO37+AO38</f>
        <v>176.3</v>
      </c>
      <c r="AP39" s="481">
        <f>SUM(AP37:AP38)</f>
        <v>184.59999999999997</v>
      </c>
      <c r="AQ39" s="637"/>
      <c r="AR39" s="481">
        <f>SUM(AR37:AR38)</f>
        <v>175.10000000000002</v>
      </c>
      <c r="AS39" s="481">
        <f>SUM(AS37:AS38)</f>
        <v>157.69999999999999</v>
      </c>
      <c r="AT39" s="481">
        <f>SUM(AT37:AT38)</f>
        <v>158.1</v>
      </c>
      <c r="AU39" s="481">
        <f>SUM(AU37:AU38)</f>
        <v>157.79999999999998</v>
      </c>
      <c r="AV39" s="637"/>
      <c r="AW39" s="481">
        <f>SUM(AW37:AW38)</f>
        <v>138</v>
      </c>
      <c r="AX39" s="481">
        <v>122.6</v>
      </c>
      <c r="AY39" s="481">
        <f>SUM(AY37:AY38)</f>
        <v>125</v>
      </c>
      <c r="AZ39" s="481">
        <f>'Puerto Rico'!L59-AW39-AX39-AY39</f>
        <v>146.37679999999989</v>
      </c>
      <c r="BA39" s="637"/>
      <c r="BB39" s="481">
        <f t="shared" ref="BB39:BD39" si="35">SUM(BB37:BB38)</f>
        <v>139</v>
      </c>
      <c r="BC39" s="481">
        <f t="shared" si="35"/>
        <v>142</v>
      </c>
      <c r="BD39" s="481">
        <f t="shared" si="35"/>
        <v>146</v>
      </c>
      <c r="BE39" s="481">
        <f>'Puerto Rico'!M59-BB39-BC39-BD39</f>
        <v>161.92927712000005</v>
      </c>
      <c r="BF39" s="637"/>
      <c r="BG39" s="79"/>
      <c r="BH39" s="79"/>
      <c r="BI39" s="79"/>
      <c r="BJ39" s="79"/>
      <c r="BK39" s="79"/>
      <c r="BL39" s="79"/>
      <c r="BM39" s="79"/>
      <c r="BN39" s="79"/>
      <c r="BO39" s="79"/>
      <c r="BP39" s="79"/>
      <c r="BQ39" s="79"/>
      <c r="BR39" s="53"/>
      <c r="BS39" s="53"/>
      <c r="BT39" s="53"/>
      <c r="BU39" s="53"/>
      <c r="BV39" s="53"/>
      <c r="BW39" s="53"/>
      <c r="BX39" s="53"/>
      <c r="BY39" s="53"/>
      <c r="BZ39" s="53"/>
      <c r="CA39" s="53"/>
      <c r="CB39" s="53"/>
      <c r="CC39" s="56">
        <f t="shared" si="30"/>
        <v>-5.0131926121372072E-2</v>
      </c>
      <c r="CD39" s="56">
        <f t="shared" si="30"/>
        <v>-3.7301151947339628E-2</v>
      </c>
      <c r="CE39" s="56">
        <f t="shared" si="30"/>
        <v>-5.6401579244218514E-3</v>
      </c>
      <c r="CF39" s="56">
        <f t="shared" si="30"/>
        <v>-3.2397408207344158E-3</v>
      </c>
      <c r="CG39" s="56">
        <f t="shared" si="31"/>
        <v>-2.7222222222222148E-2</v>
      </c>
      <c r="CH39" s="56">
        <f t="shared" si="31"/>
        <v>-0.10142450142450143</v>
      </c>
      <c r="CI39" s="56">
        <f t="shared" si="31"/>
        <v>-0.10323312535450946</v>
      </c>
      <c r="CJ39" s="56">
        <f t="shared" si="31"/>
        <v>-0.14517876489707471</v>
      </c>
      <c r="CK39" s="56">
        <f t="shared" si="32"/>
        <v>-0.2118789263278128</v>
      </c>
      <c r="CL39" s="56">
        <f t="shared" si="32"/>
        <v>-0.22257450856055805</v>
      </c>
      <c r="CM39" s="56">
        <f t="shared" si="32"/>
        <v>-0.20936116382036685</v>
      </c>
      <c r="CN39" s="56">
        <f t="shared" si="32"/>
        <v>-7.2390367553866297E-2</v>
      </c>
      <c r="CO39" s="56">
        <f t="shared" si="33"/>
        <v>7.2463768115942351E-3</v>
      </c>
      <c r="CP39" s="56">
        <f t="shared" si="33"/>
        <v>0.15823817292006526</v>
      </c>
      <c r="CQ39" s="56" t="e">
        <f>BD39/#REF!-1</f>
        <v>#REF!</v>
      </c>
      <c r="CR39" s="56">
        <f t="shared" si="34"/>
        <v>0.10624960458214816</v>
      </c>
    </row>
    <row r="40" spans="2:96" ht="15.75">
      <c r="B40" s="53" t="s">
        <v>733</v>
      </c>
      <c r="C40" s="53"/>
      <c r="D40" s="53"/>
      <c r="E40" s="53"/>
      <c r="F40" s="53"/>
      <c r="G40" s="53"/>
      <c r="H40" s="481"/>
      <c r="I40" s="481"/>
      <c r="J40" s="53"/>
      <c r="K40" s="53"/>
      <c r="L40" s="481"/>
      <c r="M40" s="481"/>
      <c r="N40" s="481"/>
      <c r="O40" s="481"/>
      <c r="P40" s="481"/>
      <c r="Q40" s="481"/>
      <c r="R40" s="481"/>
      <c r="S40" s="481"/>
      <c r="T40" s="481"/>
      <c r="U40" s="481"/>
      <c r="V40" s="481"/>
      <c r="W40" s="481"/>
      <c r="X40" s="481"/>
      <c r="Y40" s="54"/>
      <c r="Z40" s="54"/>
      <c r="AA40" s="54"/>
      <c r="AB40" s="481"/>
      <c r="AC40" s="481">
        <f>187.2-AD40</f>
        <v>91.299999999999983</v>
      </c>
      <c r="AD40" s="481">
        <v>95.9</v>
      </c>
      <c r="AE40" s="481">
        <f>AE43-AE41</f>
        <v>100.30000000000001</v>
      </c>
      <c r="AF40" s="481">
        <v>100</v>
      </c>
      <c r="AG40" s="481"/>
      <c r="AH40" s="481">
        <v>111.2</v>
      </c>
      <c r="AI40" s="481">
        <v>114.4</v>
      </c>
      <c r="AJ40" s="481">
        <v>115.6</v>
      </c>
      <c r="AK40" s="481">
        <f>457.5-AH40-AI40-AJ40</f>
        <v>116.30000000000001</v>
      </c>
      <c r="AL40" s="637"/>
      <c r="AM40" s="481">
        <v>121.3</v>
      </c>
      <c r="AN40" s="481">
        <v>121.1</v>
      </c>
      <c r="AO40" s="481">
        <v>116.7</v>
      </c>
      <c r="AP40" s="481">
        <f>479.4-AM40-AN40-AO40</f>
        <v>120.29999999999997</v>
      </c>
      <c r="AQ40" s="481"/>
      <c r="AR40" s="481">
        <v>122.7</v>
      </c>
      <c r="AS40" s="481">
        <v>127.1</v>
      </c>
      <c r="AT40" s="481">
        <v>128.19999999999999</v>
      </c>
      <c r="AU40" s="481">
        <f>504.2-AR40-AS40-AT40</f>
        <v>126.20000000000002</v>
      </c>
      <c r="AV40" s="637"/>
      <c r="AW40" s="481">
        <v>125.1</v>
      </c>
      <c r="AX40" s="481">
        <v>126.1</v>
      </c>
      <c r="AY40" s="481">
        <v>122.9</v>
      </c>
      <c r="AZ40" s="728">
        <f>'Puerto Rico'!L96-AW40-AX40-AY40</f>
        <v>122.53700000000003</v>
      </c>
      <c r="BA40" s="637"/>
      <c r="BB40" s="643">
        <v>121</v>
      </c>
      <c r="BC40" s="643">
        <v>123</v>
      </c>
      <c r="BD40" s="643">
        <v>124</v>
      </c>
      <c r="BE40" s="728">
        <f>'Puerto Rico'!M96-BB40-BC40-BD40</f>
        <v>118.70426000000003</v>
      </c>
      <c r="BF40" s="637"/>
      <c r="BG40" s="79"/>
      <c r="BH40" s="79"/>
      <c r="BI40" s="79"/>
      <c r="BJ40" s="79"/>
      <c r="BK40" s="79"/>
      <c r="BL40" s="79"/>
      <c r="BM40" s="79"/>
      <c r="BN40" s="79"/>
      <c r="BO40" s="79"/>
      <c r="BP40" s="79"/>
      <c r="BQ40" s="79"/>
      <c r="BR40" s="53"/>
      <c r="BS40" s="53"/>
      <c r="BT40" s="53"/>
      <c r="BU40" s="53"/>
      <c r="BV40" s="53"/>
      <c r="BW40" s="53"/>
      <c r="BX40" s="53"/>
      <c r="BY40" s="53"/>
      <c r="BZ40" s="53"/>
      <c r="CA40" s="53"/>
      <c r="CB40" s="53"/>
      <c r="CC40" s="56">
        <f t="shared" si="30"/>
        <v>9.0827338129496393E-2</v>
      </c>
      <c r="CD40" s="56">
        <f t="shared" si="30"/>
        <v>5.856643356643354E-2</v>
      </c>
      <c r="CE40" s="56">
        <f t="shared" si="30"/>
        <v>9.5155709342560346E-3</v>
      </c>
      <c r="CF40" s="56">
        <f t="shared" si="30"/>
        <v>3.4393809114358964E-2</v>
      </c>
      <c r="CG40" s="56">
        <f t="shared" si="31"/>
        <v>1.154163231657046E-2</v>
      </c>
      <c r="CH40" s="56">
        <f t="shared" si="31"/>
        <v>4.9545829892650772E-2</v>
      </c>
      <c r="CI40" s="56">
        <f t="shared" si="31"/>
        <v>9.8543273350471194E-2</v>
      </c>
      <c r="CJ40" s="56">
        <f t="shared" si="31"/>
        <v>4.9044056525353596E-2</v>
      </c>
      <c r="CK40" s="56">
        <f t="shared" si="32"/>
        <v>1.9559902200488866E-2</v>
      </c>
      <c r="CL40" s="56">
        <f t="shared" si="32"/>
        <v>-7.8678206136899576E-3</v>
      </c>
      <c r="CM40" s="56">
        <f t="shared" si="32"/>
        <v>-4.1341653666146505E-2</v>
      </c>
      <c r="CN40" s="56">
        <f t="shared" si="32"/>
        <v>-2.9025356576862005E-2</v>
      </c>
      <c r="CO40" s="56">
        <f t="shared" si="33"/>
        <v>-3.2773780975219768E-2</v>
      </c>
      <c r="CP40" s="56">
        <f t="shared" si="33"/>
        <v>-2.4583663758921404E-2</v>
      </c>
      <c r="CQ40" s="56" t="e">
        <f>BD40/#REF!-1</f>
        <v>#REF!</v>
      </c>
      <c r="CR40" s="56">
        <f t="shared" si="34"/>
        <v>-3.1278226168422574E-2</v>
      </c>
    </row>
    <row r="41" spans="2:96" ht="15.75">
      <c r="B41" s="53" t="s">
        <v>2412</v>
      </c>
      <c r="C41" s="53"/>
      <c r="D41" s="53"/>
      <c r="E41" s="53"/>
      <c r="F41" s="53"/>
      <c r="G41" s="53"/>
      <c r="H41" s="481"/>
      <c r="I41" s="481"/>
      <c r="J41" s="53"/>
      <c r="K41" s="53"/>
      <c r="L41" s="481"/>
      <c r="M41" s="481"/>
      <c r="N41" s="481"/>
      <c r="O41" s="481"/>
      <c r="P41" s="481"/>
      <c r="Q41" s="481"/>
      <c r="R41" s="481"/>
      <c r="S41" s="481"/>
      <c r="T41" s="481"/>
      <c r="U41" s="481"/>
      <c r="V41" s="481"/>
      <c r="W41" s="481"/>
      <c r="X41" s="481"/>
      <c r="Y41" s="54"/>
      <c r="Z41" s="54"/>
      <c r="AA41" s="54"/>
      <c r="AB41" s="481"/>
      <c r="AC41" s="481">
        <f>26.5-AD41</f>
        <v>13.3</v>
      </c>
      <c r="AD41" s="481">
        <v>13.2</v>
      </c>
      <c r="AE41" s="481">
        <v>14.1</v>
      </c>
      <c r="AF41" s="481">
        <v>15</v>
      </c>
      <c r="AG41" s="481"/>
      <c r="AH41" s="481">
        <v>52.1</v>
      </c>
      <c r="AI41" s="481">
        <v>55.2</v>
      </c>
      <c r="AJ41" s="481">
        <v>54.2</v>
      </c>
      <c r="AK41" s="481">
        <f>220.4-AH41-AI41-AJ41</f>
        <v>58.900000000000006</v>
      </c>
      <c r="AL41" s="1379"/>
      <c r="AM41" s="481">
        <v>57.8</v>
      </c>
      <c r="AN41" s="481">
        <v>57.3</v>
      </c>
      <c r="AO41" s="481">
        <v>53</v>
      </c>
      <c r="AP41" s="481">
        <f>220.6-AM41-AN41-AO41</f>
        <v>52.500000000000014</v>
      </c>
      <c r="AQ41" s="1379"/>
      <c r="AR41" s="481">
        <v>55.7</v>
      </c>
      <c r="AS41" s="481">
        <v>56.2</v>
      </c>
      <c r="AT41" s="481">
        <v>56.8</v>
      </c>
      <c r="AU41" s="481">
        <f>224.3-AR41-AS41-AT41</f>
        <v>55.600000000000023</v>
      </c>
      <c r="AV41" s="1379"/>
      <c r="AW41" s="481">
        <v>55.7</v>
      </c>
      <c r="AX41" s="481">
        <v>52.6</v>
      </c>
      <c r="AY41" s="481">
        <v>54.1</v>
      </c>
      <c r="AZ41" s="728">
        <f>'Puerto Rico'!L98-AW41-AX41-AY41</f>
        <v>57.414000000000037</v>
      </c>
      <c r="BA41" s="1379"/>
      <c r="BB41" s="643">
        <v>55</v>
      </c>
      <c r="BC41" s="643">
        <v>55</v>
      </c>
      <c r="BD41" s="643">
        <v>55</v>
      </c>
      <c r="BE41" s="728">
        <f>'Puerto Rico'!M98-BB41-BC41-BD41</f>
        <v>54.814000000000021</v>
      </c>
      <c r="BF41" s="1379"/>
      <c r="BG41" s="79"/>
      <c r="BH41" s="79"/>
      <c r="BI41" s="79"/>
      <c r="BJ41" s="79"/>
      <c r="BK41" s="79"/>
      <c r="BL41" s="79"/>
      <c r="BM41" s="79"/>
      <c r="BN41" s="79"/>
      <c r="BO41" s="79"/>
      <c r="BP41" s="79"/>
      <c r="BQ41" s="79"/>
      <c r="BR41" s="53"/>
      <c r="BS41" s="53"/>
      <c r="BT41" s="53"/>
      <c r="BU41" s="53"/>
      <c r="BV41" s="53"/>
      <c r="BW41" s="53"/>
      <c r="BX41" s="53"/>
      <c r="BY41" s="53"/>
      <c r="BZ41" s="53"/>
      <c r="CA41" s="53"/>
      <c r="CB41" s="53"/>
      <c r="CC41" s="56">
        <f t="shared" si="30"/>
        <v>0.10940499040307095</v>
      </c>
      <c r="CD41" s="56">
        <f t="shared" si="30"/>
        <v>3.8043478260869401E-2</v>
      </c>
      <c r="CE41" s="56">
        <f t="shared" si="30"/>
        <v>-2.2140221402214055E-2</v>
      </c>
      <c r="CF41" s="56">
        <f t="shared" si="30"/>
        <v>-0.10865874363327654</v>
      </c>
      <c r="CG41" s="56">
        <f t="shared" si="31"/>
        <v>-3.6332179930795738E-2</v>
      </c>
      <c r="CH41" s="56">
        <f t="shared" si="31"/>
        <v>-1.9197207678882999E-2</v>
      </c>
      <c r="CI41" s="56">
        <f t="shared" si="31"/>
        <v>7.1698113207547154E-2</v>
      </c>
      <c r="CJ41" s="56">
        <f t="shared" si="31"/>
        <v>5.9047619047619238E-2</v>
      </c>
      <c r="CK41" s="56">
        <f t="shared" si="32"/>
        <v>0</v>
      </c>
      <c r="CL41" s="56">
        <f t="shared" si="32"/>
        <v>-6.4056939501779375E-2</v>
      </c>
      <c r="CM41" s="56">
        <f t="shared" si="32"/>
        <v>-4.7535211267605515E-2</v>
      </c>
      <c r="CN41" s="56">
        <f t="shared" si="32"/>
        <v>3.2625899280575688E-2</v>
      </c>
      <c r="CO41" s="56">
        <f t="shared" si="33"/>
        <v>-1.2567324955116699E-2</v>
      </c>
      <c r="CP41" s="56">
        <f t="shared" si="33"/>
        <v>4.5627376425855459E-2</v>
      </c>
      <c r="CQ41" s="56" t="e">
        <f>BD41/#REF!-1</f>
        <v>#REF!</v>
      </c>
      <c r="CR41" s="56">
        <f t="shared" si="34"/>
        <v>-4.5285122095656383E-2</v>
      </c>
    </row>
    <row r="42" spans="2:96" ht="15.75">
      <c r="B42" s="50" t="s">
        <v>4</v>
      </c>
      <c r="C42" s="50"/>
      <c r="D42" s="50"/>
      <c r="E42" s="50"/>
      <c r="F42" s="50"/>
      <c r="G42" s="50"/>
      <c r="H42" s="638"/>
      <c r="I42" s="638"/>
      <c r="J42" s="50"/>
      <c r="K42" s="50"/>
      <c r="L42" s="638"/>
      <c r="M42" s="638"/>
      <c r="N42" s="638"/>
      <c r="O42" s="638"/>
      <c r="P42" s="638">
        <f>'New quarts'!AS57</f>
        <v>352</v>
      </c>
      <c r="Q42" s="638"/>
      <c r="R42" s="638"/>
      <c r="S42" s="638"/>
      <c r="T42" s="638"/>
      <c r="U42" s="638"/>
      <c r="V42" s="638"/>
      <c r="W42" s="638"/>
      <c r="X42" s="638"/>
      <c r="Y42" s="57"/>
      <c r="Z42" s="57"/>
      <c r="AA42" s="57"/>
      <c r="AB42" s="638"/>
      <c r="AC42" s="638"/>
      <c r="AD42" s="638"/>
      <c r="AE42" s="638"/>
      <c r="AF42" s="638"/>
      <c r="AG42" s="638"/>
      <c r="AH42" s="638">
        <v>8.5</v>
      </c>
      <c r="AI42" s="638">
        <v>8.5</v>
      </c>
      <c r="AJ42" s="638">
        <v>10.199999999999999</v>
      </c>
      <c r="AK42" s="638">
        <f>37.5-AH42-AI42-AJ42</f>
        <v>10.3</v>
      </c>
      <c r="AL42" s="1378"/>
      <c r="AM42" s="638">
        <v>10.3</v>
      </c>
      <c r="AN42" s="638">
        <f>10.2</f>
        <v>10.199999999999999</v>
      </c>
      <c r="AO42" s="638">
        <v>20.9</v>
      </c>
      <c r="AP42" s="638">
        <f>53.7-AM42-AN42-AO42</f>
        <v>12.300000000000004</v>
      </c>
      <c r="AQ42" s="1378"/>
      <c r="AR42" s="638">
        <v>12.3</v>
      </c>
      <c r="AS42" s="638">
        <v>11</v>
      </c>
      <c r="AT42" s="638">
        <v>8.1</v>
      </c>
      <c r="AU42" s="638">
        <f>40.5-AR42-AS42-AT42</f>
        <v>9.1</v>
      </c>
      <c r="AV42" s="1378"/>
      <c r="AW42" s="638">
        <v>8.1</v>
      </c>
      <c r="AX42" s="638">
        <v>7.3</v>
      </c>
      <c r="AY42" s="638">
        <v>6.2</v>
      </c>
      <c r="AZ42" s="729">
        <f>'Puerto Rico'!L100-AW42-AX42-AY42</f>
        <v>8.7749999999999986</v>
      </c>
      <c r="BA42" s="1379"/>
      <c r="BB42" s="686">
        <v>8</v>
      </c>
      <c r="BC42" s="686">
        <v>8</v>
      </c>
      <c r="BD42" s="686">
        <v>8</v>
      </c>
      <c r="BE42" s="729">
        <f>'Puerto Rico'!M100-BB42-BC42-BD42</f>
        <v>7.8937500000000007</v>
      </c>
      <c r="BF42" s="1379"/>
      <c r="BG42" s="79"/>
      <c r="BH42" s="79"/>
      <c r="BI42" s="79"/>
      <c r="BJ42" s="79"/>
      <c r="BK42" s="79"/>
      <c r="BL42" s="79"/>
      <c r="BM42" s="79"/>
      <c r="BN42" s="79"/>
      <c r="BO42" s="79"/>
      <c r="BP42" s="79"/>
      <c r="BQ42" s="79"/>
      <c r="BR42" s="53"/>
      <c r="BS42" s="53"/>
      <c r="BT42" s="53"/>
      <c r="BU42" s="53"/>
      <c r="BV42" s="53"/>
      <c r="BW42" s="53"/>
      <c r="BX42" s="53"/>
      <c r="BY42" s="53"/>
      <c r="BZ42" s="53"/>
      <c r="CA42" s="53"/>
      <c r="CB42" s="53"/>
      <c r="CC42" s="631"/>
      <c r="CD42" s="631"/>
      <c r="CE42" s="631"/>
      <c r="CF42" s="631"/>
      <c r="CG42" s="50"/>
      <c r="CH42" s="50"/>
      <c r="CI42" s="50"/>
      <c r="CJ42" s="50"/>
      <c r="CK42" s="50"/>
      <c r="CL42" s="50"/>
      <c r="CM42" s="50"/>
      <c r="CN42" s="50"/>
      <c r="CO42" s="50"/>
      <c r="CP42" s="50"/>
      <c r="CQ42" s="50"/>
      <c r="CR42" s="50"/>
    </row>
    <row r="43" spans="2:96" ht="15.75">
      <c r="B43" s="53" t="s">
        <v>16</v>
      </c>
      <c r="C43" s="53"/>
      <c r="D43" s="53"/>
      <c r="E43" s="53"/>
      <c r="F43" s="53"/>
      <c r="G43" s="53"/>
      <c r="H43" s="481"/>
      <c r="I43" s="481"/>
      <c r="J43" s="53"/>
      <c r="K43" s="53"/>
      <c r="L43" s="481"/>
      <c r="M43" s="481"/>
      <c r="N43" s="481"/>
      <c r="O43" s="481"/>
      <c r="P43" s="481"/>
      <c r="Q43" s="481"/>
      <c r="R43" s="481"/>
      <c r="S43" s="481"/>
      <c r="T43" s="481"/>
      <c r="U43" s="481"/>
      <c r="V43" s="481"/>
      <c r="W43" s="481"/>
      <c r="X43" s="481"/>
      <c r="Y43" s="54"/>
      <c r="Z43" s="54"/>
      <c r="AA43" s="54"/>
      <c r="AB43" s="481"/>
      <c r="AC43" s="481">
        <f t="shared" ref="AC43:AD43" si="36">SUM(AC39:AC42)</f>
        <v>104.59999999999998</v>
      </c>
      <c r="AD43" s="481">
        <f t="shared" si="36"/>
        <v>109.10000000000001</v>
      </c>
      <c r="AE43" s="481">
        <v>114.4</v>
      </c>
      <c r="AF43" s="481">
        <f>SUM(AF39:AF42)</f>
        <v>115</v>
      </c>
      <c r="AG43" s="481"/>
      <c r="AH43" s="481">
        <f>SUM(AH39:AH42)</f>
        <v>361.3</v>
      </c>
      <c r="AI43" s="481">
        <f>SUM(AI39:AI42)</f>
        <v>360.40000000000003</v>
      </c>
      <c r="AJ43" s="481">
        <f>SUM(AJ39:AJ42)</f>
        <v>357.29999999999995</v>
      </c>
      <c r="AK43" s="481">
        <f>AK19</f>
        <v>376</v>
      </c>
      <c r="AL43" s="637"/>
      <c r="AM43" s="481">
        <f>SUM(AM39:AM42)</f>
        <v>369.40000000000003</v>
      </c>
      <c r="AN43" s="481">
        <f>SUM(AN39:AN42)</f>
        <v>364.1</v>
      </c>
      <c r="AO43" s="481">
        <f>SUM(AO39:AO42)</f>
        <v>366.9</v>
      </c>
      <c r="AP43" s="481">
        <f>SUM(AP39:AP42)</f>
        <v>369.69999999999993</v>
      </c>
      <c r="AQ43" s="481"/>
      <c r="AR43" s="481">
        <f>SUM(AR39:AR42)</f>
        <v>365.8</v>
      </c>
      <c r="AS43" s="481">
        <f>AS19</f>
        <v>352</v>
      </c>
      <c r="AT43" s="481">
        <f>AT19</f>
        <v>351.2</v>
      </c>
      <c r="AU43" s="481">
        <f>AU19</f>
        <v>353.5</v>
      </c>
      <c r="AV43" s="481"/>
      <c r="AW43" s="481">
        <f>SUM(AW39:AW42)</f>
        <v>326.90000000000003</v>
      </c>
      <c r="AX43" s="481">
        <v>308.60000000000002</v>
      </c>
      <c r="AY43" s="481">
        <f>SUM(AY39:AY42)</f>
        <v>308.2</v>
      </c>
      <c r="AZ43" s="481">
        <f>Master!P48-AW43-AX43-AY43</f>
        <v>335.10280000000006</v>
      </c>
      <c r="BA43" s="481"/>
      <c r="BB43" s="481">
        <f t="shared" ref="BB43:BE43" si="37">SUM(BB39:BB42)</f>
        <v>323</v>
      </c>
      <c r="BC43" s="481">
        <f t="shared" si="37"/>
        <v>328</v>
      </c>
      <c r="BD43" s="481">
        <f t="shared" si="37"/>
        <v>333</v>
      </c>
      <c r="BE43" s="481">
        <f t="shared" si="37"/>
        <v>343.34128712000012</v>
      </c>
      <c r="BF43" s="481"/>
      <c r="BG43" s="79"/>
      <c r="BH43" s="79"/>
      <c r="BI43" s="79"/>
      <c r="BJ43" s="79"/>
      <c r="BK43" s="79"/>
      <c r="BL43" s="79"/>
      <c r="BM43" s="79"/>
      <c r="BN43" s="79"/>
      <c r="BO43" s="79"/>
      <c r="BP43" s="79"/>
      <c r="BQ43" s="79"/>
      <c r="BR43" s="53"/>
      <c r="BS43" s="53"/>
      <c r="BT43" s="53"/>
      <c r="BU43" s="53"/>
      <c r="BV43" s="53"/>
      <c r="BW43" s="53"/>
      <c r="BX43" s="53"/>
      <c r="BY43" s="53"/>
      <c r="BZ43" s="53"/>
      <c r="CA43" s="53"/>
      <c r="CB43" s="53"/>
      <c r="CC43" s="56">
        <f>AM43/AH43-1</f>
        <v>2.2419042347080032E-2</v>
      </c>
      <c r="CD43" s="56">
        <f>AN43/AI43-1</f>
        <v>1.0266370699222982E-2</v>
      </c>
      <c r="CE43" s="56">
        <f>AO43/AJ43-1</f>
        <v>2.6868178001679288E-2</v>
      </c>
      <c r="CF43" s="56">
        <f>AP43/AK43-1</f>
        <v>-1.6755319148936354E-2</v>
      </c>
      <c r="CG43" s="56">
        <f>AR43/AM43-1</f>
        <v>-9.7455332972388176E-3</v>
      </c>
      <c r="CH43" s="56">
        <f>AS43/AN43-1</f>
        <v>-3.3232628398791597E-2</v>
      </c>
      <c r="CI43" s="56">
        <f>AT43/AO43-1</f>
        <v>-4.279095121286447E-2</v>
      </c>
      <c r="CJ43" s="56">
        <f>AU43/AP43-1</f>
        <v>-4.3819312956451029E-2</v>
      </c>
      <c r="CK43" s="56">
        <f>AW43/AR43-1</f>
        <v>-0.10634226353198462</v>
      </c>
      <c r="CL43" s="56">
        <f>AX43/AS43-1</f>
        <v>-0.12329545454545443</v>
      </c>
      <c r="CM43" s="56">
        <f>AY43/AT43-1</f>
        <v>-0.12243735763097952</v>
      </c>
      <c r="CN43" s="56">
        <f>AZ43/AU43-1</f>
        <v>-5.2042998585572708E-2</v>
      </c>
      <c r="CO43" s="56">
        <f>BB43/AW43-1</f>
        <v>-1.1930253900275467E-2</v>
      </c>
      <c r="CP43" s="56">
        <f>BC43/AX43-1</f>
        <v>6.2864549578742546E-2</v>
      </c>
      <c r="CQ43" s="56" t="e">
        <f>BD43/#REF!-1</f>
        <v>#REF!</v>
      </c>
      <c r="CR43" s="56">
        <f>BE43/AZ43-1</f>
        <v>2.4584954587070218E-2</v>
      </c>
    </row>
    <row r="44" spans="2:96" ht="15.75">
      <c r="B44" s="53" t="s">
        <v>8</v>
      </c>
      <c r="C44" s="53"/>
      <c r="D44" s="53"/>
      <c r="E44" s="53"/>
      <c r="F44" s="53"/>
      <c r="G44" s="53"/>
      <c r="H44" s="481"/>
      <c r="I44" s="481"/>
      <c r="J44" s="53"/>
      <c r="K44" s="53"/>
      <c r="L44" s="481"/>
      <c r="M44" s="481"/>
      <c r="N44" s="481"/>
      <c r="O44" s="481"/>
      <c r="P44" s="481"/>
      <c r="Q44" s="481"/>
      <c r="R44" s="481"/>
      <c r="S44" s="481"/>
      <c r="T44" s="481"/>
      <c r="U44" s="481"/>
      <c r="V44" s="481"/>
      <c r="W44" s="481"/>
      <c r="X44" s="481"/>
      <c r="Y44" s="54"/>
      <c r="Z44" s="54"/>
      <c r="AA44" s="54"/>
      <c r="AB44" s="481"/>
      <c r="AC44" s="481">
        <f>102.9-AD44</f>
        <v>50.500000000000007</v>
      </c>
      <c r="AD44" s="481">
        <v>52.4</v>
      </c>
      <c r="AE44" s="481">
        <v>58.1</v>
      </c>
      <c r="AF44" s="481">
        <f>AF45*AF43</f>
        <v>55.199999999999996</v>
      </c>
      <c r="AG44" s="481"/>
      <c r="AH44" s="481"/>
      <c r="AI44" s="481"/>
      <c r="AJ44" s="481"/>
      <c r="AK44" s="481"/>
      <c r="AL44" s="637"/>
      <c r="AM44" s="481"/>
      <c r="AN44" s="481"/>
      <c r="AO44" s="481"/>
      <c r="AP44" s="481"/>
      <c r="AQ44" s="481"/>
      <c r="AR44" s="481"/>
      <c r="AS44" s="481"/>
      <c r="AT44" s="481"/>
      <c r="AU44" s="481"/>
      <c r="AV44" s="481"/>
      <c r="AW44" s="481"/>
      <c r="AX44" s="481"/>
      <c r="AY44" s="481"/>
      <c r="AZ44" s="481"/>
      <c r="BA44" s="481"/>
      <c r="BB44" s="481"/>
      <c r="BC44" s="481"/>
      <c r="BD44" s="481"/>
      <c r="BE44" s="481"/>
      <c r="BF44" s="481"/>
      <c r="BG44" s="79"/>
      <c r="BH44" s="79"/>
      <c r="BI44" s="79"/>
      <c r="BJ44" s="79"/>
      <c r="BK44" s="79"/>
      <c r="BL44" s="79"/>
      <c r="BM44" s="79"/>
      <c r="BN44" s="79"/>
      <c r="BO44" s="79"/>
      <c r="BP44" s="79"/>
      <c r="BQ44" s="79"/>
      <c r="BR44" s="53"/>
      <c r="BS44" s="53"/>
      <c r="BT44" s="53"/>
      <c r="BU44" s="53"/>
      <c r="BV44" s="53"/>
      <c r="BW44" s="53"/>
      <c r="BX44" s="53"/>
      <c r="BY44" s="53"/>
      <c r="BZ44" s="53"/>
      <c r="CA44" s="53"/>
      <c r="CB44" s="53"/>
      <c r="CC44" s="56"/>
      <c r="CD44" s="56"/>
      <c r="CE44" s="56"/>
      <c r="CF44" s="56"/>
      <c r="CG44" s="56"/>
      <c r="CH44" s="56"/>
      <c r="CI44" s="56"/>
      <c r="CJ44" s="56"/>
      <c r="CK44" s="56"/>
      <c r="CL44" s="56"/>
      <c r="CM44" s="56"/>
      <c r="CN44" s="56"/>
      <c r="CO44" s="56"/>
      <c r="CP44" s="56"/>
      <c r="CQ44" s="56"/>
      <c r="CR44" s="56"/>
    </row>
    <row r="45" spans="2:96" ht="15.75">
      <c r="B45" s="53" t="s">
        <v>2048</v>
      </c>
      <c r="C45" s="53"/>
      <c r="D45" s="53"/>
      <c r="E45" s="53"/>
      <c r="F45" s="53"/>
      <c r="G45" s="53"/>
      <c r="H45" s="481"/>
      <c r="I45" s="481"/>
      <c r="J45" s="53"/>
      <c r="K45" s="53"/>
      <c r="L45" s="481"/>
      <c r="M45" s="481"/>
      <c r="N45" s="481"/>
      <c r="O45" s="481"/>
      <c r="P45" s="481"/>
      <c r="Q45" s="481"/>
      <c r="R45" s="481"/>
      <c r="S45" s="481"/>
      <c r="T45" s="481"/>
      <c r="U45" s="481"/>
      <c r="V45" s="481"/>
      <c r="W45" s="481"/>
      <c r="X45" s="481"/>
      <c r="Y45" s="54"/>
      <c r="Z45" s="54"/>
      <c r="AA45" s="54"/>
      <c r="AB45" s="481"/>
      <c r="AC45" s="56">
        <f>AC44/AC43</f>
        <v>0.48279158699808811</v>
      </c>
      <c r="AD45" s="56">
        <f>AD44/AD43</f>
        <v>0.4802933088909257</v>
      </c>
      <c r="AE45" s="56">
        <f>AE44/AE43</f>
        <v>0.50786713286713281</v>
      </c>
      <c r="AF45" s="54">
        <v>0.48</v>
      </c>
      <c r="AG45" s="481"/>
      <c r="AH45" s="481"/>
      <c r="AI45" s="481"/>
      <c r="AJ45" s="481"/>
      <c r="AK45" s="481"/>
      <c r="AL45" s="637"/>
      <c r="AM45" s="53"/>
      <c r="AN45" s="53"/>
      <c r="AO45" s="53"/>
      <c r="AP45" s="53"/>
      <c r="AQ45" s="637"/>
      <c r="AR45" s="53"/>
      <c r="AS45" s="53"/>
      <c r="AT45" s="53"/>
      <c r="AU45" s="53"/>
      <c r="AV45" s="637"/>
      <c r="AW45" s="53"/>
      <c r="AX45" s="53"/>
      <c r="AY45" s="53"/>
      <c r="AZ45" s="53"/>
      <c r="BA45" s="637"/>
      <c r="BB45" s="53"/>
      <c r="BC45" s="53"/>
      <c r="BD45" s="53"/>
      <c r="BE45" s="53"/>
      <c r="BF45" s="637"/>
      <c r="BG45" s="79"/>
      <c r="BH45" s="79"/>
      <c r="BI45" s="79"/>
      <c r="BJ45" s="79"/>
      <c r="BK45" s="79"/>
      <c r="BL45" s="79"/>
      <c r="BM45" s="79"/>
      <c r="BN45" s="79"/>
      <c r="BO45" s="79"/>
      <c r="BP45" s="79"/>
      <c r="BQ45" s="79"/>
      <c r="BR45" s="53"/>
      <c r="BS45" s="53"/>
      <c r="BT45" s="53"/>
      <c r="BU45" s="53"/>
      <c r="BV45" s="53"/>
      <c r="BW45" s="53"/>
      <c r="BX45" s="53"/>
      <c r="BY45" s="53"/>
      <c r="BZ45" s="53"/>
      <c r="CA45" s="53"/>
      <c r="CB45" s="53"/>
      <c r="CC45" s="53"/>
      <c r="CD45" s="53"/>
      <c r="CE45" s="53"/>
      <c r="CF45" s="53"/>
      <c r="CG45" s="53"/>
      <c r="CH45" s="53"/>
      <c r="CI45" s="53"/>
      <c r="CJ45" s="53"/>
    </row>
    <row r="46" spans="2:96" ht="15.75">
      <c r="B46" s="53" t="s">
        <v>6939</v>
      </c>
      <c r="C46" s="53"/>
      <c r="D46" s="53"/>
      <c r="E46" s="53"/>
      <c r="F46" s="53"/>
      <c r="G46" s="53"/>
      <c r="H46" s="481"/>
      <c r="I46" s="481"/>
      <c r="J46" s="53"/>
      <c r="K46" s="53"/>
      <c r="L46" s="481"/>
      <c r="M46" s="481"/>
      <c r="N46" s="481"/>
      <c r="O46" s="481"/>
      <c r="P46" s="481"/>
      <c r="Q46" s="481"/>
      <c r="R46" s="481"/>
      <c r="S46" s="481"/>
      <c r="T46" s="481"/>
      <c r="U46" s="481"/>
      <c r="V46" s="481"/>
      <c r="W46" s="481"/>
      <c r="X46" s="481"/>
      <c r="Y46" s="54"/>
      <c r="Z46" s="54"/>
      <c r="AA46" s="54"/>
      <c r="AB46" s="481"/>
      <c r="AC46" s="53"/>
      <c r="AD46" s="53"/>
      <c r="AE46" s="53"/>
      <c r="AF46" s="481"/>
      <c r="AG46" s="481"/>
      <c r="AH46" s="481">
        <f>AH43-AH242</f>
        <v>211.4</v>
      </c>
      <c r="AI46" s="481">
        <f t="shared" ref="AI46:AK46" si="38">AI43-AI242</f>
        <v>199.00000000000003</v>
      </c>
      <c r="AJ46" s="481">
        <f t="shared" si="38"/>
        <v>217.99999999999994</v>
      </c>
      <c r="AK46" s="481">
        <f t="shared" si="38"/>
        <v>240.7</v>
      </c>
      <c r="AL46" s="637"/>
      <c r="AM46" s="481">
        <f>AM43-AM242</f>
        <v>225.10000000000002</v>
      </c>
      <c r="AN46" s="481">
        <f t="shared" ref="AN46:AP46" si="39">AN43-AN242</f>
        <v>215.3</v>
      </c>
      <c r="AO46" s="481">
        <f t="shared" si="39"/>
        <v>235.39999999999998</v>
      </c>
      <c r="AP46" s="481">
        <f t="shared" si="39"/>
        <v>249.49999999999994</v>
      </c>
      <c r="AQ46" s="637"/>
      <c r="AR46" s="481">
        <f>AR43-AR242</f>
        <v>231.4</v>
      </c>
      <c r="AS46" s="481">
        <f t="shared" ref="AS46:AT46" si="40">AS43-AS242</f>
        <v>210.7</v>
      </c>
      <c r="AT46" s="481">
        <f t="shared" si="40"/>
        <v>234.79999999999998</v>
      </c>
      <c r="AU46" s="481">
        <f>AU43-AU242</f>
        <v>249.6</v>
      </c>
      <c r="AV46" s="637"/>
      <c r="AW46" s="481">
        <f t="shared" ref="AW46:AY46" si="41">AW43-AW242</f>
        <v>257.80000000000007</v>
      </c>
      <c r="AX46" s="481">
        <f t="shared" si="41"/>
        <v>237.50000000000003</v>
      </c>
      <c r="AY46" s="481">
        <f t="shared" si="41"/>
        <v>220</v>
      </c>
      <c r="AZ46" s="481">
        <f t="shared" ref="AZ46:BE46" si="42">AZ43-AZ242</f>
        <v>239.59012799999999</v>
      </c>
      <c r="BA46" s="637"/>
      <c r="BB46" s="481">
        <f t="shared" si="42"/>
        <v>218</v>
      </c>
      <c r="BC46" s="481">
        <f t="shared" si="42"/>
        <v>213</v>
      </c>
      <c r="BD46" s="481">
        <f t="shared" si="42"/>
        <v>208</v>
      </c>
      <c r="BE46" s="481">
        <f t="shared" si="42"/>
        <v>206.86548811280011</v>
      </c>
      <c r="BF46" s="637"/>
      <c r="BG46" s="79"/>
      <c r="BH46" s="79"/>
      <c r="BI46" s="79"/>
      <c r="BJ46" s="79"/>
      <c r="BK46" s="79"/>
      <c r="BL46" s="79"/>
      <c r="BM46" s="79"/>
      <c r="BN46" s="79"/>
      <c r="BO46" s="79"/>
      <c r="BP46" s="79"/>
      <c r="BQ46" s="79"/>
      <c r="BR46" s="53"/>
      <c r="BS46" s="53"/>
      <c r="BT46" s="53"/>
      <c r="BU46" s="53"/>
      <c r="BV46" s="53"/>
      <c r="BW46" s="53"/>
      <c r="BX46" s="53"/>
      <c r="BY46" s="53"/>
      <c r="BZ46" s="53"/>
      <c r="CA46" s="53"/>
      <c r="CB46" s="53"/>
      <c r="CC46" s="53"/>
      <c r="CD46" s="53"/>
      <c r="CE46" s="53"/>
      <c r="CF46" s="53"/>
      <c r="CG46" s="53"/>
      <c r="CH46" s="53"/>
      <c r="CI46" s="53"/>
      <c r="CJ46" s="53"/>
    </row>
    <row r="47" spans="2:96" ht="15.75">
      <c r="B47" s="53"/>
      <c r="C47" s="53"/>
      <c r="D47" s="53"/>
      <c r="E47" s="53"/>
      <c r="F47" s="53"/>
      <c r="G47" s="53"/>
      <c r="H47" s="481"/>
      <c r="I47" s="481"/>
      <c r="J47" s="53"/>
      <c r="K47" s="53"/>
      <c r="L47" s="481"/>
      <c r="M47" s="481"/>
      <c r="N47" s="481"/>
      <c r="O47" s="481"/>
      <c r="P47" s="481"/>
      <c r="Q47" s="481"/>
      <c r="R47" s="481"/>
      <c r="S47" s="481"/>
      <c r="T47" s="481"/>
      <c r="U47" s="481"/>
      <c r="V47" s="481"/>
      <c r="W47" s="481"/>
      <c r="X47" s="481"/>
      <c r="Y47" s="54"/>
      <c r="Z47" s="54"/>
      <c r="AA47" s="54"/>
      <c r="AB47" s="481"/>
      <c r="AC47" s="53"/>
      <c r="AD47" s="53"/>
      <c r="AE47" s="53"/>
      <c r="AF47" s="481"/>
      <c r="AG47" s="481"/>
      <c r="AH47" s="481"/>
      <c r="AI47" s="481"/>
      <c r="AJ47" s="481"/>
      <c r="AK47" s="481"/>
      <c r="AL47" s="637"/>
      <c r="AM47" s="481"/>
      <c r="AN47" s="481"/>
      <c r="AO47" s="481"/>
      <c r="AP47" s="481"/>
      <c r="AQ47" s="637"/>
      <c r="AR47" s="481"/>
      <c r="AS47" s="481"/>
      <c r="AT47" s="481"/>
      <c r="AU47" s="481"/>
      <c r="AV47" s="637"/>
      <c r="AW47" s="481"/>
      <c r="AX47" s="481">
        <f>AX46/3</f>
        <v>79.166666666666671</v>
      </c>
      <c r="AY47" s="481">
        <f>AY46/3</f>
        <v>73.333333333333329</v>
      </c>
      <c r="AZ47" s="481"/>
      <c r="BA47" s="637"/>
      <c r="BB47" s="481"/>
      <c r="BC47" s="481"/>
      <c r="BD47" s="481"/>
      <c r="BE47" s="481"/>
      <c r="BF47" s="637"/>
      <c r="BG47" s="79"/>
      <c r="BH47" s="79"/>
      <c r="BI47" s="79"/>
      <c r="BJ47" s="79"/>
      <c r="BK47" s="79"/>
      <c r="BL47" s="79"/>
      <c r="BM47" s="79"/>
      <c r="BN47" s="79"/>
      <c r="BO47" s="79"/>
      <c r="BP47" s="79"/>
      <c r="BQ47" s="79"/>
      <c r="BR47" s="53"/>
      <c r="BS47" s="53"/>
      <c r="BT47" s="53"/>
      <c r="BU47" s="53"/>
      <c r="BV47" s="53"/>
      <c r="BW47" s="53"/>
      <c r="BX47" s="53"/>
      <c r="BY47" s="53"/>
      <c r="BZ47" s="53"/>
      <c r="CA47" s="53"/>
      <c r="CB47" s="53"/>
      <c r="CC47" s="53"/>
      <c r="CD47" s="53"/>
      <c r="CE47" s="53"/>
      <c r="CF47" s="53"/>
      <c r="CG47" s="53"/>
      <c r="CH47" s="53"/>
      <c r="CI47" s="53"/>
      <c r="CJ47" s="53"/>
    </row>
    <row r="48" spans="2:96" ht="15.75">
      <c r="B48" s="53"/>
      <c r="C48" s="53"/>
      <c r="D48" s="53"/>
      <c r="E48" s="53"/>
      <c r="F48" s="53"/>
      <c r="G48" s="53"/>
      <c r="H48" s="481"/>
      <c r="I48" s="481"/>
      <c r="J48" s="53"/>
      <c r="K48" s="53"/>
      <c r="L48" s="481"/>
      <c r="M48" s="481"/>
      <c r="N48" s="481"/>
      <c r="O48" s="481"/>
      <c r="P48" s="481"/>
      <c r="Q48" s="481"/>
      <c r="R48" s="481"/>
      <c r="S48" s="481"/>
      <c r="T48" s="481"/>
      <c r="U48" s="481"/>
      <c r="V48" s="481"/>
      <c r="W48" s="481"/>
      <c r="X48" s="481"/>
      <c r="Y48" s="54"/>
      <c r="Z48" s="54"/>
      <c r="AA48" s="54"/>
      <c r="AB48" s="481"/>
      <c r="AC48" s="53"/>
      <c r="AD48" s="53"/>
      <c r="AE48" s="53"/>
      <c r="AF48" s="481"/>
      <c r="AG48" s="481"/>
      <c r="AH48" s="481"/>
      <c r="AI48" s="481"/>
      <c r="AJ48" s="481"/>
      <c r="AK48" s="481"/>
      <c r="AL48" s="637"/>
      <c r="AM48" s="481"/>
      <c r="AN48" s="481"/>
      <c r="AO48" s="481"/>
      <c r="AP48" s="481"/>
      <c r="AQ48" s="637"/>
      <c r="AR48" s="481"/>
      <c r="AS48" s="481"/>
      <c r="AT48" s="481"/>
      <c r="AU48" s="481"/>
      <c r="AV48" s="637"/>
      <c r="AW48" s="481"/>
      <c r="AX48" s="481"/>
      <c r="AY48" s="481"/>
      <c r="AZ48" s="481"/>
      <c r="BA48" s="637"/>
      <c r="BB48" s="481">
        <f>40</f>
        <v>40</v>
      </c>
      <c r="BC48" s="949">
        <v>0.05</v>
      </c>
      <c r="BD48" s="5">
        <v>0.9</v>
      </c>
      <c r="BE48" s="621">
        <f>BB48*BC48*BD48</f>
        <v>1.8</v>
      </c>
      <c r="BF48" s="637"/>
      <c r="BG48" s="79"/>
      <c r="BH48" s="79"/>
      <c r="BI48" s="79"/>
      <c r="BJ48" s="79"/>
      <c r="BK48" s="79"/>
      <c r="BL48" s="79"/>
      <c r="BM48" s="79"/>
      <c r="BN48" s="79"/>
      <c r="BO48" s="79"/>
      <c r="BP48" s="79"/>
      <c r="BQ48" s="79"/>
      <c r="BR48" s="53"/>
      <c r="BS48" s="53"/>
      <c r="BT48" s="53"/>
      <c r="BU48" s="53"/>
      <c r="BV48" s="53"/>
      <c r="BW48" s="53"/>
      <c r="BX48" s="53"/>
      <c r="BY48" s="53"/>
      <c r="BZ48" s="53"/>
      <c r="CA48" s="53"/>
      <c r="CB48" s="53"/>
      <c r="CC48" s="53"/>
      <c r="CD48" s="53"/>
      <c r="CE48" s="53"/>
      <c r="CF48" s="53"/>
      <c r="CG48" s="53"/>
      <c r="CH48" s="53"/>
      <c r="CI48" s="53"/>
      <c r="CJ48" s="53"/>
    </row>
    <row r="49" spans="2:88" ht="15.75">
      <c r="B49" s="53" t="s">
        <v>360</v>
      </c>
      <c r="C49" s="53"/>
      <c r="D49" s="53"/>
      <c r="E49" s="53"/>
      <c r="F49" s="53"/>
      <c r="G49" s="53"/>
      <c r="H49" s="481"/>
      <c r="I49" s="481"/>
      <c r="J49" s="53"/>
      <c r="K49" s="53"/>
      <c r="L49" s="481"/>
      <c r="M49" s="481"/>
      <c r="N49" s="481"/>
      <c r="O49" s="481"/>
      <c r="P49" s="481"/>
      <c r="Q49" s="481"/>
      <c r="R49" s="481"/>
      <c r="S49" s="481"/>
      <c r="T49" s="481"/>
      <c r="U49" s="481"/>
      <c r="V49" s="481"/>
      <c r="W49" s="481"/>
      <c r="X49" s="481"/>
      <c r="Y49" s="54"/>
      <c r="Z49" s="54"/>
      <c r="AA49" s="54"/>
      <c r="AB49" s="481"/>
      <c r="AC49" s="53"/>
      <c r="AD49" s="53"/>
      <c r="AE49" s="53"/>
      <c r="AF49" s="481"/>
      <c r="AG49" s="481"/>
      <c r="AH49" s="481">
        <f>'LiLAC valuation'!AH336</f>
        <v>1020.7</v>
      </c>
      <c r="AI49" s="481">
        <f>'LiLAC valuation'!AI336</f>
        <v>1026.7</v>
      </c>
      <c r="AJ49" s="481">
        <f>'LiLAC valuation'!AJ336</f>
        <v>1023.7</v>
      </c>
      <c r="AK49" s="481">
        <f>'LiLAC valuation'!AK336</f>
        <v>1022.4</v>
      </c>
      <c r="AM49" s="481">
        <f>'LiLAC valuation'!AL336</f>
        <v>1052.5999999999999</v>
      </c>
      <c r="AN49" s="481">
        <f>'LiLAC valuation'!AM336</f>
        <v>1037</v>
      </c>
      <c r="AO49" s="481">
        <f>'LiLAC valuation'!AN336</f>
        <v>1073.8999999999999</v>
      </c>
      <c r="AP49" s="481">
        <f>'LiLAC valuation'!AO336</f>
        <v>1085.5999999999999</v>
      </c>
      <c r="AR49" s="481">
        <f>'LiLAC valuation'!AP336</f>
        <v>1071.3</v>
      </c>
      <c r="AS49" s="481">
        <f>'LiLAC valuation'!AQ336</f>
        <v>1052.3</v>
      </c>
      <c r="AT49" s="481">
        <f>'LiLAC valuation'!AR336</f>
        <v>1027.8</v>
      </c>
      <c r="AU49" s="481">
        <f>'LiLAC valuation'!AS336</f>
        <v>979.30000000000007</v>
      </c>
      <c r="AW49" s="481">
        <f>'LiLAC valuation'!AT336</f>
        <v>918.3</v>
      </c>
      <c r="AX49" s="481">
        <f>'LiLAC valuation'!AU336</f>
        <v>834.8</v>
      </c>
      <c r="AY49" s="481">
        <f>'LiLAC valuation'!AV336</f>
        <v>870</v>
      </c>
      <c r="AZ49" s="481"/>
      <c r="BA49" s="637"/>
      <c r="BB49" s="481"/>
      <c r="BC49" s="481"/>
      <c r="BD49" s="481"/>
      <c r="BE49" s="481"/>
      <c r="BF49" s="637"/>
      <c r="BG49" s="79"/>
      <c r="BH49" s="79"/>
      <c r="BI49" s="79"/>
      <c r="BJ49" s="79"/>
      <c r="BK49" s="79"/>
      <c r="BL49" s="79"/>
      <c r="BM49" s="79"/>
      <c r="BN49" s="79"/>
      <c r="BO49" s="79"/>
      <c r="BP49" s="79"/>
      <c r="BQ49" s="79"/>
      <c r="BR49" s="53"/>
      <c r="BS49" s="53"/>
      <c r="BT49" s="53"/>
      <c r="BU49" s="53"/>
      <c r="BV49" s="53"/>
      <c r="BW49" s="53"/>
      <c r="BX49" s="53"/>
      <c r="BY49" s="53"/>
      <c r="BZ49" s="53"/>
      <c r="CA49" s="53"/>
      <c r="CB49" s="53"/>
      <c r="CC49" s="53"/>
      <c r="CD49" s="53"/>
      <c r="CE49" s="53"/>
      <c r="CF49" s="53"/>
      <c r="CG49" s="53"/>
      <c r="CH49" s="53"/>
      <c r="CI49" s="53"/>
      <c r="CJ49" s="53"/>
    </row>
    <row r="50" spans="2:88" ht="15.75">
      <c r="B50" s="53" t="s">
        <v>7592</v>
      </c>
      <c r="C50" s="53"/>
      <c r="D50" s="53"/>
      <c r="E50" s="53"/>
      <c r="F50" s="53"/>
      <c r="G50" s="53"/>
      <c r="H50" s="481"/>
      <c r="I50" s="481"/>
      <c r="J50" s="53"/>
      <c r="K50" s="53"/>
      <c r="L50" s="481"/>
      <c r="M50" s="481"/>
      <c r="N50" s="481"/>
      <c r="O50" s="481"/>
      <c r="P50" s="481"/>
      <c r="Q50" s="481"/>
      <c r="R50" s="481"/>
      <c r="S50" s="481"/>
      <c r="T50" s="481"/>
      <c r="U50" s="481"/>
      <c r="V50" s="481"/>
      <c r="W50" s="481"/>
      <c r="X50" s="481"/>
      <c r="Y50" s="54"/>
      <c r="Z50" s="54"/>
      <c r="AA50" s="54"/>
      <c r="AB50" s="481"/>
      <c r="AC50" s="53"/>
      <c r="AD50" s="53"/>
      <c r="AE50" s="53"/>
      <c r="AF50" s="481"/>
      <c r="AG50" s="481"/>
      <c r="AH50" s="621">
        <f t="shared" ref="AH50" si="43">AH37/AVERAGE(AG49,AH49)/3*1000</f>
        <v>38.045785571993079</v>
      </c>
      <c r="AI50" s="621">
        <f t="shared" ref="AI50" si="44">AI37/AVERAGE(AH49,AI49)/3*1000</f>
        <v>40.278727491778184</v>
      </c>
      <c r="AJ50" s="621">
        <f t="shared" ref="AJ50" si="45">AJ37/AVERAGE(AI49,AJ49)/3*1000</f>
        <v>39.66705683443881</v>
      </c>
      <c r="AK50" s="621">
        <f t="shared" ref="AK50" si="46">AK37/AVERAGE(AJ49,AK49)/3*1000</f>
        <v>38.642620921101937</v>
      </c>
      <c r="AL50" s="637"/>
      <c r="AM50" s="621">
        <f t="shared" ref="AM50" si="47">AM37/AVERAGE(AL49,AM49)/3*1000</f>
        <v>36.987776299955662</v>
      </c>
      <c r="AN50" s="621">
        <f t="shared" ref="AN50" si="48">AN37/AVERAGE(AM49,AN49)/3*1000</f>
        <v>37.391526288922918</v>
      </c>
      <c r="AO50" s="621">
        <f t="shared" ref="AO50" si="49">AO37/AVERAGE(AN49,AO49)/3*1000</f>
        <v>35.119301403824601</v>
      </c>
      <c r="AP50" s="621">
        <f t="shared" ref="AP50" si="50">AP37/AVERAGE(AO49,AP49)/3*1000</f>
        <v>31.735741298140002</v>
      </c>
      <c r="AQ50" s="637"/>
      <c r="AR50" s="621">
        <f t="shared" ref="AR50:AU50" si="51">AR37/AVERAGE(AQ49,AR49)/3*1000</f>
        <v>32.26609415352064</v>
      </c>
      <c r="AS50" s="621">
        <f t="shared" si="51"/>
        <v>32.272242104602249</v>
      </c>
      <c r="AT50" s="621">
        <f t="shared" si="51"/>
        <v>31.825393009951444</v>
      </c>
      <c r="AU50" s="621">
        <f t="shared" si="51"/>
        <v>30.857123876903657</v>
      </c>
      <c r="AV50" s="1618"/>
      <c r="AW50" s="621">
        <f>AW37/AVERAGE(AV49,AW49)/3*1000</f>
        <v>33.939525935605651</v>
      </c>
      <c r="AX50" s="621">
        <f>AX37/AVERAGE(AW49,AX49)/3*1000</f>
        <v>29.927937177951442</v>
      </c>
      <c r="AY50" s="621">
        <f>AY37/AVERAGE(AX49,AY49)/3*1000</f>
        <v>32.340059440012517</v>
      </c>
      <c r="AZ50" s="481"/>
      <c r="BA50" s="637"/>
      <c r="BB50" s="481"/>
      <c r="BC50" s="481"/>
      <c r="BD50" s="481"/>
      <c r="BE50" s="481"/>
      <c r="BF50" s="637"/>
      <c r="BG50" s="79"/>
      <c r="BH50" s="79"/>
      <c r="BI50" s="79"/>
      <c r="BJ50" s="79"/>
      <c r="BK50" s="79"/>
      <c r="BL50" s="79"/>
      <c r="BM50" s="79"/>
      <c r="BN50" s="79"/>
      <c r="BO50" s="79"/>
      <c r="BP50" s="79"/>
      <c r="BQ50" s="79"/>
      <c r="BR50" s="53"/>
      <c r="BS50" s="53"/>
      <c r="BT50" s="53"/>
      <c r="BU50" s="53"/>
      <c r="BV50" s="53"/>
      <c r="BW50" s="53"/>
      <c r="BX50" s="53"/>
      <c r="BY50" s="53"/>
      <c r="BZ50" s="53"/>
      <c r="CA50" s="53"/>
      <c r="CB50" s="53"/>
      <c r="CC50" s="53"/>
      <c r="CD50" s="53"/>
      <c r="CE50" s="53"/>
      <c r="CF50" s="53"/>
      <c r="CG50" s="53"/>
      <c r="CH50" s="53"/>
      <c r="CI50" s="53"/>
      <c r="CJ50" s="53"/>
    </row>
    <row r="51" spans="2:88" ht="15.75">
      <c r="B51" s="53" t="s">
        <v>7593</v>
      </c>
      <c r="C51" s="53"/>
      <c r="D51" s="53"/>
      <c r="E51" s="53"/>
      <c r="F51" s="53"/>
      <c r="G51" s="53"/>
      <c r="H51" s="481"/>
      <c r="I51" s="481"/>
      <c r="J51" s="53"/>
      <c r="K51" s="53"/>
      <c r="L51" s="481"/>
      <c r="M51" s="481"/>
      <c r="N51" s="481"/>
      <c r="O51" s="481"/>
      <c r="P51" s="481"/>
      <c r="Q51" s="481"/>
      <c r="R51" s="481"/>
      <c r="S51" s="481"/>
      <c r="T51" s="481"/>
      <c r="U51" s="481"/>
      <c r="V51" s="481"/>
      <c r="W51" s="481"/>
      <c r="X51" s="481"/>
      <c r="Y51" s="54"/>
      <c r="Z51" s="54"/>
      <c r="AA51" s="54"/>
      <c r="AB51" s="481"/>
      <c r="AC51" s="53"/>
      <c r="AD51" s="53"/>
      <c r="AE51" s="53"/>
      <c r="AF51" s="481"/>
      <c r="AG51" s="481"/>
      <c r="AH51" s="621"/>
      <c r="AI51" s="621"/>
      <c r="AJ51" s="621"/>
      <c r="AK51" s="621"/>
      <c r="AL51" s="637"/>
      <c r="AM51" s="621"/>
      <c r="AN51" s="621"/>
      <c r="AO51" s="621"/>
      <c r="AP51" s="621"/>
      <c r="AQ51" s="637"/>
      <c r="AR51" s="621"/>
      <c r="AS51" s="621">
        <v>38.5</v>
      </c>
      <c r="AT51" s="621">
        <v>38.81</v>
      </c>
      <c r="AU51" s="621">
        <v>38.950000000000003</v>
      </c>
      <c r="AV51" s="1618"/>
      <c r="AW51" s="621">
        <v>40.479999999999997</v>
      </c>
      <c r="AX51" s="621">
        <v>39.75</v>
      </c>
      <c r="AY51" s="621">
        <v>40.72</v>
      </c>
      <c r="AZ51" s="481"/>
      <c r="BA51" s="637"/>
      <c r="BB51" s="481"/>
      <c r="BC51" s="481"/>
      <c r="BD51" s="481"/>
      <c r="BE51" s="481"/>
      <c r="BF51" s="637"/>
      <c r="BG51" s="79"/>
      <c r="BH51" s="79"/>
      <c r="BI51" s="79"/>
      <c r="BJ51" s="79"/>
      <c r="BK51" s="79"/>
      <c r="BL51" s="79"/>
      <c r="BM51" s="79"/>
      <c r="BN51" s="79"/>
      <c r="BO51" s="79"/>
      <c r="BP51" s="79"/>
      <c r="BQ51" s="79"/>
      <c r="BR51" s="53"/>
      <c r="BS51" s="53"/>
      <c r="BT51" s="53"/>
      <c r="BU51" s="53"/>
      <c r="BV51" s="53"/>
      <c r="BW51" s="53"/>
      <c r="BX51" s="53"/>
      <c r="BY51" s="53"/>
      <c r="BZ51" s="53"/>
      <c r="CA51" s="53"/>
      <c r="CB51" s="53"/>
      <c r="CC51" s="53"/>
      <c r="CD51" s="53"/>
      <c r="CE51" s="53"/>
      <c r="CF51" s="53"/>
      <c r="CG51" s="53"/>
      <c r="CH51" s="53"/>
      <c r="CI51" s="53"/>
      <c r="CJ51" s="53"/>
    </row>
    <row r="52" spans="2:88" ht="15.75">
      <c r="B52" s="53" t="s">
        <v>7594</v>
      </c>
      <c r="C52" s="53"/>
      <c r="D52" s="53"/>
      <c r="E52" s="53"/>
      <c r="F52" s="53"/>
      <c r="G52" s="53"/>
      <c r="H52" s="481"/>
      <c r="I52" s="481"/>
      <c r="J52" s="53"/>
      <c r="K52" s="53"/>
      <c r="L52" s="481"/>
      <c r="M52" s="481"/>
      <c r="N52" s="481"/>
      <c r="O52" s="481"/>
      <c r="P52" s="481"/>
      <c r="Q52" s="481"/>
      <c r="R52" s="481"/>
      <c r="S52" s="481"/>
      <c r="T52" s="481"/>
      <c r="U52" s="481"/>
      <c r="V52" s="481"/>
      <c r="W52" s="481"/>
      <c r="X52" s="481"/>
      <c r="Y52" s="54"/>
      <c r="Z52" s="54"/>
      <c r="AA52" s="54"/>
      <c r="AB52" s="481"/>
      <c r="AC52" s="53"/>
      <c r="AD52" s="53"/>
      <c r="AE52" s="53"/>
      <c r="AF52" s="481"/>
      <c r="AG52" s="481"/>
      <c r="AH52" s="621"/>
      <c r="AI52" s="621"/>
      <c r="AJ52" s="621"/>
      <c r="AK52" s="621"/>
      <c r="AL52" s="637"/>
      <c r="AM52" s="621"/>
      <c r="AN52" s="621"/>
      <c r="AO52" s="621"/>
      <c r="AP52" s="621"/>
      <c r="AQ52" s="637"/>
      <c r="AR52" s="621"/>
      <c r="AS52" s="54">
        <f t="shared" ref="AS52:AU52" si="52">AS50/AS51-1</f>
        <v>-0.16175994533500648</v>
      </c>
      <c r="AT52" s="54">
        <f t="shared" si="52"/>
        <v>-0.17996926024345683</v>
      </c>
      <c r="AU52" s="54">
        <f t="shared" si="52"/>
        <v>-0.20777602369952108</v>
      </c>
      <c r="AV52" s="1618"/>
      <c r="AW52" s="54">
        <f>AW50/AW51-1</f>
        <v>-0.16157297589906983</v>
      </c>
      <c r="AX52" s="54">
        <f>AX50/AX51-1</f>
        <v>-0.24709592005153602</v>
      </c>
      <c r="AY52" s="54">
        <f>AY50/AY51-1</f>
        <v>-0.20579421807434872</v>
      </c>
      <c r="AZ52" s="481"/>
      <c r="BA52" s="637"/>
      <c r="BB52" s="481"/>
      <c r="BC52" s="481"/>
      <c r="BD52" s="481"/>
      <c r="BE52" s="481"/>
      <c r="BF52" s="637"/>
      <c r="BG52" s="79"/>
      <c r="BH52" s="79"/>
      <c r="BI52" s="79"/>
      <c r="BJ52" s="79"/>
      <c r="BK52" s="79"/>
      <c r="BL52" s="79"/>
      <c r="BM52" s="79"/>
      <c r="BN52" s="79"/>
      <c r="BO52" s="79"/>
      <c r="BP52" s="79"/>
      <c r="BQ52" s="79"/>
      <c r="BR52" s="53"/>
      <c r="BS52" s="53"/>
      <c r="BT52" s="53"/>
      <c r="BU52" s="53"/>
      <c r="BV52" s="53"/>
      <c r="BW52" s="53"/>
      <c r="BX52" s="53"/>
      <c r="BY52" s="53"/>
      <c r="BZ52" s="53"/>
      <c r="CA52" s="53"/>
      <c r="CB52" s="53"/>
      <c r="CC52" s="53"/>
      <c r="CD52" s="53"/>
      <c r="CE52" s="53"/>
      <c r="CF52" s="53"/>
      <c r="CG52" s="53"/>
      <c r="CH52" s="53"/>
      <c r="CI52" s="53"/>
      <c r="CJ52" s="53"/>
    </row>
    <row r="53" spans="2:88" ht="15.75">
      <c r="B53" s="53"/>
      <c r="C53" s="53"/>
      <c r="D53" s="53"/>
      <c r="E53" s="53"/>
      <c r="F53" s="53"/>
      <c r="G53" s="53"/>
      <c r="H53" s="481"/>
      <c r="I53" s="481"/>
      <c r="J53" s="53"/>
      <c r="K53" s="53"/>
      <c r="L53" s="481"/>
      <c r="M53" s="481"/>
      <c r="N53" s="481"/>
      <c r="O53" s="481"/>
      <c r="P53" s="481"/>
      <c r="Q53" s="481"/>
      <c r="R53" s="481"/>
      <c r="S53" s="481"/>
      <c r="T53" s="481"/>
      <c r="U53" s="481"/>
      <c r="V53" s="481"/>
      <c r="W53" s="481"/>
      <c r="X53" s="481"/>
      <c r="Y53" s="54"/>
      <c r="Z53" s="54"/>
      <c r="AA53" s="54"/>
      <c r="AB53" s="481"/>
      <c r="AC53" s="53"/>
      <c r="AD53" s="53"/>
      <c r="AE53" s="53"/>
      <c r="AF53" s="481"/>
      <c r="AG53" s="481"/>
      <c r="AH53" s="481"/>
      <c r="AI53" s="481"/>
      <c r="AJ53" s="481"/>
      <c r="AK53" s="481"/>
      <c r="AL53" s="637"/>
      <c r="AM53" s="53"/>
      <c r="AN53" s="53"/>
      <c r="AO53" s="53"/>
      <c r="AP53" s="53"/>
      <c r="AQ53" s="637"/>
      <c r="AR53" s="53"/>
      <c r="AS53" s="53"/>
      <c r="AT53" s="53"/>
      <c r="AU53" s="53"/>
      <c r="AV53" s="637"/>
      <c r="AW53" s="53"/>
      <c r="AX53" s="53"/>
      <c r="AY53" s="53"/>
      <c r="AZ53" s="53"/>
      <c r="BA53" s="637"/>
      <c r="BB53" s="53"/>
      <c r="BC53" s="53"/>
      <c r="BD53" s="53"/>
      <c r="BE53" s="53"/>
      <c r="BF53" s="637"/>
      <c r="BG53" s="79"/>
      <c r="BH53" s="79"/>
      <c r="BI53" s="79"/>
      <c r="BJ53" s="79"/>
      <c r="BK53" s="79"/>
      <c r="BL53" s="79"/>
      <c r="BM53" s="79"/>
      <c r="BN53" s="79"/>
      <c r="BO53" s="79"/>
      <c r="BP53" s="79"/>
      <c r="BQ53" s="79"/>
      <c r="BR53" s="53"/>
      <c r="BS53" s="53"/>
      <c r="BT53" s="53"/>
      <c r="BU53" s="53"/>
      <c r="BV53" s="53"/>
      <c r="BW53" s="53"/>
      <c r="BX53" s="53"/>
      <c r="BY53" s="53"/>
      <c r="BZ53" s="53"/>
      <c r="CA53" s="53"/>
      <c r="CB53" s="53"/>
      <c r="CC53" s="53"/>
      <c r="CD53" s="53"/>
      <c r="CE53" s="53"/>
      <c r="CF53" s="53"/>
      <c r="CG53" s="53"/>
      <c r="CH53" s="53"/>
      <c r="CI53" s="53"/>
      <c r="CJ53" s="53"/>
    </row>
    <row r="54" spans="2:88" ht="15.75" outlineLevel="1">
      <c r="B54" s="78" t="s">
        <v>5947</v>
      </c>
      <c r="C54" s="53"/>
      <c r="D54" s="53"/>
      <c r="E54" s="53"/>
      <c r="F54" s="53"/>
      <c r="G54" s="53"/>
      <c r="H54" s="481"/>
      <c r="I54" s="481"/>
      <c r="J54" s="53"/>
      <c r="K54" s="53"/>
      <c r="L54" s="481"/>
      <c r="M54" s="481"/>
      <c r="N54" s="481"/>
      <c r="O54" s="481"/>
      <c r="P54" s="481">
        <f>'New quarts'!AS21</f>
        <v>-19.900000000000034</v>
      </c>
      <c r="Q54" s="481"/>
      <c r="R54" s="481"/>
      <c r="S54" s="481"/>
      <c r="T54" s="481"/>
      <c r="U54" s="481"/>
      <c r="V54" s="481"/>
      <c r="W54" s="481"/>
      <c r="X54" s="481"/>
      <c r="Y54" s="54"/>
      <c r="Z54" s="54"/>
      <c r="AA54" s="54"/>
      <c r="AB54" s="481"/>
      <c r="AC54" s="53"/>
      <c r="AD54" s="53"/>
      <c r="AE54" s="53"/>
      <c r="AF54" s="481"/>
      <c r="AG54" s="481"/>
      <c r="AH54" s="481"/>
      <c r="AI54" s="481"/>
      <c r="AJ54" s="481"/>
      <c r="AK54" s="481"/>
      <c r="AL54" s="637"/>
      <c r="AM54" s="53"/>
      <c r="AN54" s="53"/>
      <c r="AO54" s="53"/>
      <c r="AP54" s="53"/>
      <c r="AQ54" s="637"/>
      <c r="AR54" s="53"/>
      <c r="AS54" s="53"/>
      <c r="AT54" s="53"/>
      <c r="AU54" s="53"/>
      <c r="AV54" s="637"/>
      <c r="AW54" s="53"/>
      <c r="AX54" s="53"/>
      <c r="AY54" s="53"/>
      <c r="AZ54" s="53"/>
      <c r="BA54" s="637"/>
      <c r="BB54" s="53"/>
      <c r="BC54" s="53"/>
      <c r="BD54" s="53"/>
      <c r="BE54" s="53"/>
      <c r="BF54" s="637"/>
      <c r="BG54" s="79"/>
      <c r="BH54" s="79"/>
      <c r="BI54" s="79"/>
      <c r="BJ54" s="79"/>
      <c r="BK54" s="79"/>
      <c r="BL54" s="79"/>
      <c r="BM54" s="79"/>
      <c r="BN54" s="79"/>
      <c r="BO54" s="79"/>
      <c r="BP54" s="79"/>
      <c r="BQ54" s="79"/>
      <c r="BR54" s="53"/>
      <c r="BS54" s="53"/>
      <c r="BT54" s="53"/>
      <c r="BU54" s="53"/>
      <c r="BV54" s="53"/>
      <c r="BW54" s="53"/>
      <c r="BX54" s="53"/>
      <c r="BY54" s="53"/>
      <c r="BZ54" s="53"/>
      <c r="CA54" s="53"/>
      <c r="CB54" s="53"/>
      <c r="CC54" s="53"/>
      <c r="CD54" s="53"/>
      <c r="CE54" s="53"/>
      <c r="CF54" s="53"/>
      <c r="CG54" s="53"/>
      <c r="CH54" s="53"/>
      <c r="CI54" s="53"/>
      <c r="CJ54" s="53"/>
    </row>
    <row r="55" spans="2:88" ht="15.75" outlineLevel="1">
      <c r="B55" s="53" t="s">
        <v>5901</v>
      </c>
      <c r="C55" s="53"/>
      <c r="D55" s="53"/>
      <c r="E55" s="53"/>
      <c r="F55" s="53"/>
      <c r="G55" s="53"/>
      <c r="H55" s="481"/>
      <c r="I55" s="481"/>
      <c r="J55" s="53"/>
      <c r="K55" s="53"/>
      <c r="L55" s="481"/>
      <c r="M55" s="481"/>
      <c r="N55" s="481"/>
      <c r="O55" s="481"/>
      <c r="P55" s="481"/>
      <c r="Q55" s="481"/>
      <c r="R55" s="481"/>
      <c r="S55" s="481"/>
      <c r="T55" s="481"/>
      <c r="U55" s="481"/>
      <c r="V55" s="481"/>
      <c r="W55" s="481"/>
      <c r="X55" s="481"/>
      <c r="Y55" s="54"/>
      <c r="Z55" s="54"/>
      <c r="AA55" s="54"/>
      <c r="AB55" s="481"/>
      <c r="AC55" s="53"/>
      <c r="AD55" s="481"/>
      <c r="AE55" s="1494">
        <v>238</v>
      </c>
      <c r="AF55" s="481">
        <v>174</v>
      </c>
      <c r="AG55" s="481"/>
      <c r="AH55" s="481">
        <f>AH39</f>
        <v>189.5</v>
      </c>
      <c r="AI55" s="481">
        <f>AI39</f>
        <v>182.3</v>
      </c>
      <c r="AJ55" s="481">
        <f>AJ39</f>
        <v>177.3</v>
      </c>
      <c r="AK55" s="481">
        <f>AK39</f>
        <v>185.2</v>
      </c>
      <c r="AL55" s="481">
        <f>'Puerto Rico'!I59</f>
        <v>734.3</v>
      </c>
      <c r="AM55" s="481">
        <f>AM39</f>
        <v>180</v>
      </c>
      <c r="AN55" s="481">
        <f t="shared" ref="AN55:AP55" si="53">AN39</f>
        <v>175.5</v>
      </c>
      <c r="AO55" s="481">
        <f t="shared" si="53"/>
        <v>176.3</v>
      </c>
      <c r="AP55" s="481">
        <f t="shared" si="53"/>
        <v>184.59999999999997</v>
      </c>
      <c r="AQ55" s="481">
        <f>'Puerto Rico'!J59</f>
        <v>716.39999999999986</v>
      </c>
      <c r="AR55" s="481">
        <f t="shared" ref="AR55:AS55" si="54">AR39</f>
        <v>175.10000000000002</v>
      </c>
      <c r="AS55" s="481">
        <f t="shared" si="54"/>
        <v>157.69999999999999</v>
      </c>
      <c r="AT55" s="481">
        <f t="shared" ref="AT55:AU55" si="55">AT39</f>
        <v>158.1</v>
      </c>
      <c r="AU55" s="481">
        <f t="shared" si="55"/>
        <v>157.79999999999998</v>
      </c>
      <c r="AV55" s="481">
        <f>'Puerto Rico'!K59</f>
        <v>648.69999999999993</v>
      </c>
      <c r="AW55" s="481">
        <f t="shared" ref="AW55:AX55" si="56">AW39</f>
        <v>138</v>
      </c>
      <c r="AX55" s="481">
        <f t="shared" si="56"/>
        <v>122.6</v>
      </c>
      <c r="AY55" s="481">
        <f t="shared" ref="AY55" si="57">AY39</f>
        <v>125</v>
      </c>
      <c r="AZ55" s="643"/>
      <c r="BA55" s="481"/>
      <c r="BB55" s="643"/>
      <c r="BC55" s="643"/>
      <c r="BD55" s="643"/>
      <c r="BE55" s="643"/>
      <c r="BF55" s="481"/>
      <c r="BG55" s="79"/>
      <c r="BH55" s="79"/>
      <c r="BI55" s="79"/>
      <c r="BJ55" s="79"/>
      <c r="BK55" s="79"/>
      <c r="BL55" s="79"/>
      <c r="BM55" s="79"/>
      <c r="BN55" s="79"/>
      <c r="BO55" s="79"/>
      <c r="BP55" s="79"/>
      <c r="BQ55" s="79"/>
      <c r="BR55" s="53"/>
      <c r="BS55" s="53"/>
      <c r="BT55" s="53"/>
      <c r="BU55" s="53"/>
      <c r="BV55" s="53"/>
      <c r="BW55" s="53"/>
      <c r="BX55" s="53"/>
      <c r="BY55" s="53"/>
      <c r="BZ55" s="53"/>
      <c r="CA55" s="53"/>
      <c r="CB55" s="53"/>
      <c r="CC55" s="53"/>
      <c r="CD55" s="53"/>
      <c r="CE55" s="53"/>
      <c r="CF55" s="53"/>
      <c r="CG55" s="53"/>
      <c r="CH55" s="53"/>
      <c r="CI55" s="53"/>
      <c r="CJ55" s="53"/>
    </row>
    <row r="56" spans="2:88" ht="15.75" outlineLevel="1">
      <c r="B56" s="50" t="s">
        <v>5948</v>
      </c>
      <c r="C56" s="50"/>
      <c r="D56" s="50"/>
      <c r="E56" s="50"/>
      <c r="F56" s="50"/>
      <c r="G56" s="50"/>
      <c r="H56" s="638"/>
      <c r="I56" s="638"/>
      <c r="J56" s="50"/>
      <c r="K56" s="50"/>
      <c r="L56" s="638"/>
      <c r="M56" s="638"/>
      <c r="N56" s="638"/>
      <c r="O56" s="638"/>
      <c r="P56" s="638"/>
      <c r="Q56" s="638"/>
      <c r="R56" s="638"/>
      <c r="S56" s="638"/>
      <c r="T56" s="638"/>
      <c r="U56" s="638"/>
      <c r="V56" s="638"/>
      <c r="W56" s="638"/>
      <c r="X56" s="638"/>
      <c r="Y56" s="638"/>
      <c r="Z56" s="638"/>
      <c r="AA56" s="638"/>
      <c r="AB56" s="638"/>
      <c r="AC56" s="638">
        <f>AC19</f>
        <v>104.6</v>
      </c>
      <c r="AD56" s="638">
        <f>AD19</f>
        <v>109.1</v>
      </c>
      <c r="AE56" s="638">
        <v>114.1</v>
      </c>
      <c r="AF56" s="638">
        <f>AF19-AF55</f>
        <v>122</v>
      </c>
      <c r="AG56" s="638">
        <f>AG22</f>
        <v>3768.3282828282831</v>
      </c>
      <c r="AH56" s="638">
        <f>AH57-AH55</f>
        <v>171.8</v>
      </c>
      <c r="AI56" s="638">
        <f>AI57-AI55</f>
        <v>178.10000000000002</v>
      </c>
      <c r="AJ56" s="638">
        <f>AJ57-AJ55</f>
        <v>179.99999999999994</v>
      </c>
      <c r="AK56" s="638">
        <f>AK57-AK55</f>
        <v>190.8</v>
      </c>
      <c r="AL56" s="638">
        <f>'Puerto Rico'!I42</f>
        <v>720.7</v>
      </c>
      <c r="AM56" s="638">
        <f>AM57-AM55</f>
        <v>189.40000000000003</v>
      </c>
      <c r="AN56" s="638">
        <f t="shared" ref="AN56:AP56" si="58">AN57-AN55</f>
        <v>188.60000000000002</v>
      </c>
      <c r="AO56" s="638">
        <f t="shared" si="58"/>
        <v>190.59999999999997</v>
      </c>
      <c r="AP56" s="638">
        <f t="shared" si="58"/>
        <v>185.09999999999997</v>
      </c>
      <c r="AQ56" s="638">
        <f>'Puerto Rico'!J42</f>
        <v>753.7</v>
      </c>
      <c r="AR56" s="638">
        <f t="shared" ref="AR56:AS56" si="59">AR57-AR55</f>
        <v>190.7</v>
      </c>
      <c r="AS56" s="638">
        <f t="shared" si="59"/>
        <v>194.3</v>
      </c>
      <c r="AT56" s="638">
        <f t="shared" ref="AT56:AU56" si="60">AT57-AT55</f>
        <v>193.1</v>
      </c>
      <c r="AU56" s="638">
        <f t="shared" si="60"/>
        <v>195.70000000000002</v>
      </c>
      <c r="AV56" s="638">
        <f>'Puerto Rico'!K42</f>
        <v>773.80000000000007</v>
      </c>
      <c r="AW56" s="638">
        <f t="shared" ref="AW56:AX56" si="61">AW57-AW55</f>
        <v>188.90000000000003</v>
      </c>
      <c r="AX56" s="638">
        <f t="shared" si="61"/>
        <v>186.00000000000003</v>
      </c>
      <c r="AY56" s="638">
        <f t="shared" ref="AY56" si="62">AY57-AY55</f>
        <v>183.2</v>
      </c>
      <c r="AZ56" s="638"/>
      <c r="BA56" s="481"/>
      <c r="BB56" s="638"/>
      <c r="BC56" s="638"/>
      <c r="BD56" s="638"/>
      <c r="BE56" s="638"/>
      <c r="BF56" s="481"/>
      <c r="BG56" s="481"/>
      <c r="BH56" s="481"/>
      <c r="BI56" s="481"/>
      <c r="BJ56" s="481"/>
      <c r="BK56" s="481"/>
      <c r="BL56" s="481"/>
      <c r="BM56" s="481"/>
      <c r="BN56" s="481"/>
      <c r="BO56" s="481"/>
      <c r="BP56" s="481"/>
      <c r="BQ56" s="481"/>
      <c r="BR56" s="53"/>
      <c r="BS56" s="53"/>
      <c r="BT56" s="53"/>
      <c r="BU56" s="53"/>
      <c r="BV56" s="53"/>
      <c r="BW56" s="53"/>
      <c r="BX56" s="53"/>
      <c r="BY56" s="53"/>
      <c r="BZ56" s="53"/>
      <c r="CA56" s="53"/>
      <c r="CB56" s="53"/>
      <c r="CC56" s="53"/>
      <c r="CD56" s="53"/>
      <c r="CE56" s="53"/>
      <c r="CF56" s="53"/>
      <c r="CG56" s="53"/>
      <c r="CH56" s="53"/>
      <c r="CI56" s="53"/>
      <c r="CJ56" s="53"/>
    </row>
    <row r="57" spans="2:88" ht="15.75" outlineLevel="1">
      <c r="B57" s="53" t="s">
        <v>5953</v>
      </c>
      <c r="C57" s="53"/>
      <c r="D57" s="53"/>
      <c r="E57" s="53"/>
      <c r="F57" s="53"/>
      <c r="G57" s="53"/>
      <c r="H57" s="481"/>
      <c r="I57" s="481"/>
      <c r="J57" s="53"/>
      <c r="K57" s="53"/>
      <c r="L57" s="481"/>
      <c r="M57" s="481"/>
      <c r="N57" s="481"/>
      <c r="O57" s="481"/>
      <c r="P57" s="481"/>
      <c r="Q57" s="481"/>
      <c r="R57" s="481"/>
      <c r="S57" s="481"/>
      <c r="T57" s="481"/>
      <c r="U57" s="481"/>
      <c r="V57" s="481"/>
      <c r="W57" s="481"/>
      <c r="X57" s="481"/>
      <c r="Y57" s="481"/>
      <c r="Z57" s="481"/>
      <c r="AA57" s="481"/>
      <c r="AB57" s="481"/>
      <c r="AC57" s="481"/>
      <c r="AD57" s="481"/>
      <c r="AE57" s="481">
        <f>AE55+AE56</f>
        <v>352.1</v>
      </c>
      <c r="AF57" s="481">
        <f>AF55+AF56</f>
        <v>296</v>
      </c>
      <c r="AG57" s="481"/>
      <c r="AH57" s="481">
        <f>AH43</f>
        <v>361.3</v>
      </c>
      <c r="AI57" s="481">
        <f>AI43</f>
        <v>360.40000000000003</v>
      </c>
      <c r="AJ57" s="481">
        <f>AJ43</f>
        <v>357.29999999999995</v>
      </c>
      <c r="AK57" s="481">
        <f>AK43</f>
        <v>376</v>
      </c>
      <c r="AL57" s="481">
        <f t="shared" ref="AL57:AQ57" si="63">AL55+AL56</f>
        <v>1455</v>
      </c>
      <c r="AM57" s="481">
        <f>AM43</f>
        <v>369.40000000000003</v>
      </c>
      <c r="AN57" s="481">
        <f>AN43</f>
        <v>364.1</v>
      </c>
      <c r="AO57" s="481">
        <f>AO43</f>
        <v>366.9</v>
      </c>
      <c r="AP57" s="481">
        <f>AP43</f>
        <v>369.69999999999993</v>
      </c>
      <c r="AQ57" s="481">
        <f t="shared" si="63"/>
        <v>1470.1</v>
      </c>
      <c r="AR57" s="481">
        <f>AR43</f>
        <v>365.8</v>
      </c>
      <c r="AS57" s="481">
        <f>AS43</f>
        <v>352</v>
      </c>
      <c r="AT57" s="481">
        <f>AT43</f>
        <v>351.2</v>
      </c>
      <c r="AU57" s="481">
        <f>AU43</f>
        <v>353.5</v>
      </c>
      <c r="AV57" s="481">
        <f t="shared" ref="AV57" si="64">AV55+AV56</f>
        <v>1422.5</v>
      </c>
      <c r="AW57" s="481">
        <f>AW43</f>
        <v>326.90000000000003</v>
      </c>
      <c r="AX57" s="481">
        <f>AX43</f>
        <v>308.60000000000002</v>
      </c>
      <c r="AY57" s="481">
        <f>AY43</f>
        <v>308.2</v>
      </c>
      <c r="AZ57" s="481">
        <f>AZ43</f>
        <v>335.10280000000006</v>
      </c>
      <c r="BA57" s="481"/>
      <c r="BB57" s="481"/>
      <c r="BC57" s="481"/>
      <c r="BD57" s="481"/>
      <c r="BE57" s="481"/>
      <c r="BF57" s="481"/>
      <c r="BG57" s="481"/>
      <c r="BH57" s="481"/>
      <c r="BI57" s="481"/>
      <c r="BJ57" s="481"/>
      <c r="BK57" s="481"/>
      <c r="BL57" s="481"/>
      <c r="BM57" s="481"/>
      <c r="BN57" s="481"/>
      <c r="BO57" s="481"/>
      <c r="BP57" s="481"/>
      <c r="BQ57" s="481"/>
      <c r="BR57" s="53"/>
      <c r="BS57" s="53"/>
      <c r="BT57" s="53"/>
      <c r="BU57" s="53"/>
      <c r="BV57" s="53"/>
      <c r="BW57" s="53"/>
      <c r="BX57" s="53"/>
      <c r="BY57" s="53"/>
      <c r="BZ57" s="53"/>
      <c r="CA57" s="53"/>
      <c r="CB57" s="53"/>
      <c r="CC57" s="53"/>
      <c r="CD57" s="53"/>
      <c r="CE57" s="53"/>
      <c r="CF57" s="53"/>
      <c r="CG57" s="53"/>
      <c r="CH57" s="53"/>
      <c r="CI57" s="53"/>
      <c r="CJ57" s="53"/>
    </row>
    <row r="58" spans="2:88" ht="15.75" outlineLevel="1">
      <c r="B58" s="53"/>
      <c r="C58" s="53"/>
      <c r="H58" s="481"/>
      <c r="I58" s="481"/>
      <c r="J58" s="53"/>
      <c r="K58" s="53"/>
      <c r="L58" s="481"/>
      <c r="M58" s="481"/>
      <c r="N58" s="481"/>
      <c r="O58" s="481"/>
      <c r="P58" s="481"/>
      <c r="Q58" s="481"/>
      <c r="R58" s="481"/>
      <c r="S58" s="481"/>
      <c r="T58" s="481"/>
      <c r="U58" s="481"/>
      <c r="V58" s="56"/>
      <c r="W58" s="481"/>
      <c r="X58" s="481"/>
      <c r="Y58" s="481"/>
      <c r="Z58" s="481"/>
      <c r="AA58" s="481"/>
      <c r="AB58" s="481"/>
      <c r="AC58" s="56"/>
      <c r="AD58" s="56"/>
      <c r="AE58" s="56"/>
      <c r="AF58" s="481"/>
      <c r="AH58" s="56"/>
      <c r="AI58" s="56"/>
      <c r="AJ58" s="56"/>
      <c r="AK58" s="56"/>
      <c r="AL58" s="637"/>
      <c r="AM58" s="56"/>
      <c r="AN58" s="56"/>
      <c r="AO58" s="56"/>
      <c r="AP58" s="56"/>
      <c r="AQ58" s="637"/>
      <c r="AR58" s="56"/>
      <c r="AS58" s="56"/>
      <c r="AT58" s="56"/>
      <c r="AU58" s="56"/>
      <c r="AV58" s="481"/>
      <c r="AW58" s="56"/>
      <c r="AX58" s="56"/>
      <c r="AY58" s="56"/>
      <c r="AZ58" s="56"/>
      <c r="BA58" s="481"/>
      <c r="BB58" s="56"/>
      <c r="BC58" s="56"/>
      <c r="BD58" s="56"/>
      <c r="BE58" s="56"/>
      <c r="BF58" s="481"/>
      <c r="BG58" s="56"/>
      <c r="BH58" s="56"/>
      <c r="BI58" s="56"/>
      <c r="BJ58" s="56"/>
      <c r="BK58" s="56"/>
      <c r="BL58" s="56"/>
      <c r="BM58" s="56"/>
      <c r="BN58" s="56"/>
      <c r="BO58" s="56"/>
      <c r="BP58" s="56"/>
      <c r="BQ58" s="56"/>
    </row>
    <row r="59" spans="2:88" ht="15.75">
      <c r="B59" s="53" t="s">
        <v>1492</v>
      </c>
      <c r="C59" s="53"/>
      <c r="H59" s="481"/>
      <c r="I59" s="481"/>
      <c r="J59" s="53"/>
      <c r="K59" s="53"/>
      <c r="L59" s="481"/>
      <c r="M59" s="481"/>
      <c r="N59" s="481"/>
      <c r="O59" s="481">
        <v>128.58661230769226</v>
      </c>
      <c r="P59" s="481">
        <v>129.06091384615385</v>
      </c>
      <c r="Q59" s="481">
        <v>128.49656923076921</v>
      </c>
      <c r="R59" s="481">
        <v>126.44111538461539</v>
      </c>
      <c r="S59" s="481">
        <v>125.79544769230772</v>
      </c>
      <c r="T59" s="481">
        <v>127.22904</v>
      </c>
      <c r="U59" s="481">
        <v>134.83354153846159</v>
      </c>
      <c r="V59" s="481">
        <v>129</v>
      </c>
      <c r="W59" s="481">
        <f>AVERAGE(S59:V59)</f>
        <v>129.21450730769232</v>
      </c>
      <c r="X59" s="481">
        <v>129.96470468750005</v>
      </c>
      <c r="Y59" s="481">
        <v>132.09560307692306</v>
      </c>
      <c r="Z59" s="481">
        <v>135</v>
      </c>
      <c r="AA59" s="481">
        <v>137</v>
      </c>
      <c r="AB59" s="481">
        <f>'New Format'!F28</f>
        <v>133</v>
      </c>
      <c r="AC59" s="728">
        <v>136.76649230769232</v>
      </c>
      <c r="AD59" s="728">
        <v>141.17073692307693</v>
      </c>
      <c r="AE59" s="728">
        <v>145.45759393939394</v>
      </c>
      <c r="AF59" s="728">
        <v>145</v>
      </c>
      <c r="AG59" s="481">
        <f>'New Format'!G28</f>
        <v>142</v>
      </c>
      <c r="AH59" s="728">
        <v>147.11223749999996</v>
      </c>
      <c r="AI59" s="728">
        <v>149.98867538461536</v>
      </c>
      <c r="AJ59" s="728">
        <v>151.91724242424246</v>
      </c>
      <c r="AK59" s="728">
        <v>153</v>
      </c>
      <c r="AL59" s="637"/>
      <c r="AM59" s="728">
        <v>154.83766718750002</v>
      </c>
      <c r="AN59" s="728">
        <v>153.97727538461538</v>
      </c>
      <c r="AO59" s="728">
        <v>151.60508787878788</v>
      </c>
      <c r="AP59" s="728">
        <v>153.26501692307696</v>
      </c>
      <c r="AQ59" s="637"/>
      <c r="AR59" s="728">
        <v>153</v>
      </c>
      <c r="AS59" s="728">
        <v>153</v>
      </c>
      <c r="AT59" s="728">
        <v>154</v>
      </c>
      <c r="AU59" s="728">
        <v>154</v>
      </c>
      <c r="AV59" s="643"/>
      <c r="AW59" s="728">
        <v>154.71362615384618</v>
      </c>
      <c r="AX59" s="728">
        <v>155.36776307692304</v>
      </c>
      <c r="AY59" s="728">
        <v>156.55930606060602</v>
      </c>
      <c r="AZ59" s="728"/>
      <c r="BA59" s="643"/>
      <c r="BB59" s="728"/>
      <c r="BC59" s="728"/>
      <c r="BD59" s="728"/>
      <c r="BE59" s="728"/>
      <c r="BF59" s="643"/>
      <c r="BG59" s="53"/>
      <c r="BH59" s="53"/>
      <c r="BI59" s="53"/>
    </row>
    <row r="60" spans="2:88" ht="15.75">
      <c r="B60" s="53" t="s">
        <v>4595</v>
      </c>
      <c r="C60" s="53"/>
      <c r="H60" s="481"/>
      <c r="I60" s="481"/>
      <c r="J60" s="53"/>
      <c r="K60" s="53"/>
      <c r="L60" s="481"/>
      <c r="M60" s="481"/>
      <c r="N60" s="481"/>
      <c r="O60" s="481">
        <f t="shared" ref="O60:AK60" si="65">O5*O59</f>
        <v>10749.840788923073</v>
      </c>
      <c r="P60" s="481">
        <f t="shared" si="65"/>
        <v>11344.454327076925</v>
      </c>
      <c r="Q60" s="481">
        <f t="shared" si="65"/>
        <v>11436.19466153846</v>
      </c>
      <c r="R60" s="481">
        <f t="shared" si="65"/>
        <v>11619.938503846155</v>
      </c>
      <c r="S60" s="481">
        <f t="shared" si="65"/>
        <v>11132.897120769234</v>
      </c>
      <c r="T60" s="481">
        <f t="shared" si="65"/>
        <v>10979.866151999999</v>
      </c>
      <c r="U60" s="481">
        <f t="shared" si="65"/>
        <v>12188.952155076928</v>
      </c>
      <c r="V60" s="481">
        <f t="shared" si="65"/>
        <v>12435.6</v>
      </c>
      <c r="W60" s="481">
        <f t="shared" si="65"/>
        <v>46723.965842461541</v>
      </c>
      <c r="X60" s="481">
        <f t="shared" si="65"/>
        <v>12086.717535937505</v>
      </c>
      <c r="Y60" s="481">
        <f t="shared" si="65"/>
        <v>13117.093385538459</v>
      </c>
      <c r="Z60" s="481">
        <f t="shared" si="65"/>
        <v>12865.5</v>
      </c>
      <c r="AA60" s="481">
        <f t="shared" si="65"/>
        <v>13152.000000000002</v>
      </c>
      <c r="AB60" s="481">
        <f t="shared" si="65"/>
        <v>51018.8</v>
      </c>
      <c r="AC60" s="481">
        <f t="shared" si="65"/>
        <v>13143.259910769231</v>
      </c>
      <c r="AD60" s="481">
        <f t="shared" si="65"/>
        <v>12366.556554461538</v>
      </c>
      <c r="AE60" s="481">
        <f t="shared" si="65"/>
        <v>13643.922311515151</v>
      </c>
      <c r="AF60" s="481">
        <f t="shared" si="65"/>
        <v>14209.999999999998</v>
      </c>
      <c r="AG60" s="481">
        <f t="shared" si="65"/>
        <v>53392</v>
      </c>
      <c r="AH60" s="481">
        <f t="shared" si="65"/>
        <v>14314.020708749997</v>
      </c>
      <c r="AI60" s="481">
        <f t="shared" si="65"/>
        <v>14908.874333230768</v>
      </c>
      <c r="AJ60" s="481">
        <f t="shared" si="65"/>
        <v>15282.87458787879</v>
      </c>
      <c r="AK60" s="481">
        <f t="shared" si="65"/>
        <v>16019.099999999999</v>
      </c>
      <c r="AL60" s="53"/>
      <c r="AM60" s="481">
        <f>AM5*AM59</f>
        <v>16226.987521250001</v>
      </c>
      <c r="AN60" s="481">
        <f>AN5*AN59</f>
        <v>16213.807097999999</v>
      </c>
      <c r="AO60" s="481">
        <f>AO5*AO59</f>
        <v>16449.152034848485</v>
      </c>
      <c r="AP60" s="481">
        <f>AP5*AP59</f>
        <v>16889.80486492308</v>
      </c>
      <c r="AQ60" s="53"/>
      <c r="AR60" s="481">
        <f>AR5*AR59</f>
        <v>15116.4</v>
      </c>
      <c r="AS60" s="481">
        <f>AS5*AS59</f>
        <v>15238.8</v>
      </c>
      <c r="AT60" s="481">
        <f>AT5*AT59</f>
        <v>15892.800000000001</v>
      </c>
      <c r="AU60" s="481">
        <f>AU5*AU59</f>
        <v>16031.399999999998</v>
      </c>
      <c r="AV60" s="481"/>
      <c r="AW60" s="481">
        <f>AW5*AW59</f>
        <v>15672.490329384618</v>
      </c>
      <c r="AX60" s="481">
        <f>AX5*AX59</f>
        <v>16158.247359999996</v>
      </c>
      <c r="AY60" s="481">
        <f>AY5*AY59</f>
        <v>16141.26445484848</v>
      </c>
      <c r="AZ60" s="481"/>
      <c r="BA60" s="481"/>
      <c r="BB60" s="481"/>
      <c r="BC60" s="481"/>
      <c r="BD60" s="481"/>
      <c r="BE60" s="481"/>
      <c r="BF60" s="481"/>
      <c r="BG60" s="53"/>
      <c r="BH60" s="53"/>
      <c r="BI60" s="53"/>
      <c r="BQ60" s="54"/>
      <c r="BR60" s="54"/>
      <c r="BS60" s="54"/>
      <c r="BT60" s="54"/>
    </row>
    <row r="61" spans="2:88" ht="15.75">
      <c r="B61" s="53" t="s">
        <v>4597</v>
      </c>
      <c r="C61" s="53"/>
      <c r="H61" s="481"/>
      <c r="I61" s="481"/>
      <c r="J61" s="53"/>
      <c r="K61" s="53"/>
      <c r="L61" s="481"/>
      <c r="M61" s="481"/>
      <c r="N61" s="481"/>
      <c r="O61" s="481"/>
      <c r="P61" s="481"/>
      <c r="Q61" s="481"/>
      <c r="R61" s="481"/>
      <c r="S61" s="481"/>
      <c r="T61" s="481"/>
      <c r="U61" s="481"/>
      <c r="V61" s="481"/>
      <c r="W61" s="481"/>
      <c r="X61" s="56">
        <f>X60/S60-1</f>
        <v>8.5675849226060752E-2</v>
      </c>
      <c r="Y61" s="56">
        <f>Y60/T60-1</f>
        <v>0.19464966184029131</v>
      </c>
      <c r="Z61" s="56">
        <f>Z60/U60-1</f>
        <v>5.5505004557859117E-2</v>
      </c>
      <c r="AA61" s="56">
        <f>AA60/V60-1</f>
        <v>5.7608800540384086E-2</v>
      </c>
      <c r="AB61" s="481"/>
      <c r="AC61" s="56">
        <f>AC60/X60-1</f>
        <v>8.7413507570628823E-2</v>
      </c>
      <c r="AD61" s="56">
        <f>AD60/Y60-1</f>
        <v>-5.7218227317370807E-2</v>
      </c>
      <c r="AE61" s="56">
        <f>AE60/Z60-1</f>
        <v>6.0504629553080003E-2</v>
      </c>
      <c r="AF61" s="56">
        <f>AF60/AA60-1</f>
        <v>8.0444038929440076E-2</v>
      </c>
      <c r="AG61" s="481"/>
      <c r="AH61" s="56">
        <f>AH60/AC60-1</f>
        <v>8.9076896137576522E-2</v>
      </c>
      <c r="AI61" s="56">
        <f>AI60/AD60-1</f>
        <v>0.20558008751854429</v>
      </c>
      <c r="AJ61" s="56">
        <f>AJ60/AE60-1</f>
        <v>0.12012324894142812</v>
      </c>
      <c r="AK61" s="56">
        <f>AK60/AF60-1</f>
        <v>0.12731175228712188</v>
      </c>
      <c r="AL61" s="637"/>
      <c r="AM61" s="56">
        <f>AM60/AH60-1</f>
        <v>0.13364287026150734</v>
      </c>
      <c r="AN61" s="56">
        <f>AN60/AI60-1</f>
        <v>8.7527249583198463E-2</v>
      </c>
      <c r="AO61" s="56">
        <f>AO60/AJ60-1</f>
        <v>7.6312701531601634E-2</v>
      </c>
      <c r="AP61" s="56">
        <f>AP60/AK60-1</f>
        <v>5.4354168768725009E-2</v>
      </c>
      <c r="AQ61" s="637"/>
      <c r="AR61" s="56">
        <f>AR60/AM60-1</f>
        <v>-6.8440770031753306E-2</v>
      </c>
      <c r="AS61" s="56">
        <f>AS60/AN60-1</f>
        <v>-6.0134371409924392E-2</v>
      </c>
      <c r="AT61" s="56">
        <f>AT60/AO60-1</f>
        <v>-3.3822535877218396E-2</v>
      </c>
      <c r="AU61" s="56">
        <f>AU60/AP60-1</f>
        <v>-5.0823847391264221E-2</v>
      </c>
      <c r="AV61" s="56"/>
      <c r="AW61" s="56">
        <f>AW60/AR60-1</f>
        <v>3.678721979999322E-2</v>
      </c>
      <c r="AX61" s="56">
        <f>AX60/AS60-1</f>
        <v>6.033594246266083E-2</v>
      </c>
      <c r="AY61" s="56">
        <f>AY60/AT60-1</f>
        <v>1.56337747186448E-2</v>
      </c>
      <c r="AZ61" s="56"/>
      <c r="BA61" s="56"/>
      <c r="BB61" s="56"/>
      <c r="BC61" s="56"/>
      <c r="BD61" s="56"/>
      <c r="BE61" s="56"/>
      <c r="BF61" s="56"/>
      <c r="BG61" s="53"/>
      <c r="BH61" s="53"/>
      <c r="BI61" s="53"/>
      <c r="BQ61" s="54"/>
      <c r="BR61" s="54"/>
      <c r="BS61" s="54"/>
      <c r="BT61" s="54"/>
    </row>
    <row r="62" spans="2:88" ht="15.75">
      <c r="B62" s="53" t="s">
        <v>4913</v>
      </c>
      <c r="C62" s="53"/>
      <c r="H62" s="481"/>
      <c r="I62" s="481"/>
      <c r="J62" s="53"/>
      <c r="K62" s="53"/>
      <c r="L62" s="481"/>
      <c r="M62" s="481"/>
      <c r="N62" s="481"/>
      <c r="O62" s="481"/>
      <c r="P62" s="481"/>
      <c r="Q62" s="481"/>
      <c r="R62" s="481"/>
      <c r="S62" s="481"/>
      <c r="T62" s="481"/>
      <c r="U62" s="481"/>
      <c r="V62" s="481"/>
      <c r="W62" s="481"/>
      <c r="X62" s="56"/>
      <c r="Y62" s="56"/>
      <c r="Z62" s="56"/>
      <c r="AA62" s="56"/>
      <c r="AB62" s="481"/>
      <c r="AC62" s="56">
        <f>-((AC60/X59)-AC5)/X17</f>
        <v>-8.8267044648446744E-3</v>
      </c>
      <c r="AD62" s="56">
        <f>-((AD60/Y59)-AD5)/Y17</f>
        <v>-9.9212496330120126E-3</v>
      </c>
      <c r="AE62" s="56">
        <f>-((AE60/Z59)-AE5)/Z17</f>
        <v>-1.2193474066804036E-2</v>
      </c>
      <c r="AF62" s="56">
        <f>-((AF60/AA59)-AF5)/AA17</f>
        <v>-9.2719179151430249E-3</v>
      </c>
      <c r="AG62" s="481"/>
      <c r="AH62" s="56">
        <f>-((AH60/AC59)-AH5)/AC17</f>
        <v>-1.250473958345414E-2</v>
      </c>
      <c r="AI62" s="56">
        <f>-((AI60/AD59)-AI5)/AD17</f>
        <v>-1.2048933954248905E-2</v>
      </c>
      <c r="AJ62" s="56">
        <f>-((AJ60/AE59)-AJ5)/AE17</f>
        <v>-8.2901479879494474E-3</v>
      </c>
      <c r="AK62" s="56">
        <f>-((AK60/AF59)-AK5)/AF17</f>
        <v>-1.0370828948183001E-2</v>
      </c>
      <c r="AL62" s="637"/>
      <c r="AM62" s="56">
        <f>-((AM60/AH59)-AM5)/AH17</f>
        <v>-9.9736340638721735E-3</v>
      </c>
      <c r="AN62" s="56">
        <f>-((AN60/AI59)-AN5)/AI17</f>
        <v>-4.984351385848961E-3</v>
      </c>
      <c r="AO62" s="56">
        <f>-((AO60/AJ59)-AO5)/AJ17</f>
        <v>3.9570860120851021E-4</v>
      </c>
      <c r="AP62" s="56">
        <f>-((AP60/AK59)-AP5)/AK17</f>
        <v>-3.0713028171440123E-4</v>
      </c>
      <c r="AQ62" s="637"/>
      <c r="AR62" s="56">
        <f>-((AR60/AM59)-AR5)/AM17</f>
        <v>1.9887935877336347E-3</v>
      </c>
      <c r="AS62" s="56">
        <f>-((AS60/AN59)-AS5)/AN17</f>
        <v>1.0287214149146213E-3</v>
      </c>
      <c r="AT62" s="56">
        <f>-((AT60/AO59)-AT5)/AO17</f>
        <v>-2.5734094038228693E-3</v>
      </c>
      <c r="AU62" s="56">
        <f>-((AU60/AP59)-AU5)/AP17</f>
        <v>-7.2067564238877579E-4</v>
      </c>
      <c r="AV62" s="56"/>
      <c r="AW62" s="56">
        <f>-((AW60/AR59)-AW5)/AR17</f>
        <v>-1.8072273275555018E-3</v>
      </c>
      <c r="AX62" s="56">
        <f>-((AX60/AS59)-AX5)/AS17</f>
        <v>-2.4545674382812428E-3</v>
      </c>
      <c r="AY62" s="56">
        <f>-((AY60/AT59)-AY5)/AT17</f>
        <v>-2.5827638694063439E-3</v>
      </c>
      <c r="AZ62" s="56"/>
      <c r="BA62" s="56"/>
      <c r="BB62" s="56"/>
      <c r="BC62" s="56"/>
      <c r="BD62" s="56"/>
      <c r="BE62" s="56"/>
      <c r="BF62" s="56"/>
      <c r="BG62" s="53"/>
      <c r="BH62" s="53"/>
      <c r="BI62" s="53"/>
      <c r="BQ62" s="54"/>
      <c r="BR62" s="54"/>
      <c r="BS62" s="54"/>
      <c r="BT62" s="54"/>
    </row>
    <row r="63" spans="2:88" ht="15.75">
      <c r="AG63" s="481"/>
      <c r="AL63" s="637"/>
      <c r="AQ63" s="637"/>
      <c r="AV63" s="56"/>
      <c r="BA63" s="56"/>
      <c r="BF63" s="56"/>
      <c r="BG63" s="53"/>
      <c r="BH63" s="53"/>
      <c r="BI63" s="53"/>
      <c r="BQ63" s="54"/>
      <c r="BR63" s="54"/>
      <c r="BS63" s="54"/>
      <c r="BT63" s="54"/>
    </row>
    <row r="64" spans="2:88" ht="15.75">
      <c r="B64" s="53" t="s">
        <v>4594</v>
      </c>
      <c r="C64" s="53"/>
      <c r="H64" s="481"/>
      <c r="I64" s="481"/>
      <c r="J64" s="53"/>
      <c r="K64" s="53"/>
      <c r="L64" s="481"/>
      <c r="M64" s="481"/>
      <c r="N64" s="481"/>
      <c r="O64" s="481"/>
      <c r="P64" s="481"/>
      <c r="Q64" s="481"/>
      <c r="R64" s="481"/>
      <c r="S64" s="481">
        <v>569.22953846153848</v>
      </c>
      <c r="T64" s="481">
        <v>566.62030769230785</v>
      </c>
      <c r="U64" s="481">
        <v>572.61307692307685</v>
      </c>
      <c r="V64" s="481">
        <v>603.16757575757583</v>
      </c>
      <c r="W64" s="481"/>
      <c r="X64" s="481">
        <v>607.33546874999979</v>
      </c>
      <c r="Y64" s="481">
        <v>593.50430769230752</v>
      </c>
      <c r="Z64" s="481">
        <v>574.66621212121242</v>
      </c>
      <c r="AA64" s="481">
        <v>575.43287878787862</v>
      </c>
      <c r="AB64" s="481"/>
      <c r="AC64" s="481"/>
      <c r="AD64" s="481"/>
      <c r="AE64" s="481"/>
      <c r="AF64" s="481"/>
      <c r="AG64" s="481"/>
      <c r="AH64" s="481"/>
      <c r="AI64" s="481"/>
      <c r="AJ64" s="481"/>
      <c r="AK64" s="481"/>
      <c r="AL64" s="637"/>
      <c r="AM64" s="481">
        <v>644.64875000000018</v>
      </c>
      <c r="AN64" s="481">
        <v>674.25738461538469</v>
      </c>
      <c r="AO64" s="481">
        <v>660.28681818181803</v>
      </c>
      <c r="AP64" s="481">
        <v>609.4829230769227</v>
      </c>
      <c r="AQ64" s="637"/>
      <c r="AR64" s="481">
        <v>562</v>
      </c>
      <c r="AS64" s="481">
        <v>541</v>
      </c>
      <c r="AT64" s="481">
        <v>541</v>
      </c>
      <c r="AU64" s="481">
        <v>531</v>
      </c>
      <c r="AV64" s="56"/>
      <c r="AW64" s="481">
        <v>514.24692307692317</v>
      </c>
      <c r="AX64" s="481">
        <v>513.98430769230754</v>
      </c>
      <c r="AY64" s="481">
        <v>523.24151515151493</v>
      </c>
      <c r="AZ64" s="481">
        <v>519</v>
      </c>
      <c r="BA64" s="56"/>
      <c r="BB64" s="481"/>
      <c r="BC64" s="481"/>
      <c r="BD64" s="481"/>
      <c r="BE64" s="481"/>
      <c r="BF64" s="56"/>
      <c r="BG64" s="53"/>
      <c r="BH64" s="53"/>
      <c r="BI64" s="53"/>
      <c r="BQ64" s="54"/>
      <c r="BR64" s="54"/>
      <c r="BS64" s="54"/>
      <c r="BT64" s="54"/>
    </row>
    <row r="65" spans="2:61" ht="15.75">
      <c r="B65" s="53" t="s">
        <v>4596</v>
      </c>
      <c r="C65" s="53"/>
      <c r="H65" s="481"/>
      <c r="I65" s="481"/>
      <c r="J65" s="53"/>
      <c r="K65" s="53"/>
      <c r="L65" s="481"/>
      <c r="M65" s="481"/>
      <c r="N65" s="481"/>
      <c r="O65" s="481"/>
      <c r="P65" s="481"/>
      <c r="Q65" s="481"/>
      <c r="R65" s="481"/>
      <c r="S65" s="56"/>
      <c r="T65" s="56"/>
      <c r="U65" s="56"/>
      <c r="V65" s="481">
        <f>V60*V20</f>
        <v>405400.56000000006</v>
      </c>
      <c r="W65" s="56"/>
      <c r="X65" s="481">
        <f>X60*X20</f>
        <v>392818.31991796894</v>
      </c>
      <c r="Y65" s="481">
        <f>Y60*Y20</f>
        <v>426305.53502999991</v>
      </c>
      <c r="Z65" s="481">
        <f>Z60*Z20</f>
        <v>428421.14999999997</v>
      </c>
      <c r="AA65" s="481">
        <f>AA60*AA20</f>
        <v>452428.79999999993</v>
      </c>
      <c r="AB65" s="481"/>
      <c r="AG65" s="481"/>
      <c r="AL65" s="637"/>
      <c r="AM65">
        <f>AM20*AM64</f>
        <v>69235.27575000003</v>
      </c>
      <c r="AN65">
        <f t="shared" ref="AN65:AS65" si="66">AN20*AN64</f>
        <v>72819.797538461542</v>
      </c>
      <c r="AO65">
        <f t="shared" si="66"/>
        <v>72103.320545454524</v>
      </c>
      <c r="AP65">
        <f t="shared" si="66"/>
        <v>71126.657123076875</v>
      </c>
      <c r="AQ65" s="637"/>
      <c r="AR65">
        <f t="shared" si="66"/>
        <v>72610.399999999994</v>
      </c>
      <c r="AS65">
        <f t="shared" si="66"/>
        <v>73143.199999999997</v>
      </c>
      <c r="AT65">
        <f t="shared" ref="AT65:AU65" si="67">AT20*AT64</f>
        <v>72818.599999999991</v>
      </c>
      <c r="AU65">
        <f t="shared" si="67"/>
        <v>79065.900000000009</v>
      </c>
      <c r="AV65" s="481"/>
      <c r="AW65">
        <f t="shared" ref="AW65:AZ65" si="68">AW20*AW64</f>
        <v>78319.806384615411</v>
      </c>
      <c r="AX65">
        <f t="shared" si="68"/>
        <v>75658.490092307664</v>
      </c>
      <c r="AY65">
        <f t="shared" si="68"/>
        <v>76131.640454545428</v>
      </c>
      <c r="AZ65" s="16">
        <f t="shared" si="68"/>
        <v>73715.061258852147</v>
      </c>
      <c r="BA65" s="481"/>
      <c r="BB65" s="16"/>
      <c r="BC65" s="16"/>
      <c r="BD65" s="16"/>
      <c r="BE65" s="16"/>
      <c r="BF65" s="481"/>
      <c r="BG65" s="53"/>
      <c r="BH65" s="53"/>
      <c r="BI65" s="53"/>
    </row>
    <row r="66" spans="2:61" ht="15.75">
      <c r="B66" s="53" t="s">
        <v>4597</v>
      </c>
      <c r="C66" s="53"/>
      <c r="H66" s="481"/>
      <c r="I66" s="481"/>
      <c r="J66" s="53"/>
      <c r="K66" s="53"/>
      <c r="L66" s="481"/>
      <c r="M66" s="481"/>
      <c r="N66" s="481"/>
      <c r="O66" s="481"/>
      <c r="P66" s="481"/>
      <c r="Q66" s="481"/>
      <c r="R66" s="481"/>
      <c r="S66" s="56"/>
      <c r="T66" s="56"/>
      <c r="U66" s="56"/>
      <c r="V66" s="481"/>
      <c r="W66" s="56"/>
      <c r="X66" s="481"/>
      <c r="Y66" s="481"/>
      <c r="Z66" s="481"/>
      <c r="AA66" s="56">
        <f>AA65/V65-1</f>
        <v>0.11600437848433143</v>
      </c>
      <c r="AB66" s="481"/>
      <c r="AC66" s="481"/>
      <c r="AD66" s="481"/>
      <c r="AE66" s="481"/>
      <c r="AF66" s="481"/>
      <c r="AG66" s="481"/>
      <c r="AH66" s="481"/>
      <c r="AI66" s="481"/>
      <c r="AJ66" s="481"/>
      <c r="AK66" s="481"/>
      <c r="AL66" s="637"/>
      <c r="AM66" s="481"/>
      <c r="AN66" s="481"/>
      <c r="AO66" s="481"/>
      <c r="AP66" s="481"/>
      <c r="AQ66" s="637"/>
      <c r="AR66" s="481"/>
      <c r="AS66" s="481"/>
      <c r="AT66" s="481"/>
      <c r="AU66" s="481"/>
      <c r="AV66" s="481"/>
      <c r="AW66" s="481"/>
      <c r="AX66" s="481"/>
      <c r="AY66" s="481"/>
      <c r="AZ66" s="481"/>
      <c r="BA66" s="481"/>
      <c r="BB66" s="481"/>
      <c r="BC66" s="481"/>
      <c r="BD66" s="481"/>
      <c r="BE66" s="481"/>
      <c r="BF66" s="481"/>
      <c r="BG66" s="53"/>
      <c r="BH66" s="53"/>
      <c r="BI66" s="53"/>
    </row>
    <row r="67" spans="2:61" ht="15.75">
      <c r="B67" s="53"/>
      <c r="C67" s="53"/>
      <c r="H67" s="481"/>
      <c r="I67" s="481"/>
      <c r="J67" s="481"/>
      <c r="K67" s="481"/>
      <c r="L67" s="481"/>
      <c r="M67" s="481"/>
      <c r="N67" s="481"/>
      <c r="O67" s="481"/>
      <c r="P67" s="481"/>
      <c r="Q67" s="481"/>
      <c r="R67" s="481"/>
      <c r="S67" s="56"/>
      <c r="T67" s="56"/>
      <c r="U67" s="56"/>
      <c r="V67" s="56"/>
      <c r="W67" s="481"/>
      <c r="X67" s="481"/>
      <c r="Y67" s="481"/>
      <c r="Z67" s="481"/>
      <c r="AA67" s="481"/>
      <c r="AB67" s="481"/>
      <c r="AC67" s="481"/>
      <c r="AD67" s="481"/>
      <c r="AE67" s="481"/>
      <c r="AF67" s="481"/>
      <c r="AG67" s="481"/>
      <c r="AH67" s="481"/>
      <c r="AI67" s="481"/>
      <c r="AJ67" s="481"/>
      <c r="AK67" s="481"/>
      <c r="AL67" s="637"/>
      <c r="AM67" s="481"/>
      <c r="AN67" s="481"/>
      <c r="AO67" s="481"/>
      <c r="AP67" s="481"/>
      <c r="AQ67" s="637"/>
      <c r="AR67" s="481"/>
      <c r="AS67" s="481"/>
      <c r="AT67" s="481"/>
      <c r="AU67" s="481"/>
      <c r="AV67" s="481"/>
      <c r="AW67" s="481"/>
      <c r="AX67" s="481"/>
      <c r="AY67" s="481"/>
      <c r="AZ67" s="481"/>
      <c r="BA67" s="481"/>
      <c r="BB67" s="481"/>
      <c r="BC67" s="481"/>
      <c r="BD67" s="481"/>
      <c r="BE67" s="481"/>
      <c r="BF67" s="481"/>
      <c r="BG67" s="53"/>
      <c r="BH67" s="53"/>
      <c r="BI67" s="53"/>
    </row>
    <row r="68" spans="2:61" ht="15.75" hidden="1" outlineLevel="1">
      <c r="B68" s="636" t="s">
        <v>2532</v>
      </c>
      <c r="C68" s="51" t="s">
        <v>552</v>
      </c>
      <c r="D68" s="51" t="s">
        <v>553</v>
      </c>
      <c r="E68" s="51" t="s">
        <v>554</v>
      </c>
      <c r="F68" s="51" t="s">
        <v>555</v>
      </c>
      <c r="G68" s="51" t="s">
        <v>556</v>
      </c>
      <c r="H68" s="51" t="s">
        <v>882</v>
      </c>
      <c r="I68" s="51" t="s">
        <v>883</v>
      </c>
      <c r="J68" s="51" t="s">
        <v>1619</v>
      </c>
      <c r="K68" s="51" t="s">
        <v>1636</v>
      </c>
      <c r="L68" s="51" t="s">
        <v>2092</v>
      </c>
      <c r="M68" s="51" t="s">
        <v>1559</v>
      </c>
      <c r="N68" s="51" t="s">
        <v>1560</v>
      </c>
      <c r="O68" s="51" t="s">
        <v>2570</v>
      </c>
      <c r="P68" s="51" t="str">
        <f t="shared" ref="P68:V68" si="69">P4</f>
        <v>Q2 17</v>
      </c>
      <c r="Q68" s="51" t="str">
        <f t="shared" si="69"/>
        <v>Q3 17</v>
      </c>
      <c r="R68" s="51" t="str">
        <f t="shared" si="69"/>
        <v>Q4 17</v>
      </c>
      <c r="S68" s="51" t="str">
        <f t="shared" si="69"/>
        <v>Q1 18</v>
      </c>
      <c r="T68" s="51" t="str">
        <f t="shared" si="69"/>
        <v>Q2 18</v>
      </c>
      <c r="U68" s="51" t="str">
        <f t="shared" si="69"/>
        <v>Q3 18</v>
      </c>
      <c r="V68" s="51" t="str">
        <f t="shared" si="69"/>
        <v>Q4 18</v>
      </c>
      <c r="W68" s="51"/>
      <c r="X68" s="51" t="str">
        <f>X4</f>
        <v>Q1 19</v>
      </c>
      <c r="Y68" s="51" t="str">
        <f>Y4</f>
        <v>Q2 19</v>
      </c>
      <c r="Z68" s="51" t="str">
        <f>Z4</f>
        <v>Q3 19</v>
      </c>
      <c r="AA68" s="51" t="str">
        <f>AA4</f>
        <v>Q4 19</v>
      </c>
      <c r="AB68" s="79"/>
      <c r="AC68" s="51" t="str">
        <f>AC4</f>
        <v>Q1 20</v>
      </c>
      <c r="AD68" s="51" t="str">
        <f>AD4</f>
        <v>Q2 20</v>
      </c>
      <c r="AE68" s="51" t="str">
        <f>AE4</f>
        <v>Q3 20</v>
      </c>
      <c r="AF68" s="51" t="str">
        <f>AF4</f>
        <v>Q4 20</v>
      </c>
      <c r="AG68" s="79"/>
      <c r="AH68" s="51" t="str">
        <f>AH4</f>
        <v>Q1 21</v>
      </c>
      <c r="AI68" s="51" t="str">
        <f>AI4</f>
        <v>Q2 21</v>
      </c>
      <c r="AJ68" s="51" t="str">
        <f>AJ4</f>
        <v>Q3 21</v>
      </c>
      <c r="AK68" s="51" t="str">
        <f>AK4</f>
        <v>Q4 21</v>
      </c>
      <c r="AL68" s="637"/>
      <c r="AM68" s="51" t="str">
        <f>AM4</f>
        <v>Q1 22</v>
      </c>
      <c r="AN68" s="51" t="str">
        <f>AN4</f>
        <v>Q2 22</v>
      </c>
      <c r="AO68" s="51" t="str">
        <f>AO4</f>
        <v>Q3 22</v>
      </c>
      <c r="AP68" s="51"/>
      <c r="AQ68" s="637"/>
      <c r="AR68" s="51"/>
      <c r="AS68" s="51"/>
      <c r="AT68" s="51"/>
      <c r="AU68" s="51"/>
      <c r="AW68" s="51"/>
      <c r="AX68" s="51"/>
      <c r="AY68" s="51"/>
      <c r="AZ68" s="51"/>
      <c r="BB68" s="51"/>
      <c r="BC68" s="51"/>
      <c r="BD68" s="51"/>
      <c r="BE68" s="51"/>
      <c r="BG68" s="53"/>
      <c r="BH68" s="53"/>
      <c r="BI68" s="53"/>
    </row>
    <row r="69" spans="2:61" ht="15.75" hidden="1" outlineLevel="1">
      <c r="B69" s="53" t="s">
        <v>1415</v>
      </c>
      <c r="C69" s="621"/>
      <c r="D69" s="681">
        <f>Quarts!D342</f>
        <v>257</v>
      </c>
      <c r="E69" s="681">
        <f>Quarts!E342</f>
        <v>259</v>
      </c>
      <c r="F69" s="681">
        <f>Quarts!F342</f>
        <v>270</v>
      </c>
      <c r="G69" s="681">
        <f>Quarts!G342</f>
        <v>265</v>
      </c>
      <c r="H69" s="621">
        <v>268.3</v>
      </c>
      <c r="I69" s="621">
        <v>279.60000000000002</v>
      </c>
      <c r="J69" s="621">
        <v>277.3</v>
      </c>
      <c r="K69" s="681">
        <f>Quarts!L342</f>
        <v>277.76675</v>
      </c>
      <c r="L69" s="621">
        <v>265</v>
      </c>
      <c r="M69" s="621">
        <v>265.3</v>
      </c>
      <c r="N69" s="621">
        <v>269.10000000000002</v>
      </c>
      <c r="O69" s="621">
        <v>266</v>
      </c>
      <c r="P69" s="621">
        <v>267.89999999999998</v>
      </c>
      <c r="Q69" s="621">
        <v>268.10000000000002</v>
      </c>
      <c r="R69" s="621">
        <f>R75-SUM(R70:R74)</f>
        <v>271.90000000000009</v>
      </c>
      <c r="S69" s="621"/>
      <c r="T69" s="621"/>
      <c r="U69" s="621"/>
      <c r="V69" s="621"/>
      <c r="W69" s="719"/>
      <c r="X69" s="719"/>
      <c r="Y69" s="719"/>
      <c r="Z69" s="719"/>
      <c r="AA69" s="719"/>
      <c r="AB69" s="719"/>
      <c r="AC69" s="719"/>
      <c r="AD69" s="719"/>
      <c r="AE69" s="719"/>
      <c r="AF69" s="719"/>
      <c r="AG69" s="719"/>
      <c r="AH69" s="719"/>
      <c r="AI69" s="719"/>
      <c r="AJ69" s="719"/>
      <c r="AK69" s="719"/>
      <c r="AL69" s="637"/>
      <c r="AM69" s="719"/>
      <c r="AN69" s="719"/>
      <c r="AO69" s="719"/>
      <c r="AP69" s="719"/>
      <c r="AQ69" s="637"/>
      <c r="AR69" s="719"/>
      <c r="AS69" s="719"/>
      <c r="AT69" s="719"/>
      <c r="AU69" s="719"/>
      <c r="AW69" s="719"/>
      <c r="AX69" s="719"/>
      <c r="AY69" s="719"/>
      <c r="AZ69" s="719"/>
      <c r="BB69" s="719"/>
      <c r="BC69" s="719"/>
      <c r="BD69" s="719"/>
      <c r="BE69" s="719"/>
      <c r="BG69" s="53"/>
      <c r="BH69" s="53"/>
      <c r="BI69" s="53"/>
    </row>
    <row r="70" spans="2:61" ht="15.75" hidden="1" outlineLevel="1">
      <c r="B70" s="53" t="s">
        <v>0</v>
      </c>
      <c r="C70" s="621"/>
      <c r="D70" s="681">
        <f>Quarts!D288</f>
        <v>148</v>
      </c>
      <c r="E70" s="681">
        <f>Quarts!E288</f>
        <v>154</v>
      </c>
      <c r="F70" s="681">
        <f>Quarts!F288</f>
        <v>156</v>
      </c>
      <c r="G70" s="681">
        <f>Quarts!G288</f>
        <v>178</v>
      </c>
      <c r="H70" s="621">
        <v>157.5</v>
      </c>
      <c r="I70" s="621">
        <v>164.5</v>
      </c>
      <c r="J70" s="621">
        <v>161.4</v>
      </c>
      <c r="K70" s="681">
        <f>Quarts!L288</f>
        <v>166.08705</v>
      </c>
      <c r="L70" s="621">
        <v>157.5</v>
      </c>
      <c r="M70" s="621">
        <v>154.1</v>
      </c>
      <c r="N70" s="621">
        <v>166.8</v>
      </c>
      <c r="O70" s="621">
        <v>153.69999999999999</v>
      </c>
      <c r="P70" s="621">
        <v>154.1</v>
      </c>
      <c r="Q70" s="621">
        <v>155</v>
      </c>
      <c r="R70" s="621">
        <f>R13</f>
        <v>162</v>
      </c>
      <c r="S70" s="621"/>
      <c r="T70" s="621"/>
      <c r="U70" s="621"/>
      <c r="V70" s="621"/>
      <c r="W70" s="719"/>
      <c r="X70" s="719"/>
      <c r="Y70" s="719"/>
      <c r="Z70" s="719"/>
      <c r="AA70" s="719"/>
      <c r="AB70" s="719"/>
      <c r="AC70" s="719"/>
      <c r="AD70" s="719"/>
      <c r="AE70" s="719"/>
      <c r="AF70" s="719"/>
      <c r="AG70" s="719"/>
      <c r="AH70" s="719"/>
      <c r="AI70" s="719"/>
      <c r="AJ70" s="719"/>
      <c r="AK70" s="719"/>
      <c r="AL70" s="637"/>
      <c r="AM70" s="719"/>
      <c r="AN70" s="719"/>
      <c r="AO70" s="719"/>
      <c r="AP70" s="719"/>
      <c r="AQ70" s="637"/>
      <c r="AR70" s="719"/>
      <c r="AS70" s="719"/>
      <c r="AT70" s="719"/>
      <c r="AU70" s="719"/>
      <c r="AW70" s="719"/>
      <c r="AX70" s="719"/>
      <c r="AY70" s="719"/>
      <c r="AZ70" s="719"/>
      <c r="BB70" s="719"/>
      <c r="BC70" s="719"/>
      <c r="BD70" s="719"/>
      <c r="BE70" s="719"/>
      <c r="BG70" s="53"/>
      <c r="BH70" s="53"/>
      <c r="BI70" s="53"/>
    </row>
    <row r="71" spans="2:61" ht="15.75" hidden="1" outlineLevel="1">
      <c r="B71" s="53" t="s">
        <v>2</v>
      </c>
      <c r="C71" s="621"/>
      <c r="D71" s="681">
        <f>Quarts!D315</f>
        <v>85</v>
      </c>
      <c r="E71" s="681">
        <f>Quarts!E315</f>
        <v>86</v>
      </c>
      <c r="F71" s="681">
        <f>Quarts!F315</f>
        <v>87</v>
      </c>
      <c r="G71" s="681">
        <f>Quarts!G315</f>
        <v>90</v>
      </c>
      <c r="H71" s="621">
        <v>82.1</v>
      </c>
      <c r="I71" s="621">
        <v>79.900000000000006</v>
      </c>
      <c r="J71" s="621">
        <v>80.7</v>
      </c>
      <c r="K71" s="681">
        <f>Quarts!L315</f>
        <v>84</v>
      </c>
      <c r="L71" s="621">
        <v>75.400000000000006</v>
      </c>
      <c r="M71" s="621">
        <v>72.2</v>
      </c>
      <c r="N71" s="621">
        <v>72.8</v>
      </c>
      <c r="O71" s="621">
        <v>72</v>
      </c>
      <c r="P71" s="621">
        <v>66.2</v>
      </c>
      <c r="Q71" s="621">
        <v>62.8</v>
      </c>
      <c r="R71" s="621">
        <f>R14</f>
        <v>60.3</v>
      </c>
      <c r="S71" s="621"/>
      <c r="T71" s="621"/>
      <c r="U71" s="621"/>
      <c r="V71" s="621"/>
      <c r="W71" s="719"/>
      <c r="X71" s="719"/>
      <c r="Y71" s="719"/>
      <c r="Z71" s="719"/>
      <c r="AA71" s="719"/>
      <c r="AB71" s="719"/>
      <c r="AC71" s="719"/>
      <c r="AD71" s="719"/>
      <c r="AE71" s="719"/>
      <c r="AF71" s="719"/>
      <c r="AG71" s="719"/>
      <c r="AH71" s="719"/>
      <c r="AI71" s="719"/>
      <c r="AJ71" s="719"/>
      <c r="AK71" s="719"/>
      <c r="AL71" s="637"/>
      <c r="AM71" s="719"/>
      <c r="AN71" s="719"/>
      <c r="AO71" s="719"/>
      <c r="AP71" s="719"/>
      <c r="AQ71" s="637"/>
      <c r="AR71" s="719"/>
      <c r="AS71" s="719"/>
      <c r="AT71" s="719"/>
      <c r="AU71" s="719"/>
      <c r="AW71" s="719"/>
      <c r="AX71" s="719"/>
      <c r="AY71" s="719"/>
      <c r="AZ71" s="719"/>
      <c r="BB71" s="719"/>
      <c r="BC71" s="719"/>
      <c r="BD71" s="719"/>
      <c r="BE71" s="719"/>
      <c r="BG71" s="53"/>
      <c r="BH71" s="53"/>
      <c r="BI71" s="53"/>
    </row>
    <row r="72" spans="2:61" ht="15.75" hidden="1" outlineLevel="1">
      <c r="B72" s="53" t="s">
        <v>2534</v>
      </c>
      <c r="C72" s="621"/>
      <c r="D72" s="681">
        <f>Quarts!D396</f>
        <v>58</v>
      </c>
      <c r="E72" s="681">
        <f>Quarts!E396</f>
        <v>62</v>
      </c>
      <c r="F72" s="681">
        <f>Quarts!F396</f>
        <v>66</v>
      </c>
      <c r="G72" s="681">
        <f>Quarts!G396</f>
        <v>67</v>
      </c>
      <c r="H72" s="621">
        <v>66.3</v>
      </c>
      <c r="I72" s="621">
        <v>66.400000000000006</v>
      </c>
      <c r="J72" s="621">
        <v>69.599999999999994</v>
      </c>
      <c r="K72" s="681">
        <f>Quarts!L396</f>
        <v>67</v>
      </c>
      <c r="L72" s="621">
        <v>68.7</v>
      </c>
      <c r="M72" s="621">
        <v>71.7</v>
      </c>
      <c r="N72" s="621">
        <v>79.5</v>
      </c>
      <c r="O72" s="621">
        <v>77.7</v>
      </c>
      <c r="P72" s="702">
        <f>91.6-6/2</f>
        <v>88.6</v>
      </c>
      <c r="Q72" s="621">
        <v>89.1</v>
      </c>
      <c r="R72" s="621">
        <v>88.2</v>
      </c>
      <c r="S72" s="621"/>
      <c r="T72" s="621"/>
      <c r="U72" s="621"/>
      <c r="V72" s="621"/>
      <c r="W72" s="719"/>
      <c r="X72" s="719"/>
      <c r="Y72" s="719"/>
      <c r="Z72" s="719"/>
      <c r="AA72" s="719"/>
      <c r="AB72" s="719"/>
      <c r="AC72" s="719"/>
      <c r="AD72" s="719"/>
      <c r="AE72" s="719"/>
      <c r="AF72" s="719"/>
      <c r="AG72" s="719"/>
      <c r="AH72" s="719"/>
      <c r="AI72" s="719"/>
      <c r="AJ72" s="719"/>
      <c r="AK72" s="719"/>
      <c r="AL72" s="637"/>
      <c r="AM72" s="719"/>
      <c r="AN72" s="719"/>
      <c r="AO72" s="719"/>
      <c r="AP72" s="719"/>
      <c r="AQ72" s="637"/>
      <c r="AR72" s="719"/>
      <c r="AS72" s="719"/>
      <c r="AT72" s="719"/>
      <c r="AU72" s="719"/>
      <c r="AW72" s="719"/>
      <c r="AX72" s="719"/>
      <c r="AY72" s="719"/>
      <c r="AZ72" s="719"/>
      <c r="BB72" s="719"/>
      <c r="BC72" s="719"/>
      <c r="BD72" s="719"/>
      <c r="BE72" s="719"/>
      <c r="BG72" s="53"/>
      <c r="BH72" s="53"/>
      <c r="BI72" s="53"/>
    </row>
    <row r="73" spans="2:61" ht="15.75" hidden="1" outlineLevel="1">
      <c r="B73" s="53" t="s">
        <v>3</v>
      </c>
      <c r="C73" s="621"/>
      <c r="D73" s="681">
        <f>Quarts!D369</f>
        <v>13.5</v>
      </c>
      <c r="E73" s="681">
        <f>Quarts!E369</f>
        <v>13.5</v>
      </c>
      <c r="F73" s="681">
        <f>Quarts!F369</f>
        <v>12</v>
      </c>
      <c r="G73" s="681">
        <f>Quarts!G369</f>
        <v>13</v>
      </c>
      <c r="H73" s="621">
        <v>13.1</v>
      </c>
      <c r="I73" s="621">
        <v>13.9</v>
      </c>
      <c r="J73" s="621">
        <v>14.9</v>
      </c>
      <c r="K73" s="681">
        <f>Quarts!L369</f>
        <v>15.277699999999999</v>
      </c>
      <c r="L73" s="621">
        <v>14.5</v>
      </c>
      <c r="M73" s="621">
        <v>14.9</v>
      </c>
      <c r="N73" s="621">
        <v>14.7</v>
      </c>
      <c r="O73" s="621">
        <v>15.5</v>
      </c>
      <c r="P73" s="621">
        <v>15</v>
      </c>
      <c r="Q73" s="621">
        <v>15.2</v>
      </c>
      <c r="R73" s="621">
        <f>R7</f>
        <v>14.9</v>
      </c>
      <c r="S73" s="621"/>
      <c r="T73" s="621"/>
      <c r="U73" s="621"/>
      <c r="V73" s="621"/>
      <c r="W73" s="719"/>
      <c r="X73" s="719"/>
      <c r="Y73" s="719"/>
      <c r="Z73" s="719"/>
      <c r="AA73" s="719"/>
      <c r="AB73" s="719"/>
      <c r="AC73" s="719"/>
      <c r="AD73" s="719"/>
      <c r="AE73" s="719"/>
      <c r="AF73" s="719"/>
      <c r="AG73" s="719"/>
      <c r="AH73" s="719"/>
      <c r="AI73" s="719"/>
      <c r="AJ73" s="719"/>
      <c r="AK73" s="719"/>
      <c r="AL73" s="637"/>
      <c r="AM73" s="719"/>
      <c r="AN73" s="719"/>
      <c r="AO73" s="719"/>
      <c r="AP73" s="719"/>
      <c r="AQ73" s="637"/>
      <c r="AR73" s="719"/>
      <c r="AS73" s="719"/>
      <c r="AT73" s="719"/>
      <c r="AU73" s="719"/>
      <c r="AW73" s="719"/>
      <c r="AX73" s="719"/>
      <c r="AY73" s="719"/>
      <c r="AZ73" s="719"/>
      <c r="BB73" s="719"/>
      <c r="BC73" s="719"/>
      <c r="BD73" s="719"/>
      <c r="BE73" s="719"/>
      <c r="BG73" s="53"/>
      <c r="BH73" s="53"/>
      <c r="BI73" s="53"/>
    </row>
    <row r="74" spans="2:61" ht="15.75" hidden="1" outlineLevel="1">
      <c r="B74" s="50" t="s">
        <v>2528</v>
      </c>
      <c r="C74" s="622"/>
      <c r="D74" s="683">
        <f>D75-SUM(D69:D73)</f>
        <v>-0.92307692307690559</v>
      </c>
      <c r="E74" s="683">
        <f>E75-SUM(E69:E73)</f>
        <v>-3.0769230769230944</v>
      </c>
      <c r="F74" s="683">
        <f>F75-SUM(F69:F73)</f>
        <v>-1.8910891089109327</v>
      </c>
      <c r="G74" s="683">
        <f>G75-SUM(G69:G73)</f>
        <v>-4.040350656024998</v>
      </c>
      <c r="H74" s="622">
        <v>-4.3</v>
      </c>
      <c r="I74" s="622">
        <v>-4.5999999999999996</v>
      </c>
      <c r="J74" s="622">
        <v>-4.5</v>
      </c>
      <c r="K74" s="622">
        <f>K75-K69-K70-K71-K72-K73</f>
        <v>-5.1315000000000062</v>
      </c>
      <c r="L74" s="622">
        <v>-7.5</v>
      </c>
      <c r="M74" s="622">
        <v>-10.6</v>
      </c>
      <c r="N74" s="622">
        <v>-8.6</v>
      </c>
      <c r="O74" s="622">
        <f>O75-SUM(O69:O73)</f>
        <v>-9</v>
      </c>
      <c r="P74" s="622">
        <f>P75-SUM(P69:P73)</f>
        <v>-10.5</v>
      </c>
      <c r="Q74" s="622">
        <f>Q75-SUM(Q69:Q73)</f>
        <v>-10.400000000000091</v>
      </c>
      <c r="R74" s="622">
        <v>-11.6</v>
      </c>
      <c r="S74" s="622"/>
      <c r="T74" s="622"/>
      <c r="U74" s="622"/>
      <c r="V74" s="622"/>
      <c r="W74" s="782"/>
      <c r="X74" s="782"/>
      <c r="Y74" s="782"/>
      <c r="Z74" s="782"/>
      <c r="AA74" s="782"/>
      <c r="AB74" s="719"/>
      <c r="AC74" s="782"/>
      <c r="AD74" s="782"/>
      <c r="AE74" s="782"/>
      <c r="AF74" s="782"/>
      <c r="AG74" s="719"/>
      <c r="AH74" s="782"/>
      <c r="AI74" s="782"/>
      <c r="AJ74" s="782"/>
      <c r="AK74" s="782"/>
      <c r="AL74" s="637"/>
      <c r="AM74" s="782"/>
      <c r="AN74" s="782"/>
      <c r="AO74" s="782" t="s">
        <v>1536</v>
      </c>
      <c r="AP74" s="782"/>
      <c r="AQ74" s="637"/>
      <c r="AR74" s="782"/>
      <c r="AS74" s="782"/>
      <c r="AT74" s="782"/>
      <c r="AU74" s="782"/>
      <c r="AW74" s="782"/>
      <c r="AX74" s="782"/>
      <c r="AY74" s="782"/>
      <c r="AZ74" s="782"/>
      <c r="BB74" s="782"/>
      <c r="BC74" s="782"/>
      <c r="BD74" s="782"/>
      <c r="BE74" s="782"/>
      <c r="BG74" s="53"/>
      <c r="BH74" s="53"/>
      <c r="BI74" s="53"/>
    </row>
    <row r="75" spans="2:61" ht="15.75" hidden="1" outlineLevel="1">
      <c r="B75" s="53" t="s">
        <v>2529</v>
      </c>
      <c r="C75" s="621"/>
      <c r="D75" s="681">
        <f>Quarts!D403</f>
        <v>560.57692307692309</v>
      </c>
      <c r="E75" s="681">
        <f>Quarts!E403</f>
        <v>571.42307692307691</v>
      </c>
      <c r="F75" s="681">
        <f>Quarts!F403</f>
        <v>589.10891089108907</v>
      </c>
      <c r="G75" s="681">
        <f>Quarts!G403</f>
        <v>608.959649343975</v>
      </c>
      <c r="H75" s="621">
        <f>SUM(H69:H74)</f>
        <v>583</v>
      </c>
      <c r="I75" s="621">
        <f>SUM(I69:I74)</f>
        <v>599.69999999999993</v>
      </c>
      <c r="J75" s="621">
        <f>SUM(J69:J74)</f>
        <v>599.40000000000009</v>
      </c>
      <c r="K75" s="681">
        <f>Quarts!L448</f>
        <v>605</v>
      </c>
      <c r="L75" s="621">
        <f>SUM(L69:L74)</f>
        <v>573.6</v>
      </c>
      <c r="M75" s="621">
        <f>SUM(M69:M74)</f>
        <v>567.59999999999991</v>
      </c>
      <c r="N75" s="621">
        <f>SUM(N69:N74)</f>
        <v>594.30000000000007</v>
      </c>
      <c r="O75" s="621">
        <v>575.9</v>
      </c>
      <c r="P75" s="702">
        <f>584.3-6/2</f>
        <v>581.29999999999995</v>
      </c>
      <c r="Q75" s="621">
        <v>579.79999999999995</v>
      </c>
      <c r="R75" s="621">
        <f>R17</f>
        <v>585.70000000000005</v>
      </c>
      <c r="S75" s="621">
        <f>S17</f>
        <v>585.5</v>
      </c>
      <c r="T75" s="621">
        <f>T17</f>
        <v>583.70000000000005</v>
      </c>
      <c r="U75" s="621">
        <f>U17</f>
        <v>581.1</v>
      </c>
      <c r="V75" s="621">
        <f>V17</f>
        <v>582.79999999999995</v>
      </c>
      <c r="W75" s="621"/>
      <c r="X75" s="621">
        <f>X17</f>
        <v>569.79999999999995</v>
      </c>
      <c r="Y75" s="621">
        <f>Y17</f>
        <v>606.6</v>
      </c>
      <c r="Z75" s="621">
        <f>Z17</f>
        <v>595.9</v>
      </c>
      <c r="AA75" s="621">
        <f>AA17</f>
        <v>617.20000000000005</v>
      </c>
      <c r="AB75" s="621"/>
      <c r="AC75" s="621">
        <f>AC17</f>
        <v>588.6</v>
      </c>
      <c r="AD75" s="621">
        <f>AD17</f>
        <v>515.29999999999995</v>
      </c>
      <c r="AE75" s="621">
        <f>AE17</f>
        <v>538.9</v>
      </c>
      <c r="AF75" s="621">
        <f>AF17</f>
        <v>557</v>
      </c>
      <c r="AG75" s="621"/>
      <c r="AH75" s="621"/>
      <c r="AI75" s="621"/>
      <c r="AJ75" s="621"/>
      <c r="AK75" s="621"/>
      <c r="AL75" s="637"/>
      <c r="AM75" s="621"/>
      <c r="AN75" s="621"/>
      <c r="AO75" s="621"/>
      <c r="AP75" s="621"/>
      <c r="AQ75" s="637"/>
      <c r="AR75" s="621"/>
      <c r="AS75" s="621"/>
      <c r="AT75" s="621"/>
      <c r="AU75" s="621"/>
      <c r="AW75" s="621"/>
      <c r="AX75" s="621"/>
      <c r="AY75" s="621"/>
      <c r="AZ75" s="621"/>
      <c r="BB75" s="621"/>
      <c r="BC75" s="621"/>
      <c r="BD75" s="621"/>
      <c r="BE75" s="621"/>
      <c r="BG75" s="53"/>
      <c r="BH75" s="53"/>
      <c r="BI75" s="53"/>
    </row>
    <row r="76" spans="2:61" ht="15.75" hidden="1" outlineLevel="1">
      <c r="B76" s="53" t="s">
        <v>3637</v>
      </c>
      <c r="C76" s="621"/>
      <c r="D76" s="681"/>
      <c r="E76" s="681"/>
      <c r="F76" s="681"/>
      <c r="G76" s="681"/>
      <c r="H76" s="621"/>
      <c r="I76" s="621"/>
      <c r="J76" s="621">
        <f t="shared" ref="J76:U76" si="70">J75-J190</f>
        <v>4.4000000000000909</v>
      </c>
      <c r="K76" s="621">
        <f t="shared" si="70"/>
        <v>0</v>
      </c>
      <c r="L76" s="621">
        <f t="shared" si="70"/>
        <v>-0.89999999999997726</v>
      </c>
      <c r="M76" s="621">
        <f t="shared" si="70"/>
        <v>-0.90000000000009095</v>
      </c>
      <c r="N76" s="621">
        <f t="shared" si="70"/>
        <v>3.6000000000000227</v>
      </c>
      <c r="O76" s="621">
        <f t="shared" si="70"/>
        <v>0.29999999999995453</v>
      </c>
      <c r="P76" s="621">
        <f t="shared" si="70"/>
        <v>1.5999999999999091</v>
      </c>
      <c r="Q76" s="621">
        <f t="shared" si="70"/>
        <v>0.89999999999997726</v>
      </c>
      <c r="R76" s="621">
        <f t="shared" si="70"/>
        <v>0.80000000000006821</v>
      </c>
      <c r="S76" s="621">
        <f t="shared" si="70"/>
        <v>0</v>
      </c>
      <c r="T76" s="621">
        <f t="shared" si="70"/>
        <v>0</v>
      </c>
      <c r="U76" s="621">
        <f t="shared" si="70"/>
        <v>0</v>
      </c>
      <c r="V76" s="621"/>
      <c r="W76" s="621"/>
      <c r="X76" s="621"/>
      <c r="Y76" s="621"/>
      <c r="Z76" s="621"/>
      <c r="AA76" s="621"/>
      <c r="AB76" s="621"/>
      <c r="AC76" s="621"/>
      <c r="AD76" s="621"/>
      <c r="AE76" s="621"/>
      <c r="AF76" s="621"/>
      <c r="AG76" s="621"/>
      <c r="AH76" s="621"/>
      <c r="AI76" s="621"/>
      <c r="AJ76" s="621"/>
      <c r="AK76" s="621"/>
      <c r="AL76" s="637"/>
      <c r="AM76" s="621"/>
      <c r="AN76" s="621"/>
      <c r="AO76" s="621"/>
      <c r="AP76" s="621"/>
      <c r="AQ76" s="637"/>
      <c r="AR76" s="621"/>
      <c r="AS76" s="621"/>
      <c r="AT76" s="621"/>
      <c r="AU76" s="621"/>
      <c r="AW76" s="621"/>
      <c r="AX76" s="621"/>
      <c r="AY76" s="621"/>
      <c r="AZ76" s="621"/>
      <c r="BB76" s="621"/>
      <c r="BC76" s="621"/>
      <c r="BD76" s="621"/>
      <c r="BE76" s="621"/>
      <c r="BG76" s="53"/>
      <c r="BH76" s="53"/>
      <c r="BI76" s="53"/>
    </row>
    <row r="77" spans="2:61" ht="15.75" hidden="1" outlineLevel="1">
      <c r="B77" s="53"/>
      <c r="C77" s="53"/>
      <c r="D77" s="53"/>
      <c r="E77" s="53"/>
      <c r="F77" s="53"/>
      <c r="G77" s="53"/>
      <c r="H77" s="53"/>
      <c r="I77" s="53"/>
      <c r="J77" s="53"/>
      <c r="K77" s="53"/>
      <c r="L77" s="53"/>
      <c r="M77" s="53"/>
      <c r="N77" s="55"/>
      <c r="P77" s="5"/>
      <c r="Q77" s="5"/>
      <c r="R77" s="5"/>
      <c r="S77" s="5"/>
      <c r="T77" s="5"/>
      <c r="U77" s="5"/>
      <c r="V77" s="5"/>
      <c r="AL77" s="637"/>
      <c r="AQ77" s="637"/>
      <c r="BG77" s="53"/>
      <c r="BH77" s="53"/>
      <c r="BI77" s="53"/>
    </row>
    <row r="78" spans="2:61" ht="15.75" hidden="1" outlineLevel="1">
      <c r="B78" s="53"/>
      <c r="C78" s="53"/>
      <c r="D78" s="53"/>
      <c r="E78" s="53"/>
      <c r="F78" s="53"/>
      <c r="G78" s="53"/>
      <c r="H78" s="53" t="s">
        <v>2530</v>
      </c>
      <c r="I78" s="53"/>
      <c r="J78" s="53"/>
      <c r="K78" s="53" t="s">
        <v>2572</v>
      </c>
      <c r="L78" s="53"/>
      <c r="M78" s="53"/>
      <c r="N78" s="55"/>
      <c r="AL78" s="637"/>
      <c r="AQ78" s="637"/>
      <c r="BG78" s="53"/>
      <c r="BH78" s="53"/>
      <c r="BI78" s="53"/>
    </row>
    <row r="79" spans="2:61" ht="15.75" hidden="1" outlineLevel="1">
      <c r="B79" s="636" t="s">
        <v>2531</v>
      </c>
      <c r="C79" s="50"/>
      <c r="D79" s="3"/>
      <c r="E79" s="3"/>
      <c r="F79" s="3"/>
      <c r="G79" s="51" t="str">
        <f t="shared" ref="G79:V79" si="71">G68</f>
        <v>Q1 15</v>
      </c>
      <c r="H79" s="51" t="str">
        <f t="shared" si="71"/>
        <v>Q2 15</v>
      </c>
      <c r="I79" s="51" t="str">
        <f t="shared" si="71"/>
        <v>Q3 15</v>
      </c>
      <c r="J79" s="51" t="str">
        <f t="shared" si="71"/>
        <v>Q4 15</v>
      </c>
      <c r="K79" s="51" t="str">
        <f t="shared" si="71"/>
        <v>Q1 16</v>
      </c>
      <c r="L79" s="51" t="str">
        <f t="shared" si="71"/>
        <v>Q2 16</v>
      </c>
      <c r="M79" s="51" t="str">
        <f t="shared" si="71"/>
        <v>Q3 16</v>
      </c>
      <c r="N79" s="51" t="str">
        <f t="shared" si="71"/>
        <v>Q4 16</v>
      </c>
      <c r="O79" s="51" t="str">
        <f t="shared" si="71"/>
        <v>Q1 17</v>
      </c>
      <c r="P79" s="51" t="str">
        <f t="shared" si="71"/>
        <v>Q2 17</v>
      </c>
      <c r="Q79" s="51" t="str">
        <f t="shared" si="71"/>
        <v>Q3 17</v>
      </c>
      <c r="R79" s="51" t="str">
        <f t="shared" si="71"/>
        <v>Q4 17</v>
      </c>
      <c r="S79" s="51" t="str">
        <f t="shared" si="71"/>
        <v>Q1 18</v>
      </c>
      <c r="T79" s="51" t="str">
        <f t="shared" si="71"/>
        <v>Q2 18</v>
      </c>
      <c r="U79" s="51" t="str">
        <f t="shared" si="71"/>
        <v>Q3 18</v>
      </c>
      <c r="V79" s="51" t="str">
        <f t="shared" si="71"/>
        <v>Q4 18</v>
      </c>
      <c r="W79" s="51"/>
      <c r="X79" s="51" t="str">
        <f>X68</f>
        <v>Q1 19</v>
      </c>
      <c r="Y79" s="51" t="str">
        <f>Y68</f>
        <v>Q2 19</v>
      </c>
      <c r="Z79" s="51" t="str">
        <f>Z68</f>
        <v>Q3 19</v>
      </c>
      <c r="AA79" s="51" t="str">
        <f>AA68</f>
        <v>Q4 19</v>
      </c>
      <c r="AB79" s="79"/>
      <c r="AC79" s="51" t="str">
        <f>AC68</f>
        <v>Q1 20</v>
      </c>
      <c r="AD79" s="51" t="str">
        <f>AD68</f>
        <v>Q2 20</v>
      </c>
      <c r="AE79" s="51" t="str">
        <f>AE68</f>
        <v>Q3 20</v>
      </c>
      <c r="AF79" s="51" t="str">
        <f>AF68</f>
        <v>Q4 20</v>
      </c>
      <c r="AG79" s="79"/>
      <c r="AH79" s="51" t="str">
        <f>AH68</f>
        <v>Q1 21</v>
      </c>
      <c r="AI79" s="51" t="str">
        <f>AI68</f>
        <v>Q2 21</v>
      </c>
      <c r="AJ79" s="51" t="str">
        <f>AJ68</f>
        <v>Q3 21</v>
      </c>
      <c r="AK79" s="51" t="str">
        <f>AK68</f>
        <v>Q4 21</v>
      </c>
      <c r="AL79" s="637"/>
      <c r="AM79" s="51" t="str">
        <f>AM68</f>
        <v>Q1 22</v>
      </c>
      <c r="AN79" s="51" t="str">
        <f>AN68</f>
        <v>Q2 22</v>
      </c>
      <c r="AO79" s="51" t="str">
        <f>AO68</f>
        <v>Q3 22</v>
      </c>
      <c r="AP79" s="51"/>
      <c r="AQ79" s="637"/>
      <c r="AR79" s="51"/>
      <c r="AS79" s="51"/>
      <c r="AT79" s="51"/>
      <c r="AU79" s="51"/>
      <c r="AV79" s="79"/>
      <c r="AW79" s="51"/>
      <c r="AX79" s="51"/>
      <c r="AY79" s="51"/>
      <c r="AZ79" s="51"/>
      <c r="BA79" s="79"/>
      <c r="BB79" s="51"/>
      <c r="BC79" s="51"/>
      <c r="BD79" s="51"/>
      <c r="BE79" s="51"/>
      <c r="BF79" s="79"/>
      <c r="BG79" s="53"/>
      <c r="BH79" s="53"/>
      <c r="BI79" s="53"/>
    </row>
    <row r="80" spans="2:61" ht="15.75" hidden="1" outlineLevel="1">
      <c r="B80" s="53" t="s">
        <v>2064</v>
      </c>
      <c r="C80" s="53"/>
      <c r="H80" s="621">
        <v>68.126435803624631</v>
      </c>
      <c r="I80" s="621">
        <v>68.395303326810179</v>
      </c>
      <c r="J80" s="621"/>
      <c r="K80" s="53">
        <v>74.3</v>
      </c>
      <c r="L80" s="53">
        <v>71.400000000000006</v>
      </c>
      <c r="M80" s="53">
        <v>69.900000000000006</v>
      </c>
      <c r="N80" s="53">
        <v>69.400000000000006</v>
      </c>
      <c r="O80" s="53">
        <v>71.900000000000006</v>
      </c>
      <c r="P80" s="53">
        <v>72.5</v>
      </c>
      <c r="Q80" s="53">
        <v>71.599999999999994</v>
      </c>
      <c r="R80" s="53">
        <v>71.5</v>
      </c>
      <c r="S80" s="53"/>
      <c r="T80" s="53"/>
      <c r="U80" s="53"/>
      <c r="V80" s="53"/>
      <c r="W80" s="53"/>
      <c r="X80" s="53"/>
      <c r="Y80" s="53"/>
      <c r="Z80" s="53"/>
      <c r="AA80" s="53"/>
      <c r="AB80" s="53"/>
      <c r="AC80" s="53"/>
      <c r="AD80" s="53"/>
      <c r="AE80" s="53"/>
      <c r="AF80" s="53"/>
      <c r="AG80" s="53"/>
      <c r="AH80" s="53"/>
      <c r="AI80" s="53"/>
      <c r="AJ80" s="53"/>
      <c r="AK80" s="53"/>
      <c r="AL80" s="637"/>
      <c r="AM80" s="53"/>
      <c r="AN80" s="53"/>
      <c r="AO80" s="53"/>
      <c r="AP80" s="53"/>
      <c r="AQ80" s="637"/>
      <c r="AR80" s="53"/>
      <c r="AS80" s="53"/>
      <c r="AT80" s="53"/>
      <c r="AU80" s="53"/>
      <c r="AV80" s="53"/>
      <c r="AW80" s="53"/>
      <c r="AX80" s="53"/>
      <c r="AY80" s="53"/>
      <c r="AZ80" s="53"/>
      <c r="BA80" s="53"/>
      <c r="BB80" s="53"/>
      <c r="BC80" s="53"/>
      <c r="BD80" s="53"/>
      <c r="BE80" s="53"/>
      <c r="BF80" s="53"/>
      <c r="BG80" s="53"/>
      <c r="BH80" s="53"/>
      <c r="BI80" s="53"/>
    </row>
    <row r="81" spans="2:78" ht="15.75" hidden="1" outlineLevel="1">
      <c r="B81" s="53" t="s">
        <v>2184</v>
      </c>
      <c r="C81" s="53"/>
      <c r="H81" s="621">
        <v>85.237609824765769</v>
      </c>
      <c r="I81" s="621">
        <v>96.719576719576736</v>
      </c>
      <c r="J81" s="621"/>
      <c r="K81" s="53">
        <v>101.2</v>
      </c>
      <c r="L81" s="53">
        <v>87.1</v>
      </c>
      <c r="M81" s="53">
        <v>91.4</v>
      </c>
      <c r="N81" s="53">
        <v>110.4</v>
      </c>
      <c r="O81" s="53">
        <v>96.4</v>
      </c>
      <c r="P81" s="53">
        <v>95.6</v>
      </c>
      <c r="Q81" s="53">
        <v>95.8</v>
      </c>
      <c r="R81" s="53">
        <v>108.6</v>
      </c>
      <c r="S81" s="6">
        <f>'New quarts'!AV275</f>
        <v>0</v>
      </c>
      <c r="T81" s="53"/>
      <c r="U81" s="53"/>
      <c r="V81" s="53"/>
      <c r="W81" s="53"/>
      <c r="X81" s="53"/>
      <c r="Y81" s="53"/>
      <c r="Z81" s="53"/>
      <c r="AA81" s="53"/>
      <c r="AB81" s="53"/>
      <c r="AC81" s="53"/>
      <c r="AD81" s="53"/>
      <c r="AE81" s="53"/>
      <c r="AF81" s="53"/>
      <c r="AG81" s="53"/>
      <c r="AH81" s="53"/>
      <c r="AI81" s="53"/>
      <c r="AJ81" s="53"/>
      <c r="AK81" s="53"/>
      <c r="AL81" s="637"/>
      <c r="AM81" s="53"/>
      <c r="AN81" s="53"/>
      <c r="AO81" s="53"/>
      <c r="AP81" s="53"/>
      <c r="AQ81" s="637"/>
      <c r="AR81" s="53"/>
      <c r="AS81" s="53"/>
      <c r="AT81" s="53"/>
      <c r="AU81" s="53"/>
      <c r="AV81" s="53"/>
      <c r="AW81" s="53"/>
      <c r="AX81" s="53"/>
      <c r="AY81" s="53"/>
      <c r="AZ81" s="53"/>
      <c r="BA81" s="53"/>
      <c r="BB81" s="53"/>
      <c r="BC81" s="53"/>
      <c r="BD81" s="53"/>
      <c r="BE81" s="53"/>
      <c r="BF81" s="53"/>
      <c r="BG81" s="53"/>
      <c r="BH81" s="53"/>
      <c r="BI81" s="53"/>
    </row>
    <row r="82" spans="2:78" ht="15.75" hidden="1" outlineLevel="1">
      <c r="B82" s="53" t="s">
        <v>2185</v>
      </c>
      <c r="C82" s="53"/>
      <c r="H82" s="621">
        <v>48.925172463114357</v>
      </c>
      <c r="I82" s="621">
        <v>46.744930629669149</v>
      </c>
      <c r="J82" s="621"/>
      <c r="K82" s="53">
        <v>54.4</v>
      </c>
      <c r="L82" s="621">
        <v>49</v>
      </c>
      <c r="M82" s="53">
        <v>43.8</v>
      </c>
      <c r="N82" s="53">
        <v>51.9</v>
      </c>
      <c r="O82" s="53">
        <v>56.4</v>
      </c>
      <c r="P82" s="714">
        <f>61.1-6/2</f>
        <v>58.1</v>
      </c>
      <c r="Q82" s="53">
        <v>58.6</v>
      </c>
      <c r="R82" s="53">
        <v>59</v>
      </c>
      <c r="S82" s="53"/>
      <c r="T82" s="53"/>
      <c r="U82" s="53"/>
      <c r="V82" s="53"/>
      <c r="W82" s="53"/>
      <c r="X82" s="53"/>
      <c r="Y82" s="53"/>
      <c r="Z82" s="53"/>
      <c r="AA82" s="53"/>
      <c r="AB82" s="53"/>
      <c r="AC82" s="53"/>
      <c r="AD82" s="53"/>
      <c r="AE82" s="53"/>
      <c r="AF82" s="53"/>
      <c r="AG82" s="53"/>
      <c r="AH82" s="53"/>
      <c r="AI82" s="53"/>
      <c r="AJ82" s="53"/>
      <c r="AK82" s="53"/>
      <c r="AL82" s="637"/>
      <c r="AM82" s="53"/>
      <c r="AN82" s="53"/>
      <c r="AO82" s="53"/>
      <c r="AP82" s="53"/>
      <c r="AQ82" s="637"/>
      <c r="AR82" s="53"/>
      <c r="AS82" s="53"/>
      <c r="AT82" s="53"/>
      <c r="AU82" s="53"/>
      <c r="AV82" s="53"/>
      <c r="AW82" s="53"/>
      <c r="AX82" s="53"/>
      <c r="AY82" s="53"/>
      <c r="AZ82" s="53"/>
      <c r="BA82" s="53"/>
      <c r="BB82" s="53"/>
      <c r="BC82" s="53"/>
      <c r="BD82" s="53"/>
      <c r="BE82" s="53"/>
      <c r="BF82" s="53"/>
      <c r="BG82" s="53"/>
      <c r="BH82" s="53"/>
      <c r="BI82" s="53"/>
    </row>
    <row r="83" spans="2:78" ht="15.75" hidden="1" outlineLevel="1">
      <c r="B83" s="53" t="s">
        <v>1568</v>
      </c>
      <c r="C83" s="53"/>
      <c r="H83" s="621">
        <v>47.518255978508797</v>
      </c>
      <c r="I83" s="621">
        <v>47.466390899689763</v>
      </c>
      <c r="J83" s="621"/>
      <c r="K83" s="53">
        <v>48.8</v>
      </c>
      <c r="L83" s="53">
        <v>46.9</v>
      </c>
      <c r="M83" s="53">
        <v>45.9</v>
      </c>
      <c r="N83" s="53">
        <v>46.6</v>
      </c>
      <c r="O83" s="53">
        <v>45.4</v>
      </c>
      <c r="P83" s="53">
        <v>45.6</v>
      </c>
      <c r="Q83" s="53">
        <v>46.1</v>
      </c>
      <c r="R83" s="53">
        <v>46.8</v>
      </c>
      <c r="S83" s="53"/>
      <c r="T83" s="53"/>
      <c r="U83" s="53"/>
      <c r="V83" s="53"/>
      <c r="W83" s="53"/>
      <c r="X83" s="53"/>
      <c r="Y83" s="53"/>
      <c r="Z83" s="53"/>
      <c r="AA83" s="53"/>
      <c r="AB83" s="53"/>
      <c r="AC83" s="53"/>
      <c r="AD83" s="53"/>
      <c r="AE83" s="53"/>
      <c r="AF83" s="53"/>
      <c r="AG83" s="53"/>
      <c r="AH83" s="53"/>
      <c r="AI83" s="53"/>
      <c r="AJ83" s="53"/>
      <c r="AK83" s="53"/>
      <c r="AL83" s="637"/>
      <c r="AM83" s="53"/>
      <c r="AN83" s="53"/>
      <c r="AO83" s="53"/>
      <c r="AP83" s="53"/>
      <c r="AQ83" s="637"/>
      <c r="AR83" s="53"/>
      <c r="AS83" s="53"/>
      <c r="AT83" s="53"/>
      <c r="AU83" s="53"/>
      <c r="AV83" s="53"/>
      <c r="AW83" s="53"/>
      <c r="AX83" s="53"/>
      <c r="AY83" s="53"/>
      <c r="AZ83" s="53"/>
      <c r="BA83" s="53"/>
      <c r="BB83" s="53"/>
      <c r="BC83" s="53"/>
      <c r="BD83" s="53"/>
      <c r="BE83" s="53"/>
      <c r="BF83" s="53"/>
      <c r="BG83" s="53"/>
      <c r="BH83" s="53"/>
      <c r="BI83" s="53"/>
    </row>
    <row r="84" spans="2:78" ht="15.75" hidden="1" outlineLevel="1">
      <c r="B84" s="53" t="s">
        <v>5</v>
      </c>
      <c r="C84" s="53"/>
      <c r="H84" s="621">
        <v>231.25000000000003</v>
      </c>
      <c r="I84" s="621">
        <v>232.99180327868854</v>
      </c>
      <c r="J84" s="621"/>
      <c r="K84" s="53">
        <v>233.8</v>
      </c>
      <c r="L84" s="53">
        <v>225.70000000000002</v>
      </c>
      <c r="M84" s="53">
        <v>227.4</v>
      </c>
      <c r="N84" s="53">
        <v>225.5</v>
      </c>
      <c r="O84" s="53">
        <v>217.2</v>
      </c>
      <c r="P84" s="621">
        <v>220</v>
      </c>
      <c r="Q84" s="621">
        <v>220.6</v>
      </c>
      <c r="R84" s="621">
        <v>221.1</v>
      </c>
      <c r="S84" s="621"/>
      <c r="T84" s="621"/>
      <c r="U84" s="621"/>
      <c r="V84" s="621"/>
      <c r="W84" s="53"/>
      <c r="X84" s="53"/>
      <c r="Y84" s="53"/>
      <c r="Z84" s="53"/>
      <c r="AA84" s="53"/>
      <c r="AB84" s="53"/>
      <c r="AC84" s="53"/>
      <c r="AD84" s="53"/>
      <c r="AE84" s="53"/>
      <c r="AF84" s="53"/>
      <c r="AG84" s="53"/>
      <c r="AH84" s="53"/>
      <c r="AI84" s="53"/>
      <c r="AJ84" s="53"/>
      <c r="AK84" s="53"/>
      <c r="AL84" s="637"/>
      <c r="AM84" s="53"/>
      <c r="AN84" s="53"/>
      <c r="AO84" s="53"/>
      <c r="AP84" s="53"/>
      <c r="AQ84" s="637"/>
      <c r="AR84" s="53"/>
      <c r="AS84" s="53"/>
      <c r="AT84" s="53"/>
      <c r="AU84" s="53"/>
      <c r="AV84" s="53"/>
      <c r="AW84" s="53"/>
      <c r="AX84" s="53"/>
      <c r="AY84" s="53"/>
      <c r="AZ84" s="53"/>
      <c r="BA84" s="53"/>
      <c r="BB84" s="53"/>
      <c r="BC84" s="53"/>
      <c r="BD84" s="53"/>
      <c r="BE84" s="53"/>
      <c r="BF84" s="53"/>
      <c r="BG84" s="53"/>
      <c r="BH84" s="53"/>
      <c r="BI84" s="53"/>
    </row>
    <row r="85" spans="2:78" ht="15.75" hidden="1" outlineLevel="1">
      <c r="B85" s="50" t="s">
        <v>7</v>
      </c>
      <c r="C85" s="50"/>
      <c r="D85" s="3"/>
      <c r="E85" s="3"/>
      <c r="F85" s="3"/>
      <c r="G85" s="3"/>
      <c r="H85" s="622">
        <v>96.469653568566414</v>
      </c>
      <c r="I85" s="622">
        <v>97.273718647764454</v>
      </c>
      <c r="J85" s="622"/>
      <c r="K85" s="50">
        <v>95</v>
      </c>
      <c r="L85" s="50">
        <v>93.499999999999986</v>
      </c>
      <c r="M85" s="50">
        <v>89.2</v>
      </c>
      <c r="N85" s="50">
        <v>90.5</v>
      </c>
      <c r="O85" s="50">
        <v>88.6</v>
      </c>
      <c r="P85" s="50">
        <v>89.5</v>
      </c>
      <c r="Q85" s="50">
        <v>87.1</v>
      </c>
      <c r="R85" s="50">
        <v>78.599999999999994</v>
      </c>
      <c r="S85" s="50"/>
      <c r="T85" s="50"/>
      <c r="U85" s="50"/>
      <c r="V85" s="50"/>
      <c r="W85" s="50"/>
      <c r="X85" s="50"/>
      <c r="Y85" s="50"/>
      <c r="Z85" s="50"/>
      <c r="AA85" s="50"/>
      <c r="AB85" s="53"/>
      <c r="AC85" s="50"/>
      <c r="AD85" s="50"/>
      <c r="AE85" s="50"/>
      <c r="AF85" s="50"/>
      <c r="AG85" s="53"/>
      <c r="AH85" s="50"/>
      <c r="AI85" s="50"/>
      <c r="AJ85" s="50"/>
      <c r="AK85" s="50"/>
      <c r="AL85" s="637"/>
      <c r="AM85" s="50"/>
      <c r="AN85" s="50"/>
      <c r="AO85" s="50"/>
      <c r="AP85" s="50"/>
      <c r="AQ85" s="637"/>
      <c r="AR85" s="50"/>
      <c r="AS85" s="50"/>
      <c r="AT85" s="50"/>
      <c r="AU85" s="50"/>
      <c r="AV85" s="53"/>
      <c r="AW85" s="50"/>
      <c r="AX85" s="50"/>
      <c r="AY85" s="50"/>
      <c r="AZ85" s="50"/>
      <c r="BA85" s="53"/>
      <c r="BB85" s="50"/>
      <c r="BC85" s="50"/>
      <c r="BD85" s="50"/>
      <c r="BE85" s="50"/>
      <c r="BF85" s="53"/>
      <c r="BG85" s="53"/>
      <c r="BH85" s="53"/>
      <c r="BI85" s="53"/>
    </row>
    <row r="86" spans="2:78" ht="15.75" hidden="1" outlineLevel="1">
      <c r="B86" s="53" t="s">
        <v>90</v>
      </c>
      <c r="C86" s="53"/>
      <c r="H86" s="621">
        <v>577.52712763858005</v>
      </c>
      <c r="I86" s="621">
        <v>589.59172350219876</v>
      </c>
      <c r="J86" s="621"/>
      <c r="K86" s="53">
        <v>607.5</v>
      </c>
      <c r="L86" s="53">
        <v>573.6</v>
      </c>
      <c r="M86" s="53">
        <v>567.6</v>
      </c>
      <c r="N86" s="53">
        <f>SUM(N80:N85)</f>
        <v>594.29999999999995</v>
      </c>
      <c r="O86" s="53">
        <f>SUM(O80:O85)</f>
        <v>575.9</v>
      </c>
      <c r="P86" s="53">
        <f>SUM(P80:P85)</f>
        <v>581.29999999999995</v>
      </c>
      <c r="Q86" s="53">
        <f>SUM(Q80:Q85)</f>
        <v>579.79999999999995</v>
      </c>
      <c r="R86" s="53">
        <f>SUM(R80:R85)</f>
        <v>585.6</v>
      </c>
      <c r="S86" s="53"/>
      <c r="T86" s="53"/>
      <c r="U86" s="53"/>
      <c r="V86" s="53"/>
      <c r="W86" s="53"/>
      <c r="X86" s="53"/>
      <c r="Y86" s="53"/>
      <c r="Z86" s="53"/>
      <c r="AA86" s="53"/>
      <c r="AB86" s="53"/>
      <c r="AC86" s="53"/>
      <c r="AD86" s="53"/>
      <c r="AE86" s="53"/>
      <c r="AF86" s="53"/>
      <c r="AG86" s="53"/>
      <c r="AH86" s="53"/>
      <c r="AI86" s="53"/>
      <c r="AJ86" s="53"/>
      <c r="AK86" s="53"/>
      <c r="AL86" s="637"/>
      <c r="AM86" s="53"/>
      <c r="AN86" s="53"/>
      <c r="AO86" s="53"/>
      <c r="AP86" s="53"/>
      <c r="AQ86" s="637"/>
      <c r="AR86" s="53"/>
      <c r="AS86" s="53"/>
      <c r="AT86" s="53"/>
      <c r="AU86" s="53"/>
      <c r="AV86" s="53"/>
      <c r="AW86" s="53"/>
      <c r="AX86" s="53"/>
      <c r="AY86" s="53"/>
      <c r="AZ86" s="53"/>
      <c r="BA86" s="53"/>
      <c r="BB86" s="53"/>
      <c r="BC86" s="53"/>
      <c r="BD86" s="53"/>
      <c r="BE86" s="53"/>
      <c r="BF86" s="53"/>
      <c r="BG86" s="53"/>
      <c r="BH86" s="53"/>
      <c r="BI86" s="53"/>
    </row>
    <row r="87" spans="2:78" ht="15.75" hidden="1" outlineLevel="1">
      <c r="B87" s="53"/>
      <c r="C87" s="53"/>
      <c r="D87" s="53"/>
      <c r="E87" s="53"/>
      <c r="F87" s="53"/>
      <c r="G87" s="53"/>
      <c r="H87" s="53"/>
      <c r="I87" s="54"/>
      <c r="J87" s="53"/>
      <c r="K87" s="5"/>
      <c r="L87" s="53"/>
      <c r="M87" s="53"/>
      <c r="N87" s="5"/>
      <c r="O87" s="5"/>
      <c r="P87" s="5"/>
      <c r="Q87" s="5"/>
      <c r="R87" s="5"/>
      <c r="S87" s="5"/>
      <c r="T87" s="5"/>
      <c r="U87" s="5"/>
      <c r="V87" s="5"/>
      <c r="W87" s="5"/>
      <c r="X87" s="5"/>
      <c r="Y87" s="5"/>
      <c r="Z87" s="5"/>
      <c r="AA87" s="5"/>
      <c r="AB87" s="5"/>
      <c r="AC87" s="5"/>
      <c r="AD87" s="5"/>
      <c r="AE87" s="5"/>
      <c r="AF87" s="5"/>
      <c r="AG87" s="5"/>
      <c r="AH87" s="5"/>
      <c r="AI87" s="5"/>
      <c r="AJ87" s="5"/>
      <c r="AK87" s="5"/>
      <c r="AL87" s="637"/>
      <c r="AM87" s="5"/>
      <c r="AN87" s="5"/>
      <c r="AO87" s="5"/>
      <c r="AP87" s="5"/>
      <c r="AQ87" s="637"/>
      <c r="AR87" s="5"/>
      <c r="AS87" s="5"/>
      <c r="AT87" s="5"/>
      <c r="AU87" s="5"/>
      <c r="AV87" s="53"/>
      <c r="AW87" s="5"/>
      <c r="AX87" s="5"/>
      <c r="AY87" s="5"/>
      <c r="AZ87" s="5"/>
      <c r="BA87" s="53"/>
      <c r="BB87" s="5"/>
      <c r="BC87" s="5"/>
      <c r="BD87" s="5"/>
      <c r="BE87" s="5"/>
      <c r="BF87" s="53"/>
      <c r="BG87" s="53"/>
      <c r="BH87" s="53"/>
      <c r="BI87" s="53"/>
    </row>
    <row r="88" spans="2:78" ht="15.75" collapsed="1">
      <c r="C88" s="53"/>
      <c r="D88" s="53"/>
      <c r="E88" s="53"/>
      <c r="F88" s="53"/>
      <c r="G88" s="53"/>
      <c r="H88" s="53"/>
      <c r="I88" s="54"/>
      <c r="J88" s="53"/>
      <c r="K88" s="5"/>
      <c r="L88" s="53"/>
      <c r="M88" s="53"/>
      <c r="N88" s="5"/>
      <c r="O88" s="5"/>
      <c r="P88" s="5"/>
      <c r="Q88" s="5"/>
      <c r="R88" s="5"/>
      <c r="S88" s="5"/>
      <c r="T88" s="5"/>
      <c r="U88" s="5"/>
      <c r="V88" s="5"/>
      <c r="W88" s="5"/>
      <c r="X88" s="5"/>
      <c r="Y88" s="5"/>
      <c r="Z88" s="5"/>
      <c r="AA88" s="5"/>
      <c r="AB88" s="5"/>
      <c r="AC88" s="5"/>
      <c r="AD88" s="5"/>
      <c r="AE88" s="5"/>
      <c r="AF88" s="5"/>
      <c r="AG88" s="5"/>
      <c r="AH88" s="5"/>
      <c r="AI88" s="5"/>
      <c r="AJ88" s="5"/>
      <c r="AK88" s="5"/>
      <c r="AL88" s="637"/>
      <c r="AM88" s="5"/>
      <c r="AN88" s="5"/>
      <c r="AO88" s="5"/>
      <c r="AP88" s="5"/>
      <c r="AQ88" s="637"/>
      <c r="AR88" s="5"/>
      <c r="AS88" s="5"/>
      <c r="AT88" s="5"/>
      <c r="AU88" s="5"/>
      <c r="AV88" s="53"/>
      <c r="AW88" s="5"/>
      <c r="AX88" s="5"/>
      <c r="AY88" s="5"/>
      <c r="AZ88" s="5"/>
      <c r="BA88" s="53"/>
      <c r="BB88" s="5"/>
      <c r="BC88" s="5"/>
      <c r="BD88" s="5"/>
      <c r="BE88" s="5"/>
      <c r="BF88" s="53"/>
      <c r="BG88" s="53"/>
      <c r="BH88" s="53"/>
      <c r="BI88" s="53"/>
    </row>
    <row r="89" spans="2:78" ht="15.75">
      <c r="C89" s="53"/>
      <c r="D89" s="53"/>
      <c r="E89" s="53"/>
      <c r="F89" s="53"/>
      <c r="G89" s="53"/>
      <c r="H89" s="53"/>
      <c r="I89" s="54"/>
      <c r="J89" s="53"/>
      <c r="K89" s="5"/>
      <c r="L89" s="53"/>
      <c r="M89" s="53"/>
      <c r="N89" s="5"/>
      <c r="O89" s="5"/>
      <c r="P89" s="5"/>
      <c r="Q89" s="5"/>
      <c r="R89" s="5"/>
      <c r="S89" s="5"/>
      <c r="T89" s="5"/>
      <c r="U89" s="5"/>
      <c r="V89" s="5"/>
      <c r="W89" s="5"/>
      <c r="X89" s="5"/>
      <c r="Y89" s="5"/>
      <c r="Z89" s="5"/>
      <c r="AA89" s="5"/>
      <c r="AB89" s="5"/>
      <c r="AC89" s="5"/>
      <c r="AD89" s="5"/>
      <c r="AE89" s="5"/>
      <c r="AF89" s="5"/>
      <c r="AG89" s="5"/>
      <c r="AH89" s="5"/>
      <c r="AI89" s="5"/>
      <c r="AJ89" s="5"/>
      <c r="AK89" s="5"/>
      <c r="AL89" s="637"/>
      <c r="AM89" s="5"/>
      <c r="AN89" s="5"/>
      <c r="AO89" s="5"/>
      <c r="AP89" s="5"/>
      <c r="AQ89" s="637"/>
      <c r="AR89" s="5"/>
      <c r="AS89" s="5"/>
      <c r="AT89" s="5"/>
      <c r="AU89" s="5"/>
      <c r="AV89" s="53"/>
      <c r="AW89" s="5"/>
      <c r="AX89" s="5"/>
      <c r="AY89" s="5"/>
      <c r="AZ89" s="5"/>
      <c r="BA89" s="53"/>
      <c r="BB89" s="5"/>
      <c r="BC89" s="5"/>
      <c r="BD89" s="5"/>
      <c r="BE89" s="5"/>
      <c r="BF89" s="53"/>
      <c r="BG89" s="53"/>
      <c r="BH89" s="53"/>
      <c r="BI89" s="53"/>
    </row>
    <row r="90" spans="2:78" ht="15.75" hidden="1" outlineLevel="1">
      <c r="B90" s="636" t="s">
        <v>29</v>
      </c>
      <c r="C90" s="50"/>
      <c r="D90" s="50"/>
      <c r="E90" s="50"/>
      <c r="F90" s="50"/>
      <c r="G90" s="50"/>
      <c r="H90" s="50"/>
      <c r="I90" s="57"/>
      <c r="J90" s="50"/>
      <c r="K90" s="512"/>
      <c r="L90" s="50"/>
      <c r="M90" s="50"/>
      <c r="N90" s="512"/>
      <c r="O90" s="51" t="str">
        <f t="shared" ref="O90:AK90" si="72">O4</f>
        <v>Q1 17</v>
      </c>
      <c r="P90" s="51" t="str">
        <f t="shared" si="72"/>
        <v>Q2 17</v>
      </c>
      <c r="Q90" s="51" t="str">
        <f t="shared" si="72"/>
        <v>Q3 17</v>
      </c>
      <c r="R90" s="51" t="str">
        <f t="shared" si="72"/>
        <v>Q4 17</v>
      </c>
      <c r="S90" s="51" t="str">
        <f t="shared" si="72"/>
        <v>Q1 18</v>
      </c>
      <c r="T90" s="51" t="str">
        <f t="shared" si="72"/>
        <v>Q2 18</v>
      </c>
      <c r="U90" s="51" t="str">
        <f t="shared" si="72"/>
        <v>Q3 18</v>
      </c>
      <c r="V90" s="51" t="str">
        <f t="shared" si="72"/>
        <v>Q4 18</v>
      </c>
      <c r="W90" s="51">
        <f t="shared" si="72"/>
        <v>2018</v>
      </c>
      <c r="X90" s="51" t="str">
        <f t="shared" si="72"/>
        <v>Q1 19</v>
      </c>
      <c r="Y90" s="51" t="str">
        <f t="shared" si="72"/>
        <v>Q2 19</v>
      </c>
      <c r="Z90" s="51" t="str">
        <f t="shared" si="72"/>
        <v>Q3 19</v>
      </c>
      <c r="AA90" s="51" t="str">
        <f t="shared" si="72"/>
        <v>Q4 19</v>
      </c>
      <c r="AB90" s="51">
        <f t="shared" si="72"/>
        <v>2019</v>
      </c>
      <c r="AC90" s="51" t="str">
        <f t="shared" si="72"/>
        <v>Q1 20</v>
      </c>
      <c r="AD90" s="51" t="str">
        <f t="shared" si="72"/>
        <v>Q2 20</v>
      </c>
      <c r="AE90" s="51" t="str">
        <f t="shared" si="72"/>
        <v>Q3 20</v>
      </c>
      <c r="AF90" s="51" t="str">
        <f t="shared" si="72"/>
        <v>Q4 20</v>
      </c>
      <c r="AG90" s="51">
        <f t="shared" si="72"/>
        <v>2020</v>
      </c>
      <c r="AH90" s="51" t="str">
        <f t="shared" si="72"/>
        <v>Q1 21</v>
      </c>
      <c r="AI90" s="51" t="str">
        <f t="shared" si="72"/>
        <v>Q2 21</v>
      </c>
      <c r="AJ90" s="51" t="str">
        <f t="shared" si="72"/>
        <v>Q3 21</v>
      </c>
      <c r="AK90" s="51" t="str">
        <f t="shared" si="72"/>
        <v>Q4 21</v>
      </c>
      <c r="AM90" s="51" t="str">
        <f>AM4</f>
        <v>Q1 22</v>
      </c>
      <c r="AN90" s="51" t="str">
        <f>AN4</f>
        <v>Q2 22</v>
      </c>
      <c r="AO90" s="51" t="s">
        <v>5951</v>
      </c>
      <c r="AP90" s="51"/>
      <c r="AQ90" s="637"/>
      <c r="AR90" s="51"/>
      <c r="AS90" s="51"/>
      <c r="AT90" s="51"/>
      <c r="AU90" s="51"/>
      <c r="AV90" s="53"/>
      <c r="AW90" s="51"/>
      <c r="AX90" s="51"/>
      <c r="AY90" s="51"/>
      <c r="AZ90" s="51"/>
      <c r="BA90" s="53"/>
      <c r="BB90" s="51"/>
      <c r="BC90" s="51"/>
      <c r="BD90" s="51"/>
      <c r="BE90" s="51"/>
      <c r="BF90" s="53"/>
      <c r="BG90" s="53"/>
      <c r="BH90" s="53"/>
      <c r="BI90" s="53"/>
    </row>
    <row r="91" spans="2:78" ht="15.75" hidden="1" outlineLevel="1">
      <c r="B91" s="53" t="s">
        <v>3631</v>
      </c>
      <c r="C91" s="53"/>
      <c r="D91" s="53"/>
      <c r="E91" s="53"/>
      <c r="F91" s="53"/>
      <c r="G91" s="53"/>
      <c r="H91" s="53"/>
      <c r="I91" s="54"/>
      <c r="J91" s="53"/>
      <c r="K91" s="5"/>
      <c r="L91" s="53"/>
      <c r="M91" s="53"/>
      <c r="N91" s="5"/>
      <c r="O91" s="5"/>
      <c r="P91" s="5"/>
      <c r="Q91" s="5"/>
      <c r="R91" s="5"/>
      <c r="S91" s="481"/>
      <c r="T91" s="481"/>
      <c r="U91" s="481"/>
      <c r="V91" s="481"/>
      <c r="W91" s="5"/>
      <c r="X91" s="5"/>
      <c r="Y91" s="5"/>
      <c r="Z91" s="5"/>
      <c r="AA91" s="5"/>
      <c r="AB91" s="5"/>
      <c r="AC91" s="5"/>
      <c r="AD91" s="5"/>
      <c r="AE91" s="5"/>
      <c r="AF91" s="5"/>
      <c r="AG91" s="5"/>
      <c r="AH91" s="5"/>
      <c r="AI91" s="5"/>
      <c r="AJ91" s="5"/>
      <c r="AK91" s="5"/>
      <c r="AM91" s="5"/>
      <c r="AN91" s="5"/>
      <c r="AO91" s="5"/>
      <c r="AP91" s="5"/>
      <c r="AR91" s="5"/>
      <c r="AS91" s="5"/>
      <c r="AT91" s="5"/>
      <c r="AU91" s="5"/>
      <c r="AW91" s="5"/>
      <c r="AX91" s="5"/>
      <c r="AY91" s="5"/>
      <c r="AZ91" s="5"/>
      <c r="BB91" s="5"/>
      <c r="BC91" s="5"/>
      <c r="BD91" s="5"/>
      <c r="BE91" s="5"/>
      <c r="BN91" s="636"/>
      <c r="BO91" s="636"/>
      <c r="BP91" s="642" t="str">
        <f>S79</f>
        <v>Q1 18</v>
      </c>
      <c r="BQ91" s="642" t="str">
        <f>T79</f>
        <v>Q2 18</v>
      </c>
      <c r="BR91" s="642" t="str">
        <f>U79</f>
        <v>Q3 18</v>
      </c>
      <c r="BS91" s="642" t="str">
        <f>V79</f>
        <v>Q4 18</v>
      </c>
      <c r="BT91" s="642" t="str">
        <f>X79</f>
        <v>Q1 19</v>
      </c>
      <c r="BU91" s="642" t="str">
        <f>Y79</f>
        <v>Q2 19</v>
      </c>
      <c r="BV91" s="642" t="str">
        <f>Z79</f>
        <v>Q3 19</v>
      </c>
      <c r="BW91" s="642" t="str">
        <f>AA79</f>
        <v>Q4 19</v>
      </c>
      <c r="BX91" s="642" t="str">
        <f>AC79</f>
        <v>Q1 20</v>
      </c>
      <c r="BY91" s="642" t="str">
        <f>AD79</f>
        <v>Q2 20</v>
      </c>
      <c r="BZ91" s="642" t="str">
        <f>AE79</f>
        <v>Q3 20</v>
      </c>
    </row>
    <row r="92" spans="2:78" ht="15.75" hidden="1" outlineLevel="1">
      <c r="B92" s="53" t="s">
        <v>1568</v>
      </c>
      <c r="C92" s="53"/>
      <c r="D92" s="53"/>
      <c r="E92" s="53"/>
      <c r="F92" s="53"/>
      <c r="G92" s="53"/>
      <c r="H92" s="53"/>
      <c r="I92" s="54"/>
      <c r="J92" s="53"/>
      <c r="K92" s="5"/>
      <c r="L92" s="53"/>
      <c r="M92" s="53"/>
      <c r="N92" s="5"/>
      <c r="O92" s="481">
        <v>40.5</v>
      </c>
      <c r="P92" s="481">
        <v>39.700000000000003</v>
      </c>
      <c r="Q92" s="481">
        <v>42.7</v>
      </c>
      <c r="R92" s="481">
        <v>41.9</v>
      </c>
      <c r="S92" s="481">
        <v>42.7</v>
      </c>
      <c r="T92" s="481">
        <v>43.2</v>
      </c>
      <c r="U92" s="481">
        <v>43</v>
      </c>
      <c r="V92" s="481">
        <f>172-S92-T92-U92</f>
        <v>43.100000000000009</v>
      </c>
      <c r="W92" s="5"/>
      <c r="X92" s="481">
        <v>43.9</v>
      </c>
      <c r="Y92" s="481">
        <v>46.8</v>
      </c>
      <c r="Z92" s="481">
        <v>45.3</v>
      </c>
      <c r="AA92" s="481">
        <v>45.1</v>
      </c>
      <c r="AB92" s="5"/>
      <c r="AC92" s="481">
        <v>44.9</v>
      </c>
      <c r="AD92" s="481">
        <v>42.7</v>
      </c>
      <c r="AE92" s="481">
        <v>40.799999999999997</v>
      </c>
      <c r="AF92" s="481">
        <v>41.8</v>
      </c>
      <c r="AG92" s="5"/>
      <c r="AH92" s="481">
        <v>40.5</v>
      </c>
      <c r="AI92" s="481">
        <v>39.6</v>
      </c>
      <c r="AJ92" s="481">
        <v>39.1</v>
      </c>
      <c r="AK92" s="481">
        <f>158-AH92-AI92-AJ92</f>
        <v>38.800000000000004</v>
      </c>
      <c r="AM92" s="481"/>
      <c r="AN92" s="481"/>
      <c r="AO92" s="481"/>
      <c r="AP92" s="481"/>
      <c r="AR92" s="481"/>
      <c r="AS92" s="481"/>
      <c r="AT92" s="481"/>
      <c r="AU92" s="481"/>
      <c r="AW92" s="481"/>
      <c r="AX92" s="481"/>
      <c r="AY92" s="481"/>
      <c r="AZ92" s="481"/>
      <c r="BB92" s="481"/>
      <c r="BC92" s="481"/>
      <c r="BD92" s="481"/>
      <c r="BE92" s="481"/>
      <c r="BN92" s="53" t="str">
        <f t="shared" ref="BN92:BN97" si="73">B92</f>
        <v>Video</v>
      </c>
      <c r="BO92" s="53"/>
      <c r="BP92" s="56">
        <f t="shared" ref="BP92:BS97" si="74">S92/O92-1</f>
        <v>5.432098765432114E-2</v>
      </c>
      <c r="BQ92" s="56">
        <f t="shared" si="74"/>
        <v>8.8161209068010171E-2</v>
      </c>
      <c r="BR92" s="56">
        <f t="shared" si="74"/>
        <v>7.0257611241217877E-3</v>
      </c>
      <c r="BS92" s="56">
        <f t="shared" si="74"/>
        <v>2.8639618138424972E-2</v>
      </c>
      <c r="BT92" s="56">
        <f t="shared" ref="BT92:BW97" si="75">X92/S92-1</f>
        <v>2.8103044496486929E-2</v>
      </c>
      <c r="BU92" s="56">
        <f t="shared" si="75"/>
        <v>8.3333333333333259E-2</v>
      </c>
      <c r="BV92" s="56">
        <f t="shared" si="75"/>
        <v>5.3488372093023262E-2</v>
      </c>
      <c r="BW92" s="56">
        <f t="shared" si="75"/>
        <v>4.640371229698359E-2</v>
      </c>
      <c r="BX92" s="56">
        <f t="shared" ref="BX92:BZ97" si="76">AC92/X92-1</f>
        <v>2.277904328018221E-2</v>
      </c>
      <c r="BY92" s="56">
        <f t="shared" si="76"/>
        <v>-8.7606837606837518E-2</v>
      </c>
      <c r="BZ92" s="56">
        <f t="shared" si="76"/>
        <v>-9.9337748344370813E-2</v>
      </c>
    </row>
    <row r="93" spans="2:78" ht="15.75" hidden="1" outlineLevel="1">
      <c r="B93" s="53" t="s">
        <v>1567</v>
      </c>
      <c r="C93" s="53"/>
      <c r="D93" s="53"/>
      <c r="E93" s="53"/>
      <c r="F93" s="53"/>
      <c r="G93" s="53"/>
      <c r="H93" s="53"/>
      <c r="I93" s="54"/>
      <c r="J93" s="53"/>
      <c r="K93" s="5"/>
      <c r="L93" s="53"/>
      <c r="M93" s="53"/>
      <c r="N93" s="5"/>
      <c r="O93" s="481">
        <v>52.8</v>
      </c>
      <c r="P93" s="481">
        <v>52.3</v>
      </c>
      <c r="Q93" s="481">
        <v>52.3</v>
      </c>
      <c r="R93" s="481">
        <v>51.8</v>
      </c>
      <c r="S93" s="481">
        <v>53.7</v>
      </c>
      <c r="T93" s="481">
        <v>56.4</v>
      </c>
      <c r="U93" s="481">
        <v>57.1</v>
      </c>
      <c r="V93" s="481">
        <f>225.3-S93-T93-U93</f>
        <v>58.100000000000016</v>
      </c>
      <c r="W93" s="5"/>
      <c r="X93" s="481">
        <v>60.2</v>
      </c>
      <c r="Y93" s="481">
        <v>65.5</v>
      </c>
      <c r="Z93" s="481">
        <v>66.900000000000006</v>
      </c>
      <c r="AA93" s="481">
        <v>67.400000000000006</v>
      </c>
      <c r="AB93" s="5"/>
      <c r="AC93" s="481">
        <v>71</v>
      </c>
      <c r="AD93" s="481">
        <v>70.5</v>
      </c>
      <c r="AE93" s="481">
        <v>72.2</v>
      </c>
      <c r="AF93" s="481">
        <v>75.3</v>
      </c>
      <c r="AG93" s="5"/>
      <c r="AH93" s="481">
        <v>77.3</v>
      </c>
      <c r="AI93" s="481">
        <v>78.5</v>
      </c>
      <c r="AJ93" s="481">
        <v>80.400000000000006</v>
      </c>
      <c r="AK93" s="481">
        <f>318.1-AH93-AI93-AJ93</f>
        <v>81.900000000000006</v>
      </c>
      <c r="AM93" s="481"/>
      <c r="AN93" s="481"/>
      <c r="AO93" s="481"/>
      <c r="AP93" s="481"/>
      <c r="AR93" s="481"/>
      <c r="AS93" s="481"/>
      <c r="AT93" s="481"/>
      <c r="AU93" s="481"/>
      <c r="AW93" s="481"/>
      <c r="AX93" s="481"/>
      <c r="AY93" s="481"/>
      <c r="AZ93" s="481"/>
      <c r="BB93" s="481"/>
      <c r="BC93" s="481"/>
      <c r="BD93" s="481"/>
      <c r="BE93" s="481"/>
      <c r="BN93" s="53" t="str">
        <f t="shared" si="73"/>
        <v>BB</v>
      </c>
      <c r="BO93" s="53"/>
      <c r="BP93" s="56">
        <f t="shared" si="74"/>
        <v>1.7045454545454586E-2</v>
      </c>
      <c r="BQ93" s="56">
        <f t="shared" si="74"/>
        <v>7.8393881453154846E-2</v>
      </c>
      <c r="BR93" s="56">
        <f t="shared" si="74"/>
        <v>9.1778202676864318E-2</v>
      </c>
      <c r="BS93" s="56">
        <f t="shared" si="74"/>
        <v>0.12162162162162193</v>
      </c>
      <c r="BT93" s="56">
        <f t="shared" si="75"/>
        <v>0.12104283054003728</v>
      </c>
      <c r="BU93" s="56">
        <f t="shared" si="75"/>
        <v>0.16134751773049638</v>
      </c>
      <c r="BV93" s="56">
        <f t="shared" si="75"/>
        <v>0.17162872154115583</v>
      </c>
      <c r="BW93" s="56">
        <f t="shared" si="75"/>
        <v>0.16006884681583444</v>
      </c>
      <c r="BX93" s="56">
        <f t="shared" si="76"/>
        <v>0.17940199335548157</v>
      </c>
      <c r="BY93" s="56">
        <f t="shared" si="76"/>
        <v>7.6335877862595325E-2</v>
      </c>
      <c r="BZ93" s="56">
        <f t="shared" si="76"/>
        <v>7.9222720478325792E-2</v>
      </c>
    </row>
    <row r="94" spans="2:78" ht="15.75" hidden="1" outlineLevel="1">
      <c r="B94" s="50" t="s">
        <v>1870</v>
      </c>
      <c r="C94" s="50"/>
      <c r="D94" s="50"/>
      <c r="E94" s="50"/>
      <c r="F94" s="50"/>
      <c r="G94" s="50"/>
      <c r="H94" s="50"/>
      <c r="I94" s="57"/>
      <c r="J94" s="50"/>
      <c r="K94" s="512"/>
      <c r="L94" s="50"/>
      <c r="M94" s="50"/>
      <c r="N94" s="512"/>
      <c r="O94" s="638">
        <v>29.1</v>
      </c>
      <c r="P94" s="638">
        <v>28.1</v>
      </c>
      <c r="Q94" s="638">
        <v>28.1</v>
      </c>
      <c r="R94" s="638">
        <v>29.1</v>
      </c>
      <c r="S94" s="638">
        <v>26.8</v>
      </c>
      <c r="T94" s="638">
        <v>25.9</v>
      </c>
      <c r="U94" s="638">
        <v>25</v>
      </c>
      <c r="V94" s="638">
        <f>101-S94-T94-U94</f>
        <v>23.300000000000004</v>
      </c>
      <c r="W94" s="5"/>
      <c r="X94" s="638">
        <v>24.3</v>
      </c>
      <c r="Y94" s="638">
        <v>26.7</v>
      </c>
      <c r="Z94" s="638">
        <v>26</v>
      </c>
      <c r="AA94" s="638">
        <v>24.9</v>
      </c>
      <c r="AB94" s="512"/>
      <c r="AC94" s="638">
        <v>24.3</v>
      </c>
      <c r="AD94" s="638">
        <v>24.2</v>
      </c>
      <c r="AE94" s="638">
        <v>22.6</v>
      </c>
      <c r="AF94" s="638">
        <v>22.3</v>
      </c>
      <c r="AG94" s="512"/>
      <c r="AH94" s="638">
        <v>20.8</v>
      </c>
      <c r="AI94" s="638">
        <v>21.3</v>
      </c>
      <c r="AJ94" s="638">
        <v>20.9</v>
      </c>
      <c r="AK94" s="638">
        <f>85.2-AH94-AI94-AJ94</f>
        <v>22.20000000000001</v>
      </c>
      <c r="AM94" s="638"/>
      <c r="AN94" s="638"/>
      <c r="AO94" s="638"/>
      <c r="AP94" s="638"/>
      <c r="AR94" s="638"/>
      <c r="AS94" s="638"/>
      <c r="AT94" s="638"/>
      <c r="AU94" s="638"/>
      <c r="AW94" s="638"/>
      <c r="AX94" s="638"/>
      <c r="AY94" s="638"/>
      <c r="AZ94" s="638"/>
      <c r="BB94" s="638"/>
      <c r="BC94" s="638"/>
      <c r="BD94" s="638"/>
      <c r="BE94" s="638"/>
      <c r="BN94" s="50" t="str">
        <f t="shared" si="73"/>
        <v>Voice</v>
      </c>
      <c r="BO94" s="50"/>
      <c r="BP94" s="631">
        <f t="shared" si="74"/>
        <v>-7.9037800687285276E-2</v>
      </c>
      <c r="BQ94" s="631">
        <f t="shared" si="74"/>
        <v>-7.8291814946619298E-2</v>
      </c>
      <c r="BR94" s="631">
        <f t="shared" si="74"/>
        <v>-0.11032028469750899</v>
      </c>
      <c r="BS94" s="631">
        <f t="shared" si="74"/>
        <v>-0.19931271477663215</v>
      </c>
      <c r="BT94" s="631">
        <f t="shared" si="75"/>
        <v>-9.3283582089552231E-2</v>
      </c>
      <c r="BU94" s="631">
        <f t="shared" si="75"/>
        <v>3.0888030888030826E-2</v>
      </c>
      <c r="BV94" s="631">
        <f t="shared" si="75"/>
        <v>4.0000000000000036E-2</v>
      </c>
      <c r="BW94" s="631">
        <f t="shared" si="75"/>
        <v>6.8669527896995541E-2</v>
      </c>
      <c r="BX94" s="631">
        <f t="shared" si="76"/>
        <v>0</v>
      </c>
      <c r="BY94" s="631">
        <f t="shared" si="76"/>
        <v>-9.3632958801498134E-2</v>
      </c>
      <c r="BZ94" s="631">
        <f t="shared" si="76"/>
        <v>-0.13076923076923075</v>
      </c>
    </row>
    <row r="95" spans="2:78" ht="15.75" hidden="1" outlineLevel="1">
      <c r="B95" s="53" t="s">
        <v>3632</v>
      </c>
      <c r="C95" s="53"/>
      <c r="D95" s="53"/>
      <c r="E95" s="53"/>
      <c r="F95" s="53"/>
      <c r="G95" s="53"/>
      <c r="H95" s="53"/>
      <c r="I95" s="54"/>
      <c r="J95" s="53"/>
      <c r="K95" s="5"/>
      <c r="L95" s="53"/>
      <c r="M95" s="53"/>
      <c r="N95" s="5"/>
      <c r="O95" s="481">
        <f t="shared" ref="O95:V95" si="77">SUM(O92:O94)</f>
        <v>122.4</v>
      </c>
      <c r="P95" s="481">
        <f t="shared" si="77"/>
        <v>120.1</v>
      </c>
      <c r="Q95" s="481">
        <f t="shared" si="77"/>
        <v>123.1</v>
      </c>
      <c r="R95" s="481">
        <f t="shared" si="77"/>
        <v>122.79999999999998</v>
      </c>
      <c r="S95" s="481">
        <f t="shared" si="77"/>
        <v>123.2</v>
      </c>
      <c r="T95" s="481">
        <f t="shared" si="77"/>
        <v>125.5</v>
      </c>
      <c r="U95" s="481">
        <f t="shared" si="77"/>
        <v>125.1</v>
      </c>
      <c r="V95" s="481">
        <f t="shared" si="77"/>
        <v>124.50000000000003</v>
      </c>
      <c r="W95" s="5"/>
      <c r="X95" s="481">
        <f>SUM(X92:X94)</f>
        <v>128.4</v>
      </c>
      <c r="Y95" s="481">
        <f>SUM(Y92:Y94)</f>
        <v>139</v>
      </c>
      <c r="Z95" s="481">
        <f>SUM(Z92:Z94)</f>
        <v>138.19999999999999</v>
      </c>
      <c r="AA95" s="481">
        <f>SUM(AA92:AA94)</f>
        <v>137.4</v>
      </c>
      <c r="AB95" s="481">
        <f>'New Format'!F226</f>
        <v>543</v>
      </c>
      <c r="AC95" s="481">
        <f>SUM(AC92:AC94)</f>
        <v>140.20000000000002</v>
      </c>
      <c r="AD95" s="481">
        <f>SUM(AD92:AD94)</f>
        <v>137.4</v>
      </c>
      <c r="AE95" s="481">
        <f>SUM(AE92:AE94)</f>
        <v>135.6</v>
      </c>
      <c r="AF95" s="481">
        <f>SUM(AF92:AF94)</f>
        <v>139.4</v>
      </c>
      <c r="AG95" s="481">
        <f>'New Format'!G226</f>
        <v>552.6</v>
      </c>
      <c r="AH95" s="481">
        <f>SUM(AH92:AH94)</f>
        <v>138.6</v>
      </c>
      <c r="AI95" s="481">
        <f>SUM(AI92:AI94)</f>
        <v>139.4</v>
      </c>
      <c r="AJ95" s="481">
        <f>SUM(AJ92:AJ94)</f>
        <v>140.4</v>
      </c>
      <c r="AK95" s="481">
        <f>SUM(AK92:AK94)</f>
        <v>142.90000000000003</v>
      </c>
      <c r="AM95" s="481"/>
      <c r="AN95" s="481"/>
      <c r="AO95" s="481"/>
      <c r="AP95" s="481"/>
      <c r="AR95" s="481"/>
      <c r="AS95" s="481"/>
      <c r="AT95" s="481"/>
      <c r="AU95" s="481"/>
      <c r="AW95" s="481"/>
      <c r="AX95" s="481"/>
      <c r="AY95" s="481"/>
      <c r="AZ95" s="481"/>
      <c r="BB95" s="481"/>
      <c r="BC95" s="481"/>
      <c r="BD95" s="481"/>
      <c r="BE95" s="481"/>
      <c r="BN95" s="53" t="str">
        <f t="shared" si="73"/>
        <v>Total subscription</v>
      </c>
      <c r="BO95" s="53"/>
      <c r="BP95" s="56">
        <f t="shared" si="74"/>
        <v>6.5359477124182774E-3</v>
      </c>
      <c r="BQ95" s="56">
        <f t="shared" si="74"/>
        <v>4.4962531223980085E-2</v>
      </c>
      <c r="BR95" s="56">
        <f t="shared" si="74"/>
        <v>1.6246953696182009E-2</v>
      </c>
      <c r="BS95" s="56">
        <f t="shared" si="74"/>
        <v>1.3843648208469395E-2</v>
      </c>
      <c r="BT95" s="56">
        <f t="shared" si="75"/>
        <v>4.2207792207792139E-2</v>
      </c>
      <c r="BU95" s="56">
        <f t="shared" si="75"/>
        <v>0.10756972111553775</v>
      </c>
      <c r="BV95" s="56">
        <f t="shared" si="75"/>
        <v>0.10471622701838523</v>
      </c>
      <c r="BW95" s="56">
        <f t="shared" si="75"/>
        <v>0.10361445783132517</v>
      </c>
      <c r="BX95" s="56">
        <f t="shared" si="76"/>
        <v>9.1900311526479816E-2</v>
      </c>
      <c r="BY95" s="56">
        <f t="shared" si="76"/>
        <v>-1.151079136690647E-2</v>
      </c>
      <c r="BZ95" s="56">
        <f t="shared" si="76"/>
        <v>-1.8813314037626538E-2</v>
      </c>
    </row>
    <row r="96" spans="2:78" ht="15.75" hidden="1" outlineLevel="1">
      <c r="B96" s="50" t="s">
        <v>3633</v>
      </c>
      <c r="C96" s="50"/>
      <c r="D96" s="50"/>
      <c r="E96" s="50"/>
      <c r="F96" s="50"/>
      <c r="G96" s="50"/>
      <c r="H96" s="50"/>
      <c r="I96" s="57"/>
      <c r="J96" s="50"/>
      <c r="K96" s="512"/>
      <c r="L96" s="50"/>
      <c r="M96" s="50"/>
      <c r="N96" s="512"/>
      <c r="O96" s="638">
        <v>23.5</v>
      </c>
      <c r="P96" s="638">
        <v>19.3</v>
      </c>
      <c r="Q96" s="638">
        <v>19.3</v>
      </c>
      <c r="R96" s="638">
        <v>14.2</v>
      </c>
      <c r="S96" s="638">
        <v>21.5</v>
      </c>
      <c r="T96" s="638">
        <v>16.899999999999999</v>
      </c>
      <c r="U96" s="638">
        <v>18</v>
      </c>
      <c r="V96" s="638">
        <f>68.3-S96-T96-U96</f>
        <v>11.899999999999999</v>
      </c>
      <c r="W96" s="5"/>
      <c r="X96" s="638">
        <v>15</v>
      </c>
      <c r="Y96" s="638">
        <v>14.8</v>
      </c>
      <c r="Z96" s="638">
        <v>16.7</v>
      </c>
      <c r="AA96" s="638">
        <v>15.4</v>
      </c>
      <c r="AB96" s="638">
        <f>SUM(X96:AA96)</f>
        <v>61.9</v>
      </c>
      <c r="AC96" s="638">
        <v>16.899999999999999</v>
      </c>
      <c r="AD96" s="638">
        <v>11.3</v>
      </c>
      <c r="AE96" s="638">
        <v>13.1</v>
      </c>
      <c r="AF96" s="638">
        <v>12.7</v>
      </c>
      <c r="AG96" s="638">
        <f>SUM(Y96:AB96)</f>
        <v>108.8</v>
      </c>
      <c r="AH96" s="638">
        <v>13.2</v>
      </c>
      <c r="AI96" s="638">
        <v>13.8</v>
      </c>
      <c r="AJ96" s="638">
        <v>12.9</v>
      </c>
      <c r="AK96" s="638">
        <f>52.9-AH96-AI96-AJ96</f>
        <v>13.000000000000002</v>
      </c>
      <c r="AM96" s="638"/>
      <c r="AN96" s="638"/>
      <c r="AO96" s="638"/>
      <c r="AP96" s="638"/>
      <c r="AR96" s="638"/>
      <c r="AS96" s="638"/>
      <c r="AT96" s="638"/>
      <c r="AU96" s="638"/>
      <c r="AV96" s="5"/>
      <c r="AW96" s="638"/>
      <c r="AX96" s="638"/>
      <c r="AY96" s="638"/>
      <c r="AZ96" s="638"/>
      <c r="BA96" s="5"/>
      <c r="BB96" s="638"/>
      <c r="BC96" s="638"/>
      <c r="BD96" s="638"/>
      <c r="BE96" s="638"/>
      <c r="BF96" s="5"/>
      <c r="BN96" s="50" t="str">
        <f t="shared" si="73"/>
        <v>Non subs</v>
      </c>
      <c r="BO96" s="50"/>
      <c r="BP96" s="631">
        <f t="shared" si="74"/>
        <v>-8.5106382978723416E-2</v>
      </c>
      <c r="BQ96" s="631">
        <f t="shared" si="74"/>
        <v>-0.12435233160621773</v>
      </c>
      <c r="BR96" s="631">
        <f t="shared" si="74"/>
        <v>-6.7357512953367893E-2</v>
      </c>
      <c r="BS96" s="631">
        <f t="shared" si="74"/>
        <v>-0.1619718309859155</v>
      </c>
      <c r="BT96" s="631">
        <f t="shared" si="75"/>
        <v>-0.30232558139534882</v>
      </c>
      <c r="BU96" s="631">
        <f t="shared" si="75"/>
        <v>-0.12426035502958566</v>
      </c>
      <c r="BV96" s="631">
        <f t="shared" si="75"/>
        <v>-7.2222222222222299E-2</v>
      </c>
      <c r="BW96" s="631">
        <f t="shared" si="75"/>
        <v>0.29411764705882382</v>
      </c>
      <c r="BX96" s="631">
        <f t="shared" si="76"/>
        <v>0.12666666666666648</v>
      </c>
      <c r="BY96" s="631">
        <f t="shared" si="76"/>
        <v>-0.23648648648648651</v>
      </c>
      <c r="BZ96" s="631">
        <f t="shared" si="76"/>
        <v>-0.21556886227544914</v>
      </c>
    </row>
    <row r="97" spans="2:89" ht="15.75" hidden="1" outlineLevel="1">
      <c r="B97" s="53" t="s">
        <v>3634</v>
      </c>
      <c r="C97" s="53"/>
      <c r="D97" s="53"/>
      <c r="E97" s="53"/>
      <c r="F97" s="53"/>
      <c r="G97" s="53"/>
      <c r="H97" s="53"/>
      <c r="I97" s="54"/>
      <c r="J97" s="53"/>
      <c r="K97" s="5"/>
      <c r="L97" s="53"/>
      <c r="M97" s="53"/>
      <c r="N97" s="5"/>
      <c r="O97" s="481">
        <f t="shared" ref="O97:V97" si="78">O95+O96</f>
        <v>145.9</v>
      </c>
      <c r="P97" s="481">
        <f t="shared" si="78"/>
        <v>139.4</v>
      </c>
      <c r="Q97" s="481">
        <f t="shared" si="78"/>
        <v>142.4</v>
      </c>
      <c r="R97" s="481">
        <f t="shared" si="78"/>
        <v>136.99999999999997</v>
      </c>
      <c r="S97" s="481">
        <f t="shared" si="78"/>
        <v>144.69999999999999</v>
      </c>
      <c r="T97" s="481">
        <f t="shared" si="78"/>
        <v>142.4</v>
      </c>
      <c r="U97" s="481">
        <f t="shared" si="78"/>
        <v>143.1</v>
      </c>
      <c r="V97" s="481">
        <f t="shared" si="78"/>
        <v>136.40000000000003</v>
      </c>
      <c r="W97" s="5"/>
      <c r="X97" s="481">
        <f>X95+X96</f>
        <v>143.4</v>
      </c>
      <c r="Y97" s="481">
        <f>Y95+Y96</f>
        <v>153.80000000000001</v>
      </c>
      <c r="Z97" s="481">
        <f>Z95+Z96</f>
        <v>154.89999999999998</v>
      </c>
      <c r="AA97" s="481">
        <f>AA95+AA96</f>
        <v>152.80000000000001</v>
      </c>
      <c r="AB97" s="481">
        <f>AB95+AB96</f>
        <v>604.9</v>
      </c>
      <c r="AC97" s="481">
        <f t="shared" ref="AC97:AH97" si="79">AC95+AC96</f>
        <v>157.10000000000002</v>
      </c>
      <c r="AD97" s="481">
        <f t="shared" si="79"/>
        <v>148.70000000000002</v>
      </c>
      <c r="AE97" s="481">
        <f t="shared" si="79"/>
        <v>148.69999999999999</v>
      </c>
      <c r="AF97" s="481">
        <f t="shared" si="79"/>
        <v>152.1</v>
      </c>
      <c r="AG97" s="481">
        <f>AG95+AG96</f>
        <v>661.4</v>
      </c>
      <c r="AH97" s="481">
        <f t="shared" si="79"/>
        <v>151.79999999999998</v>
      </c>
      <c r="AI97" s="481">
        <f>AI95+AI96</f>
        <v>153.20000000000002</v>
      </c>
      <c r="AJ97" s="481">
        <f>AJ95+AJ96</f>
        <v>153.30000000000001</v>
      </c>
      <c r="AK97" s="481">
        <f>AK95+AK96</f>
        <v>155.90000000000003</v>
      </c>
      <c r="AM97" s="481"/>
      <c r="AN97" s="481"/>
      <c r="AO97" s="481"/>
      <c r="AP97" s="481"/>
      <c r="AR97" s="481"/>
      <c r="AS97" s="481"/>
      <c r="AT97" s="481"/>
      <c r="AU97" s="481"/>
      <c r="AV97" s="5"/>
      <c r="AW97" s="481"/>
      <c r="AX97" s="481"/>
      <c r="AY97" s="481"/>
      <c r="AZ97" s="481"/>
      <c r="BA97" s="5"/>
      <c r="BB97" s="481"/>
      <c r="BC97" s="481"/>
      <c r="BD97" s="481"/>
      <c r="BE97" s="481"/>
      <c r="BF97" s="5"/>
      <c r="BN97" s="53" t="str">
        <f t="shared" si="73"/>
        <v>Total res fixed</v>
      </c>
      <c r="BO97" s="53"/>
      <c r="BP97" s="56">
        <f t="shared" si="74"/>
        <v>-8.2248115147361966E-3</v>
      </c>
      <c r="BQ97" s="56">
        <f t="shared" si="74"/>
        <v>2.1520803443328518E-2</v>
      </c>
      <c r="BR97" s="56">
        <f t="shared" si="74"/>
        <v>4.9157303370785943E-3</v>
      </c>
      <c r="BS97" s="56">
        <f t="shared" si="74"/>
        <v>-4.3795620437951932E-3</v>
      </c>
      <c r="BT97" s="56">
        <f t="shared" si="75"/>
        <v>-8.9841050449204207E-3</v>
      </c>
      <c r="BU97" s="56">
        <f t="shared" si="75"/>
        <v>8.0056179775281011E-2</v>
      </c>
      <c r="BV97" s="56">
        <f t="shared" si="75"/>
        <v>8.2459818308874722E-2</v>
      </c>
      <c r="BW97" s="56">
        <f t="shared" si="75"/>
        <v>0.12023460410557174</v>
      </c>
      <c r="BX97" s="56">
        <f t="shared" si="76"/>
        <v>9.5536959553696121E-2</v>
      </c>
      <c r="BY97" s="56">
        <f t="shared" si="76"/>
        <v>-3.3159947984395255E-2</v>
      </c>
      <c r="BZ97" s="56">
        <f t="shared" si="76"/>
        <v>-4.0025823111684899E-2</v>
      </c>
    </row>
    <row r="98" spans="2:89" ht="15.75" hidden="1" outlineLevel="1">
      <c r="B98" s="53"/>
      <c r="C98" s="53"/>
      <c r="D98" s="53"/>
      <c r="E98" s="53"/>
      <c r="F98" s="53"/>
      <c r="G98" s="53"/>
      <c r="H98" s="53"/>
      <c r="I98" s="54"/>
      <c r="J98" s="53"/>
      <c r="K98" s="5"/>
      <c r="L98" s="53"/>
      <c r="M98" s="53"/>
      <c r="N98" s="5"/>
      <c r="O98" s="481"/>
      <c r="P98" s="481"/>
      <c r="Q98" s="481"/>
      <c r="R98" s="481"/>
      <c r="S98" s="481"/>
      <c r="T98" s="481"/>
      <c r="U98" s="481"/>
      <c r="V98" s="481"/>
      <c r="W98" s="5"/>
      <c r="X98" s="481"/>
      <c r="Y98" s="481"/>
      <c r="Z98" s="481"/>
      <c r="AA98" s="481"/>
      <c r="AB98" s="5"/>
      <c r="AC98" s="481"/>
      <c r="AD98" s="481"/>
      <c r="AE98" s="481"/>
      <c r="AF98" s="481"/>
      <c r="AG98" s="5"/>
      <c r="AH98" s="481"/>
      <c r="AI98" s="481"/>
      <c r="AJ98" s="481"/>
      <c r="AK98" s="481"/>
      <c r="AM98" s="481"/>
      <c r="AN98" s="481"/>
      <c r="AO98" s="481"/>
      <c r="AP98" s="481"/>
      <c r="AR98" s="481"/>
      <c r="AS98" s="481"/>
      <c r="AT98" s="481"/>
      <c r="AU98" s="481"/>
      <c r="AV98" s="5"/>
      <c r="AW98" s="481"/>
      <c r="AX98" s="481"/>
      <c r="AY98" s="481"/>
      <c r="AZ98" s="481"/>
      <c r="BA98" s="5"/>
      <c r="BB98" s="481"/>
      <c r="BC98" s="481"/>
      <c r="BD98" s="481"/>
      <c r="BE98" s="481"/>
      <c r="BF98" s="5"/>
      <c r="BN98" s="53"/>
      <c r="BO98" s="53"/>
      <c r="BP98" s="56"/>
      <c r="BQ98" s="56"/>
      <c r="BR98" s="56"/>
      <c r="BS98" s="56"/>
      <c r="BT98" s="56"/>
      <c r="BU98" s="56"/>
      <c r="BV98" s="56"/>
      <c r="BW98" s="56"/>
      <c r="BX98" s="56"/>
      <c r="BY98" s="56"/>
      <c r="BZ98" s="56"/>
    </row>
    <row r="99" spans="2:89" ht="15.75" hidden="1" outlineLevel="1">
      <c r="B99" s="53" t="s">
        <v>3635</v>
      </c>
      <c r="C99" s="53"/>
      <c r="D99" s="53"/>
      <c r="E99" s="53"/>
      <c r="F99" s="53"/>
      <c r="G99" s="53"/>
      <c r="H99" s="53"/>
      <c r="I99" s="54"/>
      <c r="J99" s="53"/>
      <c r="K99" s="5"/>
      <c r="L99" s="53"/>
      <c r="M99" s="53"/>
      <c r="N99" s="5"/>
      <c r="O99" s="481">
        <f>320.4-P99</f>
        <v>161.79999999999998</v>
      </c>
      <c r="P99" s="481">
        <v>158.6</v>
      </c>
      <c r="Q99" s="481">
        <v>164.6</v>
      </c>
      <c r="R99" s="481">
        <f>643-O99-P99-Q99</f>
        <v>158.00000000000003</v>
      </c>
      <c r="S99" s="481">
        <f>306.2-T99</f>
        <v>155.1</v>
      </c>
      <c r="T99" s="481">
        <v>151.1</v>
      </c>
      <c r="U99" s="481">
        <v>148</v>
      </c>
      <c r="V99" s="481">
        <f>594.2-S99-T99-U99</f>
        <v>140</v>
      </c>
      <c r="W99" s="5"/>
      <c r="X99" s="481">
        <v>135</v>
      </c>
      <c r="Y99" s="481">
        <v>142.1</v>
      </c>
      <c r="Z99" s="481">
        <v>142</v>
      </c>
      <c r="AA99" s="481">
        <v>141.19999999999999</v>
      </c>
      <c r="AB99" s="481">
        <f>'New Format'!F239</f>
        <v>553.09999999999991</v>
      </c>
      <c r="AC99" s="481">
        <v>130.9</v>
      </c>
      <c r="AD99" s="481">
        <v>105.5</v>
      </c>
      <c r="AE99" s="481">
        <v>110.7</v>
      </c>
      <c r="AF99" s="481">
        <v>116.1</v>
      </c>
      <c r="AG99" s="481">
        <f>'New Format'!G239</f>
        <v>463.30000000000018</v>
      </c>
      <c r="AH99" s="481">
        <v>111.1</v>
      </c>
      <c r="AI99" s="481">
        <v>114.4</v>
      </c>
      <c r="AJ99" s="481">
        <v>114.7</v>
      </c>
      <c r="AK99" s="481">
        <f>456.1-AH99-AI99-AJ99</f>
        <v>115.89999999999999</v>
      </c>
      <c r="AM99" s="481"/>
      <c r="AN99" s="481"/>
      <c r="AO99" s="481"/>
      <c r="AP99" s="481"/>
      <c r="AR99" s="481"/>
      <c r="AS99" s="481"/>
      <c r="AT99" s="481"/>
      <c r="AU99" s="481"/>
      <c r="AV99" s="5"/>
      <c r="AW99" s="481"/>
      <c r="AX99" s="481"/>
      <c r="AY99" s="481"/>
      <c r="AZ99" s="481"/>
      <c r="BA99" s="5"/>
      <c r="BB99" s="481"/>
      <c r="BC99" s="481"/>
      <c r="BD99" s="481"/>
      <c r="BE99" s="481"/>
      <c r="BF99" s="5"/>
      <c r="BN99" s="53" t="str">
        <f>B99</f>
        <v>Subscription</v>
      </c>
      <c r="BO99" s="53"/>
      <c r="BP99" s="56">
        <f t="shared" ref="BP99:BS101" si="80">S99/O99-1</f>
        <v>-4.1409147095179177E-2</v>
      </c>
      <c r="BQ99" s="56">
        <f t="shared" si="80"/>
        <v>-4.728877679697352E-2</v>
      </c>
      <c r="BR99" s="56">
        <f t="shared" si="80"/>
        <v>-0.10085054678007288</v>
      </c>
      <c r="BS99" s="56">
        <f t="shared" si="80"/>
        <v>-0.11392405063291156</v>
      </c>
      <c r="BT99" s="56">
        <f t="shared" ref="BT99:BW101" si="81">X99/S99-1</f>
        <v>-0.12959381044487428</v>
      </c>
      <c r="BU99" s="56">
        <f t="shared" si="81"/>
        <v>-5.956320317670416E-2</v>
      </c>
      <c r="BV99" s="56">
        <f t="shared" si="81"/>
        <v>-4.0540540540540571E-2</v>
      </c>
      <c r="BW99" s="56">
        <f t="shared" si="81"/>
        <v>8.5714285714284522E-3</v>
      </c>
      <c r="BX99" s="56">
        <f t="shared" ref="BX99:BZ101" si="82">AC99/X99-1</f>
        <v>-3.0370370370370381E-2</v>
      </c>
      <c r="BY99" s="56">
        <f t="shared" si="82"/>
        <v>-0.25756509500351865</v>
      </c>
      <c r="BZ99" s="56">
        <f t="shared" si="82"/>
        <v>-0.22042253521126753</v>
      </c>
    </row>
    <row r="100" spans="2:89" ht="15.75" hidden="1" outlineLevel="1">
      <c r="B100" s="50" t="s">
        <v>3642</v>
      </c>
      <c r="C100" s="50"/>
      <c r="D100" s="50"/>
      <c r="E100" s="50"/>
      <c r="F100" s="50"/>
      <c r="G100" s="50"/>
      <c r="H100" s="50"/>
      <c r="I100" s="57"/>
      <c r="J100" s="50"/>
      <c r="K100" s="512"/>
      <c r="L100" s="50"/>
      <c r="M100" s="50"/>
      <c r="N100" s="512"/>
      <c r="O100" s="638">
        <f>41.5-P100</f>
        <v>19.899999999999999</v>
      </c>
      <c r="P100" s="638">
        <v>21.6</v>
      </c>
      <c r="Q100" s="638">
        <v>20.399999999999999</v>
      </c>
      <c r="R100" s="638">
        <v>26.6</v>
      </c>
      <c r="S100" s="638">
        <f>43.7-T100</f>
        <v>22.1</v>
      </c>
      <c r="T100" s="638">
        <v>21.6</v>
      </c>
      <c r="U100" s="638">
        <v>20.8</v>
      </c>
      <c r="V100" s="638">
        <f>89.6-S100-T100-U100</f>
        <v>25.099999999999998</v>
      </c>
      <c r="W100" s="5"/>
      <c r="X100" s="638">
        <v>19</v>
      </c>
      <c r="Y100" s="638">
        <v>22.2</v>
      </c>
      <c r="Z100" s="638">
        <v>19.399999999999999</v>
      </c>
      <c r="AA100" s="638">
        <v>24.9</v>
      </c>
      <c r="AB100" s="638">
        <f>'New Format'!F242-AB96</f>
        <v>85.5</v>
      </c>
      <c r="AC100" s="638">
        <v>17.600000000000001</v>
      </c>
      <c r="AD100" s="638">
        <v>17.2</v>
      </c>
      <c r="AE100" s="638">
        <v>20.8</v>
      </c>
      <c r="AF100" s="638">
        <v>20.8</v>
      </c>
      <c r="AG100" s="638">
        <f>'New Format'!G242-AG96</f>
        <v>21.59999999999998</v>
      </c>
      <c r="AH100" s="638">
        <v>21.7</v>
      </c>
      <c r="AI100" s="638">
        <v>25.3</v>
      </c>
      <c r="AJ100" s="638">
        <v>24.4</v>
      </c>
      <c r="AK100" s="638">
        <f>99.6-AH100-AI100-AJ100</f>
        <v>28.199999999999996</v>
      </c>
      <c r="AM100" s="638"/>
      <c r="AN100" s="638"/>
      <c r="AO100" s="638"/>
      <c r="AP100" s="638"/>
      <c r="AR100" s="638"/>
      <c r="AS100" s="638"/>
      <c r="AT100" s="638"/>
      <c r="AU100" s="638"/>
      <c r="AV100" s="5"/>
      <c r="AW100" s="638"/>
      <c r="AX100" s="638"/>
      <c r="AY100" s="638"/>
      <c r="AZ100" s="638"/>
      <c r="BA100" s="5"/>
      <c r="BB100" s="638"/>
      <c r="BC100" s="638"/>
      <c r="BD100" s="638"/>
      <c r="BE100" s="638"/>
      <c r="BF100" s="5"/>
      <c r="BN100" s="50" t="str">
        <f>B100</f>
        <v>Non subscription</v>
      </c>
      <c r="BO100" s="50"/>
      <c r="BP100" s="631">
        <f t="shared" si="80"/>
        <v>0.11055276381909573</v>
      </c>
      <c r="BQ100" s="631">
        <f t="shared" si="80"/>
        <v>0</v>
      </c>
      <c r="BR100" s="631">
        <f t="shared" si="80"/>
        <v>1.9607843137255054E-2</v>
      </c>
      <c r="BS100" s="631">
        <f t="shared" si="80"/>
        <v>-5.6390977443609103E-2</v>
      </c>
      <c r="BT100" s="631">
        <f t="shared" si="81"/>
        <v>-0.14027149321266974</v>
      </c>
      <c r="BU100" s="631">
        <f t="shared" si="81"/>
        <v>2.7777777777777679E-2</v>
      </c>
      <c r="BV100" s="631">
        <f t="shared" si="81"/>
        <v>-6.7307692307692402E-2</v>
      </c>
      <c r="BW100" s="631">
        <f t="shared" si="81"/>
        <v>-7.9681274900398336E-3</v>
      </c>
      <c r="BX100" s="631">
        <f t="shared" si="82"/>
        <v>-7.3684210526315685E-2</v>
      </c>
      <c r="BY100" s="631">
        <f t="shared" si="82"/>
        <v>-0.22522522522522526</v>
      </c>
      <c r="BZ100" s="631">
        <f t="shared" si="82"/>
        <v>7.2164948453608435E-2</v>
      </c>
    </row>
    <row r="101" spans="2:89" ht="15.75" hidden="1" outlineLevel="1">
      <c r="B101" s="53" t="s">
        <v>3643</v>
      </c>
      <c r="C101" s="53"/>
      <c r="D101" s="53"/>
      <c r="E101" s="53"/>
      <c r="F101" s="53"/>
      <c r="G101" s="53"/>
      <c r="H101" s="53"/>
      <c r="I101" s="54"/>
      <c r="J101" s="53"/>
      <c r="K101" s="5"/>
      <c r="L101" s="53"/>
      <c r="M101" s="53"/>
      <c r="N101" s="5"/>
      <c r="O101" s="481">
        <f t="shared" ref="O101:V101" si="83">SUM(O99:O100)</f>
        <v>181.7</v>
      </c>
      <c r="P101" s="481">
        <f t="shared" si="83"/>
        <v>180.2</v>
      </c>
      <c r="Q101" s="481">
        <f t="shared" si="83"/>
        <v>185</v>
      </c>
      <c r="R101" s="481">
        <f t="shared" si="83"/>
        <v>184.60000000000002</v>
      </c>
      <c r="S101" s="481">
        <f t="shared" si="83"/>
        <v>177.2</v>
      </c>
      <c r="T101" s="481">
        <f t="shared" si="83"/>
        <v>172.7</v>
      </c>
      <c r="U101" s="481">
        <f t="shared" si="83"/>
        <v>168.8</v>
      </c>
      <c r="V101" s="481">
        <f t="shared" si="83"/>
        <v>165.1</v>
      </c>
      <c r="W101" s="5"/>
      <c r="X101" s="481">
        <f>SUM(X99:X100)</f>
        <v>154</v>
      </c>
      <c r="Y101" s="481">
        <f>SUM(Y99:Y100)</f>
        <v>164.29999999999998</v>
      </c>
      <c r="Z101" s="481">
        <f>SUM(Z99:Z100)</f>
        <v>161.4</v>
      </c>
      <c r="AA101" s="481">
        <f>SUM(AA99:AA100)</f>
        <v>166.1</v>
      </c>
      <c r="AB101" s="481">
        <f>AB99+AB100</f>
        <v>638.59999999999991</v>
      </c>
      <c r="AC101" s="481">
        <f t="shared" ref="AC101:AH101" si="84">SUM(AC99:AC100)</f>
        <v>148.5</v>
      </c>
      <c r="AD101" s="481">
        <f t="shared" si="84"/>
        <v>122.7</v>
      </c>
      <c r="AE101" s="481">
        <f t="shared" si="84"/>
        <v>131.5</v>
      </c>
      <c r="AF101" s="481">
        <f t="shared" si="84"/>
        <v>136.9</v>
      </c>
      <c r="AG101" s="481">
        <f>AG99+AG100</f>
        <v>484.90000000000015</v>
      </c>
      <c r="AH101" s="481">
        <f t="shared" si="84"/>
        <v>132.79999999999998</v>
      </c>
      <c r="AI101" s="481">
        <f>SUM(AI99:AI100)</f>
        <v>139.70000000000002</v>
      </c>
      <c r="AJ101" s="481">
        <f>SUM(AJ99:AJ100)</f>
        <v>139.1</v>
      </c>
      <c r="AK101" s="481">
        <f>SUM(AK99:AK100)</f>
        <v>144.1</v>
      </c>
      <c r="AM101" s="481"/>
      <c r="AN101" s="481"/>
      <c r="AO101" s="481"/>
      <c r="AP101" s="481"/>
      <c r="AR101" s="481"/>
      <c r="AS101" s="481"/>
      <c r="AT101" s="481"/>
      <c r="AU101" s="481"/>
      <c r="AV101" s="5"/>
      <c r="AW101" s="481"/>
      <c r="AX101" s="481"/>
      <c r="AY101" s="481"/>
      <c r="AZ101" s="481"/>
      <c r="BA101" s="5"/>
      <c r="BB101" s="481"/>
      <c r="BC101" s="481"/>
      <c r="BD101" s="481"/>
      <c r="BE101" s="481"/>
      <c r="BF101" s="5"/>
      <c r="BN101" s="53" t="str">
        <f>B101</f>
        <v>Total mobile</v>
      </c>
      <c r="BO101" s="53"/>
      <c r="BP101" s="56">
        <f t="shared" si="80"/>
        <v>-2.4766097963676348E-2</v>
      </c>
      <c r="BQ101" s="56">
        <f t="shared" si="80"/>
        <v>-4.162042175360714E-2</v>
      </c>
      <c r="BR101" s="56">
        <f t="shared" si="80"/>
        <v>-8.7567567567567561E-2</v>
      </c>
      <c r="BS101" s="56">
        <f t="shared" si="80"/>
        <v>-0.1056338028169016</v>
      </c>
      <c r="BT101" s="56">
        <f t="shared" si="81"/>
        <v>-0.13092550790067714</v>
      </c>
      <c r="BU101" s="56">
        <f t="shared" si="81"/>
        <v>-4.8639258830341703E-2</v>
      </c>
      <c r="BV101" s="56">
        <f t="shared" si="81"/>
        <v>-4.3838862559241742E-2</v>
      </c>
      <c r="BW101" s="56">
        <f t="shared" si="81"/>
        <v>6.0569351907935332E-3</v>
      </c>
      <c r="BX101" s="56">
        <f t="shared" si="82"/>
        <v>-3.5714285714285698E-2</v>
      </c>
      <c r="BY101" s="56">
        <f t="shared" si="82"/>
        <v>-0.25319537431527683</v>
      </c>
      <c r="BZ101" s="56">
        <f t="shared" si="82"/>
        <v>-0.18525402726146223</v>
      </c>
    </row>
    <row r="102" spans="2:89" ht="15.75" hidden="1" outlineLevel="1">
      <c r="B102" s="53"/>
      <c r="C102" s="53"/>
      <c r="D102" s="53"/>
      <c r="E102" s="53"/>
      <c r="F102" s="53"/>
      <c r="G102" s="53"/>
      <c r="H102" s="53"/>
      <c r="I102" s="54"/>
      <c r="J102" s="53"/>
      <c r="K102" s="5"/>
      <c r="L102" s="53"/>
      <c r="M102" s="53"/>
      <c r="N102" s="5"/>
      <c r="O102" s="481"/>
      <c r="P102" s="481"/>
      <c r="Q102" s="481"/>
      <c r="R102" s="481"/>
      <c r="S102" s="481"/>
      <c r="T102" s="481"/>
      <c r="U102" s="481"/>
      <c r="V102" s="481"/>
      <c r="W102" s="5"/>
      <c r="X102" s="481"/>
      <c r="Y102" s="481"/>
      <c r="Z102" s="481"/>
      <c r="AA102" s="54"/>
      <c r="AB102" s="5"/>
      <c r="AC102" s="54"/>
      <c r="AD102" s="54"/>
      <c r="AE102" s="54"/>
      <c r="AF102" s="54"/>
      <c r="AG102" s="5"/>
      <c r="AH102" s="54"/>
      <c r="AI102" s="54"/>
      <c r="AJ102" s="54"/>
      <c r="AK102" s="54"/>
      <c r="AM102" s="54"/>
      <c r="AN102" s="54"/>
      <c r="AO102" s="54"/>
      <c r="AP102" s="54"/>
      <c r="AR102" s="54"/>
      <c r="AS102" s="54"/>
      <c r="AT102" s="54"/>
      <c r="AU102" s="54"/>
      <c r="AV102" s="5"/>
      <c r="AW102" s="54"/>
      <c r="AX102" s="54"/>
      <c r="AY102" s="54"/>
      <c r="AZ102" s="54"/>
      <c r="BA102" s="5"/>
      <c r="BB102" s="54"/>
      <c r="BC102" s="54"/>
      <c r="BD102" s="54"/>
      <c r="BE102" s="54"/>
      <c r="BF102" s="5"/>
      <c r="BN102" s="53"/>
      <c r="BO102" s="53"/>
      <c r="BP102" s="56"/>
      <c r="BQ102" s="56"/>
      <c r="BR102" s="56"/>
      <c r="BS102" s="56"/>
      <c r="BT102" s="56"/>
      <c r="BU102" s="56"/>
      <c r="BV102" s="56"/>
      <c r="BW102" s="56"/>
      <c r="BX102" s="56"/>
      <c r="BY102" s="56"/>
      <c r="BZ102" s="56"/>
    </row>
    <row r="103" spans="2:89" ht="15.75" hidden="1" outlineLevel="1">
      <c r="B103" s="53" t="s">
        <v>3636</v>
      </c>
      <c r="C103" s="53"/>
      <c r="D103" s="53"/>
      <c r="E103" s="53"/>
      <c r="F103" s="53"/>
      <c r="G103" s="53"/>
      <c r="H103" s="53"/>
      <c r="I103" s="54"/>
      <c r="J103" s="53"/>
      <c r="K103" s="5"/>
      <c r="L103" s="53"/>
      <c r="M103" s="53"/>
      <c r="N103" s="5"/>
      <c r="O103" s="481">
        <f>104.5-P103</f>
        <v>46.4</v>
      </c>
      <c r="P103" s="481">
        <v>58.1</v>
      </c>
      <c r="Q103" s="481">
        <v>54.1</v>
      </c>
      <c r="R103" s="481">
        <v>52.6</v>
      </c>
      <c r="S103" s="481">
        <f>121.4-T103</f>
        <v>59.600000000000009</v>
      </c>
      <c r="T103" s="481">
        <v>61.8</v>
      </c>
      <c r="U103" s="481">
        <v>61.6</v>
      </c>
      <c r="V103" s="481">
        <f>240.2-S103-T103-U103</f>
        <v>57.199999999999967</v>
      </c>
      <c r="W103" s="5"/>
      <c r="X103" s="481">
        <v>59.9</v>
      </c>
      <c r="Y103" s="481">
        <v>61.6</v>
      </c>
      <c r="Z103" s="481">
        <v>61.6</v>
      </c>
      <c r="AA103" s="481">
        <v>60.2</v>
      </c>
      <c r="AB103" s="481">
        <f>'New Format'!F236</f>
        <v>243.3</v>
      </c>
      <c r="AC103" s="481">
        <v>69.599999999999994</v>
      </c>
      <c r="AD103" s="481">
        <v>60.4</v>
      </c>
      <c r="AE103" s="481">
        <v>60.7</v>
      </c>
      <c r="AF103" s="481">
        <v>63.4</v>
      </c>
      <c r="AG103" s="481">
        <f>'New Format'!G236</f>
        <v>254.1</v>
      </c>
      <c r="AH103" s="481">
        <v>66.400000000000006</v>
      </c>
      <c r="AI103" s="481">
        <v>60.7</v>
      </c>
      <c r="AJ103" s="481">
        <v>61.6</v>
      </c>
      <c r="AK103" s="481">
        <f>258.2-AH103-AI103-AJ103</f>
        <v>69.499999999999972</v>
      </c>
      <c r="AM103" s="481"/>
      <c r="AN103" s="481"/>
      <c r="AO103" s="481"/>
      <c r="AP103" s="481"/>
      <c r="AR103" s="481"/>
      <c r="AS103" s="481"/>
      <c r="AT103" s="481"/>
      <c r="AU103" s="481"/>
      <c r="AV103" s="5"/>
      <c r="AW103" s="481"/>
      <c r="AX103" s="481"/>
      <c r="AY103" s="481"/>
      <c r="AZ103" s="481"/>
      <c r="BA103" s="5"/>
      <c r="BB103" s="481"/>
      <c r="BC103" s="481"/>
      <c r="BD103" s="481"/>
      <c r="BE103" s="481"/>
      <c r="BF103" s="5"/>
      <c r="BN103" s="53" t="str">
        <f>B103</f>
        <v>Sub-sea</v>
      </c>
      <c r="BO103" s="53"/>
      <c r="BP103" s="56">
        <f t="shared" ref="BP103:BS106" si="85">S103/O103-1</f>
        <v>0.28448275862068995</v>
      </c>
      <c r="BQ103" s="56">
        <f t="shared" si="85"/>
        <v>6.3683304647160099E-2</v>
      </c>
      <c r="BR103" s="56">
        <f t="shared" si="85"/>
        <v>0.1386321626617375</v>
      </c>
      <c r="BS103" s="56">
        <f t="shared" si="85"/>
        <v>8.7452471482889038E-2</v>
      </c>
      <c r="BT103" s="56">
        <f t="shared" ref="BT103:BW106" si="86">X103/S103-1</f>
        <v>5.0335570469797197E-3</v>
      </c>
      <c r="BU103" s="56">
        <f t="shared" si="86"/>
        <v>-3.2362459546925182E-3</v>
      </c>
      <c r="BV103" s="56">
        <f t="shared" si="86"/>
        <v>0</v>
      </c>
      <c r="BW103" s="56">
        <f t="shared" si="86"/>
        <v>5.244755244755317E-2</v>
      </c>
      <c r="BX103" s="56">
        <f t="shared" ref="BX103:BZ106" si="87">AC103/X103-1</f>
        <v>0.1619365609348915</v>
      </c>
      <c r="BY103" s="56">
        <f t="shared" si="87"/>
        <v>-1.9480519480519543E-2</v>
      </c>
      <c r="BZ103" s="56">
        <f t="shared" si="87"/>
        <v>-1.4610389610389629E-2</v>
      </c>
    </row>
    <row r="104" spans="2:89" ht="15.75" hidden="1" outlineLevel="1">
      <c r="B104" s="50" t="s">
        <v>3644</v>
      </c>
      <c r="C104" s="50"/>
      <c r="D104" s="50"/>
      <c r="E104" s="50"/>
      <c r="F104" s="50"/>
      <c r="G104" s="50"/>
      <c r="H104" s="50"/>
      <c r="I104" s="57"/>
      <c r="J104" s="50"/>
      <c r="K104" s="512"/>
      <c r="L104" s="50"/>
      <c r="M104" s="50"/>
      <c r="N104" s="512"/>
      <c r="O104" s="638">
        <v>201.3</v>
      </c>
      <c r="P104" s="638">
        <v>204.9</v>
      </c>
      <c r="Q104" s="638">
        <v>204.9</v>
      </c>
      <c r="R104" s="638">
        <v>210.7</v>
      </c>
      <c r="S104" s="638">
        <v>204.2</v>
      </c>
      <c r="T104" s="638">
        <v>207.1</v>
      </c>
      <c r="U104" s="638">
        <v>208.1</v>
      </c>
      <c r="V104" s="638">
        <f>842.5-S104-T104-U104</f>
        <v>223.09999999999994</v>
      </c>
      <c r="W104" s="5"/>
      <c r="X104" s="638">
        <v>212.5</v>
      </c>
      <c r="Y104" s="638">
        <v>226.8</v>
      </c>
      <c r="Z104" s="638">
        <v>218.8</v>
      </c>
      <c r="AA104" s="638">
        <v>238.1</v>
      </c>
      <c r="AB104" s="638">
        <f>'New Format'!F233</f>
        <v>896.2</v>
      </c>
      <c r="AC104" s="638">
        <v>213.4</v>
      </c>
      <c r="AD104" s="638">
        <v>183.5</v>
      </c>
      <c r="AE104" s="638">
        <v>198</v>
      </c>
      <c r="AF104" s="638">
        <v>204.6</v>
      </c>
      <c r="AG104" s="638">
        <f>'New Format'!G233</f>
        <v>799.5</v>
      </c>
      <c r="AH104" s="638">
        <v>198.9</v>
      </c>
      <c r="AI104" s="638">
        <v>206</v>
      </c>
      <c r="AJ104" s="638">
        <v>207.1</v>
      </c>
      <c r="AK104" s="638">
        <f>861.2-AH104-AI104-AJ104</f>
        <v>249.20000000000007</v>
      </c>
      <c r="AM104" s="638"/>
      <c r="AN104" s="638"/>
      <c r="AO104" s="638"/>
      <c r="AP104" s="638"/>
      <c r="AR104" s="638"/>
      <c r="AS104" s="638"/>
      <c r="AT104" s="638"/>
      <c r="AU104" s="638"/>
      <c r="AV104" s="5"/>
      <c r="AW104" s="638"/>
      <c r="AX104" s="638"/>
      <c r="AY104" s="638"/>
      <c r="AZ104" s="638"/>
      <c r="BA104" s="5"/>
      <c r="BB104" s="638"/>
      <c r="BC104" s="638"/>
      <c r="BD104" s="638"/>
      <c r="BE104" s="638"/>
      <c r="BF104" s="5"/>
      <c r="BN104" s="50" t="str">
        <f>B104</f>
        <v>Other B2B</v>
      </c>
      <c r="BO104" s="50"/>
      <c r="BP104" s="631">
        <f t="shared" si="85"/>
        <v>1.4406358668653585E-2</v>
      </c>
      <c r="BQ104" s="631">
        <f t="shared" si="85"/>
        <v>1.0736944851146735E-2</v>
      </c>
      <c r="BR104" s="631">
        <f t="shared" si="85"/>
        <v>1.5617374328940947E-2</v>
      </c>
      <c r="BS104" s="631">
        <f t="shared" si="85"/>
        <v>5.8851447555766212E-2</v>
      </c>
      <c r="BT104" s="631">
        <f t="shared" si="86"/>
        <v>4.0646425073457504E-2</v>
      </c>
      <c r="BU104" s="631">
        <f t="shared" si="86"/>
        <v>9.5123128923225497E-2</v>
      </c>
      <c r="BV104" s="631">
        <f t="shared" si="86"/>
        <v>5.1417587698222134E-2</v>
      </c>
      <c r="BW104" s="631">
        <f t="shared" si="86"/>
        <v>6.7234424025101047E-2</v>
      </c>
      <c r="BX104" s="631">
        <f t="shared" si="87"/>
        <v>4.2352941176471148E-3</v>
      </c>
      <c r="BY104" s="631">
        <f t="shared" si="87"/>
        <v>-0.19091710758377434</v>
      </c>
      <c r="BZ104" s="631">
        <f t="shared" si="87"/>
        <v>-9.5063985374771565E-2</v>
      </c>
    </row>
    <row r="105" spans="2:89" ht="15.75" hidden="1" outlineLevel="1">
      <c r="B105" s="50" t="s">
        <v>3647</v>
      </c>
      <c r="C105" s="50"/>
      <c r="D105" s="50"/>
      <c r="E105" s="50"/>
      <c r="F105" s="50"/>
      <c r="G105" s="50"/>
      <c r="H105" s="50"/>
      <c r="I105" s="57"/>
      <c r="J105" s="50"/>
      <c r="K105" s="512"/>
      <c r="L105" s="50"/>
      <c r="M105" s="50"/>
      <c r="N105" s="512"/>
      <c r="O105" s="638">
        <f t="shared" ref="O105:V105" si="88">O104+O103</f>
        <v>247.70000000000002</v>
      </c>
      <c r="P105" s="638">
        <f t="shared" si="88"/>
        <v>263</v>
      </c>
      <c r="Q105" s="638">
        <f t="shared" si="88"/>
        <v>259</v>
      </c>
      <c r="R105" s="638">
        <f t="shared" si="88"/>
        <v>263.3</v>
      </c>
      <c r="S105" s="638">
        <f t="shared" si="88"/>
        <v>263.8</v>
      </c>
      <c r="T105" s="638">
        <f t="shared" si="88"/>
        <v>268.89999999999998</v>
      </c>
      <c r="U105" s="638">
        <f t="shared" si="88"/>
        <v>269.7</v>
      </c>
      <c r="V105" s="638">
        <f t="shared" si="88"/>
        <v>280.2999999999999</v>
      </c>
      <c r="W105" s="512"/>
      <c r="X105" s="638">
        <f>X104+X103</f>
        <v>272.39999999999998</v>
      </c>
      <c r="Y105" s="638">
        <f>Y104+Y103</f>
        <v>288.40000000000003</v>
      </c>
      <c r="Z105" s="638">
        <f>Z104+Z103</f>
        <v>280.40000000000003</v>
      </c>
      <c r="AA105" s="638">
        <f>AA104+AA103</f>
        <v>298.3</v>
      </c>
      <c r="AB105" s="638">
        <f>AB104+AB103</f>
        <v>1139.5</v>
      </c>
      <c r="AC105" s="638">
        <f t="shared" ref="AC105:AH105" si="89">AC104+AC103</f>
        <v>283</v>
      </c>
      <c r="AD105" s="638">
        <f t="shared" si="89"/>
        <v>243.9</v>
      </c>
      <c r="AE105" s="638">
        <f t="shared" si="89"/>
        <v>258.7</v>
      </c>
      <c r="AF105" s="638">
        <f t="shared" si="89"/>
        <v>268</v>
      </c>
      <c r="AG105" s="638">
        <f>AG104+AG103</f>
        <v>1053.5999999999999</v>
      </c>
      <c r="AH105" s="638">
        <f t="shared" si="89"/>
        <v>265.3</v>
      </c>
      <c r="AI105" s="638">
        <f>AI104+AI103</f>
        <v>266.7</v>
      </c>
      <c r="AJ105" s="638">
        <f>AJ104+AJ103</f>
        <v>268.7</v>
      </c>
      <c r="AK105" s="638">
        <f>AK104+AK103</f>
        <v>318.70000000000005</v>
      </c>
      <c r="AM105" s="638"/>
      <c r="AN105" s="638"/>
      <c r="AO105" s="638"/>
      <c r="AP105" s="638"/>
      <c r="AR105" s="638"/>
      <c r="AS105" s="638"/>
      <c r="AT105" s="638"/>
      <c r="AU105" s="638"/>
      <c r="AV105" s="5"/>
      <c r="AW105" s="638"/>
      <c r="AX105" s="638"/>
      <c r="AY105" s="638"/>
      <c r="AZ105" s="638"/>
      <c r="BA105" s="5"/>
      <c r="BB105" s="638"/>
      <c r="BC105" s="638"/>
      <c r="BD105" s="638"/>
      <c r="BE105" s="638"/>
      <c r="BF105" s="5"/>
      <c r="BN105" s="53" t="str">
        <f>B105</f>
        <v>Total B2B</v>
      </c>
      <c r="BO105" s="53"/>
      <c r="BP105" s="56">
        <f t="shared" si="85"/>
        <v>6.4997981429148144E-2</v>
      </c>
      <c r="BQ105" s="56">
        <f t="shared" si="85"/>
        <v>2.243346007604563E-2</v>
      </c>
      <c r="BR105" s="56">
        <f t="shared" si="85"/>
        <v>4.1312741312741208E-2</v>
      </c>
      <c r="BS105" s="56">
        <f t="shared" si="85"/>
        <v>6.4565134827192949E-2</v>
      </c>
      <c r="BT105" s="56">
        <f t="shared" si="86"/>
        <v>3.260045489006802E-2</v>
      </c>
      <c r="BU105" s="56">
        <f t="shared" si="86"/>
        <v>7.2517664559315964E-2</v>
      </c>
      <c r="BV105" s="56">
        <f t="shared" si="86"/>
        <v>3.9673711531331257E-2</v>
      </c>
      <c r="BW105" s="56">
        <f t="shared" si="86"/>
        <v>6.4216910453086307E-2</v>
      </c>
      <c r="BX105" s="56">
        <f t="shared" si="87"/>
        <v>3.8913362701909149E-2</v>
      </c>
      <c r="BY105" s="56">
        <f t="shared" si="87"/>
        <v>-0.15429958391123444</v>
      </c>
      <c r="BZ105" s="56">
        <f t="shared" si="87"/>
        <v>-7.7389443651926015E-2</v>
      </c>
    </row>
    <row r="106" spans="2:89" ht="15.75" hidden="1" outlineLevel="1">
      <c r="B106" s="53" t="s">
        <v>29</v>
      </c>
      <c r="C106" s="53"/>
      <c r="D106" s="53"/>
      <c r="E106" s="53"/>
      <c r="F106" s="53"/>
      <c r="G106" s="53"/>
      <c r="H106" s="53"/>
      <c r="I106" s="54"/>
      <c r="J106" s="53"/>
      <c r="K106" s="5"/>
      <c r="L106" s="53"/>
      <c r="M106" s="53"/>
      <c r="N106" s="5"/>
      <c r="O106" s="481">
        <f t="shared" ref="O106:V106" si="90">O17</f>
        <v>575.6</v>
      </c>
      <c r="P106" s="481">
        <f t="shared" si="90"/>
        <v>579.70000000000005</v>
      </c>
      <c r="Q106" s="481">
        <f t="shared" si="90"/>
        <v>578.9</v>
      </c>
      <c r="R106" s="481">
        <f t="shared" si="90"/>
        <v>585.70000000000005</v>
      </c>
      <c r="S106" s="481">
        <f t="shared" si="90"/>
        <v>585.5</v>
      </c>
      <c r="T106" s="481">
        <f t="shared" si="90"/>
        <v>583.70000000000005</v>
      </c>
      <c r="U106" s="481">
        <f t="shared" si="90"/>
        <v>581.1</v>
      </c>
      <c r="V106" s="481">
        <f t="shared" si="90"/>
        <v>582.79999999999995</v>
      </c>
      <c r="W106" s="5"/>
      <c r="X106" s="481">
        <f>X97+X101+X105</f>
        <v>569.79999999999995</v>
      </c>
      <c r="Y106" s="481">
        <f>Y97+Y101+Y105</f>
        <v>606.5</v>
      </c>
      <c r="Z106" s="481">
        <f>Z97+Z101+Z105</f>
        <v>596.70000000000005</v>
      </c>
      <c r="AA106" s="481">
        <f>AA97+AA101+AA105</f>
        <v>617.20000000000005</v>
      </c>
      <c r="AB106" s="5"/>
      <c r="AC106" s="481">
        <f>AC97+AC101+AC105</f>
        <v>588.6</v>
      </c>
      <c r="AD106" s="481">
        <f>AD97+AD101+AD105</f>
        <v>515.30000000000007</v>
      </c>
      <c r="AE106" s="481">
        <f>AE97+AE101+AE105</f>
        <v>538.9</v>
      </c>
      <c r="AF106" s="481">
        <f>AF97+AF101+AF105</f>
        <v>557</v>
      </c>
      <c r="AG106" s="5"/>
      <c r="AH106" s="481">
        <f>AH97+AH101+AH105</f>
        <v>549.9</v>
      </c>
      <c r="AI106" s="481">
        <f>AI97+AI101+AI105</f>
        <v>559.6</v>
      </c>
      <c r="AJ106" s="481">
        <f>AJ97+AJ101+AJ105</f>
        <v>561.09999999999991</v>
      </c>
      <c r="AK106" s="481">
        <f>AK97+AK101+AK105</f>
        <v>618.70000000000005</v>
      </c>
      <c r="AM106" s="481"/>
      <c r="AN106" s="481"/>
      <c r="AO106" s="481"/>
      <c r="AP106" s="481"/>
      <c r="AR106" s="481"/>
      <c r="AS106" s="481"/>
      <c r="AT106" s="481"/>
      <c r="AU106" s="481"/>
      <c r="AV106" s="5"/>
      <c r="AW106" s="481"/>
      <c r="AX106" s="481"/>
      <c r="AY106" s="481"/>
      <c r="AZ106" s="481"/>
      <c r="BA106" s="5"/>
      <c r="BB106" s="481"/>
      <c r="BC106" s="481"/>
      <c r="BD106" s="481"/>
      <c r="BE106" s="481"/>
      <c r="BF106" s="5"/>
      <c r="BN106" s="58" t="str">
        <f>B106</f>
        <v>CWC</v>
      </c>
      <c r="BO106" s="58"/>
      <c r="BP106" s="946">
        <f t="shared" si="85"/>
        <v>1.7199444058373814E-2</v>
      </c>
      <c r="BQ106" s="946">
        <f t="shared" si="85"/>
        <v>6.9001207521131036E-3</v>
      </c>
      <c r="BR106" s="946">
        <f t="shared" si="85"/>
        <v>3.8003109345310371E-3</v>
      </c>
      <c r="BS106" s="946">
        <f t="shared" si="85"/>
        <v>-4.9513402765922754E-3</v>
      </c>
      <c r="BT106" s="946">
        <f t="shared" si="86"/>
        <v>-2.6814688300597855E-2</v>
      </c>
      <c r="BU106" s="946">
        <f t="shared" si="86"/>
        <v>3.9061161555593582E-2</v>
      </c>
      <c r="BV106" s="946">
        <f t="shared" si="86"/>
        <v>2.6845637583892579E-2</v>
      </c>
      <c r="BW106" s="946">
        <f t="shared" si="86"/>
        <v>5.9025394646534224E-2</v>
      </c>
      <c r="BX106" s="946">
        <f t="shared" si="87"/>
        <v>3.2994032994033029E-2</v>
      </c>
      <c r="BY106" s="946">
        <f t="shared" si="87"/>
        <v>-0.1503709810387468</v>
      </c>
      <c r="BZ106" s="946">
        <f t="shared" si="87"/>
        <v>-9.6866096866096929E-2</v>
      </c>
    </row>
    <row r="107" spans="2:89" ht="15.75" hidden="1" outlineLevel="1">
      <c r="B107" s="53" t="s">
        <v>3875</v>
      </c>
      <c r="C107" s="53"/>
      <c r="D107" s="53"/>
      <c r="E107" s="53"/>
      <c r="F107" s="53"/>
      <c r="G107" s="53"/>
      <c r="H107" s="53"/>
      <c r="I107" s="54"/>
      <c r="J107" s="53"/>
      <c r="K107" s="5"/>
      <c r="L107" s="53"/>
      <c r="M107" s="53"/>
      <c r="N107" s="5"/>
      <c r="O107" s="56">
        <f t="shared" ref="O107:V107" si="91">O99/O106</f>
        <v>0.28109798471160524</v>
      </c>
      <c r="P107" s="56">
        <f t="shared" si="91"/>
        <v>0.27358978782128685</v>
      </c>
      <c r="Q107" s="56">
        <f t="shared" si="91"/>
        <v>0.28433235446536537</v>
      </c>
      <c r="R107" s="56">
        <f t="shared" si="91"/>
        <v>0.2697626771384668</v>
      </c>
      <c r="S107" s="56">
        <f t="shared" si="91"/>
        <v>0.26490179333902647</v>
      </c>
      <c r="T107" s="56">
        <f t="shared" si="91"/>
        <v>0.25886585574781562</v>
      </c>
      <c r="U107" s="56">
        <f t="shared" si="91"/>
        <v>0.25468938220616072</v>
      </c>
      <c r="V107" s="56">
        <f t="shared" si="91"/>
        <v>0.24021962937542898</v>
      </c>
      <c r="W107" s="5"/>
      <c r="X107" s="56">
        <f>X99/X106</f>
        <v>0.23692523692523695</v>
      </c>
      <c r="Y107" s="56">
        <f>Y99/Y106</f>
        <v>0.23429513602638086</v>
      </c>
      <c r="Z107" s="56">
        <f>Z99/Z106</f>
        <v>0.23797553209317912</v>
      </c>
      <c r="AA107" s="56">
        <f>AA99/AA106</f>
        <v>0.22877511341542447</v>
      </c>
      <c r="AB107" s="5"/>
      <c r="AC107" s="56">
        <f>AC99/AC106</f>
        <v>0.22239211688752974</v>
      </c>
      <c r="AD107" s="56">
        <f>AD99/AD106</f>
        <v>0.2047351057636328</v>
      </c>
      <c r="AE107" s="56">
        <f>AE99/AE106</f>
        <v>0.20541844498051587</v>
      </c>
      <c r="AF107" s="56">
        <f>AF99/AF106</f>
        <v>0.20843806104129262</v>
      </c>
      <c r="AG107" s="5"/>
      <c r="AH107" s="56">
        <f>AH99/AH106</f>
        <v>0.20203673395162758</v>
      </c>
      <c r="AI107" s="56">
        <f>AI99/AI106</f>
        <v>0.20443173695496783</v>
      </c>
      <c r="AJ107" s="56">
        <f>AJ99/AJ106</f>
        <v>0.20441988950276246</v>
      </c>
      <c r="AK107" s="56">
        <f>AK99/AK106</f>
        <v>0.18732826895102631</v>
      </c>
      <c r="AM107" s="56"/>
      <c r="AN107" s="56"/>
      <c r="AO107" s="56"/>
      <c r="AP107" s="56"/>
      <c r="AR107" s="56"/>
      <c r="AS107" s="56"/>
      <c r="AT107" s="56"/>
      <c r="AU107" s="56"/>
      <c r="AV107" s="5"/>
      <c r="AW107" s="56"/>
      <c r="AX107" s="56"/>
      <c r="AY107" s="56"/>
      <c r="AZ107" s="56"/>
      <c r="BA107" s="5"/>
      <c r="BB107" s="56"/>
      <c r="BC107" s="56"/>
      <c r="BD107" s="56"/>
      <c r="BE107" s="56"/>
      <c r="BF107" s="5"/>
      <c r="BN107" s="53" t="str">
        <f>B107</f>
        <v>Mobile service as %</v>
      </c>
      <c r="BO107" s="53"/>
      <c r="BP107" s="56"/>
      <c r="BQ107" s="56"/>
      <c r="BR107" s="56"/>
    </row>
    <row r="108" spans="2:89" ht="15.75" hidden="1" outlineLevel="1">
      <c r="B108" s="53"/>
      <c r="C108" s="53"/>
      <c r="D108" s="53"/>
      <c r="E108" s="53"/>
      <c r="F108" s="53"/>
      <c r="G108" s="53"/>
      <c r="H108" s="53"/>
      <c r="I108" s="54"/>
      <c r="J108" s="53"/>
      <c r="K108" s="5"/>
      <c r="L108" s="53"/>
      <c r="M108" s="53"/>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M108" s="5"/>
      <c r="AN108" s="5"/>
      <c r="AO108" s="5"/>
      <c r="AP108" s="5"/>
      <c r="AR108" s="5"/>
      <c r="AS108" s="5"/>
      <c r="AT108" s="5"/>
      <c r="AU108" s="5"/>
      <c r="AV108" s="5"/>
      <c r="AW108" s="5"/>
      <c r="AX108" s="5"/>
      <c r="AY108" s="5"/>
      <c r="AZ108" s="5"/>
      <c r="BA108" s="5"/>
      <c r="BB108" s="5"/>
      <c r="BC108" s="5"/>
      <c r="BD108" s="5"/>
      <c r="BE108" s="5"/>
      <c r="BF108" s="5"/>
    </row>
    <row r="109" spans="2:89" ht="15.75" hidden="1" outlineLevel="1">
      <c r="B109" s="50" t="s">
        <v>2413</v>
      </c>
      <c r="C109" s="50"/>
      <c r="D109" s="50"/>
      <c r="E109" s="50"/>
      <c r="F109" s="50"/>
      <c r="G109" s="51" t="str">
        <f t="shared" ref="G109:V109" si="92">G79</f>
        <v>Q1 15</v>
      </c>
      <c r="H109" s="51" t="str">
        <f t="shared" si="92"/>
        <v>Q2 15</v>
      </c>
      <c r="I109" s="51" t="str">
        <f t="shared" si="92"/>
        <v>Q3 15</v>
      </c>
      <c r="J109" s="51" t="str">
        <f t="shared" si="92"/>
        <v>Q4 15</v>
      </c>
      <c r="K109" s="51" t="str">
        <f t="shared" si="92"/>
        <v>Q1 16</v>
      </c>
      <c r="L109" s="51" t="str">
        <f t="shared" si="92"/>
        <v>Q2 16</v>
      </c>
      <c r="M109" s="51" t="str">
        <f t="shared" si="92"/>
        <v>Q3 16</v>
      </c>
      <c r="N109" s="51" t="str">
        <f t="shared" si="92"/>
        <v>Q4 16</v>
      </c>
      <c r="O109" s="51" t="str">
        <f t="shared" si="92"/>
        <v>Q1 17</v>
      </c>
      <c r="P109" s="51" t="str">
        <f t="shared" si="92"/>
        <v>Q2 17</v>
      </c>
      <c r="Q109" s="51" t="str">
        <f t="shared" si="92"/>
        <v>Q3 17</v>
      </c>
      <c r="R109" s="51" t="str">
        <f t="shared" si="92"/>
        <v>Q4 17</v>
      </c>
      <c r="S109" s="51" t="str">
        <f t="shared" si="92"/>
        <v>Q1 18</v>
      </c>
      <c r="T109" s="51" t="str">
        <f t="shared" si="92"/>
        <v>Q2 18</v>
      </c>
      <c r="U109" s="51" t="str">
        <f t="shared" si="92"/>
        <v>Q3 18</v>
      </c>
      <c r="V109" s="51" t="str">
        <f t="shared" si="92"/>
        <v>Q4 18</v>
      </c>
      <c r="W109" s="79"/>
      <c r="X109" s="51" t="str">
        <f>X79</f>
        <v>Q1 19</v>
      </c>
      <c r="Y109" s="51" t="str">
        <f>Y79</f>
        <v>Q2 19</v>
      </c>
      <c r="Z109" s="51" t="str">
        <f>Z79</f>
        <v>Q3 19</v>
      </c>
      <c r="AA109" s="51" t="s">
        <v>4535</v>
      </c>
      <c r="AB109" s="51"/>
      <c r="AC109" s="51" t="str">
        <f>AC79</f>
        <v>Q1 20</v>
      </c>
      <c r="AD109" s="51" t="str">
        <f>AD79</f>
        <v>Q2 20</v>
      </c>
      <c r="AE109" s="51" t="str">
        <f>AE79</f>
        <v>Q3 20</v>
      </c>
      <c r="AF109" s="51" t="str">
        <f>AF79</f>
        <v>Q4 20</v>
      </c>
      <c r="AG109" s="79"/>
      <c r="AH109" s="51" t="str">
        <f>AH79</f>
        <v>Q1 21</v>
      </c>
      <c r="AI109" s="51" t="str">
        <f>AI79</f>
        <v>Q2 21</v>
      </c>
      <c r="AJ109" s="51" t="str">
        <f>AJ79</f>
        <v>Q3 21</v>
      </c>
      <c r="AK109" s="51" t="str">
        <f>AK79</f>
        <v>Q4 21</v>
      </c>
      <c r="AM109" s="51" t="str">
        <f>AM79</f>
        <v>Q1 22</v>
      </c>
      <c r="AN109" s="51" t="str">
        <f>AN79</f>
        <v>Q2 22</v>
      </c>
      <c r="AO109" s="51" t="str">
        <f>AO79</f>
        <v>Q3 22</v>
      </c>
      <c r="AP109" s="51"/>
      <c r="AR109" s="51"/>
      <c r="AS109" s="51"/>
      <c r="AT109" s="51"/>
      <c r="AU109" s="51"/>
      <c r="AV109" s="53"/>
      <c r="AW109" s="51"/>
      <c r="AX109" s="51"/>
      <c r="AY109" s="51"/>
      <c r="AZ109" s="51"/>
      <c r="BA109" s="53"/>
      <c r="BB109" s="51"/>
      <c r="BC109" s="51"/>
      <c r="BD109" s="51"/>
      <c r="BE109" s="51"/>
      <c r="BF109" s="53"/>
      <c r="BJ109" s="552" t="s">
        <v>935</v>
      </c>
      <c r="BK109" s="642" t="str">
        <f t="shared" ref="BK109:BV109" si="93">K109</f>
        <v>Q1 16</v>
      </c>
      <c r="BL109" s="642" t="str">
        <f t="shared" si="93"/>
        <v>Q2 16</v>
      </c>
      <c r="BM109" s="642" t="str">
        <f t="shared" si="93"/>
        <v>Q3 16</v>
      </c>
      <c r="BN109" s="642" t="str">
        <f t="shared" si="93"/>
        <v>Q4 16</v>
      </c>
      <c r="BO109" s="642" t="str">
        <f t="shared" si="93"/>
        <v>Q1 17</v>
      </c>
      <c r="BP109" s="642" t="str">
        <f t="shared" si="93"/>
        <v>Q2 17</v>
      </c>
      <c r="BQ109" s="642" t="str">
        <f t="shared" si="93"/>
        <v>Q3 17</v>
      </c>
      <c r="BR109" s="642" t="str">
        <f t="shared" si="93"/>
        <v>Q4 17</v>
      </c>
      <c r="BS109" s="642" t="str">
        <f t="shared" si="93"/>
        <v>Q1 18</v>
      </c>
      <c r="BT109" s="642" t="str">
        <f t="shared" si="93"/>
        <v>Q2 18</v>
      </c>
      <c r="BU109" s="642" t="str">
        <f t="shared" si="93"/>
        <v>Q3 18</v>
      </c>
      <c r="BV109" s="642" t="str">
        <f t="shared" si="93"/>
        <v>Q4 18</v>
      </c>
      <c r="BW109" s="642" t="str">
        <f>X109</f>
        <v>Q1 19</v>
      </c>
      <c r="BX109" s="642" t="str">
        <f>Y109</f>
        <v>Q2 19</v>
      </c>
      <c r="BY109" s="642" t="str">
        <f>Z109</f>
        <v>Q3 19</v>
      </c>
      <c r="BZ109" s="642" t="str">
        <f>AA109</f>
        <v>Q4 19</v>
      </c>
      <c r="CA109" s="642" t="str">
        <f>AC109</f>
        <v>Q1 20</v>
      </c>
      <c r="CB109" s="642" t="str">
        <f>AD109</f>
        <v>Q2 20</v>
      </c>
      <c r="CC109" s="642" t="str">
        <f>AE109</f>
        <v>Q3 20</v>
      </c>
      <c r="CD109" s="642" t="str">
        <f>AF109</f>
        <v>Q4 20</v>
      </c>
      <c r="CE109" s="642" t="str">
        <f t="shared" ref="CE109:CK109" si="94">AH109</f>
        <v>Q1 21</v>
      </c>
      <c r="CF109" s="642" t="str">
        <f t="shared" si="94"/>
        <v>Q2 21</v>
      </c>
      <c r="CG109" s="642" t="str">
        <f t="shared" si="94"/>
        <v>Q3 21</v>
      </c>
      <c r="CH109" s="642" t="str">
        <f t="shared" si="94"/>
        <v>Q4 21</v>
      </c>
      <c r="CI109" s="642">
        <f t="shared" si="94"/>
        <v>0</v>
      </c>
      <c r="CJ109" s="642" t="str">
        <f t="shared" si="94"/>
        <v>Q1 22</v>
      </c>
      <c r="CK109" s="642" t="str">
        <f t="shared" si="94"/>
        <v>Q2 22</v>
      </c>
    </row>
    <row r="110" spans="2:89" ht="15.75" hidden="1" outlineLevel="1">
      <c r="B110" s="53" t="s">
        <v>1568</v>
      </c>
      <c r="C110" s="53"/>
      <c r="G110" s="53">
        <v>55.9</v>
      </c>
      <c r="H110" s="53">
        <v>56.7</v>
      </c>
      <c r="I110" s="53">
        <v>58.2</v>
      </c>
      <c r="J110" s="53">
        <f>230.1-I110-H110-G110</f>
        <v>59.299999999999976</v>
      </c>
      <c r="K110" s="714">
        <f>107.7-L110</f>
        <v>53.300000000000004</v>
      </c>
      <c r="L110" s="714">
        <v>54.4</v>
      </c>
      <c r="M110" s="714">
        <v>55.5</v>
      </c>
      <c r="N110" s="714">
        <f>219.7-K110-L110-M110</f>
        <v>56.499999999999972</v>
      </c>
      <c r="O110" s="714">
        <f>115.8-P110</f>
        <v>57.199999999999996</v>
      </c>
      <c r="P110" s="714">
        <v>58.6</v>
      </c>
      <c r="Q110" s="714">
        <v>59.3</v>
      </c>
      <c r="R110" s="714">
        <f>234-O110-P110-Q110</f>
        <v>58.90000000000002</v>
      </c>
      <c r="S110" s="702">
        <v>60</v>
      </c>
      <c r="T110" s="702">
        <v>62</v>
      </c>
      <c r="U110" s="714">
        <v>62.3</v>
      </c>
      <c r="V110" s="702">
        <f>245.9-S110-T110-U110</f>
        <v>61.600000000000009</v>
      </c>
      <c r="W110" s="53"/>
      <c r="X110" s="702">
        <v>60.5</v>
      </c>
      <c r="Y110" s="702">
        <v>61.3</v>
      </c>
      <c r="Z110" s="702">
        <v>61.2</v>
      </c>
      <c r="AA110" s="702">
        <f>242.9-X110-Y110-Z110</f>
        <v>59.900000000000006</v>
      </c>
      <c r="AB110" s="53"/>
      <c r="AC110" s="702">
        <f>115.9-AD110</f>
        <v>60.7</v>
      </c>
      <c r="AD110" s="702">
        <v>55.2</v>
      </c>
      <c r="AE110" s="702">
        <v>56.2</v>
      </c>
      <c r="AF110" s="702">
        <f>230.4-AC110-AD110-AE110</f>
        <v>58.299999999999983</v>
      </c>
      <c r="AG110" s="53"/>
      <c r="AH110" s="702">
        <f>112.1-AI110</f>
        <v>56.699999999999996</v>
      </c>
      <c r="AI110" s="702">
        <v>55.4</v>
      </c>
      <c r="AJ110" s="702">
        <v>56.1</v>
      </c>
      <c r="AK110" s="702"/>
      <c r="AM110" s="702"/>
      <c r="AN110" s="702"/>
      <c r="AO110" s="702"/>
      <c r="AP110" s="702"/>
      <c r="AR110" s="702"/>
      <c r="AS110" s="702"/>
      <c r="AT110" s="702"/>
      <c r="AU110" s="702"/>
      <c r="AV110" s="53"/>
      <c r="AW110" s="702"/>
      <c r="AX110" s="702"/>
      <c r="AY110" s="702"/>
      <c r="AZ110" s="702"/>
      <c r="BA110" s="53"/>
      <c r="BB110" s="702"/>
      <c r="BC110" s="702"/>
      <c r="BD110" s="702"/>
      <c r="BE110" s="702"/>
      <c r="BF110" s="53"/>
      <c r="BJ110" s="53" t="str">
        <f t="shared" ref="BJ110:BJ115" si="95">B110</f>
        <v>Video</v>
      </c>
      <c r="BK110" s="56">
        <f t="shared" ref="BK110:BV113" si="96">K110/G110-1</f>
        <v>-4.6511627906976605E-2</v>
      </c>
      <c r="BL110" s="56">
        <f t="shared" si="96"/>
        <v>-4.0564373897707284E-2</v>
      </c>
      <c r="BM110" s="56">
        <f t="shared" si="96"/>
        <v>-4.6391752577319645E-2</v>
      </c>
      <c r="BN110" s="56">
        <f t="shared" si="96"/>
        <v>-4.7217537942664478E-2</v>
      </c>
      <c r="BO110" s="56">
        <f t="shared" si="96"/>
        <v>7.3170731707316916E-2</v>
      </c>
      <c r="BP110" s="56">
        <f t="shared" si="96"/>
        <v>7.7205882352941124E-2</v>
      </c>
      <c r="BQ110" s="56">
        <f t="shared" si="96"/>
        <v>6.8468468468468435E-2</v>
      </c>
      <c r="BR110" s="56">
        <f t="shared" si="96"/>
        <v>4.2477876106195467E-2</v>
      </c>
      <c r="BS110" s="56">
        <f t="shared" si="96"/>
        <v>4.8951048951048959E-2</v>
      </c>
      <c r="BT110" s="56">
        <f t="shared" si="96"/>
        <v>5.8020477815699634E-2</v>
      </c>
      <c r="BU110" s="56">
        <f t="shared" si="96"/>
        <v>5.0590219224283306E-2</v>
      </c>
      <c r="BV110" s="56">
        <f t="shared" si="96"/>
        <v>4.5840407470288502E-2</v>
      </c>
      <c r="BW110" s="56">
        <f t="shared" ref="BW110:BW118" si="97">X110/S110-1</f>
        <v>8.3333333333333037E-3</v>
      </c>
      <c r="BX110" s="56">
        <f t="shared" ref="BX110:BX118" si="98">Y110/T110-1</f>
        <v>-1.1290322580645218E-2</v>
      </c>
      <c r="BY110" s="56">
        <f t="shared" ref="BY110:BY118" si="99">Z110/U110-1</f>
        <v>-1.7656500802568087E-2</v>
      </c>
      <c r="BZ110" s="56">
        <f t="shared" ref="BZ110:BZ118" si="100">AA110/V110-1</f>
        <v>-2.759740259740262E-2</v>
      </c>
      <c r="CA110" s="56">
        <f t="shared" ref="CA110:CA118" si="101">AC110/X110-1</f>
        <v>3.3057851239670644E-3</v>
      </c>
      <c r="CB110" s="56">
        <f t="shared" ref="CB110:CB118" si="102">AD110/Y110-1</f>
        <v>-9.9510603588906954E-2</v>
      </c>
      <c r="CC110" s="56">
        <f t="shared" ref="CC110:CC118" si="103">AE110/Z110-1</f>
        <v>-8.1699346405228801E-2</v>
      </c>
      <c r="CD110" s="56">
        <f t="shared" ref="CD110:CD118" si="104">AF110/AA110-1</f>
        <v>-2.6711185308848417E-2</v>
      </c>
    </row>
    <row r="111" spans="2:89" ht="15.75" hidden="1" outlineLevel="1">
      <c r="B111" s="53" t="s">
        <v>1567</v>
      </c>
      <c r="C111" s="53"/>
      <c r="G111" s="53">
        <v>41.8</v>
      </c>
      <c r="H111" s="53">
        <v>43</v>
      </c>
      <c r="I111" s="53">
        <v>44.3</v>
      </c>
      <c r="J111" s="53">
        <f>174.6-I111-H111-G111</f>
        <v>45.500000000000014</v>
      </c>
      <c r="K111" s="714">
        <f>101.6-L111</f>
        <v>50.099999999999994</v>
      </c>
      <c r="L111" s="714">
        <v>51.5</v>
      </c>
      <c r="M111" s="714">
        <v>53.2</v>
      </c>
      <c r="N111" s="714">
        <f>208.7-K111-L111-M111</f>
        <v>53.899999999999991</v>
      </c>
      <c r="O111" s="714">
        <f>109.4-P111</f>
        <v>53.900000000000006</v>
      </c>
      <c r="P111" s="714">
        <v>55.5</v>
      </c>
      <c r="Q111" s="714">
        <v>56.2</v>
      </c>
      <c r="R111" s="714">
        <f>223.2-O111-P111-Q111</f>
        <v>57.59999999999998</v>
      </c>
      <c r="S111" s="714">
        <v>58.2</v>
      </c>
      <c r="T111" s="714">
        <v>59.8</v>
      </c>
      <c r="U111" s="714">
        <v>61.1</v>
      </c>
      <c r="V111" s="702">
        <f>241.4-S111-T111-U111</f>
        <v>62.29999999999999</v>
      </c>
      <c r="W111" s="53"/>
      <c r="X111" s="702">
        <v>62.7</v>
      </c>
      <c r="Y111" s="702">
        <v>64.5</v>
      </c>
      <c r="Z111" s="702">
        <v>64.900000000000006</v>
      </c>
      <c r="AA111" s="702">
        <f>257.5-X111-Y111-Z111</f>
        <v>65.400000000000006</v>
      </c>
      <c r="AB111" s="53"/>
      <c r="AC111" s="702">
        <f>132.2-AD111</f>
        <v>65.799999999999983</v>
      </c>
      <c r="AD111" s="702">
        <v>66.400000000000006</v>
      </c>
      <c r="AE111" s="702">
        <v>65.900000000000006</v>
      </c>
      <c r="AF111" s="702">
        <f>262-AC111-AD111-AE111</f>
        <v>63.900000000000006</v>
      </c>
      <c r="AG111" s="53"/>
      <c r="AH111" s="702">
        <f>122-AI111</f>
        <v>61.4</v>
      </c>
      <c r="AI111" s="702">
        <v>60.6</v>
      </c>
      <c r="AJ111" s="702">
        <v>58.6</v>
      </c>
      <c r="AK111" s="702"/>
      <c r="AM111" s="702"/>
      <c r="AN111" s="702"/>
      <c r="AO111" s="702"/>
      <c r="AP111" s="702"/>
      <c r="AR111" s="702"/>
      <c r="AS111" s="702"/>
      <c r="AT111" s="702"/>
      <c r="AU111" s="702"/>
      <c r="AV111" s="53"/>
      <c r="AW111" s="702"/>
      <c r="AX111" s="702"/>
      <c r="AY111" s="702"/>
      <c r="AZ111" s="702"/>
      <c r="BA111" s="53"/>
      <c r="BB111" s="702"/>
      <c r="BC111" s="702"/>
      <c r="BD111" s="702"/>
      <c r="BE111" s="702"/>
      <c r="BF111" s="53"/>
      <c r="BJ111" s="53" t="str">
        <f t="shared" si="95"/>
        <v>BB</v>
      </c>
      <c r="BK111" s="56">
        <f t="shared" si="96"/>
        <v>0.19856459330143528</v>
      </c>
      <c r="BL111" s="56">
        <f t="shared" si="96"/>
        <v>0.19767441860465107</v>
      </c>
      <c r="BM111" s="56">
        <f t="shared" si="96"/>
        <v>0.20090293453724617</v>
      </c>
      <c r="BN111" s="56">
        <f t="shared" si="96"/>
        <v>0.18461538461538396</v>
      </c>
      <c r="BO111" s="56">
        <f t="shared" si="96"/>
        <v>7.5848303393213801E-2</v>
      </c>
      <c r="BP111" s="56">
        <f t="shared" si="96"/>
        <v>7.7669902912621325E-2</v>
      </c>
      <c r="BQ111" s="56">
        <f t="shared" si="96"/>
        <v>5.6390977443609103E-2</v>
      </c>
      <c r="BR111" s="56">
        <f t="shared" si="96"/>
        <v>6.8645640074211256E-2</v>
      </c>
      <c r="BS111" s="56">
        <f t="shared" si="96"/>
        <v>7.9777365491651153E-2</v>
      </c>
      <c r="BT111" s="56">
        <f t="shared" si="96"/>
        <v>7.7477477477477352E-2</v>
      </c>
      <c r="BU111" s="56">
        <f t="shared" si="96"/>
        <v>8.7188612099644125E-2</v>
      </c>
      <c r="BV111" s="56">
        <f t="shared" si="96"/>
        <v>8.1597222222222321E-2</v>
      </c>
      <c r="BW111" s="56">
        <f t="shared" si="97"/>
        <v>7.7319587628865927E-2</v>
      </c>
      <c r="BX111" s="56">
        <f t="shared" si="98"/>
        <v>7.8595317725752567E-2</v>
      </c>
      <c r="BY111" s="56">
        <f t="shared" si="99"/>
        <v>6.2193126022913381E-2</v>
      </c>
      <c r="BZ111" s="56">
        <f t="shared" si="100"/>
        <v>4.9759229534510618E-2</v>
      </c>
      <c r="CA111" s="56">
        <f t="shared" si="101"/>
        <v>4.9441786283891176E-2</v>
      </c>
      <c r="CB111" s="56">
        <f t="shared" si="102"/>
        <v>2.9457364341085368E-2</v>
      </c>
      <c r="CC111" s="56">
        <f t="shared" si="103"/>
        <v>1.5408320493066174E-2</v>
      </c>
      <c r="CD111" s="56">
        <f t="shared" si="104"/>
        <v>-2.2935779816513735E-2</v>
      </c>
    </row>
    <row r="112" spans="2:89" ht="15.75" hidden="1" outlineLevel="1">
      <c r="B112" s="53" t="s">
        <v>1870</v>
      </c>
      <c r="C112" s="53"/>
      <c r="G112" s="53">
        <v>21.3</v>
      </c>
      <c r="H112" s="53">
        <v>22.3</v>
      </c>
      <c r="I112" s="53">
        <v>21.9</v>
      </c>
      <c r="J112" s="53">
        <f>87.1-I112-H112-G112</f>
        <v>21.599999999999991</v>
      </c>
      <c r="K112" s="714">
        <f>44.8-L112</f>
        <v>22.599999999999998</v>
      </c>
      <c r="L112" s="714">
        <v>22.2</v>
      </c>
      <c r="M112" s="714">
        <v>23.2</v>
      </c>
      <c r="N112" s="714">
        <f>91.1-K112-L112-M112</f>
        <v>23.099999999999998</v>
      </c>
      <c r="O112" s="714">
        <f>44.6-P112</f>
        <v>22.6</v>
      </c>
      <c r="P112" s="714">
        <v>22</v>
      </c>
      <c r="Q112" s="714">
        <v>21.6</v>
      </c>
      <c r="R112" s="714">
        <f>87.4-O112-P112-Q112</f>
        <v>21.20000000000001</v>
      </c>
      <c r="S112" s="714">
        <v>20.8</v>
      </c>
      <c r="T112" s="714">
        <v>19.899999999999999</v>
      </c>
      <c r="U112" s="714">
        <v>19.399999999999999</v>
      </c>
      <c r="V112" s="702">
        <f>78.6-S112-T112-U112</f>
        <v>18.5</v>
      </c>
      <c r="W112" s="53"/>
      <c r="X112" s="702">
        <v>17.899999999999999</v>
      </c>
      <c r="Y112" s="702">
        <v>17.3</v>
      </c>
      <c r="Z112" s="702">
        <v>17.100000000000001</v>
      </c>
      <c r="AA112" s="702">
        <f>68.8-X112-Y112-Z112</f>
        <v>16.499999999999993</v>
      </c>
      <c r="AB112" s="53"/>
      <c r="AC112" s="702">
        <f>30.2-AD112</f>
        <v>15.7</v>
      </c>
      <c r="AD112" s="702">
        <v>14.5</v>
      </c>
      <c r="AE112" s="702">
        <v>14.1</v>
      </c>
      <c r="AF112" s="702">
        <f>58.1-AC112-AD112-AE112</f>
        <v>13.800000000000006</v>
      </c>
      <c r="AG112" s="53"/>
      <c r="AH112" s="702">
        <f>28.7-AI112</f>
        <v>14.5</v>
      </c>
      <c r="AI112" s="702">
        <v>14.2</v>
      </c>
      <c r="AJ112" s="702">
        <v>15.1</v>
      </c>
      <c r="AK112" s="702"/>
      <c r="AM112" s="702"/>
      <c r="AN112" s="702"/>
      <c r="AO112" s="702"/>
      <c r="AP112" s="702"/>
      <c r="AR112" s="702"/>
      <c r="AS112" s="702"/>
      <c r="AT112" s="702"/>
      <c r="AU112" s="702"/>
      <c r="AV112" s="53"/>
      <c r="AW112" s="702"/>
      <c r="AX112" s="702"/>
      <c r="AY112" s="702"/>
      <c r="AZ112" s="702"/>
      <c r="BA112" s="53"/>
      <c r="BB112" s="702"/>
      <c r="BC112" s="702"/>
      <c r="BD112" s="702"/>
      <c r="BE112" s="702"/>
      <c r="BF112" s="53"/>
      <c r="BJ112" s="53" t="str">
        <f t="shared" si="95"/>
        <v>Voice</v>
      </c>
      <c r="BK112" s="56">
        <f t="shared" si="96"/>
        <v>6.1032863849765029E-2</v>
      </c>
      <c r="BL112" s="56">
        <f t="shared" si="96"/>
        <v>-4.484304932735439E-3</v>
      </c>
      <c r="BM112" s="56">
        <f t="shared" si="96"/>
        <v>5.9360730593607247E-2</v>
      </c>
      <c r="BN112" s="56">
        <f t="shared" si="96"/>
        <v>6.9444444444444864E-2</v>
      </c>
      <c r="BO112" s="56">
        <f t="shared" si="96"/>
        <v>0</v>
      </c>
      <c r="BP112" s="56">
        <f t="shared" si="96"/>
        <v>-9.009009009009028E-3</v>
      </c>
      <c r="BQ112" s="56">
        <f t="shared" si="96"/>
        <v>-6.8965517241379226E-2</v>
      </c>
      <c r="BR112" s="56">
        <f t="shared" si="96"/>
        <v>-8.2251082251081686E-2</v>
      </c>
      <c r="BS112" s="56">
        <f t="shared" si="96"/>
        <v>-7.9646017699115057E-2</v>
      </c>
      <c r="BT112" s="56">
        <f t="shared" si="96"/>
        <v>-9.545454545454557E-2</v>
      </c>
      <c r="BU112" s="56">
        <f t="shared" si="96"/>
        <v>-0.10185185185185197</v>
      </c>
      <c r="BV112" s="56">
        <f t="shared" si="96"/>
        <v>-0.1273584905660381</v>
      </c>
      <c r="BW112" s="56">
        <f t="shared" si="97"/>
        <v>-0.13942307692307698</v>
      </c>
      <c r="BX112" s="56">
        <f t="shared" si="98"/>
        <v>-0.13065326633165819</v>
      </c>
      <c r="BY112" s="56">
        <f t="shared" si="99"/>
        <v>-0.11855670103092775</v>
      </c>
      <c r="BZ112" s="56">
        <f t="shared" si="100"/>
        <v>-0.10810810810810845</v>
      </c>
      <c r="CA112" s="56">
        <f t="shared" si="101"/>
        <v>-0.12290502793296088</v>
      </c>
      <c r="CB112" s="56">
        <f t="shared" si="102"/>
        <v>-0.16184971098265899</v>
      </c>
      <c r="CC112" s="56">
        <f t="shared" si="103"/>
        <v>-0.17543859649122817</v>
      </c>
      <c r="CD112" s="56">
        <f t="shared" si="104"/>
        <v>-0.16363636363636291</v>
      </c>
    </row>
    <row r="113" spans="2:86" ht="15.75" hidden="1" outlineLevel="1">
      <c r="B113" s="53" t="s">
        <v>3699</v>
      </c>
      <c r="C113" s="53"/>
      <c r="G113" s="53">
        <v>5</v>
      </c>
      <c r="H113" s="53">
        <v>5.7</v>
      </c>
      <c r="I113" s="53">
        <v>6.3</v>
      </c>
      <c r="J113" s="53">
        <f>23.3-I113-H113-G113</f>
        <v>6.3000000000000007</v>
      </c>
      <c r="K113" s="714">
        <f>12.8-L113</f>
        <v>6.2000000000000011</v>
      </c>
      <c r="L113" s="714">
        <f>6.6</f>
        <v>6.6</v>
      </c>
      <c r="M113" s="714">
        <f>7.2</f>
        <v>7.2</v>
      </c>
      <c r="N113" s="702">
        <f>27.8-K113-L113-M113</f>
        <v>7.8000000000000016</v>
      </c>
      <c r="O113" s="702">
        <f>17-P113</f>
        <v>8.3000000000000007</v>
      </c>
      <c r="P113" s="702">
        <f>8.7</f>
        <v>8.6999999999999993</v>
      </c>
      <c r="Q113" s="714">
        <f>9.5</f>
        <v>9.5</v>
      </c>
      <c r="R113" s="702">
        <f>36.3-O113-P113-Q113</f>
        <v>9.7999999999999972</v>
      </c>
      <c r="S113" s="702">
        <v>9.8000000000000007</v>
      </c>
      <c r="T113" s="702">
        <v>10</v>
      </c>
      <c r="U113" s="702">
        <v>10.199999999999999</v>
      </c>
      <c r="V113" s="702">
        <f>40.3-S113-T113-U113</f>
        <v>10.299999999999997</v>
      </c>
      <c r="W113" s="53"/>
      <c r="X113" s="702">
        <v>10.5</v>
      </c>
      <c r="Y113" s="702">
        <v>10.8</v>
      </c>
      <c r="Z113" s="702">
        <v>11.3</v>
      </c>
      <c r="AA113" s="702">
        <f>44-X113-Y113-Z113</f>
        <v>11.399999999999999</v>
      </c>
      <c r="AB113" s="53"/>
      <c r="AC113" s="702">
        <f>23.1-AD113</f>
        <v>11.700000000000001</v>
      </c>
      <c r="AD113" s="702">
        <v>11.4</v>
      </c>
      <c r="AE113" s="702">
        <v>10.8</v>
      </c>
      <c r="AF113" s="702">
        <f>44.1-AC113-AD113-AE113</f>
        <v>10.199999999999999</v>
      </c>
      <c r="AG113" s="53"/>
      <c r="AH113" s="702">
        <f>18.9-AI113</f>
        <v>9.5999999999999979</v>
      </c>
      <c r="AI113" s="702">
        <v>9.3000000000000007</v>
      </c>
      <c r="AJ113" s="702">
        <v>8.9</v>
      </c>
      <c r="AK113" s="702"/>
      <c r="AM113" s="702"/>
      <c r="AN113" s="702"/>
      <c r="AO113" s="702"/>
      <c r="AP113" s="702"/>
      <c r="AR113" s="702"/>
      <c r="AS113" s="702"/>
      <c r="AT113" s="702"/>
      <c r="AU113" s="702"/>
      <c r="AV113" s="53"/>
      <c r="AW113" s="702"/>
      <c r="AX113" s="702"/>
      <c r="AY113" s="702"/>
      <c r="AZ113" s="702"/>
      <c r="BA113" s="53"/>
      <c r="BB113" s="702"/>
      <c r="BC113" s="702"/>
      <c r="BD113" s="702"/>
      <c r="BE113" s="702"/>
      <c r="BF113" s="53"/>
      <c r="BJ113" s="53" t="str">
        <f t="shared" si="95"/>
        <v>Res wireless</v>
      </c>
      <c r="BK113" s="56">
        <f t="shared" si="96"/>
        <v>0.24000000000000021</v>
      </c>
      <c r="BL113" s="56">
        <f t="shared" si="96"/>
        <v>0.15789473684210509</v>
      </c>
      <c r="BM113" s="56">
        <f t="shared" si="96"/>
        <v>0.14285714285714302</v>
      </c>
      <c r="BN113" s="56">
        <f t="shared" si="96"/>
        <v>0.23809523809523814</v>
      </c>
      <c r="BO113" s="56">
        <f t="shared" si="96"/>
        <v>0.33870967741935476</v>
      </c>
      <c r="BP113" s="56">
        <f t="shared" si="96"/>
        <v>0.31818181818181812</v>
      </c>
      <c r="BQ113" s="56">
        <f t="shared" si="96"/>
        <v>0.31944444444444442</v>
      </c>
      <c r="BR113" s="56">
        <f t="shared" si="96"/>
        <v>0.25641025641025572</v>
      </c>
      <c r="BS113" s="56">
        <f t="shared" si="96"/>
        <v>0.18072289156626509</v>
      </c>
      <c r="BT113" s="56">
        <f t="shared" si="96"/>
        <v>0.14942528735632199</v>
      </c>
      <c r="BU113" s="56">
        <f t="shared" si="96"/>
        <v>7.3684210526315796E-2</v>
      </c>
      <c r="BV113" s="56">
        <f t="shared" si="96"/>
        <v>5.1020408163265252E-2</v>
      </c>
      <c r="BW113" s="56">
        <f t="shared" si="97"/>
        <v>7.1428571428571397E-2</v>
      </c>
      <c r="BX113" s="56">
        <f t="shared" si="98"/>
        <v>8.0000000000000071E-2</v>
      </c>
      <c r="BY113" s="56">
        <f t="shared" si="99"/>
        <v>0.10784313725490202</v>
      </c>
      <c r="BZ113" s="56">
        <f t="shared" si="100"/>
        <v>0.10679611650485454</v>
      </c>
      <c r="CA113" s="56">
        <f t="shared" si="101"/>
        <v>0.11428571428571432</v>
      </c>
      <c r="CB113" s="56">
        <f t="shared" si="102"/>
        <v>5.555555555555558E-2</v>
      </c>
      <c r="CC113" s="56">
        <f t="shared" si="103"/>
        <v>-4.4247787610619427E-2</v>
      </c>
      <c r="CD113" s="56">
        <f t="shared" si="104"/>
        <v>-0.10526315789473684</v>
      </c>
    </row>
    <row r="114" spans="2:86" ht="15.75" hidden="1" outlineLevel="1">
      <c r="B114" s="53" t="s">
        <v>2412</v>
      </c>
      <c r="C114" s="53"/>
      <c r="G114" s="53"/>
      <c r="H114" s="53"/>
      <c r="I114" s="53"/>
      <c r="J114" s="53"/>
      <c r="K114" s="714">
        <v>0.1</v>
      </c>
      <c r="L114" s="714">
        <v>0.1</v>
      </c>
      <c r="M114" s="714">
        <v>0.5</v>
      </c>
      <c r="N114" s="702">
        <f>1.8-K114-L114-M114</f>
        <v>1.0999999999999999</v>
      </c>
      <c r="O114" s="702">
        <f>4.1-P114</f>
        <v>1.7999999999999998</v>
      </c>
      <c r="P114" s="702">
        <v>2.2999999999999998</v>
      </c>
      <c r="Q114" s="714">
        <v>2.7</v>
      </c>
      <c r="R114" s="702">
        <f>9.8-O114-P114-Q114</f>
        <v>3</v>
      </c>
      <c r="S114" s="702">
        <v>3.4</v>
      </c>
      <c r="T114" s="702">
        <v>3.8</v>
      </c>
      <c r="U114" s="702">
        <v>4.3</v>
      </c>
      <c r="V114" s="702">
        <f>16.4-S114-T114-U114</f>
        <v>4.8999999999999995</v>
      </c>
      <c r="W114" s="53"/>
      <c r="X114" s="702">
        <v>4.9000000000000004</v>
      </c>
      <c r="Y114" s="702">
        <v>5.0999999999999996</v>
      </c>
      <c r="Z114" s="702">
        <v>5.4</v>
      </c>
      <c r="AA114" s="702">
        <f>21.2-X114-Y114-Z114</f>
        <v>5.7999999999999972</v>
      </c>
      <c r="AB114" s="53"/>
      <c r="AC114" s="702">
        <f>12.4-AD114</f>
        <v>6.2</v>
      </c>
      <c r="AD114" s="702">
        <v>6.2</v>
      </c>
      <c r="AE114" s="702">
        <v>5.8</v>
      </c>
      <c r="AF114" s="702">
        <f>24-AC114-AD114-AE114</f>
        <v>5.8000000000000016</v>
      </c>
      <c r="AG114" s="53"/>
      <c r="AH114" s="702">
        <f>12.1-AI114</f>
        <v>5.8999999999999995</v>
      </c>
      <c r="AI114" s="702">
        <v>6.2</v>
      </c>
      <c r="AJ114" s="702">
        <v>6.2</v>
      </c>
      <c r="AK114" s="702"/>
      <c r="AM114" s="702"/>
      <c r="AN114" s="702"/>
      <c r="AO114" s="702"/>
      <c r="AP114" s="702"/>
      <c r="AR114" s="702"/>
      <c r="AS114" s="702"/>
      <c r="AT114" s="702"/>
      <c r="AU114" s="702"/>
      <c r="AV114" s="53"/>
      <c r="AW114" s="702"/>
      <c r="AX114" s="702"/>
      <c r="AY114" s="702"/>
      <c r="AZ114" s="702"/>
      <c r="BA114" s="53"/>
      <c r="BB114" s="702"/>
      <c r="BC114" s="702"/>
      <c r="BD114" s="702"/>
      <c r="BE114" s="702"/>
      <c r="BF114" s="53"/>
      <c r="BJ114" s="53" t="str">
        <f t="shared" si="95"/>
        <v>B2B</v>
      </c>
      <c r="BK114" s="56"/>
      <c r="BL114" s="56"/>
      <c r="BM114" s="56"/>
      <c r="BN114" s="56"/>
      <c r="BO114" s="56"/>
      <c r="BP114" s="56"/>
      <c r="BQ114" s="56"/>
      <c r="BR114" s="56">
        <f t="shared" ref="BR114:BV118" si="105">R114/N114-1</f>
        <v>1.7272727272727275</v>
      </c>
      <c r="BS114" s="56">
        <f t="shared" si="105"/>
        <v>0.88888888888888906</v>
      </c>
      <c r="BT114" s="56">
        <f t="shared" si="105"/>
        <v>0.65217391304347827</v>
      </c>
      <c r="BU114" s="56">
        <f t="shared" si="105"/>
        <v>0.59259259259259234</v>
      </c>
      <c r="BV114" s="56">
        <f t="shared" si="105"/>
        <v>0.63333333333333308</v>
      </c>
      <c r="BW114" s="56">
        <f t="shared" si="97"/>
        <v>0.4411764705882355</v>
      </c>
      <c r="BX114" s="56">
        <f t="shared" si="98"/>
        <v>0.34210526315789469</v>
      </c>
      <c r="BY114" s="56">
        <f t="shared" si="99"/>
        <v>0.25581395348837233</v>
      </c>
      <c r="BZ114" s="56">
        <f t="shared" si="100"/>
        <v>0.18367346938775464</v>
      </c>
      <c r="CA114" s="56">
        <f t="shared" si="101"/>
        <v>0.26530612244897944</v>
      </c>
      <c r="CB114" s="56">
        <f t="shared" si="102"/>
        <v>0.21568627450980404</v>
      </c>
      <c r="CC114" s="56">
        <f t="shared" si="103"/>
        <v>7.4074074074073959E-2</v>
      </c>
      <c r="CD114" s="56">
        <f t="shared" si="104"/>
        <v>0</v>
      </c>
    </row>
    <row r="115" spans="2:86" ht="15.75" hidden="1" outlineLevel="1">
      <c r="B115" s="50" t="s">
        <v>3655</v>
      </c>
      <c r="C115" s="50"/>
      <c r="D115" s="3"/>
      <c r="E115" s="3"/>
      <c r="F115" s="3"/>
      <c r="G115" s="50">
        <v>6.3</v>
      </c>
      <c r="H115" s="50">
        <v>8.8000000000000007</v>
      </c>
      <c r="I115" s="50">
        <v>7.6</v>
      </c>
      <c r="J115" s="50">
        <f>32.4-I115-H115-G115</f>
        <v>9.6999999999999957</v>
      </c>
      <c r="K115" s="622">
        <f>K116-K110-K111-K112-K113</f>
        <v>8.0000000000000124</v>
      </c>
      <c r="L115" s="50">
        <f>L116-L110-L111-L112-L113</f>
        <v>7.8999999999999897</v>
      </c>
      <c r="M115" s="50">
        <v>6.8</v>
      </c>
      <c r="N115" s="50">
        <f>31.3-M115-L115-K115</f>
        <v>8.5999999999999961</v>
      </c>
      <c r="O115" s="622">
        <f t="shared" ref="O115:V115" si="106">O116-O110-O111-O112-O113-O114</f>
        <v>6.4000000000000208</v>
      </c>
      <c r="P115" s="622">
        <f t="shared" si="106"/>
        <v>6.3000000000000123</v>
      </c>
      <c r="Q115" s="622">
        <f t="shared" si="106"/>
        <v>6.1999999999999984</v>
      </c>
      <c r="R115" s="622">
        <f t="shared" si="106"/>
        <v>7.9999999999999929</v>
      </c>
      <c r="S115" s="622">
        <f t="shared" si="106"/>
        <v>6.7000000000000011</v>
      </c>
      <c r="T115" s="622">
        <f t="shared" si="106"/>
        <v>6.0999999999999988</v>
      </c>
      <c r="U115" s="622">
        <f t="shared" si="106"/>
        <v>5.8999999999999924</v>
      </c>
      <c r="V115" s="622">
        <f t="shared" si="106"/>
        <v>6.4999999999999707</v>
      </c>
      <c r="W115" s="53"/>
      <c r="X115" s="622">
        <f>X116-X110-X111-X112-X113-X114</f>
        <v>6.3000000000000096</v>
      </c>
      <c r="Y115" s="622">
        <f>Y116-Y110-Y111-Y112-Y113-Y114</f>
        <v>6.3000000000000131</v>
      </c>
      <c r="Z115" s="622">
        <f>Z116-Z110-Z111-Z112-Z113-Z114</f>
        <v>6.2999999999999776</v>
      </c>
      <c r="AA115" s="622">
        <f>AA116-AA110-AA111-AA112-AA113-AA114</f>
        <v>7.1999999999999886</v>
      </c>
      <c r="AB115" s="53"/>
      <c r="AC115" s="622">
        <f>AC116-AC110-AC111-AC112-AC113-AC114</f>
        <v>5.6000000000000023</v>
      </c>
      <c r="AD115" s="622">
        <f>AD116-AD110-AD111-AD112-AD113-AD114</f>
        <v>4.9999999999999796</v>
      </c>
      <c r="AE115" s="622">
        <f>AE116-AE110-AE111-AE112-AE113-AE114</f>
        <v>4.7999999999999838</v>
      </c>
      <c r="AF115" s="622">
        <f>AF116-AF110-AF111-AF112-AF113-AF114</f>
        <v>5.7999999999999892</v>
      </c>
      <c r="AG115" s="53"/>
      <c r="AH115" s="622">
        <f>AH116-SUM(AH110:AH114)</f>
        <v>4.0999999999999943</v>
      </c>
      <c r="AI115" s="622">
        <f>AI116-SUM(AI110:AI114)</f>
        <v>4.3000000000000114</v>
      </c>
      <c r="AJ115" s="622">
        <f>AJ116-SUM(AJ110:AJ114)</f>
        <v>4.1999999999999886</v>
      </c>
      <c r="AK115" s="622"/>
      <c r="AM115" s="622"/>
      <c r="AN115" s="622"/>
      <c r="AO115" s="622"/>
      <c r="AP115" s="621"/>
      <c r="AR115" s="622"/>
      <c r="AS115" s="622"/>
      <c r="AT115" s="622"/>
      <c r="AU115" s="622"/>
      <c r="AV115" s="53"/>
      <c r="AW115" s="622"/>
      <c r="AX115" s="622"/>
      <c r="AY115" s="622"/>
      <c r="AZ115" s="622"/>
      <c r="BA115" s="53"/>
      <c r="BB115" s="622"/>
      <c r="BC115" s="622"/>
      <c r="BD115" s="622"/>
      <c r="BE115" s="622"/>
      <c r="BF115" s="53"/>
      <c r="BJ115" s="53" t="str">
        <f t="shared" si="95"/>
        <v>Equipment</v>
      </c>
      <c r="BK115" s="631">
        <f t="shared" ref="BK115:BQ117" si="107">K115/G115-1</f>
        <v>0.26984126984127177</v>
      </c>
      <c r="BL115" s="631">
        <f t="shared" si="107"/>
        <v>-0.10227272727272851</v>
      </c>
      <c r="BM115" s="631">
        <f t="shared" si="107"/>
        <v>-0.10526315789473684</v>
      </c>
      <c r="BN115" s="631">
        <f t="shared" si="107"/>
        <v>-0.11340206185567014</v>
      </c>
      <c r="BO115" s="631">
        <f t="shared" si="107"/>
        <v>-0.19999999999999862</v>
      </c>
      <c r="BP115" s="631">
        <f t="shared" si="107"/>
        <v>-0.20253164556961767</v>
      </c>
      <c r="BQ115" s="631">
        <f t="shared" si="107"/>
        <v>-8.82352941176473E-2</v>
      </c>
      <c r="BR115" s="631">
        <f t="shared" si="105"/>
        <v>-6.9767441860465573E-2</v>
      </c>
      <c r="BS115" s="631">
        <f t="shared" si="105"/>
        <v>4.6874999999996669E-2</v>
      </c>
      <c r="BT115" s="631">
        <f t="shared" si="105"/>
        <v>-3.1746031746033854E-2</v>
      </c>
      <c r="BU115" s="631">
        <f t="shared" si="105"/>
        <v>-4.8387096774194505E-2</v>
      </c>
      <c r="BV115" s="631">
        <f t="shared" si="105"/>
        <v>-0.18750000000000289</v>
      </c>
      <c r="BW115" s="631">
        <f t="shared" si="97"/>
        <v>-5.9701492537312162E-2</v>
      </c>
      <c r="BX115" s="631">
        <f t="shared" si="98"/>
        <v>3.2786885245903896E-2</v>
      </c>
      <c r="BY115" s="631">
        <f t="shared" si="99"/>
        <v>6.7796610169489124E-2</v>
      </c>
      <c r="BZ115" s="631">
        <f t="shared" si="100"/>
        <v>0.10769230769231086</v>
      </c>
      <c r="CA115" s="631">
        <f t="shared" si="101"/>
        <v>-0.11111111111111205</v>
      </c>
      <c r="CB115" s="631">
        <f t="shared" si="102"/>
        <v>-0.20634920634921128</v>
      </c>
      <c r="CC115" s="631">
        <f t="shared" si="103"/>
        <v>-0.23809523809523792</v>
      </c>
      <c r="CD115" s="631">
        <f t="shared" si="104"/>
        <v>-0.19444444444444464</v>
      </c>
      <c r="CE115" s="3"/>
      <c r="CF115" s="3"/>
      <c r="CG115" s="3"/>
      <c r="CH115" s="3"/>
    </row>
    <row r="116" spans="2:86" ht="15.75" hidden="1" outlineLevel="1">
      <c r="B116" s="53" t="s">
        <v>16</v>
      </c>
      <c r="C116" s="53"/>
      <c r="G116" s="53">
        <f>SUM(G110:G115)</f>
        <v>130.29999999999998</v>
      </c>
      <c r="H116" s="53">
        <f>SUM(H110:H115)</f>
        <v>136.5</v>
      </c>
      <c r="I116" s="53">
        <f>SUM(I110:I115)</f>
        <v>138.30000000000001</v>
      </c>
      <c r="J116" s="53">
        <f>SUM(J110:J115)</f>
        <v>142.39999999999998</v>
      </c>
      <c r="K116" s="714">
        <f>282.8-L116</f>
        <v>140.20000000000002</v>
      </c>
      <c r="L116" s="714">
        <v>142.6</v>
      </c>
      <c r="M116" s="714">
        <v>146.5</v>
      </c>
      <c r="N116" s="714">
        <f>580.6-K116-L116-M116</f>
        <v>151.29999999999995</v>
      </c>
      <c r="O116" s="714">
        <f>303.6-P116</f>
        <v>150.20000000000002</v>
      </c>
      <c r="P116" s="714">
        <v>153.4</v>
      </c>
      <c r="Q116" s="714">
        <v>155.5</v>
      </c>
      <c r="R116" s="714">
        <f>617.6-O116-P116-Q116</f>
        <v>158.5</v>
      </c>
      <c r="S116" s="714">
        <v>158.9</v>
      </c>
      <c r="T116" s="714">
        <v>161.6</v>
      </c>
      <c r="U116" s="714">
        <v>163.19999999999999</v>
      </c>
      <c r="V116" s="702">
        <f>647.8-S116-T116-U116</f>
        <v>164.09999999999997</v>
      </c>
      <c r="W116" s="53"/>
      <c r="X116" s="702">
        <v>162.80000000000001</v>
      </c>
      <c r="Y116" s="702">
        <v>165.3</v>
      </c>
      <c r="Z116" s="702">
        <v>166.2</v>
      </c>
      <c r="AA116" s="702">
        <f>660.5-X116-Y116-Z116</f>
        <v>166.2</v>
      </c>
      <c r="AB116" s="53"/>
      <c r="AC116" s="702">
        <f>324.4-AD116</f>
        <v>165.7</v>
      </c>
      <c r="AD116" s="702">
        <v>158.69999999999999</v>
      </c>
      <c r="AE116" s="702">
        <v>157.6</v>
      </c>
      <c r="AF116" s="702">
        <f>639.8-AC116-AD116-AE116</f>
        <v>157.79999999999998</v>
      </c>
      <c r="AG116" s="53"/>
      <c r="AH116" s="702">
        <f>302.2-AI116</f>
        <v>152.19999999999999</v>
      </c>
      <c r="AI116" s="702">
        <v>150</v>
      </c>
      <c r="AJ116" s="702">
        <v>149.1</v>
      </c>
      <c r="AK116" s="702"/>
      <c r="AM116" s="702"/>
      <c r="AN116" s="702"/>
      <c r="AO116" s="702"/>
      <c r="AP116" s="702"/>
      <c r="AR116" s="702"/>
      <c r="AS116" s="702"/>
      <c r="AT116" s="702"/>
      <c r="AU116" s="702"/>
      <c r="AV116" s="53"/>
      <c r="AW116" s="702"/>
      <c r="AX116" s="702"/>
      <c r="AY116" s="702"/>
      <c r="AZ116" s="702"/>
      <c r="BA116" s="53"/>
      <c r="BB116" s="702"/>
      <c r="BC116" s="702"/>
      <c r="BD116" s="702"/>
      <c r="BE116" s="702"/>
      <c r="BF116" s="53"/>
      <c r="BJ116" s="53" t="s">
        <v>17</v>
      </c>
      <c r="BK116" s="56">
        <f t="shared" si="107"/>
        <v>7.5978511128166115E-2</v>
      </c>
      <c r="BL116" s="56">
        <f t="shared" si="107"/>
        <v>4.4688644688644752E-2</v>
      </c>
      <c r="BM116" s="56">
        <f t="shared" si="107"/>
        <v>5.9291395516992029E-2</v>
      </c>
      <c r="BN116" s="56">
        <f t="shared" si="107"/>
        <v>6.2499999999999778E-2</v>
      </c>
      <c r="BO116" s="56">
        <f t="shared" si="107"/>
        <v>7.1326676176890258E-2</v>
      </c>
      <c r="BP116" s="56">
        <f t="shared" si="107"/>
        <v>7.5736325385694414E-2</v>
      </c>
      <c r="BQ116" s="56">
        <f t="shared" si="107"/>
        <v>6.1433447098976135E-2</v>
      </c>
      <c r="BR116" s="56">
        <f t="shared" si="105"/>
        <v>4.7587574355585138E-2</v>
      </c>
      <c r="BS116" s="56">
        <f t="shared" si="105"/>
        <v>5.7922769640479377E-2</v>
      </c>
      <c r="BT116" s="56">
        <f t="shared" si="105"/>
        <v>5.34550195567145E-2</v>
      </c>
      <c r="BU116" s="56">
        <f t="shared" si="105"/>
        <v>4.9517684887459668E-2</v>
      </c>
      <c r="BV116" s="56">
        <f t="shared" si="105"/>
        <v>3.5331230283911497E-2</v>
      </c>
      <c r="BW116" s="56">
        <f t="shared" si="97"/>
        <v>2.4543738200125897E-2</v>
      </c>
      <c r="BX116" s="56">
        <f t="shared" si="98"/>
        <v>2.2896039603960583E-2</v>
      </c>
      <c r="BY116" s="56">
        <f t="shared" si="99"/>
        <v>1.8382352941176405E-2</v>
      </c>
      <c r="BZ116" s="56">
        <f t="shared" si="100"/>
        <v>1.2797074954296273E-2</v>
      </c>
      <c r="CA116" s="56">
        <f t="shared" si="101"/>
        <v>1.7813267813267641E-2</v>
      </c>
      <c r="CB116" s="56">
        <f t="shared" si="102"/>
        <v>-3.9927404718693382E-2</v>
      </c>
      <c r="CC116" s="56">
        <f t="shared" si="103"/>
        <v>-5.1744885679903652E-2</v>
      </c>
      <c r="CD116" s="56">
        <f t="shared" si="104"/>
        <v>-5.0541516245487417E-2</v>
      </c>
      <c r="CE116" s="56"/>
      <c r="CF116" s="56"/>
      <c r="CG116" s="56"/>
      <c r="CH116" s="56"/>
    </row>
    <row r="117" spans="2:86" ht="15.75" hidden="1" outlineLevel="1">
      <c r="B117" s="53" t="s">
        <v>1570</v>
      </c>
      <c r="C117" s="53"/>
      <c r="G117" s="53">
        <f t="shared" ref="G117:V117" si="108">G116-G115</f>
        <v>123.99999999999999</v>
      </c>
      <c r="H117" s="53">
        <f t="shared" si="108"/>
        <v>127.7</v>
      </c>
      <c r="I117" s="53">
        <f t="shared" si="108"/>
        <v>130.70000000000002</v>
      </c>
      <c r="J117" s="53">
        <f t="shared" si="108"/>
        <v>132.69999999999999</v>
      </c>
      <c r="K117" s="53">
        <f t="shared" si="108"/>
        <v>132.20000000000002</v>
      </c>
      <c r="L117" s="53">
        <f t="shared" si="108"/>
        <v>134.70000000000002</v>
      </c>
      <c r="M117" s="53">
        <f t="shared" si="108"/>
        <v>139.69999999999999</v>
      </c>
      <c r="N117" s="53">
        <f t="shared" si="108"/>
        <v>142.69999999999996</v>
      </c>
      <c r="O117" s="53">
        <f t="shared" si="108"/>
        <v>143.79999999999998</v>
      </c>
      <c r="P117" s="53">
        <f t="shared" si="108"/>
        <v>147.1</v>
      </c>
      <c r="Q117" s="621">
        <f t="shared" si="108"/>
        <v>149.30000000000001</v>
      </c>
      <c r="R117" s="53">
        <f t="shared" si="108"/>
        <v>150.5</v>
      </c>
      <c r="S117" s="53">
        <f t="shared" si="108"/>
        <v>152.20000000000002</v>
      </c>
      <c r="T117" s="53">
        <f t="shared" si="108"/>
        <v>155.5</v>
      </c>
      <c r="U117" s="53">
        <f t="shared" si="108"/>
        <v>157.29999999999998</v>
      </c>
      <c r="V117" s="53">
        <f t="shared" si="108"/>
        <v>157.6</v>
      </c>
      <c r="W117" s="53"/>
      <c r="X117" s="53">
        <f>X116-X115</f>
        <v>156.5</v>
      </c>
      <c r="Y117" s="621">
        <f>Y116-Y115</f>
        <v>159</v>
      </c>
      <c r="Z117" s="621">
        <f>Z116-Z115</f>
        <v>159.9</v>
      </c>
      <c r="AA117" s="621">
        <f>AA116-AA115</f>
        <v>159</v>
      </c>
      <c r="AB117" s="53"/>
      <c r="AC117" s="621">
        <f>AC116-AC115</f>
        <v>160.1</v>
      </c>
      <c r="AD117" s="621">
        <f>AD116-AD115</f>
        <v>153.70000000000002</v>
      </c>
      <c r="AE117" s="621">
        <f>AE116-AE115</f>
        <v>152.80000000000001</v>
      </c>
      <c r="AF117" s="621">
        <f>AF116-AF115</f>
        <v>152</v>
      </c>
      <c r="AG117" s="53"/>
      <c r="AH117" s="621">
        <f>AH116-AH115</f>
        <v>148.1</v>
      </c>
      <c r="AI117" s="621">
        <f>AI116-AI115</f>
        <v>145.69999999999999</v>
      </c>
      <c r="AJ117" s="621">
        <f>AJ116-AJ115</f>
        <v>144.9</v>
      </c>
      <c r="AK117" s="621"/>
      <c r="AM117" s="621"/>
      <c r="AN117" s="621"/>
      <c r="AO117" s="621"/>
      <c r="AP117" s="621"/>
      <c r="AR117" s="621"/>
      <c r="AS117" s="621"/>
      <c r="AT117" s="621"/>
      <c r="AU117" s="621"/>
      <c r="AV117" s="53"/>
      <c r="AW117" s="621"/>
      <c r="AX117" s="621"/>
      <c r="AY117" s="621"/>
      <c r="AZ117" s="621"/>
      <c r="BA117" s="53"/>
      <c r="BB117" s="621"/>
      <c r="BC117" s="621"/>
      <c r="BD117" s="621"/>
      <c r="BE117" s="621"/>
      <c r="BF117" s="53"/>
      <c r="BJ117" s="53" t="s">
        <v>2108</v>
      </c>
      <c r="BK117" s="56">
        <f t="shared" si="107"/>
        <v>6.6129032258064768E-2</v>
      </c>
      <c r="BL117" s="56">
        <f t="shared" si="107"/>
        <v>5.4815974941268664E-2</v>
      </c>
      <c r="BM117" s="56">
        <f t="shared" si="107"/>
        <v>6.8859984697780874E-2</v>
      </c>
      <c r="BN117" s="56">
        <f t="shared" si="107"/>
        <v>7.5357950263752693E-2</v>
      </c>
      <c r="BO117" s="56">
        <f t="shared" si="107"/>
        <v>8.7745839636913514E-2</v>
      </c>
      <c r="BP117" s="56">
        <f t="shared" si="107"/>
        <v>9.2056421677802369E-2</v>
      </c>
      <c r="BQ117" s="56">
        <f t="shared" si="107"/>
        <v>6.8718682891911298E-2</v>
      </c>
      <c r="BR117" s="56">
        <f t="shared" si="105"/>
        <v>5.4660126138752929E-2</v>
      </c>
      <c r="BS117" s="56">
        <f t="shared" si="105"/>
        <v>5.8414464534075394E-2</v>
      </c>
      <c r="BT117" s="56">
        <f t="shared" si="105"/>
        <v>5.7104010876954492E-2</v>
      </c>
      <c r="BU117" s="56">
        <f t="shared" si="105"/>
        <v>5.3583389149363558E-2</v>
      </c>
      <c r="BV117" s="56">
        <f t="shared" si="105"/>
        <v>4.7176079734219334E-2</v>
      </c>
      <c r="BW117" s="56">
        <f t="shared" si="97"/>
        <v>2.8252299605781683E-2</v>
      </c>
      <c r="BX117" s="56">
        <f t="shared" si="98"/>
        <v>2.2508038585209E-2</v>
      </c>
      <c r="BY117" s="56">
        <f t="shared" si="99"/>
        <v>1.6528925619834878E-2</v>
      </c>
      <c r="BZ117" s="56">
        <f t="shared" si="100"/>
        <v>8.8832487309644659E-3</v>
      </c>
      <c r="CA117" s="56">
        <f t="shared" si="101"/>
        <v>2.3003194888178813E-2</v>
      </c>
      <c r="CB117" s="56">
        <f t="shared" si="102"/>
        <v>-3.3333333333333215E-2</v>
      </c>
      <c r="CC117" s="56">
        <f t="shared" si="103"/>
        <v>-4.4402751719824884E-2</v>
      </c>
      <c r="CD117" s="56">
        <f t="shared" si="104"/>
        <v>-4.4025157232704393E-2</v>
      </c>
      <c r="CE117" s="56">
        <f>AH117/AC117-1</f>
        <v>-7.4953154278575851E-2</v>
      </c>
      <c r="CF117" s="56">
        <f>AI117/AD117-1</f>
        <v>-5.2049446974626101E-2</v>
      </c>
      <c r="CG117" s="56">
        <f>AJ117/AE117-1</f>
        <v>-5.1701570680628306E-2</v>
      </c>
    </row>
    <row r="118" spans="2:86" ht="15.75" hidden="1" outlineLevel="1">
      <c r="B118" s="53" t="s">
        <v>4241</v>
      </c>
      <c r="C118" s="53"/>
      <c r="G118" s="53"/>
      <c r="H118" s="53"/>
      <c r="I118" s="53"/>
      <c r="J118" s="53"/>
      <c r="K118" s="53">
        <f t="shared" ref="K118:V118" si="109">K110+K111+K112</f>
        <v>126</v>
      </c>
      <c r="L118" s="53">
        <f t="shared" si="109"/>
        <v>128.1</v>
      </c>
      <c r="M118" s="53">
        <f t="shared" si="109"/>
        <v>131.9</v>
      </c>
      <c r="N118" s="53">
        <f t="shared" si="109"/>
        <v>133.49999999999997</v>
      </c>
      <c r="O118" s="53">
        <f t="shared" si="109"/>
        <v>133.69999999999999</v>
      </c>
      <c r="P118" s="53">
        <f t="shared" si="109"/>
        <v>136.1</v>
      </c>
      <c r="Q118" s="53">
        <f t="shared" si="109"/>
        <v>137.1</v>
      </c>
      <c r="R118" s="53">
        <f t="shared" si="109"/>
        <v>137.70000000000002</v>
      </c>
      <c r="S118" s="53">
        <f t="shared" si="109"/>
        <v>139</v>
      </c>
      <c r="T118" s="53">
        <f t="shared" si="109"/>
        <v>141.69999999999999</v>
      </c>
      <c r="U118" s="53">
        <f t="shared" si="109"/>
        <v>142.80000000000001</v>
      </c>
      <c r="V118" s="53">
        <f t="shared" si="109"/>
        <v>142.4</v>
      </c>
      <c r="W118" s="53"/>
      <c r="X118" s="53">
        <f>X110+X111+X112</f>
        <v>141.1</v>
      </c>
      <c r="Y118" s="53">
        <f>Y110+Y111+Y112</f>
        <v>143.1</v>
      </c>
      <c r="Z118" s="53">
        <f>Z110+Z111+Z112</f>
        <v>143.20000000000002</v>
      </c>
      <c r="AA118" s="53">
        <f>AA110+AA111+AA112</f>
        <v>141.80000000000001</v>
      </c>
      <c r="AB118" s="53"/>
      <c r="AC118" s="53">
        <f>AC110+AC111+AC112</f>
        <v>142.19999999999999</v>
      </c>
      <c r="AD118" s="53">
        <f>AD110+AD111+AD112</f>
        <v>136.10000000000002</v>
      </c>
      <c r="AE118" s="53">
        <f>AE110+AE111+AE112</f>
        <v>136.20000000000002</v>
      </c>
      <c r="AF118" s="621">
        <f>AF110+AF111+AF112</f>
        <v>136</v>
      </c>
      <c r="AG118" s="53"/>
      <c r="AH118" s="621">
        <f>AH110+AH111+AH112</f>
        <v>132.6</v>
      </c>
      <c r="AI118" s="621">
        <f>AI110+AI111+AI112</f>
        <v>130.19999999999999</v>
      </c>
      <c r="AJ118" s="621">
        <f>AJ110+AJ111+AJ112</f>
        <v>129.80000000000001</v>
      </c>
      <c r="AK118" s="621"/>
      <c r="AM118" s="53"/>
      <c r="AN118" s="53"/>
      <c r="AO118" s="53"/>
      <c r="AP118" s="53"/>
      <c r="AR118" s="53"/>
      <c r="AS118" s="53"/>
      <c r="AT118" s="53"/>
      <c r="AU118" s="53"/>
      <c r="AV118" s="53"/>
      <c r="AW118" s="53"/>
      <c r="AX118" s="53"/>
      <c r="AY118" s="53"/>
      <c r="AZ118" s="53"/>
      <c r="BA118" s="53"/>
      <c r="BB118" s="53"/>
      <c r="BC118" s="53"/>
      <c r="BD118" s="53"/>
      <c r="BE118" s="53"/>
      <c r="BF118" s="53"/>
      <c r="BJ118" s="53" t="s">
        <v>4241</v>
      </c>
      <c r="BK118" s="56"/>
      <c r="BL118" s="56"/>
      <c r="BM118" s="56"/>
      <c r="BN118" s="56"/>
      <c r="BO118" s="56">
        <f>O118/K118-1</f>
        <v>6.1111111111111116E-2</v>
      </c>
      <c r="BP118" s="56">
        <f>P118/L118-1</f>
        <v>6.2451209992193668E-2</v>
      </c>
      <c r="BQ118" s="56">
        <f>Q118/M118-1</f>
        <v>3.9423805913570753E-2</v>
      </c>
      <c r="BR118" s="56">
        <f t="shared" si="105"/>
        <v>3.1460674157303803E-2</v>
      </c>
      <c r="BS118" s="56">
        <f t="shared" si="105"/>
        <v>3.9640987284966345E-2</v>
      </c>
      <c r="BT118" s="56">
        <f t="shared" si="105"/>
        <v>4.114621601763413E-2</v>
      </c>
      <c r="BU118" s="56">
        <f t="shared" si="105"/>
        <v>4.1575492341356712E-2</v>
      </c>
      <c r="BV118" s="56">
        <f t="shared" si="105"/>
        <v>3.4132171387073251E-2</v>
      </c>
      <c r="BW118" s="56">
        <f t="shared" si="97"/>
        <v>1.510791366906461E-2</v>
      </c>
      <c r="BX118" s="56">
        <f t="shared" si="98"/>
        <v>9.8800282286521934E-3</v>
      </c>
      <c r="BY118" s="56">
        <f t="shared" si="99"/>
        <v>2.8011204481792618E-3</v>
      </c>
      <c r="BZ118" s="56">
        <f t="shared" si="100"/>
        <v>-4.2134831460673983E-3</v>
      </c>
      <c r="CA118" s="56">
        <f t="shared" si="101"/>
        <v>7.795889440113335E-3</v>
      </c>
      <c r="CB118" s="56">
        <f t="shared" si="102"/>
        <v>-4.8916841369671338E-2</v>
      </c>
      <c r="CC118" s="56">
        <f t="shared" si="103"/>
        <v>-4.88826815642458E-2</v>
      </c>
      <c r="CD118" s="56">
        <f t="shared" si="104"/>
        <v>-4.0902679830747579E-2</v>
      </c>
    </row>
    <row r="119" spans="2:86" ht="15.75" hidden="1" outlineLevel="1">
      <c r="B119" s="53"/>
      <c r="C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M119" s="53"/>
      <c r="AN119" s="53"/>
      <c r="AO119" s="53"/>
      <c r="AP119" s="53"/>
      <c r="AR119" s="53"/>
      <c r="AS119" s="53"/>
      <c r="AT119" s="53"/>
      <c r="AU119" s="53"/>
      <c r="AV119" s="53"/>
      <c r="AW119" s="53"/>
      <c r="AX119" s="53"/>
      <c r="AY119" s="53"/>
      <c r="AZ119" s="53"/>
      <c r="BA119" s="53"/>
      <c r="BB119" s="53"/>
      <c r="BC119" s="53"/>
      <c r="BD119" s="53"/>
      <c r="BE119" s="53"/>
      <c r="BF119" s="53"/>
      <c r="BJ119" s="53"/>
      <c r="BK119" s="56"/>
      <c r="BL119" s="56"/>
      <c r="BM119" s="56"/>
      <c r="BN119" s="56"/>
      <c r="BO119" s="56"/>
      <c r="BP119" s="56"/>
      <c r="BQ119" s="56"/>
      <c r="BR119" s="56"/>
      <c r="BS119" s="56"/>
      <c r="BT119" s="56"/>
      <c r="BU119" s="56"/>
      <c r="BV119" s="56"/>
      <c r="BW119" s="56"/>
      <c r="BX119" s="56"/>
      <c r="BY119" s="56"/>
      <c r="BZ119" s="56"/>
      <c r="CA119" s="56"/>
      <c r="CB119" s="56"/>
      <c r="CC119" s="56"/>
    </row>
    <row r="120" spans="2:86" ht="15.75" hidden="1" outlineLevel="1">
      <c r="B120" s="53" t="s">
        <v>8</v>
      </c>
      <c r="C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M120" s="53"/>
      <c r="AN120" s="53"/>
      <c r="AO120" s="53"/>
      <c r="AP120" s="53"/>
      <c r="AR120" s="53"/>
      <c r="AS120" s="53"/>
      <c r="AT120" s="53"/>
      <c r="AU120" s="53"/>
      <c r="AV120" s="53"/>
      <c r="AW120" s="53"/>
      <c r="AX120" s="53"/>
      <c r="AY120" s="53"/>
      <c r="AZ120" s="53"/>
      <c r="BA120" s="53"/>
      <c r="BB120" s="53"/>
      <c r="BC120" s="53"/>
      <c r="BD120" s="53"/>
      <c r="BE120" s="53"/>
      <c r="BF120" s="53"/>
      <c r="BJ120" s="53" t="s">
        <v>8</v>
      </c>
      <c r="BK120" s="56"/>
      <c r="BL120" s="56"/>
      <c r="BM120" s="56"/>
      <c r="BN120" s="56"/>
      <c r="BO120" s="56"/>
      <c r="BP120" s="56"/>
      <c r="BQ120" s="56"/>
      <c r="BR120" s="56"/>
      <c r="BS120" s="56"/>
      <c r="BT120" s="56"/>
      <c r="BU120" s="56"/>
      <c r="BV120" s="56"/>
      <c r="BW120" s="56">
        <f>'LiLAC valuation'!Z276</f>
        <v>2.0032028777754451E-3</v>
      </c>
      <c r="BX120" s="56">
        <f>'LiLAC valuation'!AA276</f>
        <v>4.8671368186854025E-2</v>
      </c>
      <c r="BY120" s="56">
        <f>'LiLAC valuation'!AB276</f>
        <v>1.5922237641694537E-2</v>
      </c>
      <c r="BZ120" s="56">
        <f>'LiLAC valuation'!AC276</f>
        <v>-1.643068477680476E-3</v>
      </c>
      <c r="CA120" s="56">
        <f>'LiLAC valuation'!AD276</f>
        <v>1.177164169324918E-2</v>
      </c>
      <c r="CB120" s="56">
        <f>'LiLAC valuation'!AE276</f>
        <v>-0.12185955553732264</v>
      </c>
      <c r="CC120" s="56">
        <f>'LiLAC valuation'!AF276</f>
        <v>-8.4882013556204838E-2</v>
      </c>
      <c r="CD120" s="56" t="e">
        <f>'LiLAC valuation'!#REF!</f>
        <v>#REF!</v>
      </c>
    </row>
    <row r="121" spans="2:86" ht="15.75" hidden="1" outlineLevel="1">
      <c r="B121" s="53"/>
      <c r="C121" s="53"/>
      <c r="H121" s="53"/>
      <c r="I121" s="53"/>
      <c r="J121" s="53"/>
      <c r="K121" s="53"/>
      <c r="L121" s="53"/>
      <c r="M121" s="53"/>
      <c r="N121" s="53"/>
      <c r="O121" s="54"/>
      <c r="P121" s="54"/>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row>
    <row r="122" spans="2:86" ht="15.75" hidden="1" outlineLevel="1">
      <c r="B122" s="53" t="s">
        <v>2848</v>
      </c>
      <c r="C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row>
    <row r="123" spans="2:86" ht="15.75" hidden="1" outlineLevel="1">
      <c r="B123" s="53" t="s">
        <v>3544</v>
      </c>
      <c r="C123" s="53"/>
      <c r="H123" s="53"/>
      <c r="I123" s="53"/>
      <c r="J123" s="53"/>
      <c r="K123" s="630">
        <f>K117*1000000/AVERAGE('LiLAC valuation'!M226:N226)/3</f>
        <v>34655.866200044562</v>
      </c>
      <c r="L123" s="630">
        <f>L117*1000000/AVERAGE('LiLAC valuation'!N226:O226)/3</f>
        <v>34759.047803367532</v>
      </c>
      <c r="M123" s="630">
        <f>M117*1000000/AVERAGE('LiLAC valuation'!O226:P226)/3</f>
        <v>35525.37890346862</v>
      </c>
      <c r="N123" s="630">
        <f>N117*1000000/AVERAGE('LiLAC valuation'!P226:Q226)/3</f>
        <v>35944.131685998909</v>
      </c>
      <c r="O123" s="630">
        <f>O117*1000000/AVERAGE('LiLAC valuation'!Q226:R226)/3</f>
        <v>35748.468011584686</v>
      </c>
      <c r="P123" s="630">
        <f>P117*1000000/AVERAGE('LiLAC valuation'!R226:S226)/3</f>
        <v>35944.238781170199</v>
      </c>
      <c r="Q123" s="630">
        <f>Q117*1000000/AVERAGE('LiLAC valuation'!S226:T226)/3</f>
        <v>35922.236658486116</v>
      </c>
      <c r="R123" s="630">
        <f>R117*1000000/AVERAGE('LiLAC valuation'!T226:U226)/3</f>
        <v>35805.200675659602</v>
      </c>
      <c r="S123" s="630">
        <f>S117*1000000/AVERAGE('LiLAC valuation'!U226:V226)/3</f>
        <v>35795.761894682379</v>
      </c>
      <c r="T123" s="630">
        <f>T117*1000000/AVERAGE('LiLAC valuation'!V226:W226)/3</f>
        <v>36026.643498407182</v>
      </c>
      <c r="U123" s="630">
        <f>U117*1000000/AVERAGE('LiLAC valuation'!W226:X226)/3</f>
        <v>36005.722460658078</v>
      </c>
      <c r="V123" s="630">
        <f>V117*1000000/AVERAGE('LiLAC valuation'!X226:Y226)/3</f>
        <v>35844.250363901017</v>
      </c>
      <c r="W123" s="53"/>
      <c r="X123" s="630">
        <f>X117*1000000/AVERAGE('LiLAC valuation'!Y226:Z226)/3</f>
        <v>35423.669348906165</v>
      </c>
      <c r="Y123" s="630">
        <f>Y117*1000000/AVERAGE('LiLAC valuation'!Z226:AA226)/3</f>
        <v>35693.84112873354</v>
      </c>
      <c r="Z123" s="630">
        <f>Z117*1000000/AVERAGE('LiLAC valuation'!AA226:AB226)/3</f>
        <v>35584.337550489035</v>
      </c>
      <c r="AA123" s="630">
        <f>AA117*1000000/AVERAGE('LiLAC valuation'!AB226:AC226)/3</f>
        <v>35163.377011112956</v>
      </c>
      <c r="AB123" s="53"/>
      <c r="AC123" s="630">
        <f>AC117*1000000/AVERAGE('LiLAC valuation'!AD226:AE226)/3</f>
        <v>34863.084544613208</v>
      </c>
      <c r="AD123" s="630">
        <f>AD117*1000000/AVERAGE('LiLAC valuation'!AE226:AF226)/3</f>
        <v>33800.648743746227</v>
      </c>
      <c r="AE123" s="630">
        <f>AE117*1000000/AVERAGE('LiLAC valuation'!AF226:AG226)/3</f>
        <v>34408.602150537634</v>
      </c>
      <c r="AF123" s="630">
        <f>AF117*1000000/AVERAGE('LiLAC valuation'!AG226:AH226)/3</f>
        <v>34690.128148072072</v>
      </c>
      <c r="AG123" s="53"/>
      <c r="AH123" s="630">
        <f>AH117*1000000/AVERAGE('LiLAC valuation'!AI226:AJ226)/3</f>
        <v>34463.09935192619</v>
      </c>
      <c r="AI123" s="630">
        <f>AI117*1000000/AVERAGE('LiLAC valuation'!AJ226:AK226)/3</f>
        <v>34541.208823773457</v>
      </c>
      <c r="AJ123" s="630">
        <f>AJ117*1000000/AVERAGE('LiLAC valuation'!AK226:AL226)/3</f>
        <v>34975.922372279958</v>
      </c>
      <c r="AK123" s="630"/>
      <c r="AL123" s="53"/>
      <c r="AM123" s="630"/>
      <c r="AN123" s="630"/>
      <c r="AO123" s="630"/>
      <c r="AP123" s="630"/>
      <c r="AQ123" s="53"/>
      <c r="AR123" s="630"/>
      <c r="AS123" s="630"/>
      <c r="AT123" s="630"/>
      <c r="AU123" s="630"/>
      <c r="AV123" s="53"/>
      <c r="AW123" s="630"/>
      <c r="AX123" s="630"/>
      <c r="AY123" s="630"/>
      <c r="AZ123" s="630"/>
      <c r="BA123" s="53"/>
      <c r="BB123" s="630"/>
      <c r="BC123" s="630"/>
      <c r="BD123" s="630"/>
      <c r="BE123" s="630"/>
      <c r="BF123" s="53"/>
      <c r="BG123" s="53"/>
      <c r="BH123" s="53"/>
      <c r="BI123" s="53"/>
      <c r="BM123" s="56"/>
      <c r="BN123" s="56"/>
      <c r="BO123" s="56"/>
    </row>
    <row r="124" spans="2:86" ht="15.75" hidden="1" outlineLevel="1">
      <c r="B124" s="53" t="str">
        <f>B110</f>
        <v>Video</v>
      </c>
      <c r="C124" s="53"/>
      <c r="G124" s="630"/>
      <c r="H124" s="630"/>
      <c r="I124" s="630"/>
      <c r="J124" s="630"/>
      <c r="K124" s="630">
        <f>K110*1000000/AVERAGE('LiLAC valuation'!M227:N227)/3</f>
        <v>17279.387927121832</v>
      </c>
      <c r="L124" s="630">
        <f>L110*1000000/AVERAGE('LiLAC valuation'!N227:O227)/3</f>
        <v>17510.82355592036</v>
      </c>
      <c r="M124" s="630">
        <f>M110*1000000/AVERAGE('LiLAC valuation'!O227:P227)/3</f>
        <v>17741.54878925917</v>
      </c>
      <c r="N124" s="630">
        <f>N110*1000000/AVERAGE('LiLAC valuation'!P227:Q227)/3</f>
        <v>18004.23816579831</v>
      </c>
      <c r="O124" s="630">
        <f>O110*1000000/AVERAGE('LiLAC valuation'!Q227:R227)/3</f>
        <v>18162.189623420334</v>
      </c>
      <c r="P124" s="630">
        <f>P110*1000000/AVERAGE('LiLAC valuation'!R227:S227)/3</f>
        <v>18450.300683227859</v>
      </c>
      <c r="Q124" s="630">
        <f>Q110*1000000/AVERAGE('LiLAC valuation'!S227:T227)/3</f>
        <v>18527.197175617832</v>
      </c>
      <c r="R124" s="630">
        <f>R110*1000000/AVERAGE('LiLAC valuation'!T227:U227)/3</f>
        <v>18382.410311627111</v>
      </c>
      <c r="S124" s="630">
        <f>S110*1000000/AVERAGE('LiLAC valuation'!U227:V227)/3</f>
        <v>18659.327331249708</v>
      </c>
      <c r="T124" s="630">
        <f>T110*1000000/AVERAGE('LiLAC valuation'!V227:W227)/3</f>
        <v>19130.488444567865</v>
      </c>
      <c r="U124" s="630">
        <f>U110*1000000/AVERAGE('LiLAC valuation'!W227:X227)/3</f>
        <v>19117.759877253549</v>
      </c>
      <c r="V124" s="630">
        <f>V110*1000000/AVERAGE('LiLAC valuation'!X227:Y227)/3</f>
        <v>18945.684935719997</v>
      </c>
      <c r="W124" s="630"/>
      <c r="X124" s="630">
        <f>X110*1000000/AVERAGE('LiLAC valuation'!Y227:Z227)/3</f>
        <v>18646.078929930805</v>
      </c>
      <c r="Y124" s="630">
        <f>Y110*1000000/AVERAGE('LiLAC valuation'!Z227:AA227)/3</f>
        <v>18780.637254901962</v>
      </c>
      <c r="Z124" s="630">
        <f>Z110*1000000/AVERAGE('LiLAC valuation'!AA227:AB227)/3</f>
        <v>18625.03423719529</v>
      </c>
      <c r="AA124" s="630">
        <f>AA110*1000000/AVERAGE('LiLAC valuation'!AB227:AC227)/3</f>
        <v>18168.031543827725</v>
      </c>
      <c r="AB124" s="630"/>
      <c r="AC124" s="630">
        <f>AC110*1000000/AVERAGE('LiLAC valuation'!AD227:AE227)/3</f>
        <v>18430.800995931259</v>
      </c>
      <c r="AD124" s="630">
        <f>AD110*1000000/AVERAGE('LiLAC valuation'!AE227:AF227)/3</f>
        <v>16958.525345622122</v>
      </c>
      <c r="AE124" s="630">
        <f>AE110*1000000/AVERAGE('LiLAC valuation'!AF227:AG227)/3</f>
        <v>17515.973196197599</v>
      </c>
      <c r="AF124" s="630">
        <f>AF110*1000000/AVERAGE('LiLAC valuation'!AG227:AH227)/3</f>
        <v>18224.160297588343</v>
      </c>
      <c r="AG124" s="630"/>
      <c r="AH124" s="630">
        <f>AH110*1000000/AVERAGE('LiLAC valuation'!AI227:AJ227)/3</f>
        <v>17668.505188370567</v>
      </c>
      <c r="AI124" s="630">
        <f>AI110*1000000/AVERAGE('LiLAC valuation'!AJ227:AK227)/3</f>
        <v>17331.456280306586</v>
      </c>
      <c r="AJ124" s="630">
        <f>AJ110*1000000/AVERAGE('LiLAC valuation'!AK227:AL227)/3</f>
        <v>17825.65178018207</v>
      </c>
      <c r="AK124" s="630"/>
      <c r="AL124" s="56"/>
      <c r="AM124" s="630"/>
      <c r="AN124" s="630"/>
      <c r="AO124" s="630"/>
      <c r="AP124" s="630"/>
      <c r="AQ124" s="56"/>
      <c r="AR124" s="630"/>
      <c r="AS124" s="630"/>
      <c r="AT124" s="630"/>
      <c r="AU124" s="630"/>
      <c r="AV124" s="630"/>
      <c r="AW124" s="630"/>
      <c r="AX124" s="630"/>
      <c r="AY124" s="630"/>
      <c r="AZ124" s="630"/>
      <c r="BA124" s="630"/>
      <c r="BB124" s="630"/>
      <c r="BC124" s="630"/>
      <c r="BD124" s="630"/>
      <c r="BE124" s="630"/>
      <c r="BF124" s="630"/>
      <c r="BG124" s="56"/>
      <c r="BH124" s="56"/>
      <c r="BI124" s="56"/>
      <c r="BM124" s="56">
        <f t="shared" ref="BM124:BP126" si="110">S124/O124-1</f>
        <v>2.7372124074087845E-2</v>
      </c>
      <c r="BN124" s="56">
        <f t="shared" si="110"/>
        <v>3.6865944518634786E-2</v>
      </c>
      <c r="BO124" s="56">
        <f t="shared" si="110"/>
        <v>3.1875447540058E-2</v>
      </c>
      <c r="BP124" s="56">
        <f t="shared" si="110"/>
        <v>3.0642043918289064E-2</v>
      </c>
      <c r="BQ124" s="56">
        <f t="shared" ref="BQ124:BR126" si="111">X124/S124-1</f>
        <v>-7.1001494768330176E-4</v>
      </c>
      <c r="BR124" s="56">
        <f t="shared" si="111"/>
        <v>-1.8287624525616608E-2</v>
      </c>
    </row>
    <row r="125" spans="2:86" ht="15.75" hidden="1" outlineLevel="1">
      <c r="B125" s="53" t="str">
        <f>B111</f>
        <v>BB</v>
      </c>
      <c r="C125" s="53"/>
      <c r="G125" s="630"/>
      <c r="H125" s="630"/>
      <c r="I125" s="630"/>
      <c r="J125" s="630"/>
      <c r="K125" s="630">
        <f>K111*1000000/AVERAGE('LiLAC valuation'!M228:N228)/3</f>
        <v>16457.255481645723</v>
      </c>
      <c r="L125" s="630">
        <f>L111*1000000/AVERAGE('LiLAC valuation'!N228:O228)/3</f>
        <v>16485.803002656932</v>
      </c>
      <c r="M125" s="630">
        <f>M111*1000000/AVERAGE('LiLAC valuation'!O228:P228)/3</f>
        <v>16627.598062197219</v>
      </c>
      <c r="N125" s="630">
        <f>N111*1000000/AVERAGE('LiLAC valuation'!P228:Q228)/3</f>
        <v>16574.415744157439</v>
      </c>
      <c r="O125" s="630">
        <f>O111*1000000/AVERAGE('LiLAC valuation'!Q228:R228)/3</f>
        <v>16266.787384940399</v>
      </c>
      <c r="P125" s="630">
        <f>P111*1000000/AVERAGE('LiLAC valuation'!R228:S228)/3</f>
        <v>16362.993101008316</v>
      </c>
      <c r="Q125" s="630">
        <f>Q111*1000000/AVERAGE('LiLAC valuation'!S228:T228)/3</f>
        <v>16234.09448705172</v>
      </c>
      <c r="R125" s="630">
        <f>R111*1000000/AVERAGE('LiLAC valuation'!T228:U228)/3</f>
        <v>16367.588764332291</v>
      </c>
      <c r="S125" s="630">
        <f>S111*1000000/AVERAGE('LiLAC valuation'!U228:V228)/3</f>
        <v>16241.105064880705</v>
      </c>
      <c r="T125" s="630">
        <f>T111*1000000/AVERAGE('LiLAC valuation'!V228:W228)/3</f>
        <v>16327.422151233432</v>
      </c>
      <c r="U125" s="630">
        <f>U111*1000000/AVERAGE('LiLAC valuation'!W228:X228)/3</f>
        <v>16383.771753412169</v>
      </c>
      <c r="V125" s="630">
        <f>V111*1000000/AVERAGE('LiLAC valuation'!X228:Y228)/3</f>
        <v>16541.213641854843</v>
      </c>
      <c r="W125" s="630"/>
      <c r="X125" s="630">
        <f>X111*1000000/AVERAGE('LiLAC valuation'!Y228:Z228)/3</f>
        <v>16514.558887440242</v>
      </c>
      <c r="Y125" s="630">
        <f>Y111*1000000/AVERAGE('LiLAC valuation'!Z228:AA228)/3</f>
        <v>16779.832982127529</v>
      </c>
      <c r="Z125" s="630">
        <f>Z111*1000000/AVERAGE('LiLAC valuation'!AA228:AB228)/3</f>
        <v>16674.374389805253</v>
      </c>
      <c r="AA125" s="630">
        <f>AA111*1000000/AVERAGE('LiLAC valuation'!AB228:AC228)/3</f>
        <v>16632.333867399106</v>
      </c>
      <c r="AB125" s="630"/>
      <c r="AC125" s="630">
        <f>AC111*1000000/AVERAGE('LiLAC valuation'!AD228:AE228)/3</f>
        <v>16359.613137415772</v>
      </c>
      <c r="AD125" s="630">
        <f>AD111*1000000/AVERAGE('LiLAC valuation'!AE228:AF228)/3</f>
        <v>16604.151037759442</v>
      </c>
      <c r="AE125" s="630">
        <f>AE111*1000000/AVERAGE('LiLAC valuation'!AF228:AG228)/3</f>
        <v>16883.79898287281</v>
      </c>
      <c r="AF125" s="630">
        <f>AF111*1000000/AVERAGE('LiLAC valuation'!AG228:AH228)/3</f>
        <v>16614.664586583465</v>
      </c>
      <c r="AG125" s="630"/>
      <c r="AH125" s="630">
        <f>AH111*1000000/AVERAGE('LiLAC valuation'!AI228:AJ228)/3</f>
        <v>16269.857042542762</v>
      </c>
      <c r="AI125" s="630">
        <f>AI111*1000000/AVERAGE('LiLAC valuation'!AJ228:AK228)/3</f>
        <v>16366.214300182297</v>
      </c>
      <c r="AJ125" s="630">
        <f>AJ111*1000000/AVERAGE('LiLAC valuation'!AK228:AL228)/3</f>
        <v>16086.085261742017</v>
      </c>
      <c r="AK125" s="630"/>
      <c r="AL125" s="56"/>
      <c r="AM125" s="630"/>
      <c r="AN125" s="630"/>
      <c r="AO125" s="630"/>
      <c r="AP125" s="630"/>
      <c r="AQ125" s="56"/>
      <c r="AR125" s="630"/>
      <c r="AS125" s="630"/>
      <c r="AT125" s="630"/>
      <c r="AU125" s="630"/>
      <c r="AV125" s="630"/>
      <c r="AW125" s="630"/>
      <c r="AX125" s="630"/>
      <c r="AY125" s="630"/>
      <c r="AZ125" s="630"/>
      <c r="BA125" s="630"/>
      <c r="BB125" s="630"/>
      <c r="BC125" s="630"/>
      <c r="BD125" s="630"/>
      <c r="BE125" s="630"/>
      <c r="BF125" s="630"/>
      <c r="BG125" s="56"/>
      <c r="BH125" s="56"/>
      <c r="BI125" s="56"/>
      <c r="BM125" s="56">
        <f t="shared" si="110"/>
        <v>-1.5788194344674711E-3</v>
      </c>
      <c r="BN125" s="56">
        <f t="shared" si="110"/>
        <v>-2.1738657197559741E-3</v>
      </c>
      <c r="BO125" s="56">
        <f t="shared" si="110"/>
        <v>9.2199331770448367E-3</v>
      </c>
      <c r="BP125" s="56">
        <f t="shared" si="110"/>
        <v>1.0607847009261873E-2</v>
      </c>
      <c r="BQ125" s="56">
        <f t="shared" si="111"/>
        <v>1.6837143868420945E-2</v>
      </c>
      <c r="BR125" s="56">
        <f t="shared" si="111"/>
        <v>2.7708650312561423E-2</v>
      </c>
    </row>
    <row r="126" spans="2:86" ht="15.75" hidden="1" outlineLevel="1">
      <c r="B126" s="53" t="str">
        <f>B112</f>
        <v>Voice</v>
      </c>
      <c r="C126" s="53"/>
      <c r="G126" s="630"/>
      <c r="H126" s="630"/>
      <c r="I126" s="630"/>
      <c r="J126" s="630"/>
      <c r="K126" s="630">
        <f>K112*1000000/AVERAGE('LiLAC valuation'!M229:N229)/3</f>
        <v>11011.230480645083</v>
      </c>
      <c r="L126" s="630">
        <f>L112*1000000/AVERAGE('LiLAC valuation'!N229:O229)/3</f>
        <v>10934.613963797563</v>
      </c>
      <c r="M126" s="630">
        <f>M112*1000000/AVERAGE('LiLAC valuation'!O229:P229)/3</f>
        <v>11553.497173875154</v>
      </c>
      <c r="N126" s="630">
        <f>N112*1000000/AVERAGE('LiLAC valuation'!P229:Q229)/3</f>
        <v>11661.366045736786</v>
      </c>
      <c r="O126" s="630">
        <f>O112*1000000/AVERAGE('LiLAC valuation'!Q229:R229)/3</f>
        <v>11525.907792737657</v>
      </c>
      <c r="P126" s="630">
        <f>P112*1000000/AVERAGE('LiLAC valuation'!R229:S229)/3</f>
        <v>11313.380643834207</v>
      </c>
      <c r="Q126" s="630">
        <f>Q112*1000000/AVERAGE('LiLAC valuation'!S229:T229)/3</f>
        <v>11191.419911401259</v>
      </c>
      <c r="R126" s="630">
        <f>R112*1000000/AVERAGE('LiLAC valuation'!T229:U229)/3</f>
        <v>11138.256232432295</v>
      </c>
      <c r="S126" s="630">
        <f>S112*1000000/AVERAGE('LiLAC valuation'!U229:V229)/3</f>
        <v>11131.62612721094</v>
      </c>
      <c r="T126" s="630">
        <v>0</v>
      </c>
      <c r="U126" s="630">
        <f>U112*1000000/AVERAGE('LiLAC valuation'!W229:X229)/3</f>
        <v>10871.087949342971</v>
      </c>
      <c r="V126" s="630">
        <f>V112*1000000/AVERAGE('LiLAC valuation'!X229:Y229)/3</f>
        <v>10645.03135968698</v>
      </c>
      <c r="W126" s="630"/>
      <c r="X126" s="630">
        <f>X112*1000000/AVERAGE('LiLAC valuation'!Y229:Z229)/3</f>
        <v>10511.171790128894</v>
      </c>
      <c r="Y126" s="630">
        <f>Y112*1000000/AVERAGE('LiLAC valuation'!Z229:AA229)/3</f>
        <v>10296.6996994316</v>
      </c>
      <c r="Z126" s="630">
        <f>Z112*1000000/AVERAGE('LiLAC valuation'!AA229:AB229)/3</f>
        <v>10267.495271548229</v>
      </c>
      <c r="AA126" s="630">
        <f>AA112*1000000/AVERAGE('LiLAC valuation'!AB229:AC229)/3</f>
        <v>9997.2734708715743</v>
      </c>
      <c r="AB126" s="630"/>
      <c r="AC126" s="630">
        <f>AC112*1000000/AVERAGE('LiLAC valuation'!AD229:AE229)/3</f>
        <v>9790.1661833941325</v>
      </c>
      <c r="AD126" s="630">
        <f>AD112*1000000/AVERAGE('LiLAC valuation'!AE229:AF229)/3</f>
        <v>9404.2870577552931</v>
      </c>
      <c r="AE126" s="630">
        <f>AE112*1000000/AVERAGE('LiLAC valuation'!AF229:AG229)/3</f>
        <v>9437.7510040160651</v>
      </c>
      <c r="AF126" s="630">
        <f>AF112*1000000/AVERAGE('LiLAC valuation'!AG229:AH229)/3</f>
        <v>9132.4200913242039</v>
      </c>
      <c r="AG126" s="630"/>
      <c r="AH126" s="630">
        <f>AH112*1000000/AVERAGE('LiLAC valuation'!AI229:AJ229)/3</f>
        <v>9170.5404294342734</v>
      </c>
      <c r="AI126" s="630">
        <f>AI112*1000000/AVERAGE('LiLAC valuation'!AJ229:AK229)/3</f>
        <v>8751.6563434100663</v>
      </c>
      <c r="AJ126" s="630">
        <f>AJ112*1000000/AVERAGE('LiLAC valuation'!AK229:AL229)/3</f>
        <v>9345.2159920782287</v>
      </c>
      <c r="AK126" s="630"/>
      <c r="AL126" s="56"/>
      <c r="AM126" s="630"/>
      <c r="AN126" s="630"/>
      <c r="AO126" s="630"/>
      <c r="AP126" s="630"/>
      <c r="AQ126" s="56"/>
      <c r="AR126" s="630"/>
      <c r="AS126" s="630"/>
      <c r="AT126" s="630"/>
      <c r="AU126" s="630"/>
      <c r="AV126" s="630"/>
      <c r="AW126" s="630"/>
      <c r="AX126" s="630"/>
      <c r="AY126" s="630"/>
      <c r="AZ126" s="630"/>
      <c r="BA126" s="630"/>
      <c r="BB126" s="630"/>
      <c r="BC126" s="630"/>
      <c r="BD126" s="630"/>
      <c r="BE126" s="630"/>
      <c r="BF126" s="630"/>
      <c r="BG126" s="56"/>
      <c r="BH126" s="56"/>
      <c r="BI126" s="56"/>
      <c r="BM126" s="56">
        <f t="shared" si="110"/>
        <v>-3.4208296007291361E-2</v>
      </c>
      <c r="BN126" s="56">
        <f t="shared" si="110"/>
        <v>-1</v>
      </c>
      <c r="BO126" s="56">
        <f t="shared" si="110"/>
        <v>-2.8622995526416561E-2</v>
      </c>
      <c r="BP126" s="56">
        <f t="shared" si="110"/>
        <v>-4.4282054789613001E-2</v>
      </c>
      <c r="BQ126" s="56">
        <f t="shared" si="111"/>
        <v>-5.5737978440127733E-2</v>
      </c>
      <c r="BR126" s="56" t="e">
        <f t="shared" si="111"/>
        <v>#DIV/0!</v>
      </c>
    </row>
    <row r="127" spans="2:86" ht="15.75" hidden="1" outlineLevel="1">
      <c r="B127" s="53" t="s">
        <v>5</v>
      </c>
      <c r="C127" s="53"/>
      <c r="G127" s="630"/>
      <c r="H127" s="630"/>
      <c r="I127" s="630"/>
      <c r="J127" s="630"/>
      <c r="K127" s="630">
        <f>K113*1000000/AVERAGE('LiLAC valuation'!M230:N230)/3</f>
        <v>15656.565656565659</v>
      </c>
      <c r="L127" s="630">
        <f>L113*1000000/AVERAGE('LiLAC valuation'!N230:O230)/3</f>
        <v>16236.162361623616</v>
      </c>
      <c r="M127" s="630">
        <f>M113*1000000/AVERAGE('LiLAC valuation'!O230:P230)/3</f>
        <v>16608.996539792388</v>
      </c>
      <c r="N127" s="630">
        <f>N113*1000000/AVERAGE('LiLAC valuation'!P230:Q230)/3</f>
        <v>16507.936507936512</v>
      </c>
      <c r="O127" s="630">
        <f>O113*1000000/AVERAGE('LiLAC valuation'!Q230:R230)/3</f>
        <v>16099.311414993697</v>
      </c>
      <c r="P127" s="630">
        <f>P113*1000000/AVERAGE('LiLAC valuation'!R230:S230)/3</f>
        <v>15603.981705676621</v>
      </c>
      <c r="Q127" s="630">
        <f>Q113*1000000/AVERAGE('LiLAC valuation'!S230:T230)/3</f>
        <v>15865.063460253841</v>
      </c>
      <c r="R127" s="630">
        <f>R113*1000000/AVERAGE('LiLAC valuation'!T230:U230)/3</f>
        <v>15514.921238027382</v>
      </c>
      <c r="S127" s="630">
        <f>S113*1000000/AVERAGE('LiLAC valuation'!U230:V230)/3</f>
        <v>14895.880832953335</v>
      </c>
      <c r="T127" s="630">
        <v>0.05</v>
      </c>
      <c r="U127" s="630">
        <f>U113*1000000/AVERAGE('LiLAC valuation'!W230:X230)/3</f>
        <v>14104.957477701721</v>
      </c>
      <c r="V127" s="630">
        <f>V113*1000000/AVERAGE('LiLAC valuation'!X230:Y230)/3</f>
        <v>13675.894576113649</v>
      </c>
      <c r="W127" s="630"/>
      <c r="X127" s="630">
        <f>X113*1000000/AVERAGE('LiLAC valuation'!Y230:Z230)/3</f>
        <v>13394.565633371603</v>
      </c>
      <c r="Y127" s="630">
        <f>Y113*1000000/AVERAGE('LiLAC valuation'!Z230:AA230)/3</f>
        <v>13274.336283185839</v>
      </c>
      <c r="Z127" s="630">
        <f>Z113*1000000/AVERAGE('LiLAC valuation'!AA230:AB230)/3</f>
        <v>13321.544356027114</v>
      </c>
      <c r="AA127" s="630">
        <f>AA113*1000000/AVERAGE('LiLAC valuation'!AB230:AC230)/3</f>
        <v>12876.99085055913</v>
      </c>
      <c r="AB127" s="630"/>
      <c r="AC127" s="630">
        <f>AC113*1000000/AVERAGE('LiLAC valuation'!AD230:AE230)/3</f>
        <v>12860.67600989283</v>
      </c>
      <c r="AD127" s="630">
        <f>AD113*1000000/AVERAGE('LiLAC valuation'!AE230:AF230)/3</f>
        <v>12827.004219409282</v>
      </c>
      <c r="AE127" s="630">
        <f>AE113*1000000/AVERAGE('LiLAC valuation'!AF230:AG230)/3</f>
        <v>12605.042016806721</v>
      </c>
      <c r="AF127" s="630">
        <f>AF113*1000000/AVERAGE('LiLAC valuation'!AG230:AH230)/3</f>
        <v>12269.938650306749</v>
      </c>
      <c r="AG127" s="630"/>
      <c r="AH127" s="630">
        <f>AH113*1000000/AVERAGE('LiLAC valuation'!AI230:AJ230)/3</f>
        <v>12118.916871804582</v>
      </c>
      <c r="AI127" s="630">
        <f>AI113*1000000/AVERAGE('LiLAC valuation'!AJ230:AK230)/3</f>
        <v>12092.84181782719</v>
      </c>
      <c r="AJ127" s="630">
        <f>AJ113*1000000/AVERAGE('LiLAC valuation'!AK230:AL230)/3</f>
        <v>11923.901393354769</v>
      </c>
      <c r="AK127" s="630"/>
      <c r="AL127" s="56"/>
      <c r="AM127" s="630"/>
      <c r="AN127" s="630"/>
      <c r="AO127" s="630"/>
      <c r="AP127" s="630"/>
      <c r="AQ127" s="56"/>
      <c r="AR127" s="630"/>
      <c r="AS127" s="630"/>
      <c r="AT127" s="630"/>
      <c r="AU127" s="630"/>
      <c r="AV127" s="630"/>
      <c r="AW127" s="630"/>
      <c r="AX127" s="630"/>
      <c r="AY127" s="630"/>
      <c r="AZ127" s="630"/>
      <c r="BA127" s="630"/>
      <c r="BB127" s="630"/>
      <c r="BC127" s="630"/>
      <c r="BD127" s="630"/>
      <c r="BE127" s="630"/>
      <c r="BF127" s="630"/>
      <c r="BG127" s="56"/>
      <c r="BH127" s="56"/>
      <c r="BI127" s="56"/>
    </row>
    <row r="128" spans="2:86" ht="15.75" hidden="1" outlineLevel="1">
      <c r="B128" s="53"/>
      <c r="C128" s="53"/>
      <c r="H128" s="53"/>
      <c r="I128" s="53"/>
      <c r="J128" s="53"/>
      <c r="K128" s="53"/>
      <c r="L128" s="53"/>
      <c r="M128" s="53"/>
      <c r="N128" s="53"/>
      <c r="O128" s="630"/>
      <c r="P128" s="630"/>
      <c r="Q128" s="630"/>
      <c r="R128" s="630"/>
      <c r="S128" s="630"/>
      <c r="T128" s="630">
        <v>0.04</v>
      </c>
      <c r="U128" s="630"/>
      <c r="V128" s="630"/>
      <c r="W128" s="630"/>
      <c r="X128" s="630"/>
      <c r="Y128" s="630"/>
      <c r="Z128" s="630"/>
      <c r="AA128" s="630"/>
      <c r="AB128" s="630"/>
      <c r="AC128" s="630"/>
      <c r="AD128" s="630"/>
      <c r="AE128" s="630"/>
      <c r="AF128" s="630"/>
      <c r="AG128" s="630"/>
      <c r="AH128" s="630"/>
      <c r="AI128" s="630"/>
      <c r="AJ128" s="630"/>
      <c r="AK128" s="630"/>
      <c r="AL128" s="56"/>
      <c r="AM128" s="630"/>
      <c r="AN128" s="630"/>
      <c r="AO128" s="630"/>
      <c r="AP128" s="630"/>
      <c r="AQ128" s="56"/>
      <c r="AR128" s="630"/>
      <c r="AS128" s="630"/>
      <c r="AT128" s="630"/>
      <c r="AU128" s="630"/>
      <c r="AV128" s="630"/>
      <c r="AW128" s="630"/>
      <c r="AX128" s="630"/>
      <c r="AY128" s="630"/>
      <c r="AZ128" s="630"/>
      <c r="BA128" s="630"/>
      <c r="BB128" s="630"/>
      <c r="BC128" s="630"/>
      <c r="BD128" s="630"/>
      <c r="BE128" s="630"/>
      <c r="BF128" s="630"/>
      <c r="BG128" s="56"/>
      <c r="BH128" s="56"/>
      <c r="BI128" s="56"/>
    </row>
    <row r="129" spans="2:65" ht="15.75" hidden="1" outlineLevel="1">
      <c r="B129" s="53" t="s">
        <v>2415</v>
      </c>
      <c r="C129" s="53"/>
      <c r="H129" s="53">
        <f>'LiLAC valuation'!K314</f>
        <v>618.1</v>
      </c>
      <c r="I129" s="53">
        <f>'LiLAC valuation'!L314</f>
        <v>677</v>
      </c>
      <c r="J129" s="53">
        <f>'LiLAC valuation'!M314</f>
        <v>698</v>
      </c>
      <c r="K129" s="53">
        <f>'LiLAC valuation'!N314</f>
        <v>701</v>
      </c>
      <c r="L129" s="53">
        <f>'LiLAC valuation'!O314</f>
        <v>677</v>
      </c>
      <c r="M129" s="53">
        <f>'LiLAC valuation'!P314</f>
        <v>662</v>
      </c>
      <c r="N129" s="53">
        <f>'LiLAC valuation'!Q314</f>
        <v>665</v>
      </c>
      <c r="O129" s="53">
        <f>'LiLAC valuation'!R314</f>
        <v>660</v>
      </c>
      <c r="P129" s="53">
        <f>'LiLAC valuation'!S314</f>
        <v>664</v>
      </c>
      <c r="Q129" s="53">
        <f>'LiLAC valuation'!T314</f>
        <v>642</v>
      </c>
      <c r="R129" s="53">
        <f>'LiLAC valuation'!U314</f>
        <v>633</v>
      </c>
      <c r="S129" s="481">
        <f>'LiLAC valuation'!V314</f>
        <v>602.16723076923074</v>
      </c>
      <c r="T129" s="481">
        <f>'LiLAC valuation'!W314</f>
        <v>622</v>
      </c>
      <c r="U129" s="53">
        <f>'LiLAC valuation'!X314</f>
        <v>663</v>
      </c>
      <c r="V129" s="53">
        <f>'LiLAC valuation'!Y314</f>
        <v>681</v>
      </c>
      <c r="W129" s="53"/>
      <c r="X129" s="1017">
        <f>'LiLAC valuation'!Z313</f>
        <v>667.58921875000021</v>
      </c>
      <c r="Y129" s="1017">
        <f>'LiLAC valuation'!AA313</f>
        <v>683.48907692307728</v>
      </c>
      <c r="Z129" s="1017">
        <f>'LiLAC valuation'!AB313</f>
        <v>728</v>
      </c>
      <c r="AA129" s="1017">
        <f>'LiLAC valuation'!AC313</f>
        <v>770</v>
      </c>
      <c r="AB129" s="53"/>
      <c r="AC129" s="1017">
        <f>'LiLAC valuation'!AD313</f>
        <v>855</v>
      </c>
      <c r="AD129" s="1017">
        <f>'LiLAC valuation'!AE313</f>
        <v>826</v>
      </c>
      <c r="AE129" s="1017">
        <f>'LiLAC valuation'!AF313</f>
        <v>777</v>
      </c>
      <c r="AF129" s="1017">
        <f>'LiLAC valuation'!AG313</f>
        <v>712</v>
      </c>
      <c r="AG129" s="53"/>
      <c r="AH129" s="1017">
        <f>'LiLAC valuation'!AH313</f>
        <v>719</v>
      </c>
      <c r="AI129" s="1017">
        <f>'LiLAC valuation'!AI313</f>
        <v>733</v>
      </c>
      <c r="AJ129" s="1017">
        <f>'LiLAC valuation'!AJ313</f>
        <v>810</v>
      </c>
      <c r="AK129" s="1017">
        <f>'LiLAC valuation'!AK313</f>
        <v>852</v>
      </c>
      <c r="AL129" s="1017"/>
      <c r="AM129" s="1017">
        <f>'LiLAC valuation'!AL313</f>
        <v>786</v>
      </c>
      <c r="AN129" s="1017">
        <f>'LiLAC valuation'!AM313</f>
        <v>918</v>
      </c>
      <c r="AO129" s="1017">
        <f>'LiLAC valuation'!AN313</f>
        <v>969</v>
      </c>
      <c r="AP129" s="1017"/>
      <c r="AQ129" s="56"/>
      <c r="AR129" s="1017"/>
      <c r="AS129" s="1017"/>
      <c r="AT129" s="1017"/>
      <c r="AU129" s="1017"/>
      <c r="AV129" s="53"/>
      <c r="AW129" s="1017"/>
      <c r="AX129" s="1017"/>
      <c r="AY129" s="1017"/>
      <c r="AZ129" s="1017"/>
      <c r="BA129" s="53"/>
      <c r="BB129" s="1017"/>
      <c r="BC129" s="1017"/>
      <c r="BD129" s="1017"/>
      <c r="BE129" s="1017"/>
      <c r="BF129" s="53"/>
      <c r="BG129" s="56"/>
      <c r="BH129" s="56"/>
      <c r="BI129" s="56"/>
    </row>
    <row r="130" spans="2:65" ht="15.75" hidden="1" outlineLevel="1">
      <c r="B130" s="53"/>
      <c r="C130" s="53"/>
      <c r="H130" s="53"/>
      <c r="I130" s="53"/>
      <c r="J130" s="53"/>
      <c r="K130" s="53"/>
      <c r="L130" s="53"/>
      <c r="M130" s="53"/>
      <c r="N130" s="53"/>
      <c r="O130" s="53"/>
      <c r="P130" s="53"/>
      <c r="Q130" s="53"/>
      <c r="R130" s="53"/>
      <c r="S130" s="53"/>
      <c r="T130" s="53">
        <v>-0.03</v>
      </c>
      <c r="U130" s="53"/>
      <c r="V130" s="53"/>
      <c r="W130" s="53"/>
      <c r="X130" s="53"/>
      <c r="Y130" s="53"/>
      <c r="Z130" s="53"/>
      <c r="AA130" s="53"/>
      <c r="AB130" s="53"/>
      <c r="AC130" s="53"/>
      <c r="AD130" s="53"/>
      <c r="AE130" s="53"/>
      <c r="AF130" s="53"/>
      <c r="AG130" s="53"/>
      <c r="AH130" s="53"/>
      <c r="AI130" s="53"/>
      <c r="AJ130" s="53"/>
      <c r="AK130" s="53"/>
      <c r="AL130" s="56"/>
      <c r="AM130" s="53"/>
      <c r="AN130" s="53"/>
      <c r="AO130" s="53"/>
      <c r="AP130" s="53"/>
      <c r="AQ130" s="56"/>
      <c r="AR130" s="53"/>
      <c r="AS130" s="53"/>
      <c r="AT130" s="53"/>
      <c r="AU130" s="53"/>
      <c r="AV130" s="53"/>
      <c r="AW130" s="53"/>
      <c r="AX130" s="53"/>
      <c r="AY130" s="53"/>
      <c r="AZ130" s="53"/>
      <c r="BA130" s="53"/>
      <c r="BB130" s="53"/>
      <c r="BC130" s="53"/>
      <c r="BD130" s="53"/>
      <c r="BE130" s="53"/>
      <c r="BF130" s="53"/>
      <c r="BG130" s="56"/>
      <c r="BH130" s="56"/>
      <c r="BI130" s="56"/>
    </row>
    <row r="131" spans="2:65" ht="15.75" hidden="1" outlineLevel="1">
      <c r="B131" s="58" t="s">
        <v>3645</v>
      </c>
      <c r="C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6"/>
      <c r="AM131" s="53"/>
      <c r="AN131" s="53"/>
      <c r="AO131" s="53"/>
      <c r="AP131" s="53"/>
      <c r="AQ131" s="56"/>
      <c r="AR131" s="53"/>
      <c r="AS131" s="53"/>
      <c r="AT131" s="53"/>
      <c r="AU131" s="53"/>
      <c r="AV131" s="53"/>
      <c r="AW131" s="53"/>
      <c r="AX131" s="53"/>
      <c r="AY131" s="53"/>
      <c r="AZ131" s="53"/>
      <c r="BA131" s="53"/>
      <c r="BB131" s="53"/>
      <c r="BC131" s="53"/>
      <c r="BD131" s="53"/>
      <c r="BE131" s="53"/>
      <c r="BF131" s="53"/>
      <c r="BG131" s="56"/>
      <c r="BH131" s="56"/>
      <c r="BI131" s="56"/>
      <c r="BM131" s="54">
        <f>O71*0.6/O84</f>
        <v>0.19889502762430938</v>
      </c>
    </row>
    <row r="132" spans="2:65" ht="15.75" hidden="1" outlineLevel="1">
      <c r="B132" s="53" t="s">
        <v>1568</v>
      </c>
      <c r="C132" s="53"/>
      <c r="H132" s="621">
        <f t="shared" ref="H132:V132" si="112">H110*1000/H$129</f>
        <v>91.732729331823322</v>
      </c>
      <c r="I132" s="621">
        <f t="shared" si="112"/>
        <v>85.967503692762193</v>
      </c>
      <c r="J132" s="621">
        <f t="shared" si="112"/>
        <v>84.957020057306565</v>
      </c>
      <c r="K132" s="621">
        <f t="shared" si="112"/>
        <v>76.034236804564912</v>
      </c>
      <c r="L132" s="621">
        <f t="shared" si="112"/>
        <v>80.354505169867068</v>
      </c>
      <c r="M132" s="621">
        <f t="shared" si="112"/>
        <v>83.836858006042291</v>
      </c>
      <c r="N132" s="621">
        <f t="shared" si="112"/>
        <v>84.962406015037544</v>
      </c>
      <c r="O132" s="621">
        <f t="shared" si="112"/>
        <v>86.666666666666657</v>
      </c>
      <c r="P132" s="621">
        <f t="shared" si="112"/>
        <v>88.253012048192772</v>
      </c>
      <c r="Q132" s="621">
        <f t="shared" si="112"/>
        <v>92.36760124610592</v>
      </c>
      <c r="R132" s="621">
        <f t="shared" si="112"/>
        <v>93.048973143759909</v>
      </c>
      <c r="S132" s="621">
        <f t="shared" si="112"/>
        <v>99.640094867589809</v>
      </c>
      <c r="T132" s="621">
        <f t="shared" si="112"/>
        <v>99.678456591639872</v>
      </c>
      <c r="U132" s="621">
        <f t="shared" si="112"/>
        <v>93.966817496229254</v>
      </c>
      <c r="V132" s="621">
        <f t="shared" si="112"/>
        <v>90.455212922173288</v>
      </c>
      <c r="W132" s="621"/>
      <c r="X132" s="621">
        <f t="shared" ref="X132:AA135" si="113">X110*1000/X$129</f>
        <v>90.624591141961105</v>
      </c>
      <c r="Y132" s="621">
        <f t="shared" si="113"/>
        <v>89.686875869267126</v>
      </c>
      <c r="Z132" s="621">
        <f t="shared" si="113"/>
        <v>84.065934065934073</v>
      </c>
      <c r="AA132" s="621">
        <f t="shared" si="113"/>
        <v>77.792207792207805</v>
      </c>
      <c r="AB132" s="621"/>
      <c r="AC132" s="621">
        <f t="shared" ref="AC132:AF138" si="114">AC110*1000/AC$129</f>
        <v>70.994152046783626</v>
      </c>
      <c r="AD132" s="621">
        <f t="shared" si="114"/>
        <v>66.828087167070223</v>
      </c>
      <c r="AE132" s="621">
        <f t="shared" si="114"/>
        <v>72.329472329472324</v>
      </c>
      <c r="AF132" s="621">
        <f t="shared" si="114"/>
        <v>81.882022471910091</v>
      </c>
      <c r="AG132" s="621"/>
      <c r="AH132" s="621">
        <f t="shared" ref="AH132:AJ138" si="115">AH110*1000/AH$129</f>
        <v>78.859527121001378</v>
      </c>
      <c r="AI132" s="621">
        <f t="shared" si="115"/>
        <v>75.579809004092766</v>
      </c>
      <c r="AJ132" s="621">
        <f t="shared" si="115"/>
        <v>69.259259259259252</v>
      </c>
      <c r="AK132" s="621"/>
      <c r="AL132" s="56"/>
      <c r="AM132" s="621"/>
      <c r="AN132" s="621"/>
      <c r="AO132" s="621"/>
      <c r="AP132" s="621"/>
      <c r="AQ132" s="56"/>
      <c r="AR132" s="621"/>
      <c r="AS132" s="621"/>
      <c r="AT132" s="621"/>
      <c r="AU132" s="621"/>
      <c r="AV132" s="621"/>
      <c r="AW132" s="621"/>
      <c r="AX132" s="621"/>
      <c r="AY132" s="621"/>
      <c r="AZ132" s="621"/>
      <c r="BA132" s="621"/>
      <c r="BB132" s="621"/>
      <c r="BC132" s="621"/>
      <c r="BD132" s="621"/>
      <c r="BE132" s="621"/>
      <c r="BF132" s="621"/>
      <c r="BG132" s="56"/>
      <c r="BH132" s="56"/>
      <c r="BI132" s="56"/>
      <c r="BM132" s="54">
        <f>82*0.5/O84</f>
        <v>0.18876611418047884</v>
      </c>
    </row>
    <row r="133" spans="2:65" ht="15.75" hidden="1" outlineLevel="1">
      <c r="B133" s="53" t="s">
        <v>1567</v>
      </c>
      <c r="C133" s="53"/>
      <c r="H133" s="621">
        <f t="shared" ref="H133:V133" si="116">H111*1000/H$129</f>
        <v>69.568031062934793</v>
      </c>
      <c r="I133" s="621">
        <f t="shared" si="116"/>
        <v>65.435745937961599</v>
      </c>
      <c r="J133" s="621">
        <f t="shared" si="116"/>
        <v>65.186246418338129</v>
      </c>
      <c r="K133" s="621">
        <f t="shared" si="116"/>
        <v>71.469329529243922</v>
      </c>
      <c r="L133" s="621">
        <f t="shared" si="116"/>
        <v>76.070901033973414</v>
      </c>
      <c r="M133" s="621">
        <f t="shared" si="116"/>
        <v>80.362537764350449</v>
      </c>
      <c r="N133" s="621">
        <f t="shared" si="116"/>
        <v>81.052631578947356</v>
      </c>
      <c r="O133" s="621">
        <f t="shared" si="116"/>
        <v>81.666666666666671</v>
      </c>
      <c r="P133" s="621">
        <f t="shared" si="116"/>
        <v>83.584337349397586</v>
      </c>
      <c r="Q133" s="621">
        <f t="shared" si="116"/>
        <v>87.53894080996885</v>
      </c>
      <c r="R133" s="621">
        <f t="shared" si="116"/>
        <v>90.995260663507068</v>
      </c>
      <c r="S133" s="621">
        <f t="shared" si="116"/>
        <v>96.650892021562115</v>
      </c>
      <c r="T133" s="621">
        <f t="shared" si="116"/>
        <v>96.141479099678463</v>
      </c>
      <c r="U133" s="621">
        <f t="shared" si="116"/>
        <v>92.156862745098039</v>
      </c>
      <c r="V133" s="621">
        <f t="shared" si="116"/>
        <v>91.483113069016142</v>
      </c>
      <c r="W133" s="621"/>
      <c r="X133" s="621">
        <f t="shared" si="113"/>
        <v>93.920030819850595</v>
      </c>
      <c r="Y133" s="621">
        <f t="shared" si="113"/>
        <v>94.368735621007005</v>
      </c>
      <c r="Z133" s="621">
        <f t="shared" si="113"/>
        <v>89.148351648351664</v>
      </c>
      <c r="AA133" s="621">
        <f t="shared" si="113"/>
        <v>84.935064935064943</v>
      </c>
      <c r="AB133" s="621"/>
      <c r="AC133" s="621">
        <f t="shared" si="114"/>
        <v>76.959064327485365</v>
      </c>
      <c r="AD133" s="621">
        <f t="shared" si="114"/>
        <v>80.38740920096852</v>
      </c>
      <c r="AE133" s="621">
        <f t="shared" si="114"/>
        <v>84.813384813384815</v>
      </c>
      <c r="AF133" s="621">
        <f t="shared" si="114"/>
        <v>89.747191011235969</v>
      </c>
      <c r="AG133" s="621"/>
      <c r="AH133" s="621">
        <f t="shared" si="115"/>
        <v>85.39638386648123</v>
      </c>
      <c r="AI133" s="621">
        <f t="shared" si="115"/>
        <v>82.67394270122783</v>
      </c>
      <c r="AJ133" s="621">
        <f t="shared" si="115"/>
        <v>72.345679012345684</v>
      </c>
      <c r="AK133" s="621"/>
      <c r="AL133" s="56"/>
      <c r="AM133" s="621"/>
      <c r="AN133" s="621"/>
      <c r="AO133" s="621"/>
      <c r="AP133" s="621"/>
      <c r="AQ133" s="56"/>
      <c r="AR133" s="621"/>
      <c r="AS133" s="621"/>
      <c r="AT133" s="621"/>
      <c r="AU133" s="621"/>
      <c r="AV133" s="621"/>
      <c r="AW133" s="621"/>
      <c r="AX133" s="621"/>
      <c r="AY133" s="621"/>
      <c r="AZ133" s="621"/>
      <c r="BA133" s="621"/>
      <c r="BB133" s="621"/>
      <c r="BC133" s="621"/>
      <c r="BD133" s="621"/>
      <c r="BE133" s="621"/>
      <c r="BF133" s="621"/>
      <c r="BG133" s="56"/>
      <c r="BH133" s="56"/>
      <c r="BI133" s="56"/>
      <c r="BM133" s="54">
        <f>CWI!K4*0.9/4/O84</f>
        <v>0.35595608419889502</v>
      </c>
    </row>
    <row r="134" spans="2:65" ht="15.75" hidden="1" outlineLevel="1">
      <c r="B134" s="53" t="s">
        <v>1870</v>
      </c>
      <c r="C134" s="53"/>
      <c r="H134" s="621">
        <f t="shared" ref="H134:V134" si="117">H112*1000/H$129</f>
        <v>36.078304481475485</v>
      </c>
      <c r="I134" s="621">
        <f t="shared" si="117"/>
        <v>32.348596750369275</v>
      </c>
      <c r="J134" s="621">
        <f t="shared" si="117"/>
        <v>30.945558739254999</v>
      </c>
      <c r="K134" s="621">
        <f t="shared" si="117"/>
        <v>32.239657631954344</v>
      </c>
      <c r="L134" s="621">
        <f t="shared" si="117"/>
        <v>32.791728212703099</v>
      </c>
      <c r="M134" s="621">
        <f t="shared" si="117"/>
        <v>35.045317220543808</v>
      </c>
      <c r="N134" s="621">
        <f t="shared" si="117"/>
        <v>34.73684210526315</v>
      </c>
      <c r="O134" s="621">
        <f t="shared" si="117"/>
        <v>34.242424242424242</v>
      </c>
      <c r="P134" s="621">
        <f t="shared" si="117"/>
        <v>33.132530120481931</v>
      </c>
      <c r="Q134" s="621">
        <f t="shared" si="117"/>
        <v>33.644859813084111</v>
      </c>
      <c r="R134" s="621">
        <f t="shared" si="117"/>
        <v>33.491311216429715</v>
      </c>
      <c r="S134" s="621">
        <f t="shared" si="117"/>
        <v>34.541899554097803</v>
      </c>
      <c r="T134" s="621">
        <v>-0.01</v>
      </c>
      <c r="U134" s="621">
        <f t="shared" si="117"/>
        <v>29.260935143288084</v>
      </c>
      <c r="V134" s="621">
        <f t="shared" si="117"/>
        <v>27.165932452276063</v>
      </c>
      <c r="W134" s="621"/>
      <c r="X134" s="621">
        <f t="shared" si="113"/>
        <v>26.812895561009977</v>
      </c>
      <c r="Y134" s="621">
        <f t="shared" si="113"/>
        <v>25.311304282843739</v>
      </c>
      <c r="Z134" s="621">
        <f t="shared" si="113"/>
        <v>23.489010989010989</v>
      </c>
      <c r="AA134" s="621">
        <f t="shared" si="113"/>
        <v>21.42857142857142</v>
      </c>
      <c r="AB134" s="621"/>
      <c r="AC134" s="621">
        <f t="shared" si="114"/>
        <v>18.362573099415204</v>
      </c>
      <c r="AD134" s="621">
        <f t="shared" si="114"/>
        <v>17.554479418886199</v>
      </c>
      <c r="AE134" s="621">
        <f t="shared" si="114"/>
        <v>18.146718146718147</v>
      </c>
      <c r="AF134" s="621">
        <f t="shared" si="114"/>
        <v>19.382022471910119</v>
      </c>
      <c r="AG134" s="621"/>
      <c r="AH134" s="621">
        <f t="shared" si="115"/>
        <v>20.166898470097358</v>
      </c>
      <c r="AI134" s="621">
        <f t="shared" si="115"/>
        <v>19.372442019099591</v>
      </c>
      <c r="AJ134" s="621">
        <f t="shared" si="115"/>
        <v>18.641975308641975</v>
      </c>
      <c r="AK134" s="621"/>
      <c r="AL134" s="53"/>
      <c r="AM134" s="621"/>
      <c r="AN134" s="621"/>
      <c r="AO134" s="621"/>
      <c r="AP134" s="621"/>
      <c r="AQ134" s="53"/>
      <c r="AR134" s="621"/>
      <c r="AS134" s="621"/>
      <c r="AT134" s="621"/>
      <c r="AU134" s="621"/>
      <c r="AV134" s="621"/>
      <c r="AW134" s="621"/>
      <c r="AX134" s="621"/>
      <c r="AY134" s="621"/>
      <c r="AZ134" s="621"/>
      <c r="BA134" s="621"/>
      <c r="BB134" s="621"/>
      <c r="BC134" s="621"/>
      <c r="BD134" s="621"/>
      <c r="BE134" s="621"/>
      <c r="BF134" s="621"/>
      <c r="BG134" s="53"/>
      <c r="BH134" s="53"/>
      <c r="BI134" s="53"/>
    </row>
    <row r="135" spans="2:65" ht="15.75" hidden="1" outlineLevel="1">
      <c r="B135" s="53" t="s">
        <v>1919</v>
      </c>
      <c r="C135" s="53"/>
      <c r="H135" s="621">
        <f t="shared" ref="H135:V135" si="118">H113*1000/H$129</f>
        <v>9.2218087688076356</v>
      </c>
      <c r="I135" s="621">
        <f t="shared" si="118"/>
        <v>9.3057607090103396</v>
      </c>
      <c r="J135" s="621">
        <f t="shared" si="118"/>
        <v>9.0257879656160469</v>
      </c>
      <c r="K135" s="621">
        <f t="shared" si="118"/>
        <v>8.8445078459343804</v>
      </c>
      <c r="L135" s="621">
        <f t="shared" si="118"/>
        <v>9.7488921713441652</v>
      </c>
      <c r="M135" s="621">
        <f t="shared" si="118"/>
        <v>10.876132930513595</v>
      </c>
      <c r="N135" s="621">
        <f t="shared" si="118"/>
        <v>11.729323308270679</v>
      </c>
      <c r="O135" s="621">
        <f t="shared" si="118"/>
        <v>12.575757575757576</v>
      </c>
      <c r="P135" s="621">
        <f t="shared" si="118"/>
        <v>13.102409638554217</v>
      </c>
      <c r="Q135" s="621">
        <f t="shared" si="118"/>
        <v>14.797507788161994</v>
      </c>
      <c r="R135" s="621">
        <f t="shared" si="118"/>
        <v>15.481832543443913</v>
      </c>
      <c r="S135" s="621">
        <f t="shared" si="118"/>
        <v>16.274548828373003</v>
      </c>
      <c r="T135" s="621">
        <f t="shared" si="118"/>
        <v>16.077170418006432</v>
      </c>
      <c r="U135" s="621">
        <f t="shared" si="118"/>
        <v>15.384615384615385</v>
      </c>
      <c r="V135" s="621">
        <f t="shared" si="118"/>
        <v>15.124816446402344</v>
      </c>
      <c r="W135" s="621"/>
      <c r="X135" s="621">
        <f t="shared" si="113"/>
        <v>15.72823482629077</v>
      </c>
      <c r="Y135" s="621">
        <f t="shared" si="113"/>
        <v>15.801276662122103</v>
      </c>
      <c r="Z135" s="621">
        <f t="shared" si="113"/>
        <v>15.521978021978022</v>
      </c>
      <c r="AA135" s="621">
        <f t="shared" si="113"/>
        <v>14.805194805194803</v>
      </c>
      <c r="AB135" s="621"/>
      <c r="AC135" s="621">
        <f t="shared" si="114"/>
        <v>13.684210526315791</v>
      </c>
      <c r="AD135" s="621">
        <f t="shared" si="114"/>
        <v>13.801452784503631</v>
      </c>
      <c r="AE135" s="621">
        <f t="shared" si="114"/>
        <v>13.8996138996139</v>
      </c>
      <c r="AF135" s="621">
        <f t="shared" si="114"/>
        <v>14.325842696629213</v>
      </c>
      <c r="AG135" s="621"/>
      <c r="AH135" s="621">
        <f t="shared" si="115"/>
        <v>13.351877607788593</v>
      </c>
      <c r="AI135" s="621">
        <f t="shared" si="115"/>
        <v>12.687585266030014</v>
      </c>
      <c r="AJ135" s="621">
        <f t="shared" si="115"/>
        <v>10.987654320987655</v>
      </c>
      <c r="AK135" s="621"/>
      <c r="AL135" s="53"/>
      <c r="AM135" s="621"/>
      <c r="AN135" s="621"/>
      <c r="AO135" s="621"/>
      <c r="AP135" s="621"/>
      <c r="AQ135" s="53"/>
      <c r="AR135" s="621"/>
      <c r="AS135" s="621"/>
      <c r="AT135" s="621"/>
      <c r="AU135" s="621"/>
      <c r="AV135" s="621"/>
      <c r="AW135" s="621"/>
      <c r="AX135" s="621"/>
      <c r="AY135" s="621"/>
      <c r="AZ135" s="621"/>
      <c r="BA135" s="621"/>
      <c r="BB135" s="621"/>
      <c r="BC135" s="621"/>
      <c r="BD135" s="621"/>
      <c r="BE135" s="621"/>
      <c r="BF135" s="621"/>
      <c r="BG135" s="53"/>
      <c r="BH135" s="53"/>
      <c r="BI135" s="53"/>
    </row>
    <row r="136" spans="2:65" ht="15.75" hidden="1" outlineLevel="1">
      <c r="B136" s="53" t="s">
        <v>2412</v>
      </c>
      <c r="C136" s="53"/>
      <c r="H136" s="621">
        <f t="shared" ref="H136:V136" si="119">H114*1000/H$129</f>
        <v>0</v>
      </c>
      <c r="I136" s="621">
        <f t="shared" si="119"/>
        <v>0</v>
      </c>
      <c r="J136" s="621">
        <f t="shared" si="119"/>
        <v>0</v>
      </c>
      <c r="K136" s="621">
        <f t="shared" si="119"/>
        <v>0.14265335235378032</v>
      </c>
      <c r="L136" s="621">
        <f t="shared" si="119"/>
        <v>0.14771048744460857</v>
      </c>
      <c r="M136" s="621">
        <f t="shared" si="119"/>
        <v>0.75528700906344415</v>
      </c>
      <c r="N136" s="621">
        <f t="shared" si="119"/>
        <v>1.6541353383458643</v>
      </c>
      <c r="O136" s="621">
        <f t="shared" si="119"/>
        <v>2.7272727272727271</v>
      </c>
      <c r="P136" s="621">
        <f t="shared" si="119"/>
        <v>3.463855421686747</v>
      </c>
      <c r="Q136" s="621">
        <f t="shared" si="119"/>
        <v>4.2056074766355138</v>
      </c>
      <c r="R136" s="621">
        <f t="shared" si="119"/>
        <v>4.7393364928909953</v>
      </c>
      <c r="S136" s="621">
        <f t="shared" si="119"/>
        <v>5.6462720424967561</v>
      </c>
      <c r="T136" s="621">
        <f t="shared" si="119"/>
        <v>6.109324758842444</v>
      </c>
      <c r="U136" s="621">
        <f t="shared" si="119"/>
        <v>6.4856711915535445</v>
      </c>
      <c r="V136" s="621">
        <f t="shared" si="119"/>
        <v>7.1953010279001459</v>
      </c>
      <c r="W136" s="621"/>
      <c r="X136" s="621">
        <f>X114*1000/X$129</f>
        <v>7.339842918935692</v>
      </c>
      <c r="Y136" s="621">
        <f>Y114*1000/Y$129</f>
        <v>7.4617139793354372</v>
      </c>
      <c r="Z136" s="621">
        <f>Z114*1000/Z$129</f>
        <v>7.4175824175824179</v>
      </c>
      <c r="AA136" s="621">
        <f>AA114*1000/AA$129</f>
        <v>7.5324675324675292</v>
      </c>
      <c r="AB136" s="621"/>
      <c r="AC136" s="621">
        <f t="shared" si="114"/>
        <v>7.2514619883040936</v>
      </c>
      <c r="AD136" s="621">
        <f t="shared" si="114"/>
        <v>7.5060532687651333</v>
      </c>
      <c r="AE136" s="621">
        <f t="shared" si="114"/>
        <v>7.4646074646074645</v>
      </c>
      <c r="AF136" s="621">
        <f t="shared" si="114"/>
        <v>8.1460674157303394</v>
      </c>
      <c r="AG136" s="621"/>
      <c r="AH136" s="621">
        <f t="shared" si="115"/>
        <v>8.2058414464534071</v>
      </c>
      <c r="AI136" s="621">
        <f t="shared" si="115"/>
        <v>8.4583901773533423</v>
      </c>
      <c r="AJ136" s="621">
        <f t="shared" si="115"/>
        <v>7.6543209876543212</v>
      </c>
      <c r="AK136" s="621"/>
      <c r="AL136" s="53"/>
      <c r="AM136" s="621"/>
      <c r="AN136" s="621"/>
      <c r="AO136" s="621"/>
      <c r="AP136" s="621"/>
      <c r="AQ136" s="53"/>
      <c r="AR136" s="621"/>
      <c r="AS136" s="621"/>
      <c r="AT136" s="621"/>
      <c r="AU136" s="621"/>
      <c r="AV136" s="621"/>
      <c r="AW136" s="621"/>
      <c r="AX136" s="621"/>
      <c r="AY136" s="621"/>
      <c r="AZ136" s="621"/>
      <c r="BA136" s="621"/>
      <c r="BB136" s="621"/>
      <c r="BC136" s="621"/>
      <c r="BD136" s="621"/>
      <c r="BE136" s="621"/>
      <c r="BF136" s="621"/>
      <c r="BG136" s="53"/>
      <c r="BH136" s="53"/>
      <c r="BI136" s="53"/>
    </row>
    <row r="137" spans="2:65" ht="15.75" hidden="1" outlineLevel="1">
      <c r="B137" s="50" t="s">
        <v>4</v>
      </c>
      <c r="C137" s="50"/>
      <c r="H137" s="622">
        <f t="shared" ref="H137:V137" si="120">H115*1000/H$129</f>
        <v>14.237178450088981</v>
      </c>
      <c r="I137" s="622">
        <f t="shared" si="120"/>
        <v>11.225997045790251</v>
      </c>
      <c r="J137" s="622">
        <f t="shared" si="120"/>
        <v>13.896848137535811</v>
      </c>
      <c r="K137" s="622">
        <f t="shared" si="120"/>
        <v>11.412268188302443</v>
      </c>
      <c r="L137" s="622">
        <f t="shared" si="120"/>
        <v>11.669128508124063</v>
      </c>
      <c r="M137" s="622">
        <f t="shared" si="120"/>
        <v>10.271903323262841</v>
      </c>
      <c r="N137" s="622">
        <f t="shared" si="120"/>
        <v>12.932330827067664</v>
      </c>
      <c r="O137" s="622">
        <f t="shared" si="120"/>
        <v>9.6969696969697292</v>
      </c>
      <c r="P137" s="622">
        <f t="shared" si="120"/>
        <v>9.4879518072289333</v>
      </c>
      <c r="Q137" s="622">
        <f t="shared" si="120"/>
        <v>9.6573208722741413</v>
      </c>
      <c r="R137" s="622">
        <f t="shared" si="120"/>
        <v>12.638230647709308</v>
      </c>
      <c r="S137" s="622">
        <f t="shared" si="120"/>
        <v>11.126477260214198</v>
      </c>
      <c r="T137" s="622">
        <f t="shared" si="120"/>
        <v>9.8070739549839221</v>
      </c>
      <c r="U137" s="622">
        <f t="shared" si="120"/>
        <v>8.8989441930618298</v>
      </c>
      <c r="V137" s="622">
        <f t="shared" si="120"/>
        <v>9.5447870778266832</v>
      </c>
      <c r="W137" s="621"/>
      <c r="X137" s="622">
        <f>X115*1000/X$129</f>
        <v>9.4369408957744767</v>
      </c>
      <c r="Y137" s="622">
        <f t="shared" ref="Y137:AA138" si="121">Y115*1000/Y$129</f>
        <v>9.217411386237913</v>
      </c>
      <c r="Z137" s="622">
        <f t="shared" si="121"/>
        <v>8.6538461538461231</v>
      </c>
      <c r="AA137" s="622">
        <f t="shared" si="121"/>
        <v>9.350649350649336</v>
      </c>
      <c r="AB137" s="621"/>
      <c r="AC137" s="622">
        <f t="shared" si="114"/>
        <v>6.5497076023391845</v>
      </c>
      <c r="AD137" s="622">
        <f t="shared" si="114"/>
        <v>6.053268765133148</v>
      </c>
      <c r="AE137" s="622">
        <f t="shared" si="114"/>
        <v>6.1776061776061564</v>
      </c>
      <c r="AF137" s="622">
        <f t="shared" si="114"/>
        <v>8.1460674157303217</v>
      </c>
      <c r="AG137" s="621"/>
      <c r="AH137" s="622">
        <f t="shared" si="115"/>
        <v>5.7023643949930385</v>
      </c>
      <c r="AI137" s="622">
        <f t="shared" si="115"/>
        <v>5.8663028649386231</v>
      </c>
      <c r="AJ137" s="622">
        <f t="shared" si="115"/>
        <v>5.1851851851851718</v>
      </c>
      <c r="AK137" s="622"/>
      <c r="AL137" s="53"/>
      <c r="AM137" s="622"/>
      <c r="AN137" s="622"/>
      <c r="AO137" s="622"/>
      <c r="AP137" s="621"/>
      <c r="AQ137" s="53"/>
      <c r="AR137" s="622"/>
      <c r="AS137" s="622"/>
      <c r="AT137" s="622"/>
      <c r="AU137" s="622"/>
      <c r="AV137" s="621"/>
      <c r="AW137" s="622"/>
      <c r="AX137" s="622"/>
      <c r="AY137" s="622"/>
      <c r="AZ137" s="622"/>
      <c r="BA137" s="621"/>
      <c r="BB137" s="622"/>
      <c r="BC137" s="622"/>
      <c r="BD137" s="622"/>
      <c r="BE137" s="622"/>
      <c r="BF137" s="621"/>
      <c r="BG137" s="53"/>
      <c r="BH137" s="53"/>
      <c r="BI137" s="53"/>
    </row>
    <row r="138" spans="2:65" ht="15.75" hidden="1" outlineLevel="1">
      <c r="B138" s="53" t="s">
        <v>16</v>
      </c>
      <c r="C138" s="53"/>
      <c r="H138" s="621">
        <f t="shared" ref="H138:V138" si="122">H116*1000/H$129</f>
        <v>220.83805209513022</v>
      </c>
      <c r="I138" s="621">
        <f t="shared" si="122"/>
        <v>204.28360413589365</v>
      </c>
      <c r="J138" s="621">
        <f t="shared" si="122"/>
        <v>204.01146131805154</v>
      </c>
      <c r="K138" s="621">
        <f t="shared" si="122"/>
        <v>200.00000000000003</v>
      </c>
      <c r="L138" s="621">
        <f t="shared" si="122"/>
        <v>210.63515509601183</v>
      </c>
      <c r="M138" s="621">
        <f t="shared" si="122"/>
        <v>221.29909365558913</v>
      </c>
      <c r="N138" s="621">
        <f t="shared" si="122"/>
        <v>227.51879699248113</v>
      </c>
      <c r="O138" s="621">
        <f t="shared" si="122"/>
        <v>227.57575757575762</v>
      </c>
      <c r="P138" s="621">
        <f t="shared" si="122"/>
        <v>231.02409638554218</v>
      </c>
      <c r="Q138" s="621">
        <f t="shared" si="122"/>
        <v>242.21183800623052</v>
      </c>
      <c r="R138" s="621">
        <f t="shared" si="122"/>
        <v>250.3949447077409</v>
      </c>
      <c r="S138" s="621">
        <f t="shared" si="122"/>
        <v>263.88018457433367</v>
      </c>
      <c r="T138" s="621">
        <f t="shared" si="122"/>
        <v>259.80707395498393</v>
      </c>
      <c r="U138" s="621">
        <f t="shared" si="122"/>
        <v>246.15384615384616</v>
      </c>
      <c r="V138" s="621">
        <f t="shared" si="122"/>
        <v>240.96916299559467</v>
      </c>
      <c r="W138" s="621"/>
      <c r="X138" s="621">
        <f>X116*1000/X$129</f>
        <v>243.8625361638226</v>
      </c>
      <c r="Y138" s="621">
        <f t="shared" si="121"/>
        <v>241.8473178008133</v>
      </c>
      <c r="Z138" s="621">
        <f t="shared" si="121"/>
        <v>228.2967032967033</v>
      </c>
      <c r="AA138" s="621">
        <f t="shared" si="121"/>
        <v>215.84415584415584</v>
      </c>
      <c r="AB138" s="621"/>
      <c r="AC138" s="621">
        <f t="shared" si="114"/>
        <v>193.80116959064327</v>
      </c>
      <c r="AD138" s="621">
        <f t="shared" si="114"/>
        <v>192.13075060532688</v>
      </c>
      <c r="AE138" s="621">
        <f t="shared" si="114"/>
        <v>202.83140283140284</v>
      </c>
      <c r="AF138" s="621">
        <f t="shared" si="114"/>
        <v>221.62921348314603</v>
      </c>
      <c r="AG138" s="621"/>
      <c r="AH138" s="621">
        <f t="shared" si="115"/>
        <v>211.68289290681503</v>
      </c>
      <c r="AI138" s="621">
        <f t="shared" si="115"/>
        <v>204.63847203274216</v>
      </c>
      <c r="AJ138" s="621">
        <f t="shared" si="115"/>
        <v>184.07407407407408</v>
      </c>
      <c r="AK138" s="621"/>
      <c r="AL138" s="53"/>
      <c r="AM138" s="621"/>
      <c r="AN138" s="621"/>
      <c r="AO138" s="621"/>
      <c r="AP138" s="621"/>
      <c r="AQ138" s="53"/>
      <c r="AR138" s="621"/>
      <c r="AS138" s="621"/>
      <c r="AT138" s="621"/>
      <c r="AU138" s="621"/>
      <c r="AV138" s="621"/>
      <c r="AW138" s="621"/>
      <c r="AX138" s="621"/>
      <c r="AY138" s="621"/>
      <c r="AZ138" s="621"/>
      <c r="BA138" s="621"/>
      <c r="BB138" s="621"/>
      <c r="BC138" s="621"/>
      <c r="BD138" s="621"/>
      <c r="BE138" s="621"/>
      <c r="BF138" s="621"/>
      <c r="BG138" s="53"/>
      <c r="BH138" s="53"/>
      <c r="BI138" s="53"/>
    </row>
    <row r="139" spans="2:65" ht="15.75" hidden="1" outlineLevel="1">
      <c r="B139" s="53"/>
      <c r="C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621"/>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row>
    <row r="140" spans="2:65" ht="15.75" hidden="1" outlineLevel="1">
      <c r="B140" s="58" t="s">
        <v>2414</v>
      </c>
      <c r="C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621"/>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row>
    <row r="141" spans="2:65" ht="15.75" hidden="1" outlineLevel="1">
      <c r="B141" s="53" t="str">
        <f>'LiLAC valuation'!A354</f>
        <v>Video</v>
      </c>
      <c r="C141" s="53"/>
      <c r="H141" s="53"/>
      <c r="I141" s="53">
        <f>'LiLAC valuation'!L354</f>
        <v>46.7</v>
      </c>
      <c r="J141" s="53"/>
      <c r="K141" s="53">
        <f>'LiLAC valuation'!N354</f>
        <v>43.2</v>
      </c>
      <c r="L141" s="53">
        <f>'LiLAC valuation'!O354</f>
        <v>44.6</v>
      </c>
      <c r="M141" s="53">
        <f>'LiLAC valuation'!P354</f>
        <v>42.8</v>
      </c>
      <c r="N141" s="53">
        <f>'LiLAC valuation'!Q354</f>
        <v>42.3</v>
      </c>
      <c r="O141" s="53">
        <f>'LiLAC valuation'!R354</f>
        <v>42.3</v>
      </c>
      <c r="P141" s="53">
        <f>'LiLAC valuation'!S354</f>
        <v>42.7</v>
      </c>
      <c r="Q141" s="53">
        <f>'LiLAC valuation'!T354</f>
        <v>34.700000000000003</v>
      </c>
      <c r="R141" s="53">
        <f>'LiLAC valuation'!U354</f>
        <v>4.7999999999999972</v>
      </c>
      <c r="S141" s="53">
        <f>'LiLAC valuation'!V354</f>
        <v>23.3</v>
      </c>
      <c r="T141" s="53">
        <f>'LiLAC valuation'!W354</f>
        <v>29.8</v>
      </c>
      <c r="U141" s="53">
        <f>'LiLAC valuation'!X354</f>
        <v>32.200000000000003</v>
      </c>
      <c r="V141" s="53">
        <f>'LiLAC valuation'!Y354</f>
        <v>33.600000000000009</v>
      </c>
      <c r="X141" s="53">
        <f>'LiLAC valuation'!Z354</f>
        <v>35</v>
      </c>
      <c r="Y141" s="53">
        <f>'LiLAC valuation'!AA354</f>
        <v>35.299999999999997</v>
      </c>
      <c r="Z141" s="53">
        <f>'LiLAC valuation'!AB354</f>
        <v>35.299999999999997</v>
      </c>
      <c r="AA141" s="53">
        <f>'LiLAC valuation'!AC354</f>
        <v>35.300000000000011</v>
      </c>
      <c r="AB141" s="53"/>
      <c r="AC141" s="53">
        <f>'LiLAC valuation'!AD354</f>
        <v>35.299999999999997</v>
      </c>
      <c r="AD141" s="53">
        <f>'LiLAC valuation'!AE354</f>
        <v>36.700000000000003</v>
      </c>
      <c r="AE141" s="53">
        <f>'LiLAC valuation'!AF354</f>
        <v>37.1</v>
      </c>
      <c r="AF141" s="53">
        <f>'LiLAC valuation'!AG354</f>
        <v>38.099999999999987</v>
      </c>
      <c r="AG141" s="53"/>
      <c r="AH141" s="53">
        <f>'LiLAC valuation'!AH354</f>
        <v>38.599999999999994</v>
      </c>
      <c r="AI141" s="53">
        <f>'LiLAC valuation'!AI354</f>
        <v>39.200000000000003</v>
      </c>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row>
    <row r="142" spans="2:65" ht="15.75" hidden="1" outlineLevel="1">
      <c r="B142" s="53" t="s">
        <v>564</v>
      </c>
      <c r="C142" s="53"/>
      <c r="H142" s="53"/>
      <c r="I142" s="53">
        <f>'LiLAC valuation'!L355</f>
        <v>39.5</v>
      </c>
      <c r="J142" s="53"/>
      <c r="K142" s="53">
        <f>'LiLAC valuation'!N355</f>
        <v>36.900000000000006</v>
      </c>
      <c r="L142" s="53">
        <f>'LiLAC valuation'!O355</f>
        <v>38.299999999999997</v>
      </c>
      <c r="M142" s="53">
        <f>'LiLAC valuation'!P355</f>
        <v>37.700000000000003</v>
      </c>
      <c r="N142" s="53">
        <f>'LiLAC valuation'!Q355</f>
        <v>39.400000000000006</v>
      </c>
      <c r="O142" s="53">
        <f>'LiLAC valuation'!R355</f>
        <v>38.799999999999997</v>
      </c>
      <c r="P142" s="53">
        <f>'LiLAC valuation'!S355</f>
        <v>41.5</v>
      </c>
      <c r="Q142" s="53">
        <f>'LiLAC valuation'!T355</f>
        <v>35</v>
      </c>
      <c r="R142" s="53">
        <f>'LiLAC valuation'!U355</f>
        <v>4.6000000000000085</v>
      </c>
      <c r="S142" s="53">
        <f>'LiLAC valuation'!V355</f>
        <v>25.3</v>
      </c>
      <c r="T142" s="53">
        <f>'LiLAC valuation'!W355</f>
        <v>32.4</v>
      </c>
      <c r="U142" s="53">
        <f>'LiLAC valuation'!X355</f>
        <v>36</v>
      </c>
      <c r="V142" s="53">
        <f>'LiLAC valuation'!Y355</f>
        <v>38.800000000000011</v>
      </c>
      <c r="X142" s="53">
        <f>'LiLAC valuation'!Z355</f>
        <v>41.8</v>
      </c>
      <c r="Y142" s="53">
        <f>'LiLAC valuation'!AA355</f>
        <v>43.6</v>
      </c>
      <c r="Z142" s="53">
        <f>'LiLAC valuation'!AB355</f>
        <v>44.4</v>
      </c>
      <c r="AA142" s="53">
        <f>'LiLAC valuation'!AC355</f>
        <v>45.199999999999996</v>
      </c>
      <c r="AB142" s="53"/>
      <c r="AC142" s="53">
        <f>'LiLAC valuation'!AD355</f>
        <v>45.5</v>
      </c>
      <c r="AD142" s="53">
        <f>'LiLAC valuation'!AE355</f>
        <v>49.2</v>
      </c>
      <c r="AE142" s="53">
        <f>'LiLAC valuation'!AF355</f>
        <v>52.1</v>
      </c>
      <c r="AF142" s="53">
        <f>'LiLAC valuation'!AG355</f>
        <v>57.899999999999984</v>
      </c>
      <c r="AG142" s="53"/>
      <c r="AH142" s="53">
        <f>'LiLAC valuation'!AH355</f>
        <v>61.399999999999991</v>
      </c>
      <c r="AI142" s="53">
        <f>'LiLAC valuation'!AI355</f>
        <v>63.2</v>
      </c>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row>
    <row r="143" spans="2:65" ht="15.75" hidden="1" outlineLevel="1">
      <c r="B143" s="53" t="str">
        <f>'LiLAC valuation'!A356</f>
        <v>Voice</v>
      </c>
      <c r="C143" s="53"/>
      <c r="H143" s="53"/>
      <c r="I143" s="53">
        <f>'LiLAC valuation'!L356</f>
        <v>7.9</v>
      </c>
      <c r="J143" s="53"/>
      <c r="K143" s="53">
        <f>'LiLAC valuation'!N356</f>
        <v>6.5000000000000009</v>
      </c>
      <c r="L143" s="53">
        <f>'LiLAC valuation'!O356</f>
        <v>6.5</v>
      </c>
      <c r="M143" s="53">
        <f>'LiLAC valuation'!P356</f>
        <v>6.3</v>
      </c>
      <c r="N143" s="53">
        <f>'LiLAC valuation'!Q356</f>
        <v>6.3000000000000016</v>
      </c>
      <c r="O143" s="53">
        <f>'LiLAC valuation'!R356</f>
        <v>5.3999999999999995</v>
      </c>
      <c r="P143" s="53">
        <f>'LiLAC valuation'!S356</f>
        <v>6.3</v>
      </c>
      <c r="Q143" s="53">
        <f>'LiLAC valuation'!T356</f>
        <v>5.8</v>
      </c>
      <c r="R143" s="53">
        <f>'LiLAC valuation'!U356</f>
        <v>0</v>
      </c>
      <c r="S143" s="53">
        <f>'LiLAC valuation'!V356</f>
        <v>3.5</v>
      </c>
      <c r="T143" s="53">
        <f>'LiLAC valuation'!W356</f>
        <v>4.5999999999999996</v>
      </c>
      <c r="U143" s="53">
        <f>'LiLAC valuation'!X356</f>
        <v>5.0999999999999996</v>
      </c>
      <c r="V143" s="53">
        <f>'LiLAC valuation'!Y356</f>
        <v>5.4000000000000021</v>
      </c>
      <c r="X143" s="53">
        <f>'LiLAC valuation'!Z356</f>
        <v>5.7</v>
      </c>
      <c r="Y143" s="53">
        <f>'LiLAC valuation'!AA356</f>
        <v>5.9</v>
      </c>
      <c r="Z143" s="53">
        <f>'LiLAC valuation'!AB356</f>
        <v>5.9</v>
      </c>
      <c r="AA143" s="53">
        <f>'LiLAC valuation'!AC356</f>
        <v>5.8999999999999986</v>
      </c>
      <c r="AB143" s="53"/>
      <c r="AC143" s="53">
        <f>'LiLAC valuation'!AD356</f>
        <v>5.8999999999999995</v>
      </c>
      <c r="AD143" s="53">
        <f>'LiLAC valuation'!AE356</f>
        <v>6.2</v>
      </c>
      <c r="AE143" s="53">
        <f>'LiLAC valuation'!AF356</f>
        <v>6.5</v>
      </c>
      <c r="AF143" s="53">
        <f>'LiLAC valuation'!AG356</f>
        <v>6.9000000000000021</v>
      </c>
      <c r="AG143" s="53"/>
      <c r="AH143" s="53">
        <f>'LiLAC valuation'!AH356</f>
        <v>7</v>
      </c>
      <c r="AI143" s="53">
        <f>'LiLAC valuation'!AI356</f>
        <v>7.1</v>
      </c>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row>
    <row r="144" spans="2:65" ht="15.75" hidden="1" outlineLevel="1">
      <c r="B144" s="53" t="s">
        <v>2412</v>
      </c>
      <c r="C144" s="53"/>
      <c r="H144" s="53"/>
      <c r="I144" s="53">
        <f>'LiLAC valuation'!L366</f>
        <v>2.6</v>
      </c>
      <c r="J144" s="53"/>
      <c r="K144" s="53">
        <f>'LiLAC valuation'!N362</f>
        <v>8.8000000000000007</v>
      </c>
      <c r="L144" s="53">
        <f>'LiLAC valuation'!O362</f>
        <v>11.5</v>
      </c>
      <c r="M144" s="53">
        <f>'LiLAC valuation'!P362</f>
        <v>10.6</v>
      </c>
      <c r="N144" s="53">
        <f>'LiLAC valuation'!Q362</f>
        <v>10.100000000000001</v>
      </c>
      <c r="O144" s="53">
        <f>'LiLAC valuation'!R362</f>
        <v>13.099999999999998</v>
      </c>
      <c r="P144" s="53">
        <f>'LiLAC valuation'!S362</f>
        <v>10.6</v>
      </c>
      <c r="Q144" s="53">
        <f>'LiLAC valuation'!T362</f>
        <v>7.2</v>
      </c>
      <c r="R144" s="53">
        <f>'LiLAC valuation'!U362</f>
        <v>6.8999999999999986</v>
      </c>
      <c r="S144" s="53">
        <f>'LiLAC valuation'!V362</f>
        <v>7.3</v>
      </c>
      <c r="T144" s="53">
        <f>'LiLAC valuation'!W362</f>
        <v>9.1</v>
      </c>
      <c r="U144" s="53">
        <f>'LiLAC valuation'!X362</f>
        <v>10.1</v>
      </c>
      <c r="V144" s="53">
        <f>'LiLAC valuation'!Y362</f>
        <v>10.600000000000001</v>
      </c>
      <c r="X144" s="53">
        <f>'LiLAC valuation'!Z362</f>
        <v>10.8</v>
      </c>
      <c r="Y144" s="53">
        <f>'LiLAC valuation'!AA362</f>
        <v>13.4</v>
      </c>
      <c r="Z144" s="53">
        <f>'LiLAC valuation'!AB362</f>
        <v>13.4</v>
      </c>
      <c r="AA144" s="53">
        <f>'LiLAC valuation'!AC362</f>
        <v>13.5</v>
      </c>
      <c r="AB144" s="53"/>
      <c r="AC144" s="53">
        <f>'LiLAC valuation'!AD362</f>
        <v>13.3</v>
      </c>
      <c r="AD144" s="53">
        <f>'LiLAC valuation'!AE362</f>
        <v>13.2</v>
      </c>
      <c r="AE144" s="53">
        <f>'LiLAC valuation'!AF362</f>
        <v>14.1</v>
      </c>
      <c r="AF144" s="53">
        <f>'LiLAC valuation'!AG362</f>
        <v>49.199999999999996</v>
      </c>
      <c r="AG144" s="53"/>
      <c r="AH144" s="53">
        <f>'LiLAC valuation'!AH362</f>
        <v>52.1</v>
      </c>
      <c r="AI144" s="53">
        <f>'LiLAC valuation'!AI362</f>
        <v>51.9</v>
      </c>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row>
    <row r="145" spans="2:61" ht="15.75" hidden="1" outlineLevel="1">
      <c r="B145" s="50" t="str">
        <f>'LiLAC valuation'!A367</f>
        <v>Total</v>
      </c>
      <c r="C145" s="50"/>
      <c r="H145" s="50"/>
      <c r="I145" s="50">
        <f>'LiLAC valuation'!L367</f>
        <v>7.8</v>
      </c>
      <c r="J145" s="50"/>
      <c r="K145" s="50">
        <f>'LiLAC valuation'!N366</f>
        <v>1.9</v>
      </c>
      <c r="L145" s="50">
        <f>'LiLAC valuation'!O366</f>
        <v>1.4</v>
      </c>
      <c r="M145" s="50">
        <f>'LiLAC valuation'!P366</f>
        <v>2.1</v>
      </c>
      <c r="N145" s="50">
        <f>'LiLAC valuation'!Q366</f>
        <v>1.0999999999999996</v>
      </c>
      <c r="O145" s="50">
        <f>'LiLAC valuation'!R366</f>
        <v>1.1999999999999995</v>
      </c>
      <c r="P145" s="50">
        <f>'LiLAC valuation'!S366</f>
        <v>1.2</v>
      </c>
      <c r="Q145" s="50">
        <f>'LiLAC valuation'!T366</f>
        <v>1.7</v>
      </c>
      <c r="R145" s="50">
        <f>'LiLAC valuation'!U366</f>
        <v>0.10000000000000098</v>
      </c>
      <c r="S145" s="50">
        <f>'LiLAC valuation'!V366</f>
        <v>0.7</v>
      </c>
      <c r="T145" s="50">
        <f>'LiLAC valuation'!W366</f>
        <v>1</v>
      </c>
      <c r="U145" s="50">
        <f>'LiLAC valuation'!X366</f>
        <v>12.2</v>
      </c>
      <c r="V145" s="50">
        <f>'LiLAC valuation'!Y366</f>
        <v>1.1000000000000014</v>
      </c>
      <c r="X145" s="50">
        <f>'LiLAC valuation'!Z366</f>
        <v>0</v>
      </c>
      <c r="Y145" s="50">
        <f>'LiLAC valuation'!AA366</f>
        <v>0</v>
      </c>
      <c r="Z145" s="50">
        <f>'LiLAC valuation'!AB366</f>
        <v>0</v>
      </c>
      <c r="AA145" s="50">
        <f>'LiLAC valuation'!AC366</f>
        <v>0</v>
      </c>
      <c r="AB145" s="53"/>
      <c r="AC145" s="50">
        <f>'LiLAC valuation'!AD366</f>
        <v>0</v>
      </c>
      <c r="AD145" s="50">
        <f>'LiLAC valuation'!AE366</f>
        <v>0</v>
      </c>
      <c r="AE145" s="50">
        <f>'LiLAC valuation'!AF366</f>
        <v>9.9999999999994316E-2</v>
      </c>
      <c r="AF145" s="50">
        <f>'LiLAC valuation'!AG366</f>
        <v>5.5999999999999943</v>
      </c>
      <c r="AG145" s="53"/>
      <c r="AH145" s="50">
        <f>'LiLAC valuation'!AH366</f>
        <v>0</v>
      </c>
      <c r="AI145" s="50">
        <f>'LiLAC valuation'!AI366</f>
        <v>0</v>
      </c>
      <c r="AJ145" s="53"/>
      <c r="AK145" s="53"/>
      <c r="AL145" s="53"/>
      <c r="AM145" s="50"/>
      <c r="AN145" s="50"/>
      <c r="AO145" s="50"/>
      <c r="AP145" s="53"/>
      <c r="AQ145" s="53"/>
      <c r="AR145" s="50"/>
      <c r="AS145" s="50"/>
      <c r="AT145" s="50"/>
      <c r="AU145" s="50"/>
      <c r="AV145" s="53"/>
      <c r="AW145" s="50"/>
      <c r="AX145" s="50"/>
      <c r="AY145" s="50"/>
      <c r="AZ145" s="50"/>
      <c r="BA145" s="53"/>
      <c r="BB145" s="50"/>
      <c r="BC145" s="50"/>
      <c r="BD145" s="50"/>
      <c r="BE145" s="50"/>
      <c r="BF145" s="53"/>
      <c r="BG145" s="53"/>
      <c r="BH145" s="53"/>
      <c r="BI145" s="53"/>
    </row>
    <row r="146" spans="2:61" ht="15.75" hidden="1" outlineLevel="1">
      <c r="B146" s="53" t="s">
        <v>16</v>
      </c>
      <c r="C146" s="53"/>
      <c r="H146" s="53"/>
      <c r="I146" s="53">
        <f>SUM(I141:I145)</f>
        <v>104.5</v>
      </c>
      <c r="J146" s="53"/>
      <c r="K146" s="53">
        <f t="shared" ref="K146:V146" si="123">SUM(K141:K145)</f>
        <v>97.300000000000011</v>
      </c>
      <c r="L146" s="53">
        <f t="shared" si="123"/>
        <v>102.30000000000001</v>
      </c>
      <c r="M146" s="53">
        <f t="shared" si="123"/>
        <v>99.499999999999986</v>
      </c>
      <c r="N146" s="53">
        <f t="shared" si="123"/>
        <v>99.199999999999989</v>
      </c>
      <c r="O146" s="53">
        <f t="shared" si="123"/>
        <v>100.8</v>
      </c>
      <c r="P146" s="53">
        <f t="shared" si="123"/>
        <v>102.3</v>
      </c>
      <c r="Q146" s="53">
        <f t="shared" si="123"/>
        <v>84.4</v>
      </c>
      <c r="R146" s="53">
        <f t="shared" si="123"/>
        <v>16.400000000000006</v>
      </c>
      <c r="S146" s="53">
        <f t="shared" si="123"/>
        <v>60.1</v>
      </c>
      <c r="T146" s="53">
        <f t="shared" si="123"/>
        <v>76.899999999999991</v>
      </c>
      <c r="U146" s="53">
        <f t="shared" si="123"/>
        <v>95.6</v>
      </c>
      <c r="V146" s="53">
        <f t="shared" si="123"/>
        <v>89.500000000000028</v>
      </c>
      <c r="X146" s="53">
        <f>SUM(X141:X145)</f>
        <v>93.3</v>
      </c>
      <c r="Y146" s="53">
        <f>SUM(Y141:Y145)</f>
        <v>98.200000000000017</v>
      </c>
      <c r="Z146" s="53">
        <f>SUM(Z141:Z145)</f>
        <v>99</v>
      </c>
      <c r="AA146" s="53">
        <f>SUM(AA141:AA145)</f>
        <v>99.9</v>
      </c>
      <c r="AB146" s="53"/>
      <c r="AC146" s="481">
        <f>SUM(AC141:AC145)</f>
        <v>100</v>
      </c>
      <c r="AD146" s="481">
        <f>SUM(AD141:AD145)</f>
        <v>105.30000000000001</v>
      </c>
      <c r="AE146" s="481">
        <f>SUM(AE141:AE145)</f>
        <v>109.89999999999999</v>
      </c>
      <c r="AF146" s="481">
        <f>SUM(AF141:AF145)</f>
        <v>157.69999999999996</v>
      </c>
      <c r="AG146" s="53"/>
      <c r="AH146" s="481">
        <f>SUM(AH141:AH145)</f>
        <v>159.1</v>
      </c>
      <c r="AI146" s="481">
        <f>SUM(AI141:AI145)</f>
        <v>161.4</v>
      </c>
      <c r="AJ146" s="481"/>
      <c r="AK146" s="481"/>
      <c r="AL146" s="53"/>
      <c r="AM146" s="481"/>
      <c r="AN146" s="481"/>
      <c r="AO146" s="481"/>
      <c r="AP146" s="481"/>
      <c r="AQ146" s="53"/>
      <c r="AR146" s="481"/>
      <c r="AS146" s="481"/>
      <c r="AT146" s="481"/>
      <c r="AU146" s="481"/>
      <c r="AV146" s="53"/>
      <c r="AW146" s="481"/>
      <c r="AX146" s="481"/>
      <c r="AY146" s="481"/>
      <c r="AZ146" s="481"/>
      <c r="BA146" s="53"/>
      <c r="BB146" s="481"/>
      <c r="BC146" s="481"/>
      <c r="BD146" s="481"/>
      <c r="BE146" s="481"/>
      <c r="BF146" s="53"/>
    </row>
    <row r="147" spans="2:61" ht="15.75" hidden="1" outlineLevel="1">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row>
    <row r="148" spans="2:61" ht="15.75" hidden="1" outlineLevel="1">
      <c r="B148" s="53" t="s">
        <v>2416</v>
      </c>
      <c r="C148" s="53"/>
      <c r="H148" s="53"/>
      <c r="I148" s="53"/>
      <c r="J148" s="53"/>
      <c r="K148" s="53"/>
      <c r="L148" s="53"/>
      <c r="M148" s="53"/>
      <c r="N148" s="53"/>
      <c r="O148" s="53"/>
      <c r="P148" s="53"/>
      <c r="Q148" s="53"/>
      <c r="R148" s="53"/>
      <c r="S148" s="53"/>
      <c r="T148" s="53"/>
      <c r="U148" s="53"/>
      <c r="V148" s="53"/>
      <c r="W148" s="53"/>
      <c r="X148" s="53"/>
      <c r="Y148" s="53"/>
      <c r="Z148" s="53"/>
      <c r="AA148" s="53"/>
      <c r="AB148" s="53"/>
      <c r="AC148" s="55" t="s">
        <v>5289</v>
      </c>
      <c r="AD148" s="53"/>
      <c r="AE148" s="53"/>
      <c r="AF148" s="53"/>
      <c r="AG148" s="53"/>
      <c r="AH148" s="55"/>
      <c r="AI148" s="55"/>
      <c r="AJ148" s="55"/>
      <c r="AK148" s="55"/>
      <c r="AL148" s="53"/>
      <c r="AM148" s="55"/>
      <c r="AN148" s="55"/>
      <c r="AO148" s="55"/>
      <c r="AP148" s="55"/>
      <c r="AQ148" s="53"/>
      <c r="AR148" s="55"/>
      <c r="AS148" s="55"/>
      <c r="AT148" s="55"/>
      <c r="AU148" s="55"/>
      <c r="AV148" s="53"/>
      <c r="AW148" s="55"/>
      <c r="AX148" s="55"/>
      <c r="AY148" s="55"/>
      <c r="AZ148" s="55"/>
      <c r="BA148" s="53"/>
      <c r="BB148" s="55"/>
      <c r="BC148" s="55"/>
      <c r="BD148" s="55"/>
      <c r="BE148" s="55"/>
      <c r="BF148" s="53"/>
    </row>
    <row r="149" spans="2:61" ht="15.75" hidden="1" outlineLevel="1">
      <c r="B149" s="53" t="s">
        <v>3652</v>
      </c>
      <c r="C149" s="53"/>
      <c r="H149" s="53"/>
      <c r="I149" s="53"/>
      <c r="J149" s="53"/>
      <c r="K149" s="53"/>
      <c r="L149" s="53"/>
      <c r="M149" s="53"/>
      <c r="N149" s="621"/>
      <c r="O149" s="481"/>
      <c r="P149" s="481"/>
      <c r="Q149" s="481"/>
      <c r="R149" s="481"/>
      <c r="S149" s="481"/>
      <c r="T149" s="481"/>
      <c r="U149" s="481"/>
      <c r="V149" s="481"/>
      <c r="W149" s="53"/>
      <c r="X149" s="53"/>
      <c r="Y149" s="53"/>
      <c r="Z149" s="53"/>
      <c r="AA149" s="481">
        <f>AA92+AA132+AA141+AA192/2</f>
        <v>175.39220779220781</v>
      </c>
      <c r="AB149" s="53"/>
      <c r="AC149" s="481">
        <f>AC92+AC132+AC141+AC192/2</f>
        <v>168.21611001482444</v>
      </c>
      <c r="AD149" s="481">
        <f>AD92+AD132+AD141+AD192/2</f>
        <v>163.66253431166317</v>
      </c>
      <c r="AE149" s="481">
        <f>AE92+AE132+AE141+AE192/2</f>
        <v>168.93263688643435</v>
      </c>
      <c r="AF149" s="481">
        <f>AF92+AF132+AF141+AF192/2</f>
        <v>180.08118126892828</v>
      </c>
      <c r="AH149" s="481">
        <f>AH92+AH132+AH141+AH192/2</f>
        <v>176.05952712100137</v>
      </c>
      <c r="AI149" s="481">
        <f>AI92+AI132+AI141+AI192/2</f>
        <v>172.52980900409275</v>
      </c>
      <c r="AJ149" s="481"/>
      <c r="AK149" s="481"/>
      <c r="AM149" s="481"/>
      <c r="AN149" s="481"/>
      <c r="AO149" s="481"/>
      <c r="AP149" s="481"/>
      <c r="AQ149" s="53"/>
      <c r="AR149" s="481"/>
      <c r="AS149" s="481"/>
      <c r="AT149" s="481"/>
      <c r="AU149" s="481"/>
      <c r="AV149" s="53"/>
      <c r="AW149" s="481"/>
      <c r="AX149" s="481"/>
      <c r="AY149" s="481"/>
      <c r="AZ149" s="481"/>
      <c r="BA149" s="53"/>
      <c r="BB149" s="481"/>
      <c r="BC149" s="481"/>
      <c r="BD149" s="481"/>
      <c r="BE149" s="481"/>
      <c r="BF149" s="53"/>
    </row>
    <row r="150" spans="2:61" ht="15.75" hidden="1" outlineLevel="1">
      <c r="B150" s="53" t="s">
        <v>3653</v>
      </c>
      <c r="C150" s="53"/>
      <c r="H150" s="53"/>
      <c r="I150" s="481">
        <f>I80+I133+I142</f>
        <v>173.33104926477176</v>
      </c>
      <c r="J150" s="621"/>
      <c r="K150" s="621"/>
      <c r="L150" s="621"/>
      <c r="M150" s="621"/>
      <c r="N150" s="621"/>
      <c r="O150" s="481"/>
      <c r="P150" s="481"/>
      <c r="Q150" s="481"/>
      <c r="R150" s="481"/>
      <c r="S150" s="481"/>
      <c r="T150" s="481"/>
      <c r="U150" s="481"/>
      <c r="V150" s="481"/>
      <c r="W150" s="53"/>
      <c r="X150" s="53"/>
      <c r="Y150" s="53"/>
      <c r="Z150" s="53"/>
      <c r="AA150" s="481">
        <f>AA93+AA133+AA142+AA192/2</f>
        <v>214.73506493506494</v>
      </c>
      <c r="AB150" s="53"/>
      <c r="AC150" s="481">
        <f>AC93+AC133+AC142+AC192/2</f>
        <v>210.48102229552615</v>
      </c>
      <c r="AD150" s="481">
        <f>AD93+AD133+AD142+AD192/2</f>
        <v>217.52185634556147</v>
      </c>
      <c r="AE150" s="481">
        <f>AE93+AE133+AE142+AE192/2</f>
        <v>227.81654937034682</v>
      </c>
      <c r="AF150" s="481">
        <f>AF93+AF133+AF142+AF192/2</f>
        <v>241.24634980825414</v>
      </c>
      <c r="AH150" s="481">
        <f>AH93+AH133+AH142+AH192/2</f>
        <v>242.19638386648123</v>
      </c>
      <c r="AI150" s="481">
        <f>AI93+AI133+AI142+AI192/2</f>
        <v>242.52394270122781</v>
      </c>
      <c r="AJ150" s="481"/>
      <c r="AK150" s="481"/>
      <c r="AM150" s="481"/>
      <c r="AN150" s="481"/>
      <c r="AO150" s="481"/>
      <c r="AP150" s="481"/>
      <c r="AQ150" s="53"/>
      <c r="AR150" s="481"/>
      <c r="AS150" s="481"/>
      <c r="AT150" s="481"/>
      <c r="AU150" s="481"/>
      <c r="AV150" s="53"/>
      <c r="AW150" s="481"/>
      <c r="AX150" s="481"/>
      <c r="AY150" s="481"/>
      <c r="AZ150" s="481"/>
      <c r="BA150" s="53"/>
      <c r="BB150" s="481"/>
      <c r="BC150" s="481"/>
      <c r="BD150" s="481"/>
      <c r="BE150" s="481"/>
      <c r="BF150" s="53"/>
    </row>
    <row r="151" spans="2:61" ht="15.75" hidden="1" outlineLevel="1">
      <c r="B151" s="53" t="s">
        <v>3654</v>
      </c>
      <c r="C151" s="53"/>
      <c r="H151" s="53"/>
      <c r="I151" s="481"/>
      <c r="J151" s="621"/>
      <c r="K151" s="621"/>
      <c r="L151" s="621"/>
      <c r="M151" s="621"/>
      <c r="N151" s="621"/>
      <c r="O151" s="481"/>
      <c r="P151" s="481"/>
      <c r="Q151" s="481"/>
      <c r="R151" s="481"/>
      <c r="S151" s="481"/>
      <c r="T151" s="481">
        <v>0.11</v>
      </c>
      <c r="U151" s="481"/>
      <c r="V151" s="481"/>
      <c r="W151" s="53"/>
      <c r="X151" s="53"/>
      <c r="Y151" s="53"/>
      <c r="Z151" s="53"/>
      <c r="AA151" s="481">
        <f>AA94+AA134+AA143</f>
        <v>52.228571428571421</v>
      </c>
      <c r="AB151" s="53"/>
      <c r="AC151" s="481">
        <f>AC94+AC134+AC143</f>
        <v>48.562573099415204</v>
      </c>
      <c r="AD151" s="481">
        <f>AD94+AD134+AD143</f>
        <v>47.954479418886201</v>
      </c>
      <c r="AE151" s="481">
        <f>AE94+AE134+AE143</f>
        <v>47.246718146718152</v>
      </c>
      <c r="AF151" s="481">
        <f>AF94+AF134+AF143</f>
        <v>48.582022471910122</v>
      </c>
      <c r="AH151" s="481">
        <f>AH94+AH134+AH143</f>
        <v>47.966898470097362</v>
      </c>
      <c r="AI151" s="481">
        <f>AI94+AI134+AI143</f>
        <v>47.772442019099593</v>
      </c>
      <c r="AJ151" s="481"/>
      <c r="AK151" s="481"/>
      <c r="AM151" s="481"/>
      <c r="AN151" s="481"/>
      <c r="AO151" s="481"/>
      <c r="AP151" s="481"/>
      <c r="AQ151" s="53"/>
      <c r="AR151" s="481"/>
      <c r="AS151" s="481"/>
      <c r="AT151" s="481"/>
      <c r="AU151" s="481"/>
      <c r="AV151" s="53"/>
      <c r="AW151" s="481"/>
      <c r="AX151" s="481"/>
      <c r="AY151" s="481"/>
      <c r="AZ151" s="481"/>
      <c r="BA151" s="53"/>
      <c r="BB151" s="481"/>
      <c r="BC151" s="481"/>
      <c r="BD151" s="481"/>
      <c r="BE151" s="481"/>
      <c r="BF151" s="53"/>
    </row>
    <row r="152" spans="2:61" ht="15.75" hidden="1" outlineLevel="1">
      <c r="B152" s="53" t="s">
        <v>3649</v>
      </c>
      <c r="C152" s="53"/>
      <c r="H152" s="53"/>
      <c r="I152" s="481"/>
      <c r="J152" s="53"/>
      <c r="K152" s="53"/>
      <c r="L152" s="53"/>
      <c r="M152" s="53"/>
      <c r="N152" s="53"/>
      <c r="O152" s="481"/>
      <c r="P152" s="481"/>
      <c r="Q152" s="481"/>
      <c r="R152" s="481"/>
      <c r="S152" s="481"/>
      <c r="T152" s="481">
        <v>0.08</v>
      </c>
      <c r="U152" s="481"/>
      <c r="V152" s="481"/>
      <c r="W152" s="53"/>
      <c r="X152" s="53"/>
      <c r="Y152" s="53"/>
      <c r="Z152" s="53"/>
      <c r="AA152" s="481">
        <f>AA103</f>
        <v>60.2</v>
      </c>
      <c r="AB152" s="53"/>
      <c r="AC152" s="481">
        <f>AC103</f>
        <v>69.599999999999994</v>
      </c>
      <c r="AD152" s="481">
        <f>AD103</f>
        <v>60.4</v>
      </c>
      <c r="AE152" s="481">
        <f>AE103</f>
        <v>60.7</v>
      </c>
      <c r="AF152" s="481">
        <f>AF103</f>
        <v>63.4</v>
      </c>
      <c r="AG152" s="54"/>
      <c r="AH152" s="481">
        <f>AH103</f>
        <v>66.400000000000006</v>
      </c>
      <c r="AI152" s="481">
        <f>AI103</f>
        <v>60.7</v>
      </c>
      <c r="AJ152" s="481"/>
      <c r="AK152" s="481"/>
      <c r="AM152" s="481"/>
      <c r="AN152" s="481"/>
      <c r="AO152" s="481"/>
      <c r="AP152" s="481"/>
      <c r="AQ152" s="53"/>
      <c r="AR152" s="481"/>
      <c r="AS152" s="481"/>
      <c r="AT152" s="481"/>
      <c r="AU152" s="481"/>
      <c r="AV152" s="53"/>
      <c r="AW152" s="481"/>
      <c r="AX152" s="481"/>
      <c r="AY152" s="481"/>
      <c r="AZ152" s="481"/>
      <c r="BA152" s="53"/>
      <c r="BB152" s="481"/>
      <c r="BC152" s="481"/>
      <c r="BD152" s="481"/>
      <c r="BE152" s="481"/>
      <c r="BF152" s="53"/>
    </row>
    <row r="153" spans="2:61" ht="15.75" hidden="1" outlineLevel="1">
      <c r="B153" s="53" t="s">
        <v>3650</v>
      </c>
      <c r="C153" s="53"/>
      <c r="H153" s="53"/>
      <c r="I153" s="481"/>
      <c r="J153" s="53"/>
      <c r="K153" s="53"/>
      <c r="L153" s="53"/>
      <c r="M153" s="53"/>
      <c r="N153" s="53"/>
      <c r="O153" s="481"/>
      <c r="P153" s="481"/>
      <c r="Q153" s="481"/>
      <c r="R153" s="481"/>
      <c r="S153" s="481"/>
      <c r="T153" s="481">
        <v>-0.02</v>
      </c>
      <c r="U153" s="481"/>
      <c r="V153" s="481"/>
      <c r="W153" s="53"/>
      <c r="X153" s="53"/>
      <c r="Y153" s="53"/>
      <c r="Z153" s="53"/>
      <c r="AA153" s="481">
        <f>AA10</f>
        <v>25.299999999999983</v>
      </c>
      <c r="AB153" s="53"/>
      <c r="AC153" s="481">
        <f>AC10</f>
        <v>25.400000000000006</v>
      </c>
      <c r="AD153" s="481">
        <f>AD10</f>
        <v>23.1</v>
      </c>
      <c r="AE153" s="481">
        <f>AE10</f>
        <v>24.200000000000003</v>
      </c>
      <c r="AF153" s="481">
        <f>AF10</f>
        <v>26.800000000000018</v>
      </c>
      <c r="AH153" s="481">
        <f>AH10</f>
        <v>24</v>
      </c>
      <c r="AI153" s="481">
        <f>AI10</f>
        <v>24.099999999999994</v>
      </c>
      <c r="AJ153" s="481"/>
      <c r="AK153" s="481"/>
      <c r="AM153" s="481"/>
      <c r="AN153" s="481"/>
      <c r="AO153" s="481"/>
      <c r="AP153" s="481"/>
      <c r="AQ153" s="53"/>
      <c r="AR153" s="481"/>
      <c r="AS153" s="481"/>
      <c r="AT153" s="481"/>
      <c r="AU153" s="481"/>
      <c r="AV153" s="53"/>
      <c r="AW153" s="481"/>
      <c r="AX153" s="481"/>
      <c r="AY153" s="481"/>
      <c r="AZ153" s="481"/>
      <c r="BA153" s="53"/>
      <c r="BB153" s="481"/>
      <c r="BC153" s="481"/>
      <c r="BD153" s="481"/>
      <c r="BE153" s="481"/>
      <c r="BF153" s="53"/>
    </row>
    <row r="154" spans="2:61" ht="15.75" hidden="1" outlineLevel="1">
      <c r="B154" s="53" t="s">
        <v>5169</v>
      </c>
      <c r="C154" s="53"/>
      <c r="H154" s="53"/>
      <c r="I154" s="481">
        <f>I82</f>
        <v>46.744930629669149</v>
      </c>
      <c r="J154" s="53"/>
      <c r="K154" s="53"/>
      <c r="L154" s="53"/>
      <c r="M154" s="53"/>
      <c r="N154" s="53"/>
      <c r="O154" s="481"/>
      <c r="P154" s="481"/>
      <c r="Q154" s="481"/>
      <c r="R154" s="481"/>
      <c r="S154" s="481"/>
      <c r="T154" s="481">
        <v>0.42</v>
      </c>
      <c r="U154" s="481"/>
      <c r="V154" s="481"/>
      <c r="W154" s="53"/>
      <c r="X154" s="53"/>
      <c r="Y154" s="53"/>
      <c r="Z154" s="53"/>
      <c r="AA154" s="481">
        <f>AA105-AA152-AA153+AA135+AA144</f>
        <v>241.10519480519486</v>
      </c>
      <c r="AB154" s="53"/>
      <c r="AC154" s="749">
        <f>AC105-AC152-AC153+AC136+AC144</f>
        <v>208.55146198830411</v>
      </c>
      <c r="AD154" s="749">
        <f>AD105-AD152-AD153+AD136+AD144</f>
        <v>181.10605326876512</v>
      </c>
      <c r="AE154" s="749">
        <f>AE105-AE152-AE153+AE136+AE144</f>
        <v>195.36460746460747</v>
      </c>
      <c r="AF154" s="749">
        <f>AF105-AF152-AF153+AF136+AF144</f>
        <v>235.1460674157303</v>
      </c>
      <c r="AH154" s="749">
        <f>AH105-AH152-AH153+AH136+AH144</f>
        <v>235.20584144645341</v>
      </c>
      <c r="AI154" s="749">
        <f>AI105-AI152-AI153+AI136+AI144</f>
        <v>242.25839017735336</v>
      </c>
      <c r="AJ154" s="749"/>
      <c r="AK154" s="749"/>
      <c r="AM154" s="749"/>
      <c r="AN154" s="749"/>
      <c r="AO154" s="749"/>
      <c r="AP154" s="749"/>
      <c r="AQ154" s="53"/>
      <c r="AR154" s="749"/>
      <c r="AS154" s="749"/>
      <c r="AT154" s="749"/>
      <c r="AU154" s="749"/>
      <c r="AV154" s="53"/>
      <c r="AW154" s="749"/>
      <c r="AX154" s="749"/>
      <c r="AY154" s="749"/>
      <c r="AZ154" s="749"/>
      <c r="BA154" s="53"/>
      <c r="BB154" s="749"/>
      <c r="BC154" s="749"/>
      <c r="BD154" s="749"/>
      <c r="BE154" s="749"/>
      <c r="BF154" s="53"/>
    </row>
    <row r="155" spans="2:61" ht="15.75" hidden="1" outlineLevel="1">
      <c r="B155" s="53" t="s">
        <v>3655</v>
      </c>
      <c r="C155" s="53"/>
      <c r="H155" s="53"/>
      <c r="I155" s="481">
        <f>I83+I132+I141</f>
        <v>180.13389459245195</v>
      </c>
      <c r="J155" s="621"/>
      <c r="K155" s="621"/>
      <c r="L155" s="621"/>
      <c r="M155" s="621"/>
      <c r="N155" s="621"/>
      <c r="O155" s="481"/>
      <c r="P155" s="481"/>
      <c r="Q155" s="481"/>
      <c r="R155" s="481"/>
      <c r="S155" s="481"/>
      <c r="T155" s="481"/>
      <c r="U155" s="481"/>
      <c r="V155" s="481"/>
      <c r="W155" s="53"/>
      <c r="X155" s="53"/>
      <c r="Y155" s="53"/>
      <c r="Z155" s="53"/>
      <c r="AA155" s="481">
        <f>AA145+AA137+AA96+AA100</f>
        <v>49.650649350649331</v>
      </c>
      <c r="AB155" s="53"/>
      <c r="AC155" s="481">
        <f>AC145+AC137+AC96+AC100</f>
        <v>41.049707602339183</v>
      </c>
      <c r="AD155" s="481">
        <f>AD145+AD137+AD96+AD100</f>
        <v>34.553268765133147</v>
      </c>
      <c r="AE155" s="481">
        <f>AE145+AE137+AE96+AE100</f>
        <v>40.177606177606151</v>
      </c>
      <c r="AF155" s="481">
        <f>AF145+AF137+AF96+AF100</f>
        <v>47.246067415730316</v>
      </c>
      <c r="AH155" s="481">
        <f>AH145+AH137+AH96+AH100</f>
        <v>40.602364394993032</v>
      </c>
      <c r="AI155" s="481">
        <f>AI145+AI137+AI96+AI100</f>
        <v>44.966302864938626</v>
      </c>
      <c r="AJ155" s="481"/>
      <c r="AK155" s="481"/>
      <c r="AM155" s="481"/>
      <c r="AN155" s="481"/>
      <c r="AO155" s="481"/>
      <c r="AP155" s="481"/>
      <c r="AQ155" s="53"/>
      <c r="AR155" s="481"/>
      <c r="AS155" s="481"/>
      <c r="AT155" s="481"/>
      <c r="AU155" s="481"/>
      <c r="AV155" s="53"/>
      <c r="AW155" s="481"/>
      <c r="AX155" s="481"/>
      <c r="AY155" s="481"/>
      <c r="AZ155" s="481"/>
      <c r="BA155" s="53"/>
      <c r="BB155" s="481"/>
      <c r="BC155" s="481"/>
      <c r="BD155" s="481"/>
      <c r="BE155" s="481"/>
      <c r="BF155" s="53"/>
    </row>
    <row r="156" spans="2:61" ht="15.75" hidden="1" outlineLevel="1">
      <c r="B156" s="53" t="s">
        <v>3942</v>
      </c>
      <c r="C156" s="53"/>
      <c r="H156" s="53"/>
      <c r="I156" s="481">
        <f>I84</f>
        <v>232.99180327868854</v>
      </c>
      <c r="J156" s="53"/>
      <c r="K156" s="53"/>
      <c r="L156" s="53"/>
      <c r="M156" s="53"/>
      <c r="N156" s="53"/>
      <c r="O156" s="481"/>
      <c r="P156" s="481"/>
      <c r="Q156" s="481"/>
      <c r="R156" s="481"/>
      <c r="S156" s="481"/>
      <c r="T156" s="481">
        <v>-0.03</v>
      </c>
      <c r="U156" s="481"/>
      <c r="V156" s="481"/>
      <c r="W156" s="53"/>
      <c r="X156" s="53"/>
      <c r="Y156" s="53"/>
      <c r="Z156" s="53"/>
      <c r="AA156" s="481">
        <f>AA99</f>
        <v>141.19999999999999</v>
      </c>
      <c r="AB156" s="53"/>
      <c r="AC156" s="749">
        <f>AC99+AC135+'Puerto Rico'!$H$59/4+Analysis!$H$2278/4</f>
        <v>443.88302078272608</v>
      </c>
      <c r="AD156" s="749">
        <f>AD99+AD135+'Puerto Rico'!$H$59/4+Analysis!$H$2278/4</f>
        <v>418.60026304091389</v>
      </c>
      <c r="AE156" s="749">
        <f>AE99+AE135+'Puerto Rico'!$H$59/4+Analysis!$H$2278/4</f>
        <v>423.89842415602419</v>
      </c>
      <c r="AF156" s="749">
        <f>AF99+AF135+'Puerto Rico'!$H$59/12+Analysis!$H$2278/4</f>
        <v>274.72465295303948</v>
      </c>
      <c r="AH156" s="749">
        <f>AH99+AH135+AH55+Analysis!$I$2278/4</f>
        <v>379.91838757563426</v>
      </c>
      <c r="AI156" s="749">
        <f>AI99+AI135+AI55+Analysis!$I$2278/4</f>
        <v>375.35409523387574</v>
      </c>
      <c r="AJ156" s="749"/>
      <c r="AK156" s="749"/>
      <c r="AM156" s="749"/>
      <c r="AN156" s="749"/>
      <c r="AO156" s="749"/>
      <c r="AP156" s="749"/>
      <c r="AQ156" s="53"/>
      <c r="AR156" s="749"/>
      <c r="AS156" s="749"/>
      <c r="AT156" s="749"/>
      <c r="AU156" s="749"/>
      <c r="AV156" s="53"/>
      <c r="AW156" s="749"/>
      <c r="AX156" s="749"/>
      <c r="AY156" s="749"/>
      <c r="AZ156" s="749"/>
      <c r="BA156" s="53"/>
      <c r="BB156" s="749"/>
      <c r="BC156" s="749"/>
      <c r="BD156" s="749"/>
      <c r="BE156" s="749"/>
      <c r="BF156" s="53"/>
    </row>
    <row r="157" spans="2:61" ht="15.75" hidden="1" outlineLevel="1">
      <c r="B157" s="50" t="s">
        <v>4</v>
      </c>
      <c r="C157" s="50"/>
      <c r="D157" s="3"/>
      <c r="E157" s="3"/>
      <c r="F157" s="3"/>
      <c r="G157" s="3"/>
      <c r="H157" s="50"/>
      <c r="I157" s="638">
        <f>I85+I134+I143</f>
        <v>137.52231539813374</v>
      </c>
      <c r="J157" s="622"/>
      <c r="K157" s="622"/>
      <c r="L157" s="622"/>
      <c r="M157" s="622"/>
      <c r="N157" s="622"/>
      <c r="O157" s="622"/>
      <c r="P157" s="622"/>
      <c r="Q157" s="622"/>
      <c r="R157" s="622"/>
      <c r="S157" s="622"/>
      <c r="T157" s="622"/>
      <c r="U157" s="622"/>
      <c r="V157" s="622"/>
      <c r="W157" s="53"/>
      <c r="X157" s="53"/>
      <c r="Y157" s="53"/>
      <c r="Z157" s="53"/>
      <c r="AA157" s="622">
        <f>AA158-SUM(AA149:AA156)</f>
        <v>15.188311688311614</v>
      </c>
      <c r="AB157" s="53"/>
      <c r="AC157" s="622">
        <f>AC158-SUM(AC149:AC156)+AC21</f>
        <v>12.254914473275164</v>
      </c>
      <c r="AD157" s="622">
        <f>AD158-SUM(AD149:AD156)+AD21</f>
        <v>-1.6996448945126588</v>
      </c>
      <c r="AE157" s="622">
        <f>AE158-SUM(AE149:AE156)+AE21</f>
        <v>-3.2377319453270843</v>
      </c>
      <c r="AF157" s="622">
        <f>AF158-SUM(AF149:AF156)+AF21</f>
        <v>46.272468922817495</v>
      </c>
      <c r="AH157" s="622">
        <f>AH158-SUM(AH149:AH156)+AH21</f>
        <v>13.81710709318547</v>
      </c>
      <c r="AI157" s="622">
        <f>AI158-SUM(AI149:AI156)+AI21</f>
        <v>23.961527967257794</v>
      </c>
      <c r="AJ157" s="621"/>
      <c r="AK157" s="621"/>
      <c r="AM157" s="622"/>
      <c r="AN157" s="622"/>
      <c r="AO157" s="622"/>
      <c r="AP157" s="621"/>
      <c r="AQ157" s="53"/>
      <c r="AR157" s="622"/>
      <c r="AS157" s="622"/>
      <c r="AT157" s="622"/>
      <c r="AU157" s="622"/>
      <c r="AV157" s="53"/>
      <c r="AW157" s="622"/>
      <c r="AX157" s="622"/>
      <c r="AY157" s="622"/>
      <c r="AZ157" s="622"/>
      <c r="BA157" s="53"/>
      <c r="BB157" s="622"/>
      <c r="BC157" s="622"/>
      <c r="BD157" s="622"/>
      <c r="BE157" s="622"/>
      <c r="BF157" s="53"/>
    </row>
    <row r="158" spans="2:61" ht="15.75" hidden="1" outlineLevel="1">
      <c r="B158" s="53" t="str">
        <f>B86</f>
        <v>Group</v>
      </c>
      <c r="C158" s="53"/>
      <c r="H158" s="53"/>
      <c r="I158" s="481">
        <f>SUM(I150:I157)</f>
        <v>770.72399316371514</v>
      </c>
      <c r="J158" s="621"/>
      <c r="K158" s="621"/>
      <c r="L158" s="621"/>
      <c r="M158" s="621"/>
      <c r="N158" s="621"/>
      <c r="O158" s="621"/>
      <c r="P158" s="621"/>
      <c r="Q158" s="621"/>
      <c r="R158" s="621"/>
      <c r="S158" s="621"/>
      <c r="T158" s="621">
        <v>0.1</v>
      </c>
      <c r="U158" s="621"/>
      <c r="V158" s="621"/>
      <c r="W158" s="53"/>
      <c r="X158" s="53"/>
      <c r="Y158" s="53"/>
      <c r="Z158" s="53"/>
      <c r="AA158" s="621">
        <f>AA194</f>
        <v>975</v>
      </c>
      <c r="AB158" s="53"/>
      <c r="AC158" s="702">
        <f>AC194+'Puerto Rico'!$H$59/4+Analysis!$H$2278/4</f>
        <v>1230.2988102564102</v>
      </c>
      <c r="AD158" s="702">
        <f>AD194+'Puerto Rico'!$H$59/4+Analysis!$H$2278/4</f>
        <v>1148.2988102564102</v>
      </c>
      <c r="AE158" s="702">
        <f>AE194+'Puerto Rico'!$H$59/4+Analysis!$H$2278/4</f>
        <v>1187.2988102564102</v>
      </c>
      <c r="AF158" s="702">
        <f>AF194+Analysis!$H$2278/4</f>
        <v>1163.7988102564102</v>
      </c>
      <c r="AH158" s="702">
        <f>AH194+Analysis!$I$2278/4</f>
        <v>1225.866509967846</v>
      </c>
      <c r="AI158" s="702">
        <f>AI194+Analysis!$I$2278/4</f>
        <v>1233.9665099678457</v>
      </c>
      <c r="AJ158" s="702"/>
      <c r="AK158" s="702"/>
      <c r="AM158" s="702"/>
      <c r="AN158" s="702"/>
      <c r="AO158" s="702"/>
      <c r="AP158" s="702"/>
      <c r="AQ158" s="53"/>
      <c r="AR158" s="702"/>
      <c r="AS158" s="702"/>
      <c r="AT158" s="702"/>
      <c r="AU158" s="702"/>
      <c r="AV158" s="53"/>
      <c r="AW158" s="702"/>
      <c r="AX158" s="702"/>
      <c r="AY158" s="702"/>
      <c r="AZ158" s="702"/>
      <c r="BA158" s="53"/>
      <c r="BB158" s="702"/>
      <c r="BC158" s="702"/>
      <c r="BD158" s="702"/>
      <c r="BE158" s="702"/>
      <c r="BF158" s="53"/>
    </row>
    <row r="159" spans="2:61" ht="15.75" hidden="1" outlineLevel="1">
      <c r="T159">
        <v>0.04</v>
      </c>
      <c r="W159" s="53"/>
      <c r="X159" s="53"/>
      <c r="Y159" s="53"/>
      <c r="Z159" s="53"/>
      <c r="AA159" s="53"/>
      <c r="AB159" s="53"/>
      <c r="AQ159" s="53"/>
      <c r="AV159" s="53"/>
      <c r="BA159" s="53"/>
      <c r="BF159" s="53"/>
    </row>
    <row r="160" spans="2:61" ht="15.75" hidden="1" outlineLevel="1">
      <c r="B160" s="58" t="s">
        <v>5876</v>
      </c>
      <c r="W160" s="53"/>
      <c r="X160" s="53"/>
      <c r="Y160" s="53"/>
      <c r="Z160" s="53"/>
      <c r="AA160" s="53"/>
      <c r="AB160" s="53"/>
      <c r="AQ160" s="53"/>
      <c r="AV160" s="53"/>
      <c r="BA160" s="53"/>
      <c r="BF160" s="53"/>
    </row>
    <row r="161" spans="2:68" ht="15.75" hidden="1" outlineLevel="1">
      <c r="B161" s="53" t="s">
        <v>29</v>
      </c>
      <c r="W161" s="53"/>
      <c r="X161" s="53"/>
      <c r="Y161" s="53"/>
      <c r="Z161" s="53"/>
      <c r="AA161" s="53"/>
      <c r="AB161" s="53"/>
      <c r="AH161" s="62">
        <f>AH93</f>
        <v>77.3</v>
      </c>
      <c r="AI161" s="62">
        <f>AI93</f>
        <v>78.5</v>
      </c>
      <c r="AJ161" s="62"/>
      <c r="AK161" s="62"/>
      <c r="AQ161" s="53"/>
      <c r="AV161" s="53"/>
      <c r="BA161" s="53"/>
      <c r="BF161" s="53"/>
      <c r="BG161" s="53"/>
      <c r="BH161" s="53"/>
      <c r="BI161" s="53"/>
      <c r="BJ161" s="53"/>
      <c r="BK161" s="53"/>
      <c r="BL161" s="53"/>
      <c r="BM161" s="53"/>
      <c r="BO161" s="53"/>
      <c r="BP161" s="54"/>
    </row>
    <row r="162" spans="2:68" ht="15.75" hidden="1" outlineLevel="1">
      <c r="B162" s="53" t="s">
        <v>899</v>
      </c>
      <c r="W162" s="53"/>
      <c r="X162" s="53"/>
      <c r="Y162" s="53"/>
      <c r="Z162" s="53"/>
      <c r="AA162" s="53"/>
      <c r="AB162" s="53"/>
      <c r="AH162" s="62">
        <f>AH133</f>
        <v>85.39638386648123</v>
      </c>
      <c r="AI162" s="62">
        <f>AI133</f>
        <v>82.67394270122783</v>
      </c>
      <c r="AJ162" s="62"/>
      <c r="AK162" s="62"/>
      <c r="AQ162" s="53"/>
      <c r="AV162" s="53"/>
      <c r="BA162" s="53"/>
      <c r="BF162" s="53"/>
      <c r="BG162" s="53"/>
      <c r="BH162" s="53"/>
      <c r="BI162" s="53"/>
      <c r="BJ162" s="53"/>
      <c r="BK162" s="53"/>
      <c r="BL162" s="53"/>
      <c r="BM162" s="53"/>
      <c r="BO162" s="53"/>
      <c r="BP162" s="54"/>
    </row>
    <row r="163" spans="2:68" ht="15.75" hidden="1" outlineLevel="1">
      <c r="B163" s="50" t="s">
        <v>984</v>
      </c>
      <c r="C163" s="3"/>
      <c r="D163" s="3"/>
      <c r="E163" s="3"/>
      <c r="F163" s="3"/>
      <c r="G163" s="3"/>
      <c r="H163" s="3"/>
      <c r="I163" s="3"/>
      <c r="J163" s="3"/>
      <c r="K163" s="3"/>
      <c r="L163" s="3"/>
      <c r="M163" s="3"/>
      <c r="N163" s="3"/>
      <c r="O163" s="3"/>
      <c r="P163" s="3"/>
      <c r="Q163" s="3"/>
      <c r="R163" s="3"/>
      <c r="S163" s="3"/>
      <c r="T163" s="3"/>
      <c r="U163" s="3"/>
      <c r="V163" s="3"/>
      <c r="W163" s="50"/>
      <c r="X163" s="50"/>
      <c r="Y163" s="50"/>
      <c r="Z163" s="50"/>
      <c r="AA163" s="50"/>
      <c r="AB163" s="50"/>
      <c r="AC163" s="3"/>
      <c r="AD163" s="3"/>
      <c r="AE163" s="3"/>
      <c r="AF163" s="3"/>
      <c r="AG163" s="3"/>
      <c r="AH163" s="554">
        <f>AH142</f>
        <v>61.399999999999991</v>
      </c>
      <c r="AI163" s="554">
        <f>AI142</f>
        <v>63.2</v>
      </c>
      <c r="AJ163" s="62"/>
      <c r="AK163" s="62"/>
      <c r="AM163" s="3"/>
      <c r="AN163" s="3"/>
      <c r="AO163" s="3"/>
      <c r="AQ163" s="53"/>
      <c r="AR163" s="3"/>
      <c r="AS163" s="3"/>
      <c r="AT163" s="3"/>
      <c r="AU163" s="3"/>
      <c r="AV163" s="53"/>
      <c r="AW163" s="3"/>
      <c r="AX163" s="3"/>
      <c r="AY163" s="3"/>
      <c r="AZ163" s="3"/>
      <c r="BA163" s="53"/>
      <c r="BB163" s="3"/>
      <c r="BC163" s="3"/>
      <c r="BD163" s="3"/>
      <c r="BE163" s="3"/>
      <c r="BF163" s="53"/>
      <c r="BG163" s="53"/>
      <c r="BH163" s="53"/>
      <c r="BI163" s="53"/>
      <c r="BJ163" s="53"/>
      <c r="BK163" s="53"/>
      <c r="BL163" s="53"/>
      <c r="BM163" s="53"/>
      <c r="BO163" s="53"/>
      <c r="BP163" s="54"/>
    </row>
    <row r="164" spans="2:68" ht="15.75" hidden="1" outlineLevel="1">
      <c r="B164" s="53" t="s">
        <v>16</v>
      </c>
      <c r="W164" s="53"/>
      <c r="X164" s="53"/>
      <c r="Y164" s="53"/>
      <c r="Z164" s="53"/>
      <c r="AA164" s="53"/>
      <c r="AB164" s="53"/>
      <c r="AH164" s="62">
        <f>SUM(AH161:AH163)</f>
        <v>224.09638386648123</v>
      </c>
      <c r="AI164" s="62">
        <f>SUM(AI161:AI163)</f>
        <v>224.3739427012278</v>
      </c>
      <c r="AJ164" s="62"/>
      <c r="AK164" s="62"/>
      <c r="AQ164" s="53"/>
      <c r="AV164" s="53"/>
      <c r="BA164" s="53"/>
      <c r="BF164" s="53"/>
      <c r="BG164" s="53"/>
      <c r="BH164" s="53"/>
      <c r="BI164" s="53"/>
      <c r="BJ164" s="53"/>
      <c r="BK164" s="53"/>
      <c r="BL164" s="53"/>
      <c r="BM164" s="53"/>
      <c r="BO164" s="53"/>
      <c r="BP164" s="54"/>
    </row>
    <row r="165" spans="2:68" ht="15.75" hidden="1" outlineLevel="1">
      <c r="B165" s="53"/>
      <c r="W165" s="53"/>
      <c r="X165" s="53"/>
      <c r="Y165" s="53"/>
      <c r="Z165" s="53"/>
      <c r="AA165" s="53"/>
      <c r="AB165" s="53"/>
      <c r="AH165" s="62"/>
      <c r="AI165" s="62"/>
      <c r="AJ165" s="62"/>
      <c r="AK165" s="62"/>
      <c r="AQ165" s="53"/>
      <c r="AV165" s="53"/>
      <c r="BA165" s="53"/>
      <c r="BF165" s="53"/>
      <c r="BG165" s="53"/>
      <c r="BH165" s="53"/>
      <c r="BI165" s="53"/>
      <c r="BJ165" s="53"/>
      <c r="BK165" s="53"/>
      <c r="BL165" s="53"/>
      <c r="BM165" s="53"/>
      <c r="BO165" s="53"/>
      <c r="BP165" s="54"/>
    </row>
    <row r="166" spans="2:68" ht="15.75" hidden="1" outlineLevel="1">
      <c r="B166" s="53"/>
      <c r="W166" s="53"/>
      <c r="X166" s="53"/>
      <c r="Y166" s="53"/>
      <c r="Z166" s="53"/>
      <c r="AA166" s="53"/>
      <c r="AB166" s="53"/>
      <c r="AH166" s="10">
        <f>L1067</f>
        <v>-0.01</v>
      </c>
      <c r="AI166" s="10">
        <f>M1067</f>
        <v>0.03</v>
      </c>
      <c r="AJ166" s="10"/>
      <c r="AK166" s="10"/>
      <c r="AQ166" s="53"/>
      <c r="AV166" s="53"/>
      <c r="BA166" s="53"/>
      <c r="BF166" s="53"/>
      <c r="BG166" s="53"/>
      <c r="BH166" s="53"/>
      <c r="BI166" s="53"/>
      <c r="BJ166" s="53"/>
      <c r="BK166" s="53"/>
      <c r="BL166" s="53"/>
      <c r="BM166" s="53"/>
      <c r="BO166" s="53"/>
      <c r="BP166" s="54"/>
    </row>
    <row r="167" spans="2:68" ht="15.75" hidden="1" outlineLevel="1">
      <c r="W167" s="53"/>
      <c r="X167" s="53"/>
      <c r="Y167" s="53"/>
      <c r="Z167" s="53"/>
      <c r="AA167" s="53"/>
      <c r="AB167" s="53"/>
      <c r="AH167" s="10">
        <f>AH97/AD97-1</f>
        <v>2.0847343644922356E-2</v>
      </c>
      <c r="AI167" s="10">
        <f>AI97/AE97-1</f>
        <v>3.026227303295248E-2</v>
      </c>
      <c r="AJ167" s="10"/>
      <c r="AK167" s="10"/>
      <c r="AQ167" s="53"/>
      <c r="AV167" s="53"/>
      <c r="BA167" s="53"/>
      <c r="BF167" s="53"/>
      <c r="BG167" s="53"/>
      <c r="BH167" s="53"/>
      <c r="BI167" s="53"/>
      <c r="BJ167" s="53"/>
      <c r="BK167" s="53"/>
      <c r="BL167" s="53"/>
      <c r="BM167" s="53"/>
      <c r="BO167" s="53"/>
      <c r="BP167" s="54"/>
    </row>
    <row r="168" spans="2:68" ht="15.75" hidden="1" outlineLevel="1">
      <c r="B168" s="58" t="s">
        <v>4261</v>
      </c>
      <c r="W168" s="53"/>
      <c r="X168" s="53"/>
      <c r="Y168" s="53"/>
      <c r="Z168" s="53"/>
      <c r="AA168" s="53"/>
      <c r="AB168" s="53"/>
      <c r="AH168" s="6"/>
      <c r="AI168" s="6"/>
      <c r="AJ168" s="6"/>
      <c r="AK168" s="6"/>
      <c r="AQ168" s="53"/>
      <c r="AV168" s="53"/>
      <c r="BA168" s="53"/>
      <c r="BF168" s="53"/>
      <c r="BG168" s="53"/>
      <c r="BH168" s="53"/>
      <c r="BI168" s="53"/>
      <c r="BJ168" s="53"/>
      <c r="BK168" s="53"/>
      <c r="BL168" s="53"/>
      <c r="BM168" s="53"/>
      <c r="BO168" s="53"/>
      <c r="BP168" s="54"/>
    </row>
    <row r="169" spans="2:68" ht="15.75" hidden="1" outlineLevel="1">
      <c r="B169" s="53" t="str">
        <f>B161</f>
        <v>CWC</v>
      </c>
      <c r="W169" s="53"/>
      <c r="X169" s="53"/>
      <c r="Y169" s="53"/>
      <c r="Z169" s="53"/>
      <c r="AA169" s="53"/>
      <c r="AB169" s="53"/>
      <c r="AH169" s="6">
        <f>L1067</f>
        <v>-0.01</v>
      </c>
      <c r="AI169" s="6">
        <f>(AI93/AD93)-1+(AI$166+AI$167)</f>
        <v>0.17373745033791696</v>
      </c>
      <c r="AJ169" s="6"/>
      <c r="AK169" s="6"/>
      <c r="AQ169" s="53"/>
      <c r="AV169" s="53"/>
      <c r="BA169" s="53"/>
      <c r="BF169" s="53"/>
      <c r="BG169" s="53"/>
      <c r="BH169" s="53"/>
      <c r="BI169" s="53"/>
      <c r="BJ169" s="53"/>
      <c r="BK169" s="53"/>
      <c r="BL169" s="53"/>
      <c r="BM169" s="53"/>
      <c r="BO169" s="53"/>
      <c r="BP169" s="54"/>
    </row>
    <row r="170" spans="2:68" ht="15.75" hidden="1" outlineLevel="1">
      <c r="B170" s="53" t="str">
        <f>B162</f>
        <v>VTR</v>
      </c>
      <c r="W170" s="53"/>
      <c r="X170" s="53"/>
      <c r="Y170" s="53"/>
      <c r="Z170" s="53"/>
      <c r="AA170" s="53"/>
      <c r="AB170" s="53"/>
      <c r="AH170" s="6">
        <f>AH111/AC111-1</f>
        <v>-6.6869300911853835E-2</v>
      </c>
      <c r="AI170" s="6">
        <f>AI111/AD111-1</f>
        <v>-8.7349397590361533E-2</v>
      </c>
      <c r="AJ170" s="6"/>
      <c r="AK170" s="6"/>
      <c r="AQ170" s="53"/>
      <c r="AV170" s="53"/>
      <c r="BA170" s="53"/>
      <c r="BF170" s="53"/>
      <c r="BG170" s="53"/>
      <c r="BH170" s="53"/>
      <c r="BI170" s="53"/>
      <c r="BJ170" s="53"/>
      <c r="BK170" s="53"/>
      <c r="BL170" s="53"/>
      <c r="BM170" s="53"/>
      <c r="BO170" s="53"/>
      <c r="BP170" s="54"/>
    </row>
    <row r="171" spans="2:68" ht="15.75" hidden="1" outlineLevel="1">
      <c r="B171" s="50" t="str">
        <f>B163</f>
        <v>PR</v>
      </c>
      <c r="C171" s="3"/>
      <c r="D171" s="3"/>
      <c r="E171" s="3"/>
      <c r="F171" s="3"/>
      <c r="G171" s="3"/>
      <c r="H171" s="3"/>
      <c r="I171" s="3"/>
      <c r="J171" s="3"/>
      <c r="K171" s="3"/>
      <c r="L171" s="3"/>
      <c r="M171" s="3"/>
      <c r="N171" s="3"/>
      <c r="O171" s="3"/>
      <c r="P171" s="3"/>
      <c r="Q171" s="3"/>
      <c r="R171" s="3"/>
      <c r="S171" s="3"/>
      <c r="T171" s="3"/>
      <c r="U171" s="3"/>
      <c r="V171" s="3"/>
      <c r="W171" s="50"/>
      <c r="X171" s="50"/>
      <c r="Y171" s="50"/>
      <c r="Z171" s="50"/>
      <c r="AA171" s="50"/>
      <c r="AB171" s="50"/>
      <c r="AC171" s="3"/>
      <c r="AD171" s="3"/>
      <c r="AE171" s="3"/>
      <c r="AF171" s="3"/>
      <c r="AG171" s="3"/>
      <c r="AH171" s="7">
        <f>AH142/AD142-1</f>
        <v>0.2479674796747966</v>
      </c>
      <c r="AI171" s="7">
        <f>AI142/AE142-1</f>
        <v>0.21305182341650664</v>
      </c>
      <c r="AJ171" s="6"/>
      <c r="AK171" s="6"/>
      <c r="AM171" s="3"/>
      <c r="AN171" s="3"/>
      <c r="AQ171" s="53"/>
      <c r="AR171" s="3"/>
      <c r="AS171" s="3"/>
      <c r="AT171" s="3"/>
      <c r="AU171" s="3"/>
      <c r="AV171" s="53"/>
      <c r="AW171" s="3"/>
      <c r="AX171" s="3"/>
      <c r="AY171" s="3"/>
      <c r="AZ171" s="3"/>
      <c r="BA171" s="53"/>
      <c r="BB171" s="3"/>
      <c r="BC171" s="3"/>
      <c r="BD171" s="3"/>
      <c r="BE171" s="3"/>
      <c r="BF171" s="53"/>
      <c r="BG171" s="53"/>
      <c r="BH171" s="53"/>
      <c r="BI171" s="53"/>
      <c r="BJ171" s="53"/>
      <c r="BK171" s="53"/>
      <c r="BL171" s="53"/>
      <c r="BM171" s="53"/>
      <c r="BO171" s="53"/>
      <c r="BP171" s="54"/>
    </row>
    <row r="172" spans="2:68" ht="15.75" hidden="1" outlineLevel="1">
      <c r="B172" s="53" t="s">
        <v>16</v>
      </c>
      <c r="W172" s="53"/>
      <c r="X172" s="53"/>
      <c r="Y172" s="53"/>
      <c r="Z172" s="53"/>
      <c r="AA172" s="53"/>
      <c r="AB172" s="53"/>
      <c r="AH172" s="6">
        <f>((AH169*AH161)+(AH162*AH170)+(AH163*AH171))/AH164</f>
        <v>3.9009137995234443E-2</v>
      </c>
      <c r="AI172" s="6">
        <f>((AI169*AI161)+(AI162*AI170)+(AI163*AI171))/AI164</f>
        <v>8.8609870472132105E-2</v>
      </c>
      <c r="AJ172" s="6"/>
      <c r="AK172" s="6"/>
      <c r="AQ172" s="53"/>
      <c r="AV172" s="53"/>
      <c r="BA172" s="53"/>
      <c r="BF172" s="53"/>
      <c r="BG172" s="53"/>
      <c r="BH172" s="53"/>
      <c r="BI172" s="53"/>
      <c r="BJ172" s="53"/>
      <c r="BK172" s="53"/>
      <c r="BL172" s="53"/>
      <c r="BM172" s="53"/>
      <c r="BO172" s="53"/>
      <c r="BP172" s="54"/>
    </row>
    <row r="173" spans="2:68" ht="15.75" hidden="1" outlineLevel="1">
      <c r="B173" s="53"/>
      <c r="W173" s="53"/>
      <c r="X173" s="53"/>
      <c r="Y173" s="53"/>
      <c r="Z173" s="53"/>
      <c r="AA173" s="53"/>
      <c r="AB173" s="53"/>
      <c r="AH173" s="6"/>
      <c r="AI173" s="6"/>
      <c r="AJ173" s="6"/>
      <c r="AK173" s="6"/>
      <c r="AQ173" s="53"/>
      <c r="AV173" s="53"/>
      <c r="BA173" s="53"/>
      <c r="BF173" s="53"/>
      <c r="BG173" s="53"/>
      <c r="BH173" s="53"/>
      <c r="BI173" s="53"/>
      <c r="BJ173" s="53"/>
      <c r="BK173" s="53"/>
      <c r="BL173" s="53"/>
      <c r="BM173" s="53"/>
      <c r="BO173" s="53"/>
      <c r="BP173" s="54"/>
    </row>
    <row r="174" spans="2:68" ht="15.75" hidden="1" outlineLevel="1">
      <c r="B174" s="58" t="s">
        <v>5877</v>
      </c>
      <c r="W174" s="53"/>
      <c r="X174" s="53"/>
      <c r="Y174" s="53"/>
      <c r="Z174" s="53"/>
      <c r="AA174" s="53"/>
      <c r="AB174" s="53"/>
      <c r="AH174" s="6"/>
      <c r="AI174" s="6"/>
      <c r="AJ174" s="6"/>
      <c r="AK174" s="6"/>
      <c r="AQ174" s="53"/>
      <c r="AV174" s="53"/>
      <c r="BA174" s="53"/>
      <c r="BF174" s="53"/>
      <c r="BG174" s="53"/>
      <c r="BH174" s="53"/>
      <c r="BI174" s="53"/>
      <c r="BJ174" s="53"/>
      <c r="BK174" s="53"/>
      <c r="BL174" s="53"/>
      <c r="BM174" s="53"/>
      <c r="BO174" s="53"/>
      <c r="BP174" s="54"/>
    </row>
    <row r="175" spans="2:68" ht="15.75" hidden="1" outlineLevel="1">
      <c r="B175" s="53" t="s">
        <v>29</v>
      </c>
      <c r="W175" s="53"/>
      <c r="X175" s="53"/>
      <c r="Y175" s="53"/>
      <c r="Z175" s="53"/>
      <c r="AA175" s="53"/>
      <c r="AB175" s="53"/>
      <c r="AH175" s="62">
        <f>AH92</f>
        <v>40.5</v>
      </c>
      <c r="AI175" s="62">
        <f>AI92</f>
        <v>39.6</v>
      </c>
      <c r="AJ175" s="62"/>
      <c r="AK175" s="62"/>
      <c r="AQ175" s="53"/>
      <c r="AV175" s="53"/>
      <c r="BA175" s="53"/>
      <c r="BF175" s="53"/>
      <c r="BG175" s="53"/>
      <c r="BH175" s="53"/>
      <c r="BI175" s="53"/>
      <c r="BJ175" s="53"/>
      <c r="BK175" s="53"/>
      <c r="BL175" s="53"/>
      <c r="BM175" s="53"/>
      <c r="BO175" s="53"/>
      <c r="BP175" s="54"/>
    </row>
    <row r="176" spans="2:68" ht="15.75" hidden="1" outlineLevel="1">
      <c r="B176" s="53" t="s">
        <v>899</v>
      </c>
      <c r="C176" s="53"/>
      <c r="D176" s="53"/>
      <c r="E176" s="53"/>
      <c r="F176" s="53"/>
      <c r="G176" s="53"/>
      <c r="H176" s="53"/>
      <c r="I176" s="53"/>
      <c r="J176" s="53"/>
      <c r="K176" s="53"/>
      <c r="L176" s="53"/>
      <c r="M176" s="53"/>
      <c r="N176" s="53"/>
      <c r="Q176" s="5"/>
      <c r="R176" s="5"/>
      <c r="S176" s="5"/>
      <c r="T176" s="5"/>
      <c r="U176" s="5"/>
      <c r="V176" s="5"/>
      <c r="AH176" s="62">
        <f>AH132</f>
        <v>78.859527121001378</v>
      </c>
      <c r="AI176" s="62">
        <f>AI132</f>
        <v>75.579809004092766</v>
      </c>
      <c r="AJ176" s="62"/>
      <c r="AK176" s="62"/>
    </row>
    <row r="177" spans="2:58" ht="15.75" hidden="1" outlineLevel="1">
      <c r="B177" s="50" t="s">
        <v>984</v>
      </c>
      <c r="C177" s="50"/>
      <c r="D177" s="50"/>
      <c r="E177" s="50"/>
      <c r="F177" s="50"/>
      <c r="G177" s="50"/>
      <c r="H177" s="50"/>
      <c r="I177" s="50"/>
      <c r="J177" s="50"/>
      <c r="K177" s="50"/>
      <c r="L177" s="50"/>
      <c r="M177" s="50"/>
      <c r="N177" s="50"/>
      <c r="O177" s="3"/>
      <c r="P177" s="3"/>
      <c r="Q177" s="512"/>
      <c r="R177" s="512"/>
      <c r="S177" s="512"/>
      <c r="T177" s="512"/>
      <c r="U177" s="512"/>
      <c r="V177" s="512"/>
      <c r="W177" s="3"/>
      <c r="X177" s="3"/>
      <c r="Y177" s="3"/>
      <c r="Z177" s="3"/>
      <c r="AA177" s="3"/>
      <c r="AB177" s="3"/>
      <c r="AC177" s="3"/>
      <c r="AD177" s="3"/>
      <c r="AE177" s="3"/>
      <c r="AF177" s="3"/>
      <c r="AG177" s="3"/>
      <c r="AH177" s="554">
        <f>AH141</f>
        <v>38.599999999999994</v>
      </c>
      <c r="AI177" s="554">
        <f>AI141</f>
        <v>39.200000000000003</v>
      </c>
      <c r="AJ177" s="62"/>
      <c r="AK177" s="62"/>
      <c r="AM177" s="3"/>
      <c r="AN177" s="3"/>
      <c r="AR177" s="3"/>
      <c r="AS177" s="3"/>
      <c r="AT177" s="3"/>
      <c r="AU177" s="3"/>
      <c r="AW177" s="3"/>
      <c r="AX177" s="3"/>
      <c r="AY177" s="3"/>
      <c r="AZ177" s="3"/>
      <c r="BB177" s="3"/>
      <c r="BC177" s="3"/>
      <c r="BD177" s="3"/>
      <c r="BE177" s="3"/>
    </row>
    <row r="178" spans="2:58" ht="15.75" hidden="1" outlineLevel="1">
      <c r="B178" s="53" t="s">
        <v>16</v>
      </c>
      <c r="C178" s="53"/>
      <c r="D178" s="53"/>
      <c r="E178" s="53"/>
      <c r="F178" s="53"/>
      <c r="G178" s="53"/>
      <c r="H178" s="53"/>
      <c r="I178" s="53"/>
      <c r="J178" s="53"/>
      <c r="K178" s="53"/>
      <c r="L178" s="53"/>
      <c r="M178" s="53"/>
      <c r="N178" s="53"/>
      <c r="Q178" s="5"/>
      <c r="R178" s="5"/>
      <c r="S178" s="5"/>
      <c r="T178" s="5"/>
      <c r="U178" s="5"/>
      <c r="V178" s="5"/>
      <c r="AH178" s="62">
        <f>SUM(AH175:AH177)</f>
        <v>157.95952712100137</v>
      </c>
      <c r="AI178" s="62">
        <f>SUM(AI175:AI177)</f>
        <v>154.37980900409275</v>
      </c>
      <c r="AJ178" s="62"/>
      <c r="AK178" s="62"/>
    </row>
    <row r="179" spans="2:58" ht="15.75" hidden="1" outlineLevel="1">
      <c r="B179" s="53"/>
      <c r="C179" s="53"/>
      <c r="D179" s="53"/>
      <c r="E179" s="53"/>
      <c r="F179" s="53"/>
      <c r="G179" s="53"/>
      <c r="H179" s="53"/>
      <c r="I179" s="53"/>
      <c r="J179" s="53"/>
      <c r="K179" s="53"/>
      <c r="L179" s="53"/>
      <c r="M179" s="53"/>
      <c r="N179" s="53"/>
      <c r="Q179" s="5"/>
      <c r="R179" s="5"/>
      <c r="S179" s="5"/>
      <c r="T179" s="5"/>
      <c r="U179" s="5"/>
      <c r="V179" s="5"/>
    </row>
    <row r="180" spans="2:58" ht="15.75" hidden="1" outlineLevel="1">
      <c r="B180" s="58" t="s">
        <v>4261</v>
      </c>
      <c r="C180" s="53"/>
      <c r="D180" s="53"/>
      <c r="E180" s="53"/>
      <c r="F180" s="53"/>
      <c r="G180" s="53"/>
      <c r="H180" s="53"/>
      <c r="I180" s="53"/>
      <c r="J180" s="53"/>
      <c r="K180" s="53"/>
      <c r="L180" s="53"/>
      <c r="M180" s="53"/>
      <c r="N180" s="53"/>
      <c r="Q180" s="5"/>
      <c r="R180" s="5"/>
      <c r="S180" s="5"/>
      <c r="T180" s="5"/>
      <c r="U180" s="5"/>
      <c r="V180" s="5"/>
    </row>
    <row r="181" spans="2:58" ht="15.75" hidden="1" outlineLevel="1">
      <c r="B181" s="53" t="str">
        <f>B175</f>
        <v>CWC</v>
      </c>
      <c r="C181" s="53"/>
      <c r="D181" s="53"/>
      <c r="E181" s="53"/>
      <c r="F181" s="53"/>
      <c r="G181" s="53"/>
      <c r="H181" s="53"/>
      <c r="I181" s="53"/>
      <c r="J181" s="53"/>
      <c r="K181" s="53"/>
      <c r="L181" s="53"/>
      <c r="M181" s="53"/>
      <c r="N181" s="53"/>
      <c r="Q181" s="5"/>
      <c r="R181" s="5"/>
      <c r="S181" s="5"/>
      <c r="T181" s="5"/>
      <c r="U181" s="5"/>
      <c r="V181" s="5"/>
      <c r="AH181" s="6">
        <f>(AH92/AC92)-1+(AH$166+AH$167)</f>
        <v>-8.7148202012093154E-2</v>
      </c>
      <c r="AI181" s="6">
        <f>(AI92/AD92)-1+(AI$166+AI$167)</f>
        <v>-1.233725858297266E-2</v>
      </c>
      <c r="AJ181" s="6"/>
      <c r="AK181" s="6"/>
    </row>
    <row r="182" spans="2:58" ht="15.75" hidden="1" outlineLevel="1">
      <c r="B182" s="53" t="str">
        <f>B176</f>
        <v>VTR</v>
      </c>
      <c r="C182" s="53"/>
      <c r="D182" s="53"/>
      <c r="E182" s="53"/>
      <c r="F182" s="53"/>
      <c r="G182" s="53"/>
      <c r="H182" s="53"/>
      <c r="I182" s="53"/>
      <c r="J182" s="53"/>
      <c r="K182" s="53"/>
      <c r="L182" s="53"/>
      <c r="M182" s="53"/>
      <c r="N182" s="53"/>
      <c r="Q182" s="5"/>
      <c r="R182" s="5"/>
      <c r="S182" s="5"/>
      <c r="T182" s="5"/>
      <c r="U182" s="5"/>
      <c r="V182" s="5"/>
      <c r="AH182" s="6">
        <f>AH110/AC110-1</f>
        <v>-6.5897858319604707E-2</v>
      </c>
      <c r="AI182" s="6">
        <f>AI110/AD110-1</f>
        <v>3.6231884057971175E-3</v>
      </c>
      <c r="AJ182" s="6"/>
      <c r="AK182" s="6"/>
    </row>
    <row r="183" spans="2:58" ht="15.75" hidden="1" outlineLevel="1">
      <c r="B183" s="50" t="str">
        <f>B177</f>
        <v>PR</v>
      </c>
      <c r="C183" s="50"/>
      <c r="D183" s="50"/>
      <c r="E183" s="50"/>
      <c r="F183" s="50"/>
      <c r="G183" s="50"/>
      <c r="H183" s="50"/>
      <c r="I183" s="50"/>
      <c r="J183" s="50"/>
      <c r="K183" s="50"/>
      <c r="L183" s="50"/>
      <c r="M183" s="50"/>
      <c r="N183" s="50"/>
      <c r="O183" s="3"/>
      <c r="P183" s="3"/>
      <c r="Q183" s="512"/>
      <c r="R183" s="512"/>
      <c r="S183" s="512"/>
      <c r="T183" s="512"/>
      <c r="U183" s="512"/>
      <c r="V183" s="512"/>
      <c r="W183" s="3"/>
      <c r="X183" s="3"/>
      <c r="Y183" s="3"/>
      <c r="Z183" s="3"/>
      <c r="AA183" s="3"/>
      <c r="AB183" s="3"/>
      <c r="AC183" s="3"/>
      <c r="AD183" s="3"/>
      <c r="AE183" s="3"/>
      <c r="AF183" s="3"/>
      <c r="AG183" s="3"/>
      <c r="AH183" s="7">
        <f>AH141/AD141-1</f>
        <v>5.1771117166212299E-2</v>
      </c>
      <c r="AI183" s="7">
        <f>AI141/AE141-1</f>
        <v>5.6603773584905648E-2</v>
      </c>
      <c r="AJ183" s="6"/>
      <c r="AK183" s="6"/>
      <c r="AM183" s="3"/>
      <c r="AN183" s="3"/>
      <c r="AO183" s="3"/>
      <c r="AR183" s="3"/>
      <c r="AS183" s="3"/>
      <c r="AT183" s="3"/>
      <c r="AU183" s="3"/>
      <c r="AW183" s="3"/>
      <c r="AX183" s="3"/>
      <c r="AY183" s="3"/>
      <c r="AZ183" s="3"/>
      <c r="BB183" s="3"/>
      <c r="BC183" s="3"/>
      <c r="BD183" s="3"/>
      <c r="BE183" s="3"/>
    </row>
    <row r="184" spans="2:58" ht="15.75" hidden="1" outlineLevel="1">
      <c r="B184" s="53" t="s">
        <v>16</v>
      </c>
      <c r="C184" s="53"/>
      <c r="D184" s="53"/>
      <c r="E184" s="53"/>
      <c r="F184" s="53"/>
      <c r="G184" s="53"/>
      <c r="H184" s="53"/>
      <c r="I184" s="53"/>
      <c r="J184" s="53"/>
      <c r="K184" s="53"/>
      <c r="L184" s="53"/>
      <c r="M184" s="53"/>
      <c r="N184" s="53"/>
      <c r="Q184" s="5"/>
      <c r="R184" s="5"/>
      <c r="S184" s="5"/>
      <c r="T184" s="5"/>
      <c r="U184" s="5"/>
      <c r="V184" s="5"/>
      <c r="AH184" s="6">
        <f>((AH181*AH175)+(AH176*AH182)+(AH177*AH183))/AH178</f>
        <v>-4.2591992562063453E-2</v>
      </c>
      <c r="AI184" s="6">
        <f>((AI181*AI175)+(AI176*AI182)+(AI177*AI183))/AI178</f>
        <v>1.2981959138746193E-2</v>
      </c>
      <c r="AJ184" s="6"/>
      <c r="AK184" s="6"/>
    </row>
    <row r="185" spans="2:58" ht="15.75" hidden="1" outlineLevel="1">
      <c r="B185" s="53"/>
      <c r="C185" s="53"/>
      <c r="D185" s="53"/>
      <c r="E185" s="53"/>
      <c r="F185" s="53"/>
      <c r="G185" s="53"/>
      <c r="H185" s="53"/>
      <c r="I185" s="53"/>
      <c r="J185" s="53"/>
      <c r="K185" s="53"/>
      <c r="L185" s="53"/>
      <c r="M185" s="53"/>
      <c r="N185" s="53"/>
      <c r="Q185" s="5"/>
      <c r="R185" s="5"/>
      <c r="S185" s="5"/>
      <c r="T185" s="5"/>
      <c r="U185" s="5"/>
      <c r="V185" s="5"/>
    </row>
    <row r="186" spans="2:58" ht="15.75" collapsed="1">
      <c r="B186" s="53"/>
      <c r="C186" s="53"/>
      <c r="D186" s="53"/>
      <c r="E186" s="53"/>
      <c r="F186" s="53"/>
      <c r="G186" s="53"/>
      <c r="H186" s="53"/>
      <c r="I186" s="53"/>
      <c r="J186" s="53"/>
      <c r="K186" s="53"/>
      <c r="L186" s="53"/>
      <c r="M186" s="53"/>
      <c r="N186" s="53"/>
      <c r="Q186" s="5"/>
      <c r="R186" s="5"/>
      <c r="S186" s="5"/>
      <c r="T186" s="5"/>
      <c r="U186" s="5"/>
      <c r="V186" s="5"/>
    </row>
    <row r="187" spans="2:58" ht="15.75">
      <c r="B187" s="635" t="s">
        <v>2411</v>
      </c>
      <c r="C187" s="53"/>
      <c r="D187" s="53"/>
      <c r="E187" s="53"/>
      <c r="F187" s="53"/>
      <c r="G187" s="53"/>
      <c r="H187" s="53"/>
      <c r="I187" s="53"/>
      <c r="J187" s="53"/>
      <c r="K187" s="53"/>
      <c r="L187" s="53"/>
      <c r="M187" s="53"/>
      <c r="N187" s="53"/>
    </row>
    <row r="188" spans="2:58" ht="15.75">
      <c r="B188" s="53"/>
      <c r="C188" s="53"/>
      <c r="D188" s="53"/>
      <c r="E188" s="53"/>
      <c r="F188" s="53"/>
      <c r="G188" s="53"/>
      <c r="H188" s="53"/>
      <c r="I188" s="53"/>
      <c r="J188" s="53"/>
      <c r="K188" s="53"/>
      <c r="L188" s="53"/>
      <c r="M188" s="53"/>
      <c r="N188" s="53"/>
    </row>
    <row r="189" spans="2:58" ht="15.75">
      <c r="B189" s="808" t="s">
        <v>400</v>
      </c>
      <c r="G189" s="727" t="s">
        <v>556</v>
      </c>
      <c r="H189" s="727" t="s">
        <v>882</v>
      </c>
      <c r="I189" s="727" t="s">
        <v>883</v>
      </c>
      <c r="J189" s="727" t="s">
        <v>1619</v>
      </c>
      <c r="K189" s="727" t="s">
        <v>1636</v>
      </c>
      <c r="L189" s="727" t="s">
        <v>2092</v>
      </c>
      <c r="M189" s="727" t="s">
        <v>1559</v>
      </c>
      <c r="N189" s="727" t="s">
        <v>1560</v>
      </c>
      <c r="O189" s="727" t="s">
        <v>2570</v>
      </c>
      <c r="P189" s="727" t="s">
        <v>2866</v>
      </c>
      <c r="Q189" s="727" t="s">
        <v>3156</v>
      </c>
      <c r="R189" s="727" t="s">
        <v>3165</v>
      </c>
      <c r="S189" s="727" t="s">
        <v>3482</v>
      </c>
      <c r="T189" s="727" t="s">
        <v>3779</v>
      </c>
      <c r="U189" s="727" t="s">
        <v>3859</v>
      </c>
      <c r="V189" s="727" t="s">
        <v>3860</v>
      </c>
      <c r="W189" s="727">
        <f t="shared" ref="W189:AK189" si="124">W4</f>
        <v>2018</v>
      </c>
      <c r="X189" s="727" t="str">
        <f t="shared" si="124"/>
        <v>Q1 19</v>
      </c>
      <c r="Y189" s="727" t="str">
        <f t="shared" si="124"/>
        <v>Q2 19</v>
      </c>
      <c r="Z189" s="727" t="str">
        <f t="shared" si="124"/>
        <v>Q3 19</v>
      </c>
      <c r="AA189" s="727" t="str">
        <f t="shared" si="124"/>
        <v>Q4 19</v>
      </c>
      <c r="AB189" s="727">
        <f t="shared" si="124"/>
        <v>2019</v>
      </c>
      <c r="AC189" s="727" t="str">
        <f t="shared" si="124"/>
        <v>Q1 20</v>
      </c>
      <c r="AD189" s="727" t="str">
        <f t="shared" si="124"/>
        <v>Q2 20</v>
      </c>
      <c r="AE189" s="727" t="str">
        <f t="shared" si="124"/>
        <v>Q3 20</v>
      </c>
      <c r="AF189" s="727" t="str">
        <f t="shared" si="124"/>
        <v>Q4 20</v>
      </c>
      <c r="AG189" s="727">
        <f t="shared" si="124"/>
        <v>2020</v>
      </c>
      <c r="AH189" s="727" t="str">
        <f t="shared" si="124"/>
        <v>Q1 21</v>
      </c>
      <c r="AI189" s="727" t="str">
        <f t="shared" si="124"/>
        <v>Q2 21</v>
      </c>
      <c r="AJ189" s="727" t="str">
        <f t="shared" si="124"/>
        <v>Q3 21</v>
      </c>
      <c r="AK189" s="727" t="str">
        <f t="shared" si="124"/>
        <v>Q4 21</v>
      </c>
      <c r="AM189" s="727" t="str">
        <f>AM4</f>
        <v>Q1 22</v>
      </c>
      <c r="AN189" s="727" t="str">
        <f>AN4</f>
        <v>Q2 22</v>
      </c>
      <c r="AO189" s="727" t="str">
        <f>AO4</f>
        <v>Q3 22</v>
      </c>
      <c r="AP189" s="727" t="str">
        <f>AP4</f>
        <v>Q4 22</v>
      </c>
      <c r="AR189" s="727" t="str">
        <f>AR4</f>
        <v>Q1 23</v>
      </c>
      <c r="AS189" s="727" t="str">
        <f>AS4</f>
        <v>Q2 23</v>
      </c>
      <c r="AT189" s="727" t="str">
        <f>AT4</f>
        <v>Q3 23</v>
      </c>
      <c r="AU189" s="727" t="str">
        <f>AU4</f>
        <v>Q4 23</v>
      </c>
      <c r="AV189" s="727"/>
      <c r="AW189" s="727" t="str">
        <f>AW4</f>
        <v>Q1 24</v>
      </c>
      <c r="AX189" s="727" t="str">
        <f>AX4</f>
        <v>Q2 24</v>
      </c>
      <c r="AY189" s="727" t="str">
        <f>AY4</f>
        <v>Q3 24</v>
      </c>
      <c r="AZ189" s="727" t="str">
        <f t="shared" ref="AZ189:BE189" si="125">AZ4</f>
        <v>Q4 24e</v>
      </c>
      <c r="BA189" s="1057"/>
      <c r="BB189" s="727" t="str">
        <f t="shared" si="125"/>
        <v>Q1 25e</v>
      </c>
      <c r="BC189" s="727" t="str">
        <f t="shared" si="125"/>
        <v>Q2 25e</v>
      </c>
      <c r="BD189" s="727" t="str">
        <f t="shared" si="125"/>
        <v>Q3 25e</v>
      </c>
      <c r="BE189" s="727" t="str">
        <f t="shared" si="125"/>
        <v>Q4 25e</v>
      </c>
      <c r="BF189" s="1057"/>
    </row>
    <row r="190" spans="2:58" ht="15.75">
      <c r="B190" s="809" t="s">
        <v>29</v>
      </c>
      <c r="G190" s="728">
        <f>Quarts!C582</f>
        <v>610.28982725220533</v>
      </c>
      <c r="H190" s="728">
        <f>Quarts!D582</f>
        <v>584</v>
      </c>
      <c r="I190" s="728">
        <f>Quarts!E582</f>
        <v>596</v>
      </c>
      <c r="J190" s="728">
        <f>Quarts!F582</f>
        <v>595</v>
      </c>
      <c r="K190" s="728">
        <f>Quarts!G582</f>
        <v>605</v>
      </c>
      <c r="L190" s="728">
        <f>Quarts!H582</f>
        <v>574.5</v>
      </c>
      <c r="M190" s="728">
        <f>Quarts!I582</f>
        <v>568.5</v>
      </c>
      <c r="N190" s="728">
        <v>590.70000000000005</v>
      </c>
      <c r="O190" s="728">
        <v>575.6</v>
      </c>
      <c r="P190" s="728">
        <f>582.7-6/2</f>
        <v>579.70000000000005</v>
      </c>
      <c r="Q190" s="728">
        <v>578.9</v>
      </c>
      <c r="R190" s="728">
        <v>584.9</v>
      </c>
      <c r="S190" s="728">
        <v>585.5</v>
      </c>
      <c r="T190" s="728">
        <v>583.70000000000005</v>
      </c>
      <c r="U190" s="728">
        <v>581.1</v>
      </c>
      <c r="V190" s="728">
        <v>582.79999999999995</v>
      </c>
      <c r="W190" s="728"/>
      <c r="X190" s="728">
        <f>X17</f>
        <v>569.79999999999995</v>
      </c>
      <c r="Y190" s="728">
        <f>Y17</f>
        <v>606.6</v>
      </c>
      <c r="Z190" s="728">
        <f>Z17</f>
        <v>595.9</v>
      </c>
      <c r="AA190" s="728">
        <f>AA17</f>
        <v>617.20000000000005</v>
      </c>
      <c r="AB190" s="728"/>
      <c r="AC190" s="728">
        <f>AC17</f>
        <v>588.6</v>
      </c>
      <c r="AD190" s="728">
        <v>515.29999999999995</v>
      </c>
      <c r="AE190" s="728">
        <f>AE17</f>
        <v>538.9</v>
      </c>
      <c r="AF190" s="728">
        <f>AF17</f>
        <v>557</v>
      </c>
      <c r="AG190" s="728"/>
      <c r="AH190" s="728">
        <f>AH17</f>
        <v>551.79999999999995</v>
      </c>
      <c r="AI190" s="728">
        <f>AI17</f>
        <v>561.79999999999995</v>
      </c>
      <c r="AJ190" s="728">
        <f>AJ17</f>
        <v>563.4</v>
      </c>
      <c r="AK190" s="728">
        <f>AK17</f>
        <v>621.5</v>
      </c>
      <c r="AM190" s="728">
        <f>AM17</f>
        <v>589.6</v>
      </c>
      <c r="AN190" s="728">
        <f>AN17</f>
        <v>614.50000000000023</v>
      </c>
      <c r="AO190" s="728">
        <f>AO17</f>
        <v>633.5</v>
      </c>
      <c r="AP190" s="728">
        <f>AP17</f>
        <v>692.7</v>
      </c>
      <c r="AR190" s="728">
        <f>AR17</f>
        <v>627.80000000000007</v>
      </c>
      <c r="AS190" s="728">
        <f>AS17</f>
        <v>655.7</v>
      </c>
      <c r="AT190" s="728">
        <f>AT17</f>
        <v>663.4</v>
      </c>
      <c r="AU190" s="728">
        <f>AU17</f>
        <v>686</v>
      </c>
      <c r="AV190" s="728"/>
      <c r="AW190" s="728">
        <f>AW17</f>
        <v>641.9</v>
      </c>
      <c r="AX190" s="728">
        <f>AX17</f>
        <v>684.6</v>
      </c>
      <c r="AY190" s="728">
        <f>AY17</f>
        <v>657.8</v>
      </c>
      <c r="AZ190" s="728">
        <f t="shared" ref="AZ190" si="126">AZ17</f>
        <v>705.44495770349727</v>
      </c>
      <c r="BA190" s="728"/>
      <c r="BB190" s="728"/>
      <c r="BC190" s="728"/>
      <c r="BD190" s="728"/>
      <c r="BE190" s="728"/>
      <c r="BF190" s="728"/>
    </row>
    <row r="191" spans="2:58" ht="15.75">
      <c r="B191" s="809" t="s">
        <v>2106</v>
      </c>
      <c r="G191" s="728">
        <f>Quarts!C577</f>
        <v>309.61017274779465</v>
      </c>
      <c r="H191" s="728">
        <f>Quarts!D577</f>
        <v>325.39999999999998</v>
      </c>
      <c r="I191" s="728">
        <f>Quarts!E577</f>
        <v>308.8</v>
      </c>
      <c r="J191" s="728">
        <f>Quarts!F577</f>
        <v>309.2</v>
      </c>
      <c r="K191" s="728">
        <f>Quarts!G577</f>
        <v>304</v>
      </c>
      <c r="L191" s="728">
        <f>Quarts!H577</f>
        <v>317.29999999999995</v>
      </c>
      <c r="M191" s="728">
        <f>Quarts!I577</f>
        <v>325.60000000000014</v>
      </c>
      <c r="N191" s="728">
        <f>N194-N190</f>
        <v>332.19999999999993</v>
      </c>
      <c r="O191" s="728">
        <f>O194-O190</f>
        <v>335.29999999999995</v>
      </c>
      <c r="P191" s="728">
        <f>P194-P190</f>
        <v>338.29999999999995</v>
      </c>
      <c r="Q191" s="728">
        <f>Q194-Q190</f>
        <v>329.1</v>
      </c>
      <c r="R191" s="728">
        <f>R194-R190</f>
        <v>265.20000000000005</v>
      </c>
      <c r="S191" s="728">
        <f>S194-S190-S193</f>
        <v>325.60000000000002</v>
      </c>
      <c r="T191" s="728">
        <f>T194-T190-T193</f>
        <v>359.79999999999995</v>
      </c>
      <c r="U191" s="728">
        <f>U194-U190-U193</f>
        <v>334.5</v>
      </c>
      <c r="V191" s="728">
        <f>V194-V190-V193-V192</f>
        <v>335.6</v>
      </c>
      <c r="W191" s="728"/>
      <c r="X191" s="728">
        <f>X19+X18</f>
        <v>342.1</v>
      </c>
      <c r="Y191" s="728">
        <f>Y19+Y18</f>
        <v>345.8</v>
      </c>
      <c r="Z191" s="728">
        <f>Z19+Z18</f>
        <v>339.4</v>
      </c>
      <c r="AA191" s="728">
        <f>AA19+AA18</f>
        <v>325.90000000000009</v>
      </c>
      <c r="AB191" s="728"/>
      <c r="AC191" s="728">
        <f>AC19+AC18</f>
        <v>310.65608406391846</v>
      </c>
      <c r="AD191" s="728">
        <f>AD19+AD18</f>
        <v>301.93110571081411</v>
      </c>
      <c r="AE191" s="728">
        <f>AE19+AE18</f>
        <v>313.89367088607594</v>
      </c>
      <c r="AF191" s="728">
        <f>AF19+AF18</f>
        <v>503.7016824059636</v>
      </c>
      <c r="AG191" s="728"/>
      <c r="AH191" s="728">
        <f>AH19+AH18</f>
        <v>571.6</v>
      </c>
      <c r="AI191" s="728">
        <f>AI19+AI18</f>
        <v>569.70000000000005</v>
      </c>
      <c r="AJ191" s="728">
        <f>AJ19+AJ18</f>
        <v>552.1</v>
      </c>
      <c r="AK191" s="728">
        <f>AK19+AK18</f>
        <v>550.79999999999995</v>
      </c>
      <c r="AM191" s="728">
        <f>AM19+AM18</f>
        <v>540.1</v>
      </c>
      <c r="AN191" s="728">
        <f>AN19+AN18</f>
        <v>514.1</v>
      </c>
      <c r="AO191" s="728">
        <f>AO19+AO18</f>
        <v>496.7</v>
      </c>
      <c r="AP191" s="728">
        <f>AP19+AP18</f>
        <v>373.7</v>
      </c>
      <c r="AR191" s="728">
        <f>AR19+AR18</f>
        <v>365.8</v>
      </c>
      <c r="AS191" s="728">
        <f>AS19+AS18</f>
        <v>352</v>
      </c>
      <c r="AT191" s="728">
        <f>AT19+AT18</f>
        <v>351.2</v>
      </c>
      <c r="AU191" s="728">
        <f>AU19+AU18</f>
        <v>353.5</v>
      </c>
      <c r="AV191" s="481"/>
      <c r="AW191" s="728">
        <f>AW19+AW18</f>
        <v>327.2</v>
      </c>
      <c r="AX191" s="728">
        <f>AX19+AX18</f>
        <v>308.60000000000002</v>
      </c>
      <c r="AY191" s="728">
        <f>AY19+AY18</f>
        <v>308.2</v>
      </c>
      <c r="AZ191" s="728">
        <f t="shared" ref="AZ191" si="127">AZ19+AZ18</f>
        <v>335.10280000000006</v>
      </c>
      <c r="BA191" s="481"/>
      <c r="BB191" s="728"/>
      <c r="BC191" s="728"/>
      <c r="BD191" s="728"/>
      <c r="BE191" s="728"/>
      <c r="BF191" s="481"/>
    </row>
    <row r="192" spans="2:58" ht="15.75">
      <c r="B192" s="809" t="s">
        <v>3434</v>
      </c>
      <c r="G192" s="728"/>
      <c r="H192" s="728"/>
      <c r="I192" s="728"/>
      <c r="J192" s="728"/>
      <c r="K192" s="728"/>
      <c r="L192" s="728"/>
      <c r="M192" s="728"/>
      <c r="N192" s="728"/>
      <c r="O192" s="728"/>
      <c r="P192" s="728"/>
      <c r="Q192" s="728"/>
      <c r="R192" s="728"/>
      <c r="S192" s="728"/>
      <c r="T192" s="728"/>
      <c r="U192" s="728"/>
      <c r="V192" s="728">
        <f>V20</f>
        <v>32.6</v>
      </c>
      <c r="W192" s="728"/>
      <c r="X192" s="728">
        <f t="shared" ref="X192:AA193" si="128">X20</f>
        <v>32.5</v>
      </c>
      <c r="Y192" s="728">
        <f t="shared" si="128"/>
        <v>32.5</v>
      </c>
      <c r="Z192" s="728">
        <f t="shared" si="128"/>
        <v>33.299999999999997</v>
      </c>
      <c r="AA192" s="728">
        <f t="shared" si="128"/>
        <v>34.399999999999991</v>
      </c>
      <c r="AB192" s="728"/>
      <c r="AC192" s="728">
        <f t="shared" ref="AC192:AF193" si="129">AC20</f>
        <v>34.043915936081561</v>
      </c>
      <c r="AD192" s="728">
        <f t="shared" si="129"/>
        <v>34.868894289185903</v>
      </c>
      <c r="AE192" s="728">
        <f t="shared" si="129"/>
        <v>37.406329113924045</v>
      </c>
      <c r="AF192" s="728">
        <f t="shared" si="129"/>
        <v>36.598317594036416</v>
      </c>
      <c r="AG192" s="728"/>
      <c r="AH192" s="728">
        <f t="shared" ref="AH192:AK193" si="130">AH20</f>
        <v>36.200000000000003</v>
      </c>
      <c r="AI192" s="728">
        <f t="shared" si="130"/>
        <v>36.299999999999997</v>
      </c>
      <c r="AJ192" s="728">
        <f t="shared" si="130"/>
        <v>76.900000000000006</v>
      </c>
      <c r="AK192" s="728">
        <f t="shared" si="130"/>
        <v>106.8</v>
      </c>
      <c r="AM192" s="728">
        <f t="shared" ref="AM192:AO193" si="131">AM20</f>
        <v>107.4</v>
      </c>
      <c r="AN192" s="728">
        <f t="shared" si="131"/>
        <v>108</v>
      </c>
      <c r="AO192" s="728">
        <f t="shared" si="131"/>
        <v>109.2</v>
      </c>
      <c r="AP192" s="728">
        <f t="shared" ref="AP192:AR192" si="132">AP20</f>
        <v>116.7</v>
      </c>
      <c r="AR192" s="728">
        <f t="shared" si="132"/>
        <v>129.19999999999999</v>
      </c>
      <c r="AS192" s="728">
        <f t="shared" ref="AS192:AT192" si="133">AS20</f>
        <v>135.19999999999999</v>
      </c>
      <c r="AT192" s="728">
        <f t="shared" si="133"/>
        <v>134.6</v>
      </c>
      <c r="AU192" s="728">
        <f t="shared" ref="AU192:AZ192" si="134">AU20</f>
        <v>148.9</v>
      </c>
      <c r="AV192" s="481"/>
      <c r="AW192" s="728">
        <f t="shared" ref="AW192:AY193" si="135">AW20</f>
        <v>152.30000000000001</v>
      </c>
      <c r="AX192" s="728">
        <f t="shared" si="135"/>
        <v>147.19999999999999</v>
      </c>
      <c r="AY192" s="728">
        <f t="shared" si="135"/>
        <v>145.5</v>
      </c>
      <c r="AZ192" s="728">
        <f t="shared" si="134"/>
        <v>142.03287333112166</v>
      </c>
      <c r="BA192" s="481"/>
      <c r="BB192" s="728"/>
      <c r="BC192" s="728"/>
      <c r="BD192" s="728"/>
      <c r="BE192" s="728"/>
      <c r="BF192" s="481"/>
    </row>
    <row r="193" spans="2:63" ht="15.75">
      <c r="B193" s="810" t="s">
        <v>1417</v>
      </c>
      <c r="G193" s="729"/>
      <c r="H193" s="729"/>
      <c r="I193" s="729"/>
      <c r="J193" s="729"/>
      <c r="K193" s="729"/>
      <c r="L193" s="729"/>
      <c r="M193" s="729"/>
      <c r="N193" s="729"/>
      <c r="O193" s="729"/>
      <c r="P193" s="729"/>
      <c r="Q193" s="729"/>
      <c r="R193" s="729"/>
      <c r="S193" s="729">
        <f>S21</f>
        <v>-1.1000000000000085</v>
      </c>
      <c r="T193" s="729">
        <f>T21</f>
        <v>-21.500000000000028</v>
      </c>
      <c r="U193" s="729">
        <f>U21</f>
        <v>-1.6000000000000227</v>
      </c>
      <c r="V193" s="729">
        <f>V21</f>
        <v>-2</v>
      </c>
      <c r="W193" s="728"/>
      <c r="X193" s="729">
        <f t="shared" si="128"/>
        <v>-1.3999999999999488</v>
      </c>
      <c r="Y193" s="729">
        <f t="shared" si="128"/>
        <v>-1.9000000000000199</v>
      </c>
      <c r="Z193" s="729">
        <f t="shared" si="128"/>
        <v>-1.7999999999999829</v>
      </c>
      <c r="AA193" s="729">
        <f t="shared" si="128"/>
        <v>-2.5000000000000995</v>
      </c>
      <c r="AB193" s="728"/>
      <c r="AC193" s="729">
        <f t="shared" si="129"/>
        <v>-2.3000000000000114</v>
      </c>
      <c r="AD193" s="729">
        <f t="shared" si="129"/>
        <v>-3.0999999999999375</v>
      </c>
      <c r="AE193" s="729">
        <f t="shared" si="129"/>
        <v>-2.1999999999999886</v>
      </c>
      <c r="AF193" s="729">
        <f t="shared" si="129"/>
        <v>-0.30000000000001137</v>
      </c>
      <c r="AG193" s="728"/>
      <c r="AH193" s="729">
        <f t="shared" si="130"/>
        <v>0.30000000000011084</v>
      </c>
      <c r="AI193" s="729">
        <f t="shared" si="130"/>
        <v>0.20000000000005969</v>
      </c>
      <c r="AJ193" s="729">
        <f t="shared" si="130"/>
        <v>-0.40000000000000568</v>
      </c>
      <c r="AK193" s="729">
        <f t="shared" si="130"/>
        <v>0</v>
      </c>
      <c r="AM193" s="729">
        <f t="shared" si="131"/>
        <v>-18.100000000000051</v>
      </c>
      <c r="AN193" s="729">
        <f t="shared" si="131"/>
        <v>-18.60000000000025</v>
      </c>
      <c r="AO193" s="729">
        <f t="shared" si="131"/>
        <v>-17.399999999999991</v>
      </c>
      <c r="AP193" s="729">
        <f t="shared" ref="AP193:AR193" si="136">AP21</f>
        <v>-22.399999999999991</v>
      </c>
      <c r="AR193" s="729">
        <f t="shared" si="136"/>
        <v>-18.800000000000068</v>
      </c>
      <c r="AS193" s="729">
        <f t="shared" ref="AS193:AT193" si="137">AS21</f>
        <v>-19.900000000000034</v>
      </c>
      <c r="AT193" s="729">
        <f t="shared" si="137"/>
        <v>-23.400000000000006</v>
      </c>
      <c r="AU193" s="729">
        <f t="shared" ref="AU193:AZ193" si="138">AU21</f>
        <v>-24.400000000000006</v>
      </c>
      <c r="AV193" s="481"/>
      <c r="AW193" s="729">
        <f t="shared" si="135"/>
        <v>-22.399999999999977</v>
      </c>
      <c r="AX193" s="729">
        <f t="shared" si="135"/>
        <v>-22.400000000000034</v>
      </c>
      <c r="AY193" s="729">
        <f t="shared" si="135"/>
        <v>-21.9</v>
      </c>
      <c r="AZ193" s="729">
        <f t="shared" si="138"/>
        <v>-19.799999999999081</v>
      </c>
      <c r="BA193" s="481"/>
      <c r="BB193" s="729"/>
      <c r="BC193" s="729"/>
      <c r="BD193" s="729"/>
      <c r="BE193" s="729"/>
      <c r="BF193" s="481"/>
    </row>
    <row r="194" spans="2:63" ht="15.75">
      <c r="B194" s="810" t="s">
        <v>90</v>
      </c>
      <c r="G194" s="730">
        <f>Quarts!C580</f>
        <v>919.9</v>
      </c>
      <c r="H194" s="730">
        <f>Quarts!D580</f>
        <v>909.4</v>
      </c>
      <c r="I194" s="730">
        <f>Quarts!E580</f>
        <v>904.8</v>
      </c>
      <c r="J194" s="730">
        <f>Quarts!F580</f>
        <v>904.2</v>
      </c>
      <c r="K194" s="730">
        <f>Quarts!G580</f>
        <v>908.90000000000009</v>
      </c>
      <c r="L194" s="730">
        <f>Quarts!H580</f>
        <v>891.8</v>
      </c>
      <c r="M194" s="730">
        <f>Quarts!I580</f>
        <v>894.10000000000014</v>
      </c>
      <c r="N194" s="730">
        <v>922.9</v>
      </c>
      <c r="O194" s="730">
        <v>910.9</v>
      </c>
      <c r="P194" s="730">
        <f>921-6/2</f>
        <v>918</v>
      </c>
      <c r="Q194" s="730">
        <v>908</v>
      </c>
      <c r="R194" s="730">
        <v>850.1</v>
      </c>
      <c r="S194" s="730">
        <v>910</v>
      </c>
      <c r="T194" s="730">
        <v>922</v>
      </c>
      <c r="U194" s="846">
        <f>925-11</f>
        <v>914</v>
      </c>
      <c r="V194" s="730">
        <f>V22</f>
        <v>949</v>
      </c>
      <c r="W194" s="728"/>
      <c r="X194" s="730">
        <f>X190+X191+X192+X193</f>
        <v>943</v>
      </c>
      <c r="Y194" s="730">
        <f>Y190+Y191+Y192+Y193</f>
        <v>983.00000000000011</v>
      </c>
      <c r="Z194" s="730">
        <f>Z190+Z191+Z192+Z193</f>
        <v>966.8</v>
      </c>
      <c r="AA194" s="730">
        <f>AA190+AA191+AA192+AA193</f>
        <v>975</v>
      </c>
      <c r="AB194" s="728"/>
      <c r="AC194" s="730">
        <f>AC190+AC191+AC192+AC193</f>
        <v>931</v>
      </c>
      <c r="AD194" s="730">
        <f>AD190+AD191+AD192+AD193</f>
        <v>849</v>
      </c>
      <c r="AE194" s="730">
        <f>AE190+AE191+AE192+AE193</f>
        <v>888</v>
      </c>
      <c r="AF194" s="730">
        <f>AF190+AF191+AF192+AF193</f>
        <v>1097</v>
      </c>
      <c r="AG194" s="728"/>
      <c r="AH194" s="730">
        <f>AH190+AH191+AH192+AH193</f>
        <v>1159.9000000000003</v>
      </c>
      <c r="AI194" s="730">
        <f>AI190+AI191+AI192+AI193</f>
        <v>1168</v>
      </c>
      <c r="AJ194" s="730">
        <f>AJ190+AJ191+AJ192+AJ193</f>
        <v>1192</v>
      </c>
      <c r="AK194" s="730">
        <f>AK190+AK191+AK192+AK193</f>
        <v>1279.0999999999999</v>
      </c>
      <c r="AM194" s="730">
        <f>AM190+AM191+AM192+AM193</f>
        <v>1219</v>
      </c>
      <c r="AN194" s="730">
        <f>AN190+AN191+AN192+AN193</f>
        <v>1218</v>
      </c>
      <c r="AO194" s="730">
        <f>AO190+AO191+AO192+AO193</f>
        <v>1222</v>
      </c>
      <c r="AP194" s="730">
        <f>AP190+AP191+AP192+AP193</f>
        <v>1160.7</v>
      </c>
      <c r="AR194" s="730">
        <f>AR190+AR191+AR192+AR193</f>
        <v>1104</v>
      </c>
      <c r="AS194" s="730">
        <f>AS190+AS191+AS192+AS193</f>
        <v>1123</v>
      </c>
      <c r="AT194" s="730">
        <f>AT190+AT191+AT192+AT193</f>
        <v>1125.7999999999997</v>
      </c>
      <c r="AU194" s="730">
        <f>AU190+AU191+AU192+AU193</f>
        <v>1164</v>
      </c>
      <c r="AV194" s="481"/>
      <c r="AW194" s="730">
        <f>AW190+AW191+AW192+AW193</f>
        <v>1099</v>
      </c>
      <c r="AX194" s="730">
        <f>AX190+AX191+AX192+AX193</f>
        <v>1118</v>
      </c>
      <c r="AY194" s="730">
        <f>AY190+AY191+AY192+AY193</f>
        <v>1089.5999999999999</v>
      </c>
      <c r="AZ194" s="730">
        <f t="shared" ref="AZ194" si="139">AZ22</f>
        <v>1162.78063103462</v>
      </c>
      <c r="BA194" s="481"/>
      <c r="BB194" s="730"/>
      <c r="BC194" s="730"/>
      <c r="BD194" s="730"/>
      <c r="BE194" s="730"/>
      <c r="BF194" s="481"/>
    </row>
    <row r="195" spans="2:63" ht="15.75">
      <c r="B195" s="809"/>
      <c r="G195" s="728"/>
      <c r="H195" s="728"/>
      <c r="I195" s="728"/>
      <c r="J195" s="728"/>
      <c r="K195" s="811"/>
      <c r="L195" s="811"/>
      <c r="M195" s="811"/>
      <c r="N195" s="603"/>
      <c r="O195" s="812"/>
      <c r="P195" s="812"/>
      <c r="Q195" s="812"/>
      <c r="R195" s="812"/>
      <c r="S195" s="812"/>
      <c r="T195" s="812"/>
      <c r="U195" s="850"/>
      <c r="V195" s="850"/>
      <c r="AV195" s="53"/>
      <c r="BA195" s="53"/>
      <c r="BF195" s="53"/>
    </row>
    <row r="196" spans="2:63" ht="15.75">
      <c r="B196" s="813" t="s">
        <v>935</v>
      </c>
      <c r="G196" s="728"/>
      <c r="H196" s="728"/>
      <c r="I196" s="728"/>
      <c r="J196" s="728"/>
      <c r="K196" s="728"/>
      <c r="L196" s="728"/>
      <c r="M196" s="809"/>
      <c r="N196" s="603"/>
      <c r="O196" s="603"/>
      <c r="Q196" s="6"/>
      <c r="R196" s="6"/>
      <c r="S196" s="6"/>
      <c r="T196" s="6"/>
      <c r="U196" s="6"/>
      <c r="V196" s="6"/>
      <c r="X196" s="731"/>
      <c r="Y196" s="731"/>
      <c r="Z196" s="731"/>
      <c r="AA196" s="731"/>
      <c r="AC196" s="731">
        <f>AC17/X17-1</f>
        <v>3.2994032994033029E-2</v>
      </c>
      <c r="AD196" s="731">
        <f>AD17/Y17-1</f>
        <v>-0.15051104516979896</v>
      </c>
      <c r="AE196" s="731">
        <f>AE17/Z17-1</f>
        <v>-9.5653633159926144E-2</v>
      </c>
      <c r="AF196" s="731">
        <f>AF17/AA17-1</f>
        <v>-9.7537265068049273E-2</v>
      </c>
      <c r="AH196" s="731"/>
      <c r="AI196" s="731">
        <f>AI17/AD17-1</f>
        <v>9.0238695905297872E-2</v>
      </c>
      <c r="AJ196" s="731">
        <f>AJ17/AE17-1</f>
        <v>4.5462980144739262E-2</v>
      </c>
      <c r="AK196" s="731">
        <f>AK17/AF17-1</f>
        <v>0.11579892280071813</v>
      </c>
      <c r="AM196" s="731">
        <f>AM17/AH17-1</f>
        <v>6.8503080826386453E-2</v>
      </c>
      <c r="AN196" s="731">
        <f>AN17/AI17-1</f>
        <v>9.3805624777501428E-2</v>
      </c>
      <c r="AO196" s="731">
        <f>AO17/AJ17-1</f>
        <v>0.12442314518991848</v>
      </c>
      <c r="AP196" s="731">
        <f>AP17/AK17-1</f>
        <v>0.11456154465004031</v>
      </c>
      <c r="AR196" s="731">
        <f>AR17/AM17-1</f>
        <v>6.4789687924016404E-2</v>
      </c>
      <c r="AS196" s="731">
        <f>AS17/AN17-1</f>
        <v>6.7046379170056625E-2</v>
      </c>
      <c r="AT196" s="731">
        <f>AT17/AO17-1</f>
        <v>4.719810576164174E-2</v>
      </c>
      <c r="AU196" s="731">
        <f>AU17/AP17-1</f>
        <v>-9.6722968095857009E-3</v>
      </c>
      <c r="AV196" s="731"/>
      <c r="AW196" s="731">
        <f>AW17/AR17-1</f>
        <v>2.2459381968779724E-2</v>
      </c>
      <c r="AX196" s="731">
        <f>AX17/AS17-1</f>
        <v>4.4075034314473127E-2</v>
      </c>
      <c r="AY196" s="731">
        <f>AY17/AT17-1</f>
        <v>-8.4413626771179251E-3</v>
      </c>
      <c r="AZ196" s="731">
        <f>AZ17/AU17-1</f>
        <v>2.8345419392853177E-2</v>
      </c>
      <c r="BA196" s="731"/>
      <c r="BB196" s="731"/>
      <c r="BC196" s="731"/>
      <c r="BD196" s="731"/>
      <c r="BE196" s="731"/>
      <c r="BF196" s="731"/>
    </row>
    <row r="197" spans="2:63" ht="15.75">
      <c r="B197" s="813"/>
      <c r="G197" s="728"/>
      <c r="H197" s="728"/>
      <c r="I197" s="728"/>
      <c r="J197" s="728"/>
      <c r="K197" s="728"/>
      <c r="L197" s="728"/>
      <c r="M197" s="809"/>
      <c r="N197" s="603"/>
      <c r="O197" s="603"/>
      <c r="Q197" s="6"/>
      <c r="R197" s="6"/>
      <c r="S197" s="6"/>
      <c r="T197" s="6"/>
      <c r="U197" s="6"/>
      <c r="V197" s="6"/>
      <c r="X197" s="731"/>
      <c r="Y197" s="731"/>
      <c r="Z197" s="731"/>
      <c r="AA197" s="731"/>
      <c r="AC197" s="731">
        <f>15/X17</f>
        <v>2.6325026325026327E-2</v>
      </c>
      <c r="AD197" s="731">
        <f>14/Y17</f>
        <v>2.3079459281239695E-2</v>
      </c>
      <c r="AE197" s="731">
        <f>14/Z17</f>
        <v>2.3493874811209934E-2</v>
      </c>
      <c r="AF197" s="731">
        <f>9/Z17</f>
        <v>1.5103205235777815E-2</v>
      </c>
      <c r="AG197" s="728"/>
      <c r="AH197" s="731"/>
      <c r="AI197" s="731"/>
      <c r="AJ197" s="731"/>
      <c r="AK197" s="731"/>
      <c r="AM197" s="731"/>
      <c r="AN197" s="731"/>
      <c r="AO197" s="731"/>
      <c r="AP197" s="731"/>
      <c r="AR197" s="731"/>
      <c r="AS197" s="731"/>
      <c r="AT197" s="731"/>
      <c r="AU197" s="731"/>
      <c r="AV197" s="53"/>
      <c r="AW197" s="731"/>
      <c r="AX197" s="731"/>
      <c r="AY197" s="731"/>
      <c r="AZ197" s="731"/>
      <c r="BA197" s="53"/>
      <c r="BB197" s="731"/>
      <c r="BC197" s="731"/>
      <c r="BD197" s="731"/>
      <c r="BE197" s="731"/>
      <c r="BF197" s="53"/>
    </row>
    <row r="198" spans="2:63" ht="15.75">
      <c r="B198" s="813"/>
      <c r="G198" s="728"/>
      <c r="H198" s="728"/>
      <c r="I198" s="728"/>
      <c r="J198" s="728"/>
      <c r="K198" s="728"/>
      <c r="L198" s="728"/>
      <c r="M198" s="809"/>
      <c r="N198" s="603"/>
      <c r="O198" s="603"/>
      <c r="Q198" s="6"/>
      <c r="R198" s="6"/>
      <c r="S198" s="6"/>
      <c r="T198" s="6"/>
      <c r="U198" s="6"/>
      <c r="V198" s="6"/>
      <c r="X198" s="731"/>
      <c r="Y198" s="731"/>
      <c r="Z198" s="731"/>
      <c r="AA198" s="731"/>
      <c r="AC198" s="731">
        <f>-32/X17</f>
        <v>-5.6160056160056163E-2</v>
      </c>
      <c r="AD198" s="731"/>
      <c r="AE198" s="731"/>
      <c r="AF198" s="731"/>
      <c r="AG198" s="728"/>
      <c r="AH198" s="731"/>
      <c r="AI198" s="731"/>
      <c r="AJ198" s="731"/>
      <c r="AK198" s="731"/>
      <c r="AM198" s="731"/>
      <c r="AN198" s="731"/>
      <c r="AO198" s="731"/>
      <c r="AP198" s="731"/>
      <c r="AR198" s="731"/>
      <c r="AS198" s="731"/>
      <c r="AT198" s="731"/>
      <c r="AU198" s="731"/>
      <c r="AV198" s="53"/>
      <c r="AW198" s="731"/>
      <c r="AX198" s="731"/>
      <c r="AY198" s="731"/>
      <c r="AZ198" s="731"/>
      <c r="BA198" s="53"/>
      <c r="BB198" s="731"/>
      <c r="BC198" s="731"/>
      <c r="BD198" s="731"/>
      <c r="BE198" s="731"/>
      <c r="BF198" s="53"/>
    </row>
    <row r="199" spans="2:63" ht="15.75">
      <c r="B199" s="813"/>
      <c r="G199" s="728"/>
      <c r="H199" s="728"/>
      <c r="I199" s="728"/>
      <c r="J199" s="728"/>
      <c r="K199" s="728"/>
      <c r="L199" s="728"/>
      <c r="M199" s="809"/>
      <c r="N199" s="603"/>
      <c r="O199" s="603"/>
      <c r="Q199" s="6"/>
      <c r="R199" s="6"/>
      <c r="S199" s="6"/>
      <c r="T199" s="6"/>
      <c r="U199" s="6"/>
      <c r="V199" s="6"/>
      <c r="X199" s="731"/>
      <c r="Y199" s="731"/>
      <c r="Z199" s="731"/>
      <c r="AA199" s="731"/>
      <c r="AC199" s="731">
        <f>-AC62</f>
        <v>8.8267044648446744E-3</v>
      </c>
      <c r="AD199" s="731">
        <f>-AD62</f>
        <v>9.9212496330120126E-3</v>
      </c>
      <c r="AE199" s="731">
        <f>-AE62</f>
        <v>1.2193474066804036E-2</v>
      </c>
      <c r="AF199" s="731">
        <f>-AF62</f>
        <v>9.2719179151430249E-3</v>
      </c>
      <c r="AG199" s="728"/>
      <c r="AH199" s="731"/>
      <c r="AI199" s="731">
        <f>-AI62</f>
        <v>1.2048933954248905E-2</v>
      </c>
      <c r="AJ199" s="731">
        <f>-AJ62</f>
        <v>8.2901479879494474E-3</v>
      </c>
      <c r="AK199" s="731">
        <f>-AK62</f>
        <v>1.0370828948183001E-2</v>
      </c>
      <c r="AM199" s="731">
        <f>-AM62</f>
        <v>9.9736340638721735E-3</v>
      </c>
      <c r="AN199" s="731">
        <f>-AN62</f>
        <v>4.984351385848961E-3</v>
      </c>
      <c r="AO199" s="731">
        <f>-AO62</f>
        <v>-3.9570860120851021E-4</v>
      </c>
      <c r="AP199" s="731">
        <f>-AP62</f>
        <v>3.0713028171440123E-4</v>
      </c>
      <c r="AR199" s="731">
        <f>-AR62</f>
        <v>-1.9887935877336347E-3</v>
      </c>
      <c r="AS199" s="731">
        <f>-AS62</f>
        <v>-1.0287214149146213E-3</v>
      </c>
      <c r="AT199" s="731">
        <f>-AT62</f>
        <v>2.5734094038228693E-3</v>
      </c>
      <c r="AU199" s="731">
        <f>-AU62</f>
        <v>7.2067564238877579E-4</v>
      </c>
      <c r="AV199" s="731"/>
      <c r="AW199" s="731">
        <f>-AW62</f>
        <v>1.8072273275555018E-3</v>
      </c>
      <c r="AX199" s="731">
        <f>-AX62</f>
        <v>2.4545674382812428E-3</v>
      </c>
      <c r="AY199" s="731">
        <f>-AY62</f>
        <v>2.5827638694063439E-3</v>
      </c>
      <c r="AZ199" s="731"/>
      <c r="BA199" s="731"/>
      <c r="BB199" s="731"/>
      <c r="BC199" s="731"/>
      <c r="BD199" s="731"/>
      <c r="BE199" s="731"/>
      <c r="BF199" s="731"/>
    </row>
    <row r="200" spans="2:63" ht="15.75">
      <c r="B200" s="813"/>
      <c r="G200" s="728"/>
      <c r="H200" s="728"/>
      <c r="I200" s="728"/>
      <c r="J200" s="728"/>
      <c r="K200" s="728"/>
      <c r="L200" s="728"/>
      <c r="M200" s="809"/>
      <c r="N200" s="603"/>
      <c r="O200" s="603"/>
      <c r="Q200" s="6"/>
      <c r="R200" s="6"/>
      <c r="S200" s="6"/>
      <c r="T200" s="6"/>
      <c r="U200" s="6"/>
      <c r="V200" s="6"/>
      <c r="X200" s="731"/>
      <c r="Y200" s="731"/>
      <c r="Z200" s="731"/>
      <c r="AA200" s="731"/>
      <c r="AC200" s="732">
        <f>AC201-SUM(AC196:AC199)</f>
        <v>4.0142923761521329E-3</v>
      </c>
      <c r="AD200" s="732">
        <f>AD201-SUM(AD196:AD199)</f>
        <v>2.5103362555472519E-3</v>
      </c>
      <c r="AE200" s="732">
        <f>AE201-SUM(AE196:AE199)</f>
        <v>-3.3715718087821978E-5</v>
      </c>
      <c r="AF200" s="732">
        <f>AF201-SUM(AF196:AF199)</f>
        <v>-6.8378580828715729E-3</v>
      </c>
      <c r="AG200" s="728"/>
      <c r="AH200" s="732"/>
      <c r="AI200" s="732"/>
      <c r="AJ200" s="732"/>
      <c r="AK200" s="732"/>
      <c r="AM200" s="732"/>
      <c r="AN200" s="732"/>
      <c r="AO200" s="732"/>
      <c r="AP200" s="732"/>
      <c r="AR200" s="732"/>
      <c r="AS200" s="732"/>
      <c r="AT200" s="732"/>
      <c r="AU200" s="732"/>
      <c r="AV200" s="50"/>
      <c r="AW200" s="732"/>
      <c r="AX200" s="732"/>
      <c r="AY200" s="732"/>
      <c r="AZ200" s="732"/>
      <c r="BA200" s="53"/>
      <c r="BB200" s="732"/>
      <c r="BC200" s="732"/>
      <c r="BD200" s="732"/>
      <c r="BE200" s="732"/>
      <c r="BF200" s="53"/>
    </row>
    <row r="201" spans="2:63" ht="15.75">
      <c r="B201" s="809" t="str">
        <f>B190</f>
        <v>CWC</v>
      </c>
      <c r="G201" s="728"/>
      <c r="H201" s="731">
        <f>Quarts!V403</f>
        <v>0.04</v>
      </c>
      <c r="I201" s="731">
        <f>Quarts!W403</f>
        <v>4.3010028942586098E-2</v>
      </c>
      <c r="J201" s="731">
        <f>Quarts!X403</f>
        <v>1.0000000000000009E-2</v>
      </c>
      <c r="K201" s="731">
        <f>Quarts!Y403</f>
        <v>-6.502318089943504E-3</v>
      </c>
      <c r="L201" s="731">
        <v>-3.0000000000000001E-3</v>
      </c>
      <c r="M201" s="731">
        <v>-3.6999999999999998E-2</v>
      </c>
      <c r="N201" s="731">
        <v>5.0000000000000001E-3</v>
      </c>
      <c r="O201" s="731">
        <v>-4.1000000000000002E-2</v>
      </c>
      <c r="P201" s="731">
        <f>0.7%-((6/2)/L190)</f>
        <v>1.7780678851174927E-3</v>
      </c>
      <c r="Q201" s="731">
        <v>1.2E-2</v>
      </c>
      <c r="R201" s="731">
        <v>-2.5999999999999999E-2</v>
      </c>
      <c r="S201" s="731">
        <v>-4.0000000000000001E-3</v>
      </c>
      <c r="T201" s="731">
        <v>-7.0000000000000001E-3</v>
      </c>
      <c r="U201" s="731">
        <v>7.0000000000000001E-3</v>
      </c>
      <c r="V201" s="731">
        <v>-4.0000000000000001E-3</v>
      </c>
      <c r="X201" s="731">
        <v>-1.7000000000000001E-2</v>
      </c>
      <c r="Y201" s="731">
        <v>-5.0000000000000001E-3</v>
      </c>
      <c r="Z201" s="731">
        <v>-2.1999999999999999E-2</v>
      </c>
      <c r="AA201" s="731">
        <v>3.3000000000000002E-2</v>
      </c>
      <c r="AC201" s="731">
        <v>1.6E-2</v>
      </c>
      <c r="AD201" s="731">
        <v>-0.115</v>
      </c>
      <c r="AE201" s="731">
        <v>-0.06</v>
      </c>
      <c r="AF201" s="731">
        <v>-0.08</v>
      </c>
      <c r="AG201" s="731"/>
      <c r="AH201" s="731">
        <v>-0.04</v>
      </c>
      <c r="AI201" s="731">
        <v>0.09</v>
      </c>
      <c r="AJ201" s="731">
        <v>0.05</v>
      </c>
      <c r="AK201" s="731">
        <v>0.13</v>
      </c>
      <c r="AM201" s="731">
        <v>0.04</v>
      </c>
      <c r="AN201" s="731">
        <v>0.06</v>
      </c>
      <c r="AO201" s="731">
        <v>0.03</v>
      </c>
      <c r="AP201" s="731">
        <v>0.02</v>
      </c>
      <c r="AR201" s="731">
        <v>0.02</v>
      </c>
      <c r="AS201" s="731">
        <v>0.02</v>
      </c>
      <c r="AT201" s="731">
        <v>0.04</v>
      </c>
      <c r="AU201" s="731">
        <v>-0.01</v>
      </c>
      <c r="AV201" s="731"/>
      <c r="AW201" s="731"/>
      <c r="AX201" s="731"/>
      <c r="AY201" s="731"/>
      <c r="AZ201" s="731"/>
      <c r="BA201" s="731"/>
      <c r="BB201" s="731"/>
      <c r="BC201" s="731"/>
      <c r="BD201" s="731"/>
      <c r="BE201" s="731"/>
      <c r="BF201" s="731"/>
    </row>
    <row r="202" spans="2:63" ht="15.75" outlineLevel="1">
      <c r="B202" s="814" t="s">
        <v>2349</v>
      </c>
      <c r="G202" s="728"/>
      <c r="H202" s="731"/>
      <c r="I202" s="731"/>
      <c r="J202" s="731"/>
      <c r="K202" s="731"/>
      <c r="L202" s="731"/>
      <c r="M202" s="815">
        <f>(M190+10)/I190-1</f>
        <v>-2.936241610738255E-2</v>
      </c>
      <c r="N202" s="815"/>
      <c r="O202" s="603"/>
      <c r="AC202" s="731"/>
      <c r="AD202" s="731"/>
      <c r="AE202" s="731"/>
      <c r="AF202" s="731"/>
      <c r="AH202" s="731"/>
      <c r="AI202" s="731"/>
      <c r="AJ202" s="731"/>
      <c r="AK202" s="731"/>
      <c r="AM202" s="731"/>
      <c r="AN202" s="731"/>
      <c r="AO202" s="731"/>
      <c r="AP202" s="731"/>
      <c r="AR202" s="731"/>
      <c r="AS202" s="731"/>
      <c r="AT202" s="731"/>
      <c r="AU202" s="731"/>
      <c r="AV202" s="640"/>
      <c r="AW202" s="731"/>
      <c r="AX202" s="731"/>
      <c r="AY202" s="731"/>
      <c r="AZ202" s="731"/>
      <c r="BA202" s="640"/>
      <c r="BB202" s="731"/>
      <c r="BC202" s="731"/>
      <c r="BD202" s="731"/>
      <c r="BE202" s="731"/>
      <c r="BF202" s="640"/>
    </row>
    <row r="203" spans="2:63" ht="15.75">
      <c r="B203" s="809" t="s">
        <v>468</v>
      </c>
      <c r="G203" s="728"/>
      <c r="H203" s="731">
        <f>'LiLAC valuation'!BU266</f>
        <v>7.0403764705882388E-2</v>
      </c>
      <c r="I203" s="731">
        <f>'LiLAC valuation'!BV266</f>
        <v>7.0519349845201473E-2</v>
      </c>
      <c r="J203" s="731">
        <f>'LiLAC valuation'!BW266</f>
        <v>8.4967667404812541E-2</v>
      </c>
      <c r="K203" s="731">
        <f>'LiLAC valuation'!BX266</f>
        <v>7.5978511128165671E-2</v>
      </c>
      <c r="L203" s="731">
        <f>'LiLAC valuation'!BY266</f>
        <v>4.4694294577350968E-2</v>
      </c>
      <c r="M203" s="731">
        <f>'LiLAC valuation'!BZ266</f>
        <v>5.9210721337622285E-2</v>
      </c>
      <c r="N203" s="731">
        <f>'LiLAC valuation'!CA266</f>
        <v>6.241813594942669E-2</v>
      </c>
      <c r="O203" s="731">
        <v>7.0999999999999994E-2</v>
      </c>
      <c r="P203" s="731">
        <v>7.5999999999999998E-2</v>
      </c>
      <c r="Q203" s="731">
        <v>6.0999999999999999E-2</v>
      </c>
      <c r="R203" s="731">
        <v>4.7E-2</v>
      </c>
      <c r="S203" s="731">
        <v>5.8000000000000003E-2</v>
      </c>
      <c r="T203" s="731">
        <v>5.3999999999999999E-2</v>
      </c>
      <c r="U203" s="731">
        <v>4.9000000000000002E-2</v>
      </c>
      <c r="V203" s="731">
        <v>3.5999999999999997E-2</v>
      </c>
      <c r="X203" s="731">
        <v>2.5000000000000001E-2</v>
      </c>
      <c r="Y203" s="731">
        <v>2.3E-2</v>
      </c>
      <c r="Z203" s="731">
        <v>1.7999999999999999E-2</v>
      </c>
      <c r="AA203" s="731">
        <v>1.2999999999999999E-2</v>
      </c>
      <c r="AB203" s="731"/>
      <c r="AC203" s="731">
        <v>1.7999999999999999E-2</v>
      </c>
      <c r="AD203" s="731">
        <v>-0.04</v>
      </c>
      <c r="AE203" s="731">
        <v>-5.1999999999999998E-2</v>
      </c>
      <c r="AF203" s="731">
        <v>-5.0999999999999997E-2</v>
      </c>
      <c r="AG203" s="731"/>
      <c r="AH203" s="731">
        <v>-0.08</v>
      </c>
      <c r="AI203" s="731">
        <v>-0.06</v>
      </c>
      <c r="AJ203" s="731">
        <v>-0.05</v>
      </c>
      <c r="AK203" s="731">
        <v>-0.08</v>
      </c>
      <c r="AM203" s="731">
        <v>-0.09</v>
      </c>
      <c r="AN203" s="731">
        <v>-0.16</v>
      </c>
      <c r="AO203" s="731">
        <v>-0.19</v>
      </c>
      <c r="AP203" s="731"/>
      <c r="AR203" s="731"/>
      <c r="AS203" s="731"/>
      <c r="AT203" s="731"/>
      <c r="AU203" s="731"/>
      <c r="AV203" s="56"/>
      <c r="AW203" s="731"/>
      <c r="AX203" s="731"/>
      <c r="AY203" s="731"/>
      <c r="AZ203" s="731"/>
      <c r="BA203" s="56"/>
      <c r="BB203" s="731"/>
      <c r="BC203" s="731"/>
      <c r="BD203" s="731"/>
      <c r="BE203" s="731"/>
      <c r="BF203" s="56"/>
    </row>
    <row r="204" spans="2:63" ht="15.75">
      <c r="B204" s="810" t="s">
        <v>469</v>
      </c>
      <c r="G204" s="729"/>
      <c r="H204" s="732">
        <f>'LiLAC valuation'!BU351</f>
        <v>8.6161879895561233E-2</v>
      </c>
      <c r="I204" s="732">
        <f>'LiLAC valuation'!BV351</f>
        <v>7.3394495412844041E-2</v>
      </c>
      <c r="J204" s="732">
        <f>'LiLAC valuation'!BW351</f>
        <v>4.5859872611464958E-2</v>
      </c>
      <c r="K204" s="732">
        <f>'LiLAC valuation'!BX351</f>
        <v>3.03797468354432E-2</v>
      </c>
      <c r="L204" s="732">
        <f>'LiLAC valuation'!BY351</f>
        <v>1.4423076923077094E-2</v>
      </c>
      <c r="M204" s="732">
        <f>'LiLAC valuation'!BZ351</f>
        <v>2.870813397129135E-3</v>
      </c>
      <c r="N204" s="732">
        <f>'LiLAC valuation'!CA351</f>
        <v>9.5147478591828261E-4</v>
      </c>
      <c r="O204" s="732">
        <v>2.7E-2</v>
      </c>
      <c r="P204" s="732">
        <v>1.2999999999999999E-2</v>
      </c>
      <c r="Q204" s="732">
        <v>-0.155</v>
      </c>
      <c r="R204" s="732">
        <v>-0.83899999999999997</v>
      </c>
      <c r="S204" s="732">
        <v>-0.42</v>
      </c>
      <c r="T204" s="732">
        <v>-0.25800000000000001</v>
      </c>
      <c r="U204" s="848">
        <f>12.4%-(11/'LiLAC valuation'!T351)</f>
        <v>-1.5349887133184192E-4</v>
      </c>
      <c r="V204" s="732">
        <f>'LiLAC valuation'!Y351/'LiLAC valuation'!U351-1</f>
        <v>4.5562130177514799</v>
      </c>
      <c r="X204" s="732">
        <v>0.59499999999999997</v>
      </c>
      <c r="Y204" s="732">
        <v>0.249</v>
      </c>
      <c r="Z204" s="732">
        <v>0.02</v>
      </c>
      <c r="AA204" s="732">
        <v>0.09</v>
      </c>
      <c r="AB204" s="731"/>
      <c r="AC204" s="732">
        <v>3.2000000000000001E-2</v>
      </c>
      <c r="AD204" s="732">
        <v>5.0999999999999997E-2</v>
      </c>
      <c r="AE204" s="732">
        <v>9.7000000000000003E-2</v>
      </c>
      <c r="AF204" s="732">
        <v>0.14599999999999999</v>
      </c>
      <c r="AG204" s="731"/>
      <c r="AH204" s="732">
        <v>0.14000000000000001</v>
      </c>
      <c r="AI204" s="732">
        <v>0.11</v>
      </c>
      <c r="AJ204" s="732">
        <v>0.02</v>
      </c>
      <c r="AK204" s="732">
        <v>0.02</v>
      </c>
      <c r="AM204" s="732">
        <v>0.01</v>
      </c>
      <c r="AN204" s="732">
        <v>0</v>
      </c>
      <c r="AO204" s="732">
        <v>0.02</v>
      </c>
      <c r="AP204" s="732">
        <v>0</v>
      </c>
      <c r="AR204" s="732">
        <v>0</v>
      </c>
      <c r="AS204" s="732">
        <v>-0.03</v>
      </c>
      <c r="AT204" s="732">
        <v>-0.04</v>
      </c>
      <c r="AU204" s="732"/>
      <c r="AV204" s="56"/>
      <c r="AW204" s="732"/>
      <c r="AX204" s="732"/>
      <c r="AY204" s="732"/>
      <c r="AZ204" s="732"/>
      <c r="BA204" s="56"/>
      <c r="BB204" s="732"/>
      <c r="BC204" s="732"/>
      <c r="BD204" s="732"/>
      <c r="BE204" s="732"/>
      <c r="BF204" s="56"/>
    </row>
    <row r="205" spans="2:63" ht="15.75">
      <c r="B205" s="809" t="s">
        <v>90</v>
      </c>
      <c r="G205" s="728"/>
      <c r="H205" s="731"/>
      <c r="I205" s="731"/>
      <c r="J205" s="731"/>
      <c r="K205" s="731">
        <f>K194/G194-1</f>
        <v>-1.195782150233704E-2</v>
      </c>
      <c r="L205" s="731">
        <f>L194/H194-1</f>
        <v>-1.9353419837255359E-2</v>
      </c>
      <c r="M205" s="731">
        <f>M194/I194-1</f>
        <v>-1.1825817860300458E-2</v>
      </c>
      <c r="N205" s="731">
        <f>N194/J194-1</f>
        <v>2.0681265206812682E-2</v>
      </c>
      <c r="O205" s="731">
        <v>-8.0000000000000002E-3</v>
      </c>
      <c r="P205" s="731">
        <f>2.4%-((6/2)/L194)</f>
        <v>2.0636017044180312E-2</v>
      </c>
      <c r="Q205" s="731">
        <v>4.0000000000000001E-3</v>
      </c>
      <c r="R205" s="731">
        <v>-9.9000000000000005E-2</v>
      </c>
      <c r="S205" s="731">
        <v>-3.5000000000000003E-2</v>
      </c>
      <c r="T205" s="731">
        <v>-2.1000000000000001E-2</v>
      </c>
      <c r="U205" s="849">
        <f>3%-(11/Q194)</f>
        <v>1.7885462555066078E-2</v>
      </c>
      <c r="V205" s="849">
        <f>10.3%-(32.6/R194)</f>
        <v>6.4651570403481948E-2</v>
      </c>
      <c r="X205" s="731">
        <v>0.04</v>
      </c>
      <c r="Y205" s="731">
        <v>2.7E-2</v>
      </c>
      <c r="Z205" s="731">
        <v>-6.0000000000000001E-3</v>
      </c>
      <c r="AA205" s="731">
        <v>3.2000000000000001E-2</v>
      </c>
      <c r="AB205" s="731"/>
      <c r="AC205" s="731">
        <v>1.6E-2</v>
      </c>
      <c r="AD205" s="731">
        <v>-7.6999999999999999E-2</v>
      </c>
      <c r="AE205" s="731">
        <v>-3.5999999999999997E-2</v>
      </c>
      <c r="AF205" s="731">
        <v>-1.4E-2</v>
      </c>
      <c r="AG205" s="731"/>
      <c r="AH205" s="731">
        <v>0</v>
      </c>
      <c r="AI205" s="731">
        <v>0.08</v>
      </c>
      <c r="AJ205" s="731">
        <v>0.03</v>
      </c>
      <c r="AK205" s="731">
        <v>0.06</v>
      </c>
      <c r="AM205" s="731">
        <v>0.01</v>
      </c>
      <c r="AN205" s="731">
        <v>0.01</v>
      </c>
      <c r="AO205" s="731">
        <v>0.01</v>
      </c>
      <c r="AP205" s="731">
        <v>0.01</v>
      </c>
      <c r="AR205" s="731">
        <v>0.01</v>
      </c>
      <c r="AS205" s="731">
        <v>0</v>
      </c>
      <c r="AT205" s="731">
        <v>0.01</v>
      </c>
      <c r="AU205" s="731"/>
      <c r="AV205" s="56"/>
      <c r="AW205" s="731"/>
      <c r="AX205" s="731"/>
      <c r="AY205" s="731"/>
      <c r="AZ205" s="731"/>
      <c r="BA205" s="56"/>
      <c r="BB205" s="731"/>
      <c r="BC205" s="731"/>
      <c r="BD205" s="731"/>
      <c r="BE205" s="731"/>
      <c r="BF205" s="56"/>
    </row>
    <row r="206" spans="2:63" ht="15.75">
      <c r="B206" s="809"/>
      <c r="G206" s="728"/>
      <c r="H206" s="731"/>
      <c r="I206" s="731"/>
      <c r="J206" s="731"/>
      <c r="K206" s="731"/>
      <c r="L206" s="731"/>
      <c r="M206" s="731"/>
      <c r="N206" s="731"/>
      <c r="O206" s="731"/>
      <c r="P206" s="731"/>
      <c r="Q206" s="731"/>
      <c r="R206" s="731"/>
      <c r="S206" s="731"/>
      <c r="T206" s="731"/>
      <c r="U206" s="849"/>
      <c r="V206" s="849"/>
      <c r="X206" s="731"/>
      <c r="Y206" s="731"/>
      <c r="Z206" s="731"/>
      <c r="AA206" s="731"/>
      <c r="AB206" s="731"/>
      <c r="AC206" s="731"/>
      <c r="AD206" s="731"/>
      <c r="AE206" s="731"/>
      <c r="AF206" s="731"/>
      <c r="AG206" s="731"/>
      <c r="AH206" s="731"/>
      <c r="AI206" s="731"/>
      <c r="AJ206" s="731"/>
      <c r="AK206" s="731"/>
      <c r="AL206" s="6"/>
      <c r="AM206" s="731"/>
      <c r="AN206" s="731"/>
      <c r="AO206" s="731"/>
      <c r="AP206" s="731"/>
      <c r="AQ206" s="6"/>
      <c r="AR206" s="731"/>
      <c r="AS206" s="731"/>
      <c r="AT206" s="731"/>
      <c r="AU206" s="731"/>
      <c r="AV206" s="56"/>
      <c r="AW206" s="731"/>
      <c r="AX206" s="731"/>
      <c r="AY206" s="731"/>
      <c r="AZ206" s="731"/>
      <c r="BA206" s="56"/>
      <c r="BB206" s="731"/>
      <c r="BC206" s="731"/>
      <c r="BD206" s="731"/>
      <c r="BE206" s="731"/>
      <c r="BF206" s="56"/>
      <c r="BG206" s="6"/>
      <c r="BH206" s="6"/>
      <c r="BI206" s="6"/>
      <c r="BJ206" s="6"/>
      <c r="BK206" s="6"/>
    </row>
    <row r="207" spans="2:63" ht="15.75">
      <c r="B207" s="53"/>
      <c r="G207" s="481"/>
      <c r="H207" s="481"/>
      <c r="I207" s="481"/>
      <c r="J207" s="481"/>
      <c r="K207" s="481"/>
      <c r="L207" s="481"/>
      <c r="M207" s="481"/>
      <c r="P207" s="6"/>
      <c r="Q207" s="481">
        <v>219.7</v>
      </c>
      <c r="R207" s="6"/>
      <c r="S207" s="6"/>
      <c r="T207" s="6"/>
      <c r="U207" s="6"/>
      <c r="V207" s="6"/>
      <c r="X207" s="731"/>
      <c r="Y207" s="731"/>
      <c r="Z207" s="731"/>
      <c r="AA207" s="731"/>
      <c r="AV207" s="53"/>
      <c r="BA207" s="53"/>
      <c r="BF207" s="53"/>
    </row>
    <row r="208" spans="2:63" ht="15.75">
      <c r="B208" s="636" t="s">
        <v>2346</v>
      </c>
      <c r="G208" s="642" t="str">
        <f t="shared" ref="G208:AF208" si="140">G189</f>
        <v>Q1 15</v>
      </c>
      <c r="H208" s="642" t="str">
        <f t="shared" si="140"/>
        <v>Q2 15</v>
      </c>
      <c r="I208" s="642" t="str">
        <f t="shared" si="140"/>
        <v>Q3 15</v>
      </c>
      <c r="J208" s="642" t="str">
        <f t="shared" si="140"/>
        <v>Q4 15</v>
      </c>
      <c r="K208" s="642" t="str">
        <f t="shared" si="140"/>
        <v>Q1 16</v>
      </c>
      <c r="L208" s="642" t="str">
        <f t="shared" si="140"/>
        <v>Q2 16</v>
      </c>
      <c r="M208" s="642" t="str">
        <f t="shared" si="140"/>
        <v>Q3 16</v>
      </c>
      <c r="N208" s="642" t="str">
        <f t="shared" si="140"/>
        <v>Q4 16</v>
      </c>
      <c r="O208" s="642" t="str">
        <f t="shared" si="140"/>
        <v>Q1 17</v>
      </c>
      <c r="P208" s="642" t="str">
        <f t="shared" si="140"/>
        <v>Q2 17</v>
      </c>
      <c r="Q208" s="642" t="str">
        <f t="shared" si="140"/>
        <v>Q3 17</v>
      </c>
      <c r="R208" s="642" t="str">
        <f t="shared" si="140"/>
        <v>Q4 17</v>
      </c>
      <c r="S208" s="642" t="str">
        <f t="shared" si="140"/>
        <v>Q1 18</v>
      </c>
      <c r="T208" s="642" t="str">
        <f t="shared" si="140"/>
        <v>Q2 18</v>
      </c>
      <c r="U208" s="642" t="str">
        <f t="shared" si="140"/>
        <v>Q3 18</v>
      </c>
      <c r="V208" s="642" t="str">
        <f t="shared" si="140"/>
        <v>Q4 18</v>
      </c>
      <c r="W208" s="642">
        <f t="shared" si="140"/>
        <v>2018</v>
      </c>
      <c r="X208" s="642" t="str">
        <f t="shared" si="140"/>
        <v>Q1 19</v>
      </c>
      <c r="Y208" s="642" t="str">
        <f t="shared" si="140"/>
        <v>Q2 19</v>
      </c>
      <c r="Z208" s="642" t="str">
        <f t="shared" si="140"/>
        <v>Q3 19</v>
      </c>
      <c r="AA208" s="642" t="str">
        <f t="shared" si="140"/>
        <v>Q4 19</v>
      </c>
      <c r="AB208" s="642">
        <f t="shared" si="140"/>
        <v>2019</v>
      </c>
      <c r="AC208" s="642" t="str">
        <f t="shared" si="140"/>
        <v>Q1 20</v>
      </c>
      <c r="AD208" s="642" t="str">
        <f t="shared" si="140"/>
        <v>Q2 20</v>
      </c>
      <c r="AE208" s="642" t="str">
        <f t="shared" si="140"/>
        <v>Q3 20</v>
      </c>
      <c r="AF208" s="642" t="str">
        <f t="shared" si="140"/>
        <v>Q4 20</v>
      </c>
      <c r="AG208" s="642">
        <f>AG189</f>
        <v>2020</v>
      </c>
      <c r="AH208" s="642" t="str">
        <f>AH189</f>
        <v>Q1 21</v>
      </c>
      <c r="AI208" s="642" t="str">
        <f>AI189</f>
        <v>Q2 21</v>
      </c>
      <c r="AJ208" s="642" t="str">
        <f>AJ189</f>
        <v>Q3 21</v>
      </c>
      <c r="AK208" s="642" t="str">
        <f>AK189</f>
        <v>Q4 21</v>
      </c>
      <c r="AM208" s="642" t="str">
        <f>AM189</f>
        <v>Q1 22</v>
      </c>
      <c r="AN208" s="642" t="str">
        <f>AN189</f>
        <v>Q2 22</v>
      </c>
      <c r="AO208" s="642" t="str">
        <f>AO189</f>
        <v>Q3 22</v>
      </c>
      <c r="AP208" s="642" t="str">
        <f>AP189</f>
        <v>Q4 22</v>
      </c>
      <c r="AR208" s="642" t="str">
        <f>AR189</f>
        <v>Q1 23</v>
      </c>
      <c r="AS208" s="642" t="str">
        <f>AS189</f>
        <v>Q2 23</v>
      </c>
      <c r="AT208" s="642" t="str">
        <f>AT189</f>
        <v>Q3 23</v>
      </c>
      <c r="AU208" s="642" t="str">
        <f>AU189</f>
        <v>Q4 23</v>
      </c>
      <c r="AV208" s="642"/>
      <c r="AW208" s="642" t="str">
        <f t="shared" ref="AW208:AZ208" si="141">AW189</f>
        <v>Q1 24</v>
      </c>
      <c r="AX208" s="642" t="str">
        <f t="shared" si="141"/>
        <v>Q2 24</v>
      </c>
      <c r="AY208" s="642" t="str">
        <f t="shared" si="141"/>
        <v>Q3 24</v>
      </c>
      <c r="AZ208" s="642" t="str">
        <f t="shared" si="141"/>
        <v>Q4 24e</v>
      </c>
      <c r="BA208" s="816"/>
      <c r="BB208" s="642"/>
      <c r="BC208" s="642"/>
      <c r="BD208" s="642"/>
      <c r="BE208" s="642"/>
      <c r="BF208" s="816"/>
    </row>
    <row r="209" spans="2:58" ht="15.75">
      <c r="B209" s="53" t="s">
        <v>2525</v>
      </c>
      <c r="G209" s="53"/>
      <c r="H209" s="481">
        <f t="shared" ref="H209:M209" si="142">H211-H210</f>
        <v>199.3</v>
      </c>
      <c r="I209" s="481">
        <f t="shared" si="142"/>
        <v>211.4</v>
      </c>
      <c r="J209" s="481">
        <f t="shared" si="142"/>
        <v>223.2</v>
      </c>
      <c r="K209" s="481">
        <f t="shared" si="142"/>
        <v>267.8</v>
      </c>
      <c r="L209" s="481">
        <f t="shared" si="142"/>
        <v>201.4</v>
      </c>
      <c r="M209" s="481">
        <f t="shared" si="142"/>
        <v>215</v>
      </c>
      <c r="N209" s="481">
        <v>226</v>
      </c>
      <c r="O209" s="481">
        <v>213</v>
      </c>
      <c r="P209" s="749">
        <f>224.1-6/2-4</f>
        <v>217.1</v>
      </c>
      <c r="Q209" s="847">
        <v>223.9</v>
      </c>
      <c r="R209" s="818">
        <f>215.2+9+3</f>
        <v>227.2</v>
      </c>
      <c r="S209" s="481">
        <v>229.1</v>
      </c>
      <c r="T209" s="481">
        <v>223.6</v>
      </c>
      <c r="U209" s="481">
        <v>226.5</v>
      </c>
      <c r="V209" s="749">
        <f>236.5-13</f>
        <v>223.5</v>
      </c>
      <c r="X209" s="481">
        <v>222.5</v>
      </c>
      <c r="Y209" s="481"/>
      <c r="Z209" s="481"/>
      <c r="AA209" s="481"/>
      <c r="AV209" s="53"/>
      <c r="BA209" s="53"/>
      <c r="BF209" s="53"/>
    </row>
    <row r="210" spans="2:58" ht="15.75">
      <c r="B210" s="50" t="s">
        <v>2348</v>
      </c>
      <c r="G210" s="50"/>
      <c r="H210" s="50">
        <v>4.4000000000000004</v>
      </c>
      <c r="I210" s="50">
        <v>17.899999999999999</v>
      </c>
      <c r="J210" s="50">
        <v>19.899999999999999</v>
      </c>
      <c r="K210" s="50">
        <v>0.3</v>
      </c>
      <c r="L210" s="50">
        <v>0</v>
      </c>
      <c r="M210" s="50">
        <v>0</v>
      </c>
      <c r="N210" s="50">
        <v>0</v>
      </c>
      <c r="O210" s="50">
        <v>0</v>
      </c>
      <c r="P210" s="50">
        <v>0</v>
      </c>
      <c r="Q210" s="50">
        <v>0</v>
      </c>
      <c r="R210" s="50">
        <v>0</v>
      </c>
      <c r="S210" s="50">
        <v>0</v>
      </c>
      <c r="T210" s="50">
        <v>0</v>
      </c>
      <c r="U210" s="50">
        <v>0</v>
      </c>
      <c r="V210" s="50">
        <v>0</v>
      </c>
      <c r="X210" s="50">
        <v>0</v>
      </c>
      <c r="Y210" s="50"/>
      <c r="Z210" s="50"/>
      <c r="AA210" s="50"/>
      <c r="AC210" s="3"/>
      <c r="AD210" s="3"/>
      <c r="AE210" s="3"/>
      <c r="AF210" s="3"/>
      <c r="AH210" s="3"/>
      <c r="AI210" s="3"/>
      <c r="AJ210" s="3"/>
      <c r="AK210" s="3"/>
      <c r="AM210" s="3"/>
      <c r="AN210" s="3"/>
      <c r="AO210" s="3"/>
      <c r="AP210" s="3"/>
      <c r="AR210" s="3"/>
      <c r="AS210" s="3"/>
      <c r="AT210" s="3"/>
      <c r="AU210" s="3"/>
      <c r="AV210" s="50"/>
      <c r="AW210" s="3"/>
      <c r="AX210" s="3"/>
      <c r="AY210" s="3"/>
      <c r="AZ210" s="3"/>
      <c r="BA210" s="53"/>
      <c r="BB210" s="3"/>
      <c r="BC210" s="3"/>
      <c r="BD210" s="3"/>
      <c r="BE210" s="3"/>
      <c r="BF210" s="53"/>
    </row>
    <row r="211" spans="2:58" ht="15.75">
      <c r="B211" s="53" t="s">
        <v>2347</v>
      </c>
      <c r="G211" s="481"/>
      <c r="H211" s="481">
        <f>Quarts!D591</f>
        <v>203.70000000000002</v>
      </c>
      <c r="I211" s="481">
        <f>Quarts!E591</f>
        <v>229.3</v>
      </c>
      <c r="J211" s="481">
        <f>Quarts!F591</f>
        <v>243.1</v>
      </c>
      <c r="K211" s="481">
        <f>Quarts!G591</f>
        <v>268.10000000000002</v>
      </c>
      <c r="L211" s="481">
        <f>Quarts!H591</f>
        <v>201.4</v>
      </c>
      <c r="M211" s="481">
        <f>Quarts!I591</f>
        <v>215</v>
      </c>
      <c r="N211" s="481">
        <f t="shared" ref="N211:V211" si="143">N209+N210</f>
        <v>226</v>
      </c>
      <c r="O211" s="481">
        <f t="shared" si="143"/>
        <v>213</v>
      </c>
      <c r="P211" s="481">
        <f t="shared" si="143"/>
        <v>217.1</v>
      </c>
      <c r="Q211" s="481">
        <f t="shared" si="143"/>
        <v>223.9</v>
      </c>
      <c r="R211" s="481">
        <f t="shared" si="143"/>
        <v>227.2</v>
      </c>
      <c r="S211" s="481">
        <f t="shared" si="143"/>
        <v>229.1</v>
      </c>
      <c r="T211" s="481">
        <f t="shared" si="143"/>
        <v>223.6</v>
      </c>
      <c r="U211" s="481">
        <f t="shared" si="143"/>
        <v>226.5</v>
      </c>
      <c r="V211" s="481">
        <f t="shared" si="143"/>
        <v>223.5</v>
      </c>
      <c r="W211" s="481"/>
      <c r="X211" s="481">
        <f>X209+X210</f>
        <v>222.5</v>
      </c>
      <c r="Y211" s="481">
        <v>235.4</v>
      </c>
      <c r="Z211" s="481">
        <v>236.2</v>
      </c>
      <c r="AA211" s="749">
        <f>265.6-17.5</f>
        <v>248.10000000000002</v>
      </c>
      <c r="AB211" s="481"/>
      <c r="AC211" s="481">
        <v>232.8</v>
      </c>
      <c r="AD211" s="481">
        <v>203.6</v>
      </c>
      <c r="AE211" s="481">
        <v>220.4</v>
      </c>
      <c r="AF211" s="749">
        <f>182.2+51.4-4</f>
        <v>229.6</v>
      </c>
      <c r="AG211" s="481"/>
      <c r="AH211" s="481">
        <f>181.3+44</f>
        <v>225.3</v>
      </c>
      <c r="AI211" s="481">
        <f>188+45.6</f>
        <v>233.6</v>
      </c>
      <c r="AJ211" s="481">
        <f>181.6+47.9</f>
        <v>229.5</v>
      </c>
      <c r="AK211" s="481">
        <f>196.2+62.6</f>
        <v>258.8</v>
      </c>
      <c r="AM211" s="481">
        <f>192.5+40.5</f>
        <v>233</v>
      </c>
      <c r="AN211" s="481">
        <f>209.6+44.4</f>
        <v>254</v>
      </c>
      <c r="AO211" s="481">
        <f>AO294</f>
        <v>238.3</v>
      </c>
      <c r="AP211" s="481">
        <f>AP294</f>
        <v>275</v>
      </c>
      <c r="AR211" s="481">
        <f>AR294</f>
        <v>247.29999999999998</v>
      </c>
      <c r="AS211" s="481">
        <f>AS294</f>
        <v>277.5</v>
      </c>
      <c r="AT211" s="481">
        <f>AT294</f>
        <v>273.10000000000002</v>
      </c>
      <c r="AU211" s="481">
        <f>AU294</f>
        <v>288.3</v>
      </c>
      <c r="AV211" s="481"/>
      <c r="AW211" s="481">
        <f t="shared" ref="AW211:AZ211" si="144">AW294</f>
        <v>266.60000000000002</v>
      </c>
      <c r="AX211" s="481">
        <f t="shared" si="144"/>
        <v>284.89999999999998</v>
      </c>
      <c r="AY211" s="481">
        <f t="shared" si="144"/>
        <v>285.7</v>
      </c>
      <c r="AZ211" s="481">
        <f t="shared" si="144"/>
        <v>284.78419841410692</v>
      </c>
      <c r="BA211" s="481"/>
      <c r="BB211" s="481"/>
      <c r="BC211" s="481"/>
      <c r="BD211" s="481"/>
      <c r="BE211" s="481"/>
      <c r="BF211" s="481"/>
    </row>
    <row r="212" spans="2:58" ht="15.75">
      <c r="B212" s="53" t="s">
        <v>2523</v>
      </c>
      <c r="G212" s="481"/>
      <c r="H212" s="621">
        <v>-0.5</v>
      </c>
      <c r="I212" s="621">
        <v>2.2999999999999998</v>
      </c>
      <c r="J212" s="621">
        <v>-1</v>
      </c>
      <c r="K212" s="621">
        <v>1.2</v>
      </c>
      <c r="L212" s="481"/>
      <c r="M212" s="481"/>
      <c r="N212" s="481"/>
      <c r="Q212" s="5"/>
      <c r="R212" s="5"/>
      <c r="S212" s="5"/>
      <c r="T212" s="5"/>
      <c r="U212" s="5"/>
      <c r="V212" s="5"/>
      <c r="AF212" s="731"/>
      <c r="AG212" s="731"/>
      <c r="AH212" s="731"/>
      <c r="AI212" s="731"/>
      <c r="AJ212" s="731"/>
      <c r="AK212" s="731"/>
      <c r="AV212" s="481"/>
      <c r="BA212" s="481"/>
      <c r="BF212" s="481"/>
    </row>
    <row r="213" spans="2:58" ht="15.75">
      <c r="B213" s="50" t="s">
        <v>2524</v>
      </c>
      <c r="G213" s="638"/>
      <c r="H213" s="622">
        <v>-2.7</v>
      </c>
      <c r="I213" s="622">
        <v>-4.9000000000000004</v>
      </c>
      <c r="J213" s="622">
        <v>-4.5</v>
      </c>
      <c r="K213" s="622">
        <v>15.6</v>
      </c>
      <c r="L213" s="638"/>
      <c r="M213" s="638"/>
      <c r="N213" s="638"/>
      <c r="O213" s="638"/>
      <c r="P213" s="638"/>
      <c r="Q213" s="638"/>
      <c r="R213" s="638"/>
      <c r="S213" s="638"/>
      <c r="T213" s="638"/>
      <c r="U213" s="638"/>
      <c r="V213" s="638"/>
      <c r="AV213" s="481"/>
      <c r="BA213" s="481"/>
      <c r="BF213" s="481"/>
    </row>
    <row r="214" spans="2:58" ht="15.75">
      <c r="B214" s="481">
        <f>'LiLAC valuation'!E356</f>
        <v>0</v>
      </c>
      <c r="G214" s="481"/>
      <c r="H214" s="481">
        <f>H211+H212+H213</f>
        <v>200.50000000000003</v>
      </c>
      <c r="I214" s="481">
        <f>I211+I212+I213</f>
        <v>226.70000000000002</v>
      </c>
      <c r="J214" s="481">
        <f>J211+J212+J213</f>
        <v>237.6</v>
      </c>
      <c r="K214" s="481">
        <f>K211+K212+K213</f>
        <v>284.90000000000003</v>
      </c>
      <c r="L214" s="481"/>
      <c r="M214" s="481"/>
      <c r="N214" s="481"/>
      <c r="AV214" s="481"/>
      <c r="BA214" s="481"/>
      <c r="BF214" s="481"/>
    </row>
    <row r="215" spans="2:58" ht="15.75">
      <c r="B215" s="53"/>
      <c r="G215" s="53"/>
      <c r="H215" s="53"/>
      <c r="I215" s="53"/>
      <c r="J215" s="53"/>
      <c r="K215" s="53"/>
      <c r="L215" s="53"/>
      <c r="M215" s="53"/>
      <c r="AV215" s="53"/>
      <c r="BA215" s="53"/>
      <c r="BF215" s="53"/>
    </row>
    <row r="216" spans="2:58" ht="15.75">
      <c r="B216" s="53" t="s">
        <v>3946</v>
      </c>
      <c r="G216" s="53"/>
      <c r="H216" s="53"/>
      <c r="I216" s="53"/>
      <c r="J216" s="53"/>
      <c r="K216" s="53"/>
      <c r="L216" s="53"/>
      <c r="M216" s="53"/>
      <c r="S216" s="481">
        <f>S190-S211</f>
        <v>356.4</v>
      </c>
      <c r="T216" s="481">
        <f>T190-T211</f>
        <v>360.1</v>
      </c>
      <c r="U216" s="481">
        <f>U190-U211</f>
        <v>354.6</v>
      </c>
      <c r="V216" s="481">
        <f>V190-V211</f>
        <v>359.29999999999995</v>
      </c>
      <c r="X216" s="481">
        <f>X190-X211</f>
        <v>347.29999999999995</v>
      </c>
      <c r="Y216" s="481">
        <f>Y190-Y211</f>
        <v>371.20000000000005</v>
      </c>
      <c r="Z216" s="481">
        <f>Z190-Z211</f>
        <v>359.7</v>
      </c>
      <c r="AA216" s="481">
        <f>AA190-AA211</f>
        <v>369.1</v>
      </c>
      <c r="AC216" s="481">
        <f>AC190-AC211</f>
        <v>355.8</v>
      </c>
      <c r="AD216" s="481">
        <f>AD190-AD211</f>
        <v>311.69999999999993</v>
      </c>
      <c r="AE216" s="481">
        <f>AE190-AE211</f>
        <v>318.5</v>
      </c>
      <c r="AF216" s="481">
        <f>AF190-AF211</f>
        <v>327.39999999999998</v>
      </c>
      <c r="AH216" s="481">
        <f>AH190-AH211</f>
        <v>326.49999999999994</v>
      </c>
      <c r="AI216" s="481">
        <f>AI190-AI211</f>
        <v>328.19999999999993</v>
      </c>
      <c r="AJ216" s="481">
        <f>AJ190-AJ211</f>
        <v>333.9</v>
      </c>
      <c r="AK216" s="481">
        <f>AK190-AK211</f>
        <v>362.7</v>
      </c>
      <c r="AM216" s="481">
        <f>AM190-AM211</f>
        <v>356.6</v>
      </c>
      <c r="AN216" s="481">
        <f>AN190-AN211</f>
        <v>360.50000000000023</v>
      </c>
      <c r="AO216" s="481">
        <f>AO190-AO211</f>
        <v>395.2</v>
      </c>
      <c r="AP216" s="481">
        <f>AP190-AP211</f>
        <v>417.70000000000005</v>
      </c>
      <c r="AR216" s="481">
        <f>AR190-AR211</f>
        <v>380.50000000000011</v>
      </c>
      <c r="AS216" s="481">
        <f>AS190-AS211</f>
        <v>378.20000000000005</v>
      </c>
      <c r="AT216" s="481">
        <f>AT190-AT211</f>
        <v>390.29999999999995</v>
      </c>
      <c r="AU216" s="481">
        <f>AU190-AU211</f>
        <v>397.7</v>
      </c>
      <c r="AV216" s="481"/>
      <c r="AW216" s="481">
        <f>AW190-AW211</f>
        <v>375.29999999999995</v>
      </c>
      <c r="AX216" s="481">
        <f>AX190-AX211</f>
        <v>399.70000000000005</v>
      </c>
      <c r="AY216" s="481">
        <f>AY190-AY211</f>
        <v>372.09999999999997</v>
      </c>
      <c r="AZ216" s="481">
        <f>AZ190-AZ211</f>
        <v>420.66075928939034</v>
      </c>
      <c r="BA216" s="481"/>
      <c r="BB216" s="481"/>
      <c r="BC216" s="481"/>
      <c r="BD216" s="481"/>
      <c r="BE216" s="481"/>
      <c r="BF216" s="481"/>
    </row>
    <row r="217" spans="2:58" ht="15.75">
      <c r="B217" s="53" t="s">
        <v>4914</v>
      </c>
      <c r="G217" s="53"/>
      <c r="H217" s="53"/>
      <c r="I217" s="53"/>
      <c r="J217" s="53"/>
      <c r="K217" s="53"/>
      <c r="L217" s="53"/>
      <c r="M217" s="53"/>
      <c r="X217" s="481"/>
      <c r="Y217" s="481"/>
      <c r="Z217" s="481"/>
      <c r="AA217" s="481"/>
      <c r="AC217" s="481">
        <f>AC216+5-10</f>
        <v>350.8</v>
      </c>
      <c r="AD217" s="481">
        <f>AD216</f>
        <v>311.69999999999993</v>
      </c>
      <c r="AE217" s="481">
        <f>AE216</f>
        <v>318.5</v>
      </c>
      <c r="AF217" s="481">
        <f>AF216</f>
        <v>327.39999999999998</v>
      </c>
      <c r="AH217" s="481"/>
      <c r="AI217" s="481"/>
      <c r="AJ217" s="481"/>
      <c r="AK217" s="481"/>
      <c r="AM217" s="481"/>
      <c r="AN217" s="481"/>
      <c r="AO217" s="481"/>
      <c r="AP217" s="481"/>
      <c r="AR217" s="481"/>
      <c r="AS217" s="481"/>
      <c r="AT217" s="481"/>
      <c r="AU217" s="481"/>
      <c r="AV217" s="53"/>
      <c r="AW217" s="481"/>
      <c r="AX217" s="481"/>
      <c r="AY217" s="481"/>
      <c r="AZ217" s="481"/>
      <c r="BA217" s="53"/>
      <c r="BB217" s="481"/>
      <c r="BC217" s="481"/>
      <c r="BD217" s="481"/>
      <c r="BE217" s="481"/>
      <c r="BF217" s="53"/>
    </row>
    <row r="218" spans="2:58" ht="15.75">
      <c r="B218" s="53" t="s">
        <v>78</v>
      </c>
      <c r="G218" s="53"/>
      <c r="H218" s="53"/>
      <c r="I218" s="53"/>
      <c r="J218" s="53"/>
      <c r="K218" s="53"/>
      <c r="L218" s="53"/>
      <c r="M218" s="53"/>
      <c r="X218" s="481"/>
      <c r="Y218" s="481"/>
      <c r="Z218" s="481"/>
      <c r="AA218" s="481"/>
      <c r="AC218" s="56">
        <f>AC217/X216-1</f>
        <v>1.0077742585661076E-2</v>
      </c>
      <c r="AD218" s="56">
        <f>AD217/Y216-1</f>
        <v>-0.16029094827586232</v>
      </c>
      <c r="AE218" s="56">
        <f>AE217/Z216-1</f>
        <v>-0.1145398943564081</v>
      </c>
      <c r="AF218" s="56">
        <f>AF217/AA216-1</f>
        <v>-0.11297751286914126</v>
      </c>
      <c r="AH218" s="56"/>
      <c r="AI218" s="56"/>
      <c r="AJ218" s="56"/>
      <c r="AK218" s="56"/>
      <c r="AM218" s="56"/>
      <c r="AN218" s="56"/>
      <c r="AO218" s="56"/>
      <c r="AP218" s="56"/>
      <c r="AR218" s="56"/>
      <c r="AS218" s="56"/>
      <c r="AT218" s="56"/>
      <c r="AU218" s="56"/>
      <c r="AV218" s="53"/>
      <c r="AW218" s="56"/>
      <c r="AX218" s="56"/>
      <c r="AY218" s="56"/>
      <c r="AZ218" s="56"/>
      <c r="BA218" s="53"/>
      <c r="BB218" s="56"/>
      <c r="BC218" s="56"/>
      <c r="BD218" s="56"/>
      <c r="BE218" s="56"/>
      <c r="BF218" s="53"/>
    </row>
    <row r="219" spans="2:58" ht="15.75">
      <c r="B219" s="53"/>
      <c r="G219" s="53"/>
      <c r="H219" s="53"/>
      <c r="I219" s="53"/>
      <c r="J219" s="53"/>
      <c r="K219" s="53"/>
      <c r="L219" s="53"/>
      <c r="M219" s="53"/>
      <c r="AV219" s="53"/>
      <c r="BA219" s="53"/>
      <c r="BF219" s="53"/>
    </row>
    <row r="220" spans="2:58" ht="15.75">
      <c r="B220" s="55" t="s">
        <v>2514</v>
      </c>
      <c r="G220" s="53"/>
      <c r="H220" s="681">
        <f>91+98.9</f>
        <v>189.9</v>
      </c>
      <c r="I220" s="681">
        <f>99.9+102.2</f>
        <v>202.10000000000002</v>
      </c>
      <c r="J220" s="681">
        <f>66+103</f>
        <v>169</v>
      </c>
      <c r="K220" s="681">
        <v>283.2</v>
      </c>
      <c r="L220" s="681">
        <f>56+114.6</f>
        <v>170.6</v>
      </c>
      <c r="M220" s="681">
        <f>57+156.4</f>
        <v>213.4</v>
      </c>
      <c r="N220" s="681">
        <f>-597.6+813.6</f>
        <v>216</v>
      </c>
      <c r="O220" s="681">
        <v>205.2</v>
      </c>
      <c r="P220" s="681">
        <f>643.5-Q220-O220</f>
        <v>216.90000000000003</v>
      </c>
      <c r="Q220" s="681">
        <v>221.4</v>
      </c>
      <c r="R220" s="681"/>
      <c r="S220" s="681"/>
      <c r="T220" s="681"/>
      <c r="U220" s="681">
        <v>231.8</v>
      </c>
      <c r="V220" s="681"/>
      <c r="AV220" s="53"/>
      <c r="BA220" s="53"/>
      <c r="BF220" s="53"/>
    </row>
    <row r="221" spans="2:58" ht="15.75">
      <c r="B221" s="55" t="s">
        <v>2516</v>
      </c>
      <c r="G221" s="53"/>
      <c r="H221" s="681">
        <v>2.2999999999999998</v>
      </c>
      <c r="I221" s="681">
        <v>1</v>
      </c>
      <c r="J221" s="681">
        <v>17.399999999999999</v>
      </c>
      <c r="K221" s="681"/>
      <c r="L221" s="681">
        <v>-19.7</v>
      </c>
      <c r="M221" s="681">
        <v>1.6</v>
      </c>
      <c r="N221" s="681">
        <v>4.5999999999999996</v>
      </c>
      <c r="AV221" s="53"/>
      <c r="BA221" s="53"/>
      <c r="BF221" s="53"/>
    </row>
    <row r="222" spans="2:58" ht="15.75">
      <c r="B222" s="55" t="s">
        <v>2517</v>
      </c>
      <c r="G222" s="53"/>
      <c r="H222" s="681">
        <v>0</v>
      </c>
      <c r="I222" s="681">
        <v>0</v>
      </c>
      <c r="J222" s="681">
        <v>30</v>
      </c>
      <c r="K222" s="681"/>
      <c r="L222" s="681">
        <v>51.5</v>
      </c>
      <c r="M222" s="681">
        <v>1</v>
      </c>
      <c r="N222" s="681">
        <v>0.7</v>
      </c>
      <c r="AV222" s="53"/>
      <c r="BA222" s="53"/>
      <c r="BF222" s="53"/>
    </row>
    <row r="223" spans="2:58" ht="15.75">
      <c r="B223" s="55" t="s">
        <v>2518</v>
      </c>
      <c r="G223" s="53"/>
      <c r="H223" s="681">
        <v>0</v>
      </c>
      <c r="I223" s="681">
        <v>0</v>
      </c>
      <c r="J223" s="681">
        <v>0</v>
      </c>
      <c r="K223" s="681"/>
      <c r="L223" s="681">
        <v>-23.5</v>
      </c>
      <c r="M223" s="681">
        <v>0</v>
      </c>
      <c r="N223" s="681">
        <v>-3.2</v>
      </c>
      <c r="AV223" s="53"/>
      <c r="BA223" s="53"/>
      <c r="BF223" s="53"/>
    </row>
    <row r="224" spans="2:58" ht="15.75">
      <c r="B224" s="55" t="s">
        <v>2519</v>
      </c>
      <c r="G224" s="53"/>
      <c r="H224" s="681">
        <v>0.6</v>
      </c>
      <c r="I224" s="681">
        <v>0.1</v>
      </c>
      <c r="J224" s="681">
        <v>0</v>
      </c>
      <c r="K224" s="681"/>
      <c r="L224" s="681">
        <v>-2</v>
      </c>
      <c r="M224" s="681">
        <v>-8.8000000000000007</v>
      </c>
      <c r="N224" s="681">
        <v>-2.9</v>
      </c>
      <c r="AV224" s="53"/>
      <c r="BA224" s="53"/>
      <c r="BF224" s="53"/>
    </row>
    <row r="225" spans="2:65" ht="15.75">
      <c r="B225" s="55" t="s">
        <v>2520</v>
      </c>
      <c r="G225" s="53"/>
      <c r="H225" s="681">
        <v>0</v>
      </c>
      <c r="I225" s="681">
        <v>1</v>
      </c>
      <c r="J225" s="681">
        <v>-1</v>
      </c>
      <c r="K225" s="681"/>
      <c r="L225" s="681">
        <v>0</v>
      </c>
      <c r="M225" s="681">
        <v>0.1</v>
      </c>
      <c r="N225" s="681">
        <v>-1.2</v>
      </c>
      <c r="AV225" s="53"/>
      <c r="BA225" s="53"/>
      <c r="BF225" s="53"/>
    </row>
    <row r="226" spans="2:65" ht="15.75">
      <c r="B226" s="682" t="s">
        <v>2521</v>
      </c>
      <c r="G226" s="50"/>
      <c r="H226" s="683">
        <v>1.9</v>
      </c>
      <c r="I226" s="683">
        <v>3.2</v>
      </c>
      <c r="J226" s="683">
        <v>2.9</v>
      </c>
      <c r="K226" s="683"/>
      <c r="L226" s="683">
        <v>24.5</v>
      </c>
      <c r="M226" s="683">
        <v>2.7</v>
      </c>
      <c r="N226" s="683">
        <v>1.5</v>
      </c>
      <c r="O226" s="50"/>
      <c r="P226" s="3"/>
      <c r="Q226" s="3"/>
      <c r="R226" s="3"/>
      <c r="S226" s="3"/>
      <c r="T226" s="3"/>
      <c r="U226" s="3"/>
      <c r="V226" s="3"/>
      <c r="AV226" s="53"/>
      <c r="BA226" s="53"/>
      <c r="BF226" s="53"/>
    </row>
    <row r="227" spans="2:65" ht="15.75">
      <c r="B227" s="55" t="s">
        <v>2522</v>
      </c>
      <c r="G227" s="53"/>
      <c r="H227" s="681">
        <f>SUM(H221:H226)</f>
        <v>4.8</v>
      </c>
      <c r="I227" s="681">
        <f>SUM(I221:I226)</f>
        <v>5.3000000000000007</v>
      </c>
      <c r="J227" s="681">
        <f>SUM(J221:J226)</f>
        <v>49.3</v>
      </c>
      <c r="K227" s="681"/>
      <c r="L227" s="681">
        <f>SUM(L221:L226)</f>
        <v>30.8</v>
      </c>
      <c r="M227" s="681">
        <f>SUM(M221:M226)</f>
        <v>-3.4000000000000012</v>
      </c>
      <c r="N227" s="681">
        <f>SUM(N221:N226)</f>
        <v>-0.5</v>
      </c>
      <c r="AQ227" t="s">
        <v>1725</v>
      </c>
      <c r="AR227" s="481">
        <f>AR43/3</f>
        <v>121.93333333333334</v>
      </c>
      <c r="AS227" s="481">
        <f>AS43/3</f>
        <v>117.33333333333333</v>
      </c>
      <c r="AT227" s="481">
        <f>AT43/3</f>
        <v>117.06666666666666</v>
      </c>
      <c r="AU227" s="481">
        <f>AU43/3</f>
        <v>117.83333333333333</v>
      </c>
      <c r="AV227" s="637"/>
      <c r="AW227" s="481">
        <f>AW43/3</f>
        <v>108.96666666666668</v>
      </c>
      <c r="AX227" s="481">
        <f>AX43/3</f>
        <v>102.86666666666667</v>
      </c>
      <c r="AY227" s="481">
        <f>AY43/3</f>
        <v>102.73333333333333</v>
      </c>
      <c r="AZ227" s="481">
        <f>AZ43/3</f>
        <v>111.70093333333335</v>
      </c>
      <c r="BA227" s="53"/>
      <c r="BB227" s="481"/>
      <c r="BC227" s="481"/>
      <c r="BD227" s="481"/>
      <c r="BE227" s="481"/>
      <c r="BF227" s="53"/>
    </row>
    <row r="228" spans="2:65" ht="15.75">
      <c r="B228" s="55" t="s">
        <v>2515</v>
      </c>
      <c r="G228" s="53"/>
      <c r="H228" s="681">
        <f>H220+H227</f>
        <v>194.70000000000002</v>
      </c>
      <c r="I228" s="681">
        <f>I220+I227</f>
        <v>207.40000000000003</v>
      </c>
      <c r="J228" s="681">
        <f>J220+J227</f>
        <v>218.3</v>
      </c>
      <c r="K228" s="681">
        <v>283.3</v>
      </c>
      <c r="L228" s="681">
        <f t="shared" ref="L228:Q228" si="145">L220+L227</f>
        <v>201.4</v>
      </c>
      <c r="M228" s="681">
        <f t="shared" si="145"/>
        <v>210</v>
      </c>
      <c r="N228" s="681">
        <f t="shared" si="145"/>
        <v>215.5</v>
      </c>
      <c r="O228" s="681">
        <f t="shared" si="145"/>
        <v>205.2</v>
      </c>
      <c r="P228" s="681">
        <f t="shared" si="145"/>
        <v>216.90000000000003</v>
      </c>
      <c r="Q228" s="681">
        <f t="shared" si="145"/>
        <v>221.4</v>
      </c>
      <c r="AQ228" t="s">
        <v>7571</v>
      </c>
      <c r="AR228" s="16">
        <f>AR227-AR229</f>
        <v>77.133333333333326</v>
      </c>
      <c r="AS228" s="16">
        <f t="shared" ref="AS228:AU228" si="146">AS227-AS229</f>
        <v>70.23333333333332</v>
      </c>
      <c r="AT228" s="16">
        <f t="shared" si="146"/>
        <v>78.266666666666652</v>
      </c>
      <c r="AU228" s="16">
        <f t="shared" si="146"/>
        <v>83.199999999999989</v>
      </c>
      <c r="AW228" s="16">
        <f>AW227-AW229</f>
        <v>85.933333333333351</v>
      </c>
      <c r="AX228" s="16">
        <f t="shared" ref="AX228:AY228" si="147">AX227-AX229</f>
        <v>79.166666666666671</v>
      </c>
      <c r="AY228" s="16">
        <f t="shared" si="147"/>
        <v>73.333333333333329</v>
      </c>
      <c r="AZ228" s="16">
        <f t="shared" ref="AZ228" si="148">AZ227-AZ229</f>
        <v>79.863376000000002</v>
      </c>
      <c r="BA228" s="53"/>
      <c r="BB228" s="16"/>
      <c r="BC228" s="16"/>
      <c r="BD228" s="16"/>
      <c r="BE228" s="16"/>
      <c r="BF228" s="53"/>
    </row>
    <row r="229" spans="2:65" ht="15.75">
      <c r="B229" s="53" t="s">
        <v>2533</v>
      </c>
      <c r="G229" s="53"/>
      <c r="H229" s="681"/>
      <c r="I229" s="681"/>
      <c r="J229" s="681"/>
      <c r="K229" s="621">
        <f t="shared" ref="K229:Q229" si="149">K211-K228</f>
        <v>-15.199999999999989</v>
      </c>
      <c r="L229" s="621">
        <f t="shared" si="149"/>
        <v>0</v>
      </c>
      <c r="M229" s="621">
        <f t="shared" si="149"/>
        <v>5</v>
      </c>
      <c r="N229" s="621">
        <f t="shared" si="149"/>
        <v>10.5</v>
      </c>
      <c r="O229" s="621">
        <f t="shared" si="149"/>
        <v>7.8000000000000114</v>
      </c>
      <c r="P229" s="621">
        <f t="shared" si="149"/>
        <v>0.19999999999996021</v>
      </c>
      <c r="Q229" s="621">
        <f t="shared" si="149"/>
        <v>2.5</v>
      </c>
      <c r="AQ229" t="s">
        <v>1486</v>
      </c>
      <c r="AR229" s="16">
        <f>AR232/3</f>
        <v>44.800000000000004</v>
      </c>
      <c r="AS229" s="16">
        <f>AS232/3</f>
        <v>47.1</v>
      </c>
      <c r="AT229" s="16">
        <f>AT232/3</f>
        <v>38.800000000000004</v>
      </c>
      <c r="AU229" s="16">
        <f>AU232/3</f>
        <v>34.633333333333333</v>
      </c>
      <c r="AV229" s="53"/>
      <c r="AW229" s="16">
        <f>AW232/3</f>
        <v>23.033333333333331</v>
      </c>
      <c r="AX229" s="16">
        <f>AX232/3</f>
        <v>23.7</v>
      </c>
      <c r="AY229" s="16">
        <f>AY232/3</f>
        <v>29.400000000000002</v>
      </c>
      <c r="AZ229" s="16">
        <f>AZ232/3</f>
        <v>31.837557333333351</v>
      </c>
      <c r="BA229" s="53"/>
      <c r="BB229" s="16"/>
      <c r="BC229" s="16"/>
      <c r="BD229" s="16"/>
      <c r="BE229" s="16"/>
      <c r="BF229" s="53"/>
    </row>
    <row r="230" spans="2:65" ht="15.75">
      <c r="B230" s="55"/>
      <c r="G230" s="53"/>
      <c r="H230" s="681"/>
      <c r="I230" s="681"/>
      <c r="J230" s="681"/>
      <c r="K230" s="681"/>
      <c r="L230" s="681"/>
      <c r="M230" s="681"/>
      <c r="N230" s="681"/>
      <c r="AJ230" s="16"/>
      <c r="AK230" s="16"/>
      <c r="AR230" s="5">
        <f>AR229/AR227</f>
        <v>0.36741388737014763</v>
      </c>
      <c r="AS230" s="5">
        <f t="shared" ref="AS230:AU230" si="150">AS229/AS227</f>
        <v>0.40142045454545455</v>
      </c>
      <c r="AT230" s="5">
        <f t="shared" si="150"/>
        <v>0.33143507972665154</v>
      </c>
      <c r="AU230" s="5">
        <f t="shared" si="150"/>
        <v>0.29391796322489394</v>
      </c>
      <c r="AV230" s="53"/>
      <c r="AW230" s="5">
        <f>AW229/AW227</f>
        <v>0.21137962679718564</v>
      </c>
      <c r="AX230" s="5">
        <f t="shared" ref="AX230:AY230" si="151">AX229/AX227</f>
        <v>0.23039533376539206</v>
      </c>
      <c r="AY230" s="5">
        <f t="shared" si="151"/>
        <v>0.28617780661907855</v>
      </c>
      <c r="AZ230" s="5">
        <f t="shared" ref="AZ230" si="152">AZ229/AZ227</f>
        <v>0.28502498934655285</v>
      </c>
      <c r="BA230" s="53"/>
      <c r="BB230" s="5"/>
      <c r="BC230" s="5"/>
      <c r="BD230" s="5"/>
      <c r="BE230" s="5"/>
      <c r="BF230" s="53"/>
    </row>
    <row r="231" spans="2:65" ht="15.75">
      <c r="B231" s="53"/>
      <c r="G231" s="53"/>
      <c r="H231" s="53"/>
      <c r="I231" s="53"/>
      <c r="J231" s="53"/>
      <c r="K231" s="53"/>
      <c r="L231" s="53"/>
      <c r="M231" s="53"/>
      <c r="BA231" s="53"/>
      <c r="BF231" s="53"/>
    </row>
    <row r="232" spans="2:65" ht="15.75">
      <c r="B232" s="53" t="s">
        <v>6828</v>
      </c>
      <c r="G232" s="53"/>
      <c r="H232" s="481">
        <f>Quarts!D587</f>
        <v>127.59999999999998</v>
      </c>
      <c r="I232" s="481">
        <f>Quarts!E587</f>
        <v>127.80000000000001</v>
      </c>
      <c r="J232" s="481">
        <f>Quarts!F587</f>
        <v>127.4</v>
      </c>
      <c r="K232" s="481">
        <f>Quarts!G587</f>
        <v>121.89999999999999</v>
      </c>
      <c r="L232" s="481">
        <f>Quarts!H587</f>
        <v>128.4</v>
      </c>
      <c r="M232" s="481">
        <f>Quarts!I587</f>
        <v>135</v>
      </c>
      <c r="N232" s="481">
        <f>N236-N211</f>
        <v>142.5</v>
      </c>
      <c r="O232" s="481">
        <f>91.6+51.3-2.1</f>
        <v>140.79999999999998</v>
      </c>
      <c r="P232" s="481">
        <f>P239+P242+P258</f>
        <v>146.1</v>
      </c>
      <c r="Q232" s="481">
        <f>Q239+Q242+Q258</f>
        <v>137.6</v>
      </c>
      <c r="R232" s="481">
        <f>R239+R242+R258</f>
        <v>89.300000000000011</v>
      </c>
      <c r="S232" s="481">
        <f>S239+S242</f>
        <v>123</v>
      </c>
      <c r="T232" s="481">
        <f>T239+T242</f>
        <v>140.80000000000001</v>
      </c>
      <c r="U232" s="481">
        <f>U239+U242</f>
        <v>139.1</v>
      </c>
      <c r="V232" s="481">
        <f>V239+V242</f>
        <v>144</v>
      </c>
      <c r="W232" s="481"/>
      <c r="X232" s="481">
        <f>X239+X242</f>
        <v>142.80000000000001</v>
      </c>
      <c r="Y232" s="481">
        <f>Y239+Y242</f>
        <v>151.9</v>
      </c>
      <c r="Z232" s="481">
        <f>Z239+Z242</f>
        <v>146.30000000000001</v>
      </c>
      <c r="AA232" s="481">
        <f>AA239+AA242</f>
        <v>148.4</v>
      </c>
      <c r="AB232" s="481"/>
      <c r="AC232" s="481">
        <f t="shared" ref="AC232:AM232" si="153">AC239+AC242</f>
        <v>130.21149661132873</v>
      </c>
      <c r="AD232" s="481">
        <f t="shared" si="153"/>
        <v>125.54702308626975</v>
      </c>
      <c r="AE232" s="481">
        <f t="shared" si="153"/>
        <v>136.20126582278482</v>
      </c>
      <c r="AF232" s="481">
        <f t="shared" si="153"/>
        <v>190.53045242343558</v>
      </c>
      <c r="AG232" s="481"/>
      <c r="AH232" s="481">
        <f t="shared" si="153"/>
        <v>220.4</v>
      </c>
      <c r="AI232" s="481">
        <f t="shared" si="153"/>
        <v>230.10000000000002</v>
      </c>
      <c r="AJ232" s="481">
        <f t="shared" si="153"/>
        <v>204.4</v>
      </c>
      <c r="AK232" s="481">
        <f t="shared" si="153"/>
        <v>190.60000000000002</v>
      </c>
      <c r="AM232" s="481">
        <f t="shared" si="153"/>
        <v>190.8</v>
      </c>
      <c r="AN232" s="481">
        <f>AN239+AN242</f>
        <v>186.70000000000002</v>
      </c>
      <c r="AO232" s="481">
        <f>AO239+AO242</f>
        <v>162.69999999999999</v>
      </c>
      <c r="AP232" s="481">
        <f>AP239+AP242</f>
        <v>120.2</v>
      </c>
      <c r="AR232" s="481">
        <f>AR239+AR242</f>
        <v>134.4</v>
      </c>
      <c r="AS232" s="481">
        <f>AS239+AS242</f>
        <v>141.30000000000001</v>
      </c>
      <c r="AT232" s="481">
        <f>AT239+AT242</f>
        <v>116.4</v>
      </c>
      <c r="AU232" s="481">
        <f>AU239+AU242</f>
        <v>103.9</v>
      </c>
      <c r="AV232" s="481"/>
      <c r="AW232" s="481">
        <f>AW239+AW242</f>
        <v>69.099999999999994</v>
      </c>
      <c r="AX232" s="481">
        <f>AX239+AX242</f>
        <v>71.099999999999994</v>
      </c>
      <c r="AY232" s="481">
        <v>88.2</v>
      </c>
      <c r="AZ232" s="481">
        <f>AZ242</f>
        <v>95.512672000000052</v>
      </c>
      <c r="BA232" s="481"/>
      <c r="BB232" s="481">
        <f>BB242</f>
        <v>105</v>
      </c>
      <c r="BC232" s="481">
        <f t="shared" ref="BC232:BE232" si="154">BC242</f>
        <v>115</v>
      </c>
      <c r="BD232" s="481">
        <f t="shared" si="154"/>
        <v>125</v>
      </c>
      <c r="BE232" s="481">
        <f t="shared" si="154"/>
        <v>136.47579900720001</v>
      </c>
      <c r="BF232" s="481"/>
      <c r="BH232" t="s">
        <v>1725</v>
      </c>
    </row>
    <row r="233" spans="2:65" ht="15.75">
      <c r="B233" s="53" t="s">
        <v>3434</v>
      </c>
      <c r="G233" s="53"/>
      <c r="H233" s="481"/>
      <c r="I233" s="481"/>
      <c r="J233" s="481"/>
      <c r="K233" s="481"/>
      <c r="L233" s="481"/>
      <c r="M233" s="481"/>
      <c r="N233" s="481"/>
      <c r="O233" s="481"/>
      <c r="P233" s="481"/>
      <c r="Q233" s="481"/>
      <c r="R233" s="481"/>
      <c r="S233" s="481"/>
      <c r="T233" s="481"/>
      <c r="U233" s="481"/>
      <c r="V233" s="481">
        <v>10</v>
      </c>
      <c r="W233" s="481"/>
      <c r="X233" s="481">
        <v>12</v>
      </c>
      <c r="Y233" s="481">
        <v>12</v>
      </c>
      <c r="Z233" s="481">
        <v>13</v>
      </c>
      <c r="AA233" s="481">
        <f>V233+37.4-X233-Y233-Z233</f>
        <v>10.399999999999999</v>
      </c>
      <c r="AB233" s="481"/>
      <c r="AC233" s="481">
        <f>93.4-'LiLAC valuation'!AD317</f>
        <v>13.688503388671279</v>
      </c>
      <c r="AD233" s="481">
        <f>86.3-'LiLAC valuation'!AE317</f>
        <v>13.152976913730257</v>
      </c>
      <c r="AE233" s="481">
        <f>92.9-'LiLAC valuation'!AF317</f>
        <v>14.798734177215195</v>
      </c>
      <c r="AF233" s="481">
        <f>89.3-'LiLAC valuation'!AG317</f>
        <v>14.669547576564426</v>
      </c>
      <c r="AG233" s="481"/>
      <c r="AH233" s="481">
        <v>14.1</v>
      </c>
      <c r="AI233" s="481">
        <v>12.7</v>
      </c>
      <c r="AJ233" s="481">
        <v>24</v>
      </c>
      <c r="AK233" s="481">
        <v>29.4</v>
      </c>
      <c r="AL233" s="16"/>
      <c r="AM233" s="481">
        <v>30.2</v>
      </c>
      <c r="AN233" s="481">
        <v>35.6</v>
      </c>
      <c r="AO233" s="481">
        <v>32.799999999999997</v>
      </c>
      <c r="AP233" s="481">
        <v>36.1</v>
      </c>
      <c r="AR233" s="481">
        <v>45.2</v>
      </c>
      <c r="AS233" s="481">
        <v>50.1</v>
      </c>
      <c r="AT233" s="481">
        <v>49.9</v>
      </c>
      <c r="AU233" s="481">
        <v>57.9</v>
      </c>
      <c r="AV233" s="481"/>
      <c r="AW233" s="481">
        <v>58.3</v>
      </c>
      <c r="AX233" s="481">
        <v>53.4</v>
      </c>
      <c r="AY233" s="481">
        <v>50.8</v>
      </c>
      <c r="AZ233" s="481">
        <f>Master!P72-AW233-AX233-AY233</f>
        <v>54.702163132514997</v>
      </c>
      <c r="BA233" s="481"/>
      <c r="BB233" s="481"/>
      <c r="BC233" s="481"/>
      <c r="BD233" s="481"/>
      <c r="BE233" s="481"/>
      <c r="BF233" s="481"/>
      <c r="BH233" s="80" t="s">
        <v>1564</v>
      </c>
      <c r="BI233" s="80" t="s">
        <v>4093</v>
      </c>
    </row>
    <row r="234" spans="2:65" ht="15.75">
      <c r="B234" s="53" t="s">
        <v>2888</v>
      </c>
      <c r="G234" s="53"/>
      <c r="H234" s="481"/>
      <c r="I234" s="481"/>
      <c r="J234" s="481"/>
      <c r="K234" s="481"/>
      <c r="L234" s="481"/>
      <c r="M234" s="481"/>
      <c r="N234" s="481"/>
      <c r="O234" s="481"/>
      <c r="P234" s="481"/>
      <c r="Q234" s="481"/>
      <c r="R234" s="481"/>
      <c r="S234" s="481">
        <v>-11.3</v>
      </c>
      <c r="T234" s="481">
        <v>-11</v>
      </c>
      <c r="U234" s="481">
        <v>-12.6</v>
      </c>
      <c r="V234" s="481">
        <v>-11.2</v>
      </c>
      <c r="W234" s="481"/>
      <c r="X234" s="481">
        <v>-11.5</v>
      </c>
      <c r="Y234" s="481">
        <v>-11.9</v>
      </c>
      <c r="Z234" s="481">
        <v>-15.8</v>
      </c>
      <c r="AA234" s="481">
        <v>-15.9</v>
      </c>
      <c r="AB234" s="481"/>
      <c r="AC234" s="481">
        <v>-12.8</v>
      </c>
      <c r="AD234" s="481">
        <v>-9.6999999999999993</v>
      </c>
      <c r="AE234" s="481">
        <v>-11.2</v>
      </c>
      <c r="AF234" s="481">
        <v>-10.8</v>
      </c>
      <c r="AG234" s="481"/>
      <c r="AH234" s="481">
        <v>-10.5</v>
      </c>
      <c r="AI234" s="481">
        <v>-12.5</v>
      </c>
      <c r="AJ234" s="481">
        <v>-14.7</v>
      </c>
      <c r="AK234" s="481">
        <v>-15.2</v>
      </c>
      <c r="AM234" s="481">
        <v>-13.8</v>
      </c>
      <c r="AN234" s="481">
        <v>-12.8</v>
      </c>
      <c r="AO234" s="481">
        <v>-18.8</v>
      </c>
      <c r="AP234" s="481">
        <v>-26.1</v>
      </c>
      <c r="AR234" s="481">
        <v>-20.399999999999999</v>
      </c>
      <c r="AS234" s="481">
        <v>-23.6</v>
      </c>
      <c r="AT234" s="481">
        <v>-11</v>
      </c>
      <c r="AU234" s="481">
        <v>-18.100000000000001</v>
      </c>
      <c r="AV234" s="481"/>
      <c r="AW234" s="481">
        <v>-19.8</v>
      </c>
      <c r="AX234" s="481">
        <v>-20.3</v>
      </c>
      <c r="AY234" s="481">
        <v>-21.6</v>
      </c>
      <c r="AZ234" s="481">
        <f>Master!P73-AW234-AX234-AY234</f>
        <v>-22.300000000000004</v>
      </c>
      <c r="BA234" s="481"/>
      <c r="BB234" s="481"/>
      <c r="BC234" s="481"/>
      <c r="BD234" s="481"/>
      <c r="BE234" s="481"/>
      <c r="BF234" s="481"/>
      <c r="BG234">
        <v>1</v>
      </c>
      <c r="BH234">
        <v>29</v>
      </c>
      <c r="BI234">
        <v>36</v>
      </c>
    </row>
    <row r="235" spans="2:65" ht="15.75">
      <c r="B235" s="50" t="s">
        <v>399</v>
      </c>
      <c r="G235" s="50"/>
      <c r="H235" s="638"/>
      <c r="I235" s="638"/>
      <c r="J235" s="638"/>
      <c r="K235" s="638"/>
      <c r="L235" s="638"/>
      <c r="M235" s="638"/>
      <c r="N235" s="638"/>
      <c r="O235" s="686">
        <v>0</v>
      </c>
      <c r="P235" s="686">
        <v>0</v>
      </c>
      <c r="Q235" s="686">
        <v>0</v>
      </c>
      <c r="R235" s="686">
        <v>0</v>
      </c>
      <c r="S235" s="686"/>
      <c r="T235" s="686"/>
      <c r="U235" s="686"/>
      <c r="V235" s="686"/>
      <c r="W235" s="481"/>
      <c r="X235" s="481"/>
      <c r="Y235" s="481"/>
      <c r="Z235" s="481"/>
      <c r="AA235" s="481"/>
      <c r="AB235" s="481"/>
      <c r="AC235" s="481"/>
      <c r="AD235" s="481"/>
      <c r="AE235" s="481"/>
      <c r="AF235" s="481"/>
      <c r="AG235" s="481"/>
      <c r="AH235" s="481"/>
      <c r="AI235" s="481"/>
      <c r="AJ235" s="481"/>
      <c r="AK235" s="481"/>
      <c r="AM235" s="481"/>
      <c r="AN235" s="481"/>
      <c r="AO235" s="481"/>
      <c r="AP235" s="481"/>
      <c r="AR235" s="481"/>
      <c r="AS235" s="481"/>
      <c r="AT235" s="481"/>
      <c r="AU235" s="481"/>
      <c r="AV235" s="481"/>
      <c r="AW235" s="481"/>
      <c r="AX235" s="481"/>
      <c r="AY235" s="481"/>
      <c r="AZ235" s="481"/>
      <c r="BA235" s="481"/>
      <c r="BB235" s="481"/>
      <c r="BC235" s="481"/>
      <c r="BD235" s="481"/>
      <c r="BE235" s="481"/>
      <c r="BF235" s="481"/>
      <c r="BG235" s="481">
        <v>2</v>
      </c>
      <c r="BH235">
        <v>33</v>
      </c>
      <c r="BI235">
        <v>39</v>
      </c>
    </row>
    <row r="236" spans="2:65" ht="15.75">
      <c r="B236" s="948" t="s">
        <v>2542</v>
      </c>
      <c r="C236" s="12"/>
      <c r="D236" s="12"/>
      <c r="E236" s="12"/>
      <c r="F236" s="12"/>
      <c r="G236" s="948"/>
      <c r="H236" s="1383">
        <f>Quarts!D594</f>
        <v>331.3</v>
      </c>
      <c r="I236" s="1383">
        <f>Quarts!E594</f>
        <v>357.1</v>
      </c>
      <c r="J236" s="1383">
        <f>Quarts!F594</f>
        <v>370.5</v>
      </c>
      <c r="K236" s="1383">
        <f>Quarts!G594</f>
        <v>390</v>
      </c>
      <c r="L236" s="1383">
        <f>Quarts!H594</f>
        <v>329.8</v>
      </c>
      <c r="M236" s="1383">
        <f>Quarts!I594</f>
        <v>350</v>
      </c>
      <c r="N236" s="1384">
        <f>376.5-8</f>
        <v>368.5</v>
      </c>
      <c r="O236" s="1383">
        <v>353.9</v>
      </c>
      <c r="P236" s="1384">
        <f>368-6/2-4</f>
        <v>361</v>
      </c>
      <c r="Q236" s="1383">
        <v>359</v>
      </c>
      <c r="R236" s="1385">
        <f>294.8+9+3</f>
        <v>306.8</v>
      </c>
      <c r="S236" s="1383">
        <f>S232+S211+S235+S234</f>
        <v>340.8</v>
      </c>
      <c r="T236" s="1383">
        <v>353.4</v>
      </c>
      <c r="U236" s="1384">
        <f>364-11</f>
        <v>353</v>
      </c>
      <c r="V236" s="1384">
        <f>428.3-64</f>
        <v>364.3</v>
      </c>
      <c r="W236" s="712"/>
      <c r="X236" s="1383">
        <f>X232+X211+X235+X234+X233</f>
        <v>365.8</v>
      </c>
      <c r="Y236" s="1383">
        <v>387</v>
      </c>
      <c r="Z236" s="1383">
        <v>379.7</v>
      </c>
      <c r="AA236" s="1384">
        <f>408.5-17.5</f>
        <v>391</v>
      </c>
      <c r="AB236" s="712"/>
      <c r="AC236" s="1383">
        <v>363.9</v>
      </c>
      <c r="AD236" s="1383">
        <v>333</v>
      </c>
      <c r="AE236" s="1383">
        <v>360.2</v>
      </c>
      <c r="AF236" s="1384">
        <f>428-4</f>
        <v>424</v>
      </c>
      <c r="AG236" s="712"/>
      <c r="AH236" s="1383">
        <v>449.3</v>
      </c>
      <c r="AI236" s="1383">
        <v>464</v>
      </c>
      <c r="AJ236" s="1383">
        <v>446</v>
      </c>
      <c r="AK236" s="1383">
        <v>469.6</v>
      </c>
      <c r="AM236" s="1383">
        <v>440</v>
      </c>
      <c r="AN236" s="1383">
        <v>463.6</v>
      </c>
      <c r="AO236" s="1383">
        <v>415</v>
      </c>
      <c r="AP236" s="1383">
        <v>405.2</v>
      </c>
      <c r="AQ236" s="12"/>
      <c r="AR236" s="1383">
        <v>406.5</v>
      </c>
      <c r="AS236" s="1383">
        <v>445.3</v>
      </c>
      <c r="AT236" s="1383">
        <v>428.4</v>
      </c>
      <c r="AU236" s="1383">
        <v>431.9</v>
      </c>
      <c r="AV236" s="481"/>
      <c r="AW236" s="1383">
        <v>374.2</v>
      </c>
      <c r="AX236" s="1383">
        <v>389</v>
      </c>
      <c r="AY236" s="1383">
        <v>403.1</v>
      </c>
      <c r="AZ236" s="1383">
        <f t="shared" ref="AZ236" si="155">AZ211+AZ232+AZ233+AZ234</f>
        <v>412.69903354662199</v>
      </c>
      <c r="BA236" s="481"/>
      <c r="BB236" s="1383"/>
      <c r="BC236" s="1383"/>
      <c r="BD236" s="1383"/>
      <c r="BE236" s="1383"/>
      <c r="BF236" s="481"/>
      <c r="BG236">
        <v>3</v>
      </c>
      <c r="BH236" s="64" t="e">
        <f>#REF!-BH234-BH235</f>
        <v>#REF!</v>
      </c>
      <c r="BI236" s="64">
        <f>AZ232-BI234-BI235</f>
        <v>20.512672000000052</v>
      </c>
      <c r="BL236" s="701">
        <v>707.6</v>
      </c>
      <c r="BM236" s="701">
        <v>1084.0999999999999</v>
      </c>
    </row>
    <row r="237" spans="2:65" ht="15.75">
      <c r="B237" s="53"/>
      <c r="G237" s="53"/>
      <c r="H237" s="481"/>
      <c r="I237" s="481"/>
      <c r="J237" s="481"/>
      <c r="K237" s="481"/>
      <c r="L237" s="481"/>
      <c r="M237" s="481"/>
      <c r="N237" s="481"/>
      <c r="O237" s="5"/>
      <c r="P237" s="751"/>
      <c r="Q237" s="751"/>
      <c r="R237" s="751"/>
      <c r="S237" s="812"/>
      <c r="T237" s="812"/>
      <c r="U237" s="812"/>
      <c r="V237" s="812"/>
      <c r="AD237" s="1164">
        <f>AI237/(1+AI279)</f>
        <v>358.18181818181813</v>
      </c>
      <c r="AF237" s="481">
        <f>AF236-56</f>
        <v>368</v>
      </c>
      <c r="AH237" s="481">
        <f>AH236-AH259</f>
        <v>387.3</v>
      </c>
      <c r="AI237" s="481">
        <f>AI236-AI259</f>
        <v>394</v>
      </c>
      <c r="AJ237" s="481">
        <f>AJ236-AJ259</f>
        <v>393</v>
      </c>
      <c r="AK237" s="481">
        <f>AK236-AK259</f>
        <v>419.6</v>
      </c>
      <c r="AM237" s="481">
        <f>AM236-AM259</f>
        <v>384</v>
      </c>
      <c r="AN237" s="481">
        <f>AN236-AN259</f>
        <v>405.6</v>
      </c>
      <c r="AO237" s="481">
        <f>AO236-AO259</f>
        <v>373</v>
      </c>
      <c r="AP237" s="481">
        <f>AP236-AP259</f>
        <v>371.2</v>
      </c>
      <c r="AR237" s="481">
        <f>AR236-AR259</f>
        <v>406.5</v>
      </c>
      <c r="AS237" s="481">
        <f>AS236-AS259</f>
        <v>445.3</v>
      </c>
      <c r="AT237" s="481">
        <f>AT236-AT259</f>
        <v>428.4</v>
      </c>
      <c r="AU237" s="481">
        <f>AU236-AU259</f>
        <v>431.9</v>
      </c>
      <c r="AV237" s="481"/>
      <c r="AW237" s="481">
        <f>AW236-AW259</f>
        <v>374.2</v>
      </c>
      <c r="AX237" s="481">
        <f>AX236-AX259</f>
        <v>389</v>
      </c>
      <c r="AY237" s="481">
        <f>AY236-AY259</f>
        <v>403.1</v>
      </c>
      <c r="AZ237" s="481">
        <f>AZ236-AZ259</f>
        <v>412.69903354662199</v>
      </c>
      <c r="BA237" s="481"/>
      <c r="BB237" s="481"/>
      <c r="BC237" s="481"/>
      <c r="BD237" s="481"/>
      <c r="BE237" s="481"/>
      <c r="BF237" s="481"/>
    </row>
    <row r="238" spans="2:65" ht="15.75">
      <c r="B238" s="53"/>
      <c r="G238" s="53"/>
      <c r="H238" s="481"/>
      <c r="I238" s="481"/>
      <c r="J238" s="481"/>
      <c r="K238" s="481"/>
      <c r="L238" s="481"/>
      <c r="M238" s="481"/>
      <c r="N238" s="481"/>
      <c r="O238" s="5"/>
      <c r="P238" s="751"/>
      <c r="Q238" s="751"/>
      <c r="R238" s="751"/>
      <c r="S238" s="812"/>
      <c r="T238" s="812"/>
      <c r="U238" s="812"/>
      <c r="V238" s="812"/>
      <c r="AF238" s="1093"/>
      <c r="AV238" s="481"/>
      <c r="BA238" s="481"/>
      <c r="BF238" s="481"/>
    </row>
    <row r="239" spans="2:65" ht="15.75">
      <c r="B239" s="53" t="s">
        <v>468</v>
      </c>
      <c r="G239" s="481">
        <f>'LiLAC valuation'!J317</f>
        <v>75.89958117121941</v>
      </c>
      <c r="H239" s="481">
        <f>'LiLAC valuation'!K317</f>
        <v>87.6</v>
      </c>
      <c r="I239" s="481">
        <f>'LiLAC valuation'!L317</f>
        <v>82.5</v>
      </c>
      <c r="J239" s="481">
        <f>'LiLAC valuation'!M317</f>
        <v>82</v>
      </c>
      <c r="K239" s="481">
        <f>'LiLAC valuation'!N317</f>
        <v>76.3</v>
      </c>
      <c r="L239" s="481">
        <f>'LiLAC valuation'!O317</f>
        <v>81.8</v>
      </c>
      <c r="M239" s="481">
        <f>'LiLAC valuation'!P317</f>
        <v>86.9</v>
      </c>
      <c r="N239" s="481">
        <f>'LiLAC valuation'!Q317</f>
        <v>94.3</v>
      </c>
      <c r="O239" s="481">
        <f>'LiLAC valuation'!R317</f>
        <v>91.6</v>
      </c>
      <c r="P239" s="481">
        <f>'LiLAC valuation'!S317</f>
        <v>92.3</v>
      </c>
      <c r="Q239" s="481">
        <f>'LiLAC valuation'!T317</f>
        <v>98</v>
      </c>
      <c r="R239" s="481">
        <f>'LiLAC valuation'!U317</f>
        <v>101.4</v>
      </c>
      <c r="S239" s="481">
        <f>'LiLAC valuation'!V317</f>
        <v>105</v>
      </c>
      <c r="T239" s="481">
        <f>'LiLAC valuation'!W317</f>
        <v>105.1</v>
      </c>
      <c r="U239" s="481">
        <f>'LiLAC valuation'!X317</f>
        <v>100.1</v>
      </c>
      <c r="V239" s="481">
        <f>'LiLAC valuation'!Y317</f>
        <v>100.9</v>
      </c>
      <c r="X239" s="481">
        <f>'LiLAC valuation'!Z317</f>
        <v>94.9</v>
      </c>
      <c r="Y239" s="481">
        <f>'LiLAC valuation'!AA317</f>
        <v>100.3</v>
      </c>
      <c r="Z239" s="481">
        <f>'LiLAC valuation'!AB317</f>
        <v>95.5</v>
      </c>
      <c r="AA239" s="481">
        <f>'LiLAC valuation'!AC317</f>
        <v>95.5</v>
      </c>
      <c r="AB239" s="481"/>
      <c r="AC239" s="481">
        <f>'LiLAC valuation'!AD317</f>
        <v>79.711496611328727</v>
      </c>
      <c r="AD239" s="481">
        <f>'LiLAC valuation'!AE317</f>
        <v>73.147023086269741</v>
      </c>
      <c r="AE239" s="481">
        <f>'LiLAC valuation'!AF317</f>
        <v>78.101265822784811</v>
      </c>
      <c r="AF239" s="481">
        <f>'LiLAC valuation'!AG317</f>
        <v>74.630452423435571</v>
      </c>
      <c r="AG239" s="481"/>
      <c r="AH239" s="481">
        <f>'LiLAC valuation'!AH317</f>
        <v>70.5</v>
      </c>
      <c r="AI239" s="481">
        <f>'LiLAC valuation'!AI317</f>
        <v>68.7</v>
      </c>
      <c r="AJ239" s="481">
        <f>'LiLAC valuation'!AJ317</f>
        <v>65.099999999999994</v>
      </c>
      <c r="AK239" s="481">
        <v>55.3</v>
      </c>
      <c r="AL239" s="53"/>
      <c r="AM239" s="481">
        <f>'LiLAC valuation'!AL317</f>
        <v>46.5</v>
      </c>
      <c r="AN239" s="481">
        <f>'LiLAC valuation'!AM317</f>
        <v>37.9</v>
      </c>
      <c r="AO239" s="481">
        <f>'LiLAC valuation'!AN317</f>
        <v>31.2</v>
      </c>
      <c r="AP239" s="481">
        <v>0</v>
      </c>
      <c r="AR239" s="481">
        <v>0</v>
      </c>
      <c r="AS239" s="481">
        <v>0</v>
      </c>
      <c r="AT239" s="481">
        <v>0</v>
      </c>
      <c r="AU239" s="481">
        <v>0</v>
      </c>
      <c r="AV239" s="53"/>
      <c r="AW239" s="481"/>
      <c r="AX239" s="481"/>
      <c r="AY239" s="481"/>
      <c r="AZ239" s="481"/>
      <c r="BA239" s="53"/>
      <c r="BB239" s="481"/>
      <c r="BC239" s="481"/>
      <c r="BD239" s="481"/>
      <c r="BE239" s="481"/>
      <c r="BF239" s="53"/>
      <c r="BH239" s="80" t="s">
        <v>1564</v>
      </c>
      <c r="BI239" s="80" t="s">
        <v>4093</v>
      </c>
    </row>
    <row r="240" spans="2:65" ht="15.75">
      <c r="B240" s="53"/>
      <c r="G240" s="481"/>
      <c r="H240" s="481"/>
      <c r="I240" s="481"/>
      <c r="J240" s="481"/>
      <c r="K240" s="481"/>
      <c r="L240" s="481"/>
      <c r="M240" s="481"/>
      <c r="N240" s="481"/>
      <c r="O240" s="481"/>
      <c r="P240" s="481"/>
      <c r="Q240" s="481"/>
      <c r="R240" s="481"/>
      <c r="S240" s="481"/>
      <c r="T240" s="481"/>
      <c r="U240" s="481"/>
      <c r="V240" s="481"/>
      <c r="X240" s="481"/>
      <c r="Y240" s="481"/>
      <c r="Z240" s="481"/>
      <c r="AA240" s="481"/>
      <c r="AB240" s="481"/>
      <c r="AC240" s="481"/>
      <c r="AD240" s="481"/>
      <c r="AE240" s="481"/>
      <c r="AF240" s="481"/>
      <c r="AG240" s="481"/>
      <c r="AH240" s="481"/>
      <c r="AI240" s="481"/>
      <c r="AJ240" s="481"/>
      <c r="AK240" s="481"/>
      <c r="AL240" s="53"/>
      <c r="AM240" s="481"/>
      <c r="AN240" s="481"/>
      <c r="AO240" s="54"/>
      <c r="AP240" s="54"/>
      <c r="AR240" s="481"/>
      <c r="AS240" s="481"/>
      <c r="AT240" s="481"/>
      <c r="AU240" s="481"/>
      <c r="AV240" s="1855" t="s">
        <v>7876</v>
      </c>
      <c r="AW240" s="481">
        <f>AW242/3</f>
        <v>23.033333333333331</v>
      </c>
      <c r="AX240" s="481">
        <f t="shared" ref="AX240:AZ240" si="156">AX242/3</f>
        <v>23.7</v>
      </c>
      <c r="AY240" s="481">
        <f t="shared" si="156"/>
        <v>29.400000000000002</v>
      </c>
      <c r="AZ240" s="481">
        <f t="shared" si="156"/>
        <v>31.837557333333351</v>
      </c>
      <c r="BA240" s="53"/>
      <c r="BB240" s="481"/>
      <c r="BC240" s="481"/>
      <c r="BD240" s="481"/>
      <c r="BE240" s="481"/>
      <c r="BF240" s="53"/>
      <c r="BG240">
        <v>1</v>
      </c>
      <c r="BH240">
        <v>29</v>
      </c>
      <c r="BI240">
        <v>36</v>
      </c>
    </row>
    <row r="241" spans="2:65" ht="15.75">
      <c r="B241" s="53"/>
      <c r="G241" s="481"/>
      <c r="H241" s="481"/>
      <c r="I241" s="481"/>
      <c r="J241" s="481"/>
      <c r="K241" s="481"/>
      <c r="L241" s="481"/>
      <c r="M241" s="481"/>
      <c r="N241" s="481"/>
      <c r="O241" s="481"/>
      <c r="P241" s="481"/>
      <c r="Q241" s="481"/>
      <c r="R241" s="481"/>
      <c r="S241" s="481"/>
      <c r="T241" s="481"/>
      <c r="U241" s="481"/>
      <c r="V241" s="481"/>
      <c r="X241" s="481"/>
      <c r="Y241" s="481"/>
      <c r="Z241" s="481"/>
      <c r="AA241" s="481"/>
      <c r="AB241" s="481"/>
      <c r="AC241" s="481"/>
      <c r="AD241" s="481"/>
      <c r="AE241" s="481"/>
      <c r="AF241" s="481"/>
      <c r="AG241" s="481"/>
      <c r="AH241" s="481"/>
      <c r="AI241" s="481"/>
      <c r="AJ241" s="481"/>
      <c r="AK241" s="481"/>
      <c r="AL241" s="53"/>
      <c r="AM241" s="481"/>
      <c r="AN241" s="481"/>
      <c r="AO241" s="54"/>
      <c r="AP241" s="54"/>
      <c r="AR241" s="481"/>
      <c r="AS241" s="481"/>
      <c r="AT241" s="481"/>
      <c r="AU241" s="481"/>
      <c r="AV241" s="53"/>
      <c r="AW241" s="481"/>
      <c r="AX241" s="481"/>
      <c r="AY241" s="481"/>
      <c r="AZ241" s="481"/>
      <c r="BA241" s="53"/>
      <c r="BB241" s="481"/>
      <c r="BC241" s="481"/>
      <c r="BD241" s="481"/>
      <c r="BE241" s="481"/>
      <c r="BF241" s="53"/>
    </row>
    <row r="242" spans="2:65" ht="15.75">
      <c r="B242" s="53" t="s">
        <v>984</v>
      </c>
      <c r="G242" s="481">
        <f>'LiLAC valuation'!J382</f>
        <v>33.5</v>
      </c>
      <c r="H242" s="481">
        <f>'LiLAC valuation'!K382</f>
        <v>40.799999999999997</v>
      </c>
      <c r="I242" s="481">
        <f>'LiLAC valuation'!L382</f>
        <v>46.4</v>
      </c>
      <c r="J242" s="481">
        <f>'LiLAC valuation'!M382</f>
        <v>46.5</v>
      </c>
      <c r="K242" s="481">
        <f>'LiLAC valuation'!N382</f>
        <v>46.8</v>
      </c>
      <c r="L242" s="481">
        <f>'LiLAC valuation'!O382</f>
        <v>50</v>
      </c>
      <c r="M242" s="481">
        <f>'LiLAC valuation'!P382</f>
        <v>51.1</v>
      </c>
      <c r="N242" s="481">
        <f>'LiLAC valuation'!Q382</f>
        <v>50.9</v>
      </c>
      <c r="O242" s="481">
        <f>'LiLAC valuation'!R382</f>
        <v>51.3</v>
      </c>
      <c r="P242" s="481">
        <f>'LiLAC valuation'!S382</f>
        <v>53.8</v>
      </c>
      <c r="Q242" s="481">
        <f>'LiLAC valuation'!T382</f>
        <v>39.6</v>
      </c>
      <c r="R242" s="481">
        <f>'LiLAC valuation'!U382</f>
        <v>-12.1</v>
      </c>
      <c r="S242" s="481">
        <f>'LiLAC valuation'!V382</f>
        <v>18</v>
      </c>
      <c r="T242" s="481">
        <f>'LiLAC valuation'!W382</f>
        <v>35.700000000000003</v>
      </c>
      <c r="U242" s="481">
        <f>'LiLAC valuation'!X382</f>
        <v>39</v>
      </c>
      <c r="V242" s="481">
        <f>'LiLAC valuation'!Y382</f>
        <v>43.099999999999994</v>
      </c>
      <c r="X242" s="481">
        <f>'LiLAC valuation'!Z382</f>
        <v>47.9</v>
      </c>
      <c r="Y242" s="481">
        <f>'LiLAC valuation'!AA382</f>
        <v>51.6</v>
      </c>
      <c r="Z242" s="481">
        <f>'LiLAC valuation'!AB382</f>
        <v>50.8</v>
      </c>
      <c r="AA242" s="481">
        <f>'LiLAC valuation'!AC382</f>
        <v>52.9</v>
      </c>
      <c r="AB242" s="481"/>
      <c r="AC242" s="481">
        <f>'LiLAC valuation'!AD382</f>
        <v>50.5</v>
      </c>
      <c r="AD242" s="481">
        <f>'LiLAC valuation'!AE382</f>
        <v>52.4</v>
      </c>
      <c r="AE242" s="481">
        <f>'LiLAC valuation'!AF382</f>
        <v>58.1</v>
      </c>
      <c r="AF242" s="481">
        <f>'LiLAC valuation'!AG382+56</f>
        <v>115.9</v>
      </c>
      <c r="AG242" s="481"/>
      <c r="AH242" s="481">
        <v>149.9</v>
      </c>
      <c r="AI242" s="481">
        <v>161.4</v>
      </c>
      <c r="AJ242" s="481">
        <v>139.30000000000001</v>
      </c>
      <c r="AK242" s="481">
        <v>135.30000000000001</v>
      </c>
      <c r="AL242" s="53"/>
      <c r="AM242" s="481">
        <v>144.30000000000001</v>
      </c>
      <c r="AN242" s="481">
        <v>148.80000000000001</v>
      </c>
      <c r="AO242" s="481">
        <v>131.5</v>
      </c>
      <c r="AP242" s="481">
        <v>120.2</v>
      </c>
      <c r="AR242" s="481">
        <v>134.4</v>
      </c>
      <c r="AS242" s="481">
        <v>141.30000000000001</v>
      </c>
      <c r="AT242" s="481">
        <v>116.4</v>
      </c>
      <c r="AU242" s="481">
        <v>103.9</v>
      </c>
      <c r="AV242" s="53"/>
      <c r="AW242" s="481">
        <v>69.099999999999994</v>
      </c>
      <c r="AX242" s="481">
        <v>71.099999999999994</v>
      </c>
      <c r="AY242" s="481">
        <v>88.2</v>
      </c>
      <c r="AZ242" s="481">
        <f>Master!P71-AW242-AX242-AY242</f>
        <v>95.512672000000052</v>
      </c>
      <c r="BA242" s="53"/>
      <c r="BB242" s="643">
        <v>105</v>
      </c>
      <c r="BC242" s="643">
        <v>115</v>
      </c>
      <c r="BD242" s="643">
        <v>125</v>
      </c>
      <c r="BE242" s="481">
        <f>Master!Q71-BB242-BC242-BD242</f>
        <v>136.47579900720001</v>
      </c>
      <c r="BF242" s="53"/>
      <c r="BG242" s="481">
        <v>2</v>
      </c>
      <c r="BH242">
        <v>33</v>
      </c>
      <c r="BI242">
        <v>39</v>
      </c>
      <c r="BK242" t="s">
        <v>7402</v>
      </c>
      <c r="BL242" t="s">
        <v>7403</v>
      </c>
      <c r="BM242" t="s">
        <v>7404</v>
      </c>
    </row>
    <row r="243" spans="2:65" ht="15.75">
      <c r="B243" s="53"/>
      <c r="G243" s="481"/>
      <c r="H243" s="481"/>
      <c r="I243" s="481"/>
      <c r="J243" s="481"/>
      <c r="K243" s="481"/>
      <c r="L243" s="481"/>
      <c r="M243" s="481"/>
      <c r="N243" s="481"/>
      <c r="O243" s="481"/>
      <c r="P243" s="481"/>
      <c r="Q243" s="481"/>
      <c r="R243" s="481"/>
      <c r="S243" s="481"/>
      <c r="T243" s="481"/>
      <c r="U243" s="481"/>
      <c r="V243" s="481"/>
      <c r="X243" s="481"/>
      <c r="Y243" s="481"/>
      <c r="Z243" s="481"/>
      <c r="AA243" s="481"/>
      <c r="AB243" s="481"/>
      <c r="AC243" s="481"/>
      <c r="AD243" s="481"/>
      <c r="AE243" s="481"/>
      <c r="AF243" s="481"/>
      <c r="AG243" s="481"/>
      <c r="AH243" s="481"/>
      <c r="AI243" s="481"/>
      <c r="AJ243" s="481"/>
      <c r="AK243" s="481"/>
      <c r="AL243" s="53"/>
      <c r="AM243" s="481"/>
      <c r="AN243" s="481"/>
      <c r="AO243" s="481"/>
      <c r="AP243" s="481"/>
      <c r="AR243" s="481"/>
      <c r="AS243" s="481"/>
      <c r="AT243" s="481"/>
      <c r="AU243" s="481"/>
      <c r="AV243" s="53"/>
      <c r="AW243" s="1854">
        <f>AW242/3</f>
        <v>23.033333333333331</v>
      </c>
      <c r="AX243" s="1854">
        <f>AX242/3</f>
        <v>23.7</v>
      </c>
      <c r="AY243" s="1854">
        <f>AY242/3</f>
        <v>29.400000000000002</v>
      </c>
      <c r="AZ243" s="1854">
        <f>AZ242/3</f>
        <v>31.837557333333351</v>
      </c>
      <c r="BA243" s="55"/>
      <c r="BB243" s="1854">
        <f>BB242/3</f>
        <v>35</v>
      </c>
      <c r="BC243" s="1854">
        <f>BC242/3</f>
        <v>38.333333333333336</v>
      </c>
      <c r="BD243" s="1854">
        <f>BD242/3</f>
        <v>41.666666666666664</v>
      </c>
      <c r="BE243" s="1854">
        <f>BE242/3</f>
        <v>45.491933002400003</v>
      </c>
      <c r="BF243" s="53"/>
      <c r="BG243" s="481"/>
    </row>
    <row r="244" spans="2:65" ht="15.75">
      <c r="B244" s="55" t="s">
        <v>7875</v>
      </c>
      <c r="G244" s="481"/>
      <c r="H244" s="481"/>
      <c r="I244" s="481"/>
      <c r="J244" s="481"/>
      <c r="K244" s="481"/>
      <c r="L244" s="481"/>
      <c r="M244" s="481"/>
      <c r="N244" s="481"/>
      <c r="O244" s="481"/>
      <c r="P244" s="481"/>
      <c r="Q244" s="481"/>
      <c r="R244" s="481"/>
      <c r="S244" s="481"/>
      <c r="T244" s="481"/>
      <c r="U244" s="481"/>
      <c r="V244" s="481"/>
      <c r="X244" s="481"/>
      <c r="Y244" s="481"/>
      <c r="Z244" s="481"/>
      <c r="AA244" s="481"/>
      <c r="AB244" s="481"/>
      <c r="AC244" s="481"/>
      <c r="AD244" s="481"/>
      <c r="AE244" s="481"/>
      <c r="AF244" s="481"/>
      <c r="AG244" s="481"/>
      <c r="AH244" s="481"/>
      <c r="AI244" s="481"/>
      <c r="AJ244" s="481"/>
      <c r="AK244" s="481"/>
      <c r="AL244" s="53"/>
      <c r="AM244" s="481"/>
      <c r="AN244" s="481"/>
      <c r="AO244" s="481"/>
      <c r="AP244" s="481"/>
      <c r="AR244" s="481"/>
      <c r="AS244" s="481"/>
      <c r="AT244" s="481"/>
      <c r="AU244" s="481"/>
      <c r="AV244" s="53"/>
      <c r="AW244" s="1854">
        <f>AW19-AW242</f>
        <v>258.10000000000002</v>
      </c>
      <c r="AX244" s="1854">
        <f t="shared" ref="AX244:AZ244" si="157">AX19-AX242</f>
        <v>237.50000000000003</v>
      </c>
      <c r="AY244" s="1854">
        <f t="shared" si="157"/>
        <v>220</v>
      </c>
      <c r="AZ244" s="1854">
        <f t="shared" si="157"/>
        <v>239.59012799999999</v>
      </c>
      <c r="BA244" s="53"/>
      <c r="BB244" s="481"/>
      <c r="BC244" s="481"/>
      <c r="BD244" s="481"/>
      <c r="BE244" s="481"/>
      <c r="BF244" s="53"/>
      <c r="BG244" s="481"/>
    </row>
    <row r="245" spans="2:65" ht="15.75">
      <c r="B245" s="55"/>
      <c r="G245" s="481"/>
      <c r="H245" s="481"/>
      <c r="I245" s="481"/>
      <c r="J245" s="481"/>
      <c r="K245" s="481"/>
      <c r="L245" s="481"/>
      <c r="M245" s="481"/>
      <c r="N245" s="481"/>
      <c r="O245" s="481"/>
      <c r="P245" s="481"/>
      <c r="Q245" s="481"/>
      <c r="R245" s="481"/>
      <c r="S245" s="481"/>
      <c r="T245" s="481"/>
      <c r="U245" s="481"/>
      <c r="V245" s="481"/>
      <c r="X245" s="481"/>
      <c r="Y245" s="481"/>
      <c r="Z245" s="481"/>
      <c r="AA245" s="481"/>
      <c r="AB245" s="481"/>
      <c r="AC245" s="481"/>
      <c r="AD245" s="481"/>
      <c r="AE245" s="481"/>
      <c r="AF245" s="481"/>
      <c r="AG245" s="481"/>
      <c r="AH245" s="481"/>
      <c r="AI245" s="481"/>
      <c r="AJ245" s="481"/>
      <c r="AK245" s="481"/>
      <c r="AL245" s="53"/>
      <c r="AM245" s="481"/>
      <c r="AN245" s="481"/>
      <c r="AO245" s="481"/>
      <c r="AP245" s="481"/>
      <c r="AR245" s="481"/>
      <c r="AS245" s="481"/>
      <c r="AT245" s="481"/>
      <c r="AU245" s="481"/>
      <c r="AV245" s="1855" t="s">
        <v>7879</v>
      </c>
      <c r="AW245" s="1854"/>
      <c r="AX245" s="1854"/>
      <c r="AY245" s="1854">
        <v>28</v>
      </c>
      <c r="AZ245" s="1854"/>
      <c r="BA245" s="53"/>
      <c r="BB245" s="481"/>
      <c r="BC245" s="481"/>
      <c r="BD245" s="481"/>
      <c r="BE245" s="481"/>
      <c r="BF245" s="53"/>
      <c r="BG245" s="481"/>
    </row>
    <row r="246" spans="2:65" ht="15.75">
      <c r="B246" s="53"/>
      <c r="G246" s="481"/>
      <c r="H246" s="481"/>
      <c r="I246" s="481"/>
      <c r="J246" s="481"/>
      <c r="K246" s="481"/>
      <c r="L246" s="481"/>
      <c r="M246" s="481"/>
      <c r="N246" s="481"/>
      <c r="O246" s="481"/>
      <c r="P246" s="481"/>
      <c r="Q246" s="481"/>
      <c r="R246" s="481"/>
      <c r="S246" s="481"/>
      <c r="T246" s="481"/>
      <c r="U246" s="481"/>
      <c r="V246" s="481"/>
      <c r="X246" s="481"/>
      <c r="Y246" s="481"/>
      <c r="Z246" s="481"/>
      <c r="AA246" s="481"/>
      <c r="AB246" s="481"/>
      <c r="AC246" s="481"/>
      <c r="AD246" s="481"/>
      <c r="AE246" s="481"/>
      <c r="AF246" s="481"/>
      <c r="AG246" s="481"/>
      <c r="AH246" s="481"/>
      <c r="AI246" s="481"/>
      <c r="AJ246" s="481"/>
      <c r="AK246" s="481"/>
      <c r="AL246" s="53"/>
      <c r="AM246" s="481"/>
      <c r="AN246" s="481"/>
      <c r="AO246" s="481"/>
      <c r="AP246" s="481"/>
      <c r="AR246" s="481"/>
      <c r="AS246" s="481"/>
      <c r="AT246" s="481"/>
      <c r="AU246" s="481"/>
      <c r="AV246" s="1855" t="s">
        <v>7877</v>
      </c>
      <c r="AW246" s="481"/>
      <c r="AX246" s="481"/>
      <c r="AY246" s="1854">
        <f>AX242+AY245+6</f>
        <v>105.1</v>
      </c>
      <c r="AZ246" s="481"/>
      <c r="BA246" s="53"/>
      <c r="BB246" s="481"/>
      <c r="BC246" s="481"/>
      <c r="BD246" s="481"/>
      <c r="BE246" s="481"/>
      <c r="BF246" s="53"/>
      <c r="BG246" s="481"/>
    </row>
    <row r="247" spans="2:65" ht="15.75">
      <c r="B247" s="53"/>
      <c r="G247" s="481"/>
      <c r="H247" s="481"/>
      <c r="I247" s="481"/>
      <c r="J247" s="481"/>
      <c r="K247" s="481"/>
      <c r="L247" s="481"/>
      <c r="M247" s="481"/>
      <c r="N247" s="481"/>
      <c r="O247" s="481"/>
      <c r="P247" s="481"/>
      <c r="Q247" s="481"/>
      <c r="R247" s="481"/>
      <c r="S247" s="481"/>
      <c r="T247" s="481"/>
      <c r="U247" s="481"/>
      <c r="V247" s="481"/>
      <c r="X247" s="481"/>
      <c r="Y247" s="481"/>
      <c r="Z247" s="481"/>
      <c r="AA247" s="481"/>
      <c r="AB247" s="481"/>
      <c r="AC247" s="481"/>
      <c r="AD247" s="481"/>
      <c r="AE247" s="481"/>
      <c r="AF247" s="481"/>
      <c r="AG247" s="481"/>
      <c r="AH247" s="481"/>
      <c r="AI247" s="481"/>
      <c r="AJ247" s="481"/>
      <c r="AK247" s="481"/>
      <c r="AL247" s="53"/>
      <c r="AM247" s="481"/>
      <c r="AN247" s="481"/>
      <c r="AO247" s="481"/>
      <c r="AP247" s="481"/>
      <c r="AR247" s="481"/>
      <c r="AS247" s="481"/>
      <c r="AT247" s="481"/>
      <c r="AU247" s="481"/>
      <c r="AV247" s="1855" t="s">
        <v>7878</v>
      </c>
      <c r="AW247" s="481"/>
      <c r="AX247" s="481"/>
      <c r="AY247" s="1854">
        <f>AY246/3</f>
        <v>35.033333333333331</v>
      </c>
      <c r="AZ247" s="481"/>
      <c r="BA247" s="53"/>
      <c r="BB247" s="481"/>
      <c r="BC247" s="481"/>
      <c r="BD247" s="481"/>
      <c r="BE247" s="481"/>
      <c r="BF247" s="53"/>
      <c r="BG247" s="481"/>
    </row>
    <row r="248" spans="2:65" ht="15.75">
      <c r="B248" s="53"/>
      <c r="G248" s="481"/>
      <c r="H248" s="481"/>
      <c r="I248" s="481"/>
      <c r="J248" s="481"/>
      <c r="K248" s="481"/>
      <c r="L248" s="481"/>
      <c r="M248" s="481"/>
      <c r="N248" s="481"/>
      <c r="O248" s="481"/>
      <c r="P248" s="481"/>
      <c r="Q248" s="481"/>
      <c r="R248" s="481"/>
      <c r="S248" s="481"/>
      <c r="T248" s="481"/>
      <c r="U248" s="481"/>
      <c r="V248" s="481"/>
      <c r="X248" s="481"/>
      <c r="Y248" s="481"/>
      <c r="Z248" s="481"/>
      <c r="AA248" s="481"/>
      <c r="AB248" s="481"/>
      <c r="AC248" s="481"/>
      <c r="AD248" s="481"/>
      <c r="AE248" s="481"/>
      <c r="AF248" s="481"/>
      <c r="AG248" s="481"/>
      <c r="AH248" s="481"/>
      <c r="AI248" s="481"/>
      <c r="AJ248" s="481"/>
      <c r="AK248" s="481"/>
      <c r="AL248" s="53"/>
      <c r="AM248" s="481"/>
      <c r="AN248" s="481"/>
      <c r="AO248" s="481"/>
      <c r="AP248" s="481"/>
      <c r="AR248" s="481"/>
      <c r="AS248" s="481"/>
      <c r="AT248" s="481"/>
      <c r="AU248" s="481"/>
      <c r="AV248" s="1855"/>
      <c r="AW248" s="481"/>
      <c r="AX248" s="481"/>
      <c r="AY248" s="1854"/>
      <c r="AZ248" s="481"/>
      <c r="BA248" s="53"/>
      <c r="BB248" s="481"/>
      <c r="BC248" s="481"/>
      <c r="BD248" s="481"/>
      <c r="BE248" s="481"/>
      <c r="BF248" s="53"/>
      <c r="BG248" s="481"/>
    </row>
    <row r="249" spans="2:65" ht="15.75">
      <c r="B249" s="53"/>
      <c r="G249" s="481"/>
      <c r="H249" s="481"/>
      <c r="I249" s="481"/>
      <c r="J249" s="481"/>
      <c r="K249" s="481"/>
      <c r="L249" s="481"/>
      <c r="M249" s="481"/>
      <c r="N249" s="481"/>
      <c r="O249" s="481"/>
      <c r="P249" s="481"/>
      <c r="Q249" s="481"/>
      <c r="R249" s="481"/>
      <c r="S249" s="481"/>
      <c r="T249" s="481"/>
      <c r="U249" s="481"/>
      <c r="V249" s="481"/>
      <c r="X249" s="481"/>
      <c r="Y249" s="481"/>
      <c r="Z249" s="481"/>
      <c r="AA249" s="481"/>
      <c r="AB249" s="481"/>
      <c r="AC249" s="481"/>
      <c r="AD249" s="481"/>
      <c r="AE249" s="481"/>
      <c r="AF249" s="481"/>
      <c r="AG249" s="481"/>
      <c r="AH249" s="481"/>
      <c r="AI249" s="481"/>
      <c r="AJ249" s="481"/>
      <c r="AK249" s="481"/>
      <c r="AL249" s="53"/>
      <c r="AM249" s="481"/>
      <c r="AN249" s="481"/>
      <c r="AO249" s="481"/>
      <c r="AP249" s="481"/>
      <c r="AR249" s="481"/>
      <c r="AS249" s="481"/>
      <c r="AT249" s="481"/>
      <c r="AU249" s="481"/>
      <c r="AV249" s="1855" t="s">
        <v>7880</v>
      </c>
      <c r="AW249" s="481"/>
      <c r="AX249" s="481"/>
      <c r="AY249" s="1854">
        <f>AY246-AY242</f>
        <v>16.899999999999991</v>
      </c>
      <c r="AZ249" s="481"/>
      <c r="BA249" s="53"/>
      <c r="BB249" s="481"/>
      <c r="BC249" s="481"/>
      <c r="BD249" s="481"/>
      <c r="BE249" s="481"/>
      <c r="BF249" s="53"/>
      <c r="BG249" s="481"/>
    </row>
    <row r="250" spans="2:65" ht="15.75">
      <c r="B250" s="53"/>
      <c r="G250" s="481"/>
      <c r="H250" s="481"/>
      <c r="I250" s="481"/>
      <c r="J250" s="481"/>
      <c r="K250" s="481"/>
      <c r="L250" s="481"/>
      <c r="M250" s="481"/>
      <c r="N250" s="481"/>
      <c r="O250" s="481"/>
      <c r="P250" s="481"/>
      <c r="Q250" s="481"/>
      <c r="R250" s="481"/>
      <c r="S250" s="481"/>
      <c r="T250" s="481"/>
      <c r="U250" s="481"/>
      <c r="V250" s="481"/>
      <c r="X250" s="481"/>
      <c r="Y250" s="481"/>
      <c r="Z250" s="481"/>
      <c r="AA250" s="481"/>
      <c r="AB250" s="481"/>
      <c r="AC250" s="481"/>
      <c r="AD250" s="481"/>
      <c r="AE250" s="481"/>
      <c r="AF250" s="481"/>
      <c r="AG250" s="481"/>
      <c r="AH250" s="481"/>
      <c r="AI250" s="481"/>
      <c r="AJ250" s="481"/>
      <c r="AK250" s="481"/>
      <c r="AL250" s="53"/>
      <c r="AM250" s="481"/>
      <c r="AN250" s="481"/>
      <c r="AO250" s="481"/>
      <c r="AP250" s="481"/>
      <c r="AR250" s="481"/>
      <c r="AS250" s="481"/>
      <c r="AT250" s="481"/>
      <c r="AU250" s="481"/>
      <c r="AV250" s="1855" t="s">
        <v>7884</v>
      </c>
      <c r="AW250" s="481"/>
      <c r="AX250" s="1854">
        <v>12</v>
      </c>
      <c r="AY250" s="1854">
        <v>5</v>
      </c>
      <c r="AZ250" s="481"/>
      <c r="BA250" s="53"/>
      <c r="BB250" s="481"/>
      <c r="BC250" s="481"/>
      <c r="BD250" s="481"/>
      <c r="BE250" s="481"/>
      <c r="BF250" s="53"/>
      <c r="BG250" s="481"/>
    </row>
    <row r="251" spans="2:65" ht="15.75">
      <c r="B251" s="53"/>
      <c r="G251" s="481"/>
      <c r="H251" s="481"/>
      <c r="I251" s="481"/>
      <c r="J251" s="481"/>
      <c r="K251" s="481"/>
      <c r="L251" s="481"/>
      <c r="M251" s="481"/>
      <c r="N251" s="481"/>
      <c r="O251" s="481"/>
      <c r="P251" s="481"/>
      <c r="Q251" s="481"/>
      <c r="R251" s="481"/>
      <c r="S251" s="481"/>
      <c r="T251" s="481"/>
      <c r="U251" s="481"/>
      <c r="V251" s="481"/>
      <c r="X251" s="481"/>
      <c r="Y251" s="481"/>
      <c r="Z251" s="481"/>
      <c r="AA251" s="481"/>
      <c r="AB251" s="481"/>
      <c r="AC251" s="481"/>
      <c r="AD251" s="481"/>
      <c r="AE251" s="481"/>
      <c r="AF251" s="481"/>
      <c r="AG251" s="481"/>
      <c r="AH251" s="481"/>
      <c r="AI251" s="481"/>
      <c r="AJ251" s="481"/>
      <c r="AK251" s="481"/>
      <c r="AL251" s="53"/>
      <c r="AM251" s="481"/>
      <c r="AN251" s="481"/>
      <c r="AO251" s="481"/>
      <c r="AP251" s="481"/>
      <c r="AR251" s="481"/>
      <c r="AS251" s="481"/>
      <c r="AT251" s="481"/>
      <c r="AU251" s="481"/>
      <c r="AV251" s="1855" t="s">
        <v>7881</v>
      </c>
      <c r="AW251" s="481"/>
      <c r="AX251" s="1854">
        <v>16</v>
      </c>
      <c r="AY251" s="1854">
        <v>3</v>
      </c>
      <c r="AZ251" s="481"/>
      <c r="BA251" s="53"/>
      <c r="BB251" s="481"/>
      <c r="BC251" s="481"/>
      <c r="BD251" s="481"/>
      <c r="BE251" s="481"/>
      <c r="BF251" s="53"/>
      <c r="BG251" s="481"/>
    </row>
    <row r="252" spans="2:65" ht="15.75">
      <c r="B252" s="53"/>
      <c r="G252" s="481"/>
      <c r="H252" s="481"/>
      <c r="I252" s="481"/>
      <c r="J252" s="481"/>
      <c r="K252" s="481"/>
      <c r="L252" s="481"/>
      <c r="M252" s="481"/>
      <c r="N252" s="481"/>
      <c r="O252" s="481"/>
      <c r="P252" s="481"/>
      <c r="Q252" s="481"/>
      <c r="R252" s="481"/>
      <c r="S252" s="481"/>
      <c r="T252" s="481"/>
      <c r="U252" s="481"/>
      <c r="V252" s="481"/>
      <c r="X252" s="481"/>
      <c r="Y252" s="481"/>
      <c r="Z252" s="481"/>
      <c r="AA252" s="481"/>
      <c r="AB252" s="481"/>
      <c r="AC252" s="481"/>
      <c r="AD252" s="481"/>
      <c r="AE252" s="481"/>
      <c r="AF252" s="481"/>
      <c r="AG252" s="481"/>
      <c r="AH252" s="481"/>
      <c r="AI252" s="481"/>
      <c r="AJ252" s="481"/>
      <c r="AK252" s="481"/>
      <c r="AL252" s="53"/>
      <c r="AM252" s="481"/>
      <c r="AN252" s="481"/>
      <c r="AO252" s="481"/>
      <c r="AP252" s="481"/>
      <c r="AR252" s="638"/>
      <c r="AS252" s="638"/>
      <c r="AT252" s="638"/>
      <c r="AU252" s="638"/>
      <c r="AV252" s="1856" t="s">
        <v>7882</v>
      </c>
      <c r="AW252" s="638"/>
      <c r="AX252" s="638">
        <v>0</v>
      </c>
      <c r="AY252" s="1545">
        <f>40*0.03*3</f>
        <v>3.5999999999999996</v>
      </c>
      <c r="AZ252" s="481"/>
      <c r="BA252" s="1857" t="s">
        <v>7892</v>
      </c>
      <c r="BB252" s="481"/>
      <c r="BC252" s="481"/>
      <c r="BD252" s="481"/>
      <c r="BE252" s="481"/>
      <c r="BF252" s="53"/>
      <c r="BG252" s="481"/>
    </row>
    <row r="253" spans="2:65" ht="15.75">
      <c r="B253" s="53"/>
      <c r="G253" s="481"/>
      <c r="H253" s="481"/>
      <c r="I253" s="481"/>
      <c r="J253" s="481"/>
      <c r="K253" s="481"/>
      <c r="L253" s="481"/>
      <c r="M253" s="481"/>
      <c r="N253" s="481"/>
      <c r="O253" s="481"/>
      <c r="P253" s="481"/>
      <c r="Q253" s="481"/>
      <c r="R253" s="481"/>
      <c r="S253" s="481"/>
      <c r="T253" s="481"/>
      <c r="U253" s="481"/>
      <c r="V253" s="481"/>
      <c r="X253" s="481"/>
      <c r="Y253" s="481"/>
      <c r="Z253" s="481"/>
      <c r="AA253" s="481"/>
      <c r="AB253" s="481"/>
      <c r="AC253" s="481"/>
      <c r="AD253" s="481"/>
      <c r="AE253" s="481"/>
      <c r="AF253" s="481"/>
      <c r="AG253" s="481"/>
      <c r="AH253" s="481"/>
      <c r="AI253" s="481"/>
      <c r="AJ253" s="481"/>
      <c r="AK253" s="481"/>
      <c r="AL253" s="53"/>
      <c r="AM253" s="481"/>
      <c r="AN253" s="481"/>
      <c r="AO253" s="481"/>
      <c r="AP253" s="481"/>
      <c r="AR253" s="481"/>
      <c r="AS253" s="481"/>
      <c r="AT253" s="481"/>
      <c r="AU253" s="481"/>
      <c r="AV253" s="1855" t="s">
        <v>7883</v>
      </c>
      <c r="AW253" s="481"/>
      <c r="AX253" s="481"/>
      <c r="AY253" s="1854">
        <f>AY249-AY250-AY251-AY252</f>
        <v>5.2999999999999918</v>
      </c>
      <c r="AZ253" s="481"/>
      <c r="BA253" s="55" t="s">
        <v>7889</v>
      </c>
      <c r="BB253" s="481"/>
      <c r="BC253" s="481"/>
      <c r="BD253" s="481"/>
      <c r="BE253" s="481"/>
      <c r="BF253" s="53"/>
      <c r="BG253" s="481"/>
    </row>
    <row r="254" spans="2:65" ht="15.75">
      <c r="B254" s="53"/>
      <c r="G254" s="481"/>
      <c r="H254" s="481"/>
      <c r="I254" s="481"/>
      <c r="J254" s="481"/>
      <c r="K254" s="481"/>
      <c r="L254" s="481"/>
      <c r="M254" s="481"/>
      <c r="N254" s="481"/>
      <c r="O254" s="481"/>
      <c r="P254" s="481"/>
      <c r="Q254" s="481"/>
      <c r="R254" s="481"/>
      <c r="S254" s="481"/>
      <c r="T254" s="481"/>
      <c r="U254" s="481"/>
      <c r="V254" s="481"/>
      <c r="X254" s="481"/>
      <c r="Y254" s="481"/>
      <c r="Z254" s="481"/>
      <c r="AA254" s="481"/>
      <c r="AB254" s="481"/>
      <c r="AC254" s="481"/>
      <c r="AD254" s="481"/>
      <c r="AE254" s="481"/>
      <c r="AF254" s="481"/>
      <c r="AG254" s="481"/>
      <c r="AH254" s="481"/>
      <c r="AI254" s="481"/>
      <c r="AJ254" s="481"/>
      <c r="AK254" s="481"/>
      <c r="AL254" s="53"/>
      <c r="AM254" s="481"/>
      <c r="AN254" s="481"/>
      <c r="AO254" s="481"/>
      <c r="AP254" s="481"/>
      <c r="AR254" s="481"/>
      <c r="AS254" s="481"/>
      <c r="AT254" s="481"/>
      <c r="AU254" s="481"/>
      <c r="AV254" s="1855"/>
      <c r="AW254" s="481"/>
      <c r="AX254" s="481"/>
      <c r="AY254" s="681"/>
      <c r="AZ254" s="481"/>
      <c r="BA254" s="55" t="s">
        <v>7890</v>
      </c>
      <c r="BB254" s="481"/>
      <c r="BC254" s="481"/>
      <c r="BD254" s="481"/>
      <c r="BE254" s="481"/>
      <c r="BF254" s="53"/>
      <c r="BG254" s="481"/>
    </row>
    <row r="255" spans="2:65" ht="15.75">
      <c r="B255" s="53"/>
      <c r="G255" s="481"/>
      <c r="H255" s="481"/>
      <c r="I255" s="481"/>
      <c r="J255" s="481"/>
      <c r="K255" s="481"/>
      <c r="L255" s="481"/>
      <c r="M255" s="481"/>
      <c r="N255" s="481"/>
      <c r="O255" s="481"/>
      <c r="P255" s="481"/>
      <c r="Q255" s="481"/>
      <c r="R255" s="481"/>
      <c r="S255" s="481"/>
      <c r="T255" s="481"/>
      <c r="U255" s="481"/>
      <c r="V255" s="481"/>
      <c r="X255" s="481"/>
      <c r="Y255" s="481"/>
      <c r="Z255" s="481"/>
      <c r="AA255" s="481"/>
      <c r="AB255" s="481"/>
      <c r="AC255" s="481"/>
      <c r="AD255" s="481"/>
      <c r="AE255" s="481"/>
      <c r="AF255" s="481"/>
      <c r="AG255" s="481"/>
      <c r="AH255" s="481"/>
      <c r="AI255" s="481"/>
      <c r="AJ255" s="481"/>
      <c r="AK255" s="481"/>
      <c r="AL255" s="53"/>
      <c r="AM255" s="481"/>
      <c r="AN255" s="481"/>
      <c r="AO255" s="481"/>
      <c r="AP255" s="481"/>
      <c r="AR255" s="481"/>
      <c r="AS255" s="481"/>
      <c r="AT255" s="481"/>
      <c r="AU255" s="481"/>
      <c r="AV255" s="1855"/>
      <c r="AW255" s="481"/>
      <c r="AX255" s="481"/>
      <c r="AY255" s="681"/>
      <c r="AZ255" s="481"/>
      <c r="BA255" s="55" t="s">
        <v>733</v>
      </c>
      <c r="BB255" s="481"/>
      <c r="BC255" s="481"/>
      <c r="BD255" s="481"/>
      <c r="BE255" s="481"/>
      <c r="BF255" s="53"/>
      <c r="BG255" s="481"/>
    </row>
    <row r="256" spans="2:65" ht="15.75">
      <c r="B256" s="53"/>
      <c r="G256" s="481"/>
      <c r="H256" s="481"/>
      <c r="I256" s="481"/>
      <c r="J256" s="481"/>
      <c r="K256" s="481"/>
      <c r="L256" s="481"/>
      <c r="M256" s="481"/>
      <c r="N256" s="481"/>
      <c r="O256" s="481"/>
      <c r="P256" s="481"/>
      <c r="Q256" s="481"/>
      <c r="R256" s="481"/>
      <c r="S256" s="481"/>
      <c r="T256" s="481"/>
      <c r="U256" s="481"/>
      <c r="V256" s="481"/>
      <c r="X256" s="481"/>
      <c r="Y256" s="481"/>
      <c r="Z256" s="481"/>
      <c r="AA256" s="481"/>
      <c r="AB256" s="481"/>
      <c r="AC256" s="481"/>
      <c r="AD256" s="481"/>
      <c r="AE256" s="481"/>
      <c r="AF256" s="481"/>
      <c r="AG256" s="481"/>
      <c r="AH256" s="481"/>
      <c r="AI256" s="481"/>
      <c r="AJ256" s="481"/>
      <c r="AK256" s="481"/>
      <c r="AL256" s="53"/>
      <c r="AM256" s="481"/>
      <c r="AN256" s="481"/>
      <c r="AO256" s="481"/>
      <c r="AP256" s="481"/>
      <c r="AR256" s="481"/>
      <c r="AS256" s="481"/>
      <c r="AT256" s="481"/>
      <c r="AU256" s="481"/>
      <c r="AV256" s="1855"/>
      <c r="AW256" s="481"/>
      <c r="AX256" s="481"/>
      <c r="AY256" s="681"/>
      <c r="AZ256" s="481"/>
      <c r="BA256" s="55" t="s">
        <v>7891</v>
      </c>
      <c r="BB256" s="481"/>
      <c r="BC256" s="481"/>
      <c r="BD256" s="481"/>
      <c r="BE256" s="481"/>
      <c r="BF256" s="53"/>
      <c r="BG256" s="481"/>
    </row>
    <row r="257" spans="2:66" ht="15.75">
      <c r="B257" s="53"/>
      <c r="G257" s="481"/>
      <c r="H257" s="481"/>
      <c r="I257" s="481"/>
      <c r="J257" s="481"/>
      <c r="K257" s="481"/>
      <c r="L257" s="481"/>
      <c r="M257" s="481"/>
      <c r="N257" s="481"/>
      <c r="O257" s="481"/>
      <c r="P257" s="481"/>
      <c r="Q257" s="481"/>
      <c r="R257" s="481"/>
      <c r="S257" s="481"/>
      <c r="T257" s="481"/>
      <c r="U257" s="481"/>
      <c r="V257" s="481"/>
      <c r="X257" s="481"/>
      <c r="Y257" s="481"/>
      <c r="Z257" s="481"/>
      <c r="AA257" s="481"/>
      <c r="AB257" s="481"/>
      <c r="AC257" s="481"/>
      <c r="AD257" s="481"/>
      <c r="AE257" s="481"/>
      <c r="AF257" s="481"/>
      <c r="AG257" s="481"/>
      <c r="AH257" s="481"/>
      <c r="AI257" s="481"/>
      <c r="AJ257" s="481"/>
      <c r="AK257" s="481"/>
      <c r="AL257" s="53"/>
      <c r="AM257" s="481"/>
      <c r="AN257" s="481"/>
      <c r="AO257" s="481"/>
      <c r="AP257" s="481"/>
      <c r="AR257" s="481"/>
      <c r="AS257" s="481"/>
      <c r="AT257" s="481"/>
      <c r="AU257" s="481"/>
      <c r="AV257" s="1855"/>
      <c r="AW257" s="481"/>
      <c r="AX257" s="481"/>
      <c r="AY257" s="681"/>
      <c r="AZ257" s="481"/>
      <c r="BA257" s="55"/>
      <c r="BB257" s="481"/>
      <c r="BC257" s="481"/>
      <c r="BD257" s="481"/>
      <c r="BE257" s="481"/>
      <c r="BF257" s="53"/>
      <c r="BG257" s="481"/>
    </row>
    <row r="258" spans="2:66" ht="15.75">
      <c r="B258" s="605" t="s">
        <v>50</v>
      </c>
      <c r="G258" s="481"/>
      <c r="H258" s="481"/>
      <c r="I258" s="481"/>
      <c r="J258" s="481"/>
      <c r="K258" s="481"/>
      <c r="L258" s="481"/>
      <c r="M258" s="481"/>
      <c r="N258" s="481"/>
      <c r="O258" s="481"/>
      <c r="P258" s="481"/>
      <c r="Q258" s="481"/>
      <c r="R258" s="481"/>
      <c r="S258" s="481"/>
      <c r="T258" s="481"/>
      <c r="U258" s="481"/>
      <c r="V258" s="481"/>
      <c r="AH258" s="53"/>
      <c r="AI258" s="53"/>
      <c r="AJ258" s="53"/>
      <c r="AK258" s="481"/>
      <c r="AL258" s="53"/>
      <c r="AR258" s="16"/>
      <c r="AS258" s="16"/>
      <c r="AT258" s="16"/>
      <c r="AU258" s="16"/>
      <c r="AV258" s="53"/>
      <c r="AW258" s="62"/>
      <c r="AX258" s="62"/>
      <c r="AY258" s="62"/>
      <c r="AZ258" s="16"/>
      <c r="BA258" s="53"/>
      <c r="BB258" s="16"/>
      <c r="BC258" s="62"/>
      <c r="BD258" s="62"/>
      <c r="BE258" s="62"/>
      <c r="BF258" s="53"/>
      <c r="BG258">
        <v>3</v>
      </c>
      <c r="BH258" s="64" t="e">
        <f>#REF!-BH240-BH242</f>
        <v>#REF!</v>
      </c>
      <c r="BI258" s="64">
        <f>AZ242-BI240-BI242</f>
        <v>20.512672000000052</v>
      </c>
      <c r="BK258">
        <v>37</v>
      </c>
      <c r="BL258">
        <v>41</v>
      </c>
      <c r="BM258">
        <v>44</v>
      </c>
      <c r="BN258">
        <f>AVERAGE(BK258:BM258)</f>
        <v>40.666666666666664</v>
      </c>
    </row>
    <row r="259" spans="2:66" ht="15.75">
      <c r="B259" s="821" t="s">
        <v>5944</v>
      </c>
      <c r="G259" s="481"/>
      <c r="H259" s="481"/>
      <c r="I259" s="481"/>
      <c r="J259" s="481"/>
      <c r="K259" s="481"/>
      <c r="L259" s="481"/>
      <c r="M259" s="481"/>
      <c r="N259" s="481"/>
      <c r="O259" s="481"/>
      <c r="P259" s="481"/>
      <c r="Q259" s="481"/>
      <c r="R259" s="481"/>
      <c r="S259" s="481"/>
      <c r="T259" s="481"/>
      <c r="U259" s="481"/>
      <c r="V259" s="481"/>
      <c r="AC259" t="s">
        <v>1919</v>
      </c>
      <c r="AD259" s="576">
        <v>81</v>
      </c>
      <c r="AE259" s="576">
        <v>80</v>
      </c>
      <c r="AF259" s="63">
        <v>56</v>
      </c>
      <c r="AH259" s="749">
        <v>62</v>
      </c>
      <c r="AI259" s="749">
        <v>70</v>
      </c>
      <c r="AJ259" s="749">
        <v>53</v>
      </c>
      <c r="AK259" s="749">
        <v>50</v>
      </c>
      <c r="AL259" s="1100"/>
      <c r="AM259" s="749">
        <v>56</v>
      </c>
      <c r="AN259" s="749">
        <v>58</v>
      </c>
      <c r="AO259" s="749">
        <v>42</v>
      </c>
      <c r="AP259" s="749">
        <v>34</v>
      </c>
      <c r="AR259" s="749"/>
      <c r="AS259" s="749"/>
      <c r="AT259" s="749"/>
      <c r="AU259" s="749"/>
      <c r="AV259" s="53"/>
      <c r="AW259" s="749"/>
      <c r="AX259" s="749"/>
      <c r="AY259" s="749"/>
      <c r="AZ259" s="749"/>
      <c r="BA259" s="53"/>
      <c r="BB259" s="749"/>
      <c r="BC259" s="749"/>
      <c r="BD259" s="749"/>
      <c r="BE259" s="749"/>
      <c r="BF259" s="53"/>
      <c r="BH259" s="16" t="e">
        <f>#REF!</f>
        <v>#REF!</v>
      </c>
      <c r="BI259" s="16">
        <f>AZ242</f>
        <v>95.512672000000052</v>
      </c>
    </row>
    <row r="260" spans="2:66" ht="15.75">
      <c r="B260" s="821" t="s">
        <v>5945</v>
      </c>
      <c r="G260" s="481"/>
      <c r="H260" s="481"/>
      <c r="I260" s="481"/>
      <c r="J260" s="481"/>
      <c r="K260" s="481"/>
      <c r="L260" s="481"/>
      <c r="M260" s="481"/>
      <c r="N260" s="481"/>
      <c r="O260" s="481"/>
      <c r="P260" s="481"/>
      <c r="Q260" s="481"/>
      <c r="R260" s="481"/>
      <c r="S260" s="481"/>
      <c r="T260" s="481"/>
      <c r="U260" s="481"/>
      <c r="V260" s="481"/>
      <c r="AC260" s="16">
        <f>AC242</f>
        <v>50.5</v>
      </c>
      <c r="AD260" s="16">
        <f>AD242</f>
        <v>52.4</v>
      </c>
      <c r="AE260" s="16">
        <f>AE242</f>
        <v>58.1</v>
      </c>
      <c r="AF260" s="481">
        <f>AF242-AF259</f>
        <v>59.900000000000006</v>
      </c>
      <c r="AG260" s="481"/>
      <c r="AH260" s="481">
        <f>AH242-AH259</f>
        <v>87.9</v>
      </c>
      <c r="AI260" s="481">
        <f>AI242-AI259</f>
        <v>91.4</v>
      </c>
      <c r="AJ260" s="481">
        <f>AJ242-AJ259</f>
        <v>86.300000000000011</v>
      </c>
      <c r="AK260" s="481">
        <f>AK242-AK259</f>
        <v>85.300000000000011</v>
      </c>
      <c r="AL260" s="1100"/>
      <c r="AM260" s="481">
        <f>AM242-AM259</f>
        <v>88.300000000000011</v>
      </c>
      <c r="AN260" s="481">
        <f>AN242-AN259</f>
        <v>90.800000000000011</v>
      </c>
      <c r="AO260" s="481">
        <f>AO242-AO259</f>
        <v>89.5</v>
      </c>
      <c r="AP260" s="481">
        <f>AP242-AP259</f>
        <v>86.2</v>
      </c>
      <c r="AR260" s="481"/>
      <c r="AS260" s="481"/>
      <c r="AT260" s="481"/>
      <c r="AU260" s="481"/>
      <c r="AV260" s="53"/>
      <c r="AW260" s="481"/>
      <c r="AX260" s="481"/>
      <c r="AY260" s="481"/>
      <c r="AZ260" s="481"/>
      <c r="BA260" s="53"/>
      <c r="BB260" s="481"/>
      <c r="BC260" s="481"/>
      <c r="BD260" s="481"/>
      <c r="BE260" s="481"/>
      <c r="BF260" s="53"/>
    </row>
    <row r="261" spans="2:66" ht="15.75">
      <c r="B261" s="78" t="s">
        <v>1988</v>
      </c>
      <c r="G261" s="53"/>
      <c r="H261" s="53"/>
      <c r="I261" s="53"/>
      <c r="J261" s="53"/>
      <c r="K261" s="53"/>
      <c r="L261" s="53"/>
      <c r="M261" s="53"/>
      <c r="N261" s="62"/>
      <c r="AH261" s="53"/>
      <c r="AI261" s="53"/>
      <c r="AJ261" s="53"/>
      <c r="AK261" s="53"/>
      <c r="AL261" s="53"/>
      <c r="BH261" s="80" t="s">
        <v>1564</v>
      </c>
      <c r="BI261" s="80" t="s">
        <v>4093</v>
      </c>
      <c r="BK261" s="53"/>
    </row>
    <row r="262" spans="2:66" ht="15.75">
      <c r="B262" s="53" t="s">
        <v>5954</v>
      </c>
      <c r="G262" s="53"/>
      <c r="H262" s="53"/>
      <c r="I262" s="53"/>
      <c r="J262" s="53"/>
      <c r="K262" s="53"/>
      <c r="L262" s="53"/>
      <c r="M262" s="53"/>
      <c r="N262" s="62"/>
      <c r="AD262">
        <v>-1</v>
      </c>
      <c r="AE262">
        <v>-2</v>
      </c>
      <c r="AH262" s="53">
        <v>-2</v>
      </c>
      <c r="AI262" s="53">
        <v>-2</v>
      </c>
      <c r="AJ262" s="53">
        <v>-1</v>
      </c>
      <c r="AK262" s="53">
        <v>-7</v>
      </c>
      <c r="AL262" s="53"/>
      <c r="AM262" s="53">
        <v>-2</v>
      </c>
      <c r="AN262" s="714">
        <v>-2</v>
      </c>
      <c r="AO262" s="714">
        <v>-3</v>
      </c>
      <c r="AP262" s="714">
        <v>-3</v>
      </c>
      <c r="AR262" s="714">
        <v>-2</v>
      </c>
      <c r="AS262" s="714">
        <v>-4</v>
      </c>
      <c r="AT262" s="714">
        <v>-7</v>
      </c>
      <c r="AU262" s="714">
        <f>-19-AR262-AS262-AT262</f>
        <v>-6</v>
      </c>
      <c r="AW262" s="714">
        <f>-14-9</f>
        <v>-23</v>
      </c>
      <c r="AX262" s="714"/>
      <c r="AY262" s="714"/>
      <c r="AZ262" s="714"/>
      <c r="BB262" s="714"/>
      <c r="BC262" s="714"/>
      <c r="BD262" s="714"/>
      <c r="BE262" s="714"/>
      <c r="BG262">
        <v>1</v>
      </c>
      <c r="BH262" s="5">
        <f>BH240/BH234</f>
        <v>1</v>
      </c>
      <c r="BI262" s="5">
        <f>BI240/BI234</f>
        <v>1</v>
      </c>
      <c r="BK262" s="53"/>
    </row>
    <row r="263" spans="2:66" ht="15.75">
      <c r="B263" s="50" t="s">
        <v>399</v>
      </c>
      <c r="C263" s="3"/>
      <c r="D263" s="3"/>
      <c r="E263" s="3"/>
      <c r="F263" s="3"/>
      <c r="G263" s="50"/>
      <c r="H263" s="50"/>
      <c r="I263" s="50"/>
      <c r="J263" s="50"/>
      <c r="K263" s="50"/>
      <c r="L263" s="50"/>
      <c r="M263" s="50"/>
      <c r="N263" s="554"/>
      <c r="O263" s="3"/>
      <c r="P263" s="3"/>
      <c r="Q263" s="3"/>
      <c r="R263" s="3"/>
      <c r="S263" s="3"/>
      <c r="T263" s="3"/>
      <c r="U263" s="3"/>
      <c r="V263" s="3"/>
      <c r="W263" s="3"/>
      <c r="X263" s="3"/>
      <c r="Y263" s="3"/>
      <c r="Z263" s="3"/>
      <c r="AA263" s="3"/>
      <c r="AB263" s="3"/>
      <c r="AC263" s="3"/>
      <c r="AD263" s="3"/>
      <c r="AE263" s="3"/>
      <c r="AF263" s="3"/>
      <c r="AG263" s="3"/>
      <c r="AH263" s="50"/>
      <c r="AI263" s="50"/>
      <c r="AJ263" s="50"/>
      <c r="AK263" s="50"/>
      <c r="AL263" s="50"/>
      <c r="AM263" s="3"/>
      <c r="AN263" s="3"/>
      <c r="AO263" s="3"/>
      <c r="AP263" s="3"/>
      <c r="AR263" s="3"/>
      <c r="AS263" s="3"/>
      <c r="AT263" s="3"/>
      <c r="AU263" s="3"/>
      <c r="AW263" s="3"/>
      <c r="AX263" s="3"/>
      <c r="AY263" s="3"/>
      <c r="AZ263" s="3"/>
      <c r="BB263" s="3"/>
      <c r="BC263" s="3"/>
      <c r="BD263" s="3"/>
      <c r="BE263" s="3"/>
      <c r="BG263" s="481">
        <v>2</v>
      </c>
      <c r="BH263" s="5">
        <f t="shared" ref="BH263" si="158">BH242/BH235</f>
        <v>1</v>
      </c>
      <c r="BI263" s="5">
        <f>BI242/BI235</f>
        <v>1</v>
      </c>
      <c r="BK263" s="53"/>
    </row>
    <row r="264" spans="2:66" ht="15.75">
      <c r="B264" s="53" t="s">
        <v>5955</v>
      </c>
      <c r="G264" s="53"/>
      <c r="H264" s="53"/>
      <c r="I264" s="53"/>
      <c r="J264" s="53"/>
      <c r="K264" s="53"/>
      <c r="L264" s="53"/>
      <c r="M264" s="53"/>
      <c r="N264" s="62"/>
      <c r="AH264" s="481">
        <f>AH259-AH262-AH263</f>
        <v>64</v>
      </c>
      <c r="AI264" s="481">
        <f>AI259-AI262-AI263</f>
        <v>72</v>
      </c>
      <c r="AJ264" s="481">
        <f>AJ259-AJ262-AJ263</f>
        <v>54</v>
      </c>
      <c r="AK264" s="481">
        <f>AK259-AK262-AK263</f>
        <v>57</v>
      </c>
      <c r="AL264" s="53"/>
      <c r="AM264" s="481">
        <f>AM259-AM262-AM263</f>
        <v>58</v>
      </c>
      <c r="AN264" s="481">
        <f>AN259-AN262-AN263</f>
        <v>60</v>
      </c>
      <c r="AO264" s="481">
        <f>AO259-AO262-AO263</f>
        <v>45</v>
      </c>
      <c r="AP264" s="481">
        <f>AP259-AP262-AP263</f>
        <v>37</v>
      </c>
      <c r="AR264" s="481">
        <f>AR242-AR262-AR263</f>
        <v>136.4</v>
      </c>
      <c r="AS264" s="481">
        <f>AS242-AS262-AS263</f>
        <v>145.30000000000001</v>
      </c>
      <c r="AT264" s="481">
        <f>AT242-AT262-AT263</f>
        <v>123.4</v>
      </c>
      <c r="AU264" s="481">
        <f>AU242-AU262-AU263</f>
        <v>109.9</v>
      </c>
      <c r="AW264" s="481">
        <f>AW242-AW262-AW263</f>
        <v>92.1</v>
      </c>
      <c r="AX264" s="481">
        <f>AX242-AX262-AX263</f>
        <v>71.099999999999994</v>
      </c>
      <c r="AY264" s="481">
        <f>AY242-AY262-AY263</f>
        <v>88.2</v>
      </c>
      <c r="AZ264" s="481">
        <f>AZ242-AZ262-AZ263</f>
        <v>95.512672000000052</v>
      </c>
      <c r="BB264" s="481"/>
      <c r="BC264" s="481"/>
      <c r="BD264" s="481"/>
      <c r="BE264" s="481"/>
      <c r="BG264">
        <v>3</v>
      </c>
      <c r="BH264" s="5" t="e">
        <f>BH258/BH236</f>
        <v>#REF!</v>
      </c>
      <c r="BI264" s="5">
        <f>BI258/BI236</f>
        <v>1</v>
      </c>
      <c r="BK264" s="53"/>
    </row>
    <row r="265" spans="2:66" ht="15.75">
      <c r="B265" s="821"/>
      <c r="G265" s="53"/>
      <c r="H265" s="53"/>
      <c r="I265" s="53"/>
      <c r="J265" s="53"/>
      <c r="K265" s="53"/>
      <c r="L265" s="53"/>
      <c r="M265" s="53"/>
      <c r="AF265" s="5"/>
      <c r="AG265" s="5"/>
      <c r="AH265" s="54"/>
      <c r="AI265" s="54"/>
      <c r="AJ265" s="54"/>
      <c r="AK265" s="54"/>
      <c r="AL265" s="53"/>
      <c r="AV265" s="53"/>
      <c r="BA265" s="53"/>
      <c r="BF265" s="53"/>
      <c r="BH265" s="5" t="e">
        <f>BH259/BH237</f>
        <v>#REF!</v>
      </c>
      <c r="BI265" s="5" t="e">
        <f>BI259/BI237</f>
        <v>#DIV/0!</v>
      </c>
    </row>
    <row r="266" spans="2:66" ht="15.75">
      <c r="B266" s="821" t="str">
        <f>B259</f>
        <v xml:space="preserve"> - Liberty Mobile</v>
      </c>
      <c r="G266" s="53"/>
      <c r="H266" s="53"/>
      <c r="I266" s="53"/>
      <c r="J266" s="53"/>
      <c r="K266" s="53"/>
      <c r="L266" s="53"/>
      <c r="M266" s="53"/>
      <c r="AF266" s="5"/>
      <c r="AG266" s="5"/>
      <c r="AH266" s="54">
        <f>AH259/AH39</f>
        <v>0.32717678100263853</v>
      </c>
      <c r="AI266" s="54">
        <f>AI259/AI39</f>
        <v>0.38398244651673064</v>
      </c>
      <c r="AJ266" s="54">
        <f>AJ259/AJ39</f>
        <v>0.29892836999435984</v>
      </c>
      <c r="AK266" s="54">
        <f>AK259/AK39</f>
        <v>0.26997840172786181</v>
      </c>
      <c r="AL266" s="53"/>
      <c r="AM266" s="54">
        <f>AM259/AM39</f>
        <v>0.31111111111111112</v>
      </c>
      <c r="AN266" s="54">
        <f>AN259/AN39</f>
        <v>0.33048433048433046</v>
      </c>
      <c r="AO266" s="54">
        <f>AO259/AO39</f>
        <v>0.23823028927963696</v>
      </c>
      <c r="AP266" s="54">
        <f>AP259/AP39</f>
        <v>0.1841820151679307</v>
      </c>
      <c r="AR266" s="54"/>
      <c r="AS266" s="54"/>
      <c r="AT266" s="54"/>
      <c r="AU266" s="54"/>
      <c r="AV266" s="53"/>
      <c r="AW266" s="54"/>
      <c r="AX266" s="54"/>
      <c r="AY266" s="54"/>
      <c r="BA266" s="53"/>
      <c r="BF266" s="53"/>
    </row>
    <row r="267" spans="2:66" ht="15.75">
      <c r="B267" s="821" t="str">
        <f>B260</f>
        <v xml:space="preserve"> - LCPR (cable)</v>
      </c>
      <c r="G267" s="53"/>
      <c r="H267" s="53"/>
      <c r="I267" s="53"/>
      <c r="J267" s="53"/>
      <c r="K267" s="53"/>
      <c r="L267" s="53"/>
      <c r="M267" s="53"/>
      <c r="AF267" s="5"/>
      <c r="AG267" s="5"/>
      <c r="AH267" s="54">
        <f>AH260/(AH43-AH39)</f>
        <v>0.51164144353899887</v>
      </c>
      <c r="AI267" s="54">
        <f>AI260/(AI43-AI39)</f>
        <v>0.51319483436271751</v>
      </c>
      <c r="AJ267" s="54">
        <f>AJ260/(AJ43-AJ39)</f>
        <v>0.47944444444444467</v>
      </c>
      <c r="AK267" s="54">
        <f>AK260/(AK43-AK39)</f>
        <v>0.44706498951781976</v>
      </c>
      <c r="AL267" s="53"/>
      <c r="AM267" s="54">
        <f>AM260/(AM43-AM39)</f>
        <v>0.46620908130939809</v>
      </c>
      <c r="AN267" s="54">
        <f>AN260/(AN43-AN39)</f>
        <v>0.48144220572640511</v>
      </c>
      <c r="AO267" s="54">
        <f>AO260/(AO43-AO39)</f>
        <v>0.46956977964323199</v>
      </c>
      <c r="AP267" s="54">
        <f>AP260/(AP43-AP39)</f>
        <v>0.46569421934089689</v>
      </c>
      <c r="AR267" s="54"/>
      <c r="AS267" s="54"/>
      <c r="AT267" s="54"/>
      <c r="AU267" s="54"/>
      <c r="AV267" s="53"/>
      <c r="AW267" s="54"/>
      <c r="AX267" s="54"/>
      <c r="AY267" s="54"/>
      <c r="BA267" s="53"/>
      <c r="BF267" s="53"/>
    </row>
    <row r="268" spans="2:66" ht="15.75">
      <c r="B268" s="821"/>
      <c r="G268" s="53"/>
      <c r="H268" s="53"/>
      <c r="I268" s="53"/>
      <c r="J268" s="53"/>
      <c r="K268" s="53"/>
      <c r="L268" s="53"/>
      <c r="M268" s="53"/>
      <c r="AF268" s="5"/>
      <c r="AG268" s="5"/>
      <c r="AH268" s="54"/>
      <c r="AI268" s="54"/>
      <c r="AJ268" s="54"/>
      <c r="AK268" s="54"/>
      <c r="AL268" s="53"/>
      <c r="AV268" s="53"/>
      <c r="BA268" s="53"/>
      <c r="BF268" s="53"/>
    </row>
    <row r="269" spans="2:66" ht="15.75">
      <c r="B269" s="821" t="s">
        <v>6416</v>
      </c>
      <c r="G269" s="53"/>
      <c r="H269" s="53"/>
      <c r="I269" s="53"/>
      <c r="J269" s="53"/>
      <c r="K269" s="53"/>
      <c r="L269" s="53"/>
      <c r="M269" s="53"/>
      <c r="AF269" s="5"/>
      <c r="AG269" s="5"/>
      <c r="AH269" s="54"/>
      <c r="AI269" s="54"/>
      <c r="AJ269" s="54"/>
      <c r="AK269" s="481">
        <v>-3.5</v>
      </c>
      <c r="AL269" s="53"/>
      <c r="AM269" s="36">
        <f>-5-AM262</f>
        <v>-3</v>
      </c>
      <c r="AN269" s="36">
        <f>-7-AN262</f>
        <v>-5</v>
      </c>
      <c r="AO269" s="36">
        <f>-8-AO262</f>
        <v>-5</v>
      </c>
      <c r="AP269" s="36">
        <f>-26-AO269-AN269-AM269-AP262-AO262-AN262-AM262</f>
        <v>-3</v>
      </c>
      <c r="AR269" s="36">
        <f>-5-AR262</f>
        <v>-3</v>
      </c>
      <c r="AS269" s="36">
        <f>-5-AS262</f>
        <v>-1</v>
      </c>
      <c r="AT269" s="36">
        <f>-8-AT262</f>
        <v>-1</v>
      </c>
      <c r="AU269" s="36">
        <f>-6-AR269-AS269-AT269</f>
        <v>-1</v>
      </c>
      <c r="AV269" s="53"/>
      <c r="AW269" s="36">
        <v>-1</v>
      </c>
      <c r="AX269" s="36"/>
      <c r="AY269" s="36"/>
      <c r="AZ269" s="481"/>
      <c r="BA269" s="53"/>
      <c r="BB269" s="481"/>
      <c r="BC269" s="481"/>
      <c r="BD269" s="481"/>
      <c r="BE269" s="481"/>
      <c r="BF269" s="53"/>
    </row>
    <row r="270" spans="2:66" ht="15.75">
      <c r="B270" s="821" t="s">
        <v>6417</v>
      </c>
      <c r="G270" s="53"/>
      <c r="H270" s="53"/>
      <c r="I270" s="53"/>
      <c r="J270" s="53"/>
      <c r="K270" s="53"/>
      <c r="L270" s="53"/>
      <c r="M270" s="53"/>
      <c r="AF270" s="5"/>
      <c r="AG270" s="5"/>
      <c r="AH270" s="54"/>
      <c r="AI270" s="54"/>
      <c r="AJ270" s="54"/>
      <c r="AK270" s="481">
        <v>0</v>
      </c>
      <c r="AL270" s="53"/>
      <c r="AV270" s="53"/>
      <c r="BA270" s="53"/>
      <c r="BF270" s="53"/>
    </row>
    <row r="271" spans="2:66" ht="15.75">
      <c r="B271" s="821" t="s">
        <v>6040</v>
      </c>
      <c r="G271" s="53"/>
      <c r="H271" s="53"/>
      <c r="I271" s="53"/>
      <c r="J271" s="53"/>
      <c r="K271" s="53"/>
      <c r="L271" s="53"/>
      <c r="M271" s="53"/>
      <c r="AF271" s="5"/>
      <c r="AG271" s="5"/>
      <c r="AH271" s="54"/>
      <c r="AI271" s="54"/>
      <c r="AJ271" s="54"/>
      <c r="AK271" s="481">
        <f>AK233-AK269-AK270</f>
        <v>32.9</v>
      </c>
      <c r="AL271" s="53"/>
      <c r="AM271" s="481">
        <f>AM233-AM269-AM270</f>
        <v>33.200000000000003</v>
      </c>
      <c r="AN271" s="481">
        <f>AN233-AN269-AN270</f>
        <v>40.6</v>
      </c>
      <c r="AO271" s="481">
        <f>AO233-AO269-AO270</f>
        <v>37.799999999999997</v>
      </c>
      <c r="AP271" s="481">
        <f>AP233-AP269-AP270</f>
        <v>39.1</v>
      </c>
      <c r="AR271" s="481">
        <f>AR233-AR269-AR270</f>
        <v>48.2</v>
      </c>
      <c r="AS271" s="481">
        <f>AS233-AS269-AS270</f>
        <v>51.1</v>
      </c>
      <c r="AT271" s="481">
        <f>AT233-AT269-AT270</f>
        <v>50.9</v>
      </c>
      <c r="AU271" s="481">
        <f>AU233-AU269-AU270</f>
        <v>58.9</v>
      </c>
      <c r="AV271" s="53"/>
      <c r="AW271" s="481">
        <f>AW233-AW269-AW270</f>
        <v>59.3</v>
      </c>
      <c r="AX271" s="481"/>
      <c r="AY271" s="481"/>
      <c r="AZ271" s="481"/>
      <c r="BA271" s="53"/>
      <c r="BB271" s="481"/>
      <c r="BC271" s="481"/>
      <c r="BD271" s="481"/>
      <c r="BE271" s="481"/>
      <c r="BF271" s="53"/>
    </row>
    <row r="272" spans="2:66" ht="15.75">
      <c r="B272" s="821" t="s">
        <v>6041</v>
      </c>
      <c r="G272" s="53"/>
      <c r="H272" s="53"/>
      <c r="I272" s="53"/>
      <c r="J272" s="53"/>
      <c r="K272" s="53"/>
      <c r="L272" s="53"/>
      <c r="M272" s="53"/>
      <c r="AF272" s="5"/>
      <c r="AG272" s="5"/>
      <c r="AH272" s="54"/>
      <c r="AI272" s="54"/>
      <c r="AJ272" s="54"/>
      <c r="AK272" s="54">
        <f>AK271/AK20</f>
        <v>0.30805243445692881</v>
      </c>
      <c r="AL272" s="53"/>
      <c r="AM272" s="54">
        <f>AM271/AM20</f>
        <v>0.30912476722532589</v>
      </c>
      <c r="AN272" s="54">
        <f>AN271/AN20</f>
        <v>0.37592592592592594</v>
      </c>
      <c r="AO272" s="54">
        <f>AO271/AO20</f>
        <v>0.34615384615384615</v>
      </c>
      <c r="AP272" s="54">
        <f>AP271/AP20</f>
        <v>0.33504712939160242</v>
      </c>
      <c r="AR272" s="54">
        <f>AR271/AR20</f>
        <v>0.37306501547987619</v>
      </c>
      <c r="AS272" s="54">
        <f>AS271/AS20</f>
        <v>0.37795857988165682</v>
      </c>
      <c r="AT272" s="54">
        <f>AT271/AT20</f>
        <v>0.37815750371471024</v>
      </c>
      <c r="AU272" s="54">
        <f>AU271/AU20</f>
        <v>0.39556749496306243</v>
      </c>
      <c r="AV272" s="53"/>
      <c r="AW272" s="54">
        <f>AW271/AW20</f>
        <v>0.38936309914642148</v>
      </c>
      <c r="AX272" s="54"/>
      <c r="AY272" s="54"/>
      <c r="AZ272" s="54"/>
      <c r="BA272" s="53"/>
      <c r="BB272" s="54"/>
      <c r="BC272" s="54"/>
      <c r="BD272" s="54"/>
      <c r="BE272" s="54"/>
      <c r="BF272" s="53"/>
    </row>
    <row r="273" spans="2:65" ht="15.75">
      <c r="B273" s="821"/>
      <c r="G273" s="53"/>
      <c r="H273" s="53"/>
      <c r="I273" s="53"/>
      <c r="J273" s="53"/>
      <c r="K273" s="53"/>
      <c r="L273" s="53"/>
      <c r="M273" s="53"/>
      <c r="AF273" s="5"/>
      <c r="AG273" s="5"/>
      <c r="AH273" s="54"/>
      <c r="AI273" s="54"/>
      <c r="AJ273" s="54"/>
      <c r="AK273" s="54"/>
      <c r="AL273" s="53"/>
      <c r="AV273" s="53"/>
      <c r="BA273" s="53"/>
      <c r="BF273" s="53"/>
    </row>
    <row r="274" spans="2:65" ht="15.75">
      <c r="B274" s="78" t="s">
        <v>935</v>
      </c>
      <c r="G274" s="53"/>
      <c r="H274" s="53"/>
      <c r="I274" s="53"/>
      <c r="J274" s="53"/>
      <c r="K274" s="53"/>
      <c r="L274" s="53"/>
      <c r="M274" s="53"/>
      <c r="AF274" s="5"/>
      <c r="AG274" s="5"/>
      <c r="AH274" s="54"/>
      <c r="AI274" s="54"/>
      <c r="AJ274" s="54"/>
      <c r="AK274" s="54"/>
      <c r="AL274" s="53"/>
      <c r="AV274" s="53"/>
      <c r="BA274" s="53"/>
      <c r="BF274" s="53"/>
    </row>
    <row r="275" spans="2:65" ht="15.75">
      <c r="G275" s="53"/>
      <c r="H275" s="53"/>
      <c r="I275" s="53"/>
      <c r="J275" s="53"/>
      <c r="K275" s="53"/>
      <c r="L275" s="53"/>
      <c r="M275" s="53"/>
      <c r="AH275" s="54"/>
      <c r="AI275" s="54"/>
      <c r="AJ275" s="54"/>
      <c r="AK275" s="54"/>
      <c r="AL275" s="53"/>
      <c r="AV275" s="54"/>
      <c r="BA275" s="54"/>
      <c r="BF275" s="54"/>
    </row>
    <row r="276" spans="2:65" ht="15.75" hidden="1" outlineLevel="1">
      <c r="B276" s="53" t="str">
        <f>B209</f>
        <v>Re-stated CWC (US GAAP). LBTY</v>
      </c>
      <c r="G276" s="53"/>
      <c r="H276" s="53"/>
      <c r="I276" s="53"/>
      <c r="J276" s="53"/>
      <c r="K276" s="53"/>
      <c r="L276" s="54">
        <f t="shared" ref="L276:R276" si="159">L211/H211-1</f>
        <v>-1.129111438389796E-2</v>
      </c>
      <c r="M276" s="54">
        <f t="shared" si="159"/>
        <v>-6.2363715656345464E-2</v>
      </c>
      <c r="N276" s="54">
        <f t="shared" si="159"/>
        <v>-7.0341423282599735E-2</v>
      </c>
      <c r="O276" s="54">
        <f t="shared" si="159"/>
        <v>-0.20552032823573296</v>
      </c>
      <c r="P276" s="54">
        <f t="shared" si="159"/>
        <v>7.7954319761668334E-2</v>
      </c>
      <c r="Q276" s="54">
        <f t="shared" si="159"/>
        <v>4.1395348837209411E-2</v>
      </c>
      <c r="R276" s="54">
        <f t="shared" si="159"/>
        <v>5.3097345132742113E-3</v>
      </c>
      <c r="S276" s="54"/>
      <c r="T276" s="54"/>
      <c r="U276" s="54"/>
      <c r="V276" s="54"/>
      <c r="AH276" s="53"/>
      <c r="AI276" s="53"/>
      <c r="AJ276" s="53"/>
      <c r="AK276" s="53"/>
      <c r="AL276" s="53"/>
      <c r="AV276" s="54"/>
      <c r="BA276" s="54"/>
      <c r="BF276" s="54"/>
    </row>
    <row r="277" spans="2:65" ht="15.75" hidden="1" outlineLevel="1">
      <c r="B277" s="50" t="s">
        <v>2106</v>
      </c>
      <c r="G277" s="50"/>
      <c r="H277" s="50"/>
      <c r="I277" s="50"/>
      <c r="J277" s="50"/>
      <c r="K277" s="50"/>
      <c r="L277" s="57">
        <f t="shared" ref="L277:R277" si="160">L232/H232-1</f>
        <v>6.269592476489283E-3</v>
      </c>
      <c r="M277" s="57">
        <f t="shared" si="160"/>
        <v>5.6338028169014009E-2</v>
      </c>
      <c r="N277" s="57">
        <f t="shared" si="160"/>
        <v>0.11852433281004715</v>
      </c>
      <c r="O277" s="57">
        <f t="shared" si="160"/>
        <v>0.15504511894995887</v>
      </c>
      <c r="P277" s="57">
        <f t="shared" si="160"/>
        <v>0.13785046728971961</v>
      </c>
      <c r="Q277" s="57">
        <f t="shared" si="160"/>
        <v>1.9259259259259309E-2</v>
      </c>
      <c r="R277" s="57">
        <f t="shared" si="160"/>
        <v>-0.37333333333333329</v>
      </c>
      <c r="S277" s="54"/>
      <c r="T277" s="54"/>
      <c r="U277" s="54"/>
      <c r="V277" s="54"/>
      <c r="AD277" s="16">
        <f>AD260+AD259</f>
        <v>133.4</v>
      </c>
      <c r="AE277" s="16">
        <f>AE260+AE259</f>
        <v>138.1</v>
      </c>
      <c r="AH277" s="481">
        <f>AH260+AH259</f>
        <v>149.9</v>
      </c>
      <c r="AI277" s="481">
        <f>AI260+AI259</f>
        <v>161.4</v>
      </c>
      <c r="AJ277" s="481">
        <f>AJ260+AJ259</f>
        <v>139.30000000000001</v>
      </c>
      <c r="AK277" s="481"/>
      <c r="AL277" s="53"/>
      <c r="AV277" s="54"/>
      <c r="BA277" s="54"/>
      <c r="BF277" s="54"/>
    </row>
    <row r="278" spans="2:65" ht="15.75" hidden="1" outlineLevel="1">
      <c r="B278" s="53" t="s">
        <v>90</v>
      </c>
      <c r="G278" s="53"/>
      <c r="H278" s="53"/>
      <c r="I278" s="53"/>
      <c r="J278" s="53"/>
      <c r="K278" s="53"/>
      <c r="L278" s="54">
        <f t="shared" ref="L278:R278" si="161">L236/H236-1</f>
        <v>-4.5276184726833479E-3</v>
      </c>
      <c r="M278" s="54">
        <f t="shared" si="161"/>
        <v>-1.988238588630642E-2</v>
      </c>
      <c r="N278" s="54">
        <f t="shared" si="161"/>
        <v>-5.3981106612686069E-3</v>
      </c>
      <c r="O278" s="54">
        <f t="shared" si="161"/>
        <v>-9.2564102564102635E-2</v>
      </c>
      <c r="P278" s="54">
        <f t="shared" si="161"/>
        <v>9.4602789569435908E-2</v>
      </c>
      <c r="Q278" s="54">
        <f t="shared" si="161"/>
        <v>2.5714285714285801E-2</v>
      </c>
      <c r="R278" s="54">
        <f t="shared" si="161"/>
        <v>-0.16743554952510176</v>
      </c>
      <c r="S278" s="54"/>
      <c r="T278" s="54"/>
      <c r="U278" s="54"/>
      <c r="V278" s="54"/>
      <c r="AI278" s="6">
        <f>AI277/AD277-1</f>
        <v>0.20989505247376306</v>
      </c>
      <c r="AJ278" s="6">
        <f>AJ277/AE277-1</f>
        <v>8.6893555394642608E-3</v>
      </c>
      <c r="AK278" s="6"/>
      <c r="AV278" s="54"/>
      <c r="BA278" s="54"/>
      <c r="BF278" s="54"/>
    </row>
    <row r="279" spans="2:65" ht="15.75" hidden="1" outlineLevel="1">
      <c r="B279" s="53"/>
      <c r="G279" s="53"/>
      <c r="H279" s="53"/>
      <c r="I279" s="53"/>
      <c r="J279" s="53"/>
      <c r="K279" s="53"/>
      <c r="L279" s="53"/>
      <c r="M279" s="53"/>
      <c r="AE279" s="5">
        <f>AI259/AD259-1</f>
        <v>-0.13580246913580252</v>
      </c>
      <c r="AF279" s="5">
        <f>AJ259/AE259-1</f>
        <v>-0.33750000000000002</v>
      </c>
      <c r="AI279" s="1163">
        <v>0.1</v>
      </c>
      <c r="AV279" s="53"/>
      <c r="BA279" s="53"/>
      <c r="BF279" s="53"/>
    </row>
    <row r="280" spans="2:65" ht="15.75" hidden="1" outlineLevel="1">
      <c r="B280" s="53"/>
      <c r="G280" s="53"/>
      <c r="H280" s="53"/>
      <c r="I280" s="53"/>
      <c r="J280" s="53"/>
      <c r="K280" s="53"/>
      <c r="L280" s="53"/>
      <c r="M280" s="53"/>
      <c r="AI280" s="5">
        <f>(AI259-AD259)/(AI237-AD237)</f>
        <v>-0.30710659898477111</v>
      </c>
      <c r="AV280" s="53"/>
      <c r="BA280" s="53"/>
      <c r="BF280" s="53"/>
    </row>
    <row r="281" spans="2:65" ht="15.75" hidden="1" outlineLevel="1">
      <c r="B281" s="53"/>
      <c r="G281" s="53"/>
      <c r="H281" s="53"/>
      <c r="I281" s="53"/>
      <c r="J281" s="53"/>
      <c r="K281" s="53"/>
      <c r="L281" s="53"/>
      <c r="M281" s="53"/>
      <c r="AI281" s="5"/>
      <c r="AV281" s="53"/>
      <c r="BA281" s="53"/>
      <c r="BF281" s="53"/>
    </row>
    <row r="282" spans="2:65" ht="15.75" collapsed="1">
      <c r="B282" s="53"/>
      <c r="G282" s="53"/>
      <c r="H282" s="53"/>
      <c r="I282" s="53"/>
      <c r="J282" s="53"/>
      <c r="K282" s="53"/>
      <c r="L282" s="53"/>
      <c r="M282" s="53"/>
      <c r="AI282" s="5"/>
      <c r="AJ282" s="16"/>
      <c r="AK282" s="16"/>
      <c r="AV282" s="53"/>
      <c r="BA282" s="53"/>
      <c r="BF282" s="53"/>
    </row>
    <row r="283" spans="2:65" ht="15.75">
      <c r="B283" s="53"/>
      <c r="G283" s="53"/>
      <c r="H283" s="53"/>
      <c r="I283" s="53"/>
      <c r="J283" s="53"/>
      <c r="K283" s="53"/>
      <c r="L283" s="53"/>
      <c r="M283" s="53"/>
      <c r="AI283" s="5"/>
      <c r="AV283" s="53"/>
      <c r="BA283" s="53"/>
      <c r="BF283" s="53"/>
    </row>
    <row r="284" spans="2:65" ht="15.75">
      <c r="B284" s="636" t="s">
        <v>18</v>
      </c>
      <c r="C284" s="12"/>
      <c r="D284" s="12"/>
      <c r="E284" s="12"/>
      <c r="F284" s="12"/>
      <c r="G284" s="642" t="str">
        <f t="shared" ref="G284:AK284" si="162">G189</f>
        <v>Q1 15</v>
      </c>
      <c r="H284" s="642" t="str">
        <f t="shared" si="162"/>
        <v>Q2 15</v>
      </c>
      <c r="I284" s="642" t="str">
        <f t="shared" si="162"/>
        <v>Q3 15</v>
      </c>
      <c r="J284" s="642" t="str">
        <f t="shared" si="162"/>
        <v>Q4 15</v>
      </c>
      <c r="K284" s="642" t="str">
        <f t="shared" si="162"/>
        <v>Q1 16</v>
      </c>
      <c r="L284" s="642" t="str">
        <f t="shared" si="162"/>
        <v>Q2 16</v>
      </c>
      <c r="M284" s="642" t="str">
        <f t="shared" si="162"/>
        <v>Q3 16</v>
      </c>
      <c r="N284" s="642" t="str">
        <f t="shared" si="162"/>
        <v>Q4 16</v>
      </c>
      <c r="O284" s="642" t="str">
        <f t="shared" si="162"/>
        <v>Q1 17</v>
      </c>
      <c r="P284" s="642" t="str">
        <f t="shared" si="162"/>
        <v>Q2 17</v>
      </c>
      <c r="Q284" s="642" t="str">
        <f t="shared" si="162"/>
        <v>Q3 17</v>
      </c>
      <c r="R284" s="642" t="str">
        <f t="shared" si="162"/>
        <v>Q4 17</v>
      </c>
      <c r="S284" s="642" t="str">
        <f t="shared" si="162"/>
        <v>Q1 18</v>
      </c>
      <c r="T284" s="642" t="str">
        <f t="shared" si="162"/>
        <v>Q2 18</v>
      </c>
      <c r="U284" s="642" t="str">
        <f t="shared" si="162"/>
        <v>Q3 18</v>
      </c>
      <c r="V284" s="642" t="str">
        <f t="shared" si="162"/>
        <v>Q4 18</v>
      </c>
      <c r="W284" s="642">
        <f t="shared" si="162"/>
        <v>2018</v>
      </c>
      <c r="X284" s="642" t="str">
        <f t="shared" si="162"/>
        <v>Q1 19</v>
      </c>
      <c r="Y284" s="642" t="str">
        <f t="shared" si="162"/>
        <v>Q2 19</v>
      </c>
      <c r="Z284" s="642" t="str">
        <f t="shared" si="162"/>
        <v>Q3 19</v>
      </c>
      <c r="AA284" s="642" t="str">
        <f t="shared" si="162"/>
        <v>Q4 19</v>
      </c>
      <c r="AB284" s="642">
        <f t="shared" si="162"/>
        <v>2019</v>
      </c>
      <c r="AC284" s="642" t="str">
        <f t="shared" si="162"/>
        <v>Q1 20</v>
      </c>
      <c r="AD284" s="642" t="str">
        <f t="shared" si="162"/>
        <v>Q2 20</v>
      </c>
      <c r="AE284" s="642" t="str">
        <f t="shared" si="162"/>
        <v>Q3 20</v>
      </c>
      <c r="AF284" s="642" t="str">
        <f t="shared" si="162"/>
        <v>Q4 20</v>
      </c>
      <c r="AG284" s="642">
        <f t="shared" si="162"/>
        <v>2020</v>
      </c>
      <c r="AH284" s="642" t="str">
        <f t="shared" si="162"/>
        <v>Q1 21</v>
      </c>
      <c r="AI284" s="642" t="str">
        <f t="shared" si="162"/>
        <v>Q2 21</v>
      </c>
      <c r="AJ284" s="642" t="str">
        <f t="shared" si="162"/>
        <v>Q3 21</v>
      </c>
      <c r="AK284" s="642" t="str">
        <f t="shared" si="162"/>
        <v>Q4 21</v>
      </c>
      <c r="AL284" s="12"/>
      <c r="AM284" s="642" t="str">
        <f>AM189</f>
        <v>Q1 22</v>
      </c>
      <c r="AN284" s="642" t="str">
        <f>AN189</f>
        <v>Q2 22</v>
      </c>
      <c r="AO284" s="642" t="str">
        <f>AO189</f>
        <v>Q3 22</v>
      </c>
      <c r="AP284" s="642" t="str">
        <f>AP189</f>
        <v>Q4 22</v>
      </c>
      <c r="AQ284" s="12"/>
      <c r="AR284" s="642" t="str">
        <f>AR189</f>
        <v>Q1 23</v>
      </c>
      <c r="AS284" s="642" t="str">
        <f>AS189</f>
        <v>Q2 23</v>
      </c>
      <c r="AT284" s="642" t="str">
        <f>AT189</f>
        <v>Q3 23</v>
      </c>
      <c r="AU284" s="642" t="str">
        <f>AU189</f>
        <v>Q4 23</v>
      </c>
      <c r="AV284" s="53"/>
      <c r="AW284" s="642" t="str">
        <f>AW189</f>
        <v>Q1 24</v>
      </c>
      <c r="AX284" s="642" t="str">
        <f>AX189</f>
        <v>Q2 24</v>
      </c>
      <c r="AY284" s="642" t="str">
        <f>AY189</f>
        <v>Q3 24</v>
      </c>
      <c r="AZ284" s="642" t="str">
        <f>AZ189</f>
        <v>Q4 24e</v>
      </c>
      <c r="BA284" s="79"/>
      <c r="BB284" s="642"/>
      <c r="BC284" s="642"/>
      <c r="BD284" s="642"/>
      <c r="BE284" s="642"/>
      <c r="BF284" s="79"/>
      <c r="BK284" s="51" t="s">
        <v>2750</v>
      </c>
      <c r="BL284" s="51" t="s">
        <v>2751</v>
      </c>
      <c r="BM284" s="51" t="s">
        <v>2752</v>
      </c>
    </row>
    <row r="285" spans="2:65" ht="15.75">
      <c r="B285" s="53" t="s">
        <v>2349</v>
      </c>
      <c r="G285" s="53"/>
      <c r="H285" s="56">
        <f t="shared" ref="H285:V285" si="163">H211/H190</f>
        <v>0.34880136986301374</v>
      </c>
      <c r="I285" s="56">
        <f t="shared" si="163"/>
        <v>0.38473154362416107</v>
      </c>
      <c r="J285" s="56">
        <f t="shared" si="163"/>
        <v>0.40857142857142859</v>
      </c>
      <c r="K285" s="56">
        <f t="shared" si="163"/>
        <v>0.44314049586776866</v>
      </c>
      <c r="L285" s="56">
        <f t="shared" si="163"/>
        <v>0.35056570931244563</v>
      </c>
      <c r="M285" s="56">
        <f t="shared" si="163"/>
        <v>0.3781882145998241</v>
      </c>
      <c r="N285" s="56">
        <f t="shared" si="163"/>
        <v>0.38259691890976805</v>
      </c>
      <c r="O285" s="56">
        <f t="shared" si="163"/>
        <v>0.37004864489228628</v>
      </c>
      <c r="P285" s="56">
        <f t="shared" si="163"/>
        <v>0.37450405382094182</v>
      </c>
      <c r="Q285" s="56">
        <f t="shared" si="163"/>
        <v>0.38676800829158753</v>
      </c>
      <c r="R285" s="56">
        <f t="shared" si="163"/>
        <v>0.38844246879808514</v>
      </c>
      <c r="S285" s="56">
        <f t="shared" si="163"/>
        <v>0.39128949615713066</v>
      </c>
      <c r="T285" s="56">
        <f t="shared" si="163"/>
        <v>0.38307349665924273</v>
      </c>
      <c r="U285" s="56">
        <f t="shared" si="163"/>
        <v>0.38977800722767164</v>
      </c>
      <c r="V285" s="56">
        <f t="shared" si="163"/>
        <v>0.38349347975291698</v>
      </c>
      <c r="W285" s="56"/>
      <c r="X285" s="56">
        <f>X211/X190</f>
        <v>0.39048789048789051</v>
      </c>
      <c r="Y285" s="56">
        <f>Y211/Y190</f>
        <v>0.38806462248598744</v>
      </c>
      <c r="Z285" s="56">
        <f>Z211/Z190</f>
        <v>0.3963752307434133</v>
      </c>
      <c r="AA285" s="56">
        <f>AA211/AA190</f>
        <v>0.40197666882696048</v>
      </c>
      <c r="AB285" s="56"/>
      <c r="AC285" s="56">
        <f>AC211/AC190</f>
        <v>0.39551478083588176</v>
      </c>
      <c r="AD285" s="56">
        <f>AD211/AD190</f>
        <v>0.39510964486706773</v>
      </c>
      <c r="AE285" s="56">
        <f>AE211/AE190</f>
        <v>0.40898125811838931</v>
      </c>
      <c r="AF285" s="56">
        <f>AF211/AF190</f>
        <v>0.41220825852782766</v>
      </c>
      <c r="AG285" s="56"/>
      <c r="AH285" s="56">
        <f>AH211/AH190</f>
        <v>0.40830010873504896</v>
      </c>
      <c r="AI285" s="56">
        <f>AI211/AI190</f>
        <v>0.41580633677465295</v>
      </c>
      <c r="AJ285" s="752">
        <f>(119.6+47.9+62)/(347.4+133.9+106.5)</f>
        <v>0.39043892480435527</v>
      </c>
      <c r="AK285" s="56">
        <f>AK211/AK190</f>
        <v>0.41641190667739342</v>
      </c>
      <c r="AM285" s="56">
        <f>AM211/AM190</f>
        <v>0.39518317503392131</v>
      </c>
      <c r="AN285" s="56">
        <f>AN211/AN190</f>
        <v>0.41334418226200148</v>
      </c>
      <c r="AO285" s="752">
        <f>AO211/AO190</f>
        <v>0.37616416732438834</v>
      </c>
      <c r="AP285" s="56">
        <f>AP211/AP190</f>
        <v>0.39699725710985995</v>
      </c>
      <c r="AR285" s="56">
        <f>AR211/AR190</f>
        <v>0.39391525963682694</v>
      </c>
      <c r="AS285" s="56">
        <f>AS211/AS190</f>
        <v>0.42321183468049411</v>
      </c>
      <c r="AT285" s="56">
        <f>AT211/AT190</f>
        <v>0.4116671691287308</v>
      </c>
      <c r="AU285" s="56">
        <f>AU211/AU190</f>
        <v>0.42026239067055393</v>
      </c>
      <c r="AV285" s="781"/>
      <c r="AW285" s="56">
        <f>AW211/AW190</f>
        <v>0.41532949057485596</v>
      </c>
      <c r="AX285" s="56">
        <f>AX211/AX190</f>
        <v>0.41615541922290383</v>
      </c>
      <c r="AY285" s="56">
        <f>AY211/AY190</f>
        <v>0.4343265430221952</v>
      </c>
      <c r="AZ285" s="56">
        <f>AZ211/AZ190</f>
        <v>0.40369442761514984</v>
      </c>
      <c r="BA285" s="781"/>
      <c r="BB285" s="56"/>
      <c r="BC285" s="56"/>
      <c r="BD285" s="56"/>
      <c r="BE285" s="56"/>
      <c r="BF285" s="781"/>
      <c r="BK285" s="56"/>
    </row>
    <row r="286" spans="2:65" ht="15.75">
      <c r="B286" s="53" t="s">
        <v>2106</v>
      </c>
      <c r="G286" s="53"/>
      <c r="H286" s="56">
        <f t="shared" ref="H286:V286" si="164">H232/H191</f>
        <v>0.39213275968039335</v>
      </c>
      <c r="I286" s="56">
        <f t="shared" si="164"/>
        <v>0.41386010362694303</v>
      </c>
      <c r="J286" s="56">
        <f t="shared" si="164"/>
        <v>0.4120310478654593</v>
      </c>
      <c r="K286" s="56">
        <f t="shared" si="164"/>
        <v>0.40098684210526314</v>
      </c>
      <c r="L286" s="56">
        <f t="shared" si="164"/>
        <v>0.40466435549952734</v>
      </c>
      <c r="M286" s="56">
        <f t="shared" si="164"/>
        <v>0.41461916461916443</v>
      </c>
      <c r="N286" s="56">
        <f t="shared" si="164"/>
        <v>0.42895845875978333</v>
      </c>
      <c r="O286" s="56">
        <f t="shared" si="164"/>
        <v>0.41992245750074558</v>
      </c>
      <c r="P286" s="56">
        <f t="shared" si="164"/>
        <v>0.43186520839491582</v>
      </c>
      <c r="Q286" s="56">
        <f t="shared" si="164"/>
        <v>0.41810999696140988</v>
      </c>
      <c r="R286" s="56">
        <f t="shared" si="164"/>
        <v>0.33672699849170434</v>
      </c>
      <c r="S286" s="56">
        <f t="shared" si="164"/>
        <v>0.37776412776412771</v>
      </c>
      <c r="T286" s="56">
        <f t="shared" si="164"/>
        <v>0.39132851584213463</v>
      </c>
      <c r="U286" s="56">
        <f t="shared" si="164"/>
        <v>0.41584454409566518</v>
      </c>
      <c r="V286" s="56">
        <f t="shared" si="164"/>
        <v>0.42908224076281282</v>
      </c>
      <c r="W286" s="56"/>
      <c r="X286" s="56">
        <f t="shared" ref="X286:AA287" si="165">X232/X191</f>
        <v>0.41742180648933064</v>
      </c>
      <c r="Y286" s="56">
        <f t="shared" si="165"/>
        <v>0.43927125506072873</v>
      </c>
      <c r="Z286" s="56">
        <f t="shared" si="165"/>
        <v>0.43105480259281093</v>
      </c>
      <c r="AA286" s="56">
        <f t="shared" si="165"/>
        <v>0.45535440319116283</v>
      </c>
      <c r="AB286" s="56"/>
      <c r="AC286" s="56">
        <f t="shared" ref="AC286:AF287" si="166">AC232/AC191</f>
        <v>0.41914999670354858</v>
      </c>
      <c r="AD286" s="56">
        <f t="shared" si="166"/>
        <v>0.41581347768294247</v>
      </c>
      <c r="AE286" s="56">
        <f t="shared" si="166"/>
        <v>0.43390892667032299</v>
      </c>
      <c r="AF286" s="56">
        <f t="shared" si="166"/>
        <v>0.37826050433930369</v>
      </c>
      <c r="AG286" s="56"/>
      <c r="AH286" s="56">
        <f t="shared" ref="AH286:AK287" si="167">AH232/AH191</f>
        <v>0.38558432470258924</v>
      </c>
      <c r="AI286" s="56">
        <f t="shared" si="167"/>
        <v>0.40389678778304372</v>
      </c>
      <c r="AJ286" s="56">
        <f t="shared" si="167"/>
        <v>0.37022278572722334</v>
      </c>
      <c r="AK286" s="56">
        <f t="shared" si="167"/>
        <v>0.34604212055192457</v>
      </c>
      <c r="AM286" s="56">
        <f t="shared" ref="AM286:AP287" si="168">AM232/AM191</f>
        <v>0.35326791334937974</v>
      </c>
      <c r="AN286" s="56">
        <f t="shared" si="168"/>
        <v>0.36315891849834664</v>
      </c>
      <c r="AO286" s="56">
        <f t="shared" si="168"/>
        <v>0.32756190859673845</v>
      </c>
      <c r="AP286" s="56">
        <f t="shared" si="168"/>
        <v>0.32164838105432164</v>
      </c>
      <c r="AR286" s="56">
        <f t="shared" ref="AR286:AU287" si="169">AR232/AR191</f>
        <v>0.36741388737014763</v>
      </c>
      <c r="AS286" s="56">
        <f t="shared" si="169"/>
        <v>0.40142045454545455</v>
      </c>
      <c r="AT286" s="56">
        <f t="shared" si="169"/>
        <v>0.33143507972665148</v>
      </c>
      <c r="AU286" s="56">
        <f t="shared" si="169"/>
        <v>0.29391796322489394</v>
      </c>
      <c r="AW286" s="56">
        <f t="shared" ref="AW286:AZ287" si="170">AW232/AW191</f>
        <v>0.21118581907090464</v>
      </c>
      <c r="AX286" s="56">
        <f t="shared" si="170"/>
        <v>0.23039533376539206</v>
      </c>
      <c r="AY286" s="56">
        <f t="shared" si="170"/>
        <v>0.28617780661907855</v>
      </c>
      <c r="AZ286" s="56">
        <f t="shared" si="170"/>
        <v>0.28502498934655285</v>
      </c>
      <c r="BB286" s="56"/>
      <c r="BC286" s="56"/>
      <c r="BD286" s="56"/>
      <c r="BE286" s="56"/>
      <c r="BK286" s="56"/>
    </row>
    <row r="287" spans="2:65" ht="15.75">
      <c r="B287" s="50" t="s">
        <v>3434</v>
      </c>
      <c r="C287" s="3"/>
      <c r="D287" s="3"/>
      <c r="E287" s="3"/>
      <c r="F287" s="3"/>
      <c r="G287" s="50"/>
      <c r="H287" s="631"/>
      <c r="I287" s="631"/>
      <c r="J287" s="631"/>
      <c r="K287" s="631"/>
      <c r="L287" s="631"/>
      <c r="M287" s="631"/>
      <c r="N287" s="631"/>
      <c r="O287" s="631"/>
      <c r="P287" s="631"/>
      <c r="Q287" s="631"/>
      <c r="R287" s="631"/>
      <c r="S287" s="631"/>
      <c r="T287" s="631"/>
      <c r="U287" s="631"/>
      <c r="V287" s="631"/>
      <c r="W287" s="56"/>
      <c r="X287" s="631">
        <f t="shared" si="165"/>
        <v>0.36923076923076925</v>
      </c>
      <c r="Y287" s="631">
        <f t="shared" si="165"/>
        <v>0.36923076923076925</v>
      </c>
      <c r="Z287" s="631">
        <f t="shared" si="165"/>
        <v>0.39039039039039042</v>
      </c>
      <c r="AA287" s="631">
        <f t="shared" si="165"/>
        <v>0.30232558139534887</v>
      </c>
      <c r="AB287" s="56"/>
      <c r="AC287" s="631">
        <f t="shared" si="166"/>
        <v>0.40208369138179761</v>
      </c>
      <c r="AD287" s="631">
        <f t="shared" si="166"/>
        <v>0.37721233155963502</v>
      </c>
      <c r="AE287" s="631">
        <f t="shared" si="166"/>
        <v>0.39562112957260348</v>
      </c>
      <c r="AF287" s="631">
        <f t="shared" si="166"/>
        <v>0.4008257357424207</v>
      </c>
      <c r="AG287" s="56"/>
      <c r="AH287" s="631">
        <f t="shared" si="167"/>
        <v>0.38950276243093918</v>
      </c>
      <c r="AI287" s="631">
        <f t="shared" si="167"/>
        <v>0.34986225895316803</v>
      </c>
      <c r="AJ287" s="631">
        <f t="shared" si="167"/>
        <v>0.3120936280884265</v>
      </c>
      <c r="AK287" s="631">
        <f t="shared" si="167"/>
        <v>0.2752808988764045</v>
      </c>
      <c r="AM287" s="631">
        <f t="shared" si="168"/>
        <v>0.28119180633147112</v>
      </c>
      <c r="AN287" s="631">
        <f t="shared" si="168"/>
        <v>0.32962962962962966</v>
      </c>
      <c r="AO287" s="631">
        <f t="shared" si="168"/>
        <v>0.30036630036630035</v>
      </c>
      <c r="AP287" s="631">
        <f t="shared" si="168"/>
        <v>0.30934018851756639</v>
      </c>
      <c r="AR287" s="631">
        <f t="shared" si="169"/>
        <v>0.34984520123839014</v>
      </c>
      <c r="AS287" s="631">
        <f t="shared" si="169"/>
        <v>0.37056213017751483</v>
      </c>
      <c r="AT287" s="631">
        <f t="shared" si="169"/>
        <v>0.37072808320950967</v>
      </c>
      <c r="AU287" s="631">
        <f t="shared" si="169"/>
        <v>0.38885157824042982</v>
      </c>
      <c r="AW287" s="631">
        <f t="shared" si="170"/>
        <v>0.38279711096520019</v>
      </c>
      <c r="AX287" s="631">
        <f t="shared" si="170"/>
        <v>0.36277173913043481</v>
      </c>
      <c r="AY287" s="631">
        <f t="shared" si="170"/>
        <v>0.34914089347079036</v>
      </c>
      <c r="AZ287" s="631">
        <f t="shared" si="170"/>
        <v>0.38513734074074302</v>
      </c>
      <c r="BB287" s="631"/>
      <c r="BC287" s="631"/>
      <c r="BD287" s="631"/>
      <c r="BE287" s="631"/>
      <c r="BK287" s="56"/>
    </row>
    <row r="288" spans="2:65" ht="15.75">
      <c r="B288" s="53" t="s">
        <v>90</v>
      </c>
      <c r="G288" s="53"/>
      <c r="H288" s="56">
        <f t="shared" ref="H288:V288" si="171">H236/H194</f>
        <v>0.36430613591378935</v>
      </c>
      <c r="I288" s="56">
        <f t="shared" si="171"/>
        <v>0.39467285587975248</v>
      </c>
      <c r="J288" s="56">
        <f t="shared" si="171"/>
        <v>0.40975447909754475</v>
      </c>
      <c r="K288" s="56">
        <f t="shared" si="171"/>
        <v>0.42909010892287375</v>
      </c>
      <c r="L288" s="56">
        <f t="shared" si="171"/>
        <v>0.36981385960977803</v>
      </c>
      <c r="M288" s="56">
        <f t="shared" si="171"/>
        <v>0.39145509450844418</v>
      </c>
      <c r="N288" s="56">
        <f t="shared" si="171"/>
        <v>0.399284862932062</v>
      </c>
      <c r="O288" s="56">
        <f t="shared" si="171"/>
        <v>0.38851685146558346</v>
      </c>
      <c r="P288" s="56">
        <f t="shared" si="171"/>
        <v>0.39324618736383443</v>
      </c>
      <c r="Q288" s="56">
        <f t="shared" si="171"/>
        <v>0.39537444933920707</v>
      </c>
      <c r="R288" s="56">
        <f t="shared" si="171"/>
        <v>0.36089871779790611</v>
      </c>
      <c r="S288" s="56">
        <f t="shared" si="171"/>
        <v>0.37450549450549453</v>
      </c>
      <c r="T288" s="56">
        <f t="shared" si="171"/>
        <v>0.38329718004338392</v>
      </c>
      <c r="U288" s="56">
        <f t="shared" si="171"/>
        <v>0.3862144420131291</v>
      </c>
      <c r="V288" s="56">
        <f t="shared" si="171"/>
        <v>0.38387776606954688</v>
      </c>
      <c r="W288" s="56"/>
      <c r="X288" s="56">
        <f>X236/X194</f>
        <v>0.38791092258748677</v>
      </c>
      <c r="Y288" s="56">
        <f>Y236/Y194</f>
        <v>0.39369277721261442</v>
      </c>
      <c r="Z288" s="56">
        <f>Z236/Z194</f>
        <v>0.3927389325610261</v>
      </c>
      <c r="AA288" s="56">
        <f>AA236/AA194</f>
        <v>0.40102564102564103</v>
      </c>
      <c r="AB288" s="56"/>
      <c r="AC288" s="56">
        <f>AC236/AC194</f>
        <v>0.39087003222341565</v>
      </c>
      <c r="AD288" s="56">
        <f>AD236/AD194</f>
        <v>0.392226148409894</v>
      </c>
      <c r="AE288" s="56">
        <f>AE236/AE194</f>
        <v>0.4056306306306306</v>
      </c>
      <c r="AF288" s="56">
        <f>AF236/AF194</f>
        <v>0.38650865998176848</v>
      </c>
      <c r="AG288" s="56"/>
      <c r="AH288" s="56">
        <f>AH236/AH194</f>
        <v>0.38736097939477532</v>
      </c>
      <c r="AI288" s="56">
        <f>AI236/AI194</f>
        <v>0.39726027397260272</v>
      </c>
      <c r="AJ288" s="56">
        <f>AJ236/AJ194</f>
        <v>0.37416107382550334</v>
      </c>
      <c r="AK288" s="56">
        <f>AK236/AK194</f>
        <v>0.36713314048940665</v>
      </c>
      <c r="AM288" s="56">
        <f>AM236/AM194</f>
        <v>0.36095159967186219</v>
      </c>
      <c r="AN288" s="56">
        <f>AN236/AN194</f>
        <v>0.38062397372742202</v>
      </c>
      <c r="AO288" s="56">
        <f>AO236/AO194</f>
        <v>0.33960720130932898</v>
      </c>
      <c r="AP288" s="56">
        <f>AP236/AP194</f>
        <v>0.34909968122684587</v>
      </c>
      <c r="AR288" s="56">
        <f>AR236/AR194</f>
        <v>0.36820652173913043</v>
      </c>
      <c r="AS288" s="56">
        <f>AS236/AS194</f>
        <v>0.39652715939447908</v>
      </c>
      <c r="AT288" s="56">
        <f>AT236/AT194</f>
        <v>0.38052940131462076</v>
      </c>
      <c r="AU288" s="56">
        <f>AU236/AU194</f>
        <v>0.3710481099656357</v>
      </c>
      <c r="AW288" s="56">
        <f>AW236/AW194</f>
        <v>0.34049135577797995</v>
      </c>
      <c r="AX288" s="56">
        <f>AX236/AX194</f>
        <v>0.34794275491949911</v>
      </c>
      <c r="AY288" s="56">
        <f>AY236/AY194</f>
        <v>0.3699522760646109</v>
      </c>
      <c r="AZ288" s="56">
        <f>AZ236/AZ194</f>
        <v>0.35492424153936092</v>
      </c>
      <c r="BB288" s="56"/>
      <c r="BC288" s="56"/>
      <c r="BD288" s="56"/>
      <c r="BE288" s="56"/>
      <c r="BK288" s="56"/>
    </row>
    <row r="289" spans="2:63" ht="15.75">
      <c r="B289" s="53"/>
      <c r="G289" s="53"/>
      <c r="H289" s="53"/>
      <c r="I289" s="53"/>
      <c r="J289" s="53"/>
      <c r="K289" s="53"/>
      <c r="L289" s="53"/>
      <c r="M289" s="53"/>
      <c r="N289" s="62"/>
      <c r="BK289" s="53"/>
    </row>
    <row r="290" spans="2:63" ht="15.75">
      <c r="B290" s="53" t="s">
        <v>8</v>
      </c>
      <c r="G290" s="53"/>
      <c r="H290" s="53"/>
      <c r="I290" s="53"/>
      <c r="J290" s="53"/>
      <c r="K290" s="53"/>
      <c r="L290" s="53"/>
      <c r="M290" s="53"/>
      <c r="N290" s="62"/>
      <c r="AS290" s="62"/>
      <c r="AT290" s="62"/>
      <c r="AU290" s="62"/>
      <c r="BK290" s="53"/>
    </row>
    <row r="291" spans="2:63" ht="15.75">
      <c r="B291" s="53" t="s">
        <v>6727</v>
      </c>
      <c r="G291" s="53"/>
      <c r="H291" s="53"/>
      <c r="I291" s="53"/>
      <c r="J291" s="53"/>
      <c r="K291" s="53"/>
      <c r="L291" s="53"/>
      <c r="M291" s="53"/>
      <c r="N291" s="62"/>
      <c r="AJ291">
        <v>119.6</v>
      </c>
      <c r="AK291">
        <v>125</v>
      </c>
      <c r="AM291">
        <v>129.9</v>
      </c>
      <c r="AN291">
        <v>134.5</v>
      </c>
      <c r="AO291">
        <v>132.69999999999999</v>
      </c>
      <c r="AP291">
        <v>138.1</v>
      </c>
      <c r="AR291">
        <v>140.19999999999999</v>
      </c>
      <c r="AS291">
        <v>146.30000000000001</v>
      </c>
      <c r="AT291">
        <v>150.4</v>
      </c>
      <c r="AU291">
        <v>160</v>
      </c>
      <c r="AV291" s="5"/>
      <c r="AW291">
        <v>150.6</v>
      </c>
      <c r="AX291" s="62">
        <v>157</v>
      </c>
      <c r="AY291" s="62">
        <v>157.69999999999999</v>
      </c>
      <c r="AZ291" s="62">
        <f>AZ294-AZ292-AZ293</f>
        <v>143.25722221067434</v>
      </c>
      <c r="BB291" s="62"/>
      <c r="BC291" s="62"/>
      <c r="BD291" s="62"/>
      <c r="BE291" s="62"/>
      <c r="BK291" s="53"/>
    </row>
    <row r="292" spans="2:63" ht="15.75">
      <c r="B292" s="53" t="s">
        <v>52</v>
      </c>
      <c r="G292" s="53"/>
      <c r="H292" s="53"/>
      <c r="I292" s="53"/>
      <c r="J292" s="53"/>
      <c r="K292" s="53"/>
      <c r="L292" s="53"/>
      <c r="M292" s="53"/>
      <c r="N292" s="62"/>
      <c r="AJ292" s="62">
        <v>62</v>
      </c>
      <c r="AK292">
        <v>71.2</v>
      </c>
      <c r="AM292">
        <v>62.6</v>
      </c>
      <c r="AN292">
        <v>75.099999999999994</v>
      </c>
      <c r="AO292">
        <v>58.9</v>
      </c>
      <c r="AP292">
        <v>79.7</v>
      </c>
      <c r="AR292">
        <v>63.6</v>
      </c>
      <c r="AS292">
        <v>72.2</v>
      </c>
      <c r="AT292">
        <v>64.2</v>
      </c>
      <c r="AU292">
        <v>61.6</v>
      </c>
      <c r="AV292" s="5"/>
      <c r="AW292">
        <v>59.2</v>
      </c>
      <c r="AX292">
        <v>63.1</v>
      </c>
      <c r="AY292">
        <v>68.7</v>
      </c>
      <c r="AZ292" s="62">
        <f>AZ298*AZ8</f>
        <v>67.748408000000026</v>
      </c>
      <c r="BB292" s="62"/>
      <c r="BC292" s="62"/>
      <c r="BD292" s="62"/>
      <c r="BE292" s="62"/>
      <c r="BK292" s="53"/>
    </row>
    <row r="293" spans="2:63" ht="15.75">
      <c r="B293" s="50" t="s">
        <v>0</v>
      </c>
      <c r="C293" s="3"/>
      <c r="D293" s="3"/>
      <c r="E293" s="3"/>
      <c r="F293" s="3"/>
      <c r="G293" s="50"/>
      <c r="H293" s="50"/>
      <c r="I293" s="50"/>
      <c r="J293" s="50"/>
      <c r="K293" s="50"/>
      <c r="L293" s="50"/>
      <c r="M293" s="50"/>
      <c r="N293" s="554"/>
      <c r="O293" s="3"/>
      <c r="P293" s="3"/>
      <c r="Q293" s="3"/>
      <c r="R293" s="3"/>
      <c r="S293" s="3"/>
      <c r="T293" s="3"/>
      <c r="U293" s="3"/>
      <c r="V293" s="3"/>
      <c r="W293" s="3"/>
      <c r="X293" s="3"/>
      <c r="Y293" s="3"/>
      <c r="Z293" s="3"/>
      <c r="AA293" s="3"/>
      <c r="AB293" s="3"/>
      <c r="AC293" s="3"/>
      <c r="AD293" s="3"/>
      <c r="AE293" s="3"/>
      <c r="AF293" s="3"/>
      <c r="AG293" s="3"/>
      <c r="AH293" s="3">
        <v>44</v>
      </c>
      <c r="AI293" s="3">
        <v>45.6</v>
      </c>
      <c r="AJ293" s="3">
        <v>47.9</v>
      </c>
      <c r="AK293" s="3">
        <f>200-AH293-AI293-AJ293</f>
        <v>62.500000000000007</v>
      </c>
      <c r="AL293" s="3"/>
      <c r="AM293" s="3">
        <v>40.5</v>
      </c>
      <c r="AN293" s="3">
        <v>44.4</v>
      </c>
      <c r="AO293" s="3">
        <v>46.7</v>
      </c>
      <c r="AP293" s="3">
        <v>57.2</v>
      </c>
      <c r="AR293" s="3">
        <v>43.5</v>
      </c>
      <c r="AS293" s="554">
        <v>59</v>
      </c>
      <c r="AT293" s="554">
        <v>58.5</v>
      </c>
      <c r="AU293" s="554">
        <v>66.7</v>
      </c>
      <c r="AV293" s="5"/>
      <c r="AW293" s="3">
        <v>56.8</v>
      </c>
      <c r="AX293" s="3">
        <v>64.8</v>
      </c>
      <c r="AY293" s="3">
        <v>59.3</v>
      </c>
      <c r="AZ293" s="554">
        <f>'New Format'!K200-AW293-AX293-AY293</f>
        <v>73.778568203432556</v>
      </c>
      <c r="BB293" s="554"/>
      <c r="BC293" s="554"/>
      <c r="BD293" s="554"/>
      <c r="BE293" s="554"/>
      <c r="BK293" s="53"/>
    </row>
    <row r="294" spans="2:63" ht="15.75">
      <c r="B294" s="53" t="s">
        <v>16</v>
      </c>
      <c r="G294" s="53"/>
      <c r="H294" s="53"/>
      <c r="I294" s="53"/>
      <c r="J294" s="53"/>
      <c r="K294" s="53"/>
      <c r="L294" s="53"/>
      <c r="M294" s="53"/>
      <c r="N294" s="62"/>
      <c r="AJ294">
        <f>SUM(AJ291:AJ293)</f>
        <v>229.5</v>
      </c>
      <c r="AK294">
        <f>SUM(AK291:AK293)</f>
        <v>258.7</v>
      </c>
      <c r="AM294">
        <f>SUM(AM291:AM293)</f>
        <v>233</v>
      </c>
      <c r="AN294">
        <f>SUM(AN291:AN293)</f>
        <v>254</v>
      </c>
      <c r="AO294">
        <f>SUM(AO291:AO293)</f>
        <v>238.3</v>
      </c>
      <c r="AP294">
        <f>SUM(AP291:AP293)</f>
        <v>275</v>
      </c>
      <c r="AR294">
        <f>SUM(AR291:AR293)</f>
        <v>247.29999999999998</v>
      </c>
      <c r="AS294">
        <f>SUM(AS291:AS293)</f>
        <v>277.5</v>
      </c>
      <c r="AT294">
        <f>SUM(AT291:AT293)</f>
        <v>273.10000000000002</v>
      </c>
      <c r="AU294">
        <f>SUM(AU291:AU293)</f>
        <v>288.3</v>
      </c>
      <c r="AV294" s="16"/>
      <c r="AW294">
        <f>SUM(AW291:AW293)</f>
        <v>266.60000000000002</v>
      </c>
      <c r="AX294">
        <f>SUM(AX291:AX293)</f>
        <v>284.89999999999998</v>
      </c>
      <c r="AY294">
        <f>SUM(AY291:AY293)</f>
        <v>285.7</v>
      </c>
      <c r="AZ294" s="62">
        <f>Master!P85-AW294-AX294-AY294</f>
        <v>284.78419841410692</v>
      </c>
      <c r="BA294" s="62"/>
      <c r="BB294" s="62"/>
      <c r="BC294" s="62"/>
      <c r="BD294" s="62"/>
      <c r="BE294" s="62"/>
      <c r="BF294" s="62"/>
      <c r="BG294" s="62"/>
      <c r="BH294" s="62"/>
      <c r="BK294" s="53"/>
    </row>
    <row r="295" spans="2:63" ht="15.75">
      <c r="B295" s="53"/>
      <c r="G295" s="53"/>
      <c r="H295" s="53"/>
      <c r="I295" s="53"/>
      <c r="J295" s="53"/>
      <c r="K295" s="53"/>
      <c r="L295" s="53"/>
      <c r="M295" s="53"/>
      <c r="N295" s="62"/>
      <c r="AZ295" s="62"/>
      <c r="BB295" s="62"/>
      <c r="BC295" s="62"/>
      <c r="BD295" s="62"/>
      <c r="BE295" s="62"/>
      <c r="BG295" s="62"/>
      <c r="BK295" s="53"/>
    </row>
    <row r="296" spans="2:63" ht="15.75">
      <c r="B296" s="53" t="s">
        <v>251</v>
      </c>
      <c r="G296" s="53"/>
      <c r="H296" s="53"/>
      <c r="I296" s="53"/>
      <c r="J296" s="53"/>
      <c r="K296" s="53"/>
      <c r="L296" s="53"/>
      <c r="M296" s="53"/>
      <c r="N296" s="62"/>
      <c r="AU296" s="6"/>
      <c r="AV296" s="6"/>
      <c r="AY296" s="6">
        <f>(AY291+15)/(AY17-AY8-AY13)</f>
        <v>0.47985551542095028</v>
      </c>
      <c r="AZ296" s="62"/>
      <c r="BB296" s="62"/>
      <c r="BC296" s="62"/>
      <c r="BD296" s="62"/>
      <c r="BE296" s="62"/>
      <c r="BG296" s="62"/>
      <c r="BH296" s="62"/>
      <c r="BK296" s="53"/>
    </row>
    <row r="297" spans="2:63" ht="15.75">
      <c r="B297" s="53" t="str">
        <f>B291</f>
        <v>CWC Caribbean</v>
      </c>
      <c r="G297" s="53"/>
      <c r="H297" s="53"/>
      <c r="I297" s="53"/>
      <c r="J297" s="53"/>
      <c r="K297" s="53"/>
      <c r="L297" s="53"/>
      <c r="M297" s="53"/>
      <c r="N297" s="62"/>
      <c r="AJ297" s="6">
        <f>AJ291/(AJ17-AJ8-AJ13)</f>
        <v>0.34210526315789475</v>
      </c>
      <c r="AK297" s="6">
        <f>AK291/(AK17-AK8-AK13)</f>
        <v>0.34925956971221012</v>
      </c>
      <c r="AL297" s="6"/>
      <c r="AM297" s="6">
        <f>AM291/(AM17-AM8-AM13)</f>
        <v>0.36612175873731678</v>
      </c>
      <c r="AN297" s="6">
        <f>AN291/(AN17-AN8-AN13)</f>
        <v>0.37727910238429146</v>
      </c>
      <c r="AO297" s="6">
        <f>AO291/(AO17-AO8-AO13)</f>
        <v>0.36953494848231683</v>
      </c>
      <c r="AP297" s="6">
        <f>AP291/(AP17-AP8-AP13)</f>
        <v>0.37598693166349023</v>
      </c>
      <c r="AR297" s="6">
        <f>AR291/(AR17-AR8-AR13)</f>
        <v>0.39626907857546634</v>
      </c>
      <c r="AS297" s="6">
        <f>AS291/(AS17-AS8-AS13)</f>
        <v>0.41060903732809434</v>
      </c>
      <c r="AT297" s="6">
        <f>AT291/(AT17-AT8-AT13)</f>
        <v>0.41719833564493758</v>
      </c>
      <c r="AU297" s="6">
        <f>AU291/(AU17-AU8-AU13)</f>
        <v>0.4366812227074236</v>
      </c>
      <c r="AW297" s="6">
        <f>AW291/(AW17-AW8-AW13)</f>
        <v>0.41350906095551893</v>
      </c>
      <c r="AX297" s="6">
        <f>AX291/(AX17-AX8-AX13)</f>
        <v>0.42628292153136027</v>
      </c>
      <c r="AY297" s="6">
        <f>AY291/(AY17-AY8-AY13)</f>
        <v>0.43817727146429564</v>
      </c>
      <c r="AZ297" s="6">
        <f>AZ291/(AZ17-AZ8-AZ13)</f>
        <v>0.37809810286166029</v>
      </c>
      <c r="BB297" s="6"/>
      <c r="BC297" s="6"/>
      <c r="BD297" s="6"/>
      <c r="BE297" s="6"/>
      <c r="BK297" s="53"/>
    </row>
    <row r="298" spans="2:63" ht="15.75">
      <c r="B298" s="53" t="str">
        <f>B292</f>
        <v>Networks</v>
      </c>
      <c r="G298" s="53"/>
      <c r="H298" s="53"/>
      <c r="I298" s="53"/>
      <c r="J298" s="53"/>
      <c r="K298" s="53"/>
      <c r="L298" s="53"/>
      <c r="M298" s="53"/>
      <c r="N298" s="62"/>
      <c r="AJ298" s="35">
        <f>AJ292/106.5</f>
        <v>0.5821596244131455</v>
      </c>
      <c r="AM298" s="6">
        <f>AM292/AM8</f>
        <v>0.58178438661710041</v>
      </c>
      <c r="AN298" s="6">
        <f>AN292/AN8</f>
        <v>0.64518900343642593</v>
      </c>
      <c r="AO298" s="6">
        <f>AO292/AO8</f>
        <v>0.57295719844357973</v>
      </c>
      <c r="AP298" s="6">
        <f>AP292/AP8</f>
        <v>0.64274193548387104</v>
      </c>
      <c r="AR298" s="6">
        <f>AR292/AR8</f>
        <v>0.5850965961361545</v>
      </c>
      <c r="AS298" s="6">
        <f>AS292/AS8</f>
        <v>0.6087689713322092</v>
      </c>
      <c r="AT298" s="6">
        <f>AT292/AT8</f>
        <v>0.57066666666666666</v>
      </c>
      <c r="AU298" s="6">
        <f>AU292/AU8</f>
        <v>0.54273127753303962</v>
      </c>
      <c r="AV298" s="6">
        <f>SUM(AR292:AU292)/SUM(AR8:AU8)</f>
        <v>0.57710125744540042</v>
      </c>
      <c r="AW298" s="6">
        <f>AW292/AW8</f>
        <v>0.54562211981566822</v>
      </c>
      <c r="AX298" s="6">
        <f>AX292/AX8</f>
        <v>0.52980688497061301</v>
      </c>
      <c r="AY298" s="6">
        <f>AY292/AY8</f>
        <v>0.62511373976342133</v>
      </c>
      <c r="AZ298" s="1380">
        <v>0.56000000000000005</v>
      </c>
      <c r="BA298" s="6">
        <f>SUM(AW292:AZ292)/SUM(AW8:AZ8)</f>
        <v>0.5643622471069033</v>
      </c>
      <c r="BB298" s="1380"/>
      <c r="BC298" s="1380"/>
      <c r="BD298" s="1380"/>
      <c r="BE298" s="1380"/>
      <c r="BF298" s="6">
        <f>SUM(AX292:BA292)/SUM(AX8:BA8)</f>
        <v>0.24682575953796526</v>
      </c>
      <c r="BK298" s="53"/>
    </row>
    <row r="299" spans="2:63" ht="15.75">
      <c r="B299" s="53" t="str">
        <f>B293</f>
        <v>Panama</v>
      </c>
      <c r="G299" s="53"/>
      <c r="H299" s="53"/>
      <c r="I299" s="53"/>
      <c r="J299" s="53"/>
      <c r="K299" s="53"/>
      <c r="L299" s="53"/>
      <c r="M299" s="53"/>
      <c r="N299" s="62"/>
      <c r="AH299" s="6">
        <f>AH293/AH13</f>
        <v>0.36065573770491804</v>
      </c>
      <c r="AI299" s="6">
        <f>AI293/AI13</f>
        <v>0.35736677115987464</v>
      </c>
      <c r="AJ299" s="6">
        <f>AJ293/AJ13</f>
        <v>0.37363494539781594</v>
      </c>
      <c r="AK299" s="6">
        <f>AK293/AK13</f>
        <v>0.37069988137603799</v>
      </c>
      <c r="AM299" s="6">
        <f>AM293/AM13</f>
        <v>0.31839622641509435</v>
      </c>
      <c r="AN299" s="6">
        <f>AN293/AN13</f>
        <v>0.3135593220338983</v>
      </c>
      <c r="AO299" s="6">
        <f>AO293/AO13</f>
        <v>0.27214452214452217</v>
      </c>
      <c r="AP299" s="6">
        <f>AP293/AP13</f>
        <v>0.28401191658391262</v>
      </c>
      <c r="AR299" s="7">
        <f>AR293/AR13</f>
        <v>0.26315789473684209</v>
      </c>
      <c r="AS299" s="7">
        <f>AS293/AS13</f>
        <v>0.32632743362831856</v>
      </c>
      <c r="AT299" s="7">
        <f>AT293/AT13</f>
        <v>0.30724789915966383</v>
      </c>
      <c r="AU299" s="7">
        <f>AU293/AU13</f>
        <v>0.32362930616205726</v>
      </c>
      <c r="AW299" s="7">
        <f>AW293/AW13</f>
        <v>0.33569739952718675</v>
      </c>
      <c r="AX299" s="7">
        <f>AX293/AX13</f>
        <v>0.32860040567951321</v>
      </c>
      <c r="AY299" s="7">
        <f>AY293/AY13</f>
        <v>0.31542553191489359</v>
      </c>
      <c r="AZ299" s="7">
        <f>AZ293/AZ13</f>
        <v>0.35888596803324957</v>
      </c>
      <c r="BB299" s="7"/>
      <c r="BC299" s="7"/>
      <c r="BD299" s="7"/>
      <c r="BE299" s="7"/>
      <c r="BK299" s="53"/>
    </row>
    <row r="300" spans="2:63" ht="15.75">
      <c r="B300" s="53" t="str">
        <f>B294</f>
        <v>Total</v>
      </c>
      <c r="G300" s="53"/>
      <c r="H300" s="53"/>
      <c r="I300" s="53"/>
      <c r="J300" s="53"/>
      <c r="K300" s="53"/>
      <c r="L300" s="53"/>
      <c r="M300" s="53"/>
      <c r="N300" s="62"/>
      <c r="AH300" s="6"/>
      <c r="AI300" s="6"/>
      <c r="AJ300" s="6"/>
      <c r="AK300" s="6"/>
      <c r="AM300" s="6"/>
      <c r="AN300" s="6"/>
      <c r="AO300" s="6"/>
      <c r="AP300" s="6"/>
      <c r="AR300" s="6">
        <f>AR294/AR17</f>
        <v>0.39391525963682694</v>
      </c>
      <c r="AS300" s="6">
        <f>AS294/AS17</f>
        <v>0.42321183468049411</v>
      </c>
      <c r="AT300" s="6">
        <f>AT294/AT17</f>
        <v>0.4116671691287308</v>
      </c>
      <c r="AU300" s="6">
        <f>AU294/AU17</f>
        <v>0.42026239067055393</v>
      </c>
      <c r="AW300" s="6">
        <f>AW294/AW17</f>
        <v>0.41532949057485596</v>
      </c>
      <c r="AX300" s="6">
        <f>AX294/AX17</f>
        <v>0.41615541922290383</v>
      </c>
      <c r="AY300" s="6">
        <f>AY294/AY17</f>
        <v>0.4343265430221952</v>
      </c>
      <c r="AZ300" s="6">
        <f>AZ294/AZ17</f>
        <v>0.40369442761514984</v>
      </c>
      <c r="BB300" s="6"/>
      <c r="BC300" s="6"/>
      <c r="BD300" s="6"/>
      <c r="BE300" s="6"/>
      <c r="BK300" s="53"/>
    </row>
    <row r="301" spans="2:63" ht="15.75">
      <c r="B301" s="53"/>
      <c r="G301" s="53"/>
      <c r="H301" s="53"/>
      <c r="I301" s="53"/>
      <c r="J301" s="53"/>
      <c r="K301" s="53"/>
      <c r="L301" s="53"/>
      <c r="M301" s="53"/>
      <c r="N301" s="62"/>
      <c r="BK301" s="53"/>
    </row>
    <row r="302" spans="2:63" ht="15.75">
      <c r="B302" s="53"/>
      <c r="G302" s="53"/>
      <c r="H302" s="53"/>
      <c r="I302" s="53"/>
      <c r="J302" s="53"/>
      <c r="K302" s="53"/>
      <c r="L302" s="53"/>
      <c r="M302" s="53"/>
      <c r="N302" s="62"/>
      <c r="BK302" s="53"/>
    </row>
    <row r="303" spans="2:63" ht="15.75">
      <c r="B303" s="53" t="s">
        <v>899</v>
      </c>
      <c r="G303" s="53"/>
      <c r="H303" s="53"/>
      <c r="I303" s="53"/>
      <c r="J303" s="53"/>
      <c r="K303" s="53"/>
      <c r="L303" s="53"/>
      <c r="M303" s="53"/>
      <c r="N303" s="62"/>
      <c r="AC303" s="56">
        <f>AC239/AC18</f>
        <v>0.38684369342184666</v>
      </c>
      <c r="AD303" s="56">
        <f>AD239/AD18</f>
        <v>0.37933207309388783</v>
      </c>
      <c r="AE303" s="56">
        <f>AE239/AE18</f>
        <v>0.39149746192893398</v>
      </c>
      <c r="AF303" s="56">
        <f>AF239/AF18</f>
        <v>0.35931558935361207</v>
      </c>
      <c r="AH303" s="56">
        <f>AH239/AH18</f>
        <v>0.3352353780313837</v>
      </c>
      <c r="AI303" s="56">
        <f>AI239/AI18</f>
        <v>0.32823698041089344</v>
      </c>
      <c r="AJ303" s="56">
        <f>AJ239/AJ18</f>
        <v>0.3371310201967892</v>
      </c>
      <c r="AK303" s="56">
        <f>AK239/AK18</f>
        <v>0.31636155606407318</v>
      </c>
      <c r="AM303" s="56">
        <f>AM239/AM18</f>
        <v>0.27224824355971894</v>
      </c>
      <c r="AN303" s="56">
        <f>AN239/AN18</f>
        <v>0.25266666666666665</v>
      </c>
      <c r="AO303" s="56">
        <f>AO239/AO18</f>
        <v>0.24036979969183356</v>
      </c>
      <c r="AP303" s="56"/>
      <c r="AR303" s="56"/>
      <c r="AS303" s="56"/>
      <c r="AT303" s="56"/>
      <c r="AU303" s="56"/>
      <c r="AW303" s="56"/>
      <c r="AX303" s="56"/>
      <c r="AY303" s="56"/>
      <c r="AZ303" s="56"/>
      <c r="BB303" s="56"/>
      <c r="BC303" s="56"/>
      <c r="BD303" s="56"/>
      <c r="BE303" s="56"/>
      <c r="BK303" s="53"/>
    </row>
    <row r="304" spans="2:63" ht="15.75">
      <c r="B304" s="53" t="str">
        <f>B242</f>
        <v>PR</v>
      </c>
      <c r="G304" s="53"/>
      <c r="H304" s="53"/>
      <c r="I304" s="53"/>
      <c r="J304" s="53"/>
      <c r="K304" s="53"/>
      <c r="L304" s="53"/>
      <c r="M304" s="53"/>
      <c r="N304" s="62"/>
      <c r="AC304" s="56">
        <f>AC242/AC19</f>
        <v>0.482791586998088</v>
      </c>
      <c r="AD304" s="56">
        <f>AD242/AD19</f>
        <v>0.48029330889092575</v>
      </c>
      <c r="AE304" s="56">
        <f>AE242/AE19</f>
        <v>0.50786713286713281</v>
      </c>
      <c r="AF304" s="56">
        <f>AF242/AF19</f>
        <v>0.39155405405405408</v>
      </c>
      <c r="AH304" s="56">
        <f>AH242/AH19</f>
        <v>0.41489067257127044</v>
      </c>
      <c r="AI304" s="56">
        <f>AI242/AI19</f>
        <v>0.44783573806881249</v>
      </c>
      <c r="AJ304" s="56">
        <f>AJ242/AJ19</f>
        <v>0.38802228412256273</v>
      </c>
      <c r="AK304" s="56">
        <f>AK242/AK19</f>
        <v>0.35984042553191492</v>
      </c>
      <c r="AM304" s="56">
        <f>AM242/AM19</f>
        <v>0.39073923639317631</v>
      </c>
      <c r="AN304" s="56">
        <f>AN242/AN19</f>
        <v>0.40867893435869268</v>
      </c>
      <c r="AO304" s="56">
        <f>AO242/AO19</f>
        <v>0.35840828563641319</v>
      </c>
      <c r="AP304" s="56">
        <f>AP242/AP19</f>
        <v>0.32164838105432164</v>
      </c>
      <c r="AR304" s="56">
        <f>AR242/AR19</f>
        <v>0.36741388737014763</v>
      </c>
      <c r="AS304" s="56">
        <f>AS242/AS19</f>
        <v>0.40142045454545455</v>
      </c>
      <c r="AT304" s="56">
        <f>AT242/AT19</f>
        <v>0.33143507972665148</v>
      </c>
      <c r="AU304" s="56">
        <f>AU242/AU19</f>
        <v>0.29391796322489394</v>
      </c>
      <c r="AW304" s="56">
        <f>AW242/AW19</f>
        <v>0.21118581907090464</v>
      </c>
      <c r="AX304" s="56">
        <f>AX242/AX19</f>
        <v>0.23039533376539206</v>
      </c>
      <c r="AY304" s="56">
        <f>AY242/AY19</f>
        <v>0.28617780661907855</v>
      </c>
      <c r="AZ304" s="56">
        <f>AZ242/AZ19</f>
        <v>0.28502498934655285</v>
      </c>
      <c r="BB304" s="56"/>
      <c r="BC304" s="56"/>
      <c r="BD304" s="56"/>
      <c r="BE304" s="56"/>
      <c r="BK304" s="53"/>
    </row>
    <row r="305" spans="2:65" ht="15.75" hidden="1" outlineLevel="1">
      <c r="B305" s="78" t="str">
        <f>B258</f>
        <v xml:space="preserve"> of which</v>
      </c>
      <c r="G305" s="53"/>
      <c r="H305" s="53"/>
      <c r="I305" s="53"/>
      <c r="J305" s="53"/>
      <c r="K305" s="53"/>
      <c r="L305" s="53"/>
      <c r="M305" s="53"/>
      <c r="N305" s="62"/>
      <c r="BK305" s="53"/>
    </row>
    <row r="306" spans="2:65" ht="15.75" hidden="1" outlineLevel="1">
      <c r="B306" s="53" t="s">
        <v>5956</v>
      </c>
      <c r="G306" s="53"/>
      <c r="H306" s="53"/>
      <c r="I306" s="53"/>
      <c r="J306" s="53"/>
      <c r="K306" s="53"/>
      <c r="L306" s="53"/>
      <c r="M306" s="53"/>
      <c r="N306" s="62"/>
      <c r="AH306" s="56">
        <f>AH259/AH$55</f>
        <v>0.32717678100263853</v>
      </c>
      <c r="AI306" s="56">
        <f>AI259/AI$55</f>
        <v>0.38398244651673064</v>
      </c>
      <c r="AJ306" s="56">
        <f>AJ259/AJ$55</f>
        <v>0.29892836999435984</v>
      </c>
      <c r="AK306" s="56">
        <f>AK259/AK$55</f>
        <v>0.26997840172786181</v>
      </c>
      <c r="AM306" s="56">
        <f>AM259/AM$55</f>
        <v>0.31111111111111112</v>
      </c>
      <c r="AN306" s="56">
        <f>AN259/AN$55</f>
        <v>0.33048433048433046</v>
      </c>
      <c r="AO306" s="56">
        <f>AO259/AO$55</f>
        <v>0.23823028927963696</v>
      </c>
      <c r="AP306" s="56"/>
      <c r="AR306" s="56"/>
      <c r="AS306" s="56"/>
      <c r="AT306" s="56"/>
      <c r="AU306" s="56"/>
      <c r="AW306" s="56"/>
      <c r="AX306" s="56"/>
      <c r="AY306" s="56"/>
      <c r="AZ306" s="56"/>
      <c r="BB306" s="56"/>
      <c r="BC306" s="56"/>
      <c r="BD306" s="56"/>
      <c r="BE306" s="56"/>
      <c r="BK306" s="53"/>
    </row>
    <row r="307" spans="2:65" ht="15.75" hidden="1" outlineLevel="1">
      <c r="B307" s="53" t="s">
        <v>5957</v>
      </c>
      <c r="G307" s="53"/>
      <c r="H307" s="53"/>
      <c r="I307" s="53"/>
      <c r="J307" s="53"/>
      <c r="K307" s="53"/>
      <c r="L307" s="53"/>
      <c r="M307" s="53"/>
      <c r="N307" s="62"/>
      <c r="AH307" s="640">
        <f>AH264/AH$55</f>
        <v>0.33773087071240104</v>
      </c>
      <c r="AI307" s="640">
        <f>AI264/AI$55</f>
        <v>0.39495337356006582</v>
      </c>
      <c r="AJ307" s="640">
        <f>AJ264/AJ$55</f>
        <v>0.3045685279187817</v>
      </c>
      <c r="AK307" s="640">
        <f>AK264/AK$55</f>
        <v>0.30777537796976245</v>
      </c>
      <c r="AM307" s="640">
        <f>AM264/AM$55</f>
        <v>0.32222222222222224</v>
      </c>
      <c r="AN307" s="640">
        <f>AN264/AN$55</f>
        <v>0.34188034188034189</v>
      </c>
      <c r="AO307" s="640">
        <f>AO264/AO$55</f>
        <v>0.25524673851389673</v>
      </c>
      <c r="AP307" s="640"/>
      <c r="AR307" s="640"/>
      <c r="AS307" s="640"/>
      <c r="AT307" s="640"/>
      <c r="AU307" s="640"/>
      <c r="AW307" s="640"/>
      <c r="AX307" s="640"/>
      <c r="AY307" s="640"/>
      <c r="AZ307" s="640"/>
      <c r="BB307" s="640"/>
      <c r="BC307" s="640"/>
      <c r="BD307" s="640"/>
      <c r="BE307" s="640"/>
      <c r="BK307" s="53"/>
    </row>
    <row r="308" spans="2:65" ht="15.75" hidden="1" outlineLevel="1">
      <c r="B308" s="53" t="str">
        <f>B260</f>
        <v xml:space="preserve"> - LCPR (cable)</v>
      </c>
      <c r="G308" s="53"/>
      <c r="H308" s="53"/>
      <c r="I308" s="53"/>
      <c r="J308" s="53"/>
      <c r="K308" s="53"/>
      <c r="L308" s="53"/>
      <c r="M308" s="53"/>
      <c r="N308" s="62"/>
      <c r="AH308" s="56">
        <f>AH260/AH56</f>
        <v>0.51164144353899887</v>
      </c>
      <c r="AI308" s="56">
        <f>AI260/AI56</f>
        <v>0.51319483436271751</v>
      </c>
      <c r="AJ308" s="56">
        <f>AJ260/AJ56</f>
        <v>0.47944444444444467</v>
      </c>
      <c r="AK308" s="56">
        <f>AK260/AK56</f>
        <v>0.44706498951781976</v>
      </c>
      <c r="AM308" s="56">
        <f>AM260/AM56</f>
        <v>0.46620908130939809</v>
      </c>
      <c r="AN308" s="56">
        <f>AN260/AN56</f>
        <v>0.48144220572640511</v>
      </c>
      <c r="AO308" s="56">
        <f>AO260/AO56</f>
        <v>0.46956977964323199</v>
      </c>
      <c r="AP308" s="56"/>
      <c r="AR308" s="56"/>
      <c r="AS308" s="56"/>
      <c r="AT308" s="56"/>
      <c r="AU308" s="56"/>
      <c r="AW308" s="56"/>
      <c r="AX308" s="56"/>
      <c r="AY308" s="56"/>
      <c r="AZ308" s="56"/>
      <c r="BB308" s="56"/>
      <c r="BC308" s="56"/>
      <c r="BD308" s="56"/>
      <c r="BE308" s="56"/>
      <c r="BK308" s="53"/>
    </row>
    <row r="309" spans="2:65" ht="15.75" collapsed="1">
      <c r="B309" s="53"/>
      <c r="G309" s="53"/>
      <c r="H309" s="53"/>
      <c r="I309" s="53"/>
      <c r="J309" s="53"/>
      <c r="K309" s="53"/>
      <c r="L309" s="53"/>
      <c r="M309" s="53"/>
      <c r="N309" s="62"/>
      <c r="BK309" s="53"/>
    </row>
    <row r="310" spans="2:65" ht="15.75">
      <c r="B310" s="53" t="s">
        <v>56</v>
      </c>
      <c r="G310" s="53"/>
      <c r="H310" s="53"/>
      <c r="I310" s="53"/>
      <c r="J310" s="53"/>
      <c r="K310" s="53"/>
      <c r="L310" s="53"/>
      <c r="M310" s="481">
        <v>200.7</v>
      </c>
      <c r="N310" s="481">
        <f>BM310-BL310</f>
        <v>208.19999999999993</v>
      </c>
      <c r="O310" s="481">
        <v>193.9</v>
      </c>
      <c r="P310" s="481">
        <v>192.9</v>
      </c>
      <c r="Q310" s="481">
        <v>199.7</v>
      </c>
      <c r="R310" s="481">
        <v>207.2</v>
      </c>
      <c r="S310" s="481">
        <v>202.3</v>
      </c>
      <c r="T310" s="481">
        <v>207.6</v>
      </c>
      <c r="U310" s="481">
        <v>204.8</v>
      </c>
      <c r="V310" s="481">
        <f>829.8-S310-T310-U310</f>
        <v>215.09999999999997</v>
      </c>
      <c r="W310" s="481"/>
      <c r="X310" s="481">
        <v>217</v>
      </c>
      <c r="Y310" s="481">
        <f>439.3-X310</f>
        <v>222.3</v>
      </c>
      <c r="Z310" s="481">
        <v>226</v>
      </c>
      <c r="AA310" s="481">
        <f>871-X310-Y310-Z310</f>
        <v>205.7</v>
      </c>
      <c r="AC310" s="481">
        <v>213.5</v>
      </c>
      <c r="AD310" s="481">
        <v>216.4</v>
      </c>
      <c r="AE310" s="481">
        <v>231.6</v>
      </c>
      <c r="AF310" s="481">
        <v>253.1</v>
      </c>
      <c r="AG310" s="481"/>
      <c r="AH310" s="481">
        <v>243.1</v>
      </c>
      <c r="AI310" s="481">
        <v>241.2</v>
      </c>
      <c r="AJ310" s="481">
        <v>251.9</v>
      </c>
      <c r="AK310" s="481">
        <v>228.5</v>
      </c>
      <c r="AL310" s="62"/>
      <c r="AM310" s="481">
        <v>214.1</v>
      </c>
      <c r="AN310" s="481">
        <v>213.3</v>
      </c>
      <c r="AO310" s="481">
        <v>234.3</v>
      </c>
      <c r="AP310" s="481">
        <f>910.7-AM310-AN310-AO310</f>
        <v>249</v>
      </c>
      <c r="AR310" s="481">
        <v>234.6</v>
      </c>
      <c r="AS310" s="481">
        <v>240.5</v>
      </c>
      <c r="AT310" s="481">
        <v>230.5</v>
      </c>
      <c r="AU310" s="481">
        <f>Master!O260+Master!O248-AR310-AS310-AT310</f>
        <v>302.69999999999993</v>
      </c>
      <c r="AV310" s="16"/>
      <c r="AW310" s="481">
        <v>247.8</v>
      </c>
      <c r="AX310" s="481">
        <v>236.7</v>
      </c>
      <c r="AY310" s="481">
        <v>245.4</v>
      </c>
      <c r="AZ310" s="481">
        <f>Master!P12+Master!P13-Master!P247-AW310-AX310-AY310</f>
        <v>249.18978926940977</v>
      </c>
      <c r="BA310" s="16"/>
      <c r="BB310" s="481">
        <f>SUM(AW310:AY310)</f>
        <v>729.9</v>
      </c>
      <c r="BC310" s="481"/>
      <c r="BD310" s="481"/>
      <c r="BE310" s="481"/>
      <c r="BF310" s="16"/>
      <c r="BK310" s="53"/>
      <c r="BL310" s="621">
        <v>379.1</v>
      </c>
      <c r="BM310" s="481">
        <v>587.29999999999995</v>
      </c>
    </row>
    <row r="311" spans="2:65" ht="15.75">
      <c r="B311" s="53" t="s">
        <v>2719</v>
      </c>
      <c r="G311" s="53"/>
      <c r="H311" s="53"/>
      <c r="I311" s="53"/>
      <c r="J311" s="53"/>
      <c r="K311" s="53"/>
      <c r="L311" s="53"/>
      <c r="M311" s="53">
        <v>7.2</v>
      </c>
      <c r="N311" s="481">
        <f>BM311-BL311</f>
        <v>20.300000000000011</v>
      </c>
      <c r="O311" s="481">
        <v>13.4</v>
      </c>
      <c r="P311" s="481">
        <v>10.4</v>
      </c>
      <c r="Q311" s="481">
        <v>354.9</v>
      </c>
      <c r="R311" s="481">
        <v>328.9</v>
      </c>
      <c r="S311" s="481">
        <v>33.6</v>
      </c>
      <c r="T311" s="481">
        <v>12.9</v>
      </c>
      <c r="U311" s="481">
        <v>8.8000000000000007</v>
      </c>
      <c r="V311" s="481">
        <f>640.5-S311-T311-U311</f>
        <v>585.20000000000005</v>
      </c>
      <c r="W311" s="643"/>
      <c r="X311" s="481">
        <v>20.5</v>
      </c>
      <c r="Y311" s="481">
        <v>6.5</v>
      </c>
      <c r="Z311" s="481">
        <v>208.3</v>
      </c>
      <c r="AA311" s="481">
        <f>199.4-X311-Y311-Z311</f>
        <v>-35.900000000000006</v>
      </c>
      <c r="AB311" s="643"/>
      <c r="AC311" s="481">
        <v>18.8</v>
      </c>
      <c r="AD311" s="481">
        <v>298.7</v>
      </c>
      <c r="AE311" s="481">
        <v>14</v>
      </c>
      <c r="AF311" s="481">
        <v>49.4</v>
      </c>
      <c r="AG311" s="643"/>
      <c r="AH311" s="481">
        <v>2.2000000000000002</v>
      </c>
      <c r="AI311" s="481">
        <v>17</v>
      </c>
      <c r="AJ311" s="481">
        <v>22.1</v>
      </c>
      <c r="AK311" s="481">
        <v>623.70000000000005</v>
      </c>
      <c r="AM311" s="481">
        <v>7.8</v>
      </c>
      <c r="AN311" s="481">
        <v>568.79999999999995</v>
      </c>
      <c r="AO311" s="481">
        <v>7</v>
      </c>
      <c r="AP311" s="481">
        <f>619.2-AM311-AN311-AO311</f>
        <v>35.600000000000136</v>
      </c>
      <c r="AR311" s="481">
        <v>29.7</v>
      </c>
      <c r="AS311" s="481">
        <v>40.799999999999997</v>
      </c>
      <c r="AT311" s="481">
        <v>11.1</v>
      </c>
      <c r="AU311" s="481">
        <f>86.9-AR311-AS311-AT311</f>
        <v>5.300000000000006</v>
      </c>
      <c r="AV311" s="16"/>
      <c r="AW311" s="481">
        <v>6.6</v>
      </c>
      <c r="AX311" s="481">
        <v>25.6</v>
      </c>
      <c r="AY311" s="481">
        <v>521.1</v>
      </c>
      <c r="AZ311" s="481">
        <f>Master!P247-AW311-AX311-AY311</f>
        <v>-1.3000000000000682</v>
      </c>
      <c r="BA311" s="16"/>
      <c r="BB311" s="481">
        <f>SUM(AW311:AY311)</f>
        <v>553.30000000000007</v>
      </c>
      <c r="BC311" s="481"/>
      <c r="BD311" s="481"/>
      <c r="BE311" s="481"/>
      <c r="BF311" s="16"/>
      <c r="BK311" s="53"/>
      <c r="BL311" s="621">
        <v>133.5</v>
      </c>
      <c r="BM311" s="481">
        <v>153.80000000000001</v>
      </c>
    </row>
    <row r="312" spans="2:65" ht="15.75">
      <c r="B312" s="53" t="s">
        <v>2720</v>
      </c>
      <c r="G312" s="53"/>
      <c r="H312" s="53"/>
      <c r="I312" s="53"/>
      <c r="J312" s="53"/>
      <c r="K312" s="53"/>
      <c r="L312" s="53"/>
      <c r="M312" s="53">
        <v>2.2000000000000002</v>
      </c>
      <c r="N312" s="481">
        <f>BM312-BL312</f>
        <v>2.0999999999999996</v>
      </c>
      <c r="O312" s="481">
        <v>3</v>
      </c>
      <c r="P312" s="481">
        <v>3</v>
      </c>
      <c r="Q312" s="481">
        <v>3</v>
      </c>
      <c r="R312" s="818">
        <v>0</v>
      </c>
      <c r="S312" s="818">
        <v>0</v>
      </c>
      <c r="T312" s="818">
        <v>0</v>
      </c>
      <c r="U312" s="818">
        <v>0</v>
      </c>
      <c r="V312" s="818">
        <v>0</v>
      </c>
      <c r="X312" s="818">
        <v>0</v>
      </c>
      <c r="Y312" s="818">
        <v>0</v>
      </c>
      <c r="Z312" s="818">
        <v>0</v>
      </c>
      <c r="AA312" s="818">
        <v>0</v>
      </c>
      <c r="AC312" s="818">
        <v>0</v>
      </c>
      <c r="AD312" s="818">
        <v>0</v>
      </c>
      <c r="AE312" s="818">
        <v>0</v>
      </c>
      <c r="AF312" s="818">
        <v>0</v>
      </c>
      <c r="AH312" s="818">
        <v>0</v>
      </c>
      <c r="AI312" s="818">
        <v>0</v>
      </c>
      <c r="AJ312" s="818">
        <v>0</v>
      </c>
      <c r="AK312" s="818">
        <v>0</v>
      </c>
      <c r="AM312" s="818">
        <v>0</v>
      </c>
      <c r="AN312" s="818">
        <v>0</v>
      </c>
      <c r="AO312" s="818">
        <v>0</v>
      </c>
      <c r="AP312" s="818">
        <v>0</v>
      </c>
      <c r="AR312" s="818">
        <v>0</v>
      </c>
      <c r="AS312" s="818">
        <v>0</v>
      </c>
      <c r="AT312" s="818">
        <v>0</v>
      </c>
      <c r="AU312" s="818">
        <v>0</v>
      </c>
      <c r="AW312" s="818">
        <v>0</v>
      </c>
      <c r="AX312" s="818">
        <v>0</v>
      </c>
      <c r="AY312" s="818">
        <v>0</v>
      </c>
      <c r="AZ312" s="818">
        <v>0</v>
      </c>
      <c r="BB312" s="818"/>
      <c r="BC312" s="818"/>
      <c r="BD312" s="818"/>
      <c r="BE312" s="818"/>
      <c r="BK312" s="53"/>
      <c r="BL312" s="621">
        <v>6.4</v>
      </c>
      <c r="BM312" s="481">
        <v>8.5</v>
      </c>
    </row>
    <row r="313" spans="2:65" ht="15.75">
      <c r="B313" s="50" t="s">
        <v>2738</v>
      </c>
      <c r="G313" s="50"/>
      <c r="H313" s="50"/>
      <c r="I313" s="50"/>
      <c r="J313" s="50"/>
      <c r="K313" s="50"/>
      <c r="L313" s="50"/>
      <c r="M313" s="50">
        <v>1.1000000000000001</v>
      </c>
      <c r="N313" s="638">
        <f>BM313-BL313</f>
        <v>4.6999999999999318</v>
      </c>
      <c r="O313" s="638">
        <v>5.6</v>
      </c>
      <c r="P313" s="750">
        <f>3-6</f>
        <v>-3</v>
      </c>
      <c r="Q313" s="638">
        <v>3.3</v>
      </c>
      <c r="R313" s="638">
        <f>(9+3)+2.3</f>
        <v>14.3</v>
      </c>
      <c r="S313" s="638">
        <v>6.5</v>
      </c>
      <c r="T313" s="638">
        <v>8.6999999999999993</v>
      </c>
      <c r="U313" s="638">
        <f>11-11</f>
        <v>0</v>
      </c>
      <c r="V313" s="638">
        <f>39.8-S313-T313-U313-64-11</f>
        <v>-50.400000000000006</v>
      </c>
      <c r="W313" s="481"/>
      <c r="X313" s="638">
        <v>15</v>
      </c>
      <c r="Y313" s="638">
        <v>14.7</v>
      </c>
      <c r="Z313" s="638">
        <v>15.1</v>
      </c>
      <c r="AA313" s="638">
        <f>57.5-X313-Y313-Z313</f>
        <v>12.700000000000001</v>
      </c>
      <c r="AB313" s="481"/>
      <c r="AC313" s="638">
        <v>23.8</v>
      </c>
      <c r="AD313" s="638">
        <v>23.5</v>
      </c>
      <c r="AE313" s="638">
        <v>28</v>
      </c>
      <c r="AF313" s="750">
        <f>22.2-4</f>
        <v>18.2</v>
      </c>
      <c r="AG313" s="481"/>
      <c r="AH313" s="638">
        <v>23</v>
      </c>
      <c r="AI313" s="638">
        <f>55.8-AH313</f>
        <v>32.799999999999997</v>
      </c>
      <c r="AJ313" s="638">
        <v>33.1</v>
      </c>
      <c r="AK313" s="638">
        <v>29.2</v>
      </c>
      <c r="AM313" s="638">
        <v>30</v>
      </c>
      <c r="AN313" s="638">
        <v>31.7</v>
      </c>
      <c r="AO313" s="638">
        <v>20.8</v>
      </c>
      <c r="AP313" s="638">
        <f>93.5-AM313-AN313-AO313</f>
        <v>11</v>
      </c>
      <c r="AR313" s="638">
        <v>28.5</v>
      </c>
      <c r="AS313" s="638">
        <v>24.5</v>
      </c>
      <c r="AT313" s="638">
        <v>24.1</v>
      </c>
      <c r="AU313" s="638">
        <f>88.7-AR313-AS313-AT313</f>
        <v>11.600000000000001</v>
      </c>
      <c r="AW313" s="638">
        <v>27</v>
      </c>
      <c r="AX313" s="638">
        <v>16</v>
      </c>
      <c r="AY313" s="638">
        <v>15.9</v>
      </c>
      <c r="AZ313" s="638">
        <f>-Master!P14-AW313-AX313-AY313</f>
        <v>16.100000000000001</v>
      </c>
      <c r="BB313" s="638">
        <f>SUM(AW313:AY313)</f>
        <v>58.9</v>
      </c>
      <c r="BC313" s="638"/>
      <c r="BD313" s="638"/>
      <c r="BE313" s="638"/>
      <c r="BK313" s="53"/>
      <c r="BL313" s="638">
        <f>BL236-BL310-BL311-BL312-BL314</f>
        <v>10.699999999999989</v>
      </c>
      <c r="BM313" s="638">
        <f>BM236-BM310-BM311-BM312-BM314</f>
        <v>15.39999999999992</v>
      </c>
    </row>
    <row r="314" spans="2:65" ht="15.75">
      <c r="B314" s="53" t="s">
        <v>83</v>
      </c>
      <c r="G314" s="53"/>
      <c r="H314" s="53"/>
      <c r="I314" s="53"/>
      <c r="J314" s="53"/>
      <c r="K314" s="53"/>
      <c r="L314" s="53"/>
      <c r="M314" s="621">
        <f>M236-M310-M311-M312-M313</f>
        <v>138.80000000000004</v>
      </c>
      <c r="N314" s="702">
        <f>BM314-BL314</f>
        <v>141.20000000000002</v>
      </c>
      <c r="O314" s="621">
        <f t="shared" ref="O314:V314" si="172">O236-O310-O311-O312-O313</f>
        <v>137.99999999999997</v>
      </c>
      <c r="P314" s="621">
        <f t="shared" si="172"/>
        <v>157.69999999999999</v>
      </c>
      <c r="Q314" s="621">
        <f t="shared" si="172"/>
        <v>-201.89999999999998</v>
      </c>
      <c r="R314" s="621">
        <f t="shared" si="172"/>
        <v>-243.59999999999997</v>
      </c>
      <c r="S314" s="621">
        <f t="shared" si="172"/>
        <v>98.4</v>
      </c>
      <c r="T314" s="621">
        <f t="shared" si="172"/>
        <v>124.19999999999997</v>
      </c>
      <c r="U314" s="621">
        <f t="shared" si="172"/>
        <v>139.39999999999998</v>
      </c>
      <c r="V314" s="621">
        <f t="shared" si="172"/>
        <v>-385.6</v>
      </c>
      <c r="W314" s="621"/>
      <c r="X314" s="621">
        <f>X236-X310-X311-X312-X313</f>
        <v>113.30000000000001</v>
      </c>
      <c r="Y314" s="621">
        <f>Y236-Y310-Y311-Y312-Y313</f>
        <v>143.5</v>
      </c>
      <c r="Z314" s="621">
        <f>Z236-Z310-Z311-Z312-Z313</f>
        <v>-69.700000000000017</v>
      </c>
      <c r="AA314" s="621">
        <f>AA236-AA310-AA311-AA312-AA313</f>
        <v>208.50000000000003</v>
      </c>
      <c r="AB314" s="621"/>
      <c r="AC314" s="621">
        <f>AC236-AC310-AC311-AC312-AC313</f>
        <v>107.79999999999997</v>
      </c>
      <c r="AD314" s="621">
        <f>AD236-AD310-AD311-AD312-AD313</f>
        <v>-205.6</v>
      </c>
      <c r="AE314" s="621">
        <f>AE236-AE310-AE311-AE312-AE313</f>
        <v>86.6</v>
      </c>
      <c r="AF314" s="621">
        <f>AF236-AF310-AF311-AF312-AF313</f>
        <v>103.3</v>
      </c>
      <c r="AG314" s="621"/>
      <c r="AH314" s="621">
        <f>AH236-AH310-AH311-AH312-AH313</f>
        <v>181.00000000000003</v>
      </c>
      <c r="AI314" s="621">
        <f>AI236-AI310-AI311-AI312-AI313</f>
        <v>173</v>
      </c>
      <c r="AJ314" s="621">
        <f>AJ236-AJ310-AJ311-AJ312-AJ313</f>
        <v>138.9</v>
      </c>
      <c r="AK314" s="621">
        <f>AK236-AK310-AK311-AK312-AK313</f>
        <v>-411.8</v>
      </c>
      <c r="AM314" s="621">
        <f>AM236-AM310-AM311-AM312-AM313</f>
        <v>188.1</v>
      </c>
      <c r="AN314" s="621">
        <f>AN236-AN310-AN311-AN312-AN313</f>
        <v>-350.19999999999993</v>
      </c>
      <c r="AO314" s="621">
        <f>AO236-AO310-AO311-AO312-AO313</f>
        <v>152.89999999999998</v>
      </c>
      <c r="AP314" s="621">
        <f>AP236-AP310-AP311-AP312-AP313</f>
        <v>109.59999999999985</v>
      </c>
      <c r="AR314" s="621">
        <f>AR236-AR310-AR311-AR312-AR313</f>
        <v>113.70000000000002</v>
      </c>
      <c r="AS314" s="621">
        <f>AS236-AS310-AS311-AS312-AS313</f>
        <v>139.5</v>
      </c>
      <c r="AT314" s="621">
        <f>AT236-AT310-AT311-AT312-AT313</f>
        <v>162.69999999999999</v>
      </c>
      <c r="AU314" s="621">
        <f>AU236-AU310-AU311-AU312-AU313</f>
        <v>112.30000000000004</v>
      </c>
      <c r="AW314" s="621">
        <f>AW236-AW310-AW311-AW312-AW313</f>
        <v>92.799999999999983</v>
      </c>
      <c r="AX314" s="621">
        <f>AX236-AX310-AX311-AX312-AX313</f>
        <v>110.70000000000002</v>
      </c>
      <c r="AY314" s="621">
        <f>AY236-AY310-AY311-AY312-AY313</f>
        <v>-379.29999999999995</v>
      </c>
      <c r="AZ314" s="621">
        <f>AZ236-AZ310-AZ311-AZ312-AZ313</f>
        <v>148.70924427721229</v>
      </c>
      <c r="BB314" s="621"/>
      <c r="BC314" s="621"/>
      <c r="BD314" s="621"/>
      <c r="BE314" s="621"/>
      <c r="BK314" s="53"/>
      <c r="BL314" s="621">
        <v>177.9</v>
      </c>
      <c r="BM314" s="481">
        <v>319.10000000000002</v>
      </c>
    </row>
    <row r="315" spans="2:65" ht="15.75">
      <c r="B315" s="53"/>
      <c r="G315" s="53"/>
      <c r="H315" s="53"/>
      <c r="I315" s="53"/>
      <c r="J315" s="53"/>
      <c r="K315" s="53"/>
      <c r="L315" s="53"/>
      <c r="M315" s="53"/>
      <c r="BK315" s="53"/>
      <c r="BL315" s="62"/>
    </row>
    <row r="316" spans="2:65" ht="15.75">
      <c r="B316" s="53" t="s">
        <v>159</v>
      </c>
      <c r="G316" s="53"/>
      <c r="H316" s="53"/>
      <c r="I316" s="53"/>
      <c r="J316" s="53"/>
      <c r="K316" s="53"/>
      <c r="L316" s="53"/>
      <c r="M316" s="53">
        <v>95.3</v>
      </c>
      <c r="N316" s="481">
        <f>BM316-BL316</f>
        <v>88.599999999999966</v>
      </c>
      <c r="O316" s="481">
        <v>94.3</v>
      </c>
      <c r="P316" s="481">
        <f>190.5-O316</f>
        <v>96.2</v>
      </c>
      <c r="Q316" s="481">
        <v>99.3</v>
      </c>
      <c r="R316" s="481">
        <f>381.8-O316-P316-Q316</f>
        <v>92.000000000000014</v>
      </c>
      <c r="S316" s="481">
        <v>102.5</v>
      </c>
      <c r="T316" s="481">
        <v>109.4</v>
      </c>
      <c r="U316" s="481">
        <v>110</v>
      </c>
      <c r="V316" s="481">
        <f>443.7-S316-T316-U316</f>
        <v>121.79999999999998</v>
      </c>
      <c r="W316" s="481"/>
      <c r="X316" s="481">
        <v>115.7</v>
      </c>
      <c r="Y316" s="481">
        <v>119.8</v>
      </c>
      <c r="Z316" s="481">
        <v>123.9</v>
      </c>
      <c r="AA316" s="481">
        <f>499.2-X316-Y316-Z316</f>
        <v>139.79999999999998</v>
      </c>
      <c r="AB316" s="481"/>
      <c r="AC316" s="481">
        <v>143.30000000000001</v>
      </c>
      <c r="AD316" s="481">
        <v>135.30000000000001</v>
      </c>
      <c r="AE316" s="481">
        <v>129.9</v>
      </c>
      <c r="AF316" s="481">
        <f>533.4-AC316-AD316-AE316</f>
        <v>124.89999999999995</v>
      </c>
      <c r="AG316" s="481"/>
      <c r="AH316" s="481">
        <v>126.4</v>
      </c>
      <c r="AI316" s="481">
        <v>133.69999999999999</v>
      </c>
      <c r="AJ316" s="481">
        <v>137.1</v>
      </c>
      <c r="AK316" s="481">
        <f>527.4-AH316-AI316-AJ316</f>
        <v>130.20000000000002</v>
      </c>
      <c r="AM316" s="481">
        <v>129.69999999999999</v>
      </c>
      <c r="AN316" s="481">
        <v>136.9</v>
      </c>
      <c r="AO316" s="481">
        <v>149.19999999999999</v>
      </c>
      <c r="AP316" s="481">
        <f>556.7-AM316-AN316-AO316</f>
        <v>140.90000000000003</v>
      </c>
      <c r="AR316" s="481">
        <v>146.6</v>
      </c>
      <c r="AS316" s="481">
        <v>149.1</v>
      </c>
      <c r="AT316" s="481">
        <v>152.30000000000001</v>
      </c>
      <c r="AU316" s="481">
        <f>-Master!O18-AR316-AS316-AT316</f>
        <v>153.69999999999999</v>
      </c>
      <c r="AW316" s="481">
        <v>155.9</v>
      </c>
      <c r="AX316" s="481">
        <v>156.19999999999999</v>
      </c>
      <c r="AY316" s="481">
        <v>159.19999999999999</v>
      </c>
      <c r="AZ316" s="481">
        <f ca="1">-Master!P18-AW316-AX316-AY316</f>
        <v>148.05390955854739</v>
      </c>
      <c r="BB316" s="481">
        <f>SUM(AW316:AY316)</f>
        <v>471.3</v>
      </c>
      <c r="BC316" s="481"/>
      <c r="BD316" s="481"/>
      <c r="BE316" s="481"/>
      <c r="BK316" s="53"/>
      <c r="BL316" s="621">
        <v>225.8</v>
      </c>
      <c r="BM316" s="481">
        <v>314.39999999999998</v>
      </c>
    </row>
    <row r="317" spans="2:65" ht="15.75">
      <c r="B317" s="53" t="s">
        <v>2723</v>
      </c>
      <c r="G317" s="53"/>
      <c r="H317" s="53"/>
      <c r="I317" s="53"/>
      <c r="J317" s="53"/>
      <c r="K317" s="53"/>
      <c r="L317" s="53"/>
      <c r="M317" s="53">
        <v>53.8</v>
      </c>
      <c r="N317" s="481">
        <f>BM317-BL317</f>
        <v>-18</v>
      </c>
      <c r="O317" s="481">
        <v>27.3</v>
      </c>
      <c r="P317" s="481">
        <f>36.5-O317</f>
        <v>9.1999999999999993</v>
      </c>
      <c r="Q317" s="481">
        <v>78.599999999999994</v>
      </c>
      <c r="R317" s="481">
        <f>170.1-O317-P317-Q317</f>
        <v>55</v>
      </c>
      <c r="S317" s="481">
        <v>41.5</v>
      </c>
      <c r="T317" s="481">
        <v>-115.1</v>
      </c>
      <c r="U317" s="481">
        <v>-8.9</v>
      </c>
      <c r="V317" s="481">
        <f>-94.8-S317-T317-U317</f>
        <v>-12.300000000000017</v>
      </c>
      <c r="W317" s="481"/>
      <c r="X317" s="481">
        <v>69</v>
      </c>
      <c r="Y317" s="481">
        <v>79</v>
      </c>
      <c r="Z317" s="481">
        <v>-51.4</v>
      </c>
      <c r="AA317" s="481">
        <f>17.2-X317-Y317-Z317</f>
        <v>-79.400000000000006</v>
      </c>
      <c r="AB317" s="481"/>
      <c r="AC317" s="481">
        <v>-17.399999999999999</v>
      </c>
      <c r="AD317" s="481">
        <v>179</v>
      </c>
      <c r="AE317" s="481">
        <v>78.099999999999994</v>
      </c>
      <c r="AF317" s="481">
        <f>352.7-AC317-AD317-AE317</f>
        <v>112.99999999999997</v>
      </c>
      <c r="AG317" s="481"/>
      <c r="AH317" s="481">
        <v>-114.9</v>
      </c>
      <c r="AI317" s="481">
        <v>-57.3</v>
      </c>
      <c r="AJ317" s="481">
        <v>-292</v>
      </c>
      <c r="AK317" s="481">
        <f>-564.1-AH317-AI317-AJ317</f>
        <v>-99.900000000000034</v>
      </c>
      <c r="AM317" s="481">
        <v>33.700000000000003</v>
      </c>
      <c r="AN317" s="481">
        <v>-283</v>
      </c>
      <c r="AO317" s="481">
        <v>-135.4</v>
      </c>
      <c r="AP317" s="481">
        <f>-359.4-AM317-AN317-AO317</f>
        <v>25.30000000000004</v>
      </c>
      <c r="AR317" s="481">
        <v>59.1</v>
      </c>
      <c r="AS317" s="481">
        <v>-64.400000000000006</v>
      </c>
      <c r="AT317" s="481">
        <v>-47.5</v>
      </c>
      <c r="AU317" s="481">
        <f>-Master!O19-AR317-AS317-AT317</f>
        <v>86.9</v>
      </c>
      <c r="AW317" s="481">
        <v>-46.4</v>
      </c>
      <c r="AX317" s="481">
        <v>-23.9</v>
      </c>
      <c r="AY317" s="481">
        <v>31.3</v>
      </c>
      <c r="AZ317" s="481">
        <f>-Master!P19-AW317-AX317-AY317</f>
        <v>-31.000000000000004</v>
      </c>
      <c r="BB317" s="481">
        <f>SUM(AW317:AY317)</f>
        <v>-39</v>
      </c>
      <c r="BC317" s="481"/>
      <c r="BD317" s="481"/>
      <c r="BE317" s="481"/>
      <c r="BK317" s="53"/>
      <c r="BL317" s="621">
        <v>243.9</v>
      </c>
      <c r="BM317" s="481">
        <v>225.9</v>
      </c>
    </row>
    <row r="318" spans="2:65" ht="15.75">
      <c r="B318" s="53" t="s">
        <v>2724</v>
      </c>
      <c r="G318" s="53"/>
      <c r="H318" s="53"/>
      <c r="I318" s="53"/>
      <c r="J318" s="53"/>
      <c r="K318" s="53"/>
      <c r="L318" s="53"/>
      <c r="M318" s="53">
        <v>6.7</v>
      </c>
      <c r="N318" s="481">
        <f>BM318-BL318</f>
        <v>-21.599999999999994</v>
      </c>
      <c r="O318" s="481">
        <v>14.5</v>
      </c>
      <c r="P318" s="481">
        <f>-2.3-O318</f>
        <v>-16.8</v>
      </c>
      <c r="Q318" s="481">
        <v>43.5</v>
      </c>
      <c r="R318" s="481">
        <f>94.4-O318-P318-Q318</f>
        <v>53.2</v>
      </c>
      <c r="S318" s="481">
        <v>15.9</v>
      </c>
      <c r="T318" s="481">
        <v>-120.6</v>
      </c>
      <c r="U318" s="481">
        <v>-16.399999999999999</v>
      </c>
      <c r="V318" s="481">
        <f>-180-S318-T318-U318</f>
        <v>-58.900000000000013</v>
      </c>
      <c r="W318" s="481"/>
      <c r="X318" s="481">
        <v>32.299999999999997</v>
      </c>
      <c r="Y318" s="481">
        <v>-19.5</v>
      </c>
      <c r="Z318" s="481">
        <v>-110.8</v>
      </c>
      <c r="AA318" s="481">
        <f>-112.5-X318-Y318-Z318</f>
        <v>-14.500000000000014</v>
      </c>
      <c r="AB318" s="481"/>
      <c r="AC318" s="481">
        <v>-164.3</v>
      </c>
      <c r="AD318" s="481">
        <v>19.100000000000001</v>
      </c>
      <c r="AE318" s="481">
        <v>30.1</v>
      </c>
      <c r="AF318" s="481">
        <f>1.2-AC318-AD318-AE318</f>
        <v>116.30000000000001</v>
      </c>
      <c r="AG318" s="481"/>
      <c r="AH318" s="481">
        <v>-25.4</v>
      </c>
      <c r="AI318" s="481">
        <v>-44.4</v>
      </c>
      <c r="AJ318" s="481">
        <v>-136</v>
      </c>
      <c r="AK318" s="481">
        <f>-319.6-AH318-AI318-AJ318</f>
        <v>-113.80000000000004</v>
      </c>
      <c r="AM318" s="481">
        <v>97</v>
      </c>
      <c r="AN318" s="481">
        <v>-262</v>
      </c>
      <c r="AO318" s="481">
        <v>-56.5</v>
      </c>
      <c r="AP318" s="481">
        <f>-194.3-AM318-AN318-AO318</f>
        <v>27.199999999999989</v>
      </c>
      <c r="AR318" s="481">
        <v>49.2</v>
      </c>
      <c r="AS318" s="481">
        <v>-6.7</v>
      </c>
      <c r="AT318" s="481">
        <v>3.7</v>
      </c>
      <c r="AU318" s="481">
        <f>Master!O20-AR318-AS318-AT318</f>
        <v>24.099999999999994</v>
      </c>
      <c r="AW318" s="481">
        <v>23.3</v>
      </c>
      <c r="AX318" s="481">
        <v>-46.4</v>
      </c>
      <c r="AY318" s="481">
        <v>-7.6</v>
      </c>
      <c r="AZ318" s="481">
        <f>-Master!P20-AW318-AX318-AY318</f>
        <v>7.7000000000000011</v>
      </c>
      <c r="BB318" s="481">
        <f>SUM(AW318:AY318)</f>
        <v>-30.699999999999996</v>
      </c>
      <c r="BC318" s="481"/>
      <c r="BD318" s="481"/>
      <c r="BE318" s="481"/>
      <c r="BK318" s="53"/>
      <c r="BL318" s="621">
        <v>131.69999999999999</v>
      </c>
      <c r="BM318" s="481">
        <v>110.1</v>
      </c>
    </row>
    <row r="319" spans="2:65" ht="15.75">
      <c r="B319" s="53" t="s">
        <v>58</v>
      </c>
      <c r="G319" s="53"/>
      <c r="H319" s="53"/>
      <c r="I319" s="53"/>
      <c r="J319" s="53"/>
      <c r="K319" s="53"/>
      <c r="L319" s="53"/>
      <c r="M319" s="53">
        <v>0</v>
      </c>
      <c r="N319" s="481">
        <f>BM319-BL319</f>
        <v>0</v>
      </c>
      <c r="O319" s="481">
        <v>0.3</v>
      </c>
      <c r="P319" s="481">
        <f>2.2-O319</f>
        <v>1.9000000000000001</v>
      </c>
      <c r="Q319" s="481">
        <v>0.6</v>
      </c>
      <c r="R319" s="481">
        <v>0</v>
      </c>
      <c r="S319" s="481">
        <v>0</v>
      </c>
      <c r="T319" s="481">
        <v>0</v>
      </c>
      <c r="U319" s="481">
        <v>0</v>
      </c>
      <c r="V319" s="481">
        <v>0</v>
      </c>
      <c r="W319" s="643"/>
      <c r="X319" s="481">
        <v>0</v>
      </c>
      <c r="Y319" s="481">
        <v>0</v>
      </c>
      <c r="Z319" s="481">
        <v>0</v>
      </c>
      <c r="AA319" s="481">
        <v>0</v>
      </c>
      <c r="AB319" s="643"/>
      <c r="AC319" s="481">
        <v>0</v>
      </c>
      <c r="AD319" s="481">
        <v>0</v>
      </c>
      <c r="AE319" s="481">
        <v>0</v>
      </c>
      <c r="AF319" s="481">
        <v>0</v>
      </c>
      <c r="AG319" s="643"/>
      <c r="AH319" s="481">
        <v>0</v>
      </c>
      <c r="AI319" s="481">
        <v>0</v>
      </c>
      <c r="AJ319" s="481">
        <v>0</v>
      </c>
      <c r="AK319" s="481">
        <v>0</v>
      </c>
      <c r="AM319" s="481">
        <v>0</v>
      </c>
      <c r="AN319" s="481">
        <v>0</v>
      </c>
      <c r="AO319" s="481">
        <v>0</v>
      </c>
      <c r="AP319" s="481">
        <v>0</v>
      </c>
      <c r="AR319" s="481">
        <v>0</v>
      </c>
      <c r="AS319" s="481">
        <v>0</v>
      </c>
      <c r="AT319" s="481">
        <v>0</v>
      </c>
      <c r="AU319" s="481">
        <f>-Master!O21-AR319-AS319-AT319</f>
        <v>0</v>
      </c>
      <c r="AW319" s="481">
        <v>0</v>
      </c>
      <c r="AX319" s="481">
        <v>0</v>
      </c>
      <c r="AY319" s="481">
        <v>0</v>
      </c>
      <c r="AZ319" s="481">
        <f>-Master!P21-AW319-AX319-AY319</f>
        <v>0</v>
      </c>
      <c r="BB319" s="481">
        <f>SUM(AW319:AY319)</f>
        <v>0</v>
      </c>
      <c r="BC319" s="481"/>
      <c r="BD319" s="481"/>
      <c r="BE319" s="481"/>
      <c r="BK319" s="53"/>
      <c r="BL319" s="621">
        <v>0</v>
      </c>
      <c r="BM319" s="481">
        <v>0</v>
      </c>
    </row>
    <row r="320" spans="2:65" ht="15.75">
      <c r="B320" s="50" t="s">
        <v>4</v>
      </c>
      <c r="G320" s="50"/>
      <c r="H320" s="50"/>
      <c r="I320" s="50"/>
      <c r="J320" s="50"/>
      <c r="K320" s="50"/>
      <c r="L320" s="50"/>
      <c r="M320" s="50">
        <v>7.9</v>
      </c>
      <c r="N320" s="638">
        <f>BM320-BL320</f>
        <v>3.6999999999999993</v>
      </c>
      <c r="O320" s="638">
        <v>2.5</v>
      </c>
      <c r="P320" s="638">
        <f>-27.8-O320</f>
        <v>-30.3</v>
      </c>
      <c r="Q320" s="638">
        <f>-25.8-0.4</f>
        <v>-26.2</v>
      </c>
      <c r="R320" s="638">
        <f>-51.8+6.5-O320-P320-Q320</f>
        <v>8.7000000000000028</v>
      </c>
      <c r="S320" s="638">
        <f>5.3-13</f>
        <v>-7.7</v>
      </c>
      <c r="T320" s="638">
        <v>4.8</v>
      </c>
      <c r="U320" s="638">
        <v>-12</v>
      </c>
      <c r="V320" s="638">
        <f>-32-S320-T320-U320</f>
        <v>-17.100000000000001</v>
      </c>
      <c r="W320" s="481"/>
      <c r="X320" s="638">
        <v>2.4</v>
      </c>
      <c r="Y320" s="638">
        <v>0</v>
      </c>
      <c r="Z320" s="638">
        <f>-3.5+4.4</f>
        <v>0.90000000000000036</v>
      </c>
      <c r="AA320" s="638">
        <f>-19.8+14.3-X320-Y320-Z320</f>
        <v>-8.8000000000000007</v>
      </c>
      <c r="AB320" s="481"/>
      <c r="AC320" s="638">
        <f>-3.4+6.8</f>
        <v>3.4</v>
      </c>
      <c r="AD320" s="638">
        <v>4.8</v>
      </c>
      <c r="AE320" s="638">
        <v>-41.7</v>
      </c>
      <c r="AF320" s="638">
        <f>-45.1+0.1-AC320-AD320-AE320</f>
        <v>-11.499999999999993</v>
      </c>
      <c r="AG320" s="481"/>
      <c r="AH320" s="638">
        <f>-23.3-0.6</f>
        <v>-23.900000000000002</v>
      </c>
      <c r="AI320" s="638">
        <v>-0.4</v>
      </c>
      <c r="AJ320" s="638">
        <f>-41.1-1.9</f>
        <v>-43</v>
      </c>
      <c r="AK320" s="638">
        <f>-57.2-41.7-AH320-AI320-AJ320</f>
        <v>-31.599999999999994</v>
      </c>
      <c r="AM320" s="638">
        <f>0-4.8</f>
        <v>-4.8</v>
      </c>
      <c r="AN320" s="638">
        <v>-0.4</v>
      </c>
      <c r="AO320" s="638">
        <f>41.1-1.8</f>
        <v>39.300000000000004</v>
      </c>
      <c r="AP320" s="638">
        <f>41.1-28.4+169.4-AM320-AN320-AO320</f>
        <v>148.00000000000003</v>
      </c>
      <c r="AR320" s="638">
        <f>-4.6-1.7</f>
        <v>-6.3</v>
      </c>
      <c r="AS320" s="638">
        <f>0.3-3.6</f>
        <v>-3.3000000000000003</v>
      </c>
      <c r="AT320" s="638">
        <f>0.3-3.6</f>
        <v>-3.3000000000000003</v>
      </c>
      <c r="AU320" s="638">
        <f>-Master!O22-AR320-AS320-AT320</f>
        <v>-1.5999999999999983</v>
      </c>
      <c r="AW320" s="638">
        <f>-0.3-1.7</f>
        <v>-2</v>
      </c>
      <c r="AX320" s="638">
        <v>-4.9000000000000004</v>
      </c>
      <c r="AY320" s="638">
        <v>2.9</v>
      </c>
      <c r="AZ320" s="638">
        <f>-Master!P22-AW320-AX320-AY320</f>
        <v>2.0000000000000004</v>
      </c>
      <c r="BB320" s="638">
        <f>SUM(AW320:AY320)</f>
        <v>-4</v>
      </c>
      <c r="BC320" s="638"/>
      <c r="BD320" s="638"/>
      <c r="BE320" s="638"/>
      <c r="BK320" s="53"/>
      <c r="BL320" s="622">
        <f>1.5+7.8</f>
        <v>9.3000000000000007</v>
      </c>
      <c r="BM320" s="638">
        <f>0.9+12.1</f>
        <v>13</v>
      </c>
    </row>
    <row r="321" spans="2:65" ht="15.75">
      <c r="B321" s="53" t="s">
        <v>66</v>
      </c>
      <c r="G321" s="53"/>
      <c r="H321" s="53"/>
      <c r="I321" s="53"/>
      <c r="J321" s="53"/>
      <c r="K321" s="53"/>
      <c r="L321" s="53"/>
      <c r="M321" s="621">
        <f t="shared" ref="M321:V321" si="173">M314-M316-M317+M318+M319+M320</f>
        <v>4.300000000000046</v>
      </c>
      <c r="N321" s="621">
        <f t="shared" si="173"/>
        <v>52.70000000000006</v>
      </c>
      <c r="O321" s="621">
        <f t="shared" si="173"/>
        <v>33.699999999999974</v>
      </c>
      <c r="P321" s="621">
        <f t="shared" si="173"/>
        <v>7.0999999999999837</v>
      </c>
      <c r="Q321" s="621">
        <f t="shared" si="173"/>
        <v>-361.89999999999992</v>
      </c>
      <c r="R321" s="621">
        <f t="shared" si="173"/>
        <v>-328.7</v>
      </c>
      <c r="S321" s="621">
        <f t="shared" si="173"/>
        <v>-37.4</v>
      </c>
      <c r="T321" s="621">
        <f t="shared" si="173"/>
        <v>14.099999999999984</v>
      </c>
      <c r="U321" s="621">
        <f t="shared" si="173"/>
        <v>9.8999999999999773</v>
      </c>
      <c r="V321" s="621">
        <f t="shared" si="173"/>
        <v>-571.1</v>
      </c>
      <c r="W321" s="621"/>
      <c r="X321" s="621">
        <f>X314-X316-X317+X318+X319+X320</f>
        <v>-36.699999999999996</v>
      </c>
      <c r="Y321" s="621">
        <v>-81.7</v>
      </c>
      <c r="Z321" s="621">
        <f>Z314-Z316-Z317+Z318+Z319+Z320</f>
        <v>-252.1</v>
      </c>
      <c r="AA321" s="621">
        <f>AA314-AA316-AA317+AA318+AA319+AA320</f>
        <v>124.80000000000003</v>
      </c>
      <c r="AB321" s="621"/>
      <c r="AC321" s="621">
        <f t="shared" ref="AC321:AH321" si="174">AC314-AC316-AC317+AC318+AC319+AC320</f>
        <v>-179.00000000000006</v>
      </c>
      <c r="AD321" s="621">
        <f t="shared" si="174"/>
        <v>-495.99999999999994</v>
      </c>
      <c r="AE321" s="621">
        <f t="shared" si="174"/>
        <v>-133</v>
      </c>
      <c r="AF321" s="621">
        <f t="shared" si="174"/>
        <v>-29.799999999999891</v>
      </c>
      <c r="AG321" s="621"/>
      <c r="AH321" s="621">
        <f t="shared" si="174"/>
        <v>120.20000000000002</v>
      </c>
      <c r="AI321" s="621">
        <f>AI314-AI316-AI317+AI318+AI319+AI320</f>
        <v>51.800000000000011</v>
      </c>
      <c r="AJ321" s="621">
        <f>AJ314-AJ316-AJ317+AJ318+AJ319+AJ320</f>
        <v>114.80000000000001</v>
      </c>
      <c r="AK321" s="621">
        <f>AK314-AK316-AK317+AK318+AK319+AK320</f>
        <v>-587.5</v>
      </c>
      <c r="AM321" s="621">
        <f>AM314-AM316-AM317+AM318+AM319+AM320</f>
        <v>116.9</v>
      </c>
      <c r="AN321" s="621">
        <f>AN314-AN316-AN317+AN318+AN319+AN320</f>
        <v>-466.49999999999989</v>
      </c>
      <c r="AO321" s="621">
        <f>AO314-AO316-AO317+AO318+AO319+AO320</f>
        <v>121.9</v>
      </c>
      <c r="AP321" s="621">
        <f>AP314-AP316-AP317+AP318+AP319+AP320</f>
        <v>118.5999999999998</v>
      </c>
      <c r="AR321" s="621">
        <f>AR314-AR316-AR317+AR318+AR319+AR320</f>
        <v>-49.099999999999966</v>
      </c>
      <c r="AS321" s="621">
        <f>AS314-AS316-AS317+AS318+AS319+AS320</f>
        <v>44.800000000000011</v>
      </c>
      <c r="AT321" s="621">
        <f>AT314-AT316-AT317+AT318+AT319+AT320</f>
        <v>58.299999999999983</v>
      </c>
      <c r="AU321" s="621">
        <f>AU314-AU316-AU317+AU318+AU319+AU320</f>
        <v>-105.79999999999995</v>
      </c>
      <c r="AW321" s="621">
        <f>AW314-AW316-AW317+AW318+AW319+AW320</f>
        <v>4.5999999999999766</v>
      </c>
      <c r="AX321" s="621">
        <f>AX314-AX316-AX317+AX318+AX319+AX320</f>
        <v>-72.899999999999977</v>
      </c>
      <c r="AY321" s="621">
        <f>AY314-AY316-AY317+AY318+AY319+AY320</f>
        <v>-574.5</v>
      </c>
      <c r="AZ321" s="621">
        <f t="shared" ref="AZ321" ca="1" si="175">AZ314-AZ316-AZ317+AZ318+AZ319+AZ320</f>
        <v>41.355334718664906</v>
      </c>
      <c r="BB321" s="621">
        <f>BB314-BB316-BB317+BB318+BB319+BB320</f>
        <v>-467</v>
      </c>
      <c r="BC321" s="621"/>
      <c r="BD321" s="621"/>
      <c r="BE321" s="621"/>
      <c r="BK321" s="53"/>
      <c r="BL321" s="621">
        <f>BL314-BL316-BL317+BL318+BL319+BL320</f>
        <v>-150.80000000000001</v>
      </c>
      <c r="BM321" s="621">
        <f>BM314-BM316-BM317+BM318+BM319+BM320</f>
        <v>-98.099999999999966</v>
      </c>
    </row>
    <row r="322" spans="2:65" ht="15.75">
      <c r="B322" s="53"/>
      <c r="G322" s="53"/>
      <c r="H322" s="53"/>
      <c r="I322" s="53"/>
      <c r="J322" s="53"/>
      <c r="K322" s="53"/>
      <c r="L322" s="53"/>
      <c r="M322" s="53"/>
      <c r="O322" s="5"/>
      <c r="BK322" s="53"/>
      <c r="BL322" s="62"/>
      <c r="BM322" s="62"/>
    </row>
    <row r="323" spans="2:65" ht="15.75">
      <c r="B323" s="53" t="s">
        <v>2725</v>
      </c>
      <c r="G323" s="53"/>
      <c r="H323" s="53"/>
      <c r="I323" s="53"/>
      <c r="J323" s="53"/>
      <c r="K323" s="53"/>
      <c r="L323" s="53"/>
      <c r="M323" s="481">
        <v>72.599999999999994</v>
      </c>
      <c r="N323" s="481">
        <f>BM323-BL323</f>
        <v>58</v>
      </c>
      <c r="O323" s="481">
        <v>44.6</v>
      </c>
      <c r="P323" s="481">
        <f>75.2-O323</f>
        <v>30.6</v>
      </c>
      <c r="Q323" s="481">
        <v>-17.899999999999999</v>
      </c>
      <c r="R323" s="481">
        <f>147.5-O323-P323-Q323</f>
        <v>90.200000000000017</v>
      </c>
      <c r="S323" s="481">
        <v>16.8</v>
      </c>
      <c r="T323" s="481">
        <v>41.6</v>
      </c>
      <c r="U323" s="481">
        <v>27.9</v>
      </c>
      <c r="V323" s="481">
        <f>V321-V324</f>
        <v>-35.000000000000114</v>
      </c>
      <c r="W323" s="481"/>
      <c r="X323" s="481">
        <v>4.4000000000000004</v>
      </c>
      <c r="Y323" s="481">
        <v>29.5</v>
      </c>
      <c r="Z323" s="481">
        <v>-182.4</v>
      </c>
      <c r="AA323" s="481">
        <f>-98.2-X323-Y323-Z323</f>
        <v>50.299999999999983</v>
      </c>
      <c r="AB323" s="481"/>
      <c r="AC323" s="481">
        <v>5.6</v>
      </c>
      <c r="AD323" s="481">
        <v>3.8</v>
      </c>
      <c r="AE323" s="481">
        <v>-42.8</v>
      </c>
      <c r="AF323" s="481">
        <f>-29.3-AC323-AD323-AE323</f>
        <v>4.1000000000000014</v>
      </c>
      <c r="AG323" s="481"/>
      <c r="AH323" s="481">
        <v>28</v>
      </c>
      <c r="AI323" s="481">
        <v>38</v>
      </c>
      <c r="AJ323" s="481">
        <v>39.1</v>
      </c>
      <c r="AK323" s="481">
        <f>189.5-AH323-AI323-AJ323</f>
        <v>84.4</v>
      </c>
      <c r="AM323" s="481">
        <v>23.5</v>
      </c>
      <c r="AN323" s="481">
        <v>40.4</v>
      </c>
      <c r="AO323" s="481">
        <v>39.1</v>
      </c>
      <c r="AP323" s="481">
        <f>86.5-AM323-AN323-AO323</f>
        <v>-16.5</v>
      </c>
      <c r="AR323" s="481">
        <v>13.2</v>
      </c>
      <c r="AS323" s="481">
        <v>30.6</v>
      </c>
      <c r="AT323" s="481">
        <v>10.4</v>
      </c>
      <c r="AU323" s="481"/>
      <c r="AW323" s="481">
        <v>5.0999999999999996</v>
      </c>
      <c r="AX323" s="481">
        <v>-35.9</v>
      </c>
      <c r="AY323" s="481">
        <v>-145.69999999999999</v>
      </c>
      <c r="AZ323" s="481">
        <f ca="1">Master!P27-AW323-AX323-AY323</f>
        <v>168.76213388746609</v>
      </c>
      <c r="BB323" s="481">
        <f>SUM(AW323:AY323)</f>
        <v>-176.5</v>
      </c>
      <c r="BC323" s="481"/>
      <c r="BD323" s="481"/>
      <c r="BE323" s="481"/>
      <c r="BK323" s="53"/>
      <c r="BL323" s="621">
        <v>71.099999999999994</v>
      </c>
      <c r="BM323" s="481">
        <f>129.1</f>
        <v>129.1</v>
      </c>
    </row>
    <row r="324" spans="2:65" ht="15.75">
      <c r="B324" s="53" t="s">
        <v>2739</v>
      </c>
      <c r="G324" s="53"/>
      <c r="H324" s="53"/>
      <c r="I324" s="53"/>
      <c r="J324" s="53"/>
      <c r="K324" s="53"/>
      <c r="L324" s="53"/>
      <c r="M324" s="481">
        <f t="shared" ref="M324:U324" si="176">M321-M323</f>
        <v>-68.299999999999955</v>
      </c>
      <c r="N324" s="481">
        <f t="shared" si="176"/>
        <v>-5.2999999999999403</v>
      </c>
      <c r="O324" s="481">
        <f t="shared" si="176"/>
        <v>-10.900000000000027</v>
      </c>
      <c r="P324" s="481">
        <f t="shared" si="176"/>
        <v>-23.500000000000018</v>
      </c>
      <c r="Q324" s="481">
        <f t="shared" si="176"/>
        <v>-343.99999999999994</v>
      </c>
      <c r="R324" s="481">
        <f t="shared" si="176"/>
        <v>-418.9</v>
      </c>
      <c r="S324" s="481">
        <f t="shared" si="176"/>
        <v>-54.2</v>
      </c>
      <c r="T324" s="481">
        <f t="shared" si="176"/>
        <v>-27.500000000000018</v>
      </c>
      <c r="U324" s="481">
        <f t="shared" si="176"/>
        <v>-18.000000000000021</v>
      </c>
      <c r="V324" s="481">
        <f>-635.8-S324-T324-U324</f>
        <v>-536.09999999999991</v>
      </c>
      <c r="W324" s="481"/>
      <c r="X324" s="481">
        <f>X321-X323</f>
        <v>-41.099999999999994</v>
      </c>
      <c r="Y324" s="481">
        <f>Y321-Y323</f>
        <v>-111.2</v>
      </c>
      <c r="Z324" s="481">
        <f>Z321-Z323</f>
        <v>-69.699999999999989</v>
      </c>
      <c r="AA324" s="481"/>
      <c r="AB324" s="481"/>
      <c r="AC324" s="481">
        <f t="shared" ref="AC324:AM324" si="177">AC321-AC323</f>
        <v>-184.60000000000005</v>
      </c>
      <c r="AD324" s="481">
        <f t="shared" si="177"/>
        <v>-499.79999999999995</v>
      </c>
      <c r="AE324" s="481">
        <f t="shared" si="177"/>
        <v>-90.2</v>
      </c>
      <c r="AF324" s="481">
        <f t="shared" si="177"/>
        <v>-33.899999999999892</v>
      </c>
      <c r="AG324" s="481"/>
      <c r="AH324" s="481">
        <f t="shared" si="177"/>
        <v>92.200000000000017</v>
      </c>
      <c r="AI324" s="481">
        <f t="shared" si="177"/>
        <v>13.800000000000011</v>
      </c>
      <c r="AJ324" s="481">
        <f t="shared" si="177"/>
        <v>75.700000000000017</v>
      </c>
      <c r="AK324" s="481">
        <f t="shared" si="177"/>
        <v>-671.9</v>
      </c>
      <c r="AM324" s="481">
        <f t="shared" si="177"/>
        <v>93.4</v>
      </c>
      <c r="AN324" s="481">
        <f>AN321-AN323</f>
        <v>-506.89999999999986</v>
      </c>
      <c r="AO324" s="481">
        <f>AO321-AO323</f>
        <v>82.800000000000011</v>
      </c>
      <c r="AP324" s="481">
        <f>AP321-AP323</f>
        <v>135.0999999999998</v>
      </c>
      <c r="AR324" s="481">
        <f>AR321-AR323</f>
        <v>-62.299999999999969</v>
      </c>
      <c r="AS324" s="481">
        <f>AS321-AS323</f>
        <v>14.20000000000001</v>
      </c>
      <c r="AT324" s="481">
        <f>AT321-AT323</f>
        <v>47.899999999999984</v>
      </c>
      <c r="AU324" s="481"/>
      <c r="AW324" s="481">
        <f>AW321-AW323</f>
        <v>-0.50000000000002309</v>
      </c>
      <c r="AX324" s="481">
        <f>AX321-AX323</f>
        <v>-36.999999999999979</v>
      </c>
      <c r="AY324" s="481">
        <f>AY321-AY323</f>
        <v>-428.8</v>
      </c>
      <c r="AZ324" s="481">
        <f ca="1">AZ321-AZ323</f>
        <v>-127.40679916880119</v>
      </c>
      <c r="BB324" s="481">
        <f>SUM(AW324:AY324)</f>
        <v>-466.3</v>
      </c>
      <c r="BC324" s="481"/>
      <c r="BD324" s="481"/>
      <c r="BE324" s="481"/>
      <c r="BL324" s="621">
        <f>BL321-BL323</f>
        <v>-221.9</v>
      </c>
      <c r="BM324" s="481">
        <f>BM321-BM323</f>
        <v>-227.19999999999996</v>
      </c>
    </row>
    <row r="325" spans="2:65" ht="15.75">
      <c r="B325" s="53"/>
      <c r="G325" s="53"/>
      <c r="H325" s="53"/>
      <c r="I325" s="53"/>
      <c r="J325" s="53"/>
      <c r="K325" s="53"/>
      <c r="L325" s="53"/>
      <c r="M325" s="53"/>
      <c r="O325" s="481"/>
      <c r="BK325" s="53"/>
      <c r="BL325" s="62"/>
    </row>
    <row r="326" spans="2:65" ht="15.75">
      <c r="B326" s="53" t="s">
        <v>674</v>
      </c>
      <c r="G326" s="53"/>
      <c r="H326" s="53"/>
      <c r="I326" s="53"/>
      <c r="J326" s="53"/>
      <c r="K326" s="53"/>
      <c r="L326" s="53"/>
      <c r="M326" s="53">
        <v>13.5</v>
      </c>
      <c r="N326" s="481">
        <f>N323-N325</f>
        <v>58</v>
      </c>
      <c r="O326" s="481">
        <v>16.399999999999999</v>
      </c>
      <c r="P326" s="481">
        <f>31.9-O326</f>
        <v>15.5</v>
      </c>
      <c r="Q326" s="481">
        <v>-12.4</v>
      </c>
      <c r="R326" s="481">
        <f>-20-O326-P326-Q326</f>
        <v>-39.5</v>
      </c>
      <c r="S326" s="481">
        <v>-9.8000000000000007</v>
      </c>
      <c r="T326" s="481">
        <v>14.7</v>
      </c>
      <c r="U326" s="481">
        <v>6.7</v>
      </c>
      <c r="V326" s="481">
        <f>V324-V327</f>
        <v>-302.20000000000005</v>
      </c>
      <c r="W326" s="481"/>
      <c r="X326" s="481">
        <v>0.5</v>
      </c>
      <c r="Y326" s="481">
        <v>4.8</v>
      </c>
      <c r="Z326" s="481">
        <v>-105</v>
      </c>
      <c r="AA326" s="481">
        <f>-102.3-X326-Y326-Z326</f>
        <v>-2.5999999999999943</v>
      </c>
      <c r="AB326" s="481"/>
      <c r="AC326" s="481">
        <v>-3.9</v>
      </c>
      <c r="AD326" s="481">
        <v>-107.2</v>
      </c>
      <c r="AE326" s="481">
        <v>-5.4</v>
      </c>
      <c r="AF326" s="481">
        <f>-121.3-AC326-AD326-AE326</f>
        <v>-4.7999999999999883</v>
      </c>
      <c r="AG326" s="481"/>
      <c r="AH326" s="481">
        <v>1.6</v>
      </c>
      <c r="AI326" s="481">
        <v>-3.4</v>
      </c>
      <c r="AJ326" s="481">
        <v>-4.2</v>
      </c>
      <c r="AK326" s="481">
        <f>-50-AH326-AI326-AJ326</f>
        <v>-44</v>
      </c>
      <c r="AM326" s="481"/>
      <c r="AN326" s="481"/>
      <c r="AO326" s="481">
        <v>6.2</v>
      </c>
      <c r="AP326" s="481"/>
      <c r="AR326" s="481"/>
      <c r="AS326" s="481"/>
      <c r="AT326" s="481">
        <v>-11.8</v>
      </c>
      <c r="AU326" s="481"/>
      <c r="AW326" s="481">
        <v>0</v>
      </c>
      <c r="AX326" s="481">
        <v>5.8</v>
      </c>
      <c r="AY326" s="481">
        <v>6.7</v>
      </c>
      <c r="AZ326" s="481"/>
      <c r="BB326" s="481"/>
      <c r="BC326" s="481"/>
      <c r="BD326" s="481"/>
      <c r="BE326" s="481"/>
      <c r="BK326" s="53"/>
      <c r="BL326" s="621">
        <v>20.9</v>
      </c>
      <c r="BM326" s="481">
        <v>28.3</v>
      </c>
    </row>
    <row r="327" spans="2:65" ht="15.75">
      <c r="B327" s="53" t="s">
        <v>912</v>
      </c>
      <c r="G327" s="53"/>
      <c r="H327" s="53"/>
      <c r="I327" s="53"/>
      <c r="J327" s="53"/>
      <c r="K327" s="53"/>
      <c r="L327" s="53"/>
      <c r="M327" s="481">
        <f t="shared" ref="M327:U327" si="178">M321-M323-M326</f>
        <v>-81.799999999999955</v>
      </c>
      <c r="N327" s="481">
        <f t="shared" si="178"/>
        <v>-63.29999999999994</v>
      </c>
      <c r="O327" s="481">
        <f t="shared" si="178"/>
        <v>-27.300000000000026</v>
      </c>
      <c r="P327" s="481">
        <f t="shared" si="178"/>
        <v>-39.000000000000014</v>
      </c>
      <c r="Q327" s="481">
        <f t="shared" si="178"/>
        <v>-331.59999999999997</v>
      </c>
      <c r="R327" s="481">
        <f t="shared" si="178"/>
        <v>-379.4</v>
      </c>
      <c r="S327" s="481">
        <f t="shared" si="178"/>
        <v>-44.400000000000006</v>
      </c>
      <c r="T327" s="481">
        <f t="shared" si="178"/>
        <v>-42.200000000000017</v>
      </c>
      <c r="U327" s="481">
        <f t="shared" si="178"/>
        <v>-24.700000000000021</v>
      </c>
      <c r="V327" s="481">
        <f>-345.2-S327-T327-U327</f>
        <v>-233.89999999999989</v>
      </c>
      <c r="W327" s="481"/>
      <c r="X327" s="481">
        <f>X321-X323-X326</f>
        <v>-41.599999999999994</v>
      </c>
      <c r="Y327" s="481">
        <f>Y321-Y323-Y326</f>
        <v>-116</v>
      </c>
      <c r="Z327" s="481">
        <f>Z321-Z323-Z326</f>
        <v>35.300000000000011</v>
      </c>
      <c r="AA327" s="481"/>
      <c r="AB327" s="481"/>
      <c r="AC327" s="481">
        <f t="shared" ref="AC327:AM327" si="179">AC321-AC323-AC326</f>
        <v>-180.70000000000005</v>
      </c>
      <c r="AD327" s="481">
        <f t="shared" si="179"/>
        <v>-392.59999999999997</v>
      </c>
      <c r="AE327" s="481">
        <f t="shared" si="179"/>
        <v>-84.8</v>
      </c>
      <c r="AF327" s="481">
        <f t="shared" si="179"/>
        <v>-29.099999999999902</v>
      </c>
      <c r="AG327" s="481"/>
      <c r="AH327" s="481">
        <f t="shared" si="179"/>
        <v>90.600000000000023</v>
      </c>
      <c r="AI327" s="481">
        <f t="shared" si="179"/>
        <v>17.20000000000001</v>
      </c>
      <c r="AJ327" s="481">
        <f t="shared" si="179"/>
        <v>79.90000000000002</v>
      </c>
      <c r="AK327" s="481">
        <f t="shared" si="179"/>
        <v>-627.9</v>
      </c>
      <c r="AM327" s="481">
        <f t="shared" si="179"/>
        <v>93.4</v>
      </c>
      <c r="AN327" s="481">
        <f>AN321-AN323-AN326</f>
        <v>-506.89999999999986</v>
      </c>
      <c r="AO327" s="481">
        <f>AO321-AO323-AO326</f>
        <v>76.600000000000009</v>
      </c>
      <c r="AP327" s="481">
        <f>AP321-AP323-AP326</f>
        <v>135.0999999999998</v>
      </c>
      <c r="AR327" s="481">
        <f>AR321-AR323-AR326</f>
        <v>-62.299999999999969</v>
      </c>
      <c r="AS327" s="481">
        <f>AS321-AS323-AS326</f>
        <v>14.20000000000001</v>
      </c>
      <c r="AT327" s="481">
        <f>AT321-AT323-AT326</f>
        <v>59.699999999999989</v>
      </c>
      <c r="AU327" s="481"/>
      <c r="AW327" s="481">
        <f>AW321-AW323-AW326</f>
        <v>-0.50000000000002309</v>
      </c>
      <c r="AX327" s="481">
        <f>AX321-AX323-AX326</f>
        <v>-42.799999999999976</v>
      </c>
      <c r="AY327" s="481">
        <f>AY321-AY323-AY326</f>
        <v>-435.5</v>
      </c>
      <c r="AZ327" s="481">
        <f t="shared" ref="AZ327" ca="1" si="180">AZ321-AZ323-AZ326</f>
        <v>-127.40679916880119</v>
      </c>
      <c r="BB327" s="481"/>
      <c r="BC327" s="481"/>
      <c r="BD327" s="481"/>
      <c r="BE327" s="481"/>
      <c r="BK327" s="53"/>
      <c r="BL327" s="621">
        <f>BL321-BL323-BL326</f>
        <v>-242.8</v>
      </c>
      <c r="BM327" s="481">
        <f>BM321-BM323-BM326</f>
        <v>-255.49999999999997</v>
      </c>
    </row>
    <row r="328" spans="2:65" ht="15.75">
      <c r="B328" s="53" t="s">
        <v>2753</v>
      </c>
      <c r="G328" s="53"/>
      <c r="H328" s="53"/>
      <c r="I328" s="53"/>
      <c r="J328" s="53"/>
      <c r="K328" s="53"/>
      <c r="L328" s="53"/>
      <c r="M328" s="481"/>
      <c r="O328" s="481"/>
      <c r="BK328" s="53"/>
      <c r="BL328" s="481"/>
      <c r="BM328" s="481">
        <v>19.7</v>
      </c>
    </row>
    <row r="329" spans="2:65" ht="15.75">
      <c r="B329" s="53" t="s">
        <v>912</v>
      </c>
      <c r="G329" s="53"/>
      <c r="H329" s="53"/>
      <c r="I329" s="53"/>
      <c r="J329" s="53"/>
      <c r="K329" s="53"/>
      <c r="L329" s="53"/>
      <c r="M329" s="53"/>
      <c r="O329" s="481">
        <v>50</v>
      </c>
      <c r="BK329" s="53"/>
      <c r="BM329" s="481">
        <f>BM327+BM328</f>
        <v>-235.79999999999998</v>
      </c>
    </row>
    <row r="330" spans="2:65" ht="15.75">
      <c r="B330" s="53"/>
      <c r="G330" s="53"/>
      <c r="H330" s="53"/>
      <c r="I330" s="53"/>
      <c r="J330" s="53"/>
      <c r="K330" s="53"/>
      <c r="L330" s="53"/>
      <c r="M330" s="53"/>
      <c r="BK330" s="53"/>
    </row>
    <row r="331" spans="2:65" ht="15.75">
      <c r="B331" s="50" t="s">
        <v>19</v>
      </c>
      <c r="G331" s="51" t="str">
        <f t="shared" ref="G331:AK331" si="181">G284</f>
        <v>Q1 15</v>
      </c>
      <c r="H331" s="51" t="str">
        <f t="shared" si="181"/>
        <v>Q2 15</v>
      </c>
      <c r="I331" s="51" t="str">
        <f t="shared" si="181"/>
        <v>Q3 15</v>
      </c>
      <c r="J331" s="51" t="str">
        <f t="shared" si="181"/>
        <v>Q4 15</v>
      </c>
      <c r="K331" s="51" t="str">
        <f t="shared" si="181"/>
        <v>Q1 16</v>
      </c>
      <c r="L331" s="51" t="str">
        <f t="shared" si="181"/>
        <v>Q2 16</v>
      </c>
      <c r="M331" s="51" t="str">
        <f t="shared" si="181"/>
        <v>Q3 16</v>
      </c>
      <c r="N331" s="51" t="str">
        <f t="shared" si="181"/>
        <v>Q4 16</v>
      </c>
      <c r="O331" s="51" t="str">
        <f t="shared" si="181"/>
        <v>Q1 17</v>
      </c>
      <c r="P331" s="51" t="str">
        <f t="shared" si="181"/>
        <v>Q2 17</v>
      </c>
      <c r="Q331" s="51" t="str">
        <f t="shared" si="181"/>
        <v>Q3 17</v>
      </c>
      <c r="R331" s="51" t="str">
        <f t="shared" si="181"/>
        <v>Q4 17</v>
      </c>
      <c r="S331" s="51" t="str">
        <f t="shared" si="181"/>
        <v>Q1 18</v>
      </c>
      <c r="T331" s="51" t="str">
        <f t="shared" si="181"/>
        <v>Q2 18</v>
      </c>
      <c r="U331" s="51" t="str">
        <f t="shared" si="181"/>
        <v>Q3 18</v>
      </c>
      <c r="V331" s="51" t="str">
        <f t="shared" si="181"/>
        <v>Q4 18</v>
      </c>
      <c r="W331" s="51">
        <f t="shared" si="181"/>
        <v>2018</v>
      </c>
      <c r="X331" s="51" t="str">
        <f t="shared" si="181"/>
        <v>Q1 19</v>
      </c>
      <c r="Y331" s="51" t="str">
        <f t="shared" si="181"/>
        <v>Q2 19</v>
      </c>
      <c r="Z331" s="51" t="str">
        <f t="shared" si="181"/>
        <v>Q3 19</v>
      </c>
      <c r="AA331" s="51" t="str">
        <f t="shared" si="181"/>
        <v>Q4 19</v>
      </c>
      <c r="AB331" s="51">
        <f t="shared" si="181"/>
        <v>2019</v>
      </c>
      <c r="AC331" s="51" t="str">
        <f t="shared" si="181"/>
        <v>Q1 20</v>
      </c>
      <c r="AD331" s="51" t="str">
        <f t="shared" si="181"/>
        <v>Q2 20</v>
      </c>
      <c r="AE331" s="51" t="str">
        <f t="shared" si="181"/>
        <v>Q3 20</v>
      </c>
      <c r="AF331" s="51" t="str">
        <f t="shared" si="181"/>
        <v>Q4 20</v>
      </c>
      <c r="AG331" s="51">
        <f t="shared" si="181"/>
        <v>2020</v>
      </c>
      <c r="AH331" s="51" t="str">
        <f t="shared" si="181"/>
        <v>Q1 21</v>
      </c>
      <c r="AI331" s="51" t="str">
        <f t="shared" si="181"/>
        <v>Q2 21</v>
      </c>
      <c r="AJ331" s="51" t="str">
        <f t="shared" si="181"/>
        <v>Q3 21</v>
      </c>
      <c r="AK331" s="51" t="str">
        <f t="shared" si="181"/>
        <v>Q4 21</v>
      </c>
      <c r="AM331" s="51" t="str">
        <f>AM284</f>
        <v>Q1 22</v>
      </c>
      <c r="AN331" s="51" t="str">
        <f>AN284</f>
        <v>Q2 22</v>
      </c>
      <c r="AO331" s="51" t="str">
        <f>AO284</f>
        <v>Q3 22</v>
      </c>
      <c r="AP331" s="51" t="str">
        <f>AP284</f>
        <v>Q4 22</v>
      </c>
      <c r="AR331" s="51" t="str">
        <f>AR284</f>
        <v>Q1 23</v>
      </c>
      <c r="AS331" s="51" t="str">
        <f>AS284</f>
        <v>Q2 23</v>
      </c>
      <c r="AT331" s="51" t="str">
        <f>AT284</f>
        <v>Q3 23</v>
      </c>
      <c r="AU331" s="51" t="str">
        <f>AU284</f>
        <v>Q4 23</v>
      </c>
      <c r="AW331" s="51" t="str">
        <f>AW284</f>
        <v>Q1 24</v>
      </c>
      <c r="AX331" s="51" t="str">
        <f>AX284</f>
        <v>Q2 24</v>
      </c>
      <c r="AY331" s="51" t="str">
        <f>AY284</f>
        <v>Q3 24</v>
      </c>
      <c r="AZ331" s="51" t="str">
        <f t="shared" ref="AZ331" si="182">AZ284</f>
        <v>Q4 24e</v>
      </c>
      <c r="BB331" s="51"/>
      <c r="BC331" s="51"/>
      <c r="BD331" s="51"/>
      <c r="BE331" s="51"/>
      <c r="BK331" s="51" t="s">
        <v>2750</v>
      </c>
      <c r="BL331" s="51" t="s">
        <v>2751</v>
      </c>
      <c r="BM331" s="51" t="s">
        <v>2752</v>
      </c>
    </row>
    <row r="332" spans="2:65" ht="15.75">
      <c r="B332" s="53" t="s">
        <v>29</v>
      </c>
      <c r="G332" s="53"/>
      <c r="H332" s="481">
        <f>Quarts!D602</f>
        <v>133</v>
      </c>
      <c r="I332" s="481">
        <f>Quarts!E602</f>
        <v>131</v>
      </c>
      <c r="J332" s="481">
        <f>Quarts!F602</f>
        <v>135</v>
      </c>
      <c r="K332" s="481">
        <v>134.5</v>
      </c>
      <c r="L332" s="481">
        <v>117.4</v>
      </c>
      <c r="M332" s="481">
        <v>91.3</v>
      </c>
      <c r="N332" s="481">
        <v>137.80000000000001</v>
      </c>
      <c r="O332" s="481">
        <f>161.2-P332</f>
        <v>60.499999999999986</v>
      </c>
      <c r="P332" s="481">
        <v>100.7</v>
      </c>
      <c r="Q332" s="481">
        <v>119.7</v>
      </c>
      <c r="R332" s="481">
        <f>432-O332-P332-Q332</f>
        <v>151.10000000000002</v>
      </c>
      <c r="S332" s="481">
        <v>67.2</v>
      </c>
      <c r="T332" s="481">
        <v>95.6</v>
      </c>
      <c r="U332" s="481">
        <v>93.1</v>
      </c>
      <c r="V332" s="481">
        <f>378.7-S332-T332-U332</f>
        <v>122.80000000000001</v>
      </c>
      <c r="W332" s="481"/>
      <c r="X332" s="481">
        <v>63.6</v>
      </c>
      <c r="Y332" s="481">
        <f>145.7-X332</f>
        <v>82.1</v>
      </c>
      <c r="Z332" s="481">
        <v>119.2</v>
      </c>
      <c r="AA332" s="481">
        <v>130.6</v>
      </c>
      <c r="AB332" s="481"/>
      <c r="AC332" s="481">
        <f>152-AD332</f>
        <v>70.5</v>
      </c>
      <c r="AD332" s="481">
        <v>81.5</v>
      </c>
      <c r="AE332" s="481">
        <v>82.1</v>
      </c>
      <c r="AF332" s="481">
        <f>65+81</f>
        <v>146</v>
      </c>
      <c r="AG332" s="481"/>
      <c r="AH332" s="481"/>
      <c r="AI332" s="481"/>
      <c r="AJ332" s="481"/>
      <c r="AK332" s="481">
        <v>191.6</v>
      </c>
      <c r="AM332" s="481"/>
      <c r="AN332" s="481"/>
      <c r="AO332" s="481"/>
      <c r="AP332" s="481"/>
      <c r="AR332" s="481"/>
      <c r="AS332" s="481"/>
      <c r="AT332" s="481"/>
      <c r="AU332" s="481"/>
      <c r="AW332" s="481"/>
      <c r="AX332" s="481"/>
      <c r="AY332" s="481"/>
      <c r="AZ332" s="481"/>
      <c r="BB332" s="481"/>
      <c r="BC332" s="481"/>
      <c r="BD332" s="481"/>
      <c r="BE332" s="481"/>
      <c r="BK332" s="53"/>
    </row>
    <row r="333" spans="2:65" ht="15.75">
      <c r="B333" s="50" t="s">
        <v>467</v>
      </c>
      <c r="G333" s="50"/>
      <c r="H333" s="638">
        <f>Quarts!D603</f>
        <v>61.6</v>
      </c>
      <c r="I333" s="638">
        <f>Quarts!E603</f>
        <v>58.4</v>
      </c>
      <c r="J333" s="638">
        <f>Quarts!F603</f>
        <v>57.4</v>
      </c>
      <c r="K333" s="638">
        <f>Quarts!G603</f>
        <v>50</v>
      </c>
      <c r="L333" s="638">
        <f>Quarts!H603</f>
        <v>74.628325041459334</v>
      </c>
      <c r="M333" s="638">
        <f t="shared" ref="M333:V333" si="183">M334-M332</f>
        <v>69.600000000000009</v>
      </c>
      <c r="N333" s="638">
        <f t="shared" si="183"/>
        <v>65.399999999999977</v>
      </c>
      <c r="O333" s="638">
        <f t="shared" si="183"/>
        <v>78.7</v>
      </c>
      <c r="P333" s="638">
        <f t="shared" si="183"/>
        <v>70.2</v>
      </c>
      <c r="Q333" s="638">
        <f t="shared" si="183"/>
        <v>73.7</v>
      </c>
      <c r="R333" s="638">
        <f t="shared" si="183"/>
        <v>121.89999999999998</v>
      </c>
      <c r="S333" s="638">
        <f t="shared" si="183"/>
        <v>126.8</v>
      </c>
      <c r="T333" s="638">
        <f t="shared" si="183"/>
        <v>122.4</v>
      </c>
      <c r="U333" s="638">
        <f t="shared" si="183"/>
        <v>76.700000000000017</v>
      </c>
      <c r="V333" s="638">
        <f t="shared" si="183"/>
        <v>67.199999999999989</v>
      </c>
      <c r="W333" s="481"/>
      <c r="X333" s="638">
        <f>X334-X332</f>
        <v>75.5</v>
      </c>
      <c r="Y333" s="638">
        <f>Y334-Y332</f>
        <v>84</v>
      </c>
      <c r="Z333" s="638">
        <f>Z334-Z332</f>
        <v>67.7</v>
      </c>
      <c r="AA333" s="638">
        <f>AA334-AA332</f>
        <v>98.4</v>
      </c>
      <c r="AB333" s="481"/>
      <c r="AC333" s="638">
        <f>AC334-AC332</f>
        <v>62.400000000000006</v>
      </c>
      <c r="AD333" s="638">
        <f>AD334-AD332</f>
        <v>71.800000000000011</v>
      </c>
      <c r="AE333" s="638">
        <f>AE334-AE332</f>
        <v>74.800000000000011</v>
      </c>
      <c r="AF333" s="638">
        <f>AF334-AF332</f>
        <v>42</v>
      </c>
      <c r="AG333" s="481"/>
      <c r="AH333" s="638"/>
      <c r="AI333" s="481"/>
      <c r="AJ333" s="481"/>
      <c r="AK333" s="481"/>
      <c r="AM333" s="638"/>
      <c r="AN333" s="638"/>
      <c r="AO333" s="481"/>
      <c r="AP333" s="481"/>
      <c r="AR333" s="638"/>
      <c r="AS333" s="638"/>
      <c r="AT333" s="638"/>
      <c r="AU333" s="638"/>
      <c r="AW333" s="638"/>
      <c r="AX333" s="638"/>
      <c r="AY333" s="638"/>
      <c r="AZ333" s="638"/>
      <c r="BB333" s="638"/>
      <c r="BC333" s="638"/>
      <c r="BD333" s="638"/>
      <c r="BE333" s="638"/>
      <c r="BK333" s="53"/>
    </row>
    <row r="334" spans="2:65" ht="15.75">
      <c r="B334" s="700" t="s">
        <v>2721</v>
      </c>
      <c r="G334" s="700"/>
      <c r="H334" s="701">
        <f>Quarts!D604</f>
        <v>194.6</v>
      </c>
      <c r="I334" s="701">
        <f>Quarts!E604</f>
        <v>189.4</v>
      </c>
      <c r="J334" s="701">
        <f>Quarts!F604</f>
        <v>192.4</v>
      </c>
      <c r="K334" s="701">
        <f>Quarts!G604</f>
        <v>179</v>
      </c>
      <c r="L334" s="701">
        <f>Quarts!H604</f>
        <v>194.62832504145933</v>
      </c>
      <c r="M334" s="701">
        <f>Quarts!I604</f>
        <v>160.9</v>
      </c>
      <c r="N334" s="701">
        <v>203.2</v>
      </c>
      <c r="O334" s="701">
        <v>139.19999999999999</v>
      </c>
      <c r="P334" s="701">
        <v>170.9</v>
      </c>
      <c r="Q334" s="701">
        <v>193.4</v>
      </c>
      <c r="R334" s="701">
        <v>273</v>
      </c>
      <c r="S334" s="701">
        <v>194</v>
      </c>
      <c r="T334" s="701">
        <v>218</v>
      </c>
      <c r="U334" s="701">
        <v>169.8</v>
      </c>
      <c r="V334" s="701">
        <v>190</v>
      </c>
      <c r="W334" s="481"/>
      <c r="X334" s="701">
        <v>139.1</v>
      </c>
      <c r="Y334" s="701">
        <f>305.2-X334</f>
        <v>166.1</v>
      </c>
      <c r="Z334" s="701">
        <v>186.9</v>
      </c>
      <c r="AA334" s="701">
        <v>229</v>
      </c>
      <c r="AB334" s="481"/>
      <c r="AC334" s="701">
        <v>132.9</v>
      </c>
      <c r="AD334" s="701">
        <v>153.30000000000001</v>
      </c>
      <c r="AE334" s="701">
        <v>156.9</v>
      </c>
      <c r="AF334" s="701">
        <v>188</v>
      </c>
      <c r="AG334" s="481"/>
      <c r="AH334" s="701">
        <v>152.4</v>
      </c>
      <c r="AI334" s="701">
        <v>214.7</v>
      </c>
      <c r="AJ334" s="701">
        <v>231.9</v>
      </c>
      <c r="AK334" s="701">
        <v>256.89999999999998</v>
      </c>
      <c r="AM334" s="701">
        <v>175.4</v>
      </c>
      <c r="AN334" s="701">
        <v>191.7</v>
      </c>
      <c r="AO334" s="701">
        <v>224</v>
      </c>
      <c r="AP334" s="701">
        <v>225.2</v>
      </c>
      <c r="AR334" s="701">
        <v>144.69999999999999</v>
      </c>
      <c r="AS334" s="701">
        <v>192.4</v>
      </c>
      <c r="AT334" s="701">
        <v>187.2</v>
      </c>
      <c r="AU334" s="701">
        <f>730.9-AR334-AS334-AT334</f>
        <v>206.60000000000008</v>
      </c>
      <c r="AW334" s="701">
        <v>109.7</v>
      </c>
      <c r="AX334" s="701">
        <v>140.5</v>
      </c>
      <c r="AY334" s="701">
        <v>126.5</v>
      </c>
      <c r="AZ334" s="701">
        <f>Master!P121-AW334-AX334-AY334</f>
        <v>338.04571124892743</v>
      </c>
      <c r="BB334" s="701"/>
      <c r="BC334" s="701"/>
      <c r="BD334" s="701"/>
      <c r="BE334" s="701"/>
      <c r="BK334" s="481"/>
    </row>
    <row r="335" spans="2:65" ht="15.75">
      <c r="B335" s="53"/>
      <c r="G335" s="53"/>
      <c r="H335" s="481"/>
      <c r="I335" s="481"/>
      <c r="J335" s="481"/>
      <c r="K335" s="481"/>
      <c r="L335" s="481"/>
      <c r="M335" s="481"/>
      <c r="N335" s="481"/>
      <c r="R335" s="6"/>
      <c r="S335" s="6"/>
      <c r="T335" s="6"/>
      <c r="U335" s="6"/>
      <c r="V335" s="6"/>
      <c r="BK335" s="481"/>
    </row>
    <row r="336" spans="2:65" ht="15.75">
      <c r="B336" s="53" t="s">
        <v>27</v>
      </c>
      <c r="G336" s="53"/>
      <c r="H336" s="481"/>
      <c r="I336" s="481"/>
      <c r="J336" s="481"/>
      <c r="K336" s="481"/>
      <c r="L336" s="481"/>
      <c r="M336" s="481"/>
      <c r="N336" s="481"/>
      <c r="R336" s="6"/>
      <c r="S336" s="6"/>
      <c r="T336" s="6"/>
      <c r="U336" s="6"/>
      <c r="V336" s="6"/>
      <c r="BK336" s="481"/>
    </row>
    <row r="337" spans="2:66" ht="15.75">
      <c r="B337" s="53"/>
      <c r="G337" s="53"/>
      <c r="H337" s="481"/>
      <c r="I337" s="481"/>
      <c r="J337" s="481"/>
      <c r="K337" s="481"/>
      <c r="L337" s="481"/>
      <c r="M337" s="481"/>
      <c r="N337" s="481"/>
      <c r="R337" s="6"/>
      <c r="S337" s="6"/>
      <c r="T337" s="6"/>
      <c r="U337" s="6"/>
      <c r="V337" s="6"/>
      <c r="BK337" s="481"/>
    </row>
    <row r="338" spans="2:66" ht="15.75">
      <c r="B338" s="78" t="s">
        <v>3621</v>
      </c>
      <c r="G338" s="53"/>
      <c r="H338" s="481"/>
      <c r="I338" s="481"/>
      <c r="J338" s="481"/>
      <c r="K338" s="481"/>
      <c r="L338" s="481"/>
      <c r="M338" s="481"/>
      <c r="N338" s="481"/>
      <c r="R338" s="6"/>
      <c r="S338" s="6"/>
      <c r="T338" s="6"/>
      <c r="U338" s="6"/>
      <c r="V338" s="6"/>
      <c r="BK338" s="481"/>
    </row>
    <row r="339" spans="2:66" ht="15.75">
      <c r="B339" s="53" t="s">
        <v>984</v>
      </c>
      <c r="G339" s="53"/>
      <c r="H339" s="481"/>
      <c r="I339" s="481"/>
      <c r="J339" s="481"/>
      <c r="K339" s="481"/>
      <c r="L339" s="481"/>
      <c r="M339" s="481"/>
      <c r="N339" s="481"/>
      <c r="R339" s="481">
        <v>50</v>
      </c>
      <c r="S339" s="6"/>
      <c r="T339" s="6"/>
      <c r="U339" s="6"/>
      <c r="V339" s="6"/>
      <c r="W339" s="481"/>
      <c r="X339" s="481"/>
      <c r="Y339" s="481"/>
      <c r="Z339" s="481"/>
      <c r="AA339" s="481"/>
      <c r="AB339" s="481"/>
      <c r="AC339" s="481"/>
      <c r="AD339" s="481"/>
      <c r="AE339" s="481"/>
      <c r="AF339" s="481"/>
      <c r="AG339" s="481"/>
      <c r="AH339" s="481"/>
      <c r="AI339" s="481"/>
      <c r="AJ339" s="481"/>
      <c r="AK339" s="481"/>
      <c r="AM339" s="481"/>
      <c r="AN339" s="481"/>
      <c r="AO339" s="481"/>
      <c r="AP339" s="481"/>
      <c r="AR339" s="481"/>
      <c r="AS339" s="481"/>
      <c r="AT339" s="481"/>
      <c r="AU339" s="481"/>
      <c r="AW339" s="481"/>
      <c r="AX339" s="481"/>
      <c r="AY339" s="481"/>
      <c r="AZ339" s="481"/>
      <c r="BB339" s="481"/>
      <c r="BC339" s="481"/>
      <c r="BD339" s="481"/>
      <c r="BE339" s="481"/>
      <c r="BK339" s="481"/>
    </row>
    <row r="340" spans="2:66" ht="15.75">
      <c r="B340" s="53" t="s">
        <v>1415</v>
      </c>
      <c r="G340" s="53"/>
      <c r="H340" s="481"/>
      <c r="I340" s="481"/>
      <c r="J340" s="481"/>
      <c r="K340" s="481"/>
      <c r="L340" s="481"/>
      <c r="M340" s="481"/>
      <c r="N340" s="481"/>
      <c r="R340" s="6"/>
      <c r="S340" s="6"/>
      <c r="T340" s="6"/>
      <c r="U340" s="6"/>
      <c r="V340" s="6"/>
      <c r="BK340" s="481"/>
    </row>
    <row r="341" spans="2:66" ht="15.75">
      <c r="B341" s="53"/>
      <c r="G341" s="53"/>
      <c r="H341" s="481"/>
      <c r="I341" s="481"/>
      <c r="J341" s="481"/>
      <c r="K341" s="481"/>
      <c r="L341" s="481"/>
      <c r="M341" s="481"/>
      <c r="N341" s="481"/>
      <c r="R341" s="6"/>
      <c r="S341" s="6"/>
      <c r="T341" s="6"/>
      <c r="U341" s="6"/>
      <c r="V341" s="6"/>
      <c r="BK341" s="481"/>
    </row>
    <row r="342" spans="2:66" ht="15.75">
      <c r="B342" s="53" t="s">
        <v>2722</v>
      </c>
      <c r="G342" s="53"/>
      <c r="H342" s="481"/>
      <c r="I342" s="481"/>
      <c r="J342" s="481"/>
      <c r="K342" s="481"/>
      <c r="L342" s="481"/>
      <c r="M342" s="481"/>
      <c r="N342" s="481">
        <v>147.9</v>
      </c>
      <c r="O342" s="481">
        <v>124.4</v>
      </c>
      <c r="P342" s="481">
        <v>123.9</v>
      </c>
      <c r="Q342" s="481">
        <v>199.2</v>
      </c>
      <c r="R342" s="481"/>
      <c r="S342" s="481"/>
      <c r="T342" s="481"/>
      <c r="U342" s="481"/>
      <c r="V342" s="481"/>
      <c r="BK342" s="481"/>
    </row>
    <row r="343" spans="2:66" ht="15.75">
      <c r="B343" s="53"/>
      <c r="G343" s="53"/>
      <c r="H343" s="481"/>
      <c r="I343" s="481"/>
      <c r="J343" s="481"/>
      <c r="K343" s="481"/>
      <c r="L343" s="481"/>
      <c r="M343" s="481"/>
      <c r="N343" s="481"/>
      <c r="W343" s="56"/>
      <c r="X343" s="56"/>
      <c r="Y343" s="56"/>
      <c r="Z343" s="56"/>
      <c r="AA343" s="56"/>
      <c r="AB343" s="56"/>
      <c r="AC343" s="56"/>
      <c r="AD343" s="56"/>
      <c r="AE343" s="56"/>
      <c r="AF343" s="56"/>
      <c r="AG343" s="56"/>
      <c r="AH343" s="56"/>
      <c r="AI343" s="56"/>
      <c r="AJ343" s="56"/>
      <c r="AK343" s="56"/>
      <c r="AM343" s="56"/>
      <c r="AN343" s="56"/>
      <c r="AO343" s="56"/>
      <c r="AP343" s="56"/>
      <c r="AR343" s="56"/>
      <c r="AS343" s="56"/>
      <c r="AT343" s="56"/>
      <c r="AU343" s="56"/>
      <c r="AW343" s="56"/>
      <c r="AX343" s="56"/>
      <c r="AY343" s="56"/>
      <c r="AZ343" s="56"/>
      <c r="BB343" s="56"/>
      <c r="BC343" s="56"/>
      <c r="BD343" s="56"/>
      <c r="BE343" s="56"/>
      <c r="BK343" s="481"/>
    </row>
    <row r="344" spans="2:66" ht="15.75">
      <c r="B344" s="53" t="s">
        <v>20</v>
      </c>
      <c r="G344" s="53"/>
      <c r="H344" s="481"/>
      <c r="I344" s="481"/>
      <c r="J344" s="481"/>
      <c r="K344" s="481"/>
      <c r="L344" s="481"/>
      <c r="M344" s="481"/>
      <c r="N344" s="481"/>
      <c r="BK344" s="481"/>
    </row>
    <row r="345" spans="2:66" ht="15.75">
      <c r="B345" s="53" t="str">
        <f>B332</f>
        <v>CWC</v>
      </c>
      <c r="G345" s="53"/>
      <c r="H345" s="56">
        <f t="shared" ref="H345:V345" si="184">H332/H190</f>
        <v>0.22773972602739725</v>
      </c>
      <c r="I345" s="56">
        <f t="shared" si="184"/>
        <v>0.21979865771812079</v>
      </c>
      <c r="J345" s="56">
        <f t="shared" si="184"/>
        <v>0.22689075630252101</v>
      </c>
      <c r="K345" s="56">
        <f t="shared" si="184"/>
        <v>0.22231404958677686</v>
      </c>
      <c r="L345" s="56">
        <f t="shared" si="184"/>
        <v>0.20435161009573544</v>
      </c>
      <c r="M345" s="56">
        <f t="shared" si="184"/>
        <v>0.1605980650835532</v>
      </c>
      <c r="N345" s="56">
        <f t="shared" si="184"/>
        <v>0.23328254613170815</v>
      </c>
      <c r="O345" s="56">
        <f t="shared" si="184"/>
        <v>0.10510771369006251</v>
      </c>
      <c r="P345" s="56">
        <f t="shared" si="184"/>
        <v>0.17371053993444885</v>
      </c>
      <c r="Q345" s="56">
        <f t="shared" si="184"/>
        <v>0.20677146311970981</v>
      </c>
      <c r="R345" s="56">
        <f t="shared" si="184"/>
        <v>0.25833475807830403</v>
      </c>
      <c r="S345" s="56">
        <f t="shared" si="184"/>
        <v>0.11477369769427839</v>
      </c>
      <c r="T345" s="56">
        <f t="shared" si="184"/>
        <v>0.163782765119068</v>
      </c>
      <c r="U345" s="56">
        <f t="shared" si="184"/>
        <v>0.16021338840130786</v>
      </c>
      <c r="V345" s="56">
        <f t="shared" si="184"/>
        <v>0.21070693205216201</v>
      </c>
      <c r="W345" s="56"/>
      <c r="X345" s="56">
        <f t="shared" ref="X345:AA346" si="185">X332/X190</f>
        <v>0.11161811161811162</v>
      </c>
      <c r="Y345" s="56">
        <f t="shared" si="185"/>
        <v>0.13534454335641277</v>
      </c>
      <c r="Z345" s="56">
        <f t="shared" si="185"/>
        <v>0.20003356267830175</v>
      </c>
      <c r="AA345" s="56">
        <f t="shared" si="185"/>
        <v>0.21160077770576796</v>
      </c>
      <c r="AB345" s="56"/>
      <c r="AC345" s="56">
        <f t="shared" ref="AC345:AF346" si="186">AC332/AC190</f>
        <v>0.11977573904179409</v>
      </c>
      <c r="AD345" s="56">
        <f t="shared" si="186"/>
        <v>0.15816029497380169</v>
      </c>
      <c r="AE345" s="56">
        <f t="shared" si="186"/>
        <v>0.15234737428094267</v>
      </c>
      <c r="AF345" s="56">
        <f t="shared" si="186"/>
        <v>0.26211849192100539</v>
      </c>
      <c r="AG345" s="56"/>
      <c r="AH345" s="56"/>
      <c r="AI345" s="56"/>
      <c r="AJ345" s="56"/>
      <c r="AK345" s="56"/>
      <c r="AM345" s="56"/>
      <c r="AN345" s="56"/>
      <c r="AO345" s="56"/>
      <c r="AP345" s="56"/>
      <c r="AR345" s="56"/>
      <c r="AS345" s="56"/>
      <c r="AT345" s="56"/>
      <c r="AU345" s="56"/>
      <c r="AW345" s="56"/>
      <c r="AX345" s="56"/>
      <c r="AY345" s="56"/>
      <c r="AZ345" s="56"/>
      <c r="BB345" s="56"/>
      <c r="BC345" s="56"/>
      <c r="BD345" s="56"/>
      <c r="BE345" s="56"/>
      <c r="BK345" s="481"/>
    </row>
    <row r="346" spans="2:66" ht="15.75">
      <c r="B346" s="50" t="str">
        <f>B333</f>
        <v>LiLAC</v>
      </c>
      <c r="G346" s="50"/>
      <c r="H346" s="631">
        <f t="shared" ref="H346:V346" si="187">H333/H191</f>
        <v>0.18930547019053473</v>
      </c>
      <c r="I346" s="631">
        <f t="shared" si="187"/>
        <v>0.18911917098445594</v>
      </c>
      <c r="J346" s="631">
        <f t="shared" si="187"/>
        <v>0.18564036222509703</v>
      </c>
      <c r="K346" s="631">
        <f t="shared" si="187"/>
        <v>0.16447368421052633</v>
      </c>
      <c r="L346" s="631">
        <f t="shared" si="187"/>
        <v>0.23519799887002629</v>
      </c>
      <c r="M346" s="631">
        <f t="shared" si="187"/>
        <v>0.2137592137592137</v>
      </c>
      <c r="N346" s="631">
        <f t="shared" si="187"/>
        <v>0.19686935580975312</v>
      </c>
      <c r="O346" s="631">
        <f t="shared" si="187"/>
        <v>0.23471518043543099</v>
      </c>
      <c r="P346" s="631">
        <f t="shared" si="187"/>
        <v>0.20750812887969261</v>
      </c>
      <c r="Q346" s="631">
        <f t="shared" si="187"/>
        <v>0.22394408994226678</v>
      </c>
      <c r="R346" s="631">
        <f t="shared" si="187"/>
        <v>0.45965309200603299</v>
      </c>
      <c r="S346" s="631">
        <f t="shared" si="187"/>
        <v>0.38943488943488941</v>
      </c>
      <c r="T346" s="631">
        <f t="shared" si="187"/>
        <v>0.34018899388549201</v>
      </c>
      <c r="U346" s="631">
        <f t="shared" si="187"/>
        <v>0.22929745889387151</v>
      </c>
      <c r="V346" s="631">
        <f t="shared" si="187"/>
        <v>0.20023837902264596</v>
      </c>
      <c r="W346" s="56"/>
      <c r="X346" s="631">
        <f t="shared" si="185"/>
        <v>0.22069570301081554</v>
      </c>
      <c r="Y346" s="631">
        <f t="shared" si="185"/>
        <v>0.24291497975708501</v>
      </c>
      <c r="Z346" s="631">
        <f t="shared" si="185"/>
        <v>0.19946965232763703</v>
      </c>
      <c r="AA346" s="631">
        <f t="shared" si="185"/>
        <v>0.30193310831543413</v>
      </c>
      <c r="AB346" s="56"/>
      <c r="AC346" s="631">
        <f t="shared" si="186"/>
        <v>0.20086521140580982</v>
      </c>
      <c r="AD346" s="631">
        <f t="shared" si="186"/>
        <v>0.23780259351207481</v>
      </c>
      <c r="AE346" s="631">
        <f t="shared" si="186"/>
        <v>0.23829725457302325</v>
      </c>
      <c r="AF346" s="631">
        <f t="shared" si="186"/>
        <v>8.3382687545104653E-2</v>
      </c>
      <c r="AG346" s="56"/>
      <c r="AH346" s="631"/>
      <c r="AI346" s="631"/>
      <c r="AJ346" s="631"/>
      <c r="AK346" s="631"/>
      <c r="AM346" s="631"/>
      <c r="AN346" s="631"/>
      <c r="AO346" s="631"/>
      <c r="AP346" s="631"/>
      <c r="AR346" s="631"/>
      <c r="AS346" s="631"/>
      <c r="AT346" s="631"/>
      <c r="AU346" s="631"/>
      <c r="AW346" s="631"/>
      <c r="AX346" s="631"/>
      <c r="AY346" s="631"/>
      <c r="AZ346" s="631"/>
      <c r="BB346" s="631"/>
      <c r="BC346" s="631"/>
      <c r="BD346" s="631"/>
      <c r="BE346" s="631"/>
      <c r="BK346" s="481"/>
    </row>
    <row r="347" spans="2:66" ht="15.75">
      <c r="B347" s="53" t="str">
        <f>B334</f>
        <v>Group (net PPE additions)</v>
      </c>
      <c r="G347" s="53"/>
      <c r="H347" s="56">
        <f t="shared" ref="H347:V347" si="188">H334/H194</f>
        <v>0.21398724433692545</v>
      </c>
      <c r="I347" s="56">
        <f t="shared" si="188"/>
        <v>0.20932802829354555</v>
      </c>
      <c r="J347" s="56">
        <f t="shared" si="188"/>
        <v>0.21278478212784782</v>
      </c>
      <c r="K347" s="56">
        <f t="shared" si="188"/>
        <v>0.19694135768511387</v>
      </c>
      <c r="L347" s="56">
        <f t="shared" si="188"/>
        <v>0.21824212271973464</v>
      </c>
      <c r="M347" s="56">
        <f t="shared" si="188"/>
        <v>0.17995749916116763</v>
      </c>
      <c r="N347" s="56">
        <f t="shared" si="188"/>
        <v>0.22017553364394843</v>
      </c>
      <c r="O347" s="56">
        <f t="shared" si="188"/>
        <v>0.15281589636623119</v>
      </c>
      <c r="P347" s="56">
        <f t="shared" si="188"/>
        <v>0.18616557734204794</v>
      </c>
      <c r="Q347" s="56">
        <f t="shared" si="188"/>
        <v>0.21299559471365639</v>
      </c>
      <c r="R347" s="56">
        <f t="shared" si="188"/>
        <v>0.32113868956593339</v>
      </c>
      <c r="S347" s="56">
        <f t="shared" si="188"/>
        <v>0.21318681318681318</v>
      </c>
      <c r="T347" s="56">
        <f t="shared" si="188"/>
        <v>0.23644251626898047</v>
      </c>
      <c r="U347" s="56">
        <f t="shared" si="188"/>
        <v>0.18577680525164114</v>
      </c>
      <c r="V347" s="56">
        <f t="shared" si="188"/>
        <v>0.20021074815595363</v>
      </c>
      <c r="W347" s="56"/>
      <c r="X347" s="56">
        <f>X334/X194</f>
        <v>0.14750795334040295</v>
      </c>
      <c r="Y347" s="56">
        <f>Y334/Y194</f>
        <v>0.1689725330620549</v>
      </c>
      <c r="Z347" s="56">
        <f>Z334/Z194</f>
        <v>0.19331816301199836</v>
      </c>
      <c r="AA347" s="56">
        <f>AA334/AA194</f>
        <v>0.23487179487179488</v>
      </c>
      <c r="AB347" s="56"/>
      <c r="AC347" s="56">
        <f>AC334/AC194</f>
        <v>0.142749731471536</v>
      </c>
      <c r="AD347" s="56">
        <f>AD334/AD194</f>
        <v>0.18056537102473499</v>
      </c>
      <c r="AE347" s="56">
        <f>AE334/AE194</f>
        <v>0.17668918918918919</v>
      </c>
      <c r="AF347" s="56">
        <f>AF334/AF194</f>
        <v>0.17137648131267091</v>
      </c>
      <c r="AG347" s="56"/>
      <c r="AH347" s="56">
        <f>AH334/AH194</f>
        <v>0.13139063712388996</v>
      </c>
      <c r="AI347" s="56">
        <f>AI334/AI194</f>
        <v>0.18381849315068491</v>
      </c>
      <c r="AJ347" s="56">
        <f>AJ334/AJ194</f>
        <v>0.19454697986577182</v>
      </c>
      <c r="AK347" s="56">
        <f>AK334/AK194</f>
        <v>0.20084434367914941</v>
      </c>
      <c r="AM347" s="56">
        <f>AM334/AM194</f>
        <v>0.1438884331419196</v>
      </c>
      <c r="AN347" s="56">
        <f>AN334/AN194</f>
        <v>0.15738916256157634</v>
      </c>
      <c r="AO347" s="56">
        <f>AO334/AO194</f>
        <v>0.18330605564648117</v>
      </c>
      <c r="AP347" s="56">
        <f>AP334/AP194</f>
        <v>0.1940208494873783</v>
      </c>
      <c r="AR347" s="56">
        <f>AR334/AR194</f>
        <v>0.13106884057971013</v>
      </c>
      <c r="AS347" s="56">
        <f>AS334/AS194</f>
        <v>0.17132680320569901</v>
      </c>
      <c r="AT347" s="56">
        <f>AT334/AT194</f>
        <v>0.16628175519630489</v>
      </c>
      <c r="AU347" s="56">
        <f>AU334/AU194</f>
        <v>0.17749140893470797</v>
      </c>
      <c r="AW347" s="56">
        <f>AW334/AW194</f>
        <v>9.9818016378525928E-2</v>
      </c>
      <c r="AX347" s="56">
        <f>AX334/AX194</f>
        <v>0.12567084078711985</v>
      </c>
      <c r="AY347" s="56">
        <f>AY334/AY194</f>
        <v>0.11609765051395009</v>
      </c>
      <c r="AZ347" s="56">
        <f>AZ334/AZ194</f>
        <v>0.290721828543137</v>
      </c>
      <c r="BB347" s="56"/>
      <c r="BC347" s="56"/>
      <c r="BD347" s="56"/>
      <c r="BE347" s="56"/>
      <c r="BK347" s="56"/>
    </row>
    <row r="348" spans="2:66" ht="15.75">
      <c r="B348" s="53"/>
      <c r="G348" s="53"/>
      <c r="H348" s="53"/>
      <c r="I348" s="53"/>
      <c r="J348" s="53"/>
      <c r="K348" s="53"/>
      <c r="L348" s="53"/>
      <c r="M348" s="53"/>
      <c r="P348" s="16"/>
      <c r="Q348" s="16"/>
      <c r="R348" s="16"/>
      <c r="S348" s="16"/>
      <c r="T348" s="16"/>
      <c r="U348" s="16"/>
      <c r="V348" s="16"/>
      <c r="BK348" s="53"/>
    </row>
    <row r="349" spans="2:66" ht="15.75">
      <c r="B349" s="53" t="s">
        <v>3064</v>
      </c>
      <c r="G349" s="53"/>
      <c r="H349" s="53"/>
      <c r="I349" s="53"/>
      <c r="J349" s="53"/>
      <c r="K349" s="53"/>
      <c r="L349" s="53"/>
      <c r="M349" s="53"/>
      <c r="O349" s="481">
        <f t="shared" ref="O349:V349" si="189">O236-O334</f>
        <v>214.7</v>
      </c>
      <c r="P349" s="481">
        <f t="shared" si="189"/>
        <v>190.1</v>
      </c>
      <c r="Q349" s="481">
        <f t="shared" si="189"/>
        <v>165.6</v>
      </c>
      <c r="R349" s="481">
        <f t="shared" si="189"/>
        <v>33.800000000000011</v>
      </c>
      <c r="S349" s="481">
        <f t="shared" si="189"/>
        <v>146.80000000000001</v>
      </c>
      <c r="T349" s="481">
        <f t="shared" si="189"/>
        <v>135.39999999999998</v>
      </c>
      <c r="U349" s="481">
        <f t="shared" si="189"/>
        <v>183.2</v>
      </c>
      <c r="V349" s="481">
        <f t="shared" si="189"/>
        <v>174.3</v>
      </c>
      <c r="W349" s="481"/>
      <c r="X349" s="481">
        <f>X236-X334</f>
        <v>226.70000000000002</v>
      </c>
      <c r="Y349" s="481">
        <f>Y236-Y334</f>
        <v>220.9</v>
      </c>
      <c r="Z349" s="481">
        <f>Z236-Z334</f>
        <v>192.79999999999998</v>
      </c>
      <c r="AA349" s="481">
        <f>AA236-AA334</f>
        <v>162</v>
      </c>
      <c r="AB349" s="481"/>
      <c r="AC349" s="481">
        <f>AC236-AC334</f>
        <v>230.99999999999997</v>
      </c>
      <c r="AD349" s="481">
        <f>AD236-AD334</f>
        <v>179.7</v>
      </c>
      <c r="AE349" s="481">
        <f>AE236-AE334</f>
        <v>203.29999999999998</v>
      </c>
      <c r="AF349" s="481">
        <f>AF236-AF334</f>
        <v>236</v>
      </c>
      <c r="AG349" s="481"/>
      <c r="AH349" s="481"/>
      <c r="AI349" s="481"/>
      <c r="AJ349" s="481"/>
      <c r="AK349" s="481"/>
      <c r="AM349" s="481"/>
      <c r="AN349" s="481"/>
      <c r="AO349" s="481"/>
      <c r="AP349" s="481"/>
      <c r="AR349" s="481"/>
      <c r="AS349" s="481"/>
      <c r="AT349" s="481"/>
      <c r="AU349" s="481"/>
      <c r="AW349" s="481"/>
      <c r="AX349" s="481"/>
      <c r="AY349" s="481"/>
      <c r="AZ349" s="481"/>
      <c r="BB349" s="481"/>
      <c r="BC349" s="481"/>
      <c r="BD349" s="481"/>
      <c r="BE349" s="481"/>
      <c r="BK349" s="53"/>
    </row>
    <row r="350" spans="2:66" ht="15.75">
      <c r="B350" s="53" t="s">
        <v>249</v>
      </c>
      <c r="G350" s="53"/>
      <c r="H350" s="53"/>
      <c r="I350" s="53"/>
      <c r="J350" s="53"/>
      <c r="K350" s="53"/>
      <c r="L350" s="53"/>
      <c r="M350" s="53"/>
      <c r="O350" s="481"/>
      <c r="P350" s="481"/>
      <c r="Q350" s="481"/>
      <c r="R350" s="481"/>
      <c r="S350" s="481"/>
      <c r="T350" s="481"/>
      <c r="U350" s="481"/>
      <c r="V350" s="481"/>
      <c r="W350" s="481"/>
      <c r="X350" s="481">
        <f>X349-X316-X323-X383-67</f>
        <v>39.600000000000009</v>
      </c>
      <c r="Y350" s="481">
        <f>Y349-Y316-Y323-Y383-67</f>
        <v>4.6000000000000085</v>
      </c>
      <c r="Z350" s="481">
        <f>Z349-Z316-Z323-Z383-67</f>
        <v>184.29999999999998</v>
      </c>
      <c r="AA350" s="481">
        <f>AA349-AA316-AA323-AA383-67</f>
        <v>-132.79999999999995</v>
      </c>
      <c r="AB350" s="481"/>
      <c r="AC350" s="481">
        <f>AC349-AC316-AC323-AC383-67</f>
        <v>14.399999999999963</v>
      </c>
      <c r="AD350" s="481">
        <f>AD349-AD316-AD323-AD383-67</f>
        <v>-26.40000000000002</v>
      </c>
      <c r="AE350" s="481">
        <f>AE349-AE316-AE323-AE383-67</f>
        <v>47.59999999999998</v>
      </c>
      <c r="AF350" s="481">
        <f>AF349-AF316-AF323-AF383-67</f>
        <v>23.500000000000057</v>
      </c>
      <c r="AG350" s="481"/>
      <c r="AH350" s="481"/>
      <c r="AI350" s="481"/>
      <c r="AJ350" s="481"/>
      <c r="AK350" s="481"/>
      <c r="AM350" s="481"/>
      <c r="AN350" s="481"/>
      <c r="AO350" s="481"/>
      <c r="AP350" s="481"/>
      <c r="AR350" s="481"/>
      <c r="AS350" s="481"/>
      <c r="AT350" s="481"/>
      <c r="AU350" s="481"/>
      <c r="AW350" s="481"/>
      <c r="AX350" s="481"/>
      <c r="AY350" s="481"/>
      <c r="AZ350" s="481"/>
      <c r="BB350" s="481"/>
      <c r="BC350" s="481"/>
      <c r="BD350" s="481"/>
      <c r="BE350" s="481"/>
      <c r="BK350" s="53"/>
    </row>
    <row r="351" spans="2:66" ht="15.75">
      <c r="B351" s="53" t="s">
        <v>72</v>
      </c>
      <c r="G351" s="53"/>
      <c r="H351" s="53"/>
      <c r="I351" s="53"/>
      <c r="J351" s="53"/>
      <c r="K351" s="53"/>
      <c r="L351" s="53"/>
      <c r="M351" s="53"/>
      <c r="P351" s="16"/>
      <c r="Q351" s="16"/>
      <c r="R351" s="16"/>
      <c r="S351" s="16"/>
      <c r="T351" s="16"/>
      <c r="U351" s="16"/>
      <c r="V351" s="16"/>
      <c r="BK351" s="53"/>
    </row>
    <row r="352" spans="2:66" ht="15.75">
      <c r="B352" s="53" t="s">
        <v>2757</v>
      </c>
      <c r="G352" s="53"/>
      <c r="H352" s="53"/>
      <c r="I352" s="53"/>
      <c r="J352" s="53"/>
      <c r="K352" s="53"/>
      <c r="L352" s="53"/>
      <c r="M352" s="481">
        <f t="shared" ref="M352:V352" si="190">M324+M313+M312+M310+M311+M317-M318-M319</f>
        <v>190.00000000000006</v>
      </c>
      <c r="N352" s="481">
        <f t="shared" si="190"/>
        <v>233.59999999999994</v>
      </c>
      <c r="O352" s="481">
        <f t="shared" si="190"/>
        <v>217.49999999999997</v>
      </c>
      <c r="P352" s="481">
        <f t="shared" si="190"/>
        <v>203.89999999999998</v>
      </c>
      <c r="Q352" s="481">
        <f t="shared" si="190"/>
        <v>251.4</v>
      </c>
      <c r="R352" s="481">
        <f t="shared" si="190"/>
        <v>133.30000000000001</v>
      </c>
      <c r="S352" s="481">
        <f t="shared" si="190"/>
        <v>213.8</v>
      </c>
      <c r="T352" s="481">
        <f t="shared" si="190"/>
        <v>207.2</v>
      </c>
      <c r="U352" s="481">
        <f t="shared" si="190"/>
        <v>203.1</v>
      </c>
      <c r="V352" s="481">
        <f t="shared" si="190"/>
        <v>260.40000000000015</v>
      </c>
      <c r="W352" s="481"/>
      <c r="X352" s="481">
        <f>X324+X313+X312+X310+X311+X317-X318-X319</f>
        <v>248.09999999999997</v>
      </c>
      <c r="Y352" s="481">
        <f>Y324+Y313+Y312+Y310+Y311+Y317-Y318-Y319</f>
        <v>230.8</v>
      </c>
      <c r="Z352" s="481">
        <f>Z324+Z313+Z312+Z310+Z311+Z317-Z318-Z319</f>
        <v>439.10000000000008</v>
      </c>
      <c r="AA352" s="481">
        <f>AA324+AA313+AA312+AA310+AA311+AA317-AA318-AA319</f>
        <v>117.59999999999998</v>
      </c>
      <c r="AB352" s="481"/>
      <c r="AC352" s="481">
        <f>AC324+AC313+AC312+AC310+AC311+AC317-AC318-AC319</f>
        <v>218.39999999999998</v>
      </c>
      <c r="AD352" s="481">
        <f>AD324+AD313+AD312+AD310+AD311+AD317-AD318-AD319</f>
        <v>198.70000000000002</v>
      </c>
      <c r="AE352" s="481">
        <f>AE324+AE313+AE312+AE310+AE311+AE317-AE318-AE319</f>
        <v>231.4</v>
      </c>
      <c r="AF352" s="481">
        <f>AF324+AF313+AF312+AF310+AF311+AF317-AF318-AF319</f>
        <v>283.50000000000006</v>
      </c>
      <c r="AG352" s="481"/>
      <c r="AH352" s="481">
        <f>AH324+AH313+AH312+AH310+AH311+AH317-AH318-AH319</f>
        <v>271</v>
      </c>
      <c r="AI352" s="481">
        <f>AI324+AI313+AI312+AI310+AI311+AI317-AI318-AI319</f>
        <v>291.89999999999998</v>
      </c>
      <c r="AJ352" s="481">
        <f>AJ324+AJ313+AJ312+AJ310+AJ311+AJ317-AJ318-AJ319</f>
        <v>226.80000000000007</v>
      </c>
      <c r="AK352" s="481">
        <f>AK324+AK313+AK312+AK310+AK311+AK317-AK318-AK319</f>
        <v>223.40000000000012</v>
      </c>
      <c r="AL352" s="62"/>
      <c r="AM352" s="481">
        <f>AM324+AM313+AM312+AM310+AM311+AM317-AM318-AM319</f>
        <v>282</v>
      </c>
      <c r="AN352" s="481">
        <f>AN324+AN313+AN312+AN310+AN311+AN317-AN318-AN319</f>
        <v>285.90000000000009</v>
      </c>
      <c r="AO352" s="481">
        <f>AO324+AO313+AO312+AO310+AO311+AO317-AO318-AO319</f>
        <v>266</v>
      </c>
      <c r="AP352" s="481">
        <f>AP324+AP313+AP312+AP310+AP311+AP317-AP318-AP319-AP320</f>
        <v>280.79999999999995</v>
      </c>
      <c r="AQ352" s="62"/>
      <c r="AR352" s="481">
        <f>AR324+AR313+AR312+AR310+AR311+AR317-AR318-AR319</f>
        <v>240.40000000000003</v>
      </c>
      <c r="AS352" s="481">
        <f>AS324+AS313+AS312+AS310+AS311+AS317-AS318-AS319</f>
        <v>262.3</v>
      </c>
      <c r="AT352" s="481">
        <f>AT324+AT313+AT312+AT310+AT311+AT317-AT318-AT319</f>
        <v>262.40000000000003</v>
      </c>
      <c r="AU352" s="481">
        <f>AU324+AU313+AU312+AU310+AU311+AU317-AU318-AU319</f>
        <v>382.4</v>
      </c>
      <c r="AW352" s="481">
        <f>AW324+AW313+AW312+AW310+AW311+AW317-AW318-AW319</f>
        <v>211.20000000000002</v>
      </c>
      <c r="AX352" s="481">
        <f>AX324+AX313+AX312+AX310+AX311+AX317-AX318-AX319</f>
        <v>263.8</v>
      </c>
      <c r="AY352" s="481">
        <f>AY324+AY313+AY312+AY310+AY311+AY317-AY318-AY319</f>
        <v>392.50000000000006</v>
      </c>
      <c r="AZ352" s="481">
        <f ca="1">AZ324+AZ313+AZ312+AZ310+AZ311+AZ317-AZ318-AZ319</f>
        <v>97.882990100608524</v>
      </c>
      <c r="BB352" s="481">
        <f>BB324+BB313+BB312+BB310+BB311+BB317-BB318-BB319</f>
        <v>867.5</v>
      </c>
      <c r="BC352" s="481"/>
      <c r="BD352" s="481"/>
      <c r="BE352" s="481"/>
      <c r="BK352" s="53"/>
      <c r="BN352" s="481"/>
    </row>
    <row r="353" spans="1:66" ht="15.75">
      <c r="B353" s="53" t="s">
        <v>5870</v>
      </c>
      <c r="G353" s="53"/>
      <c r="H353" s="53"/>
      <c r="I353" s="53"/>
      <c r="J353" s="53"/>
      <c r="K353" s="53"/>
      <c r="L353" s="53"/>
      <c r="M353" s="481"/>
      <c r="N353" s="481"/>
      <c r="O353" s="481"/>
      <c r="P353" s="481"/>
      <c r="Q353" s="481"/>
      <c r="R353" s="481"/>
      <c r="S353" s="481"/>
      <c r="T353" s="481"/>
      <c r="U353" s="481"/>
      <c r="V353" s="481"/>
      <c r="W353" s="481"/>
      <c r="X353" s="481"/>
      <c r="Y353" s="481"/>
      <c r="Z353" s="481"/>
      <c r="AA353" s="481"/>
      <c r="AB353" s="481"/>
      <c r="AC353" s="481">
        <f>(18.8-1.7)</f>
        <v>17.100000000000001</v>
      </c>
      <c r="AD353" s="481">
        <f>(317.5-278.7)-AC353</f>
        <v>21.70000000000001</v>
      </c>
      <c r="AE353" s="481">
        <f>(331.5-279)-AC353-AD353</f>
        <v>13.699999999999989</v>
      </c>
      <c r="AF353" s="481">
        <f>(380.1-283.1)-AC353-AD353-AE353</f>
        <v>44.500000000000007</v>
      </c>
      <c r="AG353" s="481"/>
      <c r="AH353" s="481">
        <f>2.2-2.3</f>
        <v>-9.9999999999999645E-2</v>
      </c>
      <c r="AI353" s="481">
        <f>(19.2-2.9)-AH353</f>
        <v>16.399999999999999</v>
      </c>
      <c r="AJ353" s="481">
        <f>(41.3-3)-AH353-AI353</f>
        <v>22</v>
      </c>
      <c r="AK353" s="481">
        <f>665-609-AH353-AI353-AJ353</f>
        <v>17.700000000000003</v>
      </c>
      <c r="AL353" s="62"/>
      <c r="AM353" s="481">
        <f>7.9-1.9</f>
        <v>6</v>
      </c>
      <c r="AN353" s="481">
        <f>AN311-558.5-AM353</f>
        <v>4.2999999999999545</v>
      </c>
      <c r="AO353" s="481">
        <f>AO311+AN311-558.5-AN353-AM353</f>
        <v>7</v>
      </c>
      <c r="AP353" s="481">
        <f>619.2-593-AM353-AN353-AO353</f>
        <v>8.9000000000000909</v>
      </c>
      <c r="AQ353" s="62"/>
      <c r="AR353" s="481">
        <v>16</v>
      </c>
      <c r="AS353" s="481">
        <f>AR311+AS311-41.2-AR353</f>
        <v>13.299999999999997</v>
      </c>
      <c r="AT353" s="481">
        <f>AT311+AS311-49.5-AS353-AR353-AR311</f>
        <v>-56.599999999999994</v>
      </c>
      <c r="AU353" s="481"/>
      <c r="AW353" s="481">
        <v>3.3</v>
      </c>
      <c r="AX353" s="481">
        <f>AW311+AX311-12.6-AW353</f>
        <v>16.3</v>
      </c>
      <c r="AY353" s="481">
        <f>AY311+AX311-515.3-AX353-AW353-AW311</f>
        <v>5.2000000000000899</v>
      </c>
      <c r="AZ353" s="643">
        <f>25-AW353-AX353-AY353</f>
        <v>0.1999999999999087</v>
      </c>
      <c r="BB353" s="643"/>
      <c r="BC353" s="643"/>
      <c r="BD353" s="643"/>
      <c r="BE353" s="643"/>
      <c r="BK353" s="53"/>
      <c r="BN353" s="481"/>
    </row>
    <row r="354" spans="1:66" ht="15.75">
      <c r="B354" s="53" t="s">
        <v>2743</v>
      </c>
      <c r="G354" s="53"/>
      <c r="H354" s="53"/>
      <c r="I354" s="53"/>
      <c r="J354" s="53"/>
      <c r="K354" s="53"/>
      <c r="L354" s="53"/>
      <c r="M354" s="481">
        <f t="shared" ref="M354:N357" si="191">BL354-BK354</f>
        <v>0</v>
      </c>
      <c r="N354" s="481">
        <f t="shared" si="191"/>
        <v>0</v>
      </c>
      <c r="O354" s="481">
        <v>3.8</v>
      </c>
      <c r="P354" s="481">
        <f>7.7-O354</f>
        <v>3.9000000000000004</v>
      </c>
      <c r="Q354" s="481">
        <f>12.1-O354-P354</f>
        <v>4.4000000000000004</v>
      </c>
      <c r="R354" s="481">
        <f>12.5-O354-P354-Q354</f>
        <v>0.39999999999999858</v>
      </c>
      <c r="S354" s="481">
        <v>0.5</v>
      </c>
      <c r="T354" s="481">
        <f>1.1-S354</f>
        <v>0.60000000000000009</v>
      </c>
      <c r="U354" s="481">
        <f>1.9-S354-T354</f>
        <v>0.79999999999999982</v>
      </c>
      <c r="V354" s="481">
        <f>-0.3-S354-T354-U354</f>
        <v>-2.2000000000000002</v>
      </c>
      <c r="W354" s="643"/>
      <c r="X354" s="481">
        <v>-0.6</v>
      </c>
      <c r="Y354" s="481">
        <f>-2-X354</f>
        <v>-1.4</v>
      </c>
      <c r="Z354" s="481">
        <f>-8.8-X354-Y354</f>
        <v>-6.8000000000000007</v>
      </c>
      <c r="AA354" s="481">
        <f>-16.8-X354-Y354-Z354</f>
        <v>-7.9999999999999982</v>
      </c>
      <c r="AB354" s="643"/>
      <c r="AC354" s="481">
        <v>-7.9</v>
      </c>
      <c r="AD354" s="481">
        <f>-14.5-AC354</f>
        <v>-6.6</v>
      </c>
      <c r="AE354" s="481">
        <f>-22-AC354-AD354</f>
        <v>-7.5</v>
      </c>
      <c r="AF354" s="481">
        <f>-30.4-AC354-AD354-AE354</f>
        <v>-8.4</v>
      </c>
      <c r="AG354" s="643"/>
      <c r="AH354" s="481">
        <v>-6.8</v>
      </c>
      <c r="AI354" s="481">
        <f>-15.9-AH354</f>
        <v>-9.1000000000000014</v>
      </c>
      <c r="AJ354" s="481">
        <f>-24-AH354-AI354</f>
        <v>-8.0999999999999979</v>
      </c>
      <c r="AK354" s="481">
        <f>-33.5-AH354-AI354-AJ354</f>
        <v>-9.5</v>
      </c>
      <c r="AM354" s="481">
        <v>-9.5</v>
      </c>
      <c r="AN354" s="481">
        <f>-18.5-AM354</f>
        <v>-9</v>
      </c>
      <c r="AO354" s="481">
        <f>-27.8-AM354-AN354</f>
        <v>-9.3000000000000007</v>
      </c>
      <c r="AP354" s="481">
        <f>-36.6-AM354-AN354-AO354</f>
        <v>-8.8000000000000007</v>
      </c>
      <c r="AR354" s="481">
        <v>-8.5</v>
      </c>
      <c r="AS354" s="481">
        <f>-16.4-AR354</f>
        <v>-7.8999999999999986</v>
      </c>
      <c r="AT354" s="481">
        <f>-23.5-AR354-AS354</f>
        <v>-7.1000000000000014</v>
      </c>
      <c r="AU354" s="481"/>
      <c r="AW354" s="481">
        <v>-6.2</v>
      </c>
      <c r="AX354" s="481">
        <f>-11.3-AW354</f>
        <v>-5.1000000000000005</v>
      </c>
      <c r="AY354" s="481">
        <f>-15.1-AW354-AX354</f>
        <v>-3.799999999999998</v>
      </c>
      <c r="AZ354" s="643">
        <v>-5</v>
      </c>
      <c r="BB354" s="643"/>
      <c r="BC354" s="643"/>
      <c r="BD354" s="643"/>
      <c r="BE354" s="643"/>
      <c r="BK354" s="53"/>
      <c r="BN354" s="481"/>
    </row>
    <row r="355" spans="1:66" ht="15.75">
      <c r="B355" s="53" t="s">
        <v>2740</v>
      </c>
      <c r="G355" s="53"/>
      <c r="H355" s="53"/>
      <c r="I355" s="53"/>
      <c r="J355" s="53"/>
      <c r="K355" s="53"/>
      <c r="L355" s="53"/>
      <c r="M355" s="481">
        <f t="shared" si="191"/>
        <v>0</v>
      </c>
      <c r="N355" s="481">
        <f t="shared" si="191"/>
        <v>0</v>
      </c>
      <c r="O355" s="481">
        <v>24.1</v>
      </c>
      <c r="P355" s="481">
        <f>48-O355</f>
        <v>23.9</v>
      </c>
      <c r="Q355" s="481">
        <f>109.7-O355-P355</f>
        <v>61.699999999999996</v>
      </c>
      <c r="R355" s="481">
        <f>135.1-O355-P355-Q355</f>
        <v>25.4</v>
      </c>
      <c r="S355" s="481">
        <v>7.5</v>
      </c>
      <c r="T355" s="481">
        <f>29.5-S355</f>
        <v>22</v>
      </c>
      <c r="U355" s="481">
        <f>22.6-S355-T355</f>
        <v>-6.8999999999999986</v>
      </c>
      <c r="V355" s="481">
        <f>32.9-S355-T355-U355</f>
        <v>10.299999999999997</v>
      </c>
      <c r="W355" s="643"/>
      <c r="X355" s="481">
        <v>21.6</v>
      </c>
      <c r="Y355" s="481">
        <f>24.9-X355</f>
        <v>3.2999999999999972</v>
      </c>
      <c r="Z355" s="481">
        <f>81.5-X355-Y355</f>
        <v>56.6</v>
      </c>
      <c r="AA355" s="481">
        <f>32.7-X355-Y355-Z355</f>
        <v>-48.8</v>
      </c>
      <c r="AB355" s="643"/>
      <c r="AC355" s="481">
        <v>20.3</v>
      </c>
      <c r="AD355" s="481">
        <f>19-AC355</f>
        <v>-1.3000000000000007</v>
      </c>
      <c r="AE355" s="481">
        <f>69.5-AC355-AD355</f>
        <v>50.5</v>
      </c>
      <c r="AF355" s="481">
        <f>65.1-AC355-AD355-AE355</f>
        <v>-4.4000000000000057</v>
      </c>
      <c r="AG355" s="643"/>
      <c r="AH355" s="481">
        <v>-7.2</v>
      </c>
      <c r="AI355" s="481">
        <f>-27.1-AH355</f>
        <v>-19.900000000000002</v>
      </c>
      <c r="AJ355" s="481">
        <f>-46.1-AH355-AI355</f>
        <v>-18.999999999999996</v>
      </c>
      <c r="AK355" s="481">
        <f>-104-AH355-AI355-AJ355</f>
        <v>-57.899999999999991</v>
      </c>
      <c r="AM355" s="481">
        <v>-0.8</v>
      </c>
      <c r="AN355" s="481">
        <f>6.6-AM355</f>
        <v>7.3999999999999995</v>
      </c>
      <c r="AO355" s="481">
        <f>-15-AM355-AN355</f>
        <v>-21.599999999999998</v>
      </c>
      <c r="AP355" s="481">
        <f>6.7-AM355-AN355-AO355</f>
        <v>21.7</v>
      </c>
      <c r="AR355" s="481">
        <v>17.100000000000001</v>
      </c>
      <c r="AS355" s="481">
        <f>7.5-AR355</f>
        <v>-9.6000000000000014</v>
      </c>
      <c r="AT355" s="481">
        <f>12.7-AR355-AS355</f>
        <v>5.1999999999999993</v>
      </c>
      <c r="AU355" s="481"/>
      <c r="AW355" s="481">
        <v>28.2</v>
      </c>
      <c r="AX355" s="481">
        <f>82.4-AW355</f>
        <v>54.2</v>
      </c>
      <c r="AY355" s="481">
        <f>278-AW355-AX355</f>
        <v>195.60000000000002</v>
      </c>
      <c r="AZ355" s="481">
        <f ca="1">Master!P409-Master!P27-AW355-AX355-AY355</f>
        <v>13.975692150925852</v>
      </c>
      <c r="BB355" s="481"/>
      <c r="BC355" s="481"/>
      <c r="BD355" s="481"/>
      <c r="BE355" s="481"/>
      <c r="BK355" s="53"/>
      <c r="BN355" s="481"/>
    </row>
    <row r="356" spans="1:66" ht="15.75">
      <c r="B356" s="53" t="s">
        <v>2754</v>
      </c>
      <c r="G356" s="53"/>
      <c r="H356" s="53"/>
      <c r="I356" s="53"/>
      <c r="J356" s="53"/>
      <c r="K356" s="53"/>
      <c r="L356" s="53"/>
      <c r="M356" s="481">
        <f t="shared" si="191"/>
        <v>0</v>
      </c>
      <c r="N356" s="481">
        <f t="shared" si="191"/>
        <v>0</v>
      </c>
      <c r="O356" s="481">
        <v>0</v>
      </c>
      <c r="P356" s="481">
        <f>-27.8-O356</f>
        <v>-27.8</v>
      </c>
      <c r="Q356" s="481">
        <f>-53.6-O356-P356</f>
        <v>-25.8</v>
      </c>
      <c r="R356" s="481">
        <f>-51.8-O356-P356-Q356</f>
        <v>1.8000000000000043</v>
      </c>
      <c r="S356" s="481">
        <v>-13</v>
      </c>
      <c r="T356" s="481">
        <f>-13-S356</f>
        <v>0</v>
      </c>
      <c r="U356" s="481">
        <f>-13-S356-T356</f>
        <v>0</v>
      </c>
      <c r="V356" s="481">
        <f>-32.1-S356-T356-U356</f>
        <v>-19.100000000000001</v>
      </c>
      <c r="W356" s="643"/>
      <c r="X356" s="481">
        <v>0</v>
      </c>
      <c r="Y356" s="481">
        <f>-9.5-X356</f>
        <v>-9.5</v>
      </c>
      <c r="Z356" s="481">
        <f>-13-X356-Y356</f>
        <v>-3.5</v>
      </c>
      <c r="AA356" s="481">
        <f>-19.8-X356-Y356-Z356</f>
        <v>-6.8000000000000007</v>
      </c>
      <c r="AB356" s="643"/>
      <c r="AC356" s="728">
        <v>-3.4</v>
      </c>
      <c r="AD356" s="728">
        <f>-3.4-AC356</f>
        <v>0</v>
      </c>
      <c r="AE356" s="728">
        <f>-45.1-AC356-AD356</f>
        <v>-41.7</v>
      </c>
      <c r="AF356" s="728">
        <f>-45.1-AC356-AD356-AE356</f>
        <v>0</v>
      </c>
      <c r="AG356" s="643"/>
      <c r="AH356" s="728">
        <f>-23.3+8.6</f>
        <v>-14.700000000000001</v>
      </c>
      <c r="AI356" s="728">
        <f>-23.3+9.1-AH356</f>
        <v>0.5</v>
      </c>
      <c r="AJ356" s="728">
        <f>-25.2-10-AH356-AI356</f>
        <v>-21</v>
      </c>
      <c r="AK356" s="728">
        <f>-57.2-6.2-AH356-AI356-AJ356</f>
        <v>-28.200000000000003</v>
      </c>
      <c r="AM356" s="728">
        <f>0+0.8</f>
        <v>0.8</v>
      </c>
      <c r="AN356" s="728">
        <f>0-AM356</f>
        <v>-0.8</v>
      </c>
      <c r="AO356" s="728">
        <f>41.1-AM356-AN356</f>
        <v>41.1</v>
      </c>
      <c r="AP356" s="728">
        <f>41.1-AM356-AN356-AO356</f>
        <v>0</v>
      </c>
      <c r="AR356" s="728">
        <v>-4.5999999999999996</v>
      </c>
      <c r="AS356" s="728">
        <f>4.2-AR356</f>
        <v>8.8000000000000007</v>
      </c>
      <c r="AT356" s="728">
        <f>-3.9-AR356-AS356</f>
        <v>-8.1000000000000014</v>
      </c>
      <c r="AU356" s="728"/>
      <c r="AW356" s="728">
        <v>-0.3</v>
      </c>
      <c r="AX356" s="728">
        <f>0.3-AW356</f>
        <v>0.6</v>
      </c>
      <c r="AY356" s="728">
        <f>0.3-AW356-AX356</f>
        <v>0</v>
      </c>
      <c r="AZ356" s="643">
        <f>0-AW356-AX356-AY356</f>
        <v>-0.3</v>
      </c>
      <c r="BB356" s="643"/>
      <c r="BC356" s="643"/>
      <c r="BD356" s="643"/>
      <c r="BE356" s="643"/>
      <c r="BK356" s="53"/>
      <c r="BN356" s="481"/>
    </row>
    <row r="357" spans="1:66" ht="15.75">
      <c r="B357" s="50" t="s">
        <v>2741</v>
      </c>
      <c r="G357" s="50"/>
      <c r="H357" s="50"/>
      <c r="I357" s="50"/>
      <c r="J357" s="50"/>
      <c r="K357" s="50"/>
      <c r="L357" s="50"/>
      <c r="M357" s="638">
        <f t="shared" si="191"/>
        <v>0</v>
      </c>
      <c r="N357" s="638">
        <f t="shared" si="191"/>
        <v>0</v>
      </c>
      <c r="O357" s="638">
        <v>113.7</v>
      </c>
      <c r="P357" s="638">
        <f>101.4-O357</f>
        <v>-12.299999999999997</v>
      </c>
      <c r="Q357" s="638">
        <f>219.2-O357-P357</f>
        <v>117.79999999999998</v>
      </c>
      <c r="R357" s="638">
        <f>(241.1-118.3)-O357-P357-Q357</f>
        <v>-96.399999999999991</v>
      </c>
      <c r="S357" s="638">
        <v>55.6</v>
      </c>
      <c r="T357" s="638">
        <f>5.4-S357</f>
        <v>-50.2</v>
      </c>
      <c r="U357" s="638">
        <v>-1.5</v>
      </c>
      <c r="V357" s="638">
        <f>(66.2-67)-S357-T357-U357</f>
        <v>-4.6999999999999957</v>
      </c>
      <c r="W357" s="638"/>
      <c r="X357" s="638">
        <v>18.899999999999999</v>
      </c>
      <c r="Y357" s="638">
        <f>7.6-X357</f>
        <v>-11.299999999999999</v>
      </c>
      <c r="Z357" s="638">
        <f>229.3-X357-Y357</f>
        <v>221.70000000000002</v>
      </c>
      <c r="AA357" s="638">
        <f>151.8-11.9-X357-Y357-Z357</f>
        <v>-89.4</v>
      </c>
      <c r="AB357" s="638"/>
      <c r="AC357" s="638">
        <v>77.400000000000006</v>
      </c>
      <c r="AD357" s="638">
        <f>23.2-AC357</f>
        <v>-54.2</v>
      </c>
      <c r="AE357" s="638">
        <f>103.3-AC357-AD357</f>
        <v>80.099999999999994</v>
      </c>
      <c r="AF357" s="638">
        <f>(122.9+85.2)-AC357-AD357-AE357</f>
        <v>104.80000000000004</v>
      </c>
      <c r="AG357" s="643"/>
      <c r="AH357" s="638">
        <v>96.3</v>
      </c>
      <c r="AI357" s="638">
        <f>160.1-AH357</f>
        <v>63.8</v>
      </c>
      <c r="AJ357" s="638">
        <f>160.5-AH357-AI357</f>
        <v>0.40000000000000568</v>
      </c>
      <c r="AK357" s="638">
        <f>(108.4+62.4)-AH357-AI357-AJ357</f>
        <v>10.300000000000011</v>
      </c>
      <c r="AM357" s="638">
        <v>164.3</v>
      </c>
      <c r="AN357" s="638">
        <f>215-AM357</f>
        <v>50.699999999999989</v>
      </c>
      <c r="AO357" s="638">
        <f>315.9-AM357-AN357</f>
        <v>100.89999999999998</v>
      </c>
      <c r="AP357" s="638">
        <f>(95.9+85)-AM357-AN357-AO357</f>
        <v>-134.99999999999997</v>
      </c>
      <c r="AR357" s="638">
        <v>160.30000000000001</v>
      </c>
      <c r="AS357" s="638">
        <f>203.5-AR357</f>
        <v>43.199999999999989</v>
      </c>
      <c r="AT357" s="638">
        <f>238-AR357-AS357</f>
        <v>34.5</v>
      </c>
      <c r="AU357" s="638">
        <f>130-51.9-AR357-AS357-AT357</f>
        <v>-159.9</v>
      </c>
      <c r="AW357" s="638">
        <v>162.9</v>
      </c>
      <c r="AX357" s="638">
        <f>200.3-AW357</f>
        <v>37.400000000000006</v>
      </c>
      <c r="AY357" s="638">
        <f>199.4-AW357-AX357</f>
        <v>-0.90000000000000568</v>
      </c>
      <c r="AZ357" s="638">
        <f>-Master!P200-AW357-AX357-AY357</f>
        <v>-199.39528694612241</v>
      </c>
      <c r="BB357" s="638"/>
      <c r="BC357" s="638"/>
      <c r="BD357" s="638"/>
      <c r="BE357" s="638"/>
      <c r="BK357" s="53"/>
      <c r="BN357" s="481"/>
    </row>
    <row r="358" spans="1:66" ht="15.75">
      <c r="B358" s="58" t="s">
        <v>2742</v>
      </c>
      <c r="G358" s="58"/>
      <c r="H358" s="58"/>
      <c r="I358" s="58"/>
      <c r="J358" s="58"/>
      <c r="K358" s="58"/>
      <c r="L358" s="58"/>
      <c r="M358" s="711">
        <f>M352-M354-M355-M357-M356+4.7</f>
        <v>194.70000000000005</v>
      </c>
      <c r="N358" s="711">
        <f>N352-N354-N355-N357-N356</f>
        <v>233.59999999999994</v>
      </c>
      <c r="O358" s="711">
        <f>O352-O354-O355-O357-O356</f>
        <v>75.899999999999963</v>
      </c>
      <c r="P358" s="711">
        <v>223.5</v>
      </c>
      <c r="Q358" s="711">
        <f>Q352-Q354-Q355-Q357-Q356</f>
        <v>93.300000000000026</v>
      </c>
      <c r="R358" s="711">
        <v>181</v>
      </c>
      <c r="S358" s="711">
        <f>S352-S354-S355-S357-S356</f>
        <v>163.20000000000002</v>
      </c>
      <c r="T358" s="711">
        <f>T352-T354-T355-T357-T356</f>
        <v>234.8</v>
      </c>
      <c r="U358" s="711">
        <f>U352-U354-U355-U357-U356</f>
        <v>210.7</v>
      </c>
      <c r="V358" s="711">
        <f>816.8-S358-T358-U358</f>
        <v>208.09999999999991</v>
      </c>
      <c r="W358" s="711"/>
      <c r="X358" s="711">
        <v>187.8</v>
      </c>
      <c r="Y358" s="711">
        <v>243.6</v>
      </c>
      <c r="Z358" s="711">
        <v>159</v>
      </c>
      <c r="AA358" s="711">
        <f>918.2-X358-Y358-Z358</f>
        <v>327.80000000000007</v>
      </c>
      <c r="AC358" s="711">
        <v>114.9</v>
      </c>
      <c r="AD358" s="711">
        <f>353.6-AC358</f>
        <v>238.70000000000002</v>
      </c>
      <c r="AE358" s="711">
        <f>491-AC358-AD358</f>
        <v>137.4</v>
      </c>
      <c r="AF358" s="711">
        <f>640.1-AC358-AD358-AE358</f>
        <v>149.1</v>
      </c>
      <c r="AG358" s="711"/>
      <c r="AH358" s="711">
        <v>203.5</v>
      </c>
      <c r="AI358" s="711">
        <f>443.7-AH358</f>
        <v>240.2</v>
      </c>
      <c r="AJ358" s="711">
        <f>717.8-AH358-AI358</f>
        <v>274.09999999999997</v>
      </c>
      <c r="AK358" s="711">
        <f>1016.2-AH358-AI358-AJ358</f>
        <v>298.40000000000003</v>
      </c>
      <c r="AM358" s="711">
        <v>122.3</v>
      </c>
      <c r="AN358" s="711">
        <f>347.1-AM358</f>
        <v>224.8</v>
      </c>
      <c r="AO358" s="711">
        <f>491.8-AM358-AN358</f>
        <v>144.69999999999999</v>
      </c>
      <c r="AP358" s="711">
        <v>377</v>
      </c>
      <c r="AR358" s="711">
        <v>62.4</v>
      </c>
      <c r="AS358" s="711">
        <f>288-AR358</f>
        <v>225.6</v>
      </c>
      <c r="AT358" s="711">
        <f>506.5-AR358-AS358</f>
        <v>218.50000000000003</v>
      </c>
      <c r="AU358" s="711">
        <f>506.5-AS358-AT358</f>
        <v>62.399999999999949</v>
      </c>
      <c r="AV358" s="711">
        <f>SUM(AR358:AU358)</f>
        <v>568.9</v>
      </c>
      <c r="AW358" s="711">
        <v>23.3</v>
      </c>
      <c r="AX358" s="711">
        <f>180.2-AW358</f>
        <v>156.89999999999998</v>
      </c>
      <c r="AY358" s="711">
        <f>357.7-AW358-AX358</f>
        <v>177.5</v>
      </c>
      <c r="AZ358" s="711">
        <f ca="1">AZ359</f>
        <v>288.40258489580515</v>
      </c>
      <c r="BB358" s="711"/>
      <c r="BC358" s="711"/>
      <c r="BD358" s="711"/>
      <c r="BE358" s="711"/>
      <c r="BG358" s="62">
        <f ca="1">SUM(AW358:AZ358)</f>
        <v>646.10258489580519</v>
      </c>
      <c r="BK358" s="53"/>
      <c r="BN358" s="481"/>
    </row>
    <row r="359" spans="1:66" ht="15.75">
      <c r="B359" s="53"/>
      <c r="G359" s="53"/>
      <c r="H359" s="53"/>
      <c r="I359" s="53"/>
      <c r="J359" s="53"/>
      <c r="K359" s="53"/>
      <c r="L359" s="53"/>
      <c r="M359" s="53"/>
      <c r="O359" s="481"/>
      <c r="X359" s="621"/>
      <c r="Y359" s="621"/>
      <c r="Z359" s="621"/>
      <c r="AA359" s="621"/>
      <c r="AB359" s="1162" t="s">
        <v>5165</v>
      </c>
      <c r="AC359" s="711">
        <f>AC352-AC354-AC355-AC357-AC356-AC353</f>
        <v>114.89999999999998</v>
      </c>
      <c r="AD359" s="711">
        <f>AD352-AD354-AD355-AD357-AD356-AD353</f>
        <v>239.1</v>
      </c>
      <c r="AE359" s="711">
        <f>AE352-AE354-AE355-AE357-AE356-AE353</f>
        <v>136.30000000000001</v>
      </c>
      <c r="AF359" s="711">
        <f>AF352-AF354-AF355-AF357-AF356-AF353</f>
        <v>147.00000000000003</v>
      </c>
      <c r="AH359" s="711">
        <f>AH352-AH354-AH355-AH357-AH356-AH353</f>
        <v>203.49999999999997</v>
      </c>
      <c r="AI359" s="711">
        <f>AI352-AI354-AI355-AI357-AI356-AI353</f>
        <v>240.19999999999996</v>
      </c>
      <c r="AJ359" s="711">
        <f>AJ352-AJ354-AJ355-AJ357-AJ356-AJ353</f>
        <v>252.50000000000006</v>
      </c>
      <c r="AK359" s="711">
        <f>AK352-AK354-AK355-AK357-AK356-AK353</f>
        <v>291.00000000000011</v>
      </c>
      <c r="AM359" s="711">
        <f>AM352-AM354-AM355-AM357-AM356-AM353</f>
        <v>121.2</v>
      </c>
      <c r="AN359" s="711">
        <f>AN352-AN354-AN355-AN357-AN356-AN353</f>
        <v>233.30000000000018</v>
      </c>
      <c r="AO359" s="711">
        <f>AO352-AO354-AO355-AO357-AO356-AO353</f>
        <v>147.90000000000006</v>
      </c>
      <c r="AP359" s="711">
        <f>AP352-AP354-AP355-AP357-AP356-AP353</f>
        <v>393.99999999999989</v>
      </c>
      <c r="AR359" s="711">
        <f>AR352-AR354-AR355-AR357-AR356-AR353</f>
        <v>60.100000000000023</v>
      </c>
      <c r="AS359" s="711">
        <f>AS352-AS354-AS355-AS357-AS356-AS353</f>
        <v>214.5</v>
      </c>
      <c r="AT359" s="711">
        <f>AT352-AT354-AT355-AT357-AT356-AT353</f>
        <v>294.50000000000006</v>
      </c>
      <c r="AU359" s="711">
        <f>AU352-AU354-AU355-AU357-AU356-AU353</f>
        <v>542.29999999999995</v>
      </c>
      <c r="AV359" s="711"/>
      <c r="AW359" s="711">
        <f>AW352-AW354-AW355-AW357-AW356-AW353</f>
        <v>23.300000000000011</v>
      </c>
      <c r="AX359" s="711">
        <f>AX352-AX354-AX355-AX357-AX356-AX353</f>
        <v>160.40000000000003</v>
      </c>
      <c r="AY359" s="711">
        <f>AY352-AY354-AY355-AY357-AY356-AY353</f>
        <v>196.39999999999995</v>
      </c>
      <c r="AZ359" s="711">
        <f t="shared" ref="AZ359" ca="1" si="192">AZ352-AZ354-AZ355-AZ357-AZ356-AZ353</f>
        <v>288.40258489580515</v>
      </c>
      <c r="BA359" s="53"/>
      <c r="BB359" s="711"/>
      <c r="BC359" s="711"/>
      <c r="BD359" s="711"/>
      <c r="BE359" s="711"/>
      <c r="BF359" s="53"/>
    </row>
    <row r="360" spans="1:66" ht="15.75">
      <c r="B360" s="53" t="s">
        <v>2744</v>
      </c>
      <c r="G360" s="53"/>
      <c r="H360" s="53"/>
      <c r="I360" s="53"/>
      <c r="J360" s="53"/>
      <c r="K360" s="53"/>
      <c r="L360" s="53"/>
      <c r="M360" s="481">
        <v>1.6</v>
      </c>
      <c r="N360" s="481">
        <v>23.3</v>
      </c>
      <c r="O360" s="481">
        <v>0.9</v>
      </c>
      <c r="P360" s="481">
        <f>1.5-O360</f>
        <v>0.6</v>
      </c>
      <c r="Q360" s="481">
        <v>1.3</v>
      </c>
      <c r="R360" s="481">
        <v>1</v>
      </c>
      <c r="S360" s="481">
        <v>0.1</v>
      </c>
      <c r="T360" s="481">
        <v>1.2</v>
      </c>
      <c r="U360" s="481">
        <v>1.8</v>
      </c>
      <c r="V360" s="481">
        <f>12.9-S360-T360-U360</f>
        <v>9.8000000000000007</v>
      </c>
      <c r="W360" s="643"/>
      <c r="X360" s="481">
        <v>-1.3</v>
      </c>
      <c r="Y360" s="481">
        <v>-1.9</v>
      </c>
      <c r="Z360" s="481">
        <v>0.7</v>
      </c>
      <c r="AA360" s="481">
        <f>4.8-X360-Y360-Z360</f>
        <v>7.3</v>
      </c>
      <c r="AB360" s="643"/>
      <c r="AC360" s="481">
        <v>1.4</v>
      </c>
      <c r="AD360" s="481">
        <v>2.8</v>
      </c>
      <c r="AE360" s="481">
        <v>17.5</v>
      </c>
      <c r="AF360" s="481">
        <f>49.8-AC360-AD360-AE360</f>
        <v>28.1</v>
      </c>
      <c r="AG360" s="643"/>
      <c r="AH360" s="481">
        <v>4.5999999999999996</v>
      </c>
      <c r="AI360" s="481">
        <f>10.2-AH360</f>
        <v>5.6</v>
      </c>
      <c r="AJ360" s="481">
        <v>11.9</v>
      </c>
      <c r="AK360" s="481">
        <v>12.3</v>
      </c>
      <c r="AM360" s="481">
        <v>1.7</v>
      </c>
      <c r="AN360" s="481">
        <v>1.4</v>
      </c>
      <c r="AO360" s="481">
        <v>15.3</v>
      </c>
      <c r="AP360" s="481">
        <v>8.1</v>
      </c>
      <c r="AR360" s="481"/>
      <c r="AS360" s="481"/>
      <c r="AT360" s="481"/>
      <c r="AU360" s="481"/>
      <c r="AV360" s="53"/>
      <c r="AW360" s="481"/>
      <c r="AX360" s="481"/>
      <c r="AY360" s="481"/>
      <c r="AZ360" s="481"/>
      <c r="BA360" s="53"/>
      <c r="BB360" s="481"/>
      <c r="BC360" s="481"/>
      <c r="BD360" s="481"/>
      <c r="BE360" s="481"/>
      <c r="BF360" s="53"/>
    </row>
    <row r="361" spans="1:66" ht="15.75">
      <c r="B361" s="53" t="s">
        <v>2798</v>
      </c>
      <c r="G361" s="53"/>
      <c r="H361" s="53"/>
      <c r="I361" s="53"/>
      <c r="J361" s="53"/>
      <c r="K361" s="53"/>
      <c r="L361" s="53"/>
      <c r="M361" s="481"/>
      <c r="N361" s="481"/>
      <c r="O361" s="709">
        <v>0</v>
      </c>
      <c r="P361" s="709">
        <v>0</v>
      </c>
      <c r="Q361" s="709">
        <v>0</v>
      </c>
      <c r="R361" s="709">
        <v>0</v>
      </c>
      <c r="S361" s="709">
        <v>0</v>
      </c>
      <c r="T361" s="709">
        <v>0</v>
      </c>
      <c r="U361" s="709">
        <v>0</v>
      </c>
      <c r="V361" s="709">
        <v>0</v>
      </c>
      <c r="W361" s="643"/>
      <c r="X361" s="709">
        <v>0</v>
      </c>
      <c r="Y361" s="709">
        <v>0</v>
      </c>
      <c r="Z361" s="709">
        <v>0</v>
      </c>
      <c r="AA361" s="709">
        <v>0</v>
      </c>
      <c r="AB361" s="643"/>
      <c r="AC361" s="643"/>
      <c r="AD361" s="643"/>
      <c r="AE361" s="643"/>
      <c r="AF361" s="643"/>
      <c r="AG361" s="643"/>
      <c r="AH361" s="643"/>
      <c r="AI361" s="643"/>
      <c r="AJ361" s="643"/>
      <c r="AK361" s="643"/>
      <c r="AM361" s="643"/>
      <c r="AN361" s="643"/>
      <c r="AO361" s="643"/>
      <c r="AP361" s="643"/>
      <c r="AR361" s="643"/>
      <c r="AS361" s="643"/>
      <c r="AT361" s="643"/>
      <c r="AU361" s="643"/>
      <c r="AV361" s="53"/>
      <c r="AW361" s="643"/>
      <c r="AX361" s="643"/>
      <c r="AY361" s="643"/>
      <c r="AZ361" s="643"/>
      <c r="BA361" s="53"/>
      <c r="BB361" s="643"/>
      <c r="BC361" s="643"/>
      <c r="BD361" s="643"/>
      <c r="BE361" s="643"/>
      <c r="BF361" s="53"/>
    </row>
    <row r="362" spans="1:66" ht="15.75">
      <c r="B362" s="53" t="s">
        <v>2745</v>
      </c>
      <c r="G362" s="53"/>
      <c r="H362" s="53"/>
      <c r="I362" s="53"/>
      <c r="J362" s="53"/>
      <c r="K362" s="53"/>
      <c r="L362" s="53"/>
      <c r="M362" s="481">
        <v>1.1000000000000001</v>
      </c>
      <c r="N362" s="481">
        <v>1.9</v>
      </c>
      <c r="O362" s="481">
        <v>10.3</v>
      </c>
      <c r="P362" s="481">
        <f>47.4-O362</f>
        <v>37.099999999999994</v>
      </c>
      <c r="Q362" s="481">
        <v>9.5</v>
      </c>
      <c r="R362" s="481">
        <v>25.8</v>
      </c>
      <c r="S362" s="481">
        <v>32.299999999999997</v>
      </c>
      <c r="T362" s="481">
        <v>62.6</v>
      </c>
      <c r="U362" s="481">
        <v>24.2</v>
      </c>
      <c r="V362" s="481">
        <f>171.7-S362-T362-U362</f>
        <v>52.59999999999998</v>
      </c>
      <c r="W362" s="481"/>
      <c r="X362" s="481">
        <v>31.3</v>
      </c>
      <c r="Y362" s="481">
        <v>25.5</v>
      </c>
      <c r="Z362" s="481">
        <v>36.299999999999997</v>
      </c>
      <c r="AA362" s="481">
        <f>129.7-X362-Y362-Z362</f>
        <v>36.599999999999994</v>
      </c>
      <c r="AB362" s="481"/>
      <c r="AC362" s="481">
        <v>32.5</v>
      </c>
      <c r="AD362" s="481">
        <v>19.600000000000001</v>
      </c>
      <c r="AE362" s="481">
        <v>26</v>
      </c>
      <c r="AF362" s="481">
        <f>108.1-AC362-AD362-AE362</f>
        <v>29.999999999999993</v>
      </c>
      <c r="AG362" s="481"/>
      <c r="AH362" s="481">
        <v>26</v>
      </c>
      <c r="AI362" s="481">
        <f>54.4-AH362</f>
        <v>28.4</v>
      </c>
      <c r="AJ362" s="481">
        <v>27.5</v>
      </c>
      <c r="AK362" s="481">
        <v>28.1</v>
      </c>
      <c r="AM362" s="481">
        <v>31.7</v>
      </c>
      <c r="AN362" s="481">
        <v>47.7</v>
      </c>
      <c r="AO362" s="481">
        <v>36.299999999999997</v>
      </c>
      <c r="AP362" s="481">
        <v>33.4</v>
      </c>
      <c r="AR362" s="481">
        <v>41.3</v>
      </c>
      <c r="AS362" s="481">
        <v>52.6</v>
      </c>
      <c r="AT362" s="481">
        <v>38.4</v>
      </c>
      <c r="AU362" s="481">
        <f>176.9-AR362-AS362-AT362</f>
        <v>44.60000000000003</v>
      </c>
      <c r="AV362" s="711">
        <f>SUM(AR362:AU362)</f>
        <v>176.90000000000003</v>
      </c>
      <c r="AW362" s="481">
        <v>32.200000000000003</v>
      </c>
      <c r="AX362" s="481">
        <v>48.6</v>
      </c>
      <c r="AY362" s="481">
        <v>63.8</v>
      </c>
      <c r="AZ362" s="481">
        <f>Master!P203-AW362-AX362-AY362</f>
        <v>25.40000000000002</v>
      </c>
      <c r="BA362" s="53"/>
      <c r="BB362" s="481"/>
      <c r="BC362" s="481"/>
      <c r="BD362" s="481"/>
      <c r="BE362" s="481"/>
      <c r="BF362" s="53"/>
      <c r="BG362" s="62">
        <f>SUM(AW362:AZ362)</f>
        <v>170.00000000000006</v>
      </c>
    </row>
    <row r="363" spans="1:66" ht="15.75">
      <c r="B363" s="53" t="s">
        <v>7815</v>
      </c>
      <c r="G363" s="53"/>
      <c r="H363" s="53"/>
      <c r="I363" s="53"/>
      <c r="J363" s="53"/>
      <c r="K363" s="53"/>
      <c r="L363" s="53"/>
      <c r="M363" s="481"/>
      <c r="N363" s="481"/>
      <c r="O363" s="481"/>
      <c r="P363" s="481"/>
      <c r="Q363" s="481"/>
      <c r="R363" s="481"/>
      <c r="S363" s="481"/>
      <c r="T363" s="481"/>
      <c r="U363" s="481"/>
      <c r="V363" s="481"/>
      <c r="W363" s="481"/>
      <c r="X363" s="481"/>
      <c r="Y363" s="481"/>
      <c r="Z363" s="481"/>
      <c r="AA363" s="481"/>
      <c r="AB363" s="481"/>
      <c r="AC363" s="481"/>
      <c r="AD363" s="481"/>
      <c r="AE363" s="481"/>
      <c r="AF363" s="481"/>
      <c r="AG363" s="481"/>
      <c r="AH363" s="481"/>
      <c r="AI363" s="481"/>
      <c r="AJ363" s="481"/>
      <c r="AK363" s="481"/>
      <c r="AM363" s="481"/>
      <c r="AN363" s="481"/>
      <c r="AO363" s="481"/>
      <c r="AP363" s="481"/>
      <c r="AR363" s="481"/>
      <c r="AS363" s="481"/>
      <c r="AT363" s="481"/>
      <c r="AU363" s="481"/>
      <c r="AV363" s="711"/>
      <c r="AW363" s="481">
        <v>-18.399999999999999</v>
      </c>
      <c r="AX363" s="481">
        <v>0</v>
      </c>
      <c r="AY363" s="481">
        <v>45</v>
      </c>
      <c r="AZ363" s="481">
        <f>Master!P208-AW363-AX363-AY363</f>
        <v>53.400000000000006</v>
      </c>
      <c r="BA363" s="53"/>
      <c r="BB363" s="481"/>
      <c r="BC363" s="481"/>
      <c r="BD363" s="481"/>
      <c r="BE363" s="481"/>
      <c r="BF363" s="53"/>
      <c r="BG363" s="62"/>
    </row>
    <row r="364" spans="1:66" ht="15.75">
      <c r="B364" s="53" t="s">
        <v>19</v>
      </c>
      <c r="G364" s="53"/>
      <c r="H364" s="53"/>
      <c r="I364" s="53"/>
      <c r="J364" s="53"/>
      <c r="K364" s="53"/>
      <c r="L364" s="53"/>
      <c r="M364" s="481">
        <v>160.9</v>
      </c>
      <c r="N364" s="481">
        <f>N342</f>
        <v>147.9</v>
      </c>
      <c r="O364" s="481">
        <f>O342</f>
        <v>124.4</v>
      </c>
      <c r="P364" s="481">
        <f>P342</f>
        <v>123.9</v>
      </c>
      <c r="Q364" s="481">
        <f>Q342</f>
        <v>199.2</v>
      </c>
      <c r="R364" s="481">
        <v>191.8</v>
      </c>
      <c r="S364" s="481">
        <v>188.2</v>
      </c>
      <c r="T364" s="481">
        <v>236.8</v>
      </c>
      <c r="U364" s="481">
        <v>167.9</v>
      </c>
      <c r="V364" s="481">
        <f>776.4-S364-T364-U364</f>
        <v>183.50000000000003</v>
      </c>
      <c r="W364" s="481"/>
      <c r="X364" s="481">
        <v>159.6</v>
      </c>
      <c r="Y364" s="481">
        <v>135.80000000000001</v>
      </c>
      <c r="Z364" s="481">
        <v>136.6</v>
      </c>
      <c r="AA364" s="481">
        <f>589.1-X364-Y364-Z364</f>
        <v>157.1</v>
      </c>
      <c r="AB364" s="481"/>
      <c r="AC364" s="481">
        <v>149.19999999999999</v>
      </c>
      <c r="AD364" s="481">
        <v>122.2</v>
      </c>
      <c r="AE364" s="481">
        <v>146.9</v>
      </c>
      <c r="AF364" s="481">
        <f>565.8-AC364-AD364-AE364</f>
        <v>147.49999999999997</v>
      </c>
      <c r="AG364" s="481"/>
      <c r="AH364" s="481">
        <v>135.6</v>
      </c>
      <c r="AI364" s="481">
        <f>334.2-AH364</f>
        <v>198.6</v>
      </c>
      <c r="AJ364" s="481">
        <v>210.5</v>
      </c>
      <c r="AK364" s="481">
        <v>191.6</v>
      </c>
      <c r="AM364" s="481">
        <v>164.7</v>
      </c>
      <c r="AN364" s="481">
        <v>155.19999999999999</v>
      </c>
      <c r="AO364" s="481">
        <v>177.8</v>
      </c>
      <c r="AP364" s="481">
        <v>166</v>
      </c>
      <c r="AR364" s="481">
        <v>114.1</v>
      </c>
      <c r="AS364" s="481">
        <v>159</v>
      </c>
      <c r="AT364" s="481">
        <v>149.80000000000001</v>
      </c>
      <c r="AU364" s="481">
        <f>-Master!O204-AR364-AS364-AT364</f>
        <v>162.89999999999992</v>
      </c>
      <c r="AV364" s="711">
        <f>SUM(AR364:AU364)</f>
        <v>585.79999999999995</v>
      </c>
      <c r="AW364" s="481">
        <v>109.7</v>
      </c>
      <c r="AX364" s="481">
        <v>140.5</v>
      </c>
      <c r="AY364" s="481">
        <v>126.5</v>
      </c>
      <c r="AZ364" s="481">
        <f>-Master!P204-AW364-AX364-AY364</f>
        <v>185.89552590550244</v>
      </c>
      <c r="BA364" s="53"/>
      <c r="BB364" s="481"/>
      <c r="BC364" s="481"/>
      <c r="BD364" s="481"/>
      <c r="BE364" s="481"/>
      <c r="BF364" s="53"/>
      <c r="BG364" s="62">
        <f>SUM(AW364:AZ364)</f>
        <v>562.59552590550243</v>
      </c>
    </row>
    <row r="365" spans="1:66" ht="15.75">
      <c r="B365" s="53" t="s">
        <v>2746</v>
      </c>
      <c r="G365" s="53"/>
      <c r="H365" s="53"/>
      <c r="I365" s="53"/>
      <c r="J365" s="53"/>
      <c r="K365" s="53"/>
      <c r="L365" s="53"/>
      <c r="M365" s="481">
        <v>0</v>
      </c>
      <c r="N365" s="481">
        <v>0</v>
      </c>
      <c r="O365" s="481">
        <v>18.8</v>
      </c>
      <c r="P365" s="481">
        <f>40-O365</f>
        <v>21.2</v>
      </c>
      <c r="Q365" s="481">
        <v>12.1</v>
      </c>
      <c r="R365" s="481">
        <v>7.3</v>
      </c>
      <c r="S365" s="481">
        <v>51.1</v>
      </c>
      <c r="T365" s="481">
        <v>53.9</v>
      </c>
      <c r="U365" s="481">
        <v>32.9</v>
      </c>
      <c r="V365" s="481">
        <f>196.5-S365-T365-U365</f>
        <v>58.6</v>
      </c>
      <c r="W365" s="481"/>
      <c r="X365" s="481">
        <v>42.3</v>
      </c>
      <c r="Y365" s="481">
        <v>63.6</v>
      </c>
      <c r="Z365" s="481">
        <v>50.5</v>
      </c>
      <c r="AA365" s="481">
        <f>224.5-X365-Y365-Z365</f>
        <v>68.099999999999994</v>
      </c>
      <c r="AB365" s="481"/>
      <c r="AC365" s="481">
        <v>43.8</v>
      </c>
      <c r="AD365" s="481">
        <v>47.9</v>
      </c>
      <c r="AE365" s="481">
        <v>51.7</v>
      </c>
      <c r="AF365" s="481">
        <f>218-AC365-AD365-AE365</f>
        <v>74.59999999999998</v>
      </c>
      <c r="AG365" s="481"/>
      <c r="AH365" s="481">
        <v>42.5</v>
      </c>
      <c r="AI365" s="481">
        <f>87.9-AH365</f>
        <v>45.400000000000006</v>
      </c>
      <c r="AJ365" s="481">
        <v>49.1</v>
      </c>
      <c r="AK365" s="481">
        <v>47</v>
      </c>
      <c r="AM365" s="481">
        <v>47.3</v>
      </c>
      <c r="AN365" s="481">
        <v>46.4</v>
      </c>
      <c r="AO365" s="481">
        <v>60.4</v>
      </c>
      <c r="AP365" s="481">
        <v>42.6</v>
      </c>
      <c r="AR365" s="481">
        <v>40.200000000000003</v>
      </c>
      <c r="AS365" s="481">
        <v>49.2</v>
      </c>
      <c r="AT365" s="481">
        <v>75.5</v>
      </c>
      <c r="AU365" s="481">
        <f>-Master!O205-AR365-AS365-AT365</f>
        <v>74.100000000000023</v>
      </c>
      <c r="AV365" s="711">
        <f>SUM(AR365:AU365)</f>
        <v>239.00000000000003</v>
      </c>
      <c r="AW365" s="481">
        <v>77.7</v>
      </c>
      <c r="AX365" s="481">
        <v>74.3</v>
      </c>
      <c r="AY365" s="481">
        <v>84</v>
      </c>
      <c r="AZ365" s="481">
        <f>-Master!P205-AW365-AX365-AY365</f>
        <v>54</v>
      </c>
      <c r="BA365" s="53"/>
      <c r="BB365" s="481"/>
      <c r="BC365" s="481"/>
      <c r="BD365" s="481"/>
      <c r="BE365" s="481"/>
      <c r="BF365" s="53"/>
      <c r="BG365" s="62">
        <f>SUM(AW365:AZ365)</f>
        <v>290</v>
      </c>
    </row>
    <row r="366" spans="1:66" ht="15.75">
      <c r="B366" s="50" t="s">
        <v>2747</v>
      </c>
      <c r="G366" s="50"/>
      <c r="H366" s="50"/>
      <c r="I366" s="50"/>
      <c r="J366" s="50"/>
      <c r="K366" s="50"/>
      <c r="L366" s="50"/>
      <c r="M366" s="638">
        <v>2.8</v>
      </c>
      <c r="N366" s="638">
        <v>1.7</v>
      </c>
      <c r="O366" s="638">
        <v>1.9</v>
      </c>
      <c r="P366" s="638">
        <f>4-O366</f>
        <v>2.1</v>
      </c>
      <c r="Q366" s="638">
        <v>2.7</v>
      </c>
      <c r="R366" s="638">
        <v>1.9</v>
      </c>
      <c r="S366" s="638">
        <v>2</v>
      </c>
      <c r="T366" s="638">
        <v>1.8</v>
      </c>
      <c r="U366" s="638">
        <v>2.1</v>
      </c>
      <c r="V366" s="638">
        <f>7.7-S366-T366-U366</f>
        <v>1.8000000000000003</v>
      </c>
      <c r="W366" s="481"/>
      <c r="X366" s="638">
        <v>1.4</v>
      </c>
      <c r="Y366" s="638">
        <v>1.1000000000000001</v>
      </c>
      <c r="Z366" s="638">
        <v>5.2</v>
      </c>
      <c r="AA366" s="638">
        <f>8.7-X366-Y366-Z366</f>
        <v>0.99999999999999911</v>
      </c>
      <c r="AB366" s="481"/>
      <c r="AC366" s="638">
        <f>3+0.6</f>
        <v>3.6</v>
      </c>
      <c r="AD366" s="638">
        <v>0.5</v>
      </c>
      <c r="AE366" s="638">
        <v>0.6</v>
      </c>
      <c r="AF366" s="638">
        <f>2.2-AC366-AD366-AE366</f>
        <v>-2.5</v>
      </c>
      <c r="AG366" s="481"/>
      <c r="AH366" s="638">
        <v>0.5</v>
      </c>
      <c r="AI366" s="638">
        <f>1-AH366</f>
        <v>0.5</v>
      </c>
      <c r="AJ366" s="638">
        <v>-0.5</v>
      </c>
      <c r="AK366" s="638">
        <v>2.6</v>
      </c>
      <c r="AM366" s="638">
        <v>-0.2</v>
      </c>
      <c r="AN366" s="638">
        <v>0</v>
      </c>
      <c r="AO366" s="638">
        <v>0</v>
      </c>
      <c r="AP366" s="638">
        <v>0</v>
      </c>
      <c r="AR366" s="638">
        <v>0</v>
      </c>
      <c r="AS366" s="638">
        <v>0</v>
      </c>
      <c r="AT366" s="638">
        <v>0</v>
      </c>
      <c r="AU366" s="638">
        <f>-Master!O206-AR366-AS366-AT366</f>
        <v>0</v>
      </c>
      <c r="AV366" s="711">
        <f>SUM(AR366:AU366)</f>
        <v>0</v>
      </c>
      <c r="AW366" s="638">
        <f>0.2+0.8</f>
        <v>1</v>
      </c>
      <c r="AX366" s="638">
        <f>0.3-2.5</f>
        <v>-2.2000000000000002</v>
      </c>
      <c r="AY366" s="638">
        <v>0.2</v>
      </c>
      <c r="AZ366" s="638">
        <f>-Master!P206-AW366-AX366-AY366</f>
        <v>22.442371337467822</v>
      </c>
      <c r="BA366" s="53"/>
      <c r="BB366" s="638"/>
      <c r="BC366" s="638"/>
      <c r="BD366" s="638"/>
      <c r="BE366" s="638"/>
      <c r="BF366" s="53"/>
      <c r="BG366" s="62">
        <f>SUM(AW366:AZ366)</f>
        <v>21.442371337467822</v>
      </c>
    </row>
    <row r="367" spans="1:66" ht="15.75">
      <c r="A367" t="s">
        <v>935</v>
      </c>
      <c r="B367" s="53"/>
      <c r="G367" s="53"/>
      <c r="H367" s="53"/>
      <c r="I367" s="53"/>
      <c r="J367" s="53"/>
      <c r="K367" s="53"/>
      <c r="L367" s="53"/>
      <c r="M367" s="481"/>
      <c r="N367" s="481"/>
      <c r="O367" s="481"/>
      <c r="P367" s="481"/>
      <c r="Q367" s="481"/>
      <c r="R367" s="481"/>
      <c r="S367" s="481"/>
      <c r="T367" s="481"/>
      <c r="U367" s="481"/>
      <c r="AV367" s="53"/>
      <c r="BA367" s="53"/>
      <c r="BF367" s="53"/>
    </row>
    <row r="368" spans="1:66" ht="15.75">
      <c r="B368" s="58" t="s">
        <v>4147</v>
      </c>
      <c r="G368" s="58"/>
      <c r="H368" s="58"/>
      <c r="I368" s="58"/>
      <c r="J368" s="58"/>
      <c r="K368" s="58"/>
      <c r="L368" s="58"/>
      <c r="M368" s="712">
        <f>M358+M360+M362-M364-M365-M366</f>
        <v>33.700000000000031</v>
      </c>
      <c r="N368" s="712">
        <f>N358+N360+N362-N364-N365-N366</f>
        <v>109.19999999999989</v>
      </c>
      <c r="O368" s="712">
        <f t="shared" ref="O368:V368" si="193">O358+O360-O361+O362-O364-O365-O366</f>
        <v>-58.000000000000036</v>
      </c>
      <c r="P368" s="712">
        <f t="shared" si="193"/>
        <v>113.99999999999999</v>
      </c>
      <c r="Q368" s="712">
        <f t="shared" si="193"/>
        <v>-109.89999999999996</v>
      </c>
      <c r="R368" s="712">
        <f t="shared" si="193"/>
        <v>6.7999999999999989</v>
      </c>
      <c r="S368" s="712">
        <f t="shared" si="193"/>
        <v>-45.699999999999967</v>
      </c>
      <c r="T368" s="712">
        <f t="shared" si="193"/>
        <v>6.100000000000013</v>
      </c>
      <c r="U368" s="712">
        <f t="shared" si="193"/>
        <v>33.799999999999983</v>
      </c>
      <c r="V368" s="712">
        <f t="shared" si="193"/>
        <v>26.599999999999856</v>
      </c>
      <c r="W368" s="712"/>
      <c r="X368" s="712">
        <f>X358+X360-X361+X362-X364-X365-X366</f>
        <v>14.50000000000002</v>
      </c>
      <c r="Y368" s="712">
        <f>Y358+Y360-Y361+Y362-Y364-Y365-Y366</f>
        <v>66.699999999999989</v>
      </c>
      <c r="Z368" s="712">
        <f>Z358+Z360-Z361+Z362-Z364-Z365-Z366</f>
        <v>3.7000000000000055</v>
      </c>
      <c r="AA368" s="712">
        <f>AA358+AA360-AA361+AA362-AA364-AA365-AA366</f>
        <v>145.50000000000006</v>
      </c>
      <c r="AB368" s="712"/>
      <c r="AC368" s="712">
        <f>AC358+AC360-AC361+AC362-AC364-AC365-AC366</f>
        <v>-47.799999999999976</v>
      </c>
      <c r="AD368" s="712">
        <f>AD358+AD360-AD361+AD362-AD364-AD365-AD366</f>
        <v>90.500000000000028</v>
      </c>
      <c r="AE368" s="712">
        <f>AE358+AE360-AE361+AE362-AE364-AE365-AE366</f>
        <v>-18.300000000000004</v>
      </c>
      <c r="AF368" s="712">
        <f>AF358+AF360-AF361+AF362-AF364-AF365-AF366</f>
        <v>-12.399999999999963</v>
      </c>
      <c r="AG368" s="712"/>
      <c r="AH368" s="712">
        <f>AH358+AH360-AH361+AH362-AH364-AH365-AH366</f>
        <v>55.5</v>
      </c>
      <c r="AI368" s="712">
        <f>AI358+AI360-AI361+AI362-AI364-AI365-AI366</f>
        <v>29.699999999999989</v>
      </c>
      <c r="AJ368" s="712">
        <f>AJ358+AJ360-AJ361+AJ362-AJ364-AJ365-AJ366</f>
        <v>54.399999999999942</v>
      </c>
      <c r="AK368" s="712">
        <f>AK358+AK360-AK361+AK362-AK364-AK365-AK366</f>
        <v>97.60000000000008</v>
      </c>
      <c r="AM368" s="712">
        <f>AM358+AM360-AM361+AM362-AM364-AM365-AM366</f>
        <v>-56.099999999999994</v>
      </c>
      <c r="AN368" s="712">
        <f>AN358+AN360-AN361+AN362-AN364-AN365-AN366</f>
        <v>72.30000000000004</v>
      </c>
      <c r="AO368" s="712">
        <f>AO358+AO360-AO361+AO362-AO364-AO365-AO366</f>
        <v>-41.9</v>
      </c>
      <c r="AP368" s="712">
        <f>AP358+AP360-AP361+AP362-AP364-AP365-AP366</f>
        <v>209.9</v>
      </c>
      <c r="AR368" s="712">
        <f>AR358+AR360-AR361+AR362-AR364-AR365-AR366</f>
        <v>-50.600000000000009</v>
      </c>
      <c r="AS368" s="712">
        <f>AS358+AS360-AS361+AS362-AS364-AS365-AS366</f>
        <v>69.999999999999986</v>
      </c>
      <c r="AT368" s="712">
        <f>AT358+AT360-AT361+AT362-AT364-AT365-AT366</f>
        <v>31.600000000000023</v>
      </c>
      <c r="AU368" s="712">
        <f>AU358+AU360-AU361+AU362-AU364-AU365-AU366</f>
        <v>-129.99999999999997</v>
      </c>
      <c r="AV368" s="712">
        <f>AV358+AV360-AV361+AV362-AV364-AV365-AV366</f>
        <v>-79.000000000000028</v>
      </c>
      <c r="AW368" s="712">
        <f>AW358+AW360-AW361+AW362-AW364-AW365-AW366+AW363</f>
        <v>-151.30000000000001</v>
      </c>
      <c r="AX368" s="712">
        <f>AX358+AX360-AX361+AX362-AX364-AX365-AX366+AX363</f>
        <v>-7.1000000000000254</v>
      </c>
      <c r="AY368" s="712">
        <f>AY358+AY360-AY361+AY362-AY364-AY365-AY366+AY363</f>
        <v>75.600000000000009</v>
      </c>
      <c r="AZ368" s="712">
        <f ca="1">Valuation!O36-AW368-AX368-AY368</f>
        <v>134.26468765283499</v>
      </c>
      <c r="BA368" s="53" t="s">
        <v>6893</v>
      </c>
      <c r="BB368" s="712"/>
      <c r="BC368" s="712"/>
      <c r="BD368" s="712"/>
      <c r="BE368" s="712"/>
      <c r="BF368" s="53" t="s">
        <v>6893</v>
      </c>
      <c r="BG368" s="712">
        <f ca="1">BG358+BG360-BG361+BG362-BG364-BG365-BG366</f>
        <v>-57.935312347165052</v>
      </c>
      <c r="BH368" s="712"/>
    </row>
    <row r="369" spans="2:59" ht="15.75">
      <c r="B369" s="58"/>
      <c r="G369" s="58"/>
      <c r="H369" s="58"/>
      <c r="I369" s="58"/>
      <c r="J369" s="58"/>
      <c r="K369" s="58"/>
      <c r="L369" s="58"/>
      <c r="M369" s="712"/>
      <c r="N369" s="712"/>
      <c r="O369" s="712"/>
      <c r="P369" s="712"/>
      <c r="Q369" s="712"/>
      <c r="R369" s="712"/>
      <c r="S369" s="712"/>
      <c r="T369" s="712"/>
      <c r="U369" s="712"/>
      <c r="V369" s="712"/>
      <c r="AV369" s="53"/>
      <c r="BA369" s="53"/>
      <c r="BF369" s="53"/>
    </row>
    <row r="370" spans="2:59" ht="15.75">
      <c r="B370" s="53" t="s">
        <v>5104</v>
      </c>
      <c r="G370" s="58"/>
      <c r="H370" s="58"/>
      <c r="I370" s="58"/>
      <c r="J370" s="58"/>
      <c r="K370" s="58"/>
      <c r="L370" s="58"/>
      <c r="M370" s="712"/>
      <c r="N370" s="712"/>
      <c r="O370" s="712"/>
      <c r="P370" s="712"/>
      <c r="Q370" s="712"/>
      <c r="R370" s="712"/>
      <c r="S370" s="712"/>
      <c r="T370" s="712"/>
      <c r="U370" s="712"/>
      <c r="V370" s="712"/>
      <c r="AC370" s="481">
        <v>-3</v>
      </c>
      <c r="AD370" s="481">
        <f>36.2-AC370</f>
        <v>39.200000000000003</v>
      </c>
      <c r="AE370" s="481">
        <f>34.1-AC370-AD370</f>
        <v>-2.1000000000000014</v>
      </c>
      <c r="AF370" s="481">
        <f>81.5-AC370-AD370-AE370</f>
        <v>47.4</v>
      </c>
      <c r="AH370" s="481">
        <v>2.2000000000000002</v>
      </c>
      <c r="AI370" s="481">
        <f>8.8-AH370</f>
        <v>6.6000000000000005</v>
      </c>
      <c r="AJ370" s="481">
        <v>2.4</v>
      </c>
      <c r="AK370" s="481">
        <v>0</v>
      </c>
      <c r="AM370" s="481">
        <v>0</v>
      </c>
      <c r="AN370" s="481">
        <v>0</v>
      </c>
      <c r="AO370" s="481">
        <v>0</v>
      </c>
      <c r="AP370" s="481">
        <v>0</v>
      </c>
      <c r="AR370" s="481">
        <v>0</v>
      </c>
      <c r="AS370" s="481">
        <v>0</v>
      </c>
      <c r="AT370" s="481">
        <v>0</v>
      </c>
      <c r="AU370" s="481"/>
      <c r="AV370" s="53"/>
      <c r="AW370" s="481"/>
      <c r="AX370" s="481"/>
      <c r="AY370" s="481"/>
      <c r="AZ370" s="481"/>
      <c r="BA370" s="53"/>
      <c r="BB370" s="481"/>
      <c r="BC370" s="481"/>
      <c r="BD370" s="481"/>
      <c r="BE370" s="481"/>
      <c r="BF370" s="53"/>
    </row>
    <row r="371" spans="2:59" ht="16.5" thickBot="1">
      <c r="B371" s="953" t="s">
        <v>3389</v>
      </c>
      <c r="C371" s="954"/>
      <c r="D371" s="954"/>
      <c r="E371" s="954"/>
      <c r="F371" s="954"/>
      <c r="G371" s="953"/>
      <c r="H371" s="953"/>
      <c r="I371" s="953"/>
      <c r="J371" s="953"/>
      <c r="K371" s="953"/>
      <c r="L371" s="953"/>
      <c r="M371" s="955">
        <f t="shared" ref="M371:U371" si="194">M368-M383+M381</f>
        <v>33.700000000000031</v>
      </c>
      <c r="N371" s="955">
        <f t="shared" si="194"/>
        <v>109.19999999999989</v>
      </c>
      <c r="O371" s="955">
        <f t="shared" si="194"/>
        <v>-72.900000000000034</v>
      </c>
      <c r="P371" s="955">
        <f t="shared" si="194"/>
        <v>95.6</v>
      </c>
      <c r="Q371" s="955">
        <f t="shared" si="194"/>
        <v>-109.89999999999996</v>
      </c>
      <c r="R371" s="955">
        <f t="shared" si="194"/>
        <v>-6.2000000000000011</v>
      </c>
      <c r="S371" s="955">
        <f t="shared" si="194"/>
        <v>-45.699999999999967</v>
      </c>
      <c r="T371" s="955">
        <f t="shared" si="194"/>
        <v>-13.699999999999989</v>
      </c>
      <c r="U371" s="955">
        <f t="shared" si="194"/>
        <v>33.799999999999983</v>
      </c>
      <c r="V371" s="955">
        <f>V368-V383+V381-V382</f>
        <v>26.599999999999856</v>
      </c>
      <c r="W371" s="712"/>
      <c r="X371" s="955">
        <f>X368-X383+X381</f>
        <v>48.40000000000002</v>
      </c>
      <c r="Y371" s="955">
        <f>Y368-Y383+Y381</f>
        <v>66.699999999999989</v>
      </c>
      <c r="Z371" s="955">
        <f>Z368-Z383+Z381</f>
        <v>3.7000000000000055</v>
      </c>
      <c r="AA371" s="955">
        <v>105</v>
      </c>
      <c r="AB371" s="712"/>
      <c r="AC371" s="955">
        <v>-48.5</v>
      </c>
      <c r="AD371" s="955">
        <v>130</v>
      </c>
      <c r="AE371" s="955">
        <v>-22</v>
      </c>
      <c r="AF371" s="955">
        <v>89</v>
      </c>
      <c r="AG371" s="712"/>
      <c r="AH371" s="955">
        <f>AH368+AH370</f>
        <v>57.7</v>
      </c>
      <c r="AI371" s="955">
        <f>AI368+AI370</f>
        <v>36.29999999999999</v>
      </c>
      <c r="AJ371" s="955">
        <f>AJ368+AJ370</f>
        <v>56.79999999999994</v>
      </c>
      <c r="AK371" s="955">
        <f>AK368+AK370</f>
        <v>97.60000000000008</v>
      </c>
      <c r="AL371" s="712"/>
      <c r="AM371" s="955">
        <f>AM368+AM370</f>
        <v>-56.099999999999994</v>
      </c>
      <c r="AN371" s="955">
        <f>AN387+AN383</f>
        <v>70.899999999999991</v>
      </c>
      <c r="AO371" s="955">
        <v>-41</v>
      </c>
      <c r="AP371" s="955">
        <v>209.7</v>
      </c>
      <c r="AQ371" s="712"/>
      <c r="AR371" s="955">
        <v>-49.8</v>
      </c>
      <c r="AS371" s="955">
        <v>31</v>
      </c>
      <c r="AT371" s="955">
        <v>33</v>
      </c>
      <c r="AU371" s="955">
        <v>184</v>
      </c>
      <c r="AV371" s="712">
        <f>SUM(AR371:AU371)</f>
        <v>198.2</v>
      </c>
      <c r="AW371" s="955">
        <v>-149.69999999999999</v>
      </c>
      <c r="AX371" s="955">
        <f>AX368</f>
        <v>-7.1000000000000254</v>
      </c>
      <c r="AY371" s="955">
        <f>AY368</f>
        <v>75.600000000000009</v>
      </c>
      <c r="AZ371" s="955">
        <f ca="1">AZ368+AZ383</f>
        <v>121.76468765283499</v>
      </c>
      <c r="BA371" s="53" t="s">
        <v>6894</v>
      </c>
      <c r="BB371" s="955"/>
      <c r="BC371" s="955"/>
      <c r="BD371" s="955"/>
      <c r="BE371" s="955"/>
      <c r="BF371" s="53" t="s">
        <v>6894</v>
      </c>
      <c r="BG371" s="955">
        <f ca="1">BG368+BG383</f>
        <v>-92.935312347165052</v>
      </c>
    </row>
    <row r="372" spans="2:59" ht="16.5" thickTop="1">
      <c r="B372" s="53" t="s">
        <v>5104</v>
      </c>
      <c r="G372" s="58"/>
      <c r="H372" s="58"/>
      <c r="I372" s="58"/>
      <c r="J372" s="58"/>
      <c r="K372" s="58"/>
      <c r="L372" s="58"/>
      <c r="M372" s="712"/>
      <c r="N372" s="712"/>
      <c r="O372" s="712"/>
      <c r="P372" s="712"/>
      <c r="Q372" s="712"/>
      <c r="R372" s="712"/>
      <c r="S372" s="712"/>
      <c r="T372" s="712"/>
      <c r="U372" s="712"/>
      <c r="V372" s="712"/>
      <c r="AD372" s="481"/>
      <c r="AE372" s="481"/>
      <c r="AF372" s="481"/>
      <c r="AL372" s="16"/>
      <c r="AQ372" s="16"/>
      <c r="AS372" s="16"/>
      <c r="AT372" s="16"/>
      <c r="AU372" s="16"/>
      <c r="AV372" s="53"/>
      <c r="BA372" s="53"/>
      <c r="BF372" s="53"/>
    </row>
    <row r="373" spans="2:59" ht="15.75">
      <c r="B373" s="53" t="s">
        <v>5106</v>
      </c>
      <c r="G373" s="58"/>
      <c r="H373" s="58"/>
      <c r="I373" s="58"/>
      <c r="J373" s="58"/>
      <c r="K373" s="58"/>
      <c r="L373" s="58"/>
      <c r="M373" s="712"/>
      <c r="N373" s="712"/>
      <c r="O373" s="712"/>
      <c r="P373" s="712"/>
      <c r="Q373" s="712"/>
      <c r="R373" s="712"/>
      <c r="S373" s="712"/>
      <c r="T373" s="712"/>
      <c r="U373" s="712"/>
      <c r="V373" s="712"/>
      <c r="X373" s="481">
        <f>X323+X355</f>
        <v>26</v>
      </c>
      <c r="Y373" s="481">
        <f>Y323+Y355</f>
        <v>32.799999999999997</v>
      </c>
      <c r="Z373" s="481">
        <f>Z323+Z355</f>
        <v>-125.80000000000001</v>
      </c>
      <c r="AA373" s="481">
        <f>AA323+AA355</f>
        <v>1.4999999999999858</v>
      </c>
      <c r="AC373" s="481">
        <f>AC323+AC355</f>
        <v>25.9</v>
      </c>
      <c r="AD373" s="481">
        <f>AD323+AD355</f>
        <v>2.4999999999999991</v>
      </c>
      <c r="AE373" s="481">
        <f>AE323+AE355</f>
        <v>7.7000000000000028</v>
      </c>
      <c r="AF373" s="481">
        <f>AF323+AF355</f>
        <v>-0.30000000000000426</v>
      </c>
      <c r="AL373" s="16"/>
      <c r="AM373" s="481"/>
      <c r="AN373" s="481"/>
      <c r="AO373" s="481"/>
      <c r="AP373" s="481"/>
      <c r="AQ373" s="16"/>
      <c r="AR373" s="481"/>
      <c r="AS373" s="481"/>
      <c r="AT373" s="481"/>
      <c r="AU373" s="481"/>
      <c r="AV373" s="53"/>
      <c r="AW373" s="481"/>
      <c r="AX373" s="481"/>
      <c r="AY373" s="481"/>
      <c r="AZ373" s="481"/>
      <c r="BA373" s="53"/>
      <c r="BB373" s="481"/>
      <c r="BC373" s="481"/>
      <c r="BD373" s="481"/>
      <c r="BE373" s="481"/>
      <c r="BF373" s="53"/>
    </row>
    <row r="374" spans="2:59" ht="15.75">
      <c r="B374" s="53"/>
      <c r="G374" s="58"/>
      <c r="H374" s="58"/>
      <c r="I374" s="58"/>
      <c r="J374" s="58"/>
      <c r="K374" s="58"/>
      <c r="L374" s="58"/>
      <c r="M374" s="712"/>
      <c r="N374" s="712"/>
      <c r="O374" s="712"/>
      <c r="P374" s="712"/>
      <c r="Q374" s="712"/>
      <c r="R374" s="712"/>
      <c r="S374" s="712"/>
      <c r="T374" s="712"/>
      <c r="U374" s="712"/>
      <c r="V374" s="712"/>
      <c r="X374" s="481"/>
      <c r="Y374" s="481"/>
      <c r="Z374" s="481"/>
      <c r="AA374" s="481"/>
      <c r="AC374" s="481"/>
      <c r="AD374" s="481"/>
      <c r="AE374" s="481"/>
      <c r="AF374" s="481"/>
      <c r="AL374" s="16"/>
      <c r="AM374" s="481"/>
      <c r="AN374" s="481"/>
      <c r="AO374" s="481"/>
      <c r="AP374" s="481"/>
      <c r="AQ374" s="16"/>
      <c r="AR374" s="481"/>
      <c r="AS374" s="481"/>
      <c r="AT374" s="481"/>
      <c r="AU374" s="481"/>
      <c r="AV374" s="53"/>
      <c r="AW374" s="481"/>
      <c r="AX374" s="481"/>
      <c r="AY374" s="481"/>
      <c r="AZ374" s="481"/>
      <c r="BA374" s="53"/>
      <c r="BB374" s="481"/>
      <c r="BC374" s="481"/>
      <c r="BD374" s="481"/>
      <c r="BE374" s="481"/>
      <c r="BF374" s="53"/>
    </row>
    <row r="375" spans="2:59" ht="15.75">
      <c r="B375" s="53" t="s">
        <v>205</v>
      </c>
      <c r="G375" s="58"/>
      <c r="H375" s="58"/>
      <c r="I375" s="58"/>
      <c r="J375" s="58"/>
      <c r="K375" s="58"/>
      <c r="L375" s="58"/>
      <c r="M375" s="712"/>
      <c r="N375" s="712"/>
      <c r="O375" s="712"/>
      <c r="P375" s="712"/>
      <c r="Q375" s="712"/>
      <c r="R375" s="712"/>
      <c r="S375" s="712"/>
      <c r="T375" s="712"/>
      <c r="U375" s="712"/>
      <c r="V375" s="712"/>
      <c r="X375" s="481"/>
      <c r="Y375" s="481"/>
      <c r="Z375" s="481"/>
      <c r="AA375" s="481"/>
      <c r="AC375" s="481">
        <v>12.5</v>
      </c>
      <c r="AD375" s="481">
        <f>14-AC375</f>
        <v>1.5</v>
      </c>
      <c r="AE375" s="481">
        <f>42.3-AC375-AD375</f>
        <v>28.299999999999997</v>
      </c>
      <c r="AF375" s="481">
        <f>81.6-AC375-AD375-AE375</f>
        <v>39.299999999999997</v>
      </c>
      <c r="AG375" s="481"/>
      <c r="AH375" s="481">
        <v>14.7</v>
      </c>
      <c r="AI375" s="481">
        <f>40.1-AH375</f>
        <v>25.400000000000002</v>
      </c>
      <c r="AJ375" s="481">
        <f>21.7-AH375-AI375</f>
        <v>-18.400000000000002</v>
      </c>
      <c r="AK375" s="481">
        <f>44-AH375-AI375-AJ375</f>
        <v>22.3</v>
      </c>
      <c r="AL375" s="16"/>
      <c r="AM375" s="481"/>
      <c r="AN375" s="481"/>
      <c r="AO375" s="481"/>
      <c r="AP375" s="481"/>
      <c r="AQ375" s="16"/>
      <c r="AR375" s="481"/>
      <c r="AS375" s="481"/>
      <c r="AT375" s="481"/>
      <c r="AU375" s="481"/>
      <c r="AV375" s="53"/>
      <c r="AW375" s="481"/>
      <c r="AX375" s="481"/>
      <c r="AY375" s="481"/>
      <c r="AZ375" s="481"/>
      <c r="BA375" s="53"/>
      <c r="BB375" s="481"/>
      <c r="BC375" s="481"/>
      <c r="BD375" s="481"/>
      <c r="BE375" s="481"/>
      <c r="BF375" s="53"/>
    </row>
    <row r="376" spans="2:59" ht="15.75">
      <c r="B376" s="53" t="s">
        <v>679</v>
      </c>
      <c r="G376" s="58"/>
      <c r="H376" s="58"/>
      <c r="I376" s="58"/>
      <c r="J376" s="58"/>
      <c r="K376" s="58"/>
      <c r="L376" s="58"/>
      <c r="M376" s="712"/>
      <c r="N376" s="712"/>
      <c r="O376" s="712"/>
      <c r="P376" s="712"/>
      <c r="Q376" s="712"/>
      <c r="R376" s="712"/>
      <c r="S376" s="712"/>
      <c r="T376" s="712"/>
      <c r="U376" s="712"/>
      <c r="V376" s="712"/>
      <c r="X376" s="481"/>
      <c r="Y376" s="481"/>
      <c r="Z376" s="481"/>
      <c r="AA376" s="481"/>
      <c r="AC376" s="481">
        <v>145.30000000000001</v>
      </c>
      <c r="AD376" s="481">
        <f>247.2-AC376</f>
        <v>101.89999999999998</v>
      </c>
      <c r="AE376" s="481">
        <f>384.6-AC376-AD376</f>
        <v>137.40000000000003</v>
      </c>
      <c r="AF376" s="481">
        <f>484.3-AC376-AD376-AE376</f>
        <v>99.699999999999989</v>
      </c>
      <c r="AG376" s="481"/>
      <c r="AH376" s="481">
        <v>138</v>
      </c>
      <c r="AI376" s="481">
        <f>226.7-AH376</f>
        <v>88.699999999999989</v>
      </c>
      <c r="AJ376" s="481">
        <f>361-AH376-AI376</f>
        <v>134.30000000000001</v>
      </c>
      <c r="AK376" s="481">
        <f>463-AH376-AI376-AJ376</f>
        <v>102</v>
      </c>
      <c r="AL376" s="16"/>
      <c r="AM376" s="481"/>
      <c r="AN376" s="481"/>
      <c r="AO376" s="481"/>
      <c r="AP376" s="481"/>
      <c r="AQ376" s="16"/>
      <c r="AR376" s="481"/>
      <c r="AS376" s="481"/>
      <c r="AT376" s="481"/>
      <c r="AU376" s="481"/>
      <c r="AV376" s="53"/>
      <c r="AW376" s="481"/>
      <c r="AX376" s="481"/>
      <c r="AY376" s="481"/>
      <c r="AZ376" s="481"/>
      <c r="BA376" s="53"/>
      <c r="BB376" s="481"/>
      <c r="BC376" s="481"/>
      <c r="BD376" s="481"/>
      <c r="BE376" s="481"/>
      <c r="BF376" s="53"/>
    </row>
    <row r="377" spans="2:59" ht="15.75">
      <c r="B377" s="53" t="s">
        <v>6049</v>
      </c>
      <c r="G377" s="58"/>
      <c r="H377" s="58"/>
      <c r="I377" s="58"/>
      <c r="J377" s="58"/>
      <c r="K377" s="58"/>
      <c r="L377" s="58"/>
      <c r="M377" s="712"/>
      <c r="N377" s="712"/>
      <c r="O377" s="712"/>
      <c r="P377" s="712"/>
      <c r="Q377" s="712"/>
      <c r="R377" s="712"/>
      <c r="S377" s="712"/>
      <c r="T377" s="712"/>
      <c r="U377" s="712"/>
      <c r="V377" s="712"/>
      <c r="X377" s="481"/>
      <c r="Y377" s="481"/>
      <c r="Z377" s="481"/>
      <c r="AA377" s="481"/>
      <c r="AC377" s="481">
        <f>AC236-AC375-AC376-AC358</f>
        <v>91.19999999999996</v>
      </c>
      <c r="AD377" s="481">
        <f>AD236-AD375-AD376-AD358</f>
        <v>-9.0999999999999943</v>
      </c>
      <c r="AE377" s="481">
        <f>AE236-AE375-AE376-AE358</f>
        <v>57.099999999999937</v>
      </c>
      <c r="AF377" s="481">
        <f>AF236-AF375-AF376-AF358</f>
        <v>135.9</v>
      </c>
      <c r="AG377" s="481"/>
      <c r="AH377" s="481">
        <f>AH236-AH375-AH376-AH358</f>
        <v>93.100000000000023</v>
      </c>
      <c r="AI377" s="481">
        <f>AI236-AI375-AI376-AI358</f>
        <v>109.70000000000005</v>
      </c>
      <c r="AJ377" s="481">
        <f>AJ236-AJ375-AJ376-AJ358</f>
        <v>56</v>
      </c>
      <c r="AK377" s="481">
        <f>AK236-AK375-AK376-AK358</f>
        <v>46.899999999999977</v>
      </c>
      <c r="AL377" s="16"/>
      <c r="AM377" s="481"/>
      <c r="AN377" s="481"/>
      <c r="AO377" s="481"/>
      <c r="AP377" s="481"/>
      <c r="AQ377" s="16"/>
      <c r="AR377" s="481"/>
      <c r="AS377" s="481"/>
      <c r="AT377" s="481"/>
      <c r="AU377" s="481"/>
      <c r="AV377" s="53"/>
      <c r="AW377" s="481"/>
      <c r="AX377" s="481"/>
      <c r="AY377" s="481"/>
      <c r="AZ377" s="481"/>
      <c r="BA377" s="53"/>
      <c r="BB377" s="481"/>
      <c r="BC377" s="481"/>
      <c r="BD377" s="481"/>
      <c r="BE377" s="481"/>
      <c r="BF377" s="53"/>
    </row>
    <row r="378" spans="2:59" ht="15.75">
      <c r="B378" s="58" t="s">
        <v>5872</v>
      </c>
      <c r="G378" s="58"/>
      <c r="H378" s="58"/>
      <c r="I378" s="58"/>
      <c r="J378" s="58"/>
      <c r="K378" s="58"/>
      <c r="L378" s="58"/>
      <c r="M378" s="712"/>
      <c r="N378" s="712"/>
      <c r="O378" s="712"/>
      <c r="P378" s="712"/>
      <c r="Q378" s="712"/>
      <c r="R378" s="712"/>
      <c r="S378" s="712"/>
      <c r="T378" s="712"/>
      <c r="U378" s="712"/>
      <c r="V378" s="712"/>
      <c r="AC378" s="712">
        <f>AC358</f>
        <v>114.9</v>
      </c>
      <c r="AD378" s="712">
        <f>AD358</f>
        <v>238.70000000000002</v>
      </c>
      <c r="AE378" s="712">
        <f>AE358</f>
        <v>137.4</v>
      </c>
      <c r="AF378" s="712">
        <f>AF358</f>
        <v>149.1</v>
      </c>
      <c r="AH378" s="712">
        <f>AH358</f>
        <v>203.5</v>
      </c>
      <c r="AI378" s="712">
        <f>AI358</f>
        <v>240.2</v>
      </c>
      <c r="AJ378" s="712">
        <f>AJ358</f>
        <v>274.09999999999997</v>
      </c>
      <c r="AK378" s="712">
        <f>AK358</f>
        <v>298.40000000000003</v>
      </c>
      <c r="AL378" s="16"/>
      <c r="AM378" s="712"/>
      <c r="AN378" s="712"/>
      <c r="AO378" s="712"/>
      <c r="AP378" s="712"/>
      <c r="AQ378" s="16"/>
      <c r="AR378" s="712"/>
      <c r="AS378" s="712"/>
      <c r="AT378" s="712"/>
      <c r="AU378" s="712"/>
      <c r="AV378" s="53"/>
      <c r="AW378" s="712"/>
      <c r="AX378" s="712"/>
      <c r="AY378" s="712"/>
      <c r="AZ378" s="712"/>
      <c r="BA378" s="53"/>
      <c r="BB378" s="712"/>
      <c r="BC378" s="712"/>
      <c r="BD378" s="712"/>
      <c r="BE378" s="712"/>
      <c r="BF378" s="53"/>
    </row>
    <row r="379" spans="2:59" ht="15.75">
      <c r="B379" s="58"/>
      <c r="G379" s="58"/>
      <c r="H379" s="58"/>
      <c r="I379" s="58"/>
      <c r="J379" s="58"/>
      <c r="K379" s="58"/>
      <c r="L379" s="58"/>
      <c r="M379" s="712"/>
      <c r="N379" s="712"/>
      <c r="O379" s="712"/>
      <c r="P379" s="712"/>
      <c r="Q379" s="712"/>
      <c r="R379" s="712"/>
      <c r="S379" s="712"/>
      <c r="T379" s="712"/>
      <c r="U379" s="712"/>
      <c r="V379" s="712"/>
      <c r="AD379" s="481"/>
      <c r="AE379" s="481"/>
      <c r="AF379" s="481"/>
      <c r="AL379" s="16"/>
      <c r="AQ379" s="16"/>
      <c r="AV379" s="53"/>
      <c r="BA379" s="53"/>
      <c r="BF379" s="53"/>
    </row>
    <row r="380" spans="2:59" ht="15.75">
      <c r="B380" s="78" t="s">
        <v>4</v>
      </c>
      <c r="G380" s="53"/>
      <c r="H380" s="53"/>
      <c r="I380" s="53"/>
      <c r="J380" s="53"/>
      <c r="K380" s="53"/>
      <c r="L380" s="53"/>
      <c r="M380" s="481"/>
      <c r="N380" s="481"/>
      <c r="O380" s="481"/>
      <c r="AV380" s="53"/>
      <c r="BA380" s="53"/>
      <c r="BF380" s="53"/>
    </row>
    <row r="381" spans="2:59" ht="15.75">
      <c r="B381" s="53" t="s">
        <v>3213</v>
      </c>
      <c r="G381" s="53"/>
      <c r="H381" s="53"/>
      <c r="I381" s="53"/>
      <c r="J381" s="53"/>
      <c r="K381" s="53"/>
      <c r="L381" s="53"/>
      <c r="M381" s="481"/>
      <c r="N381" s="481"/>
      <c r="O381" s="481"/>
      <c r="S381" s="643"/>
      <c r="T381" s="643"/>
      <c r="U381" s="643"/>
      <c r="V381" s="643"/>
      <c r="W381" s="481"/>
      <c r="X381" s="481">
        <v>33.9</v>
      </c>
      <c r="Y381" s="481">
        <v>0</v>
      </c>
      <c r="Z381" s="481">
        <v>0</v>
      </c>
      <c r="AA381" s="481">
        <f>33.9-X381-Y381-Z381</f>
        <v>0</v>
      </c>
      <c r="AB381" s="481"/>
      <c r="AC381" s="481"/>
      <c r="AD381" s="481"/>
      <c r="AE381" s="481"/>
      <c r="AF381" s="481"/>
      <c r="AG381" s="481"/>
      <c r="AH381" s="481"/>
      <c r="AI381" s="481"/>
      <c r="AJ381" s="481"/>
      <c r="AK381" s="481"/>
      <c r="AM381" s="481"/>
      <c r="AN381" s="481"/>
      <c r="AO381" s="481"/>
      <c r="AP381" s="481"/>
      <c r="AR381" s="481"/>
      <c r="AS381" s="481"/>
      <c r="AT381" s="481"/>
      <c r="AU381" s="481"/>
      <c r="AV381" s="53"/>
      <c r="AW381" s="481"/>
      <c r="AX381" s="481"/>
      <c r="AY381" s="481"/>
      <c r="AZ381" s="481"/>
      <c r="BA381" s="53"/>
      <c r="BB381" s="481"/>
      <c r="BC381" s="481"/>
      <c r="BD381" s="481"/>
      <c r="BE381" s="481"/>
      <c r="BF381" s="53"/>
    </row>
    <row r="382" spans="2:59" ht="15.75">
      <c r="B382" s="53" t="s">
        <v>2758</v>
      </c>
      <c r="G382" s="53"/>
      <c r="H382" s="53"/>
      <c r="I382" s="53"/>
      <c r="J382" s="53"/>
      <c r="K382" s="53"/>
      <c r="L382" s="53"/>
      <c r="M382" s="481"/>
      <c r="N382" s="481">
        <v>20</v>
      </c>
      <c r="O382" s="481">
        <v>18.899999999999999</v>
      </c>
      <c r="P382" s="481">
        <f>40.9-O382</f>
        <v>22</v>
      </c>
      <c r="Q382" s="481">
        <f>54.3-O382-P382</f>
        <v>13.399999999999999</v>
      </c>
      <c r="R382" s="481">
        <v>0</v>
      </c>
      <c r="S382" s="481">
        <v>0</v>
      </c>
      <c r="T382" s="481">
        <v>0</v>
      </c>
      <c r="U382" s="481">
        <v>0</v>
      </c>
      <c r="V382" s="481">
        <v>0</v>
      </c>
      <c r="W382" s="481"/>
      <c r="X382" s="481"/>
      <c r="Y382" s="481"/>
      <c r="Z382" s="481"/>
      <c r="AA382" s="481"/>
      <c r="AB382" s="481"/>
      <c r="AC382" s="481"/>
      <c r="AD382" s="481"/>
      <c r="AE382" s="481"/>
      <c r="AF382" s="481"/>
      <c r="AG382" s="481"/>
      <c r="AH382" s="481"/>
      <c r="AI382" s="481"/>
      <c r="AJ382" s="481"/>
      <c r="AK382" s="481"/>
      <c r="AM382" s="481"/>
      <c r="AN382" s="481"/>
      <c r="AO382" s="481"/>
      <c r="AP382" s="481"/>
      <c r="AR382" s="481"/>
      <c r="AS382" s="481"/>
      <c r="AT382" s="481"/>
      <c r="AU382" s="481"/>
      <c r="AV382" s="53"/>
      <c r="AW382" s="481"/>
      <c r="AX382" s="481"/>
      <c r="AY382" s="481"/>
      <c r="AZ382" s="481"/>
      <c r="BA382" s="53"/>
      <c r="BB382" s="481"/>
      <c r="BC382" s="481"/>
      <c r="BD382" s="481"/>
      <c r="BE382" s="481"/>
      <c r="BF382" s="53"/>
    </row>
    <row r="383" spans="2:59" ht="15.75">
      <c r="B383" s="53" t="s">
        <v>2770</v>
      </c>
      <c r="G383" s="53"/>
      <c r="H383" s="53"/>
      <c r="I383" s="53"/>
      <c r="J383" s="53"/>
      <c r="K383" s="53"/>
      <c r="L383" s="53"/>
      <c r="M383" s="481"/>
      <c r="N383" s="481"/>
      <c r="O383" s="481">
        <v>14.9</v>
      </c>
      <c r="P383" s="481">
        <f>33.3-O383</f>
        <v>18.399999999999999</v>
      </c>
      <c r="Q383" s="481">
        <f>33.3-O383-P383</f>
        <v>0</v>
      </c>
      <c r="R383" s="481">
        <v>13</v>
      </c>
      <c r="S383" s="481">
        <v>0</v>
      </c>
      <c r="T383" s="481">
        <v>19.8</v>
      </c>
      <c r="U383" s="481">
        <v>0</v>
      </c>
      <c r="V383" s="481">
        <v>0</v>
      </c>
      <c r="W383" s="481"/>
      <c r="X383" s="481">
        <v>0</v>
      </c>
      <c r="Y383" s="481">
        <v>0</v>
      </c>
      <c r="Z383" s="481">
        <v>0</v>
      </c>
      <c r="AA383" s="481">
        <f>37.7-X383-Y383-Z383</f>
        <v>37.700000000000003</v>
      </c>
      <c r="AB383" s="481"/>
      <c r="AC383" s="481">
        <v>0.7</v>
      </c>
      <c r="AD383" s="481">
        <f>0.7-AC383</f>
        <v>0</v>
      </c>
      <c r="AE383" s="481">
        <v>1.6</v>
      </c>
      <c r="AF383" s="481">
        <f>18.8-AC383-AD383-AE383</f>
        <v>16.5</v>
      </c>
      <c r="AG383" s="481"/>
      <c r="AH383" s="481">
        <v>0</v>
      </c>
      <c r="AI383" s="481">
        <v>0</v>
      </c>
      <c r="AJ383" s="481">
        <v>0</v>
      </c>
      <c r="AK383" s="481">
        <v>46.3</v>
      </c>
      <c r="AM383" s="481">
        <v>0</v>
      </c>
      <c r="AN383" s="481">
        <v>-1.9</v>
      </c>
      <c r="AO383" s="481">
        <v>0</v>
      </c>
      <c r="AP383" s="481">
        <v>0</v>
      </c>
      <c r="AR383" s="481">
        <v>0.4</v>
      </c>
      <c r="AS383" s="481">
        <v>-41</v>
      </c>
      <c r="AT383" s="481">
        <v>0</v>
      </c>
      <c r="AU383" s="481">
        <v>-34</v>
      </c>
      <c r="AV383" s="53">
        <v>0</v>
      </c>
      <c r="AW383" s="481">
        <v>0</v>
      </c>
      <c r="AX383" s="481">
        <v>-10.7</v>
      </c>
      <c r="AY383" s="481">
        <v>-11.8</v>
      </c>
      <c r="AZ383" s="481">
        <f>Valuation!O27-AW383-AX383-AY383</f>
        <v>-12.5</v>
      </c>
      <c r="BA383" s="53"/>
      <c r="BB383" s="481"/>
      <c r="BC383" s="481"/>
      <c r="BD383" s="481"/>
      <c r="BE383" s="481"/>
      <c r="BF383" s="53"/>
      <c r="BG383" s="62">
        <f>SUM(AW383:AZ383)</f>
        <v>-35</v>
      </c>
    </row>
    <row r="384" spans="2:59" ht="15.75">
      <c r="B384" s="53" t="s">
        <v>5871</v>
      </c>
      <c r="G384" s="53"/>
      <c r="H384" s="53"/>
      <c r="I384" s="53"/>
      <c r="J384" s="53"/>
      <c r="K384" s="53"/>
      <c r="L384" s="53"/>
      <c r="M384" s="481"/>
      <c r="N384" s="481"/>
      <c r="O384" s="481"/>
      <c r="P384" s="481"/>
      <c r="Q384" s="481"/>
      <c r="R384" s="481"/>
      <c r="S384" s="481"/>
      <c r="T384" s="481"/>
      <c r="U384" s="481"/>
      <c r="V384" s="481"/>
      <c r="W384" s="481"/>
      <c r="X384" s="481"/>
      <c r="Y384" s="481"/>
      <c r="Z384" s="481"/>
      <c r="AA384" s="481"/>
      <c r="AB384" s="481"/>
      <c r="AC384" s="481"/>
      <c r="AD384" s="481"/>
      <c r="AE384" s="481"/>
      <c r="AF384" s="481">
        <f>73.3-AC384-AD384-AE384</f>
        <v>73.3</v>
      </c>
      <c r="AG384" s="481"/>
      <c r="AH384" s="481"/>
      <c r="AI384" s="481"/>
      <c r="AJ384" s="481"/>
      <c r="AK384" s="481"/>
      <c r="AM384" s="481"/>
      <c r="AN384" s="481"/>
      <c r="AO384" s="481"/>
      <c r="AP384" s="481"/>
      <c r="AR384" s="481"/>
      <c r="AS384" s="481"/>
      <c r="AT384" s="481"/>
      <c r="AU384" s="481"/>
      <c r="AV384" s="53"/>
      <c r="AW384" s="481"/>
      <c r="AX384" s="481"/>
      <c r="AY384" s="481"/>
      <c r="AZ384" s="481"/>
      <c r="BA384" s="53"/>
      <c r="BB384" s="481"/>
      <c r="BC384" s="481"/>
      <c r="BD384" s="481"/>
      <c r="BE384" s="481"/>
      <c r="BF384" s="53"/>
    </row>
    <row r="385" spans="2:58" ht="15.75">
      <c r="B385" s="53" t="s">
        <v>4</v>
      </c>
      <c r="G385" s="53"/>
      <c r="H385" s="53"/>
      <c r="I385" s="53"/>
      <c r="J385" s="53"/>
      <c r="K385" s="53"/>
      <c r="L385" s="53"/>
      <c r="M385" s="481"/>
      <c r="N385" s="481"/>
      <c r="O385" s="481"/>
      <c r="P385" s="481"/>
      <c r="Q385" s="481"/>
      <c r="R385" s="481"/>
      <c r="S385" s="481"/>
      <c r="T385" s="481"/>
      <c r="U385" s="481"/>
      <c r="V385" s="481"/>
      <c r="W385" s="481"/>
      <c r="X385" s="481"/>
      <c r="Y385" s="481"/>
      <c r="Z385" s="481"/>
      <c r="AA385" s="481"/>
      <c r="AB385" s="481"/>
      <c r="AC385" s="481"/>
      <c r="AD385" s="481"/>
      <c r="AE385" s="481"/>
      <c r="AF385" s="481"/>
      <c r="AG385" s="481"/>
      <c r="AH385" s="481"/>
      <c r="AI385" s="481"/>
      <c r="AJ385" s="481"/>
      <c r="AK385" s="481"/>
      <c r="AM385" s="481">
        <v>0</v>
      </c>
      <c r="AN385" s="481">
        <v>0</v>
      </c>
      <c r="AO385" s="481">
        <v>0</v>
      </c>
      <c r="AP385" s="481">
        <v>0</v>
      </c>
      <c r="AR385" s="481">
        <v>0</v>
      </c>
      <c r="AS385" s="481">
        <v>0</v>
      </c>
      <c r="AT385" s="481">
        <v>0</v>
      </c>
      <c r="AU385" s="481">
        <v>0</v>
      </c>
      <c r="AV385" s="53"/>
      <c r="AW385" s="481"/>
      <c r="AX385" s="481"/>
      <c r="AY385" s="481"/>
      <c r="AZ385" s="481"/>
      <c r="BA385" s="53"/>
      <c r="BB385" s="481"/>
      <c r="BC385" s="481"/>
      <c r="BD385" s="481"/>
      <c r="BE385" s="481"/>
      <c r="BF385" s="53"/>
    </row>
    <row r="386" spans="2:58" ht="15.75">
      <c r="B386" s="50" t="s">
        <v>2639</v>
      </c>
      <c r="G386" s="50"/>
      <c r="H386" s="50"/>
      <c r="I386" s="50"/>
      <c r="J386" s="50"/>
      <c r="K386" s="50"/>
      <c r="L386" s="50"/>
      <c r="M386" s="638"/>
      <c r="N386" s="638"/>
      <c r="O386" s="638">
        <v>0</v>
      </c>
      <c r="P386" s="638">
        <v>0</v>
      </c>
      <c r="Q386" s="638">
        <v>38</v>
      </c>
      <c r="R386" s="638">
        <v>0</v>
      </c>
      <c r="S386" s="638">
        <v>18.600000000000001</v>
      </c>
      <c r="T386" s="638">
        <v>0</v>
      </c>
      <c r="U386" s="638">
        <v>0</v>
      </c>
      <c r="V386" s="638">
        <v>0</v>
      </c>
      <c r="W386" s="481"/>
      <c r="X386" s="686">
        <v>161</v>
      </c>
      <c r="Y386" s="686"/>
      <c r="Z386" s="686"/>
      <c r="AA386" s="686"/>
      <c r="AB386" s="481"/>
      <c r="AC386" s="638"/>
      <c r="AD386" s="638"/>
      <c r="AE386" s="638"/>
      <c r="AF386" s="638"/>
      <c r="AG386" s="481"/>
      <c r="AH386" s="638"/>
      <c r="AI386" s="638"/>
      <c r="AJ386" s="638"/>
      <c r="AK386" s="638"/>
      <c r="AM386" s="638"/>
      <c r="AN386" s="638"/>
      <c r="AO386" s="638"/>
      <c r="AP386" s="638"/>
      <c r="AR386" s="638"/>
      <c r="AS386" s="638"/>
      <c r="AT386" s="638"/>
      <c r="AU386" s="638"/>
      <c r="AV386" s="53"/>
      <c r="AW386" s="638"/>
      <c r="AX386" s="638"/>
      <c r="AY386" s="638"/>
      <c r="AZ386" s="638"/>
      <c r="BA386" s="53"/>
      <c r="BB386" s="638"/>
      <c r="BC386" s="638"/>
      <c r="BD386" s="638"/>
      <c r="BE386" s="638"/>
      <c r="BF386" s="53"/>
    </row>
    <row r="387" spans="2:58" ht="15.75">
      <c r="B387" s="58" t="s">
        <v>784</v>
      </c>
      <c r="G387" s="58"/>
      <c r="H387" s="58"/>
      <c r="I387" s="58"/>
      <c r="J387" s="58"/>
      <c r="K387" s="58"/>
      <c r="L387" s="58"/>
      <c r="M387" s="712"/>
      <c r="N387" s="712">
        <f>N368-N382</f>
        <v>89.199999999999889</v>
      </c>
      <c r="O387" s="712">
        <f t="shared" ref="O387:V387" si="195">O368-O382-O383-O386</f>
        <v>-91.80000000000004</v>
      </c>
      <c r="P387" s="712">
        <f t="shared" si="195"/>
        <v>73.599999999999994</v>
      </c>
      <c r="Q387" s="712">
        <f t="shared" si="195"/>
        <v>-161.29999999999995</v>
      </c>
      <c r="R387" s="712">
        <f t="shared" si="195"/>
        <v>-6.2000000000000011</v>
      </c>
      <c r="S387" s="712">
        <f t="shared" si="195"/>
        <v>-64.299999999999969</v>
      </c>
      <c r="T387" s="712">
        <f t="shared" si="195"/>
        <v>-13.699999999999989</v>
      </c>
      <c r="U387" s="712">
        <f t="shared" si="195"/>
        <v>33.799999999999983</v>
      </c>
      <c r="V387" s="712">
        <f t="shared" si="195"/>
        <v>26.599999999999856</v>
      </c>
      <c r="W387" s="712"/>
      <c r="X387" s="712">
        <f>X368-X382-X383-X386</f>
        <v>-146.49999999999997</v>
      </c>
      <c r="Y387" s="712">
        <f>Y368-Y382-Y383-Y386</f>
        <v>66.699999999999989</v>
      </c>
      <c r="Z387" s="712">
        <f>Z368-Z382-Z383-Z386</f>
        <v>3.7000000000000055</v>
      </c>
      <c r="AA387" s="712">
        <f>AA368-AA382-AA383-AA386</f>
        <v>107.80000000000005</v>
      </c>
      <c r="AB387" s="712"/>
      <c r="AC387" s="712">
        <f>AC371-AC382-AC383-AC386+AC384</f>
        <v>-49.2</v>
      </c>
      <c r="AD387" s="712">
        <f>AD371-AD382-AD383-AD386+AD384</f>
        <v>130</v>
      </c>
      <c r="AE387" s="712">
        <f>AE371-AE382-AE383-AE386+AE384</f>
        <v>-23.6</v>
      </c>
      <c r="AF387" s="712">
        <f>AF371-AF382-AF383-AF386+AF384</f>
        <v>145.80000000000001</v>
      </c>
      <c r="AG387" s="712"/>
      <c r="AH387" s="712">
        <f>AH371-AH382-AH383-AH386+AH384</f>
        <v>57.7</v>
      </c>
      <c r="AI387" s="712">
        <f>AI371-AI382-AI383-AI386+AI384</f>
        <v>36.29999999999999</v>
      </c>
      <c r="AJ387" s="712">
        <f>AJ371-AJ382-AJ383-AJ386+AJ384</f>
        <v>56.79999999999994</v>
      </c>
      <c r="AK387" s="712">
        <f>AK371-AK382-AK383-AK386+AK384</f>
        <v>51.300000000000082</v>
      </c>
      <c r="AM387" s="712">
        <f>AM371-AM382-AM383-AM386+AM384+AM385</f>
        <v>-56.099999999999994</v>
      </c>
      <c r="AN387" s="712">
        <v>72.8</v>
      </c>
      <c r="AO387" s="712">
        <v>-41</v>
      </c>
      <c r="AP387" s="712">
        <v>210</v>
      </c>
      <c r="AR387" s="712">
        <f>AR371-AR382-AR383-AR386+AR384+AR385</f>
        <v>-50.199999999999996</v>
      </c>
      <c r="AS387" s="712">
        <f>AS371-AS382-AS383-AS386+AS384+AS385</f>
        <v>72</v>
      </c>
      <c r="AT387" s="712">
        <f>AT371-AT382-AT383-AT386+AT384+AT385</f>
        <v>33</v>
      </c>
      <c r="AU387" s="712">
        <f>AU371-AU382-AU383-AU386+AU384+AU385</f>
        <v>218</v>
      </c>
      <c r="AV387" s="712">
        <f>SUM(AR387:AU387)</f>
        <v>272.8</v>
      </c>
      <c r="AW387" s="712">
        <f>AW371-AW382+AW383-AW386+AW384+AW385</f>
        <v>-149.69999999999999</v>
      </c>
      <c r="AX387" s="712">
        <f>AX371-AX382+AX383-AX386+AX384+AX385</f>
        <v>-17.800000000000026</v>
      </c>
      <c r="AY387" s="712">
        <v>65</v>
      </c>
      <c r="AZ387" s="712">
        <f t="shared" ref="AZ387" ca="1" si="196">AZ371-AZ382-AZ383-AZ386+AZ384+AZ385</f>
        <v>134.26468765283499</v>
      </c>
      <c r="BA387" s="53" t="s">
        <v>6893</v>
      </c>
      <c r="BB387" s="712"/>
      <c r="BC387" s="712"/>
      <c r="BD387" s="712"/>
      <c r="BE387" s="712"/>
      <c r="BF387" s="53" t="s">
        <v>6893</v>
      </c>
    </row>
    <row r="388" spans="2:58" ht="15.75">
      <c r="B388" s="58"/>
      <c r="G388" s="58"/>
      <c r="H388" s="58"/>
      <c r="I388" s="58"/>
      <c r="J388" s="58"/>
      <c r="K388" s="58"/>
      <c r="L388" s="58"/>
      <c r="M388" s="712"/>
      <c r="N388" s="712"/>
      <c r="O388" s="712"/>
      <c r="AV388" s="53"/>
      <c r="BA388" s="53"/>
      <c r="BF388" s="53"/>
    </row>
    <row r="389" spans="2:58" ht="15.75">
      <c r="B389" s="53"/>
      <c r="G389" s="53"/>
      <c r="H389" s="53"/>
      <c r="I389" s="53"/>
      <c r="J389" s="53"/>
      <c r="K389" s="53"/>
      <c r="L389" s="53"/>
      <c r="M389" s="53"/>
      <c r="AV389" s="53"/>
      <c r="BA389" s="53"/>
      <c r="BF389" s="53"/>
    </row>
    <row r="390" spans="2:58" ht="15.75">
      <c r="B390" s="50" t="s">
        <v>115</v>
      </c>
      <c r="G390" s="51" t="str">
        <f t="shared" ref="G390:AK390" si="197">G331</f>
        <v>Q1 15</v>
      </c>
      <c r="H390" s="51" t="str">
        <f t="shared" si="197"/>
        <v>Q2 15</v>
      </c>
      <c r="I390" s="51" t="str">
        <f t="shared" si="197"/>
        <v>Q3 15</v>
      </c>
      <c r="J390" s="51" t="str">
        <f t="shared" si="197"/>
        <v>Q4 15</v>
      </c>
      <c r="K390" s="51" t="str">
        <f t="shared" si="197"/>
        <v>Q1 16</v>
      </c>
      <c r="L390" s="51" t="str">
        <f t="shared" si="197"/>
        <v>Q2 16</v>
      </c>
      <c r="M390" s="51" t="str">
        <f t="shared" si="197"/>
        <v>Q3 16</v>
      </c>
      <c r="N390" s="51" t="str">
        <f t="shared" si="197"/>
        <v>Q4 16</v>
      </c>
      <c r="O390" s="51" t="str">
        <f t="shared" si="197"/>
        <v>Q1 17</v>
      </c>
      <c r="P390" s="51" t="str">
        <f t="shared" si="197"/>
        <v>Q2 17</v>
      </c>
      <c r="Q390" s="51" t="str">
        <f t="shared" si="197"/>
        <v>Q3 17</v>
      </c>
      <c r="R390" s="51" t="str">
        <f t="shared" si="197"/>
        <v>Q4 17</v>
      </c>
      <c r="S390" s="51" t="str">
        <f t="shared" si="197"/>
        <v>Q1 18</v>
      </c>
      <c r="T390" s="51" t="str">
        <f t="shared" si="197"/>
        <v>Q2 18</v>
      </c>
      <c r="U390" s="51" t="str">
        <f t="shared" si="197"/>
        <v>Q3 18</v>
      </c>
      <c r="V390" s="51" t="str">
        <f t="shared" si="197"/>
        <v>Q4 18</v>
      </c>
      <c r="W390" s="51">
        <f t="shared" si="197"/>
        <v>2018</v>
      </c>
      <c r="X390" s="51" t="str">
        <f t="shared" si="197"/>
        <v>Q1 19</v>
      </c>
      <c r="Y390" s="51" t="str">
        <f t="shared" si="197"/>
        <v>Q2 19</v>
      </c>
      <c r="Z390" s="51" t="str">
        <f t="shared" si="197"/>
        <v>Q3 19</v>
      </c>
      <c r="AA390" s="51" t="str">
        <f t="shared" si="197"/>
        <v>Q4 19</v>
      </c>
      <c r="AB390" s="51">
        <f t="shared" si="197"/>
        <v>2019</v>
      </c>
      <c r="AC390" s="51" t="str">
        <f t="shared" si="197"/>
        <v>Q1 20</v>
      </c>
      <c r="AD390" s="51" t="str">
        <f t="shared" si="197"/>
        <v>Q2 20</v>
      </c>
      <c r="AE390" s="51" t="str">
        <f t="shared" si="197"/>
        <v>Q3 20</v>
      </c>
      <c r="AF390" s="51" t="str">
        <f t="shared" si="197"/>
        <v>Q4 20</v>
      </c>
      <c r="AG390" s="51">
        <f t="shared" si="197"/>
        <v>2020</v>
      </c>
      <c r="AH390" s="51" t="str">
        <f t="shared" si="197"/>
        <v>Q1 21</v>
      </c>
      <c r="AI390" s="51" t="str">
        <f t="shared" si="197"/>
        <v>Q2 21</v>
      </c>
      <c r="AJ390" s="51" t="str">
        <f t="shared" si="197"/>
        <v>Q3 21</v>
      </c>
      <c r="AK390" s="51" t="str">
        <f t="shared" si="197"/>
        <v>Q4 21</v>
      </c>
      <c r="AM390" s="51" t="str">
        <f>AM331</f>
        <v>Q1 22</v>
      </c>
      <c r="AN390" s="51" t="str">
        <f>AN331</f>
        <v>Q2 22</v>
      </c>
      <c r="AO390" s="51" t="str">
        <f>AO331</f>
        <v>Q3 22</v>
      </c>
      <c r="AP390" s="51" t="str">
        <f>AP331</f>
        <v>Q4 22</v>
      </c>
      <c r="AR390" s="51" t="str">
        <f>AR331</f>
        <v>Q1 23</v>
      </c>
      <c r="AS390" s="51" t="str">
        <f>AS331</f>
        <v>Q2 23</v>
      </c>
      <c r="AT390" s="51" t="str">
        <f>AT331</f>
        <v>Q3 23</v>
      </c>
      <c r="AU390" s="51" t="str">
        <f>AU331</f>
        <v>Q4 23</v>
      </c>
      <c r="AV390" s="79"/>
      <c r="AW390" s="51" t="str">
        <f>AW331</f>
        <v>Q1 24</v>
      </c>
      <c r="AX390" s="51" t="str">
        <f>AX331</f>
        <v>Q2 24</v>
      </c>
      <c r="AY390" s="51" t="str">
        <f>AY331</f>
        <v>Q3 24</v>
      </c>
      <c r="AZ390" s="51" t="str">
        <f>AZ331</f>
        <v>Q4 24e</v>
      </c>
      <c r="BA390" s="79"/>
      <c r="BB390" s="51"/>
      <c r="BC390" s="51"/>
      <c r="BD390" s="51"/>
      <c r="BE390" s="51"/>
      <c r="BF390" s="79"/>
    </row>
    <row r="391" spans="2:58" ht="15.75">
      <c r="B391" s="53" t="str">
        <f>B332</f>
        <v>CWC</v>
      </c>
      <c r="G391" s="630">
        <f>Quarts!C612</f>
        <v>2366</v>
      </c>
      <c r="H391" s="630">
        <f>Quarts!D612</f>
        <v>2605</v>
      </c>
      <c r="I391" s="630">
        <f>Quarts!E612</f>
        <v>2832</v>
      </c>
      <c r="J391" s="630">
        <f>Quarts!F612</f>
        <v>2865</v>
      </c>
      <c r="K391" s="630">
        <f>Quarts!G612</f>
        <v>2861</v>
      </c>
      <c r="L391" s="630">
        <f>Quarts!H612</f>
        <v>3258.3</v>
      </c>
      <c r="M391" s="630">
        <f>Quarts!I612</f>
        <v>0</v>
      </c>
      <c r="N391" s="630">
        <f>3593+20.8-271.2</f>
        <v>3342.6000000000004</v>
      </c>
      <c r="O391" s="630">
        <v>3337.1</v>
      </c>
      <c r="P391" s="630">
        <v>3373</v>
      </c>
      <c r="Q391" s="630">
        <v>3605.8</v>
      </c>
      <c r="R391" s="630">
        <v>3612.5</v>
      </c>
      <c r="S391" s="630">
        <v>3629.3</v>
      </c>
      <c r="T391" s="630">
        <v>3599.7</v>
      </c>
      <c r="U391" s="630"/>
      <c r="V391" s="630"/>
      <c r="AV391" s="53"/>
      <c r="BA391" s="53"/>
      <c r="BF391" s="53"/>
    </row>
    <row r="392" spans="2:58" ht="15.75">
      <c r="B392" s="50" t="str">
        <f>B333</f>
        <v>LiLAC</v>
      </c>
      <c r="G392" s="632">
        <f>Quarts!C613</f>
        <v>1890.6</v>
      </c>
      <c r="H392" s="632">
        <f>Quarts!D613</f>
        <v>1890.6</v>
      </c>
      <c r="I392" s="632">
        <f>Quarts!E613</f>
        <v>2001.6999999999998</v>
      </c>
      <c r="J392" s="632">
        <f>Quarts!F613</f>
        <v>1973.5</v>
      </c>
      <c r="K392" s="632">
        <f>Quarts!G613</f>
        <v>2072.2000000000003</v>
      </c>
      <c r="L392" s="632">
        <f>Quarts!H613</f>
        <v>2216.7999999999993</v>
      </c>
      <c r="M392" s="632">
        <f>Quarts!I613</f>
        <v>0</v>
      </c>
      <c r="N392" s="632">
        <f t="shared" ref="N392:T392" si="198">N393-N391</f>
        <v>2089.1999999999989</v>
      </c>
      <c r="O392" s="632">
        <v>0.22</v>
      </c>
      <c r="P392" s="632">
        <f t="shared" si="198"/>
        <v>2235.6000000000004</v>
      </c>
      <c r="Q392" s="632">
        <f t="shared" si="198"/>
        <v>2287.8000000000002</v>
      </c>
      <c r="R392" s="632">
        <f t="shared" si="198"/>
        <v>2374.1999999999998</v>
      </c>
      <c r="S392" s="632">
        <f t="shared" si="198"/>
        <v>2467.8999999999996</v>
      </c>
      <c r="T392" s="632">
        <f t="shared" si="198"/>
        <v>2392.5000000000009</v>
      </c>
      <c r="U392" s="632"/>
      <c r="V392" s="632"/>
      <c r="W392" s="3"/>
      <c r="X392" s="3"/>
      <c r="Y392" s="3"/>
      <c r="Z392" s="3"/>
      <c r="AA392" s="3"/>
      <c r="AB392" s="3"/>
      <c r="AC392" s="3"/>
      <c r="AD392" s="3"/>
      <c r="AE392" s="3"/>
      <c r="AF392" s="3"/>
      <c r="AH392" s="3"/>
      <c r="AI392" s="3"/>
      <c r="AJ392" s="3"/>
      <c r="AK392" s="3"/>
      <c r="AM392" s="3"/>
      <c r="AN392" s="3"/>
      <c r="AO392" s="3"/>
      <c r="AP392" s="3"/>
      <c r="AR392" s="3"/>
      <c r="AS392" s="3"/>
      <c r="AT392" s="3"/>
      <c r="AU392" s="3"/>
      <c r="AV392" s="53"/>
      <c r="AW392" s="3"/>
      <c r="AX392" s="3"/>
      <c r="AY392" s="3"/>
      <c r="AZ392" s="3"/>
      <c r="BA392" s="53"/>
      <c r="BB392" s="3"/>
      <c r="BC392" s="3"/>
      <c r="BD392" s="3"/>
      <c r="BE392" s="3"/>
      <c r="BF392" s="53"/>
    </row>
    <row r="393" spans="2:58" ht="15.75">
      <c r="B393" s="53" t="s">
        <v>90</v>
      </c>
      <c r="G393" s="630">
        <f>Quarts!C614</f>
        <v>4256.6000000000004</v>
      </c>
      <c r="H393" s="630">
        <f>Quarts!D614</f>
        <v>4495.6000000000004</v>
      </c>
      <c r="I393" s="630">
        <f>Quarts!E614</f>
        <v>4833.7</v>
      </c>
      <c r="J393" s="630">
        <f>Quarts!F614</f>
        <v>4838.5</v>
      </c>
      <c r="K393" s="630">
        <f>Quarts!G614</f>
        <v>4933.2000000000007</v>
      </c>
      <c r="L393" s="630">
        <f>Quarts!H614</f>
        <v>5475.0999999999995</v>
      </c>
      <c r="M393" s="630">
        <f>Quarts!I614</f>
        <v>5531.2</v>
      </c>
      <c r="N393" s="630">
        <f t="shared" ref="N393:V393" si="199">N399+N400-N401</f>
        <v>5431.7999999999993</v>
      </c>
      <c r="O393" s="630">
        <f t="shared" si="199"/>
        <v>5596.3</v>
      </c>
      <c r="P393" s="630">
        <f t="shared" si="199"/>
        <v>5608.6</v>
      </c>
      <c r="Q393" s="630">
        <f t="shared" si="199"/>
        <v>5893.6</v>
      </c>
      <c r="R393" s="630">
        <f t="shared" si="199"/>
        <v>5986.7</v>
      </c>
      <c r="S393" s="630">
        <f t="shared" si="199"/>
        <v>6097.2</v>
      </c>
      <c r="T393" s="630">
        <f t="shared" si="199"/>
        <v>5992.2000000000007</v>
      </c>
      <c r="U393" s="630">
        <f t="shared" si="199"/>
        <v>5908</v>
      </c>
      <c r="V393" s="630">
        <f t="shared" si="199"/>
        <v>6065.9</v>
      </c>
      <c r="W393" s="630"/>
      <c r="X393" s="630">
        <f>X399+X400-X401</f>
        <v>6154.8</v>
      </c>
      <c r="Y393" s="630">
        <f>Y399+Y400-Y401</f>
        <v>6216.1</v>
      </c>
      <c r="Z393" s="630">
        <f>Z399+Z400-Z401</f>
        <v>6210.7</v>
      </c>
      <c r="AA393" s="630">
        <f>Valuation!J75</f>
        <v>6059.9000000000005</v>
      </c>
      <c r="AB393" s="630"/>
      <c r="AC393" s="630">
        <f>AC399+AC400-AC401</f>
        <v>5931.5000000000009</v>
      </c>
      <c r="AD393" s="630">
        <f>AD399+AD400-AD401</f>
        <v>5859.5000000000009</v>
      </c>
      <c r="AE393" s="630">
        <f>AE399+AE400-AE401</f>
        <v>5656.8000000000011</v>
      </c>
      <c r="AF393" s="630">
        <f>AF399+AF400-AF401</f>
        <v>7601.7999999999993</v>
      </c>
      <c r="AG393" s="630">
        <f>Valuation!K13</f>
        <v>7781.4</v>
      </c>
      <c r="AH393" s="630"/>
      <c r="AI393" s="630"/>
      <c r="AJ393" s="630">
        <f>AJ399+AJ400-AJ401</f>
        <v>8097.2999999999993</v>
      </c>
      <c r="AK393" s="630"/>
      <c r="AM393" s="630"/>
      <c r="AN393" s="630">
        <f>AN399-AN400-AN401</f>
        <v>8021</v>
      </c>
      <c r="AO393" s="630">
        <f>AO399-AO400-AO401</f>
        <v>8233.0999999999985</v>
      </c>
      <c r="AP393" s="630">
        <f>AP399-AP400-AP401</f>
        <v>0</v>
      </c>
      <c r="AQ393" s="630"/>
      <c r="AR393" s="630">
        <f>AR399-AR400-AR401</f>
        <v>7337.9</v>
      </c>
      <c r="AS393" s="630">
        <f>AS399-AS400-AS401</f>
        <v>7401</v>
      </c>
      <c r="AT393" s="630">
        <f>AT399-AT400-AT401</f>
        <v>7408.2</v>
      </c>
      <c r="AU393" s="630">
        <f>Valuation!N13</f>
        <v>7251.1</v>
      </c>
      <c r="AV393" s="630"/>
      <c r="AW393" s="630">
        <v>7439.9</v>
      </c>
      <c r="AX393" s="630">
        <f>AX399-AX400-AX401</f>
        <v>7524.4</v>
      </c>
      <c r="AY393" s="630">
        <v>7609.9</v>
      </c>
      <c r="AZ393" s="630" t="s">
        <v>7821</v>
      </c>
      <c r="BA393" s="630"/>
      <c r="BB393" s="630"/>
      <c r="BC393" s="630"/>
      <c r="BD393" s="630"/>
      <c r="BE393" s="630"/>
      <c r="BF393" s="630"/>
    </row>
    <row r="394" spans="2:58" ht="15.75">
      <c r="B394" s="55" t="s">
        <v>6214</v>
      </c>
      <c r="G394" s="630"/>
      <c r="H394" s="630"/>
      <c r="I394" s="630"/>
      <c r="J394" s="630"/>
      <c r="K394" s="630"/>
      <c r="L394" s="630"/>
      <c r="M394" s="630"/>
      <c r="N394" s="630"/>
      <c r="O394" s="630"/>
      <c r="P394" s="630"/>
      <c r="Q394" s="630"/>
      <c r="R394" s="630"/>
      <c r="S394" s="630"/>
      <c r="T394" s="630"/>
      <c r="U394" s="630"/>
      <c r="V394" s="630"/>
      <c r="W394" s="630"/>
      <c r="X394" s="630"/>
      <c r="Y394" s="630"/>
      <c r="Z394" s="630"/>
      <c r="AA394" s="630"/>
      <c r="AB394" s="630"/>
      <c r="AC394" s="630"/>
      <c r="AD394" s="630"/>
      <c r="AE394" s="630"/>
      <c r="AF394" s="630"/>
      <c r="AG394" s="630"/>
      <c r="AH394" s="630"/>
      <c r="AI394" s="630"/>
      <c r="AJ394" s="630"/>
      <c r="AK394" s="630"/>
      <c r="AM394" s="630"/>
      <c r="AN394" s="630"/>
      <c r="AO394">
        <f>1421-63</f>
        <v>1358</v>
      </c>
      <c r="AR394" s="630"/>
      <c r="AS394" s="630"/>
      <c r="AT394" s="630"/>
      <c r="AU394" s="630"/>
      <c r="AV394" s="630"/>
      <c r="AW394" s="630">
        <f>AU393-AW387</f>
        <v>7400.8</v>
      </c>
      <c r="AX394" s="630"/>
      <c r="AY394" s="630"/>
      <c r="AZ394" s="630"/>
      <c r="BA394" s="630"/>
      <c r="BB394" s="630"/>
      <c r="BC394" s="630"/>
      <c r="BD394" s="630"/>
      <c r="BE394" s="630"/>
      <c r="BF394" s="630"/>
    </row>
    <row r="395" spans="2:58" ht="15.75">
      <c r="B395" s="53" t="s">
        <v>2756</v>
      </c>
      <c r="G395" s="630"/>
      <c r="H395" s="630"/>
      <c r="I395" s="630"/>
      <c r="J395" s="630"/>
      <c r="K395" s="630"/>
      <c r="L395" s="630"/>
      <c r="M395" s="630">
        <f t="shared" ref="M395:V395" si="200">L393-M393</f>
        <v>-56.100000000000364</v>
      </c>
      <c r="N395" s="630">
        <f t="shared" si="200"/>
        <v>99.400000000000546</v>
      </c>
      <c r="O395" s="630">
        <f t="shared" si="200"/>
        <v>-164.50000000000091</v>
      </c>
      <c r="P395" s="630">
        <f t="shared" si="200"/>
        <v>-12.300000000000182</v>
      </c>
      <c r="Q395" s="630">
        <f t="shared" si="200"/>
        <v>-285</v>
      </c>
      <c r="R395" s="630">
        <f t="shared" si="200"/>
        <v>-93.099999999999454</v>
      </c>
      <c r="S395" s="630">
        <f t="shared" si="200"/>
        <v>-110.5</v>
      </c>
      <c r="T395" s="630">
        <f t="shared" si="200"/>
        <v>104.99999999999909</v>
      </c>
      <c r="U395" s="630">
        <f t="shared" si="200"/>
        <v>84.200000000000728</v>
      </c>
      <c r="V395" s="630">
        <f t="shared" si="200"/>
        <v>-157.89999999999964</v>
      </c>
      <c r="X395" s="630">
        <f>X393-V393</f>
        <v>88.900000000000546</v>
      </c>
      <c r="Y395" s="630">
        <f>Y393-X393</f>
        <v>61.300000000000182</v>
      </c>
      <c r="Z395" s="630">
        <f>Z393-Y393</f>
        <v>-5.4000000000005457</v>
      </c>
      <c r="AA395" s="630">
        <f>AA393-Z393</f>
        <v>-150.79999999999927</v>
      </c>
      <c r="AC395" s="630">
        <f>AC393-AA393</f>
        <v>-128.39999999999964</v>
      </c>
      <c r="AD395" s="630">
        <f>AD393-AC393</f>
        <v>-72</v>
      </c>
      <c r="AE395" s="630">
        <f>AE393-AD393</f>
        <v>-202.69999999999982</v>
      </c>
      <c r="AF395" s="630">
        <f>AF393-AE393</f>
        <v>1944.9999999999982</v>
      </c>
      <c r="AH395" s="630"/>
      <c r="AI395" s="630"/>
      <c r="AJ395" s="630"/>
      <c r="AK395" s="630"/>
      <c r="AM395" s="630"/>
      <c r="AN395" s="630"/>
      <c r="AO395" s="630"/>
      <c r="AP395" s="630"/>
      <c r="AR395" s="630"/>
      <c r="AS395" s="630"/>
      <c r="AT395" s="630"/>
      <c r="AU395" s="630"/>
      <c r="AV395" s="630"/>
      <c r="AW395" s="630"/>
      <c r="AX395" s="630"/>
      <c r="AY395" s="630"/>
      <c r="AZ395" s="630"/>
      <c r="BA395" s="630"/>
      <c r="BB395" s="630"/>
      <c r="BC395" s="630"/>
      <c r="BD395" s="630"/>
      <c r="BE395" s="630"/>
      <c r="BF395" s="630"/>
    </row>
    <row r="396" spans="2:58" ht="15.75">
      <c r="B396" s="53" t="s">
        <v>2350</v>
      </c>
      <c r="G396" s="53"/>
      <c r="H396" s="53"/>
      <c r="I396" s="53"/>
      <c r="J396" s="53"/>
      <c r="K396" s="53"/>
      <c r="L396" s="639">
        <f>'LiLAC valuation'!O210</f>
        <v>4.1503183747725885</v>
      </c>
      <c r="M396" s="639">
        <f>'LiLAC valuation'!P210</f>
        <v>3.9508571428571426</v>
      </c>
      <c r="N396" s="639">
        <f>N393/(N236*4)</f>
        <v>3.6850746268656711</v>
      </c>
      <c r="O396" s="639">
        <f>O393/(O236*4)</f>
        <v>3.9533060186493363</v>
      </c>
      <c r="P396" s="639">
        <f>P393/(P236*4)</f>
        <v>3.884072022160665</v>
      </c>
      <c r="Q396" s="639">
        <f>Q393/(Q236*4)</f>
        <v>4.1041782729805014</v>
      </c>
      <c r="R396" s="639">
        <f>R393/(294.9*4)</f>
        <v>5.0751949813496102</v>
      </c>
      <c r="S396" s="639">
        <f>S393/(S236*4)</f>
        <v>4.4727112676056331</v>
      </c>
      <c r="T396" s="639">
        <f>T393/(T236*4)</f>
        <v>4.2389643463497464</v>
      </c>
      <c r="U396" s="639">
        <f>U393/((T236+U236)*2)</f>
        <v>4.181766704416761</v>
      </c>
      <c r="V396" s="639">
        <f>V393/((U236+V236)*2)</f>
        <v>4.2282866304196292</v>
      </c>
      <c r="X396" s="639">
        <f>X393/((V236+X236)*2)</f>
        <v>4.2150390357485277</v>
      </c>
      <c r="Y396" s="639">
        <f>Y393/((X236+Y236)*2)</f>
        <v>4.12865302869288</v>
      </c>
      <c r="Z396" s="639">
        <f>Z393/((Y236+Z236)*2)</f>
        <v>4.0502804225903217</v>
      </c>
      <c r="AA396" s="639">
        <f>AA393/((Z236+AA236)*2)</f>
        <v>3.9314259763851047</v>
      </c>
      <c r="AC396" s="639">
        <f>AC393/((AA236+AC236)*2)</f>
        <v>3.9286660484832434</v>
      </c>
      <c r="AD396" s="639">
        <f>AD393/((AC236+AD236)*2)</f>
        <v>4.2039747453006182</v>
      </c>
      <c r="AE396" s="639">
        <f>AE393/((AD236+AE236)*2)</f>
        <v>4.0802077322562038</v>
      </c>
      <c r="AF396" s="1094">
        <f>AF393/((AE236+56+AF236)*2)</f>
        <v>4.523803856224708</v>
      </c>
      <c r="AH396" s="639"/>
      <c r="AI396" s="639"/>
      <c r="AJ396" s="639"/>
      <c r="AK396" s="639"/>
      <c r="AM396" s="639"/>
      <c r="AN396" s="639"/>
      <c r="AO396" s="639"/>
      <c r="AP396" s="639"/>
      <c r="AR396" s="639"/>
      <c r="AS396" s="639"/>
      <c r="AT396" s="639"/>
      <c r="AU396" s="639"/>
      <c r="AV396" s="621"/>
      <c r="AW396" s="639"/>
      <c r="AX396" s="639"/>
      <c r="AY396" s="639"/>
      <c r="AZ396" s="639"/>
      <c r="BA396" s="621"/>
      <c r="BB396" s="639"/>
      <c r="BC396" s="639"/>
      <c r="BD396" s="639"/>
      <c r="BE396" s="639"/>
      <c r="BF396" s="621"/>
    </row>
    <row r="397" spans="2:58" ht="15.75">
      <c r="B397" s="53" t="s">
        <v>2527</v>
      </c>
      <c r="G397" s="53"/>
      <c r="H397" s="53"/>
      <c r="I397" s="53"/>
      <c r="J397" s="53"/>
      <c r="K397" s="53"/>
      <c r="L397" s="639"/>
      <c r="M397" s="639"/>
      <c r="N397" s="639">
        <f>N391/(N211*4)</f>
        <v>3.6975663716814164</v>
      </c>
      <c r="O397" s="621"/>
      <c r="P397" s="53"/>
      <c r="Q397" s="53"/>
      <c r="R397" s="53"/>
      <c r="S397" s="53"/>
      <c r="T397" s="53"/>
      <c r="U397" s="53"/>
      <c r="V397" s="53"/>
      <c r="W397" s="621"/>
      <c r="X397" s="621"/>
      <c r="Y397" s="621"/>
      <c r="Z397" s="621"/>
      <c r="AA397" s="621"/>
      <c r="AB397" s="621"/>
      <c r="AC397" s="621"/>
      <c r="AD397" s="621"/>
      <c r="AE397" s="621"/>
      <c r="AF397" s="621"/>
      <c r="AG397" s="621"/>
      <c r="AH397" s="621"/>
      <c r="AI397" s="621"/>
      <c r="AJ397" s="621"/>
      <c r="AK397" s="621"/>
      <c r="AM397" s="621"/>
      <c r="AN397" s="621"/>
      <c r="AO397" s="621"/>
      <c r="AP397" s="621"/>
      <c r="AR397" s="621"/>
      <c r="AS397" s="621"/>
      <c r="AT397" s="621"/>
      <c r="AU397" s="621"/>
      <c r="AV397" s="621"/>
      <c r="AW397" s="621"/>
      <c r="AX397" s="621"/>
      <c r="AY397" s="621"/>
      <c r="AZ397" s="621"/>
      <c r="BA397" s="621"/>
      <c r="BB397" s="621"/>
      <c r="BC397" s="621"/>
      <c r="BD397" s="621"/>
      <c r="BE397" s="621"/>
      <c r="BF397" s="621"/>
    </row>
    <row r="398" spans="2:58">
      <c r="O398" s="486"/>
      <c r="W398" s="486"/>
      <c r="X398" s="486"/>
      <c r="Y398" s="486"/>
      <c r="Z398" s="486"/>
      <c r="AA398" s="486"/>
    </row>
    <row r="399" spans="2:58" ht="15.75">
      <c r="B399" s="53" t="s">
        <v>164</v>
      </c>
      <c r="G399" s="630"/>
      <c r="H399" s="630"/>
      <c r="I399" s="630"/>
      <c r="J399" s="630"/>
      <c r="K399" s="630"/>
      <c r="L399" s="630"/>
      <c r="M399" s="630"/>
      <c r="N399" s="630">
        <v>5984.4</v>
      </c>
      <c r="O399" s="630">
        <f>5978.3+145.1</f>
        <v>6123.4000000000005</v>
      </c>
      <c r="P399" s="630">
        <f>6007.4+200.1</f>
        <v>6207.5</v>
      </c>
      <c r="Q399" s="630">
        <f>6084+254.1</f>
        <v>6338.1</v>
      </c>
      <c r="R399" s="630">
        <f>6108.2+263.2</f>
        <v>6371.4</v>
      </c>
      <c r="S399" s="630">
        <v>6440</v>
      </c>
      <c r="T399" s="630">
        <v>6674.1</v>
      </c>
      <c r="U399" s="630">
        <v>6648</v>
      </c>
      <c r="V399" s="630">
        <v>6724</v>
      </c>
      <c r="W399" s="630">
        <v>6708.5</v>
      </c>
      <c r="X399" s="630">
        <v>6723.6</v>
      </c>
      <c r="Y399" s="630">
        <v>7173.5</v>
      </c>
      <c r="Z399" s="630">
        <v>7214.8</v>
      </c>
      <c r="AA399" s="630"/>
      <c r="AC399" s="630">
        <v>8978.2000000000007</v>
      </c>
      <c r="AD399" s="630">
        <v>8983.2000000000007</v>
      </c>
      <c r="AE399" s="630">
        <v>8621.7000000000007</v>
      </c>
      <c r="AF399" s="630">
        <v>8514.2999999999993</v>
      </c>
      <c r="AH399" s="630"/>
      <c r="AI399" s="630"/>
      <c r="AJ399" s="630">
        <v>9168.2999999999993</v>
      </c>
      <c r="AK399" s="630"/>
      <c r="AM399" s="630"/>
      <c r="AN399" s="630">
        <v>9419</v>
      </c>
      <c r="AO399" s="630">
        <f>7943.9+1421.4</f>
        <v>9365.2999999999993</v>
      </c>
      <c r="AP399" s="630"/>
      <c r="AR399" s="630">
        <v>8009.7</v>
      </c>
      <c r="AS399" s="630">
        <v>8041.9</v>
      </c>
      <c r="AT399" s="630">
        <v>7987.8</v>
      </c>
      <c r="AU399" s="630"/>
      <c r="AW399" s="630"/>
      <c r="AX399" s="630">
        <v>8136</v>
      </c>
      <c r="AY399" s="630"/>
      <c r="AZ399" s="630"/>
      <c r="BB399" s="630"/>
      <c r="BC399" s="630"/>
      <c r="BD399" s="630"/>
      <c r="BE399" s="630"/>
    </row>
    <row r="400" spans="2:58" ht="15.75">
      <c r="B400" s="53" t="s">
        <v>3170</v>
      </c>
      <c r="G400" s="630"/>
      <c r="H400" s="630"/>
      <c r="I400" s="630"/>
      <c r="J400" s="630"/>
      <c r="K400" s="630"/>
      <c r="L400" s="630"/>
      <c r="M400" s="630"/>
      <c r="N400" s="630"/>
      <c r="O400" s="630"/>
      <c r="Q400" s="630">
        <v>86.5</v>
      </c>
      <c r="R400" s="630">
        <v>144.5</v>
      </c>
      <c r="S400" s="630">
        <v>167.8</v>
      </c>
      <c r="T400" s="630">
        <v>56.1</v>
      </c>
      <c r="U400" s="630">
        <v>45.1</v>
      </c>
      <c r="V400" s="630">
        <v>-27.1</v>
      </c>
      <c r="X400" s="630">
        <v>0</v>
      </c>
      <c r="Y400" s="630">
        <v>0</v>
      </c>
      <c r="Z400" s="630">
        <v>0</v>
      </c>
      <c r="AA400" s="630"/>
      <c r="AC400" s="630">
        <v>-175</v>
      </c>
      <c r="AD400" s="630">
        <v>0</v>
      </c>
      <c r="AE400" s="630">
        <v>0</v>
      </c>
      <c r="AF400" s="630">
        <v>0</v>
      </c>
      <c r="AH400" s="630"/>
      <c r="AI400" s="630"/>
      <c r="AJ400" s="630">
        <v>0</v>
      </c>
      <c r="AK400" s="630"/>
      <c r="AM400" s="630"/>
      <c r="AN400" s="630">
        <v>300</v>
      </c>
      <c r="AO400" s="630">
        <v>300</v>
      </c>
      <c r="AP400" s="630"/>
      <c r="AR400" s="630">
        <v>0</v>
      </c>
      <c r="AS400" s="630">
        <v>0</v>
      </c>
      <c r="AT400" s="630">
        <v>0</v>
      </c>
      <c r="AU400" s="630"/>
      <c r="AW400" s="630"/>
      <c r="AX400" s="630">
        <v>0</v>
      </c>
      <c r="AY400" s="630"/>
      <c r="AZ400" s="630"/>
      <c r="BB400" s="630"/>
      <c r="BC400" s="630"/>
      <c r="BD400" s="630"/>
      <c r="BE400" s="630"/>
    </row>
    <row r="401" spans="2:115" ht="15.75">
      <c r="B401" s="53" t="s">
        <v>707</v>
      </c>
      <c r="G401" s="630"/>
      <c r="H401" s="630"/>
      <c r="I401" s="630"/>
      <c r="J401" s="630"/>
      <c r="K401" s="630"/>
      <c r="L401" s="630"/>
      <c r="M401" s="630"/>
      <c r="N401" s="630">
        <v>552.6</v>
      </c>
      <c r="O401" s="630">
        <v>527.1</v>
      </c>
      <c r="P401" s="630">
        <v>598.9</v>
      </c>
      <c r="Q401" s="630">
        <v>531</v>
      </c>
      <c r="R401" s="630">
        <v>529.20000000000005</v>
      </c>
      <c r="S401" s="630">
        <v>510.6</v>
      </c>
      <c r="T401" s="630">
        <v>738</v>
      </c>
      <c r="U401" s="630">
        <f>525.1+260</f>
        <v>785.1</v>
      </c>
      <c r="V401" s="630">
        <v>631</v>
      </c>
      <c r="W401" s="630">
        <v>525.1</v>
      </c>
      <c r="X401" s="630">
        <v>568.79999999999995</v>
      </c>
      <c r="Y401" s="630">
        <v>957.4</v>
      </c>
      <c r="Z401" s="630">
        <v>1004.1</v>
      </c>
      <c r="AA401" s="630"/>
      <c r="AC401" s="630">
        <v>2871.7</v>
      </c>
      <c r="AD401" s="630">
        <v>3123.7</v>
      </c>
      <c r="AE401" s="630">
        <f>1611.9+1353</f>
        <v>2964.9</v>
      </c>
      <c r="AF401" s="630">
        <v>912.5</v>
      </c>
      <c r="AH401" s="630"/>
      <c r="AI401" s="630"/>
      <c r="AJ401" s="630">
        <v>1071</v>
      </c>
      <c r="AK401" s="630"/>
      <c r="AM401" s="630"/>
      <c r="AN401" s="630">
        <v>1098</v>
      </c>
      <c r="AO401" s="630">
        <f>769.2+63</f>
        <v>832.2</v>
      </c>
      <c r="AP401" s="630"/>
      <c r="AR401" s="630">
        <v>671.8</v>
      </c>
      <c r="AS401" s="630">
        <v>640.9</v>
      </c>
      <c r="AT401" s="630">
        <v>579.6</v>
      </c>
      <c r="AU401" s="630"/>
      <c r="AW401" s="630"/>
      <c r="AX401" s="630">
        <v>611.6</v>
      </c>
      <c r="AY401" s="630"/>
      <c r="AZ401" s="630"/>
      <c r="BB401" s="630"/>
      <c r="BC401" s="630"/>
      <c r="BD401" s="630"/>
      <c r="BE401" s="630"/>
    </row>
    <row r="402" spans="2:115" ht="15.75">
      <c r="B402" s="53"/>
      <c r="G402" s="630"/>
      <c r="H402" s="630"/>
      <c r="I402" s="630"/>
      <c r="J402" s="630"/>
      <c r="K402" s="630"/>
      <c r="L402" s="630"/>
      <c r="M402" s="630"/>
      <c r="N402" s="630"/>
      <c r="O402" s="630"/>
      <c r="P402" s="630"/>
      <c r="Q402" s="630"/>
      <c r="R402" s="630"/>
      <c r="S402" s="630"/>
      <c r="T402" s="630"/>
      <c r="U402" s="630"/>
      <c r="V402" s="630"/>
      <c r="W402" s="630"/>
      <c r="X402" s="630"/>
      <c r="Y402" s="630"/>
      <c r="Z402" s="630"/>
      <c r="AA402" s="630"/>
    </row>
    <row r="403" spans="2:115" ht="15.75">
      <c r="B403" s="53" t="s">
        <v>306</v>
      </c>
      <c r="G403" s="630"/>
      <c r="H403" s="630"/>
      <c r="I403" s="630"/>
      <c r="J403" s="630"/>
      <c r="K403" s="630"/>
      <c r="L403" s="630"/>
      <c r="M403" s="630"/>
      <c r="N403" s="630"/>
      <c r="O403" s="630"/>
      <c r="P403" s="630"/>
      <c r="Q403" s="630"/>
      <c r="R403" s="630"/>
      <c r="S403" s="630"/>
      <c r="T403" s="630"/>
      <c r="U403" s="630"/>
      <c r="V403" s="630"/>
      <c r="W403" s="630"/>
      <c r="X403" s="630"/>
      <c r="Y403" s="630"/>
      <c r="Z403" s="630"/>
      <c r="AA403" s="630"/>
    </row>
    <row r="404" spans="2:115" ht="15.75">
      <c r="B404" s="53" t="s">
        <v>3142</v>
      </c>
      <c r="G404" s="630"/>
      <c r="H404" s="630"/>
      <c r="I404" s="630"/>
      <c r="J404" s="630"/>
      <c r="K404" s="630"/>
      <c r="L404" s="630"/>
      <c r="M404" s="630"/>
      <c r="N404" s="630"/>
      <c r="O404" s="630"/>
      <c r="P404" s="630"/>
      <c r="Q404" s="630"/>
      <c r="R404" s="630"/>
      <c r="S404" s="630"/>
      <c r="T404" s="630"/>
      <c r="U404" s="630"/>
      <c r="V404" s="630"/>
      <c r="W404" s="630"/>
      <c r="X404" s="630"/>
      <c r="Y404" s="630"/>
      <c r="Z404" s="630"/>
      <c r="AA404" s="630"/>
      <c r="AK404" s="630">
        <v>49.011000000000003</v>
      </c>
      <c r="AM404" s="630">
        <v>44.887999999999998</v>
      </c>
      <c r="AN404" s="630">
        <v>44.363</v>
      </c>
      <c r="AO404" s="630"/>
      <c r="AP404" s="630"/>
      <c r="AR404" s="630"/>
      <c r="AS404" s="630"/>
      <c r="AT404" s="630"/>
      <c r="AU404" s="630"/>
      <c r="AW404" s="630"/>
      <c r="AX404" s="630"/>
      <c r="AY404" s="630"/>
      <c r="AZ404" s="630"/>
      <c r="BB404" s="630"/>
      <c r="BC404" s="630"/>
      <c r="BD404" s="630"/>
      <c r="BE404" s="630"/>
    </row>
    <row r="405" spans="2:115" ht="15.75">
      <c r="B405" s="53" t="s">
        <v>3144</v>
      </c>
      <c r="G405" s="630"/>
      <c r="H405" s="630"/>
      <c r="I405" s="630"/>
      <c r="J405" s="630"/>
      <c r="K405" s="630"/>
      <c r="L405" s="630"/>
      <c r="M405" s="630"/>
      <c r="N405" s="630"/>
      <c r="O405" s="630"/>
      <c r="P405" s="630"/>
      <c r="Q405" s="630"/>
      <c r="R405" s="630"/>
      <c r="S405" s="630"/>
      <c r="T405" s="630"/>
      <c r="U405" s="630"/>
      <c r="V405" s="630"/>
      <c r="W405" s="630"/>
      <c r="X405" s="630"/>
      <c r="Y405" s="630"/>
      <c r="Z405" s="630"/>
      <c r="AA405" s="630"/>
      <c r="AK405" s="630">
        <v>1.9319999999999999</v>
      </c>
      <c r="AM405" s="630">
        <v>1.93</v>
      </c>
      <c r="AN405" s="630">
        <v>2.0550000000000002</v>
      </c>
      <c r="AO405" s="630"/>
      <c r="AP405" s="630"/>
      <c r="AR405" s="630"/>
      <c r="AS405" s="630"/>
      <c r="AT405" s="630"/>
      <c r="AU405" s="630"/>
      <c r="AW405" s="630"/>
      <c r="AX405" s="630"/>
      <c r="AY405" s="630"/>
      <c r="AZ405" s="630"/>
      <c r="BB405" s="630"/>
      <c r="BC405" s="630"/>
      <c r="BD405" s="630"/>
      <c r="BE405" s="630"/>
    </row>
    <row r="406" spans="2:115" ht="15.75">
      <c r="B406" s="50" t="s">
        <v>3144</v>
      </c>
      <c r="C406" s="3"/>
      <c r="D406" s="3"/>
      <c r="E406" s="3"/>
      <c r="F406" s="3"/>
      <c r="G406" s="632"/>
      <c r="H406" s="632"/>
      <c r="I406" s="632"/>
      <c r="J406" s="632"/>
      <c r="K406" s="632"/>
      <c r="L406" s="632"/>
      <c r="M406" s="632"/>
      <c r="N406" s="632"/>
      <c r="O406" s="632"/>
      <c r="P406" s="632"/>
      <c r="Q406" s="632"/>
      <c r="R406" s="632"/>
      <c r="S406" s="632"/>
      <c r="T406" s="632"/>
      <c r="U406" s="632"/>
      <c r="V406" s="632"/>
      <c r="W406" s="632"/>
      <c r="X406" s="632"/>
      <c r="Y406" s="632"/>
      <c r="Z406" s="632"/>
      <c r="AA406" s="632"/>
      <c r="AB406" s="3"/>
      <c r="AC406" s="3"/>
      <c r="AD406" s="3"/>
      <c r="AE406" s="3"/>
      <c r="AF406" s="3"/>
      <c r="AG406" s="3"/>
      <c r="AH406" s="3"/>
      <c r="AI406" s="3"/>
      <c r="AJ406" s="3"/>
      <c r="AK406" s="632">
        <v>181.12899999999999</v>
      </c>
      <c r="AL406" s="3"/>
      <c r="AM406" s="632">
        <v>179.57599999999999</v>
      </c>
      <c r="AN406" s="632">
        <v>175.05893599999999</v>
      </c>
      <c r="AO406" s="630"/>
      <c r="AP406" s="630"/>
      <c r="AR406" s="632"/>
      <c r="AS406" s="632"/>
      <c r="AT406" s="632"/>
      <c r="AU406" s="632"/>
      <c r="AW406" s="632"/>
      <c r="AX406" s="632"/>
      <c r="AY406" s="632"/>
      <c r="AZ406" s="632"/>
      <c r="BB406" s="632"/>
      <c r="BC406" s="632"/>
      <c r="BD406" s="632"/>
      <c r="BE406" s="632"/>
    </row>
    <row r="407" spans="2:115" ht="15.75">
      <c r="B407" s="53" t="s">
        <v>16</v>
      </c>
      <c r="G407" s="630"/>
      <c r="H407" s="630"/>
      <c r="I407" s="630"/>
      <c r="J407" s="630"/>
      <c r="K407" s="630"/>
      <c r="L407" s="630"/>
      <c r="M407" s="630"/>
      <c r="N407" s="630"/>
      <c r="O407" s="630"/>
      <c r="P407" s="630"/>
      <c r="Q407" s="630"/>
      <c r="R407" s="630"/>
      <c r="S407" s="630"/>
      <c r="T407" s="630"/>
      <c r="U407" s="630"/>
      <c r="V407" s="630"/>
      <c r="W407" s="630"/>
      <c r="X407" s="630"/>
      <c r="Y407" s="630"/>
      <c r="Z407" s="630"/>
      <c r="AA407" s="630"/>
      <c r="AK407" s="630">
        <f>SUM(AK404:AK406)</f>
        <v>232.072</v>
      </c>
      <c r="AM407" s="630">
        <f>SUM(AM404:AM406)</f>
        <v>226.39400000000001</v>
      </c>
      <c r="AN407" s="630">
        <f>SUM(AN404:AN406)</f>
        <v>221.47693599999999</v>
      </c>
      <c r="AO407" s="630"/>
      <c r="AP407" s="630"/>
      <c r="AR407" s="630"/>
      <c r="AS407" s="630"/>
      <c r="AT407" s="630"/>
      <c r="AU407" s="630"/>
      <c r="AW407" s="630"/>
      <c r="AX407" s="630"/>
      <c r="AY407" s="630"/>
      <c r="AZ407" s="630"/>
      <c r="BB407" s="630"/>
      <c r="BC407" s="630"/>
      <c r="BD407" s="630"/>
      <c r="BE407" s="630"/>
    </row>
    <row r="408" spans="2:115">
      <c r="Z408" t="s">
        <v>72</v>
      </c>
    </row>
    <row r="409" spans="2:115" ht="15.75">
      <c r="B409" s="684" t="s">
        <v>2304</v>
      </c>
      <c r="C409" s="53"/>
      <c r="D409" s="53"/>
      <c r="E409" s="53"/>
      <c r="F409" s="53"/>
      <c r="G409" s="53"/>
      <c r="H409" s="53"/>
      <c r="AL409" s="684" t="s">
        <v>363</v>
      </c>
      <c r="AM409" s="53"/>
      <c r="AN409" s="53"/>
      <c r="AO409" s="53" t="s">
        <v>2510</v>
      </c>
      <c r="AP409" s="53" t="s">
        <v>2511</v>
      </c>
      <c r="AQ409" s="53" t="s">
        <v>2510</v>
      </c>
      <c r="AR409" s="53"/>
      <c r="AS409" s="53"/>
      <c r="AT409" s="53"/>
      <c r="AU409" s="53"/>
      <c r="AV409" s="53"/>
      <c r="AW409" s="53"/>
      <c r="AX409" s="53"/>
      <c r="AY409" s="53"/>
      <c r="AZ409" s="53"/>
      <c r="BA409" s="53"/>
      <c r="BB409" s="53"/>
      <c r="BC409" s="53"/>
      <c r="BD409" s="53"/>
      <c r="BE409" s="53"/>
      <c r="BF409" s="53"/>
      <c r="BG409" s="53"/>
      <c r="BH409" s="53"/>
      <c r="BI409" s="53"/>
      <c r="BJ409" s="53"/>
      <c r="BK409" s="53"/>
      <c r="BL409" s="53"/>
      <c r="BM409" s="53" t="s">
        <v>2510</v>
      </c>
      <c r="BN409" s="53" t="s">
        <v>2511</v>
      </c>
      <c r="BO409" s="53" t="s">
        <v>2510</v>
      </c>
      <c r="BP409" s="53"/>
      <c r="BQ409" s="53"/>
      <c r="BR409" s="53"/>
      <c r="BS409" s="53"/>
      <c r="BT409" s="53" t="s">
        <v>2510</v>
      </c>
      <c r="BU409" s="53" t="s">
        <v>2511</v>
      </c>
      <c r="BV409" s="53" t="s">
        <v>2510</v>
      </c>
      <c r="BW409" s="53" t="s">
        <v>2511</v>
      </c>
      <c r="BX409" s="53" t="s">
        <v>2510</v>
      </c>
      <c r="BY409" s="53" t="s">
        <v>2511</v>
      </c>
      <c r="BZ409" s="53" t="s">
        <v>2510</v>
      </c>
      <c r="CA409" s="53" t="s">
        <v>2511</v>
      </c>
      <c r="CB409" s="53" t="s">
        <v>2510</v>
      </c>
      <c r="CC409" s="53" t="s">
        <v>2510</v>
      </c>
      <c r="CD409" s="53" t="s">
        <v>2511</v>
      </c>
      <c r="CE409" s="53" t="s">
        <v>2510</v>
      </c>
      <c r="CF409" s="53" t="s">
        <v>2511</v>
      </c>
      <c r="CG409" s="53" t="s">
        <v>2510</v>
      </c>
      <c r="CH409" s="53" t="s">
        <v>2511</v>
      </c>
      <c r="CI409" s="53"/>
      <c r="CJ409" s="53" t="s">
        <v>2510</v>
      </c>
      <c r="CK409" s="53" t="s">
        <v>2511</v>
      </c>
      <c r="CL409" s="53" t="s">
        <v>2510</v>
      </c>
      <c r="CM409" s="53" t="s">
        <v>2511</v>
      </c>
      <c r="CN409" s="53" t="s">
        <v>2510</v>
      </c>
      <c r="CO409" s="53" t="s">
        <v>2510</v>
      </c>
      <c r="CP409" s="53" t="s">
        <v>2511</v>
      </c>
      <c r="CQ409" s="53" t="s">
        <v>2510</v>
      </c>
      <c r="CR409" s="53" t="s">
        <v>2511</v>
      </c>
      <c r="CS409" s="53" t="s">
        <v>2510</v>
      </c>
      <c r="CT409" s="53" t="s">
        <v>2510</v>
      </c>
      <c r="CU409" s="53" t="s">
        <v>2510</v>
      </c>
      <c r="CV409" s="53" t="s">
        <v>2510</v>
      </c>
      <c r="CW409" s="53" t="s">
        <v>2510</v>
      </c>
      <c r="CX409" s="53" t="s">
        <v>2510</v>
      </c>
      <c r="CZ409" s="53" t="s">
        <v>2510</v>
      </c>
      <c r="DA409" s="53" t="s">
        <v>2511</v>
      </c>
      <c r="DB409" s="53" t="s">
        <v>2510</v>
      </c>
      <c r="DC409" s="53" t="s">
        <v>2511</v>
      </c>
      <c r="DD409" s="53" t="s">
        <v>2510</v>
      </c>
      <c r="DE409" s="53" t="s">
        <v>2511</v>
      </c>
      <c r="DF409" s="53" t="s">
        <v>2510</v>
      </c>
      <c r="DG409" s="53" t="s">
        <v>2511</v>
      </c>
      <c r="DH409" s="53" t="s">
        <v>2510</v>
      </c>
      <c r="DI409" s="53" t="s">
        <v>2511</v>
      </c>
      <c r="DJ409" s="53" t="s">
        <v>2510</v>
      </c>
    </row>
    <row r="410" spans="2:115" ht="15.75">
      <c r="B410" s="50" t="s">
        <v>29</v>
      </c>
      <c r="C410" s="51" t="s">
        <v>1636</v>
      </c>
      <c r="D410" s="51" t="s">
        <v>2092</v>
      </c>
      <c r="E410" s="51" t="s">
        <v>1559</v>
      </c>
      <c r="F410" s="51" t="s">
        <v>1560</v>
      </c>
      <c r="G410" s="51" t="s">
        <v>2570</v>
      </c>
      <c r="H410" s="51" t="s">
        <v>2866</v>
      </c>
      <c r="I410" s="51" t="s">
        <v>3156</v>
      </c>
      <c r="J410" s="51" t="s">
        <v>3165</v>
      </c>
      <c r="K410" s="51" t="s">
        <v>3482</v>
      </c>
      <c r="L410" s="51" t="s">
        <v>3779</v>
      </c>
      <c r="M410" s="51" t="s">
        <v>3859</v>
      </c>
      <c r="N410" s="51" t="s">
        <v>3860</v>
      </c>
      <c r="O410" s="51" t="s">
        <v>4078</v>
      </c>
      <c r="P410" s="51" t="s">
        <v>4356</v>
      </c>
      <c r="Q410" s="51" t="s">
        <v>4427</v>
      </c>
      <c r="R410" s="51" t="s">
        <v>4535</v>
      </c>
      <c r="S410" s="51" t="s">
        <v>4755</v>
      </c>
      <c r="T410" s="51" t="s">
        <v>4922</v>
      </c>
      <c r="U410" s="51" t="s">
        <v>5188</v>
      </c>
      <c r="V410" s="51" t="s">
        <v>5371</v>
      </c>
      <c r="W410" s="51" t="s">
        <v>5556</v>
      </c>
      <c r="X410" s="51" t="s">
        <v>5696</v>
      </c>
      <c r="Y410" s="51" t="s">
        <v>5878</v>
      </c>
      <c r="Z410" s="51" t="s">
        <v>5920</v>
      </c>
      <c r="AA410" s="51" t="s">
        <v>5949</v>
      </c>
      <c r="AB410" s="51" t="s">
        <v>5950</v>
      </c>
      <c r="AC410" s="51" t="s">
        <v>5951</v>
      </c>
      <c r="AD410" s="51" t="s">
        <v>5952</v>
      </c>
      <c r="AE410" s="51" t="s">
        <v>6525</v>
      </c>
      <c r="AF410" s="51" t="s">
        <v>6526</v>
      </c>
      <c r="AG410" s="51" t="s">
        <v>6527</v>
      </c>
      <c r="AH410" s="51" t="s">
        <v>6528</v>
      </c>
      <c r="AI410" s="51" t="s">
        <v>7121</v>
      </c>
      <c r="AL410" s="50" t="str">
        <f>B410</f>
        <v>CWC</v>
      </c>
      <c r="AM410" s="51" t="str">
        <f>C410</f>
        <v>Q1 16</v>
      </c>
      <c r="AN410" s="51" t="str">
        <f>D410</f>
        <v>Q2 16</v>
      </c>
      <c r="AO410" s="51" t="str">
        <f>E410</f>
        <v>Q3 16</v>
      </c>
      <c r="AP410" s="51" t="str">
        <f>AO410</f>
        <v>Q3 16</v>
      </c>
      <c r="AQ410" s="51" t="s">
        <v>1560</v>
      </c>
      <c r="AR410" s="51"/>
      <c r="AS410" s="51"/>
      <c r="AT410" s="51"/>
      <c r="AU410" s="51"/>
      <c r="AV410" s="51"/>
      <c r="AW410" s="51"/>
      <c r="AX410" s="51"/>
      <c r="AY410" s="51"/>
      <c r="AZ410" s="51"/>
      <c r="BA410" s="51"/>
      <c r="BB410" s="51"/>
      <c r="BC410" s="51"/>
      <c r="BD410" s="51"/>
      <c r="BE410" s="51"/>
      <c r="BF410" s="51"/>
      <c r="BG410" s="51"/>
      <c r="BH410" s="51"/>
      <c r="BI410" s="51"/>
      <c r="BJ410" s="51"/>
      <c r="BK410" s="51"/>
      <c r="BL410" s="51"/>
      <c r="BM410" s="51" t="s">
        <v>2866</v>
      </c>
      <c r="BN410" s="51" t="s">
        <v>2866</v>
      </c>
      <c r="BO410" s="51" t="s">
        <v>3156</v>
      </c>
      <c r="BP410" s="51"/>
      <c r="BQ410" s="51"/>
      <c r="BR410" s="51"/>
      <c r="BS410" s="51"/>
      <c r="BT410" s="51" t="s">
        <v>3156</v>
      </c>
      <c r="BU410" s="51" t="s">
        <v>3156</v>
      </c>
      <c r="BV410" s="51" t="s">
        <v>3165</v>
      </c>
      <c r="BW410" s="51" t="s">
        <v>3165</v>
      </c>
      <c r="BX410" s="51" t="s">
        <v>3482</v>
      </c>
      <c r="BY410" s="51" t="s">
        <v>3482</v>
      </c>
      <c r="BZ410" s="51" t="s">
        <v>3779</v>
      </c>
      <c r="CA410" s="51" t="s">
        <v>3779</v>
      </c>
      <c r="CB410" s="51" t="s">
        <v>3859</v>
      </c>
      <c r="CC410" s="51" t="s">
        <v>3860</v>
      </c>
      <c r="CD410" s="51" t="s">
        <v>3860</v>
      </c>
      <c r="CE410" s="51" t="s">
        <v>4078</v>
      </c>
      <c r="CF410" s="51" t="s">
        <v>4078</v>
      </c>
      <c r="CG410" s="51" t="s">
        <v>4356</v>
      </c>
      <c r="CH410" s="51" t="s">
        <v>4356</v>
      </c>
      <c r="CI410" s="51"/>
      <c r="CJ410" s="51" t="s">
        <v>4427</v>
      </c>
      <c r="CK410" s="51" t="s">
        <v>4427</v>
      </c>
      <c r="CL410" s="51" t="s">
        <v>4535</v>
      </c>
      <c r="CM410" s="51" t="s">
        <v>4535</v>
      </c>
      <c r="CN410" s="51" t="s">
        <v>4755</v>
      </c>
      <c r="CO410" s="51" t="s">
        <v>4922</v>
      </c>
      <c r="CP410" s="51" t="s">
        <v>4922</v>
      </c>
      <c r="CQ410" s="51" t="s">
        <v>5188</v>
      </c>
      <c r="CR410" s="51" t="s">
        <v>5188</v>
      </c>
      <c r="CS410" s="51" t="s">
        <v>5371</v>
      </c>
      <c r="CT410" s="51" t="s">
        <v>5556</v>
      </c>
      <c r="CU410" s="51" t="s">
        <v>5696</v>
      </c>
      <c r="CV410" s="51" t="s">
        <v>5878</v>
      </c>
      <c r="CW410" s="51" t="s">
        <v>5920</v>
      </c>
      <c r="CX410" s="51" t="s">
        <v>5949</v>
      </c>
      <c r="CY410" s="51" t="s">
        <v>5950</v>
      </c>
      <c r="CZ410" s="51" t="s">
        <v>5951</v>
      </c>
      <c r="DA410" s="51" t="s">
        <v>5951</v>
      </c>
      <c r="DB410" s="51" t="s">
        <v>5952</v>
      </c>
      <c r="DC410" s="51" t="s">
        <v>5952</v>
      </c>
      <c r="DD410" s="51" t="s">
        <v>6525</v>
      </c>
      <c r="DE410" s="51" t="s">
        <v>6525</v>
      </c>
      <c r="DF410" s="51" t="s">
        <v>6526</v>
      </c>
      <c r="DG410" s="51" t="s">
        <v>6526</v>
      </c>
      <c r="DH410" s="51" t="s">
        <v>6527</v>
      </c>
      <c r="DI410" s="51" t="s">
        <v>6527</v>
      </c>
      <c r="DJ410" s="51" t="s">
        <v>6528</v>
      </c>
      <c r="DK410" s="51" t="s">
        <v>7121</v>
      </c>
    </row>
    <row r="411" spans="2:115" ht="15.75">
      <c r="B411" s="78" t="s">
        <v>0</v>
      </c>
      <c r="C411" s="53"/>
      <c r="D411" s="53"/>
      <c r="E411" s="53"/>
      <c r="F411" s="53"/>
      <c r="G411" s="53"/>
      <c r="H411" s="53"/>
      <c r="AL411" s="78" t="str">
        <f>B411</f>
        <v>Panama</v>
      </c>
      <c r="AM411" s="53"/>
      <c r="AN411" s="53"/>
      <c r="AO411" s="53"/>
      <c r="AP411" s="53"/>
      <c r="AQ411" s="53"/>
      <c r="AR411" s="53"/>
      <c r="AT411" s="53"/>
      <c r="AU411" s="53"/>
      <c r="AV411" s="53"/>
      <c r="AW411" s="53"/>
      <c r="AX411" s="53"/>
      <c r="AY411" s="53"/>
      <c r="AZ411" s="53"/>
      <c r="BA411" s="53"/>
      <c r="BB411" s="53"/>
      <c r="BC411" s="53"/>
      <c r="BD411" s="53"/>
      <c r="BE411" s="53"/>
      <c r="BF411" s="53"/>
      <c r="BG411" s="53"/>
    </row>
    <row r="412" spans="2:115" ht="15.75">
      <c r="B412" s="53" t="s">
        <v>557</v>
      </c>
      <c r="C412" s="53"/>
      <c r="D412" s="53">
        <v>415.7</v>
      </c>
      <c r="E412" s="53">
        <v>415.7</v>
      </c>
      <c r="F412" s="53">
        <v>527.79999999999995</v>
      </c>
      <c r="G412" s="53">
        <v>527.79999999999995</v>
      </c>
      <c r="H412" s="53">
        <v>528.4</v>
      </c>
      <c r="I412" s="53">
        <v>535.1</v>
      </c>
      <c r="J412" s="53">
        <v>541.5</v>
      </c>
      <c r="K412" s="53">
        <v>545.9</v>
      </c>
      <c r="L412" s="53">
        <v>545.9</v>
      </c>
      <c r="M412" s="53">
        <v>545.9</v>
      </c>
      <c r="N412" s="621">
        <v>546</v>
      </c>
      <c r="O412" s="53">
        <v>550.1</v>
      </c>
      <c r="P412" s="53">
        <v>574</v>
      </c>
      <c r="Q412" s="53">
        <v>591.79999999999995</v>
      </c>
      <c r="R412" s="53">
        <v>617.1</v>
      </c>
      <c r="S412" s="53">
        <v>642.29999999999995</v>
      </c>
      <c r="T412" s="53">
        <v>654.5</v>
      </c>
      <c r="U412" s="53">
        <v>678.4</v>
      </c>
      <c r="V412" s="53">
        <v>687.9</v>
      </c>
      <c r="W412" s="53">
        <v>704.1</v>
      </c>
      <c r="X412" s="53">
        <v>730.9</v>
      </c>
      <c r="Y412" s="53">
        <v>761.3</v>
      </c>
      <c r="Z412" s="53">
        <v>774.3</v>
      </c>
      <c r="AA412" s="53">
        <v>791.4</v>
      </c>
      <c r="AB412" s="53">
        <v>805.5</v>
      </c>
      <c r="AC412" s="53">
        <v>824.3</v>
      </c>
      <c r="AD412" s="53">
        <v>829.2</v>
      </c>
      <c r="AE412" s="53">
        <v>838.5</v>
      </c>
      <c r="AF412" s="53">
        <v>848.9</v>
      </c>
      <c r="AG412" s="53">
        <v>943.6</v>
      </c>
      <c r="AH412" s="53">
        <v>953.6</v>
      </c>
      <c r="AL412" s="53" t="str">
        <f>B412</f>
        <v>Homes passed</v>
      </c>
      <c r="AM412" s="53"/>
      <c r="AN412" s="53"/>
      <c r="AO412" s="53">
        <f>E412-D412</f>
        <v>0</v>
      </c>
      <c r="AP412" s="53"/>
      <c r="AQ412" s="53">
        <f>F412-E412</f>
        <v>112.09999999999997</v>
      </c>
      <c r="AR412" s="53"/>
      <c r="AS412" s="53"/>
      <c r="AT412" s="53"/>
      <c r="AU412" s="53"/>
      <c r="AV412" s="53"/>
      <c r="AW412" s="53"/>
      <c r="AX412" s="53"/>
      <c r="AY412" s="53"/>
      <c r="AZ412" s="53"/>
      <c r="BA412" s="53"/>
      <c r="BB412" s="53"/>
      <c r="BC412" s="53"/>
      <c r="BD412" s="53"/>
      <c r="BE412" s="53"/>
      <c r="BF412" s="53"/>
      <c r="BG412" s="53"/>
      <c r="BH412" s="53"/>
      <c r="BI412" s="53"/>
      <c r="BJ412" s="53"/>
      <c r="BK412" s="53"/>
      <c r="BL412" s="53"/>
      <c r="BM412" s="53">
        <f>H412-G412</f>
        <v>0.60000000000002274</v>
      </c>
      <c r="BN412" s="53">
        <f>BM412</f>
        <v>0.60000000000002274</v>
      </c>
      <c r="BO412" s="53">
        <f>I412-H412</f>
        <v>6.7000000000000455</v>
      </c>
      <c r="BP412" s="53"/>
      <c r="BQ412" s="53"/>
      <c r="BR412" s="53"/>
      <c r="BS412" s="53"/>
      <c r="BT412" s="53">
        <f>J412-I412</f>
        <v>6.3999999999999773</v>
      </c>
      <c r="BU412" s="53"/>
      <c r="BV412" s="53">
        <f>J412-I412</f>
        <v>6.3999999999999773</v>
      </c>
      <c r="BX412" s="53">
        <f>K412-J412</f>
        <v>4.3999999999999773</v>
      </c>
      <c r="BZ412" s="53">
        <f>L412-K412</f>
        <v>0</v>
      </c>
      <c r="CA412" s="53"/>
      <c r="CB412" s="53">
        <f t="shared" ref="CB412:CC415" si="201">M412-L412</f>
        <v>0</v>
      </c>
      <c r="CC412" s="53">
        <f t="shared" si="201"/>
        <v>0.10000000000002274</v>
      </c>
      <c r="CE412" s="621">
        <f>O412-N412</f>
        <v>4.1000000000000227</v>
      </c>
      <c r="CG412" s="621">
        <f>P412-O412</f>
        <v>23.899999999999977</v>
      </c>
      <c r="CJ412" s="621">
        <f>Q412-P412</f>
        <v>17.799999999999955</v>
      </c>
      <c r="CL412" s="621">
        <f>R412-Q412</f>
        <v>25.300000000000068</v>
      </c>
      <c r="CN412" s="621">
        <f t="shared" ref="CN412:CO415" si="202">S412-R412</f>
        <v>25.199999999999932</v>
      </c>
      <c r="CO412" s="621">
        <f t="shared" si="202"/>
        <v>12.200000000000045</v>
      </c>
      <c r="CQ412" s="621">
        <f>U412-T412</f>
        <v>23.899999999999977</v>
      </c>
      <c r="CS412" s="621">
        <f t="shared" ref="CS412:CZ415" si="203">V412-U412</f>
        <v>9.5</v>
      </c>
      <c r="CT412" s="621">
        <f t="shared" si="203"/>
        <v>16.200000000000045</v>
      </c>
      <c r="CU412" s="621">
        <f t="shared" si="203"/>
        <v>26.799999999999955</v>
      </c>
      <c r="CV412" s="621">
        <f t="shared" si="203"/>
        <v>30.399999999999977</v>
      </c>
      <c r="CW412" s="621">
        <f t="shared" si="203"/>
        <v>13</v>
      </c>
      <c r="CX412" s="621">
        <f t="shared" si="203"/>
        <v>17.100000000000023</v>
      </c>
      <c r="CY412" s="621">
        <f t="shared" si="203"/>
        <v>14.100000000000023</v>
      </c>
      <c r="CZ412" s="621">
        <f t="shared" si="203"/>
        <v>18.799999999999955</v>
      </c>
      <c r="DA412" s="1069">
        <f>CZ412</f>
        <v>18.799999999999955</v>
      </c>
      <c r="DB412" s="621">
        <f>AD412-AC412</f>
        <v>4.9000000000000909</v>
      </c>
      <c r="DC412" s="62">
        <f t="shared" ref="DC412:DC415" si="204">DB412</f>
        <v>4.9000000000000909</v>
      </c>
      <c r="DD412" s="621">
        <f>AE412-AD412</f>
        <v>9.2999999999999545</v>
      </c>
      <c r="DE412" s="62">
        <f>DD412</f>
        <v>9.2999999999999545</v>
      </c>
      <c r="DF412" s="621">
        <f>AF412-AE412</f>
        <v>10.399999999999977</v>
      </c>
      <c r="DG412" s="62">
        <f>DF412</f>
        <v>10.399999999999977</v>
      </c>
      <c r="DH412" s="621">
        <f>AG412-AF412</f>
        <v>94.700000000000045</v>
      </c>
      <c r="DI412" s="62">
        <f>DH412</f>
        <v>94.700000000000045</v>
      </c>
      <c r="DJ412" s="621">
        <f t="shared" ref="DJ412:DK415" si="205">AH412-AG412</f>
        <v>10</v>
      </c>
      <c r="DK412" s="621">
        <f t="shared" si="205"/>
        <v>-953.6</v>
      </c>
    </row>
    <row r="413" spans="2:115" ht="15.75">
      <c r="B413" s="53" t="s">
        <v>2302</v>
      </c>
      <c r="C413" s="53"/>
      <c r="D413" s="53">
        <v>240.2</v>
      </c>
      <c r="E413" s="53">
        <v>240.2</v>
      </c>
      <c r="F413" s="53">
        <v>416.3</v>
      </c>
      <c r="G413" s="53">
        <v>453.2</v>
      </c>
      <c r="H413" s="53">
        <v>472.1</v>
      </c>
      <c r="I413" s="53">
        <v>510.2</v>
      </c>
      <c r="J413" s="53">
        <v>541.5</v>
      </c>
      <c r="K413" s="53">
        <v>545.9</v>
      </c>
      <c r="L413" s="53">
        <v>545.9</v>
      </c>
      <c r="M413" s="53">
        <v>545.9</v>
      </c>
      <c r="N413" s="621">
        <v>546</v>
      </c>
      <c r="O413" s="53">
        <v>550.1</v>
      </c>
      <c r="P413" s="53">
        <v>574</v>
      </c>
      <c r="Q413" s="53">
        <v>591.79999999999995</v>
      </c>
      <c r="R413" s="53">
        <v>617.1</v>
      </c>
      <c r="S413" s="53">
        <v>642.29999999999995</v>
      </c>
      <c r="T413" s="53">
        <v>654.5</v>
      </c>
      <c r="U413" s="53">
        <v>678.4</v>
      </c>
      <c r="V413" s="53">
        <v>687.9</v>
      </c>
      <c r="W413" s="53">
        <v>704.1</v>
      </c>
      <c r="X413" s="53">
        <v>730.9</v>
      </c>
      <c r="Y413" s="53">
        <v>761.3</v>
      </c>
      <c r="Z413" s="53">
        <v>774.3</v>
      </c>
      <c r="AA413" s="53">
        <f>AA412</f>
        <v>791.4</v>
      </c>
      <c r="AB413" s="53">
        <f>AB412</f>
        <v>805.5</v>
      </c>
      <c r="AC413" s="53">
        <f>AC412</f>
        <v>824.3</v>
      </c>
      <c r="AD413" s="53">
        <v>829.2</v>
      </c>
      <c r="AE413" s="53">
        <v>838.5</v>
      </c>
      <c r="AF413" s="53">
        <v>848.9</v>
      </c>
      <c r="AG413" s="53">
        <v>943.6</v>
      </c>
      <c r="AH413" s="53">
        <v>953.6</v>
      </c>
      <c r="AL413" s="53" t="str">
        <f>B413</f>
        <v>2-way homes passed</v>
      </c>
      <c r="AM413" s="53"/>
      <c r="AN413" s="53"/>
      <c r="AO413" s="53">
        <f>E413-D413</f>
        <v>0</v>
      </c>
      <c r="AP413" s="53"/>
      <c r="AQ413" s="53">
        <f>F413-E413</f>
        <v>176.10000000000002</v>
      </c>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f>H413-G413</f>
        <v>18.900000000000034</v>
      </c>
      <c r="BN413" s="53">
        <f>BM413</f>
        <v>18.900000000000034</v>
      </c>
      <c r="BO413" s="53">
        <f>I413-H413</f>
        <v>38.099999999999966</v>
      </c>
      <c r="BP413" s="53"/>
      <c r="BQ413" s="53"/>
      <c r="BR413" s="53"/>
      <c r="BS413" s="53"/>
      <c r="BT413" s="53">
        <f>J413-I413</f>
        <v>31.300000000000011</v>
      </c>
      <c r="BU413" s="53"/>
      <c r="BV413" s="53">
        <f>J413-I413</f>
        <v>31.300000000000011</v>
      </c>
      <c r="BX413" s="53">
        <f>K413-J413</f>
        <v>4.3999999999999773</v>
      </c>
      <c r="BZ413" s="53">
        <f>L413-K413</f>
        <v>0</v>
      </c>
      <c r="CA413" s="53"/>
      <c r="CB413" s="53">
        <f t="shared" si="201"/>
        <v>0</v>
      </c>
      <c r="CC413" s="53">
        <f t="shared" si="201"/>
        <v>0.10000000000002274</v>
      </c>
      <c r="CE413" s="621">
        <f>O413-N413</f>
        <v>4.1000000000000227</v>
      </c>
      <c r="CG413" s="621">
        <f>P413-O413</f>
        <v>23.899999999999977</v>
      </c>
      <c r="CJ413" s="621">
        <f>Q413-P413</f>
        <v>17.799999999999955</v>
      </c>
      <c r="CL413" s="621">
        <f>R413-Q413</f>
        <v>25.300000000000068</v>
      </c>
      <c r="CN413" s="621">
        <f t="shared" si="202"/>
        <v>25.199999999999932</v>
      </c>
      <c r="CO413" s="621">
        <f t="shared" si="202"/>
        <v>12.200000000000045</v>
      </c>
      <c r="CQ413" s="621">
        <f>U413-T413</f>
        <v>23.899999999999977</v>
      </c>
      <c r="CS413" s="621">
        <f t="shared" si="203"/>
        <v>9.5</v>
      </c>
      <c r="CT413" s="621">
        <f t="shared" si="203"/>
        <v>16.200000000000045</v>
      </c>
      <c r="CU413" s="621">
        <f t="shared" si="203"/>
        <v>26.799999999999955</v>
      </c>
      <c r="CV413" s="621">
        <f t="shared" si="203"/>
        <v>30.399999999999977</v>
      </c>
      <c r="CW413" s="621">
        <f t="shared" si="203"/>
        <v>13</v>
      </c>
      <c r="CX413" s="621">
        <f t="shared" si="203"/>
        <v>17.100000000000023</v>
      </c>
      <c r="CY413" s="621">
        <f t="shared" si="203"/>
        <v>14.100000000000023</v>
      </c>
      <c r="CZ413" s="621">
        <f t="shared" si="203"/>
        <v>18.799999999999955</v>
      </c>
      <c r="DA413" s="1069">
        <f>CZ413</f>
        <v>18.799999999999955</v>
      </c>
      <c r="DB413" s="621">
        <f>AD413-AC413</f>
        <v>4.9000000000000909</v>
      </c>
      <c r="DC413" s="62">
        <f t="shared" si="204"/>
        <v>4.9000000000000909</v>
      </c>
      <c r="DD413" s="621">
        <f>AE413-AD413</f>
        <v>9.2999999999999545</v>
      </c>
      <c r="DE413" s="62">
        <f>DD413</f>
        <v>9.2999999999999545</v>
      </c>
      <c r="DF413" s="621">
        <f>AF413-AE413</f>
        <v>10.399999999999977</v>
      </c>
      <c r="DG413" s="62">
        <f t="shared" ref="DG413:DG415" si="206">DF413</f>
        <v>10.399999999999977</v>
      </c>
      <c r="DH413" s="621">
        <f>AG413-AF413</f>
        <v>94.700000000000045</v>
      </c>
      <c r="DI413" s="62">
        <f>DH413</f>
        <v>94.700000000000045</v>
      </c>
      <c r="DJ413" s="621">
        <f t="shared" si="205"/>
        <v>10</v>
      </c>
      <c r="DK413" s="621">
        <f t="shared" si="205"/>
        <v>-953.6</v>
      </c>
    </row>
    <row r="414" spans="2:115" ht="15.75">
      <c r="B414" s="53" t="s">
        <v>2303</v>
      </c>
      <c r="C414" s="53"/>
      <c r="D414" s="53">
        <v>391.8</v>
      </c>
      <c r="E414" s="53">
        <v>396.1</v>
      </c>
      <c r="F414" s="621">
        <v>336</v>
      </c>
      <c r="G414" s="53">
        <v>343.3</v>
      </c>
      <c r="H414" s="53">
        <v>187.6</v>
      </c>
      <c r="I414" s="53">
        <v>186.6</v>
      </c>
      <c r="J414" s="53">
        <v>179.2</v>
      </c>
      <c r="K414" s="53">
        <v>176.2</v>
      </c>
      <c r="L414" s="53">
        <v>176.2</v>
      </c>
      <c r="M414" s="53">
        <v>175.4</v>
      </c>
      <c r="N414" s="53">
        <v>175.8</v>
      </c>
      <c r="O414" s="53">
        <v>179.9</v>
      </c>
      <c r="P414" s="53">
        <v>182.8</v>
      </c>
      <c r="Q414" s="53">
        <v>186.4</v>
      </c>
      <c r="R414" s="53">
        <v>189.4</v>
      </c>
      <c r="S414" s="53">
        <v>194.8</v>
      </c>
      <c r="T414" s="53">
        <v>173.4</v>
      </c>
      <c r="U414" s="53">
        <v>190.4</v>
      </c>
      <c r="V414" s="53">
        <v>184.7</v>
      </c>
      <c r="W414" s="53">
        <v>188.6</v>
      </c>
      <c r="X414" s="53">
        <v>188</v>
      </c>
      <c r="Y414" s="53">
        <v>197.4</v>
      </c>
      <c r="Z414" s="53">
        <v>200.2</v>
      </c>
      <c r="AA414" s="53">
        <v>207.5</v>
      </c>
      <c r="AB414" s="53">
        <v>209.6</v>
      </c>
      <c r="AC414" s="53">
        <v>252.1</v>
      </c>
      <c r="AD414" s="53">
        <v>251.7</v>
      </c>
      <c r="AE414" s="53">
        <v>251.5</v>
      </c>
      <c r="AF414" s="53">
        <v>257.3</v>
      </c>
      <c r="AG414" s="53">
        <v>256.3</v>
      </c>
      <c r="AH414" s="53">
        <v>260.39999999999998</v>
      </c>
      <c r="AL414" s="53" t="str">
        <f>B414</f>
        <v>Customer relationships</v>
      </c>
      <c r="AM414" s="53"/>
      <c r="AN414" s="53">
        <v>3.1</v>
      </c>
      <c r="AO414" s="53">
        <f>E414-D414</f>
        <v>4.3000000000000114</v>
      </c>
      <c r="AP414" s="53"/>
      <c r="AQ414" s="53">
        <f>F414-E414</f>
        <v>-60.100000000000023</v>
      </c>
      <c r="AR414" s="53"/>
      <c r="AS414" s="621"/>
      <c r="AT414" s="53"/>
      <c r="AU414" s="53"/>
      <c r="AV414" s="53"/>
      <c r="AW414" s="53"/>
      <c r="AX414" s="53"/>
      <c r="AY414" s="53"/>
      <c r="AZ414" s="53"/>
      <c r="BA414" s="53"/>
      <c r="BB414" s="53"/>
      <c r="BC414" s="53"/>
      <c r="BD414" s="53"/>
      <c r="BE414" s="53"/>
      <c r="BF414" s="53"/>
      <c r="BG414" s="53"/>
      <c r="BH414" s="621"/>
      <c r="BI414" s="621"/>
      <c r="BJ414" s="621"/>
      <c r="BK414" s="621"/>
      <c r="BL414" s="53"/>
      <c r="BM414" s="53">
        <f>H414-G414</f>
        <v>-155.70000000000002</v>
      </c>
      <c r="BN414" s="621">
        <f>BM414+160.9</f>
        <v>5.1999999999999886</v>
      </c>
      <c r="BO414" s="53">
        <f>I414-H414</f>
        <v>-1</v>
      </c>
      <c r="BP414" s="53"/>
      <c r="BQ414" s="53"/>
      <c r="BR414" s="53"/>
      <c r="BS414" s="621"/>
      <c r="BT414" s="53">
        <f>J414-I414</f>
        <v>-7.4000000000000057</v>
      </c>
      <c r="BU414" s="621"/>
      <c r="BV414" s="53">
        <f>J414-I414</f>
        <v>-7.4000000000000057</v>
      </c>
      <c r="BX414" s="53">
        <f>K414-J414</f>
        <v>-3</v>
      </c>
      <c r="BZ414" s="53">
        <f>L414-K414</f>
        <v>0</v>
      </c>
      <c r="CA414" s="53"/>
      <c r="CB414" s="53">
        <f t="shared" si="201"/>
        <v>-0.79999999999998295</v>
      </c>
      <c r="CC414" s="53">
        <f t="shared" si="201"/>
        <v>0.40000000000000568</v>
      </c>
      <c r="CE414" s="53">
        <f>O414-N414</f>
        <v>4.0999999999999943</v>
      </c>
      <c r="CG414" s="621">
        <f>P414-O414</f>
        <v>2.9000000000000057</v>
      </c>
      <c r="CJ414" s="621">
        <f>Q414-P414</f>
        <v>3.5999999999999943</v>
      </c>
      <c r="CL414" s="621">
        <f>R414-Q414</f>
        <v>3</v>
      </c>
      <c r="CN414" s="621">
        <f t="shared" si="202"/>
        <v>5.4000000000000057</v>
      </c>
      <c r="CO414" s="621">
        <f t="shared" si="202"/>
        <v>-21.400000000000006</v>
      </c>
      <c r="CQ414" s="621">
        <f>U414-T414</f>
        <v>17</v>
      </c>
      <c r="CS414" s="621">
        <f t="shared" si="203"/>
        <v>-5.7000000000000171</v>
      </c>
      <c r="CT414" s="621">
        <f t="shared" si="203"/>
        <v>3.9000000000000057</v>
      </c>
      <c r="CU414" s="621">
        <f t="shared" si="203"/>
        <v>-0.59999999999999432</v>
      </c>
      <c r="CV414" s="621">
        <f t="shared" si="203"/>
        <v>9.4000000000000057</v>
      </c>
      <c r="CW414" s="621">
        <f t="shared" si="203"/>
        <v>2.7999999999999829</v>
      </c>
      <c r="CX414" s="621">
        <f t="shared" si="203"/>
        <v>7.3000000000000114</v>
      </c>
      <c r="CY414" s="621">
        <f t="shared" si="203"/>
        <v>2.0999999999999943</v>
      </c>
      <c r="CZ414" s="621">
        <f t="shared" si="203"/>
        <v>42.5</v>
      </c>
      <c r="DA414" s="1069">
        <f>CZ414-38</f>
        <v>4.5</v>
      </c>
      <c r="DB414" s="621">
        <f>AD414-AC414</f>
        <v>-0.40000000000000568</v>
      </c>
      <c r="DC414" s="62">
        <f t="shared" si="204"/>
        <v>-0.40000000000000568</v>
      </c>
      <c r="DD414" s="621">
        <f>AE414-AD414</f>
        <v>-0.19999999999998863</v>
      </c>
      <c r="DE414" s="62">
        <f>DD414+3.4</f>
        <v>3.2000000000000113</v>
      </c>
      <c r="DF414" s="621">
        <f>AF414-AE414</f>
        <v>5.8000000000000114</v>
      </c>
      <c r="DG414" s="62">
        <f t="shared" si="206"/>
        <v>5.8000000000000114</v>
      </c>
      <c r="DH414" s="621">
        <f>AG414-AF414</f>
        <v>-1</v>
      </c>
      <c r="DI414" s="62">
        <f>DH414</f>
        <v>-1</v>
      </c>
      <c r="DJ414" s="621">
        <f t="shared" si="205"/>
        <v>4.0999999999999659</v>
      </c>
      <c r="DK414" s="621">
        <f t="shared" si="205"/>
        <v>-260.39999999999998</v>
      </c>
    </row>
    <row r="415" spans="2:115" ht="15.75">
      <c r="B415" s="53" t="s">
        <v>571</v>
      </c>
      <c r="C415" s="53"/>
      <c r="D415" s="53">
        <f t="shared" ref="D415:AI415" si="207">SUM(D417:D419)</f>
        <v>518.20000000000005</v>
      </c>
      <c r="E415" s="53">
        <f t="shared" si="207"/>
        <v>520.6</v>
      </c>
      <c r="F415" s="53">
        <f t="shared" si="207"/>
        <v>453.4</v>
      </c>
      <c r="G415" s="53">
        <f t="shared" si="207"/>
        <v>458.59999999999997</v>
      </c>
      <c r="H415" s="53">
        <f t="shared" si="207"/>
        <v>307.2</v>
      </c>
      <c r="I415" s="53">
        <f t="shared" si="207"/>
        <v>311.79999999999995</v>
      </c>
      <c r="J415" s="53">
        <f t="shared" si="207"/>
        <v>307.3</v>
      </c>
      <c r="K415" s="53">
        <f t="shared" si="207"/>
        <v>308.59999999999997</v>
      </c>
      <c r="L415" s="53">
        <f t="shared" si="207"/>
        <v>314.3</v>
      </c>
      <c r="M415" s="53">
        <f t="shared" si="207"/>
        <v>316.7</v>
      </c>
      <c r="N415" s="53">
        <f t="shared" si="207"/>
        <v>322.3</v>
      </c>
      <c r="O415" s="53">
        <f t="shared" si="207"/>
        <v>337.5</v>
      </c>
      <c r="P415" s="53">
        <f t="shared" si="207"/>
        <v>351.3</v>
      </c>
      <c r="Q415" s="53">
        <f t="shared" si="207"/>
        <v>373.3</v>
      </c>
      <c r="R415" s="53">
        <f t="shared" si="207"/>
        <v>386.6</v>
      </c>
      <c r="S415" s="53">
        <f t="shared" si="207"/>
        <v>400.3</v>
      </c>
      <c r="T415" s="53">
        <f t="shared" si="207"/>
        <v>355.20000000000005</v>
      </c>
      <c r="U415" s="53">
        <f t="shared" si="207"/>
        <v>399.8</v>
      </c>
      <c r="V415" s="53">
        <f t="shared" si="207"/>
        <v>405.5</v>
      </c>
      <c r="W415" s="53">
        <f t="shared" si="207"/>
        <v>415.5</v>
      </c>
      <c r="X415" s="53">
        <f t="shared" si="207"/>
        <v>424.3</v>
      </c>
      <c r="Y415" s="53">
        <f t="shared" si="207"/>
        <v>454.2</v>
      </c>
      <c r="Z415" s="53">
        <f t="shared" si="207"/>
        <v>462.9</v>
      </c>
      <c r="AA415" s="53">
        <f t="shared" si="207"/>
        <v>490.7</v>
      </c>
      <c r="AB415" s="53">
        <f t="shared" si="207"/>
        <v>503.5</v>
      </c>
      <c r="AC415" s="53">
        <f t="shared" si="207"/>
        <v>555.70000000000005</v>
      </c>
      <c r="AD415" s="53">
        <f t="shared" si="207"/>
        <v>566.6</v>
      </c>
      <c r="AE415" s="53">
        <f t="shared" si="207"/>
        <v>576.70000000000005</v>
      </c>
      <c r="AF415" s="53">
        <f t="shared" si="207"/>
        <v>593.20000000000005</v>
      </c>
      <c r="AG415" s="53">
        <f t="shared" si="207"/>
        <v>605.5</v>
      </c>
      <c r="AH415" s="53">
        <f t="shared" si="207"/>
        <v>620.5</v>
      </c>
      <c r="AI415" s="53">
        <f t="shared" si="207"/>
        <v>0</v>
      </c>
      <c r="AL415" s="53" t="str">
        <f>B415</f>
        <v>Fixed RGUs</v>
      </c>
      <c r="AM415" s="53"/>
      <c r="AN415" s="53">
        <f>SUM(AN417:AN419)</f>
        <v>4.3</v>
      </c>
      <c r="AO415" s="53">
        <f>E415-D415</f>
        <v>2.3999999999999773</v>
      </c>
      <c r="AP415" s="53"/>
      <c r="AQ415" s="53">
        <f>F415-E415</f>
        <v>-67.200000000000045</v>
      </c>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f>H415-G415</f>
        <v>-151.39999999999998</v>
      </c>
      <c r="BN415" s="621">
        <f>BM415+160.9</f>
        <v>9.5000000000000284</v>
      </c>
      <c r="BO415" s="53">
        <f>I415-H415</f>
        <v>4.5999999999999659</v>
      </c>
      <c r="BP415" s="53"/>
      <c r="BQ415" s="53"/>
      <c r="BR415" s="53"/>
      <c r="BS415" s="621"/>
      <c r="BT415" s="53">
        <f>J415-I415</f>
        <v>-4.4999999999999432</v>
      </c>
      <c r="BU415" s="53"/>
      <c r="BV415" s="53">
        <f>J415-I415</f>
        <v>-4.4999999999999432</v>
      </c>
      <c r="BX415" s="53">
        <f>K415-J415</f>
        <v>1.2999999999999545</v>
      </c>
      <c r="BZ415" s="53">
        <f>L415-K415</f>
        <v>5.7000000000000455</v>
      </c>
      <c r="CA415" s="53"/>
      <c r="CB415" s="53">
        <f t="shared" si="201"/>
        <v>2.3999999999999773</v>
      </c>
      <c r="CC415" s="53">
        <f t="shared" si="201"/>
        <v>5.6000000000000227</v>
      </c>
      <c r="CE415" s="53">
        <f>O415-N415</f>
        <v>15.199999999999989</v>
      </c>
      <c r="CG415" s="621">
        <f>P415-O415</f>
        <v>13.800000000000011</v>
      </c>
      <c r="CJ415" s="621">
        <f>Q415-P415</f>
        <v>22</v>
      </c>
      <c r="CL415" s="621">
        <f>R415-Q415</f>
        <v>13.300000000000011</v>
      </c>
      <c r="CN415" s="621">
        <f t="shared" si="202"/>
        <v>13.699999999999989</v>
      </c>
      <c r="CO415" s="621">
        <f t="shared" si="202"/>
        <v>-45.099999999999966</v>
      </c>
      <c r="CQ415" s="621">
        <f>U415-T415</f>
        <v>44.599999999999966</v>
      </c>
      <c r="CS415" s="621">
        <f t="shared" si="203"/>
        <v>5.6999999999999886</v>
      </c>
      <c r="CT415" s="621">
        <f t="shared" si="203"/>
        <v>10</v>
      </c>
      <c r="CU415" s="621">
        <f t="shared" si="203"/>
        <v>8.8000000000000114</v>
      </c>
      <c r="CV415" s="621">
        <f t="shared" si="203"/>
        <v>29.899999999999977</v>
      </c>
      <c r="CW415" s="621">
        <f t="shared" si="203"/>
        <v>8.6999999999999886</v>
      </c>
      <c r="CX415" s="621">
        <f t="shared" si="203"/>
        <v>27.800000000000011</v>
      </c>
      <c r="CY415" s="621">
        <f t="shared" si="203"/>
        <v>12.800000000000011</v>
      </c>
      <c r="CZ415" s="621">
        <f t="shared" si="203"/>
        <v>52.200000000000045</v>
      </c>
      <c r="DA415" s="62">
        <f>SUM(DA417:DA419)</f>
        <v>14.199999999999989</v>
      </c>
      <c r="DB415" s="621">
        <f>AD415-AC415</f>
        <v>10.899999999999977</v>
      </c>
      <c r="DC415" s="62">
        <f t="shared" si="204"/>
        <v>10.899999999999977</v>
      </c>
      <c r="DD415" s="621">
        <f>AE415-AD415</f>
        <v>10.100000000000023</v>
      </c>
      <c r="DE415" s="62">
        <f>DD415</f>
        <v>10.100000000000023</v>
      </c>
      <c r="DF415" s="621">
        <f>AF415-AE415</f>
        <v>16.5</v>
      </c>
      <c r="DG415" s="62">
        <f t="shared" si="206"/>
        <v>16.5</v>
      </c>
      <c r="DH415" s="621">
        <f>AG415-AF415</f>
        <v>12.299999999999955</v>
      </c>
      <c r="DI415" s="62">
        <f>DH415</f>
        <v>12.299999999999955</v>
      </c>
      <c r="DJ415" s="621">
        <f t="shared" si="205"/>
        <v>15</v>
      </c>
      <c r="DK415" s="621">
        <f t="shared" si="205"/>
        <v>-620.5</v>
      </c>
    </row>
    <row r="416" spans="2:115" ht="15.75">
      <c r="B416" s="53" t="s">
        <v>2242</v>
      </c>
      <c r="C416" s="53"/>
      <c r="D416" s="685">
        <f>D415/D414</f>
        <v>1.3226135783563042</v>
      </c>
      <c r="E416" s="685">
        <f>E415/E414</f>
        <v>1.3143145670285281</v>
      </c>
      <c r="F416" s="685">
        <f>F415/F414</f>
        <v>1.3494047619047618</v>
      </c>
      <c r="G416" s="685">
        <f>G415/G414</f>
        <v>1.3358578502767258</v>
      </c>
      <c r="H416" s="53"/>
      <c r="I416" s="53"/>
      <c r="AL416" s="53"/>
      <c r="AM416" s="53"/>
      <c r="AN416" s="53"/>
      <c r="AO416" s="53"/>
      <c r="AP416" s="53"/>
      <c r="AQ416" s="53"/>
      <c r="AR416" s="53"/>
      <c r="AT416" s="53"/>
      <c r="AU416" s="53"/>
      <c r="AV416" s="53"/>
      <c r="AW416" s="53"/>
      <c r="AX416" s="53"/>
      <c r="AY416" s="53"/>
      <c r="AZ416" s="53"/>
      <c r="BA416" s="53"/>
      <c r="BB416" s="53"/>
      <c r="BC416" s="53"/>
      <c r="BD416" s="53"/>
      <c r="BE416" s="53"/>
      <c r="BF416" s="53"/>
      <c r="BG416" s="53"/>
    </row>
    <row r="417" spans="2:115" ht="15.75">
      <c r="B417" s="53" t="s">
        <v>1568</v>
      </c>
      <c r="C417" s="53"/>
      <c r="D417" s="53">
        <v>91</v>
      </c>
      <c r="E417" s="53">
        <v>94.5</v>
      </c>
      <c r="F417" s="53">
        <v>82.5</v>
      </c>
      <c r="G417" s="53">
        <v>85</v>
      </c>
      <c r="H417" s="53">
        <v>81.400000000000006</v>
      </c>
      <c r="I417" s="53">
        <v>79.599999999999994</v>
      </c>
      <c r="J417" s="53">
        <v>77.599999999999994</v>
      </c>
      <c r="K417" s="53">
        <v>77.8</v>
      </c>
      <c r="L417" s="53">
        <v>79.3</v>
      </c>
      <c r="M417" s="53">
        <v>81.7</v>
      </c>
      <c r="N417" s="53">
        <v>86.4</v>
      </c>
      <c r="O417" s="53">
        <v>91</v>
      </c>
      <c r="P417" s="53">
        <v>94.6</v>
      </c>
      <c r="Q417" s="53">
        <v>101.6</v>
      </c>
      <c r="R417" s="53">
        <v>106.9</v>
      </c>
      <c r="S417" s="53">
        <v>108.9</v>
      </c>
      <c r="T417" s="53">
        <v>90.9</v>
      </c>
      <c r="U417" s="53">
        <v>98.4</v>
      </c>
      <c r="V417" s="53">
        <v>89.9</v>
      </c>
      <c r="W417" s="53">
        <v>91.3</v>
      </c>
      <c r="X417" s="53">
        <v>93.5</v>
      </c>
      <c r="Y417" s="53">
        <v>103.2</v>
      </c>
      <c r="Z417" s="53">
        <v>108.2</v>
      </c>
      <c r="AA417" s="53">
        <v>115.4</v>
      </c>
      <c r="AB417" s="53">
        <v>120.9</v>
      </c>
      <c r="AC417" s="53">
        <v>158.69999999999999</v>
      </c>
      <c r="AD417" s="53">
        <v>159.30000000000001</v>
      </c>
      <c r="AE417" s="53">
        <v>159.5</v>
      </c>
      <c r="AF417" s="53">
        <v>161.9</v>
      </c>
      <c r="AG417" s="53">
        <v>163.80000000000001</v>
      </c>
      <c r="AH417" s="53">
        <v>166.9</v>
      </c>
      <c r="AL417" s="53" t="str">
        <f>B417</f>
        <v>Video</v>
      </c>
      <c r="AM417" s="53"/>
      <c r="AN417" s="53">
        <v>2.9</v>
      </c>
      <c r="AO417" s="53">
        <f>E417-D417</f>
        <v>3.5</v>
      </c>
      <c r="AP417" s="53"/>
      <c r="AQ417" s="53">
        <f>F417-E417</f>
        <v>-12</v>
      </c>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f>H417-G417</f>
        <v>-3.5999999999999943</v>
      </c>
      <c r="BN417" s="53">
        <f>BM417+9.2</f>
        <v>5.600000000000005</v>
      </c>
      <c r="BO417" s="53">
        <f>I417-H417</f>
        <v>-1.8000000000000114</v>
      </c>
      <c r="BP417" s="53"/>
      <c r="BQ417" s="53"/>
      <c r="BR417" s="53"/>
      <c r="BS417" s="53"/>
      <c r="BT417" s="53">
        <f>J417-I417</f>
        <v>-2</v>
      </c>
      <c r="BU417" s="53"/>
      <c r="BV417" s="53">
        <f>J417-I417</f>
        <v>-2</v>
      </c>
      <c r="BX417" s="53">
        <f>K417-J417</f>
        <v>0.20000000000000284</v>
      </c>
      <c r="BZ417" s="53">
        <f>L417-K417</f>
        <v>1.5</v>
      </c>
      <c r="CA417" s="53"/>
      <c r="CB417" s="53">
        <f t="shared" ref="CB417:CC420" si="208">M417-L417</f>
        <v>2.4000000000000057</v>
      </c>
      <c r="CC417" s="53">
        <f t="shared" si="208"/>
        <v>4.7000000000000028</v>
      </c>
      <c r="CE417" s="53">
        <f>O417-N417</f>
        <v>4.5999999999999943</v>
      </c>
      <c r="CG417" s="621">
        <f>P417-O417</f>
        <v>3.5999999999999943</v>
      </c>
      <c r="CJ417" s="621">
        <f>Q417-P417</f>
        <v>7</v>
      </c>
      <c r="CL417" s="621">
        <f>R417-Q417</f>
        <v>5.3000000000000114</v>
      </c>
      <c r="CN417" s="621">
        <f t="shared" ref="CN417:CO420" si="209">S417-R417</f>
        <v>2</v>
      </c>
      <c r="CO417" s="621">
        <f t="shared" si="209"/>
        <v>-18</v>
      </c>
      <c r="CQ417" s="621">
        <f>U417-T417</f>
        <v>7.5</v>
      </c>
      <c r="CS417" s="621">
        <f t="shared" ref="CS417:CZ420" si="210">V417-U417</f>
        <v>-8.5</v>
      </c>
      <c r="CT417" s="621">
        <f t="shared" si="210"/>
        <v>1.3999999999999915</v>
      </c>
      <c r="CU417" s="621">
        <f t="shared" si="210"/>
        <v>2.2000000000000028</v>
      </c>
      <c r="CV417" s="621">
        <f t="shared" si="210"/>
        <v>9.7000000000000028</v>
      </c>
      <c r="CW417" s="621">
        <f t="shared" si="210"/>
        <v>5</v>
      </c>
      <c r="CX417" s="621">
        <f t="shared" si="210"/>
        <v>7.2000000000000028</v>
      </c>
      <c r="CY417" s="621">
        <f t="shared" si="210"/>
        <v>5.5</v>
      </c>
      <c r="CZ417" s="621">
        <f t="shared" si="210"/>
        <v>37.799999999999983</v>
      </c>
      <c r="DA417" s="62">
        <f>CZ417-35.1</f>
        <v>2.6999999999999815</v>
      </c>
      <c r="DB417" s="621">
        <f>AD417-AC417</f>
        <v>0.60000000000002274</v>
      </c>
      <c r="DC417" s="62">
        <f t="shared" ref="DC417:DC420" si="211">DB417</f>
        <v>0.60000000000002274</v>
      </c>
      <c r="DD417" s="621">
        <f>AE417-AD417</f>
        <v>0.19999999999998863</v>
      </c>
      <c r="DE417" s="62">
        <f>DD417+2.7</f>
        <v>2.8999999999999888</v>
      </c>
      <c r="DF417" s="621">
        <f>AF417-AE417</f>
        <v>2.4000000000000057</v>
      </c>
      <c r="DG417" s="62">
        <f>DF417</f>
        <v>2.4000000000000057</v>
      </c>
      <c r="DH417" s="621">
        <f>AG417-AF417</f>
        <v>1.9000000000000057</v>
      </c>
      <c r="DI417" s="62">
        <f>DH417</f>
        <v>1.9000000000000057</v>
      </c>
      <c r="DJ417" s="621">
        <f t="shared" ref="DJ417:DK420" si="212">AH417-AG417</f>
        <v>3.0999999999999943</v>
      </c>
      <c r="DK417" s="621">
        <f t="shared" si="212"/>
        <v>-166.9</v>
      </c>
    </row>
    <row r="418" spans="2:115" ht="15.75">
      <c r="B418" s="53" t="s">
        <v>1567</v>
      </c>
      <c r="C418" s="53"/>
      <c r="D418" s="53">
        <v>124.8</v>
      </c>
      <c r="E418" s="53">
        <v>124.6</v>
      </c>
      <c r="F418" s="53">
        <v>95.7</v>
      </c>
      <c r="G418" s="53">
        <v>97.7</v>
      </c>
      <c r="H418" s="53">
        <v>101.3</v>
      </c>
      <c r="I418" s="53">
        <v>105.1</v>
      </c>
      <c r="J418" s="53">
        <v>104.5</v>
      </c>
      <c r="K418" s="53">
        <v>106.1</v>
      </c>
      <c r="L418" s="53">
        <v>109.7</v>
      </c>
      <c r="M418" s="53">
        <v>111.3</v>
      </c>
      <c r="N418" s="621">
        <v>112</v>
      </c>
      <c r="O418" s="53">
        <v>117.9</v>
      </c>
      <c r="P418" s="53">
        <v>123.2</v>
      </c>
      <c r="Q418" s="53">
        <v>130.9</v>
      </c>
      <c r="R418" s="621">
        <v>135</v>
      </c>
      <c r="S418" s="53">
        <v>141.30000000000001</v>
      </c>
      <c r="T418" s="53">
        <v>129.5</v>
      </c>
      <c r="U418" s="53">
        <v>148.5</v>
      </c>
      <c r="V418" s="53">
        <v>155.9</v>
      </c>
      <c r="W418" s="53">
        <v>161</v>
      </c>
      <c r="X418" s="53">
        <v>164.8</v>
      </c>
      <c r="Y418" s="53">
        <v>175.3</v>
      </c>
      <c r="Z418" s="53">
        <v>179.3</v>
      </c>
      <c r="AA418" s="53">
        <v>188.5</v>
      </c>
      <c r="AB418" s="53">
        <v>192.9</v>
      </c>
      <c r="AC418" s="53">
        <v>202.2</v>
      </c>
      <c r="AD418" s="53">
        <v>207.4</v>
      </c>
      <c r="AE418" s="53">
        <v>213</v>
      </c>
      <c r="AF418" s="53">
        <v>220.7</v>
      </c>
      <c r="AG418" s="53">
        <v>225.9</v>
      </c>
      <c r="AH418" s="53">
        <v>232.5</v>
      </c>
      <c r="AL418" s="53" t="str">
        <f>B418</f>
        <v>BB</v>
      </c>
      <c r="AM418" s="53"/>
      <c r="AN418" s="53">
        <v>1</v>
      </c>
      <c r="AO418" s="53">
        <f>E418-D418</f>
        <v>-0.20000000000000284</v>
      </c>
      <c r="AP418" s="53"/>
      <c r="AQ418" s="53">
        <f>F418-E418</f>
        <v>-28.899999999999991</v>
      </c>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f>H418-G418</f>
        <v>3.5999999999999943</v>
      </c>
      <c r="BN418" s="53">
        <f>BM418</f>
        <v>3.5999999999999943</v>
      </c>
      <c r="BO418" s="53">
        <f>I418-H418</f>
        <v>3.7999999999999972</v>
      </c>
      <c r="BP418" s="53"/>
      <c r="BQ418" s="53"/>
      <c r="BR418" s="53"/>
      <c r="BS418" s="53"/>
      <c r="BT418" s="53">
        <f>J418-I418</f>
        <v>-0.59999999999999432</v>
      </c>
      <c r="BU418" s="53"/>
      <c r="BV418" s="53">
        <f>J418-I418</f>
        <v>-0.59999999999999432</v>
      </c>
      <c r="BX418" s="53">
        <f>K418-J418</f>
        <v>1.5999999999999943</v>
      </c>
      <c r="BZ418" s="53">
        <f>L418-K418</f>
        <v>3.6000000000000085</v>
      </c>
      <c r="CA418" s="53"/>
      <c r="CB418" s="53">
        <f t="shared" si="208"/>
        <v>1.5999999999999943</v>
      </c>
      <c r="CC418" s="53">
        <f t="shared" si="208"/>
        <v>0.70000000000000284</v>
      </c>
      <c r="CE418" s="621">
        <f>O418-N418</f>
        <v>5.9000000000000057</v>
      </c>
      <c r="CG418" s="621">
        <f>P418-O418</f>
        <v>5.2999999999999972</v>
      </c>
      <c r="CJ418" s="621">
        <f>Q418-P418</f>
        <v>7.7000000000000028</v>
      </c>
      <c r="CL418" s="621">
        <f>R418-Q418</f>
        <v>4.0999999999999943</v>
      </c>
      <c r="CN418" s="621">
        <f t="shared" si="209"/>
        <v>6.3000000000000114</v>
      </c>
      <c r="CO418" s="621">
        <f t="shared" si="209"/>
        <v>-11.800000000000011</v>
      </c>
      <c r="CQ418" s="621">
        <f>U418-T418</f>
        <v>19</v>
      </c>
      <c r="CS418" s="621">
        <f t="shared" si="210"/>
        <v>7.4000000000000057</v>
      </c>
      <c r="CT418" s="621">
        <f t="shared" si="210"/>
        <v>5.0999999999999943</v>
      </c>
      <c r="CU418" s="621">
        <f t="shared" si="210"/>
        <v>3.8000000000000114</v>
      </c>
      <c r="CV418" s="621">
        <f t="shared" si="210"/>
        <v>10.5</v>
      </c>
      <c r="CW418" s="621">
        <f t="shared" si="210"/>
        <v>4</v>
      </c>
      <c r="CX418" s="621">
        <f t="shared" si="210"/>
        <v>9.1999999999999886</v>
      </c>
      <c r="CY418" s="621">
        <f t="shared" si="210"/>
        <v>4.4000000000000057</v>
      </c>
      <c r="CZ418" s="621">
        <f t="shared" si="210"/>
        <v>9.2999999999999829</v>
      </c>
      <c r="DA418" s="62">
        <f>CZ418-2.6</f>
        <v>6.6999999999999833</v>
      </c>
      <c r="DB418" s="621">
        <f>AD418-AC418</f>
        <v>5.2000000000000171</v>
      </c>
      <c r="DC418" s="62">
        <f t="shared" si="211"/>
        <v>5.2000000000000171</v>
      </c>
      <c r="DD418" s="621">
        <f>AE418-AD418</f>
        <v>5.5999999999999943</v>
      </c>
      <c r="DE418" s="62">
        <f>DD418+3.4</f>
        <v>8.9999999999999947</v>
      </c>
      <c r="DF418" s="621">
        <f>AF418-AE418</f>
        <v>7.6999999999999886</v>
      </c>
      <c r="DG418" s="62">
        <f t="shared" ref="DG418:DG420" si="213">DF418</f>
        <v>7.6999999999999886</v>
      </c>
      <c r="DH418" s="621">
        <f>AG418-AF418</f>
        <v>5.2000000000000171</v>
      </c>
      <c r="DI418" s="62">
        <f>DH418</f>
        <v>5.2000000000000171</v>
      </c>
      <c r="DJ418" s="621">
        <f t="shared" si="212"/>
        <v>6.5999999999999943</v>
      </c>
      <c r="DK418" s="621">
        <f t="shared" si="212"/>
        <v>-232.5</v>
      </c>
    </row>
    <row r="419" spans="2:115" ht="15.75">
      <c r="B419" s="53" t="s">
        <v>565</v>
      </c>
      <c r="C419" s="53"/>
      <c r="D419" s="53">
        <v>302.39999999999998</v>
      </c>
      <c r="E419" s="53">
        <v>301.5</v>
      </c>
      <c r="F419" s="53">
        <v>275.2</v>
      </c>
      <c r="G419" s="53">
        <v>275.89999999999998</v>
      </c>
      <c r="H419" s="53">
        <v>124.5</v>
      </c>
      <c r="I419" s="53">
        <v>127.1</v>
      </c>
      <c r="J419" s="53">
        <v>125.2</v>
      </c>
      <c r="K419" s="53">
        <v>124.7</v>
      </c>
      <c r="L419" s="53">
        <v>125.3</v>
      </c>
      <c r="M419" s="53">
        <v>123.7</v>
      </c>
      <c r="N419" s="53">
        <v>123.9</v>
      </c>
      <c r="O419" s="53">
        <v>128.6</v>
      </c>
      <c r="P419" s="53">
        <v>133.5</v>
      </c>
      <c r="Q419" s="53">
        <v>140.80000000000001</v>
      </c>
      <c r="R419" s="53">
        <v>144.69999999999999</v>
      </c>
      <c r="S419" s="53">
        <v>150.1</v>
      </c>
      <c r="T419" s="53">
        <v>134.80000000000001</v>
      </c>
      <c r="U419" s="53">
        <v>152.9</v>
      </c>
      <c r="V419" s="53">
        <v>159.69999999999999</v>
      </c>
      <c r="W419" s="53">
        <v>163.19999999999999</v>
      </c>
      <c r="X419" s="53">
        <v>166</v>
      </c>
      <c r="Y419" s="53">
        <v>175.7</v>
      </c>
      <c r="Z419" s="53">
        <v>175.4</v>
      </c>
      <c r="AA419" s="53">
        <v>186.8</v>
      </c>
      <c r="AB419" s="53">
        <v>189.7</v>
      </c>
      <c r="AC419" s="53">
        <v>194.8</v>
      </c>
      <c r="AD419" s="53">
        <v>199.9</v>
      </c>
      <c r="AE419" s="53">
        <v>204.2</v>
      </c>
      <c r="AF419" s="53">
        <v>210.6</v>
      </c>
      <c r="AG419" s="53">
        <v>215.8</v>
      </c>
      <c r="AH419" s="53">
        <v>221.1</v>
      </c>
      <c r="AL419" s="53" t="str">
        <f>B419</f>
        <v>Telephony</v>
      </c>
      <c r="AM419" s="53"/>
      <c r="AN419" s="53">
        <v>0.4</v>
      </c>
      <c r="AO419" s="53">
        <f>E419-D419</f>
        <v>-0.89999999999997726</v>
      </c>
      <c r="AP419" s="53"/>
      <c r="AQ419" s="53">
        <f>F419-E419</f>
        <v>-26.300000000000011</v>
      </c>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f>H419-G419</f>
        <v>-151.39999999999998</v>
      </c>
      <c r="BN419" s="53">
        <f>BM419+151.7</f>
        <v>0.30000000000001137</v>
      </c>
      <c r="BO419" s="53">
        <f>I419-H419</f>
        <v>2.5999999999999943</v>
      </c>
      <c r="BP419" s="53"/>
      <c r="BQ419" s="53"/>
      <c r="BR419" s="53"/>
      <c r="BS419" s="53"/>
      <c r="BT419" s="53">
        <f>J419-I419</f>
        <v>-1.8999999999999915</v>
      </c>
      <c r="BU419" s="53"/>
      <c r="BV419" s="53">
        <f>J419-I419</f>
        <v>-1.8999999999999915</v>
      </c>
      <c r="BX419" s="53">
        <f>K419-J419</f>
        <v>-0.5</v>
      </c>
      <c r="BZ419" s="53">
        <f>L419-K419</f>
        <v>0.59999999999999432</v>
      </c>
      <c r="CA419" s="53"/>
      <c r="CB419" s="53">
        <f t="shared" si="208"/>
        <v>-1.5999999999999943</v>
      </c>
      <c r="CC419" s="53">
        <f t="shared" si="208"/>
        <v>0.20000000000000284</v>
      </c>
      <c r="CE419" s="53">
        <f>O419-N419</f>
        <v>4.6999999999999886</v>
      </c>
      <c r="CG419" s="621">
        <f>P419-O419</f>
        <v>4.9000000000000057</v>
      </c>
      <c r="CJ419" s="621">
        <f>Q419-P419</f>
        <v>7.3000000000000114</v>
      </c>
      <c r="CL419" s="621">
        <f>R419-Q419</f>
        <v>3.8999999999999773</v>
      </c>
      <c r="CN419" s="621">
        <f t="shared" si="209"/>
        <v>5.4000000000000057</v>
      </c>
      <c r="CO419" s="621">
        <f t="shared" si="209"/>
        <v>-15.299999999999983</v>
      </c>
      <c r="CQ419" s="621">
        <f>U419-T419</f>
        <v>18.099999999999994</v>
      </c>
      <c r="CS419" s="621">
        <f t="shared" si="210"/>
        <v>6.7999999999999829</v>
      </c>
      <c r="CT419" s="621">
        <f t="shared" si="210"/>
        <v>3.5</v>
      </c>
      <c r="CU419" s="621">
        <f t="shared" si="210"/>
        <v>2.8000000000000114</v>
      </c>
      <c r="CV419" s="621">
        <f t="shared" si="210"/>
        <v>9.6999999999999886</v>
      </c>
      <c r="CW419" s="621">
        <f t="shared" si="210"/>
        <v>-0.29999999999998295</v>
      </c>
      <c r="CX419" s="621">
        <f t="shared" si="210"/>
        <v>11.400000000000006</v>
      </c>
      <c r="CY419" s="621">
        <f t="shared" si="210"/>
        <v>2.8999999999999773</v>
      </c>
      <c r="CZ419" s="621">
        <f t="shared" si="210"/>
        <v>5.1000000000000227</v>
      </c>
      <c r="DA419" s="62">
        <f>CZ419-0.3</f>
        <v>4.8000000000000229</v>
      </c>
      <c r="DB419" s="621">
        <f>AD419-AC419</f>
        <v>5.0999999999999943</v>
      </c>
      <c r="DC419" s="62">
        <f t="shared" si="211"/>
        <v>5.0999999999999943</v>
      </c>
      <c r="DD419" s="621">
        <f>AE419-AD419</f>
        <v>4.2999999999999829</v>
      </c>
      <c r="DE419" s="62">
        <f>DD419+2.4</f>
        <v>6.6999999999999833</v>
      </c>
      <c r="DF419" s="621">
        <f>AF419-AE419</f>
        <v>6.4000000000000057</v>
      </c>
      <c r="DG419" s="62">
        <f t="shared" si="213"/>
        <v>6.4000000000000057</v>
      </c>
      <c r="DH419" s="621">
        <f>AG419-AF419</f>
        <v>5.2000000000000171</v>
      </c>
      <c r="DI419" s="62">
        <f>DH419</f>
        <v>5.2000000000000171</v>
      </c>
      <c r="DJ419" s="621">
        <f t="shared" si="212"/>
        <v>5.2999999999999829</v>
      </c>
      <c r="DK419" s="621">
        <f t="shared" si="212"/>
        <v>-221.1</v>
      </c>
    </row>
    <row r="420" spans="2:115" ht="15.75">
      <c r="B420" s="53" t="s">
        <v>5</v>
      </c>
      <c r="C420" s="53"/>
      <c r="D420" s="53"/>
      <c r="E420" s="53">
        <v>1760.2</v>
      </c>
      <c r="F420" s="53">
        <v>1736.3</v>
      </c>
      <c r="G420" s="53">
        <v>1783.2</v>
      </c>
      <c r="H420" s="53">
        <v>1765.3</v>
      </c>
      <c r="I420" s="53">
        <v>1743.2</v>
      </c>
      <c r="J420" s="53">
        <v>1682.3</v>
      </c>
      <c r="K420" s="53">
        <v>1680.9</v>
      </c>
      <c r="L420" s="53">
        <v>1627</v>
      </c>
      <c r="M420" s="53">
        <v>1601.3</v>
      </c>
      <c r="N420" s="53">
        <v>1569.9</v>
      </c>
      <c r="O420" s="53">
        <v>1590.5</v>
      </c>
      <c r="P420" s="53">
        <v>1564.2</v>
      </c>
      <c r="Q420" s="53">
        <v>1545.9</v>
      </c>
      <c r="R420" s="53">
        <v>1527.5</v>
      </c>
      <c r="S420" s="53">
        <v>1512.7</v>
      </c>
      <c r="T420" s="53">
        <v>1381.6</v>
      </c>
      <c r="U420" s="53">
        <v>1435.8</v>
      </c>
      <c r="V420" s="53">
        <v>1461.9</v>
      </c>
      <c r="W420" s="621">
        <v>1523</v>
      </c>
      <c r="X420" s="53">
        <v>1583.1</v>
      </c>
      <c r="Y420" s="53">
        <v>1606.6</v>
      </c>
      <c r="Z420" s="53">
        <v>1712.2</v>
      </c>
      <c r="AA420" s="53">
        <v>1628.5</v>
      </c>
      <c r="AB420" s="53">
        <v>1471.5</v>
      </c>
      <c r="AC420" s="53">
        <v>2217.4</v>
      </c>
      <c r="AD420" s="53">
        <v>2178.9</v>
      </c>
      <c r="AE420" s="53">
        <v>1992.9</v>
      </c>
      <c r="AF420" s="53">
        <v>1935.8</v>
      </c>
      <c r="AG420" s="53">
        <v>1968.2</v>
      </c>
      <c r="AH420" s="53">
        <v>1856.4</v>
      </c>
      <c r="AL420" s="53" t="str">
        <f>B420</f>
        <v>Mobile</v>
      </c>
      <c r="AM420" s="53"/>
      <c r="AN420" s="53"/>
      <c r="AO420" s="53"/>
      <c r="AP420" s="53"/>
      <c r="AQ420" s="53">
        <f>F420-E420</f>
        <v>-23.900000000000091</v>
      </c>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f>H420-G420</f>
        <v>-17.900000000000091</v>
      </c>
      <c r="BN420" s="53">
        <f>BM420</f>
        <v>-17.900000000000091</v>
      </c>
      <c r="BO420" s="53">
        <f>I420-H420</f>
        <v>-22.099999999999909</v>
      </c>
      <c r="BP420" s="53"/>
      <c r="BQ420" s="53"/>
      <c r="BR420" s="53"/>
      <c r="BS420" s="53"/>
      <c r="BT420" s="53">
        <f>J420-I420</f>
        <v>-60.900000000000091</v>
      </c>
      <c r="BU420" s="53"/>
      <c r="BV420" s="53">
        <f>J420-I420</f>
        <v>-60.900000000000091</v>
      </c>
      <c r="BX420" s="53">
        <f>K420-J420</f>
        <v>-1.3999999999998636</v>
      </c>
      <c r="BZ420" s="53">
        <f>L420-K420</f>
        <v>-53.900000000000091</v>
      </c>
      <c r="CA420" s="53"/>
      <c r="CB420" s="53">
        <f t="shared" si="208"/>
        <v>-25.700000000000045</v>
      </c>
      <c r="CC420" s="53">
        <f t="shared" si="208"/>
        <v>-31.399999999999864</v>
      </c>
      <c r="CE420" s="53">
        <f>O420-N420</f>
        <v>20.599999999999909</v>
      </c>
      <c r="CG420" s="621">
        <f>P420-O420</f>
        <v>-26.299999999999955</v>
      </c>
      <c r="CJ420" s="621">
        <f>Q420-P420</f>
        <v>-18.299999999999955</v>
      </c>
      <c r="CL420" s="621">
        <f>R420-Q420</f>
        <v>-18.400000000000091</v>
      </c>
      <c r="CN420" s="621">
        <f t="shared" si="209"/>
        <v>-14.799999999999955</v>
      </c>
      <c r="CO420" s="621">
        <f t="shared" si="209"/>
        <v>-131.10000000000014</v>
      </c>
      <c r="CQ420" s="621">
        <f>U420-T420</f>
        <v>54.200000000000045</v>
      </c>
      <c r="CS420" s="621">
        <f t="shared" si="210"/>
        <v>26.100000000000136</v>
      </c>
      <c r="CT420" s="621">
        <f t="shared" si="210"/>
        <v>61.099999999999909</v>
      </c>
      <c r="CU420" s="621">
        <f t="shared" si="210"/>
        <v>60.099999999999909</v>
      </c>
      <c r="CV420" s="621">
        <f t="shared" si="210"/>
        <v>23.5</v>
      </c>
      <c r="CW420" s="621">
        <f t="shared" si="210"/>
        <v>105.60000000000014</v>
      </c>
      <c r="CX420" s="621">
        <f t="shared" si="210"/>
        <v>-83.700000000000045</v>
      </c>
      <c r="CY420" s="621">
        <f t="shared" si="210"/>
        <v>-157</v>
      </c>
      <c r="CZ420" s="621">
        <f t="shared" si="210"/>
        <v>745.90000000000009</v>
      </c>
      <c r="DA420" s="62">
        <f>CZ420-703.2</f>
        <v>42.700000000000045</v>
      </c>
      <c r="DB420" s="621">
        <f>AD420-AC420</f>
        <v>-38.5</v>
      </c>
      <c r="DC420" s="62">
        <f t="shared" si="211"/>
        <v>-38.5</v>
      </c>
      <c r="DD420" s="621">
        <f>AE420-AD420</f>
        <v>-186</v>
      </c>
      <c r="DE420" s="62">
        <f>DD420+115</f>
        <v>-71</v>
      </c>
      <c r="DF420" s="621">
        <f>AF420-AE420</f>
        <v>-57.100000000000136</v>
      </c>
      <c r="DG420" s="62">
        <f t="shared" si="213"/>
        <v>-57.100000000000136</v>
      </c>
      <c r="DH420" s="621">
        <f>AG420-AF420</f>
        <v>32.400000000000091</v>
      </c>
      <c r="DI420" s="62">
        <f>DH420</f>
        <v>32.400000000000091</v>
      </c>
      <c r="DJ420" s="621">
        <f t="shared" si="212"/>
        <v>-111.79999999999995</v>
      </c>
      <c r="DK420" s="621">
        <f t="shared" si="212"/>
        <v>-1856.4</v>
      </c>
    </row>
    <row r="421" spans="2:115" ht="15.75">
      <c r="B421" s="53"/>
      <c r="C421" s="53"/>
      <c r="D421" s="53"/>
      <c r="E421" s="53"/>
      <c r="F421" s="53"/>
      <c r="G421" s="53"/>
      <c r="H421" s="53"/>
      <c r="I421" s="53"/>
      <c r="O421" s="5"/>
      <c r="AL421" s="53"/>
      <c r="AM421" s="53"/>
      <c r="AN421" s="53"/>
      <c r="AO421" s="53"/>
      <c r="AP421" s="53"/>
      <c r="AQ421" s="53"/>
      <c r="AR421" s="53"/>
      <c r="AT421" s="53"/>
      <c r="AU421" s="53"/>
      <c r="AV421" s="53"/>
      <c r="AW421" s="53"/>
      <c r="AX421" s="53"/>
      <c r="AY421" s="53"/>
      <c r="AZ421" s="53"/>
      <c r="BA421" s="53"/>
      <c r="BB421" s="53"/>
      <c r="BC421" s="53"/>
      <c r="BD421" s="53"/>
      <c r="BE421" s="53"/>
      <c r="BF421" s="53"/>
      <c r="BG421" s="53"/>
    </row>
    <row r="422" spans="2:115" ht="15.75">
      <c r="B422" s="78" t="s">
        <v>32</v>
      </c>
      <c r="C422" s="53"/>
      <c r="D422" s="53"/>
      <c r="E422" s="53"/>
      <c r="F422" s="53"/>
      <c r="G422" s="53"/>
      <c r="H422" s="53"/>
      <c r="I422" s="53"/>
      <c r="AL422" s="78" t="str">
        <f>B422</f>
        <v>Jamaica</v>
      </c>
      <c r="AM422" s="53"/>
      <c r="AN422" s="53"/>
      <c r="AO422" s="53"/>
      <c r="AP422" s="53"/>
      <c r="AQ422" s="53"/>
      <c r="AR422" s="53"/>
      <c r="AT422" s="53"/>
      <c r="AU422" s="53"/>
      <c r="AV422" s="53"/>
      <c r="AW422" s="53"/>
      <c r="AX422" s="53"/>
      <c r="AY422" s="53"/>
      <c r="AZ422" s="53"/>
      <c r="BA422" s="53"/>
      <c r="BB422" s="53"/>
      <c r="BC422" s="53"/>
      <c r="BD422" s="53"/>
      <c r="BE422" s="53"/>
      <c r="BF422" s="53"/>
      <c r="BG422" s="53"/>
    </row>
    <row r="423" spans="2:115" ht="15.75">
      <c r="B423" s="53" t="str">
        <f>B412</f>
        <v>Homes passed</v>
      </c>
      <c r="C423" s="53"/>
      <c r="D423" s="53">
        <v>469.8</v>
      </c>
      <c r="E423" s="53">
        <v>469.8</v>
      </c>
      <c r="F423" s="53">
        <v>424.3</v>
      </c>
      <c r="G423" s="53">
        <v>424.3</v>
      </c>
      <c r="H423" s="53">
        <v>426.4</v>
      </c>
      <c r="I423" s="53">
        <v>433.5</v>
      </c>
      <c r="J423" s="53">
        <v>458.3</v>
      </c>
      <c r="K423" s="53">
        <v>468.6</v>
      </c>
      <c r="L423" s="53">
        <v>485.2</v>
      </c>
      <c r="M423" s="53">
        <v>489.6</v>
      </c>
      <c r="N423" s="53">
        <v>494.9</v>
      </c>
      <c r="O423" s="53">
        <v>512.20000000000005</v>
      </c>
      <c r="P423" s="53">
        <v>523.79999999999995</v>
      </c>
      <c r="Q423" s="53">
        <v>553.9</v>
      </c>
      <c r="R423" s="53">
        <v>562.9</v>
      </c>
      <c r="S423" s="53">
        <v>572.70000000000005</v>
      </c>
      <c r="T423" s="53">
        <v>581.1</v>
      </c>
      <c r="U423" s="53">
        <v>600.5</v>
      </c>
      <c r="V423" s="53">
        <v>613.70000000000005</v>
      </c>
      <c r="W423" s="53">
        <v>621.1</v>
      </c>
      <c r="X423" s="53">
        <v>629</v>
      </c>
      <c r="Y423" s="53">
        <v>635.79999999999995</v>
      </c>
      <c r="Z423" s="53">
        <v>646.4</v>
      </c>
      <c r="AA423" s="53">
        <v>655.20000000000005</v>
      </c>
      <c r="AB423" s="53">
        <v>666.1</v>
      </c>
      <c r="AC423" s="53">
        <v>678.8</v>
      </c>
      <c r="AD423" s="53">
        <v>685.7</v>
      </c>
      <c r="AE423" s="53">
        <v>692.5</v>
      </c>
      <c r="AF423" s="53">
        <v>696.2</v>
      </c>
      <c r="AG423" s="53">
        <v>701</v>
      </c>
      <c r="AH423" s="53">
        <v>742.1</v>
      </c>
      <c r="AL423" s="53" t="str">
        <f>B423</f>
        <v>Homes passed</v>
      </c>
      <c r="AM423" s="53"/>
      <c r="AN423" s="53"/>
      <c r="AO423" s="53">
        <f>E423-D423</f>
        <v>0</v>
      </c>
      <c r="AP423" s="53"/>
      <c r="AQ423" s="53">
        <f>F423-E423</f>
        <v>-45.5</v>
      </c>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f>H423-G423</f>
        <v>2.0999999999999659</v>
      </c>
      <c r="BN423" s="53">
        <f>BM423</f>
        <v>2.0999999999999659</v>
      </c>
      <c r="BO423" s="53">
        <f>I423-H423</f>
        <v>7.1000000000000227</v>
      </c>
      <c r="BP423" s="53"/>
      <c r="BQ423" s="53"/>
      <c r="BR423" s="53"/>
      <c r="BS423" s="53"/>
      <c r="BT423" s="53">
        <f>J423-I423</f>
        <v>24.800000000000011</v>
      </c>
      <c r="BU423" s="53"/>
      <c r="BV423" s="53">
        <f>J423-I423</f>
        <v>24.800000000000011</v>
      </c>
      <c r="BW423" s="53">
        <f>BV423</f>
        <v>24.800000000000011</v>
      </c>
      <c r="BX423" s="53">
        <f>K423-J423</f>
        <v>10.300000000000011</v>
      </c>
      <c r="BZ423" s="53">
        <f>L423-K423</f>
        <v>16.599999999999966</v>
      </c>
      <c r="CA423" s="53">
        <f>BZ423-13</f>
        <v>3.5999999999999659</v>
      </c>
      <c r="CB423" s="53">
        <f t="shared" ref="CB423:CC425" si="214">M423-L423</f>
        <v>4.4000000000000341</v>
      </c>
      <c r="CC423" s="53">
        <f t="shared" si="214"/>
        <v>5.2999999999999545</v>
      </c>
      <c r="CE423" s="53">
        <f>O423-N423</f>
        <v>17.300000000000068</v>
      </c>
      <c r="CF423" s="639">
        <f>CE423-17.3</f>
        <v>6.7501559897209518E-14</v>
      </c>
      <c r="CG423" s="621">
        <f>P423-O423</f>
        <v>11.599999999999909</v>
      </c>
      <c r="CH423" s="639">
        <f>CG423-8.8</f>
        <v>2.7999999999999083</v>
      </c>
      <c r="CI423" s="639"/>
      <c r="CJ423" s="621">
        <f>Q423-P423</f>
        <v>30.100000000000023</v>
      </c>
      <c r="CL423" s="621">
        <f>R423-Q423</f>
        <v>9</v>
      </c>
      <c r="CN423" s="621">
        <f t="shared" ref="CN423:CO425" si="215">S423-R423</f>
        <v>9.8000000000000682</v>
      </c>
      <c r="CO423" s="621">
        <f t="shared" si="215"/>
        <v>8.3999999999999773</v>
      </c>
      <c r="CQ423" s="621">
        <f>U423-T423</f>
        <v>19.399999999999977</v>
      </c>
      <c r="CS423" s="621">
        <f t="shared" ref="CS423:CZ425" si="216">V423-U423</f>
        <v>13.200000000000045</v>
      </c>
      <c r="CT423" s="621">
        <f t="shared" si="216"/>
        <v>7.3999999999999773</v>
      </c>
      <c r="CU423" s="621">
        <f t="shared" si="216"/>
        <v>7.8999999999999773</v>
      </c>
      <c r="CV423" s="621">
        <f t="shared" si="216"/>
        <v>6.7999999999999545</v>
      </c>
      <c r="CW423" s="621">
        <f t="shared" si="216"/>
        <v>10.600000000000023</v>
      </c>
      <c r="CX423" s="621">
        <f t="shared" si="216"/>
        <v>8.8000000000000682</v>
      </c>
      <c r="CY423" s="621">
        <f t="shared" si="216"/>
        <v>10.899999999999977</v>
      </c>
      <c r="CZ423" s="621">
        <f t="shared" si="216"/>
        <v>12.699999999999932</v>
      </c>
      <c r="DA423" s="1069">
        <f>CZ423</f>
        <v>12.699999999999932</v>
      </c>
      <c r="DB423" s="621">
        <f>AD423-AC423</f>
        <v>6.9000000000000909</v>
      </c>
      <c r="DC423" s="62">
        <f t="shared" ref="DC423:DC425" si="217">DB423</f>
        <v>6.9000000000000909</v>
      </c>
      <c r="DD423" s="621">
        <f>AE423-AD423</f>
        <v>6.7999999999999545</v>
      </c>
      <c r="DE423" s="62">
        <f t="shared" ref="DE423:DE425" si="218">DD423</f>
        <v>6.7999999999999545</v>
      </c>
      <c r="DF423" s="621">
        <f>AF423-AE423</f>
        <v>3.7000000000000455</v>
      </c>
      <c r="DG423" s="62">
        <f t="shared" ref="DG423:DG425" si="219">DF423</f>
        <v>3.7000000000000455</v>
      </c>
      <c r="DH423" s="621">
        <f>AG423-AF423</f>
        <v>4.7999999999999545</v>
      </c>
      <c r="DI423" s="62">
        <f>DH423</f>
        <v>4.7999999999999545</v>
      </c>
      <c r="DJ423" s="621">
        <f t="shared" ref="DJ423:DK425" si="220">AH423-AG423</f>
        <v>41.100000000000023</v>
      </c>
      <c r="DK423" s="621">
        <f t="shared" si="220"/>
        <v>-742.1</v>
      </c>
    </row>
    <row r="424" spans="2:115" ht="15.75">
      <c r="B424" s="53" t="str">
        <f>B413</f>
        <v>2-way homes passed</v>
      </c>
      <c r="C424" s="53"/>
      <c r="D424" s="53">
        <v>459.8</v>
      </c>
      <c r="E424" s="53">
        <v>459.8</v>
      </c>
      <c r="F424" s="53">
        <v>424.3</v>
      </c>
      <c r="G424" s="53">
        <v>414.3</v>
      </c>
      <c r="H424" s="53">
        <v>416.5</v>
      </c>
      <c r="I424" s="53">
        <v>423.5</v>
      </c>
      <c r="J424" s="53">
        <v>448.3</v>
      </c>
      <c r="K424" s="53">
        <v>458.6</v>
      </c>
      <c r="L424" s="53">
        <v>475.2</v>
      </c>
      <c r="M424" s="53">
        <v>479.6</v>
      </c>
      <c r="N424" s="53">
        <v>479.6</v>
      </c>
      <c r="O424" s="53">
        <v>502.2</v>
      </c>
      <c r="P424" s="53">
        <v>513.79999999999995</v>
      </c>
      <c r="Q424" s="53">
        <v>543.9</v>
      </c>
      <c r="R424" s="53">
        <v>552.9</v>
      </c>
      <c r="S424" s="53">
        <v>565.1</v>
      </c>
      <c r="T424" s="53">
        <v>581.1</v>
      </c>
      <c r="U424" s="53">
        <v>600.5</v>
      </c>
      <c r="V424" s="53">
        <v>613.70000000000005</v>
      </c>
      <c r="W424" s="53">
        <v>621.1</v>
      </c>
      <c r="X424" s="53">
        <v>629</v>
      </c>
      <c r="Y424" s="53">
        <v>635.79999999999995</v>
      </c>
      <c r="Z424" s="53">
        <v>646.4</v>
      </c>
      <c r="AA424" s="53">
        <v>655.20000000000005</v>
      </c>
      <c r="AB424" s="53">
        <v>666.1</v>
      </c>
      <c r="AC424" s="53">
        <v>678.8</v>
      </c>
      <c r="AD424" s="53">
        <v>685.7</v>
      </c>
      <c r="AE424" s="53">
        <v>692.4</v>
      </c>
      <c r="AF424" s="53">
        <v>696.2</v>
      </c>
      <c r="AG424" s="53">
        <v>701</v>
      </c>
      <c r="AH424" s="53">
        <v>742.1</v>
      </c>
      <c r="AL424" s="53" t="str">
        <f>B424</f>
        <v>2-way homes passed</v>
      </c>
      <c r="AM424" s="53"/>
      <c r="AN424" s="53"/>
      <c r="AO424" s="53">
        <f>E424-D424</f>
        <v>0</v>
      </c>
      <c r="AP424" s="53"/>
      <c r="AQ424" s="53">
        <f>F424-E424</f>
        <v>-35.5</v>
      </c>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f>H424-G424</f>
        <v>2.1999999999999886</v>
      </c>
      <c r="BN424" s="53">
        <f>BM424</f>
        <v>2.1999999999999886</v>
      </c>
      <c r="BO424" s="621">
        <f>I424-H424</f>
        <v>7</v>
      </c>
      <c r="BP424" s="53"/>
      <c r="BQ424" s="53"/>
      <c r="BR424" s="53"/>
      <c r="BS424" s="53"/>
      <c r="BT424" s="621">
        <f>J424-I424</f>
        <v>24.800000000000011</v>
      </c>
      <c r="BU424" s="53"/>
      <c r="BV424" s="53">
        <f>J424-I424</f>
        <v>24.800000000000011</v>
      </c>
      <c r="BW424" s="53">
        <f>BV424</f>
        <v>24.800000000000011</v>
      </c>
      <c r="BX424" s="53">
        <f>K424-J424</f>
        <v>10.300000000000011</v>
      </c>
      <c r="BZ424" s="53">
        <f>L424-K424</f>
        <v>16.599999999999966</v>
      </c>
      <c r="CA424" s="53">
        <f>BZ424-13</f>
        <v>3.5999999999999659</v>
      </c>
      <c r="CB424" s="53">
        <f t="shared" si="214"/>
        <v>4.4000000000000341</v>
      </c>
      <c r="CC424" s="53">
        <f t="shared" si="214"/>
        <v>0</v>
      </c>
      <c r="CE424" s="53">
        <f>O424-N424</f>
        <v>22.599999999999966</v>
      </c>
      <c r="CF424" s="639">
        <f>CE424-17.3</f>
        <v>5.2999999999999652</v>
      </c>
      <c r="CG424" s="621">
        <f>P424-O424</f>
        <v>11.599999999999966</v>
      </c>
      <c r="CH424" s="639">
        <f>CG424-8.8</f>
        <v>2.7999999999999652</v>
      </c>
      <c r="CI424" s="639"/>
      <c r="CJ424" s="621">
        <f>Q424-P424</f>
        <v>30.100000000000023</v>
      </c>
      <c r="CL424" s="621">
        <f>R424-Q424</f>
        <v>9</v>
      </c>
      <c r="CN424" s="621">
        <f t="shared" si="215"/>
        <v>12.200000000000045</v>
      </c>
      <c r="CO424" s="621">
        <f t="shared" si="215"/>
        <v>16</v>
      </c>
      <c r="CQ424" s="621">
        <f>U424-T424</f>
        <v>19.399999999999977</v>
      </c>
      <c r="CS424" s="621">
        <f t="shared" si="216"/>
        <v>13.200000000000045</v>
      </c>
      <c r="CT424" s="621">
        <f t="shared" si="216"/>
        <v>7.3999999999999773</v>
      </c>
      <c r="CU424" s="621">
        <f t="shared" si="216"/>
        <v>7.8999999999999773</v>
      </c>
      <c r="CV424" s="621">
        <f t="shared" si="216"/>
        <v>6.7999999999999545</v>
      </c>
      <c r="CW424" s="621">
        <f t="shared" si="216"/>
        <v>10.600000000000023</v>
      </c>
      <c r="CX424" s="621">
        <f t="shared" si="216"/>
        <v>8.8000000000000682</v>
      </c>
      <c r="CY424" s="621">
        <f t="shared" si="216"/>
        <v>10.899999999999977</v>
      </c>
      <c r="CZ424" s="621">
        <f t="shared" si="216"/>
        <v>12.699999999999932</v>
      </c>
      <c r="DA424" s="1069">
        <f>CZ424</f>
        <v>12.699999999999932</v>
      </c>
      <c r="DB424" s="621">
        <f>AD424-AC424</f>
        <v>6.9000000000000909</v>
      </c>
      <c r="DC424" s="62">
        <f t="shared" si="217"/>
        <v>6.9000000000000909</v>
      </c>
      <c r="DD424" s="621">
        <f>AE424-AD424</f>
        <v>6.6999999999999318</v>
      </c>
      <c r="DE424" s="62">
        <f t="shared" si="218"/>
        <v>6.6999999999999318</v>
      </c>
      <c r="DF424" s="621">
        <f>AF424-AE424</f>
        <v>3.8000000000000682</v>
      </c>
      <c r="DG424" s="62">
        <f t="shared" si="219"/>
        <v>3.8000000000000682</v>
      </c>
      <c r="DH424" s="621">
        <f>AG424-AF424</f>
        <v>4.7999999999999545</v>
      </c>
      <c r="DI424" s="62">
        <f>DH424</f>
        <v>4.7999999999999545</v>
      </c>
      <c r="DJ424" s="621">
        <f t="shared" si="220"/>
        <v>41.100000000000023</v>
      </c>
      <c r="DK424" s="621">
        <f t="shared" si="220"/>
        <v>-742.1</v>
      </c>
    </row>
    <row r="425" spans="2:115" ht="15.75">
      <c r="B425" s="53" t="str">
        <f>B414</f>
        <v>Customer relationships</v>
      </c>
      <c r="C425" s="53"/>
      <c r="D425" s="53">
        <v>300</v>
      </c>
      <c r="E425" s="53">
        <v>301.10000000000002</v>
      </c>
      <c r="F425" s="53">
        <v>295.89999999999998</v>
      </c>
      <c r="G425" s="53">
        <v>294.89999999999998</v>
      </c>
      <c r="H425" s="53">
        <v>261.2</v>
      </c>
      <c r="I425" s="53">
        <v>262.5</v>
      </c>
      <c r="J425" s="53">
        <v>233.3</v>
      </c>
      <c r="K425" s="53">
        <v>238.9</v>
      </c>
      <c r="L425" s="53">
        <v>241</v>
      </c>
      <c r="M425" s="53">
        <v>243.3</v>
      </c>
      <c r="N425" s="53">
        <v>246</v>
      </c>
      <c r="O425" s="53">
        <v>249.5</v>
      </c>
      <c r="P425" s="53">
        <v>251.7</v>
      </c>
      <c r="Q425" s="53">
        <v>253.4</v>
      </c>
      <c r="R425" s="53">
        <v>259.7</v>
      </c>
      <c r="S425" s="53">
        <v>267.89999999999998</v>
      </c>
      <c r="T425" s="53">
        <v>279.7</v>
      </c>
      <c r="U425" s="53">
        <v>285.60000000000002</v>
      </c>
      <c r="V425" s="53">
        <v>296.7</v>
      </c>
      <c r="W425" s="53">
        <v>303.3</v>
      </c>
      <c r="X425" s="53">
        <v>313</v>
      </c>
      <c r="Y425" s="53">
        <v>321.3</v>
      </c>
      <c r="Z425" s="53">
        <v>330.2</v>
      </c>
      <c r="AA425" s="53">
        <v>324.5</v>
      </c>
      <c r="AB425" s="53">
        <v>326.7</v>
      </c>
      <c r="AC425" s="53">
        <v>329.2</v>
      </c>
      <c r="AD425" s="53">
        <v>331.8</v>
      </c>
      <c r="AE425" s="53">
        <v>337.3</v>
      </c>
      <c r="AF425" s="53">
        <v>341.6</v>
      </c>
      <c r="AG425" s="53">
        <v>343.4</v>
      </c>
      <c r="AH425" s="53">
        <v>348.2</v>
      </c>
      <c r="AL425" s="53" t="str">
        <f>B425</f>
        <v>Customer relationships</v>
      </c>
      <c r="AM425" s="53"/>
      <c r="AN425" s="53">
        <v>-1.1000000000000001</v>
      </c>
      <c r="AO425" s="53">
        <f>E425-D425</f>
        <v>1.1000000000000227</v>
      </c>
      <c r="AP425" s="53"/>
      <c r="AQ425" s="53">
        <f>F425-E425</f>
        <v>-5.2000000000000455</v>
      </c>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f>H425-G425</f>
        <v>-33.699999999999989</v>
      </c>
      <c r="BN425" s="53">
        <f>BM425+20.6</f>
        <v>-13.099999999999987</v>
      </c>
      <c r="BO425" s="53">
        <f>I425-H425</f>
        <v>1.3000000000000114</v>
      </c>
      <c r="BP425" s="53"/>
      <c r="BQ425" s="53"/>
      <c r="BR425" s="53"/>
      <c r="BS425" s="53"/>
      <c r="BT425" s="53">
        <f>J425-I425</f>
        <v>-29.199999999999989</v>
      </c>
      <c r="BU425" s="53"/>
      <c r="BV425" s="53">
        <f>J425-I425</f>
        <v>-29.199999999999989</v>
      </c>
      <c r="BW425" s="53">
        <f>BV425+39.1</f>
        <v>9.9000000000000128</v>
      </c>
      <c r="BX425" s="53">
        <f>K425-J425</f>
        <v>5.5999999999999943</v>
      </c>
      <c r="BZ425" s="53">
        <f>L425-K425</f>
        <v>2.0999999999999943</v>
      </c>
      <c r="CA425" s="53">
        <f>BZ425</f>
        <v>2.0999999999999943</v>
      </c>
      <c r="CB425" s="53">
        <f t="shared" si="214"/>
        <v>2.3000000000000114</v>
      </c>
      <c r="CC425" s="53">
        <f t="shared" si="214"/>
        <v>2.6999999999999886</v>
      </c>
      <c r="CE425" s="53">
        <f>O425-N425</f>
        <v>3.5</v>
      </c>
      <c r="CF425" s="639">
        <f>CE425</f>
        <v>3.5</v>
      </c>
      <c r="CG425" s="621">
        <f>P425-O425</f>
        <v>2.1999999999999886</v>
      </c>
      <c r="CH425" s="639">
        <f>CG425</f>
        <v>2.1999999999999886</v>
      </c>
      <c r="CI425" s="639"/>
      <c r="CJ425" s="621">
        <f>Q425-P425</f>
        <v>1.7000000000000171</v>
      </c>
      <c r="CL425" s="621">
        <f>R425-Q425</f>
        <v>6.2999999999999829</v>
      </c>
      <c r="CN425" s="621">
        <f t="shared" si="215"/>
        <v>8.1999999999999886</v>
      </c>
      <c r="CO425" s="621">
        <f t="shared" si="215"/>
        <v>11.800000000000011</v>
      </c>
      <c r="CQ425" s="621">
        <f>U425-T425</f>
        <v>5.9000000000000341</v>
      </c>
      <c r="CS425" s="621">
        <f t="shared" si="216"/>
        <v>11.099999999999966</v>
      </c>
      <c r="CT425" s="621">
        <f t="shared" si="216"/>
        <v>6.6000000000000227</v>
      </c>
      <c r="CU425" s="621">
        <f t="shared" si="216"/>
        <v>9.6999999999999886</v>
      </c>
      <c r="CV425" s="621">
        <f t="shared" si="216"/>
        <v>8.3000000000000114</v>
      </c>
      <c r="CW425" s="621">
        <f t="shared" si="216"/>
        <v>8.8999999999999773</v>
      </c>
      <c r="CX425" s="621">
        <f t="shared" si="216"/>
        <v>-5.6999999999999886</v>
      </c>
      <c r="CY425" s="621">
        <f t="shared" si="216"/>
        <v>2.1999999999999886</v>
      </c>
      <c r="CZ425" s="621">
        <f t="shared" si="216"/>
        <v>2.5</v>
      </c>
      <c r="DA425" s="1069">
        <f>CZ425</f>
        <v>2.5</v>
      </c>
      <c r="DB425" s="621">
        <f>AD425-AC425</f>
        <v>2.6000000000000227</v>
      </c>
      <c r="DC425" s="62">
        <f t="shared" si="217"/>
        <v>2.6000000000000227</v>
      </c>
      <c r="DD425" s="621">
        <f>AE425-AD425</f>
        <v>5.5</v>
      </c>
      <c r="DE425" s="62">
        <f t="shared" si="218"/>
        <v>5.5</v>
      </c>
      <c r="DF425" s="621">
        <f>AF425-AE425</f>
        <v>4.3000000000000114</v>
      </c>
      <c r="DG425" s="62">
        <f t="shared" si="219"/>
        <v>4.3000000000000114</v>
      </c>
      <c r="DH425" s="621">
        <f>AG425-AF425</f>
        <v>1.7999999999999545</v>
      </c>
      <c r="DI425" s="62">
        <f>DH425</f>
        <v>1.7999999999999545</v>
      </c>
      <c r="DJ425" s="621">
        <f t="shared" si="220"/>
        <v>4.8000000000000114</v>
      </c>
      <c r="DK425" s="621">
        <f t="shared" si="220"/>
        <v>-348.2</v>
      </c>
    </row>
    <row r="426" spans="2:115" ht="15.75">
      <c r="B426" s="53" t="s">
        <v>2478</v>
      </c>
      <c r="C426" s="53"/>
      <c r="D426" s="54">
        <f t="shared" ref="D426:AA426" si="221">D425/D423</f>
        <v>0.63856960408684549</v>
      </c>
      <c r="E426" s="54">
        <f t="shared" si="221"/>
        <v>0.64091102596849725</v>
      </c>
      <c r="F426" s="54">
        <f t="shared" si="221"/>
        <v>0.69738392646712222</v>
      </c>
      <c r="G426" s="54">
        <f t="shared" si="221"/>
        <v>0.69502710346452978</v>
      </c>
      <c r="H426" s="54">
        <f t="shared" si="221"/>
        <v>0.61257035647279545</v>
      </c>
      <c r="I426" s="54">
        <f t="shared" si="221"/>
        <v>0.60553633217993075</v>
      </c>
      <c r="J426" s="54">
        <f t="shared" si="221"/>
        <v>0.5090552040148375</v>
      </c>
      <c r="K426" s="54">
        <f t="shared" si="221"/>
        <v>0.50981647460520696</v>
      </c>
      <c r="L426" s="54">
        <f t="shared" si="221"/>
        <v>0.49670239076669415</v>
      </c>
      <c r="M426" s="54">
        <f t="shared" si="221"/>
        <v>0.49693627450980393</v>
      </c>
      <c r="N426" s="54">
        <f t="shared" si="221"/>
        <v>0.49707011517478283</v>
      </c>
      <c r="O426" s="54">
        <f t="shared" si="221"/>
        <v>0.48711440843420534</v>
      </c>
      <c r="P426" s="54">
        <f t="shared" si="221"/>
        <v>0.48052691867124858</v>
      </c>
      <c r="Q426" s="54">
        <f t="shared" si="221"/>
        <v>0.45748330023469941</v>
      </c>
      <c r="R426" s="54">
        <f t="shared" si="221"/>
        <v>0.46136081009060226</v>
      </c>
      <c r="S426" s="54">
        <f t="shared" si="221"/>
        <v>0.46778418019905704</v>
      </c>
      <c r="T426" s="54">
        <f t="shared" si="221"/>
        <v>0.48132851488556183</v>
      </c>
      <c r="U426" s="54">
        <f t="shared" si="221"/>
        <v>0.4756036636136553</v>
      </c>
      <c r="V426" s="54">
        <f t="shared" si="221"/>
        <v>0.48346097441746777</v>
      </c>
      <c r="W426" s="54">
        <f t="shared" si="221"/>
        <v>0.48832716148768313</v>
      </c>
      <c r="X426" s="54">
        <f t="shared" si="221"/>
        <v>0.49761526232114467</v>
      </c>
      <c r="Y426" s="54">
        <f t="shared" si="221"/>
        <v>0.50534759358288772</v>
      </c>
      <c r="Z426" s="54">
        <f t="shared" si="221"/>
        <v>0.51082920792079212</v>
      </c>
      <c r="AA426" s="54">
        <f t="shared" si="221"/>
        <v>0.49526862026862023</v>
      </c>
      <c r="AB426" s="54">
        <f t="shared" ref="AB426:AI426" si="222">AB425/AB423</f>
        <v>0.49046689686233297</v>
      </c>
      <c r="AC426" s="54">
        <f t="shared" si="222"/>
        <v>0.48497348261638185</v>
      </c>
      <c r="AD426" s="54">
        <f t="shared" si="222"/>
        <v>0.4838850809391862</v>
      </c>
      <c r="AE426" s="54">
        <f t="shared" si="222"/>
        <v>0.48707581227436825</v>
      </c>
      <c r="AF426" s="54">
        <f t="shared" si="222"/>
        <v>0.4906636024130997</v>
      </c>
      <c r="AG426" s="54">
        <f t="shared" si="222"/>
        <v>0.48987161198288154</v>
      </c>
      <c r="AH426" s="54">
        <f t="shared" si="222"/>
        <v>0.46920900148228001</v>
      </c>
      <c r="AI426" s="54" t="e">
        <f t="shared" si="222"/>
        <v>#DIV/0!</v>
      </c>
      <c r="AL426" s="53"/>
      <c r="AM426" s="53"/>
      <c r="AN426" s="53"/>
      <c r="AO426" s="53"/>
      <c r="AP426" s="53"/>
      <c r="AQ426" s="53"/>
      <c r="AR426" s="53"/>
      <c r="AT426" s="53"/>
      <c r="AU426" s="53"/>
      <c r="AV426" s="53"/>
      <c r="AW426" s="53"/>
      <c r="AX426" s="53"/>
      <c r="AY426" s="53"/>
      <c r="AZ426" s="53"/>
      <c r="BA426" s="53"/>
      <c r="BB426" s="53"/>
      <c r="BC426" s="53"/>
      <c r="BD426" s="53"/>
      <c r="BE426" s="53"/>
      <c r="BF426" s="53"/>
      <c r="BG426" s="53"/>
      <c r="CN426" s="621"/>
      <c r="CO426" s="621"/>
    </row>
    <row r="427" spans="2:115" ht="15.75">
      <c r="B427" s="53" t="str">
        <f>B415</f>
        <v>Fixed RGUs</v>
      </c>
      <c r="C427" s="53"/>
      <c r="D427" s="53">
        <f t="shared" ref="D427:W427" si="223">SUM(D429:D431)</f>
        <v>484.4</v>
      </c>
      <c r="E427" s="53">
        <f t="shared" si="223"/>
        <v>496.8</v>
      </c>
      <c r="F427" s="621">
        <f t="shared" si="223"/>
        <v>496</v>
      </c>
      <c r="G427" s="621">
        <f t="shared" si="223"/>
        <v>496.2</v>
      </c>
      <c r="H427" s="621">
        <f t="shared" si="223"/>
        <v>439.59999999999997</v>
      </c>
      <c r="I427" s="621">
        <f t="shared" si="223"/>
        <v>457.5</v>
      </c>
      <c r="J427" s="621">
        <f t="shared" si="223"/>
        <v>447.9</v>
      </c>
      <c r="K427" s="621">
        <f t="shared" si="223"/>
        <v>464.4</v>
      </c>
      <c r="L427" s="621">
        <f t="shared" si="223"/>
        <v>479.09999999999997</v>
      </c>
      <c r="M427" s="621">
        <f t="shared" si="223"/>
        <v>491.9</v>
      </c>
      <c r="N427" s="621">
        <f t="shared" si="223"/>
        <v>505.4</v>
      </c>
      <c r="O427" s="621">
        <f t="shared" si="223"/>
        <v>514.90000000000009</v>
      </c>
      <c r="P427" s="621">
        <f t="shared" si="223"/>
        <v>522</v>
      </c>
      <c r="Q427" s="621">
        <f t="shared" si="223"/>
        <v>527.1</v>
      </c>
      <c r="R427" s="621">
        <f t="shared" si="223"/>
        <v>542.1</v>
      </c>
      <c r="S427" s="621">
        <f t="shared" si="223"/>
        <v>566.79999999999995</v>
      </c>
      <c r="T427" s="621">
        <f t="shared" si="223"/>
        <v>587.79999999999995</v>
      </c>
      <c r="U427" s="621">
        <f t="shared" si="223"/>
        <v>606.9</v>
      </c>
      <c r="V427" s="621">
        <f t="shared" si="223"/>
        <v>634.20000000000005</v>
      </c>
      <c r="W427" s="621">
        <f t="shared" si="223"/>
        <v>656.2</v>
      </c>
      <c r="X427" s="621">
        <f t="shared" ref="X427:AG427" si="224">SUM(X429:X431)</f>
        <v>682.5</v>
      </c>
      <c r="Y427" s="621">
        <f t="shared" si="224"/>
        <v>706.4</v>
      </c>
      <c r="Z427" s="621">
        <f t="shared" si="224"/>
        <v>733.4</v>
      </c>
      <c r="AA427" s="621">
        <f t="shared" si="224"/>
        <v>725.3</v>
      </c>
      <c r="AB427" s="621">
        <f t="shared" si="224"/>
        <v>727.1</v>
      </c>
      <c r="AC427" s="621">
        <f t="shared" si="224"/>
        <v>732.8</v>
      </c>
      <c r="AD427" s="621">
        <f t="shared" ref="AD427" si="225">SUM(AD429:AD431)</f>
        <v>741.09999999999991</v>
      </c>
      <c r="AE427" s="621">
        <f t="shared" si="224"/>
        <v>756.90000000000009</v>
      </c>
      <c r="AF427" s="621">
        <f t="shared" si="224"/>
        <v>767.59999999999991</v>
      </c>
      <c r="AG427" s="621">
        <f t="shared" si="224"/>
        <v>775.09999999999991</v>
      </c>
      <c r="AH427" s="621">
        <f t="shared" ref="AH427:AI427" si="226">SUM(AH429:AH431)</f>
        <v>787.8</v>
      </c>
      <c r="AI427" s="621">
        <f t="shared" si="226"/>
        <v>0</v>
      </c>
      <c r="AL427" s="53" t="str">
        <f>B427</f>
        <v>Fixed RGUs</v>
      </c>
      <c r="AM427" s="53"/>
      <c r="AN427" s="53">
        <f>SUM(AN429:AN431)</f>
        <v>7.9</v>
      </c>
      <c r="AO427" s="53">
        <f>E427-D427</f>
        <v>12.400000000000034</v>
      </c>
      <c r="AP427" s="53"/>
      <c r="AQ427" s="53">
        <f>F427-E427</f>
        <v>-0.80000000000001137</v>
      </c>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f>H427-G427</f>
        <v>-56.600000000000023</v>
      </c>
      <c r="BN427" s="53">
        <f>BM427+44.2</f>
        <v>-12.40000000000002</v>
      </c>
      <c r="BO427" s="53">
        <f>I427-H427</f>
        <v>17.900000000000034</v>
      </c>
      <c r="BP427" s="53"/>
      <c r="BQ427" s="53"/>
      <c r="BR427" s="53"/>
      <c r="BS427" s="53"/>
      <c r="BT427" s="53">
        <f>J427-I427</f>
        <v>-9.6000000000000227</v>
      </c>
      <c r="BU427" s="53"/>
      <c r="BV427" s="53">
        <f>J427-I427</f>
        <v>-9.6000000000000227</v>
      </c>
      <c r="BW427" s="53">
        <f>BV427+39.1</f>
        <v>29.499999999999979</v>
      </c>
      <c r="BX427" s="53">
        <f>K427-J427</f>
        <v>16.5</v>
      </c>
      <c r="BZ427" s="53">
        <f>L427-K427</f>
        <v>14.699999999999989</v>
      </c>
      <c r="CA427" s="53">
        <f>BZ427</f>
        <v>14.699999999999989</v>
      </c>
      <c r="CB427" s="621">
        <f>M427-L427</f>
        <v>12.800000000000011</v>
      </c>
      <c r="CC427" s="621">
        <f>N427-M427</f>
        <v>13.5</v>
      </c>
      <c r="CE427" s="621">
        <f>O427-N427</f>
        <v>9.5000000000001137</v>
      </c>
      <c r="CF427" s="639">
        <f>CE427</f>
        <v>9.5000000000001137</v>
      </c>
      <c r="CG427" s="621">
        <f>P427-O427</f>
        <v>7.0999999999999091</v>
      </c>
      <c r="CH427" s="639">
        <f>CG427</f>
        <v>7.0999999999999091</v>
      </c>
      <c r="CI427" s="639"/>
      <c r="CJ427" s="621">
        <f>Q427-P427</f>
        <v>5.1000000000000227</v>
      </c>
      <c r="CL427" s="621">
        <f>R427-Q427</f>
        <v>15</v>
      </c>
      <c r="CN427" s="621">
        <f>S427-R427</f>
        <v>24.699999999999932</v>
      </c>
      <c r="CO427" s="621">
        <f>T427-S427</f>
        <v>21</v>
      </c>
      <c r="CQ427" s="621">
        <f>U427-T427</f>
        <v>19.100000000000023</v>
      </c>
      <c r="CS427" s="621">
        <f t="shared" ref="CS427:CZ427" si="227">V427-U427</f>
        <v>27.300000000000068</v>
      </c>
      <c r="CT427" s="621">
        <f t="shared" si="227"/>
        <v>22</v>
      </c>
      <c r="CU427" s="621">
        <f t="shared" si="227"/>
        <v>26.299999999999955</v>
      </c>
      <c r="CV427" s="621">
        <f t="shared" si="227"/>
        <v>23.899999999999977</v>
      </c>
      <c r="CW427" s="621">
        <f t="shared" si="227"/>
        <v>27</v>
      </c>
      <c r="CX427" s="621">
        <f t="shared" si="227"/>
        <v>-8.1000000000000227</v>
      </c>
      <c r="CY427" s="621">
        <f t="shared" si="227"/>
        <v>1.8000000000000682</v>
      </c>
      <c r="CZ427" s="621">
        <f t="shared" si="227"/>
        <v>5.6999999999999318</v>
      </c>
      <c r="DA427" s="1069">
        <f>CZ427</f>
        <v>5.6999999999999318</v>
      </c>
      <c r="DB427" s="621">
        <f>AD427-AC427</f>
        <v>8.2999999999999545</v>
      </c>
      <c r="DC427" s="62">
        <f>DB427</f>
        <v>8.2999999999999545</v>
      </c>
      <c r="DD427" s="621">
        <f>AE427-AD427</f>
        <v>15.800000000000182</v>
      </c>
      <c r="DE427" s="62">
        <f>DD427</f>
        <v>15.800000000000182</v>
      </c>
      <c r="DF427" s="621">
        <f>AF427-AE427</f>
        <v>10.699999999999818</v>
      </c>
      <c r="DG427" s="62">
        <f>DF427</f>
        <v>10.699999999999818</v>
      </c>
      <c r="DH427" s="621">
        <f>AG427-AF427</f>
        <v>7.5</v>
      </c>
      <c r="DI427" s="62">
        <f>DH427</f>
        <v>7.5</v>
      </c>
      <c r="DJ427" s="621">
        <f>AH427-AG427</f>
        <v>12.700000000000045</v>
      </c>
      <c r="DK427" s="621">
        <f>AI427-AH427</f>
        <v>-787.8</v>
      </c>
    </row>
    <row r="428" spans="2:115" ht="15.75">
      <c r="B428" s="53" t="s">
        <v>2242</v>
      </c>
      <c r="C428" s="53"/>
      <c r="D428" s="685">
        <f t="shared" ref="D428:W428" si="228">D427/D425</f>
        <v>1.6146666666666667</v>
      </c>
      <c r="E428" s="685">
        <f t="shared" si="228"/>
        <v>1.6499501826635667</v>
      </c>
      <c r="F428" s="685">
        <f t="shared" si="228"/>
        <v>1.6762419736397434</v>
      </c>
      <c r="G428" s="685">
        <f t="shared" si="228"/>
        <v>1.6826042726347916</v>
      </c>
      <c r="H428" s="685">
        <f t="shared" si="228"/>
        <v>1.683001531393568</v>
      </c>
      <c r="I428" s="685">
        <f t="shared" si="228"/>
        <v>1.7428571428571429</v>
      </c>
      <c r="J428" s="685">
        <f t="shared" si="228"/>
        <v>1.9198456922417486</v>
      </c>
      <c r="K428" s="685">
        <f t="shared" si="228"/>
        <v>1.9439095856006696</v>
      </c>
      <c r="L428" s="685">
        <f t="shared" si="228"/>
        <v>1.9879668049792529</v>
      </c>
      <c r="M428" s="685">
        <f t="shared" si="228"/>
        <v>2.0217838060008217</v>
      </c>
      <c r="N428" s="685">
        <f t="shared" si="228"/>
        <v>2.0544715447154469</v>
      </c>
      <c r="O428" s="685">
        <f t="shared" si="228"/>
        <v>2.0637274549098201</v>
      </c>
      <c r="P428" s="685">
        <f t="shared" si="228"/>
        <v>2.0738974970202624</v>
      </c>
      <c r="Q428" s="685">
        <f t="shared" si="228"/>
        <v>2.0801104972375692</v>
      </c>
      <c r="R428" s="685">
        <f t="shared" si="228"/>
        <v>2.0874085483249907</v>
      </c>
      <c r="S428" s="685">
        <f t="shared" si="228"/>
        <v>2.1157148189622994</v>
      </c>
      <c r="T428" s="685">
        <f t="shared" si="228"/>
        <v>2.1015373614587056</v>
      </c>
      <c r="U428" s="685">
        <f t="shared" si="228"/>
        <v>2.1249999999999996</v>
      </c>
      <c r="V428" s="685">
        <f t="shared" si="228"/>
        <v>2.1375126390293229</v>
      </c>
      <c r="W428" s="685">
        <f t="shared" si="228"/>
        <v>2.1635344543356414</v>
      </c>
      <c r="X428" s="685">
        <f t="shared" ref="X428:AG428" si="229">X427/X425</f>
        <v>2.180511182108626</v>
      </c>
      <c r="Y428" s="685">
        <f t="shared" si="229"/>
        <v>2.1985683162153751</v>
      </c>
      <c r="Z428" s="685">
        <f t="shared" si="229"/>
        <v>2.2210781344639612</v>
      </c>
      <c r="AA428" s="685">
        <f t="shared" si="229"/>
        <v>2.2351309707241911</v>
      </c>
      <c r="AB428" s="685">
        <f t="shared" si="229"/>
        <v>2.2255892255892258</v>
      </c>
      <c r="AC428" s="685">
        <f t="shared" si="229"/>
        <v>2.2260024301336574</v>
      </c>
      <c r="AD428" s="685">
        <f t="shared" ref="AD428" si="230">AD427/AD425</f>
        <v>2.2335744424352018</v>
      </c>
      <c r="AE428" s="685">
        <f t="shared" si="229"/>
        <v>2.2439964423361993</v>
      </c>
      <c r="AF428" s="685">
        <f t="shared" si="229"/>
        <v>2.2470725995316156</v>
      </c>
      <c r="AG428" s="685">
        <f t="shared" si="229"/>
        <v>2.2571345369831102</v>
      </c>
      <c r="AH428" s="685">
        <f t="shared" ref="AH428:AI428" si="231">AH427/AH425</f>
        <v>2.2624928202182653</v>
      </c>
      <c r="AI428" s="685" t="e">
        <f t="shared" si="231"/>
        <v>#DIV/0!</v>
      </c>
      <c r="AL428" s="53"/>
      <c r="AM428" s="53"/>
      <c r="AN428" s="53"/>
      <c r="AO428" s="53"/>
      <c r="AP428" s="53"/>
      <c r="AQ428" s="53"/>
      <c r="AR428" s="53"/>
      <c r="AT428" s="53"/>
      <c r="AU428" s="53"/>
      <c r="AV428" s="53"/>
      <c r="AW428" s="53"/>
      <c r="AX428" s="53"/>
      <c r="AY428" s="53"/>
      <c r="AZ428" s="53"/>
      <c r="BA428" s="53"/>
      <c r="BB428" s="53"/>
      <c r="BC428" s="53"/>
      <c r="BD428" s="53"/>
      <c r="BE428" s="53"/>
      <c r="BF428" s="53"/>
      <c r="BG428" s="53"/>
      <c r="BV428" s="53"/>
      <c r="BW428" s="53"/>
    </row>
    <row r="429" spans="2:115" ht="15.75">
      <c r="B429" s="53" t="str">
        <f>B417</f>
        <v>Video</v>
      </c>
      <c r="C429" s="53"/>
      <c r="D429" s="53">
        <v>104.8</v>
      </c>
      <c r="E429" s="53">
        <v>105.5</v>
      </c>
      <c r="F429" s="53">
        <v>102.5</v>
      </c>
      <c r="G429" s="53">
        <v>98</v>
      </c>
      <c r="H429" s="53">
        <v>95.2</v>
      </c>
      <c r="I429" s="53">
        <v>97.2</v>
      </c>
      <c r="J429" s="53">
        <v>102.5</v>
      </c>
      <c r="K429" s="53">
        <v>105.5</v>
      </c>
      <c r="L429" s="53">
        <v>110.6</v>
      </c>
      <c r="M429" s="53">
        <v>115.4</v>
      </c>
      <c r="N429" s="53">
        <v>118.1</v>
      </c>
      <c r="O429" s="53">
        <v>117.3</v>
      </c>
      <c r="P429" s="53">
        <v>118.7</v>
      </c>
      <c r="Q429" s="53">
        <v>120.2</v>
      </c>
      <c r="R429" s="53">
        <v>119.2</v>
      </c>
      <c r="S429" s="53">
        <v>121.2</v>
      </c>
      <c r="T429" s="53">
        <v>123.7</v>
      </c>
      <c r="U429" s="53">
        <v>126.4</v>
      </c>
      <c r="V429" s="53">
        <v>128.4</v>
      </c>
      <c r="W429" s="53">
        <v>130.30000000000001</v>
      </c>
      <c r="X429" s="53">
        <v>132.69999999999999</v>
      </c>
      <c r="Y429" s="53">
        <v>135.30000000000001</v>
      </c>
      <c r="Z429" s="53">
        <v>138.80000000000001</v>
      </c>
      <c r="AA429" s="53">
        <v>137.19999999999999</v>
      </c>
      <c r="AB429" s="53">
        <v>134.4</v>
      </c>
      <c r="AC429" s="53">
        <v>132.4</v>
      </c>
      <c r="AD429" s="53">
        <v>132</v>
      </c>
      <c r="AE429" s="53">
        <v>131.30000000000001</v>
      </c>
      <c r="AF429" s="53">
        <v>130.4</v>
      </c>
      <c r="AG429" s="53">
        <v>129.69999999999999</v>
      </c>
      <c r="AH429" s="53">
        <v>130</v>
      </c>
      <c r="AL429" s="53" t="str">
        <f>B429</f>
        <v>Video</v>
      </c>
      <c r="AM429" s="53"/>
      <c r="AN429" s="53">
        <v>2.2000000000000002</v>
      </c>
      <c r="AO429" s="53">
        <f>E429-D429</f>
        <v>0.70000000000000284</v>
      </c>
      <c r="AP429" s="53"/>
      <c r="AQ429" s="53">
        <f>F429-E429</f>
        <v>-3</v>
      </c>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f>H429-G429</f>
        <v>-2.7999999999999972</v>
      </c>
      <c r="BN429" s="53">
        <f>BM429</f>
        <v>-2.7999999999999972</v>
      </c>
      <c r="BO429" s="53">
        <f>I429-H429</f>
        <v>2</v>
      </c>
      <c r="BP429" s="53"/>
      <c r="BQ429" s="53"/>
      <c r="BR429" s="53"/>
      <c r="BS429" s="53"/>
      <c r="BT429" s="53">
        <f>J429-I429</f>
        <v>5.2999999999999972</v>
      </c>
      <c r="BU429" s="53"/>
      <c r="BV429" s="53">
        <f>J429-I429</f>
        <v>5.2999999999999972</v>
      </c>
      <c r="BW429" s="53">
        <f>BV429</f>
        <v>5.2999999999999972</v>
      </c>
      <c r="BX429" s="53">
        <f>K429-J429</f>
        <v>3</v>
      </c>
      <c r="BZ429" s="53">
        <f>L429-K429</f>
        <v>5.0999999999999943</v>
      </c>
      <c r="CA429" s="53">
        <f>BZ429</f>
        <v>5.0999999999999943</v>
      </c>
      <c r="CB429" s="53">
        <f t="shared" ref="CB429:CC432" si="232">M429-L429</f>
        <v>4.8000000000000114</v>
      </c>
      <c r="CC429" s="53">
        <f t="shared" si="232"/>
        <v>2.6999999999999886</v>
      </c>
      <c r="CE429" s="53">
        <f>O429-N429</f>
        <v>-0.79999999999999716</v>
      </c>
      <c r="CF429" s="639">
        <f>CE429</f>
        <v>-0.79999999999999716</v>
      </c>
      <c r="CG429" s="621">
        <f>P429-O429</f>
        <v>1.4000000000000057</v>
      </c>
      <c r="CH429" s="639">
        <f>CG429</f>
        <v>1.4000000000000057</v>
      </c>
      <c r="CI429" s="639"/>
      <c r="CJ429" s="621">
        <f>Q429-P429</f>
        <v>1.5</v>
      </c>
      <c r="CL429" s="621">
        <f>R429-Q429</f>
        <v>-1</v>
      </c>
      <c r="CN429" s="621">
        <f t="shared" ref="CN429:CO432" si="233">S429-R429</f>
        <v>2</v>
      </c>
      <c r="CO429" s="621">
        <f t="shared" si="233"/>
        <v>2.5</v>
      </c>
      <c r="CQ429" s="621">
        <f>U429-T429</f>
        <v>2.7000000000000028</v>
      </c>
      <c r="CS429" s="621">
        <f t="shared" ref="CS429:CZ432" si="234">V429-U429</f>
        <v>2</v>
      </c>
      <c r="CT429" s="621">
        <f t="shared" si="234"/>
        <v>1.9000000000000057</v>
      </c>
      <c r="CU429" s="621">
        <f t="shared" si="234"/>
        <v>2.3999999999999773</v>
      </c>
      <c r="CV429" s="621">
        <f t="shared" si="234"/>
        <v>2.6000000000000227</v>
      </c>
      <c r="CW429" s="621">
        <f t="shared" si="234"/>
        <v>3.5</v>
      </c>
      <c r="CX429" s="621">
        <f t="shared" si="234"/>
        <v>-1.6000000000000227</v>
      </c>
      <c r="CY429" s="621">
        <f t="shared" si="234"/>
        <v>-2.7999999999999829</v>
      </c>
      <c r="CZ429" s="621">
        <f t="shared" si="234"/>
        <v>-2</v>
      </c>
      <c r="DA429" s="1069">
        <f>CZ429</f>
        <v>-2</v>
      </c>
      <c r="DB429" s="621">
        <f>AD429-AC429</f>
        <v>-0.40000000000000568</v>
      </c>
      <c r="DC429" s="62">
        <f t="shared" ref="DC429:DC432" si="235">DB429</f>
        <v>-0.40000000000000568</v>
      </c>
      <c r="DD429" s="621">
        <f>AE429-AD429</f>
        <v>-0.69999999999998863</v>
      </c>
      <c r="DE429" s="62">
        <f t="shared" ref="DE429:DE431" si="236">DD429</f>
        <v>-0.69999999999998863</v>
      </c>
      <c r="DF429" s="621">
        <f>AF429-AE429</f>
        <v>-0.90000000000000568</v>
      </c>
      <c r="DG429" s="62">
        <f t="shared" ref="DG429:DG431" si="237">DF429</f>
        <v>-0.90000000000000568</v>
      </c>
      <c r="DH429" s="621">
        <f>AG429-AF429</f>
        <v>-0.70000000000001705</v>
      </c>
      <c r="DI429" s="62">
        <f>DH429</f>
        <v>-0.70000000000001705</v>
      </c>
      <c r="DJ429" s="621">
        <f t="shared" ref="DJ429:DK432" si="238">AH429-AG429</f>
        <v>0.30000000000001137</v>
      </c>
      <c r="DK429" s="621">
        <f t="shared" si="238"/>
        <v>-130</v>
      </c>
    </row>
    <row r="430" spans="2:115" ht="15.75">
      <c r="B430" s="53" t="str">
        <f>B418</f>
        <v>BB</v>
      </c>
      <c r="C430" s="53">
        <v>165</v>
      </c>
      <c r="D430" s="53">
        <v>168.1</v>
      </c>
      <c r="E430" s="53">
        <v>173</v>
      </c>
      <c r="F430" s="53">
        <v>172.3</v>
      </c>
      <c r="G430" s="53">
        <v>174.4</v>
      </c>
      <c r="H430" s="53">
        <v>148.19999999999999</v>
      </c>
      <c r="I430" s="53">
        <v>153.69999999999999</v>
      </c>
      <c r="J430" s="53">
        <v>168.5</v>
      </c>
      <c r="K430" s="53">
        <v>176</v>
      </c>
      <c r="L430" s="53">
        <v>180.2</v>
      </c>
      <c r="M430" s="53">
        <v>183.6</v>
      </c>
      <c r="N430" s="53">
        <v>190.6</v>
      </c>
      <c r="O430" s="53">
        <v>197.3</v>
      </c>
      <c r="P430" s="53">
        <v>201.8</v>
      </c>
      <c r="Q430" s="53">
        <v>205.1</v>
      </c>
      <c r="R430" s="53">
        <v>211.8</v>
      </c>
      <c r="S430" s="53">
        <v>227.7</v>
      </c>
      <c r="T430" s="53">
        <v>236.6</v>
      </c>
      <c r="U430" s="53">
        <v>246.5</v>
      </c>
      <c r="V430" s="53">
        <v>259.60000000000002</v>
      </c>
      <c r="W430" s="53">
        <v>268.7</v>
      </c>
      <c r="X430" s="53">
        <v>279.89999999999998</v>
      </c>
      <c r="Y430" s="53">
        <v>289.89999999999998</v>
      </c>
      <c r="Z430" s="53">
        <v>300.2</v>
      </c>
      <c r="AA430" s="53">
        <v>296.39999999999998</v>
      </c>
      <c r="AB430" s="53">
        <v>300.2</v>
      </c>
      <c r="AC430" s="53">
        <v>304.10000000000002</v>
      </c>
      <c r="AD430" s="53">
        <v>308.2</v>
      </c>
      <c r="AE430" s="53">
        <v>315.60000000000002</v>
      </c>
      <c r="AF430" s="53">
        <v>321.39999999999998</v>
      </c>
      <c r="AG430" s="53">
        <v>325</v>
      </c>
      <c r="AH430" s="53">
        <v>330.9</v>
      </c>
      <c r="AL430" s="53" t="str">
        <f>B430</f>
        <v>BB</v>
      </c>
      <c r="AM430" s="53"/>
      <c r="AN430" s="53">
        <v>0.9</v>
      </c>
      <c r="AO430" s="53">
        <f>E430-D430</f>
        <v>4.9000000000000057</v>
      </c>
      <c r="AP430" s="53"/>
      <c r="AQ430" s="53">
        <f>F430-E430</f>
        <v>-0.69999999999998863</v>
      </c>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f>H430-G430</f>
        <v>-26.200000000000017</v>
      </c>
      <c r="BN430" s="53">
        <f>BM430+23.1</f>
        <v>-3.1000000000000156</v>
      </c>
      <c r="BO430" s="53">
        <f>I430-H430</f>
        <v>5.5</v>
      </c>
      <c r="BP430" s="53"/>
      <c r="BQ430" s="53"/>
      <c r="BR430" s="53"/>
      <c r="BS430" s="53"/>
      <c r="BT430" s="53">
        <f>J430-I430</f>
        <v>14.800000000000011</v>
      </c>
      <c r="BU430" s="53"/>
      <c r="BV430" s="53">
        <f>J430-I430</f>
        <v>14.800000000000011</v>
      </c>
      <c r="BW430" s="53">
        <f>BV430</f>
        <v>14.800000000000011</v>
      </c>
      <c r="BX430" s="53">
        <f>K430-J430</f>
        <v>7.5</v>
      </c>
      <c r="BZ430" s="53">
        <f>L430-K430</f>
        <v>4.1999999999999886</v>
      </c>
      <c r="CA430" s="53">
        <f>BZ430</f>
        <v>4.1999999999999886</v>
      </c>
      <c r="CB430" s="53">
        <f t="shared" si="232"/>
        <v>3.4000000000000057</v>
      </c>
      <c r="CC430" s="53">
        <f t="shared" si="232"/>
        <v>7</v>
      </c>
      <c r="CE430" s="53">
        <f>O430-N430</f>
        <v>6.7000000000000171</v>
      </c>
      <c r="CF430" s="639">
        <f>CE430</f>
        <v>6.7000000000000171</v>
      </c>
      <c r="CG430" s="621">
        <f>P430-O430</f>
        <v>4.5</v>
      </c>
      <c r="CH430" s="639">
        <f>CG430</f>
        <v>4.5</v>
      </c>
      <c r="CI430" s="639"/>
      <c r="CJ430" s="621">
        <f>Q430-P430</f>
        <v>3.2999999999999829</v>
      </c>
      <c r="CL430" s="621">
        <f>R430-Q430</f>
        <v>6.7000000000000171</v>
      </c>
      <c r="CN430" s="621">
        <f t="shared" si="233"/>
        <v>15.899999999999977</v>
      </c>
      <c r="CO430" s="621">
        <f t="shared" si="233"/>
        <v>8.9000000000000057</v>
      </c>
      <c r="CQ430" s="621">
        <f>U430-T430</f>
        <v>9.9000000000000057</v>
      </c>
      <c r="CS430" s="621">
        <f t="shared" si="234"/>
        <v>13.100000000000023</v>
      </c>
      <c r="CT430" s="621">
        <f t="shared" si="234"/>
        <v>9.0999999999999659</v>
      </c>
      <c r="CU430" s="621">
        <f t="shared" si="234"/>
        <v>11.199999999999989</v>
      </c>
      <c r="CV430" s="621">
        <f t="shared" si="234"/>
        <v>10</v>
      </c>
      <c r="CW430" s="621">
        <f t="shared" si="234"/>
        <v>10.300000000000011</v>
      </c>
      <c r="CX430" s="621">
        <f t="shared" si="234"/>
        <v>-3.8000000000000114</v>
      </c>
      <c r="CY430" s="621">
        <f t="shared" si="234"/>
        <v>3.8000000000000114</v>
      </c>
      <c r="CZ430" s="621">
        <f t="shared" si="234"/>
        <v>3.9000000000000341</v>
      </c>
      <c r="DA430" s="1069">
        <f>CZ430</f>
        <v>3.9000000000000341</v>
      </c>
      <c r="DB430" s="621">
        <f>AD430-AC430</f>
        <v>4.0999999999999659</v>
      </c>
      <c r="DC430" s="62">
        <f t="shared" si="235"/>
        <v>4.0999999999999659</v>
      </c>
      <c r="DD430" s="621">
        <f>AE430-AD430</f>
        <v>7.4000000000000341</v>
      </c>
      <c r="DE430" s="62">
        <f t="shared" si="236"/>
        <v>7.4000000000000341</v>
      </c>
      <c r="DF430" s="621">
        <f>AF430-AE430</f>
        <v>5.7999999999999545</v>
      </c>
      <c r="DG430" s="62">
        <f t="shared" si="237"/>
        <v>5.7999999999999545</v>
      </c>
      <c r="DH430" s="621">
        <f>AG430-AF430</f>
        <v>3.6000000000000227</v>
      </c>
      <c r="DI430" s="62">
        <f>DH430</f>
        <v>3.6000000000000227</v>
      </c>
      <c r="DJ430" s="621">
        <f t="shared" si="238"/>
        <v>5.8999999999999773</v>
      </c>
      <c r="DK430" s="621">
        <f t="shared" si="238"/>
        <v>-330.9</v>
      </c>
    </row>
    <row r="431" spans="2:115" ht="15.75">
      <c r="B431" s="53" t="str">
        <f>B419</f>
        <v>Telephony</v>
      </c>
      <c r="C431" s="53">
        <f>D431</f>
        <v>211.5</v>
      </c>
      <c r="D431" s="53">
        <v>211.5</v>
      </c>
      <c r="E431" s="53">
        <v>218.3</v>
      </c>
      <c r="F431" s="53">
        <v>221.2</v>
      </c>
      <c r="G431" s="53">
        <v>223.8</v>
      </c>
      <c r="H431" s="53">
        <v>196.2</v>
      </c>
      <c r="I431" s="53">
        <v>206.6</v>
      </c>
      <c r="J431" s="53">
        <v>176.9</v>
      </c>
      <c r="K431" s="53">
        <v>182.9</v>
      </c>
      <c r="L431" s="53">
        <v>188.3</v>
      </c>
      <c r="M431" s="53">
        <v>192.9</v>
      </c>
      <c r="N431" s="53">
        <v>196.7</v>
      </c>
      <c r="O431" s="53">
        <v>200.3</v>
      </c>
      <c r="P431" s="53">
        <v>201.5</v>
      </c>
      <c r="Q431" s="53">
        <v>201.8</v>
      </c>
      <c r="R431" s="53">
        <v>211.1</v>
      </c>
      <c r="S431" s="53">
        <v>217.9</v>
      </c>
      <c r="T431" s="53">
        <v>227.5</v>
      </c>
      <c r="U431" s="53">
        <v>234</v>
      </c>
      <c r="V431" s="53">
        <v>246.2</v>
      </c>
      <c r="W431" s="53">
        <v>257.2</v>
      </c>
      <c r="X431" s="53">
        <v>269.89999999999998</v>
      </c>
      <c r="Y431" s="53">
        <v>281.2</v>
      </c>
      <c r="Z431" s="53">
        <v>294.39999999999998</v>
      </c>
      <c r="AA431" s="53">
        <v>291.7</v>
      </c>
      <c r="AB431" s="53">
        <v>292.5</v>
      </c>
      <c r="AC431" s="53">
        <v>296.3</v>
      </c>
      <c r="AD431" s="53">
        <v>300.89999999999998</v>
      </c>
      <c r="AE431" s="53">
        <v>310</v>
      </c>
      <c r="AF431" s="53">
        <v>315.8</v>
      </c>
      <c r="AG431" s="53">
        <v>320.39999999999998</v>
      </c>
      <c r="AH431" s="53">
        <v>326.89999999999998</v>
      </c>
      <c r="AL431" s="53" t="str">
        <f>B431</f>
        <v>Telephony</v>
      </c>
      <c r="AM431" s="53"/>
      <c r="AN431" s="53">
        <v>4.8</v>
      </c>
      <c r="AO431" s="53">
        <f>E431-D431</f>
        <v>6.8000000000000114</v>
      </c>
      <c r="AP431" s="53"/>
      <c r="AQ431" s="53">
        <f>F431-E431</f>
        <v>2.8999999999999773</v>
      </c>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f>H431-G431</f>
        <v>-27.600000000000023</v>
      </c>
      <c r="BN431" s="53">
        <f>BM431+21.1</f>
        <v>-6.5000000000000213</v>
      </c>
      <c r="BO431" s="53">
        <f>I431-H431</f>
        <v>10.400000000000006</v>
      </c>
      <c r="BP431" s="53"/>
      <c r="BQ431" s="53"/>
      <c r="BR431" s="53"/>
      <c r="BS431" s="53"/>
      <c r="BT431" s="53">
        <f>J431-I431</f>
        <v>-29.699999999999989</v>
      </c>
      <c r="BU431" s="53"/>
      <c r="BV431" s="53">
        <f>J431-I431</f>
        <v>-29.699999999999989</v>
      </c>
      <c r="BW431" s="53">
        <f>BV431+39.1</f>
        <v>9.4000000000000128</v>
      </c>
      <c r="BX431" s="53">
        <f>K431-J431</f>
        <v>6</v>
      </c>
      <c r="BZ431" s="53">
        <f>L431-K431</f>
        <v>5.4000000000000057</v>
      </c>
      <c r="CA431" s="53">
        <f>BZ431</f>
        <v>5.4000000000000057</v>
      </c>
      <c r="CB431" s="53">
        <f t="shared" si="232"/>
        <v>4.5999999999999943</v>
      </c>
      <c r="CC431" s="53">
        <f t="shared" si="232"/>
        <v>3.7999999999999829</v>
      </c>
      <c r="CE431" s="53">
        <f>O431-N431</f>
        <v>3.6000000000000227</v>
      </c>
      <c r="CF431" s="639">
        <f>CE431</f>
        <v>3.6000000000000227</v>
      </c>
      <c r="CG431" s="621">
        <f>P431-O431</f>
        <v>1.1999999999999886</v>
      </c>
      <c r="CH431" s="639">
        <f>CG431</f>
        <v>1.1999999999999886</v>
      </c>
      <c r="CI431" s="639"/>
      <c r="CJ431" s="621">
        <f>Q431-P431</f>
        <v>0.30000000000001137</v>
      </c>
      <c r="CL431" s="621">
        <f>R431-Q431</f>
        <v>9.2999999999999829</v>
      </c>
      <c r="CN431" s="621">
        <f t="shared" si="233"/>
        <v>6.8000000000000114</v>
      </c>
      <c r="CO431" s="621">
        <f t="shared" si="233"/>
        <v>9.5999999999999943</v>
      </c>
      <c r="CQ431" s="621">
        <f>U431-T431</f>
        <v>6.5</v>
      </c>
      <c r="CS431" s="621">
        <f t="shared" si="234"/>
        <v>12.199999999999989</v>
      </c>
      <c r="CT431" s="621">
        <f t="shared" si="234"/>
        <v>11</v>
      </c>
      <c r="CU431" s="621">
        <f t="shared" si="234"/>
        <v>12.699999999999989</v>
      </c>
      <c r="CV431" s="621">
        <f t="shared" si="234"/>
        <v>11.300000000000011</v>
      </c>
      <c r="CW431" s="621">
        <f t="shared" si="234"/>
        <v>13.199999999999989</v>
      </c>
      <c r="CX431" s="621">
        <f t="shared" si="234"/>
        <v>-2.6999999999999886</v>
      </c>
      <c r="CY431" s="621">
        <f t="shared" si="234"/>
        <v>0.80000000000001137</v>
      </c>
      <c r="CZ431" s="621">
        <f t="shared" si="234"/>
        <v>3.8000000000000114</v>
      </c>
      <c r="DA431" s="1069">
        <f>CZ431</f>
        <v>3.8000000000000114</v>
      </c>
      <c r="DB431" s="621">
        <f>AD431-AC431</f>
        <v>4.5999999999999659</v>
      </c>
      <c r="DC431" s="62">
        <f t="shared" si="235"/>
        <v>4.5999999999999659</v>
      </c>
      <c r="DD431" s="621">
        <f>AE431-AD431</f>
        <v>9.1000000000000227</v>
      </c>
      <c r="DE431" s="62">
        <f t="shared" si="236"/>
        <v>9.1000000000000227</v>
      </c>
      <c r="DF431" s="621">
        <f>AF431-AE431</f>
        <v>5.8000000000000114</v>
      </c>
      <c r="DG431" s="62">
        <f t="shared" si="237"/>
        <v>5.8000000000000114</v>
      </c>
      <c r="DH431" s="621">
        <f>AG431-AF431</f>
        <v>4.5999999999999659</v>
      </c>
      <c r="DI431" s="62">
        <f>DH431</f>
        <v>4.5999999999999659</v>
      </c>
      <c r="DJ431" s="621">
        <f t="shared" si="238"/>
        <v>6.5</v>
      </c>
      <c r="DK431" s="621">
        <f t="shared" si="238"/>
        <v>-326.89999999999998</v>
      </c>
    </row>
    <row r="432" spans="2:115" ht="15.75">
      <c r="B432" s="53" t="s">
        <v>5</v>
      </c>
      <c r="C432" s="53"/>
      <c r="D432" s="53"/>
      <c r="E432" s="53">
        <v>888.8</v>
      </c>
      <c r="F432" s="53">
        <v>944.8</v>
      </c>
      <c r="G432" s="53">
        <v>934.9</v>
      </c>
      <c r="H432" s="53">
        <v>933.9</v>
      </c>
      <c r="I432" s="53">
        <v>930.5</v>
      </c>
      <c r="J432" s="53">
        <v>953.7</v>
      </c>
      <c r="K432" s="53">
        <v>941.5</v>
      </c>
      <c r="L432" s="53">
        <v>925.7</v>
      </c>
      <c r="M432" s="53">
        <v>919.3</v>
      </c>
      <c r="N432" s="53">
        <v>935.9</v>
      </c>
      <c r="O432" s="53">
        <v>922</v>
      </c>
      <c r="P432" s="53">
        <v>997.7</v>
      </c>
      <c r="Q432" s="53">
        <v>1020.8</v>
      </c>
      <c r="R432" s="53">
        <v>1073.0999999999999</v>
      </c>
      <c r="S432" s="53">
        <v>1054</v>
      </c>
      <c r="T432" s="53">
        <v>946.7</v>
      </c>
      <c r="U432" s="53">
        <v>965.8</v>
      </c>
      <c r="V432" s="53">
        <v>992.3</v>
      </c>
      <c r="W432" s="53">
        <v>1002.4</v>
      </c>
      <c r="X432" s="53">
        <v>1057.3</v>
      </c>
      <c r="Y432" s="53">
        <v>1081</v>
      </c>
      <c r="Z432" s="53">
        <v>1111.5</v>
      </c>
      <c r="AA432" s="53">
        <v>1114.9000000000001</v>
      </c>
      <c r="AB432" s="53">
        <v>1146.5</v>
      </c>
      <c r="AC432" s="53">
        <v>1180.4000000000001</v>
      </c>
      <c r="AD432" s="53">
        <v>1193.7</v>
      </c>
      <c r="AE432" s="53">
        <v>1205.7</v>
      </c>
      <c r="AF432" s="53">
        <v>1205.4000000000001</v>
      </c>
      <c r="AG432" s="53">
        <v>1207</v>
      </c>
      <c r="AH432" s="53">
        <v>1227.5</v>
      </c>
      <c r="AL432" s="53" t="str">
        <f>B432</f>
        <v>Mobile</v>
      </c>
      <c r="AM432" s="53"/>
      <c r="AN432" s="53"/>
      <c r="AO432" s="53"/>
      <c r="AP432" s="53"/>
      <c r="AQ432" s="53">
        <f>F432-E432</f>
        <v>56</v>
      </c>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f>H432-G432</f>
        <v>-1</v>
      </c>
      <c r="BN432" s="53">
        <f>BM432+3.9</f>
        <v>2.9</v>
      </c>
      <c r="BO432" s="53">
        <f>I432-H432</f>
        <v>-3.3999999999999773</v>
      </c>
      <c r="BP432" s="53"/>
      <c r="BQ432" s="53"/>
      <c r="BR432" s="53"/>
      <c r="BS432" s="53"/>
      <c r="BT432" s="53">
        <f>J432-I432</f>
        <v>23.200000000000045</v>
      </c>
      <c r="BU432" s="53"/>
      <c r="BV432" s="53">
        <f>J432-I432</f>
        <v>23.200000000000045</v>
      </c>
      <c r="BW432" s="53">
        <f>BV432</f>
        <v>23.200000000000045</v>
      </c>
      <c r="BX432" s="53">
        <f>K432-J432</f>
        <v>-12.200000000000045</v>
      </c>
      <c r="BZ432" s="53">
        <f>L432-K432</f>
        <v>-15.799999999999955</v>
      </c>
      <c r="CA432" s="53">
        <f>BZ432</f>
        <v>-15.799999999999955</v>
      </c>
      <c r="CB432" s="53">
        <f t="shared" si="232"/>
        <v>-6.4000000000000909</v>
      </c>
      <c r="CC432" s="53">
        <f t="shared" si="232"/>
        <v>16.600000000000023</v>
      </c>
      <c r="CE432" s="53">
        <f>O432-N432</f>
        <v>-13.899999999999977</v>
      </c>
      <c r="CF432" s="639">
        <f>CE432</f>
        <v>-13.899999999999977</v>
      </c>
      <c r="CG432" s="621">
        <f>P432-O432</f>
        <v>75.700000000000045</v>
      </c>
      <c r="CH432" s="639">
        <f>CG432</f>
        <v>75.700000000000045</v>
      </c>
      <c r="CI432" s="639"/>
      <c r="CJ432" s="621">
        <f>Q432-P432</f>
        <v>23.099999999999909</v>
      </c>
      <c r="CL432" s="621">
        <f>R432-Q432</f>
        <v>52.299999999999955</v>
      </c>
      <c r="CN432" s="621">
        <f t="shared" si="233"/>
        <v>-19.099999999999909</v>
      </c>
      <c r="CO432" s="621">
        <f t="shared" si="233"/>
        <v>-107.29999999999995</v>
      </c>
      <c r="CQ432" s="621">
        <f>U432-T432</f>
        <v>19.099999999999909</v>
      </c>
      <c r="CS432" s="621">
        <f t="shared" si="234"/>
        <v>26.5</v>
      </c>
      <c r="CT432" s="621">
        <f t="shared" si="234"/>
        <v>10.100000000000023</v>
      </c>
      <c r="CU432" s="621">
        <f t="shared" si="234"/>
        <v>54.899999999999977</v>
      </c>
      <c r="CV432" s="621">
        <f t="shared" si="234"/>
        <v>23.700000000000045</v>
      </c>
      <c r="CW432" s="621">
        <f t="shared" si="234"/>
        <v>30.5</v>
      </c>
      <c r="CX432" s="621">
        <f t="shared" si="234"/>
        <v>3.4000000000000909</v>
      </c>
      <c r="CY432" s="621">
        <f t="shared" si="234"/>
        <v>31.599999999999909</v>
      </c>
      <c r="CZ432" s="621">
        <f t="shared" si="234"/>
        <v>33.900000000000091</v>
      </c>
      <c r="DA432" s="62">
        <f>CZ432-10.6</f>
        <v>23.30000000000009</v>
      </c>
      <c r="DB432" s="621">
        <f>AD432-AC432</f>
        <v>13.299999999999955</v>
      </c>
      <c r="DC432" s="62">
        <f t="shared" si="235"/>
        <v>13.299999999999955</v>
      </c>
      <c r="DD432" s="621">
        <f>AE432-AD432</f>
        <v>12</v>
      </c>
      <c r="DE432" s="62">
        <f>DD432+10.7</f>
        <v>22.7</v>
      </c>
      <c r="DF432" s="621">
        <f>AF432-AE432</f>
        <v>-0.29999999999995453</v>
      </c>
      <c r="DG432" s="1069">
        <f>DF432+8.2</f>
        <v>7.9000000000000448</v>
      </c>
      <c r="DH432" s="621">
        <f>AG432-AF432</f>
        <v>1.5999999999999091</v>
      </c>
      <c r="DI432" s="62">
        <f>DH432</f>
        <v>1.5999999999999091</v>
      </c>
      <c r="DJ432" s="621">
        <f t="shared" si="238"/>
        <v>20.5</v>
      </c>
      <c r="DK432" s="621">
        <f t="shared" si="238"/>
        <v>-1227.5</v>
      </c>
    </row>
    <row r="433" spans="2:115" ht="15.75">
      <c r="B433" s="53"/>
      <c r="C433" s="53"/>
      <c r="D433" s="53"/>
      <c r="E433" s="53"/>
      <c r="F433" s="53"/>
      <c r="G433" s="53"/>
      <c r="H433" s="53"/>
      <c r="I433" s="53"/>
      <c r="AL433" s="53"/>
      <c r="AM433" s="53"/>
      <c r="AN433" s="53"/>
      <c r="AO433" s="53"/>
      <c r="AP433" s="53"/>
      <c r="AQ433" s="53"/>
      <c r="AR433" s="53"/>
      <c r="AT433" s="53"/>
      <c r="AU433" s="53"/>
      <c r="AV433" s="53"/>
      <c r="AW433" s="53"/>
      <c r="AX433" s="53"/>
      <c r="AY433" s="53"/>
      <c r="AZ433" s="53"/>
      <c r="BA433" s="53"/>
      <c r="BB433" s="53"/>
      <c r="BC433" s="53"/>
      <c r="BD433" s="53"/>
      <c r="BE433" s="53"/>
      <c r="BF433" s="53"/>
      <c r="BG433" s="53"/>
    </row>
    <row r="434" spans="2:115" ht="15.75">
      <c r="B434" s="78" t="s">
        <v>1479</v>
      </c>
      <c r="C434" s="53"/>
      <c r="D434" s="53"/>
      <c r="E434" s="53"/>
      <c r="F434" s="53"/>
      <c r="G434" s="53"/>
      <c r="H434" s="53"/>
      <c r="I434" s="53"/>
      <c r="AL434" s="78" t="str">
        <f>B434</f>
        <v>T&amp;T</v>
      </c>
      <c r="AM434" s="53"/>
      <c r="AN434" s="53"/>
      <c r="AO434" s="53"/>
      <c r="AP434" s="53"/>
      <c r="AQ434" s="53"/>
      <c r="AR434" s="53"/>
      <c r="AT434" s="53"/>
      <c r="AU434" s="53"/>
      <c r="AV434" s="53"/>
      <c r="AW434" s="53"/>
      <c r="AX434" s="53"/>
      <c r="AY434" s="53"/>
      <c r="AZ434" s="53"/>
      <c r="BA434" s="53"/>
      <c r="BB434" s="53"/>
      <c r="BC434" s="53"/>
      <c r="BD434" s="53"/>
      <c r="BE434" s="53"/>
      <c r="BF434" s="53"/>
      <c r="BG434" s="53"/>
    </row>
    <row r="435" spans="2:115" ht="15.75">
      <c r="B435" s="53" t="str">
        <f>B423</f>
        <v>Homes passed</v>
      </c>
      <c r="C435" s="53"/>
      <c r="D435" s="53">
        <v>310.5</v>
      </c>
      <c r="E435" s="53">
        <v>310.5</v>
      </c>
      <c r="F435" s="53">
        <v>310.5</v>
      </c>
      <c r="G435" s="53">
        <v>311.7</v>
      </c>
      <c r="H435" s="53">
        <v>312.89999999999998</v>
      </c>
      <c r="I435" s="53">
        <v>315.89999999999998</v>
      </c>
      <c r="J435" s="53">
        <v>316</v>
      </c>
      <c r="K435" s="53">
        <v>318.2</v>
      </c>
      <c r="L435" s="53">
        <v>321.3</v>
      </c>
      <c r="M435" s="53">
        <v>322.8</v>
      </c>
      <c r="N435" s="53">
        <v>324.5</v>
      </c>
      <c r="O435" s="53">
        <v>326.60000000000002</v>
      </c>
      <c r="P435" s="53">
        <v>327.8</v>
      </c>
      <c r="Q435" s="53">
        <v>329.2</v>
      </c>
      <c r="R435" s="53">
        <v>329.6</v>
      </c>
      <c r="S435" s="53">
        <v>330.2</v>
      </c>
      <c r="T435" s="53">
        <v>331.7</v>
      </c>
      <c r="U435" s="53">
        <v>333.1</v>
      </c>
      <c r="V435" s="53">
        <v>334.6</v>
      </c>
      <c r="W435" s="53">
        <v>335.2</v>
      </c>
      <c r="X435" s="53">
        <v>336.2</v>
      </c>
      <c r="Y435" s="53">
        <v>336.4</v>
      </c>
      <c r="Z435" s="53">
        <v>337.6</v>
      </c>
      <c r="AA435" s="53">
        <v>337.8</v>
      </c>
      <c r="AB435" s="53">
        <v>338.9</v>
      </c>
      <c r="AC435" s="53">
        <v>340.9</v>
      </c>
      <c r="AD435" s="53">
        <v>340.9</v>
      </c>
      <c r="AE435" s="53">
        <v>340.9</v>
      </c>
      <c r="AF435" s="53">
        <v>340.9</v>
      </c>
      <c r="AG435" s="53">
        <v>340.9</v>
      </c>
      <c r="AH435" s="53">
        <v>341.7</v>
      </c>
      <c r="AL435" s="53" t="str">
        <f>B435</f>
        <v>Homes passed</v>
      </c>
      <c r="AM435" s="53"/>
      <c r="AN435" s="53"/>
      <c r="AO435" s="53"/>
      <c r="AP435" s="53"/>
      <c r="AQ435" s="53"/>
      <c r="AR435" s="53"/>
      <c r="AT435" s="53"/>
      <c r="AU435" s="53"/>
      <c r="AV435" s="53"/>
      <c r="AW435" s="53"/>
      <c r="AX435" s="53"/>
      <c r="AY435" s="53"/>
      <c r="AZ435" s="53"/>
      <c r="BA435" s="53"/>
      <c r="BB435" s="53"/>
      <c r="BC435" s="53"/>
      <c r="BD435" s="53"/>
      <c r="BE435" s="53"/>
      <c r="BF435" s="53"/>
      <c r="BG435" s="53"/>
      <c r="BO435">
        <f>I435-H435</f>
        <v>3</v>
      </c>
      <c r="BT435">
        <f>J435-I435</f>
        <v>0.10000000000002274</v>
      </c>
      <c r="BV435" s="53">
        <f>J435-I435</f>
        <v>0.10000000000002274</v>
      </c>
      <c r="BX435" s="53">
        <f>K435-J435</f>
        <v>2.1999999999999886</v>
      </c>
      <c r="BZ435" s="53">
        <f>L435-K435</f>
        <v>3.1000000000000227</v>
      </c>
      <c r="CA435" s="53"/>
      <c r="CB435" s="53">
        <f t="shared" ref="CB435:CC437" si="239">M435-L435</f>
        <v>1.5</v>
      </c>
      <c r="CC435" s="53">
        <f t="shared" si="239"/>
        <v>1.6999999999999886</v>
      </c>
      <c r="CE435" s="53">
        <f>O435-N435</f>
        <v>2.1000000000000227</v>
      </c>
      <c r="CG435" s="621">
        <f>P435-O435</f>
        <v>1.1999999999999886</v>
      </c>
      <c r="CJ435" s="621">
        <f>Q435-P435</f>
        <v>1.3999999999999773</v>
      </c>
      <c r="CL435" s="621">
        <f>R435-Q435</f>
        <v>0.40000000000003411</v>
      </c>
      <c r="CN435" s="621">
        <f t="shared" ref="CN435:CO437" si="240">S435-R435</f>
        <v>0.59999999999996589</v>
      </c>
      <c r="CO435" s="621">
        <f t="shared" si="240"/>
        <v>1.5</v>
      </c>
      <c r="CQ435" s="621">
        <f>U435-T435</f>
        <v>1.4000000000000341</v>
      </c>
      <c r="CS435" s="621">
        <f t="shared" ref="CS435:CZ437" si="241">V435-U435</f>
        <v>1.5</v>
      </c>
      <c r="CT435" s="621">
        <f t="shared" si="241"/>
        <v>0.59999999999996589</v>
      </c>
      <c r="CU435" s="621">
        <f t="shared" si="241"/>
        <v>1</v>
      </c>
      <c r="CV435" s="621">
        <f t="shared" si="241"/>
        <v>0.19999999999998863</v>
      </c>
      <c r="CW435" s="621">
        <f t="shared" si="241"/>
        <v>1.2000000000000455</v>
      </c>
      <c r="CX435" s="621">
        <f t="shared" si="241"/>
        <v>0.19999999999998863</v>
      </c>
      <c r="CY435" s="621">
        <f t="shared" si="241"/>
        <v>1.0999999999999659</v>
      </c>
      <c r="CZ435" s="621">
        <f t="shared" si="241"/>
        <v>2</v>
      </c>
      <c r="DA435" s="1069">
        <f t="shared" ref="DA435:DA466" si="242">CZ435</f>
        <v>2</v>
      </c>
      <c r="DB435" s="621">
        <f>AD435-AC435</f>
        <v>0</v>
      </c>
      <c r="DC435" s="62">
        <f t="shared" ref="DC435:DC437" si="243">DB435</f>
        <v>0</v>
      </c>
      <c r="DD435" s="621">
        <f>AE435-AD435</f>
        <v>0</v>
      </c>
      <c r="DE435" s="62">
        <f t="shared" ref="DE435:DE443" si="244">DD435</f>
        <v>0</v>
      </c>
      <c r="DF435" s="621">
        <f>AF435-AE435</f>
        <v>0</v>
      </c>
      <c r="DG435" s="62">
        <f t="shared" ref="DG435:DG437" si="245">DF435</f>
        <v>0</v>
      </c>
      <c r="DH435" s="621">
        <f>AG435-AF435</f>
        <v>0</v>
      </c>
      <c r="DI435" s="62">
        <f>DH435</f>
        <v>0</v>
      </c>
      <c r="DJ435" s="621">
        <f t="shared" ref="DJ435:DK437" si="246">AH435-AG435</f>
        <v>0.80000000000001137</v>
      </c>
      <c r="DK435" s="621">
        <f t="shared" si="246"/>
        <v>-341.7</v>
      </c>
    </row>
    <row r="436" spans="2:115" ht="15.75">
      <c r="B436" s="53" t="str">
        <f>B424</f>
        <v>2-way homes passed</v>
      </c>
      <c r="C436" s="53"/>
      <c r="D436" s="53">
        <v>310.5</v>
      </c>
      <c r="E436" s="53">
        <v>310.5</v>
      </c>
      <c r="F436" s="53">
        <v>310.5</v>
      </c>
      <c r="G436" s="53">
        <v>311.7</v>
      </c>
      <c r="H436" s="53">
        <v>312.89999999999998</v>
      </c>
      <c r="I436" s="53">
        <v>315.89999999999998</v>
      </c>
      <c r="J436" s="53">
        <v>316</v>
      </c>
      <c r="K436" s="53">
        <v>318.2</v>
      </c>
      <c r="L436" s="53">
        <v>321.3</v>
      </c>
      <c r="M436" s="53">
        <v>322.8</v>
      </c>
      <c r="N436" s="53">
        <v>324.5</v>
      </c>
      <c r="O436" s="53">
        <v>326.60000000000002</v>
      </c>
      <c r="P436" s="53">
        <v>327.8</v>
      </c>
      <c r="Q436" s="53">
        <v>329.3</v>
      </c>
      <c r="R436" s="53">
        <v>329.6</v>
      </c>
      <c r="S436" s="53">
        <v>330.2</v>
      </c>
      <c r="T436" s="53">
        <v>331.7</v>
      </c>
      <c r="U436" s="53">
        <v>333.1</v>
      </c>
      <c r="V436" s="53">
        <v>334.6</v>
      </c>
      <c r="W436" s="53">
        <v>335.2</v>
      </c>
      <c r="X436" s="53">
        <v>336.2</v>
      </c>
      <c r="Y436" s="53">
        <v>336.4</v>
      </c>
      <c r="Z436" s="53">
        <v>337.6</v>
      </c>
      <c r="AA436" s="53">
        <v>337.8</v>
      </c>
      <c r="AB436" s="53">
        <v>338.9</v>
      </c>
      <c r="AC436" s="53">
        <v>340.9</v>
      </c>
      <c r="AD436" s="53">
        <v>340.9</v>
      </c>
      <c r="AE436" s="53">
        <v>340.9</v>
      </c>
      <c r="AF436" s="53">
        <v>340.9</v>
      </c>
      <c r="AG436" s="53">
        <v>340.9</v>
      </c>
      <c r="AH436" s="53">
        <v>341.7</v>
      </c>
      <c r="AL436" s="53" t="str">
        <f>B436</f>
        <v>2-way homes passed</v>
      </c>
      <c r="AM436" s="53"/>
      <c r="AN436" s="53"/>
      <c r="AO436" s="53">
        <f>E436-D436</f>
        <v>0</v>
      </c>
      <c r="AP436" s="53"/>
      <c r="AQ436" s="53">
        <f>F436-E436</f>
        <v>0</v>
      </c>
      <c r="AR436" s="53"/>
      <c r="AS436" s="53"/>
      <c r="AT436" s="53"/>
      <c r="AU436" s="53"/>
      <c r="AV436" s="53"/>
      <c r="AW436" s="53"/>
      <c r="AX436" s="53"/>
      <c r="AY436" s="53"/>
      <c r="AZ436" s="53"/>
      <c r="BA436" s="53"/>
      <c r="BB436" s="53"/>
      <c r="BC436" s="53"/>
      <c r="BD436" s="53"/>
      <c r="BE436" s="53"/>
      <c r="BF436" s="53"/>
      <c r="BG436" s="53"/>
      <c r="BH436" s="53"/>
      <c r="BI436" s="53"/>
      <c r="BJ436" s="53"/>
      <c r="BK436" s="53"/>
      <c r="BM436" s="53">
        <f>H436-G436</f>
        <v>1.1999999999999886</v>
      </c>
      <c r="BN436" s="53"/>
      <c r="BO436" s="53">
        <f>I436-H436</f>
        <v>3</v>
      </c>
      <c r="BR436" s="53"/>
      <c r="BS436" s="53"/>
      <c r="BT436" s="53">
        <f>J436-I436</f>
        <v>0.10000000000002274</v>
      </c>
      <c r="BU436" s="53"/>
      <c r="BV436" s="53">
        <f>J436-I436</f>
        <v>0.10000000000002274</v>
      </c>
      <c r="BX436" s="53">
        <f>K436-J436</f>
        <v>2.1999999999999886</v>
      </c>
      <c r="BZ436" s="53">
        <f>L436-K436</f>
        <v>3.1000000000000227</v>
      </c>
      <c r="CA436" s="53"/>
      <c r="CB436" s="53">
        <f t="shared" si="239"/>
        <v>1.5</v>
      </c>
      <c r="CC436" s="53">
        <f t="shared" si="239"/>
        <v>1.6999999999999886</v>
      </c>
      <c r="CE436" s="53">
        <f>O436-N436</f>
        <v>2.1000000000000227</v>
      </c>
      <c r="CG436" s="621">
        <f>P436-O436</f>
        <v>1.1999999999999886</v>
      </c>
      <c r="CJ436" s="621">
        <f>Q436-P436</f>
        <v>1.5</v>
      </c>
      <c r="CL436" s="621">
        <f>R436-Q436</f>
        <v>0.30000000000001137</v>
      </c>
      <c r="CN436" s="621">
        <f t="shared" si="240"/>
        <v>0.59999999999996589</v>
      </c>
      <c r="CO436" s="621">
        <f t="shared" si="240"/>
        <v>1.5</v>
      </c>
      <c r="CQ436" s="621">
        <f>U436-T436</f>
        <v>1.4000000000000341</v>
      </c>
      <c r="CS436" s="621">
        <f t="shared" si="241"/>
        <v>1.5</v>
      </c>
      <c r="CT436" s="621">
        <f t="shared" si="241"/>
        <v>0.59999999999996589</v>
      </c>
      <c r="CU436" s="621">
        <f t="shared" si="241"/>
        <v>1</v>
      </c>
      <c r="CV436" s="621">
        <f t="shared" si="241"/>
        <v>0.19999999999998863</v>
      </c>
      <c r="CW436" s="621">
        <f t="shared" si="241"/>
        <v>1.2000000000000455</v>
      </c>
      <c r="CX436" s="621">
        <f t="shared" si="241"/>
        <v>0.19999999999998863</v>
      </c>
      <c r="CY436" s="621">
        <f t="shared" si="241"/>
        <v>1.0999999999999659</v>
      </c>
      <c r="CZ436" s="621">
        <f t="shared" si="241"/>
        <v>2</v>
      </c>
      <c r="DA436" s="1069">
        <f t="shared" si="242"/>
        <v>2</v>
      </c>
      <c r="DB436" s="621">
        <f>AD436-AC436</f>
        <v>0</v>
      </c>
      <c r="DC436" s="62">
        <f t="shared" si="243"/>
        <v>0</v>
      </c>
      <c r="DD436" s="621">
        <f>AE436-AD436</f>
        <v>0</v>
      </c>
      <c r="DE436" s="62">
        <f t="shared" si="244"/>
        <v>0</v>
      </c>
      <c r="DF436" s="621">
        <f>AF436-AE436</f>
        <v>0</v>
      </c>
      <c r="DG436" s="62">
        <f t="shared" si="245"/>
        <v>0</v>
      </c>
      <c r="DH436" s="621">
        <f>AG436-AF436</f>
        <v>0</v>
      </c>
      <c r="DI436" s="62">
        <f>DH436</f>
        <v>0</v>
      </c>
      <c r="DJ436" s="621">
        <f t="shared" si="246"/>
        <v>0.80000000000001137</v>
      </c>
      <c r="DK436" s="621">
        <f t="shared" si="246"/>
        <v>-341.7</v>
      </c>
    </row>
    <row r="437" spans="2:115" ht="15.75">
      <c r="B437" s="53" t="str">
        <f>B425</f>
        <v>Customer relationships</v>
      </c>
      <c r="C437" s="53"/>
      <c r="D437" s="53">
        <v>184.8</v>
      </c>
      <c r="E437" s="53">
        <v>169.5</v>
      </c>
      <c r="F437" s="53">
        <v>166.4</v>
      </c>
      <c r="G437" s="53">
        <v>163.4</v>
      </c>
      <c r="H437" s="53">
        <v>161.1</v>
      </c>
      <c r="I437" s="53">
        <v>157.19999999999999</v>
      </c>
      <c r="J437" s="53">
        <v>156.30000000000001</v>
      </c>
      <c r="K437" s="53">
        <v>155.80000000000001</v>
      </c>
      <c r="L437" s="53">
        <v>155.19999999999999</v>
      </c>
      <c r="M437" s="53">
        <v>154.9</v>
      </c>
      <c r="N437" s="53">
        <v>156.1</v>
      </c>
      <c r="O437" s="53">
        <v>156.19999999999999</v>
      </c>
      <c r="P437" s="53">
        <v>156.19999999999999</v>
      </c>
      <c r="Q437" s="53">
        <v>156.80000000000001</v>
      </c>
      <c r="R437" s="53">
        <v>158.9</v>
      </c>
      <c r="S437" s="53">
        <v>158.6</v>
      </c>
      <c r="T437" s="53">
        <v>158.30000000000001</v>
      </c>
      <c r="U437" s="53">
        <v>157.4</v>
      </c>
      <c r="V437" s="53">
        <v>157</v>
      </c>
      <c r="W437" s="53">
        <v>157.5</v>
      </c>
      <c r="X437" s="53">
        <v>157.69999999999999</v>
      </c>
      <c r="Y437" s="53">
        <v>158</v>
      </c>
      <c r="Z437" s="53">
        <v>159.6</v>
      </c>
      <c r="AA437" s="53">
        <v>159.80000000000001</v>
      </c>
      <c r="AB437" s="53">
        <v>158</v>
      </c>
      <c r="AC437" s="53">
        <v>156.4</v>
      </c>
      <c r="AD437" s="53">
        <v>155.6</v>
      </c>
      <c r="AE437" s="53">
        <v>152.80000000000001</v>
      </c>
      <c r="AF437" s="53">
        <v>150.19999999999999</v>
      </c>
      <c r="AG437" s="53">
        <v>149</v>
      </c>
      <c r="AH437" s="53">
        <v>147.4</v>
      </c>
      <c r="AL437" s="53" t="str">
        <f>B437</f>
        <v>Customer relationships</v>
      </c>
      <c r="AM437" s="53"/>
      <c r="AN437" s="53">
        <v>-1.8</v>
      </c>
      <c r="AO437" s="53">
        <f>E437-D437</f>
        <v>-15.300000000000011</v>
      </c>
      <c r="AP437" s="53">
        <f>AO437+15.3</f>
        <v>0</v>
      </c>
      <c r="AQ437" s="53">
        <f>F437-E437</f>
        <v>-3.0999999999999943</v>
      </c>
      <c r="AR437" s="53"/>
      <c r="AS437" s="53"/>
      <c r="AT437" s="53"/>
      <c r="AU437" s="53"/>
      <c r="AV437" s="53"/>
      <c r="AW437" s="53"/>
      <c r="AX437" s="53"/>
      <c r="AY437" s="53"/>
      <c r="AZ437" s="53"/>
      <c r="BA437" s="53"/>
      <c r="BB437" s="53"/>
      <c r="BC437" s="53"/>
      <c r="BD437" s="53"/>
      <c r="BE437" s="53"/>
      <c r="BF437" s="53"/>
      <c r="BG437" s="53"/>
      <c r="BH437" s="53"/>
      <c r="BI437" s="53"/>
      <c r="BJ437" s="53"/>
      <c r="BK437" s="53"/>
      <c r="BM437" s="53">
        <f>H437-G437</f>
        <v>-2.3000000000000114</v>
      </c>
      <c r="BN437" s="53"/>
      <c r="BO437" s="53">
        <f>I437-H437</f>
        <v>-3.9000000000000057</v>
      </c>
      <c r="BR437" s="53"/>
      <c r="BS437" s="53"/>
      <c r="BT437" s="53">
        <f>J437-I437</f>
        <v>-0.89999999999997726</v>
      </c>
      <c r="BU437" s="53"/>
      <c r="BV437" s="53">
        <f>J437-I437</f>
        <v>-0.89999999999997726</v>
      </c>
      <c r="BX437" s="53">
        <f>K437-J437</f>
        <v>-0.5</v>
      </c>
      <c r="BZ437" s="53">
        <f>L437-K437</f>
        <v>-0.60000000000002274</v>
      </c>
      <c r="CA437" s="53"/>
      <c r="CB437" s="53">
        <f t="shared" si="239"/>
        <v>-0.29999999999998295</v>
      </c>
      <c r="CC437" s="53">
        <f t="shared" si="239"/>
        <v>1.1999999999999886</v>
      </c>
      <c r="CE437" s="53">
        <f>O437-N437</f>
        <v>9.9999999999994316E-2</v>
      </c>
      <c r="CG437" s="621">
        <f>P437-O437</f>
        <v>0</v>
      </c>
      <c r="CJ437" s="621">
        <f>Q437-P437</f>
        <v>0.60000000000002274</v>
      </c>
      <c r="CL437" s="621">
        <f>R437-Q437</f>
        <v>2.0999999999999943</v>
      </c>
      <c r="CN437" s="621">
        <f t="shared" si="240"/>
        <v>-0.30000000000001137</v>
      </c>
      <c r="CO437" s="621">
        <f t="shared" si="240"/>
        <v>-0.29999999999998295</v>
      </c>
      <c r="CQ437" s="621">
        <f>U437-T437</f>
        <v>-0.90000000000000568</v>
      </c>
      <c r="CS437" s="621">
        <f t="shared" si="241"/>
        <v>-0.40000000000000568</v>
      </c>
      <c r="CT437" s="621">
        <f t="shared" si="241"/>
        <v>0.5</v>
      </c>
      <c r="CU437" s="621">
        <f t="shared" si="241"/>
        <v>0.19999999999998863</v>
      </c>
      <c r="CV437" s="621">
        <f t="shared" si="241"/>
        <v>0.30000000000001137</v>
      </c>
      <c r="CW437" s="621">
        <f t="shared" si="241"/>
        <v>1.5999999999999943</v>
      </c>
      <c r="CX437" s="621">
        <f t="shared" si="241"/>
        <v>0.20000000000001705</v>
      </c>
      <c r="CY437" s="621">
        <f t="shared" si="241"/>
        <v>-1.8000000000000114</v>
      </c>
      <c r="CZ437" s="621">
        <f t="shared" si="241"/>
        <v>-1.5999999999999943</v>
      </c>
      <c r="DA437" s="1069">
        <f t="shared" si="242"/>
        <v>-1.5999999999999943</v>
      </c>
      <c r="DB437" s="621">
        <f>AD437-AC437</f>
        <v>-0.80000000000001137</v>
      </c>
      <c r="DC437" s="62">
        <f t="shared" si="243"/>
        <v>-0.80000000000001137</v>
      </c>
      <c r="DD437" s="621">
        <f>AE437-AD437</f>
        <v>-2.7999999999999829</v>
      </c>
      <c r="DE437" s="62">
        <f t="shared" si="244"/>
        <v>-2.7999999999999829</v>
      </c>
      <c r="DF437" s="621">
        <f>AF437-AE437</f>
        <v>-2.6000000000000227</v>
      </c>
      <c r="DG437" s="62">
        <f t="shared" si="245"/>
        <v>-2.6000000000000227</v>
      </c>
      <c r="DH437" s="621">
        <f>AG437-AF437</f>
        <v>-1.1999999999999886</v>
      </c>
      <c r="DI437" s="62">
        <f>DH437</f>
        <v>-1.1999999999999886</v>
      </c>
      <c r="DJ437" s="621">
        <f t="shared" si="246"/>
        <v>-1.5999999999999943</v>
      </c>
      <c r="DK437" s="621">
        <f t="shared" si="246"/>
        <v>-147.4</v>
      </c>
    </row>
    <row r="438" spans="2:115" ht="15.75">
      <c r="B438" s="53" t="s">
        <v>2478</v>
      </c>
      <c r="C438" s="53"/>
      <c r="D438" s="54">
        <f t="shared" ref="D438:W438" si="247">D437/D435</f>
        <v>0.59516908212560393</v>
      </c>
      <c r="E438" s="54">
        <f t="shared" si="247"/>
        <v>0.54589371980676327</v>
      </c>
      <c r="F438" s="54">
        <f t="shared" si="247"/>
        <v>0.53590982286634459</v>
      </c>
      <c r="G438" s="54">
        <f t="shared" si="247"/>
        <v>0.52422200834135391</v>
      </c>
      <c r="H438" s="54">
        <f t="shared" si="247"/>
        <v>0.51486097794822627</v>
      </c>
      <c r="I438" s="54">
        <f t="shared" si="247"/>
        <v>0.49762583095916429</v>
      </c>
      <c r="J438" s="54">
        <f t="shared" si="247"/>
        <v>0.49462025316455699</v>
      </c>
      <c r="K438" s="54">
        <f t="shared" si="247"/>
        <v>0.48962916404776874</v>
      </c>
      <c r="L438" s="54">
        <f t="shared" si="247"/>
        <v>0.48303765950824767</v>
      </c>
      <c r="M438" s="54">
        <f t="shared" si="247"/>
        <v>0.4798636926889715</v>
      </c>
      <c r="N438" s="54">
        <f t="shared" si="247"/>
        <v>0.48104776579352848</v>
      </c>
      <c r="O438" s="54">
        <f t="shared" si="247"/>
        <v>0.47826086956521735</v>
      </c>
      <c r="P438" s="54">
        <f t="shared" si="247"/>
        <v>0.47651006711409388</v>
      </c>
      <c r="Q438" s="54">
        <f t="shared" si="247"/>
        <v>0.47630619684082631</v>
      </c>
      <c r="R438" s="54">
        <f t="shared" si="247"/>
        <v>0.48209951456310679</v>
      </c>
      <c r="S438" s="54">
        <f t="shared" si="247"/>
        <v>0.48031496062992124</v>
      </c>
      <c r="T438" s="54">
        <f t="shared" si="247"/>
        <v>0.47723846849562862</v>
      </c>
      <c r="U438" s="54">
        <f t="shared" si="247"/>
        <v>0.47253077154007805</v>
      </c>
      <c r="V438" s="54">
        <f t="shared" si="247"/>
        <v>0.46921697549312608</v>
      </c>
      <c r="W438" s="54">
        <f t="shared" si="247"/>
        <v>0.46986873508353222</v>
      </c>
      <c r="X438" s="54">
        <f t="shared" ref="X438:AC438" si="248">X437/X435</f>
        <v>0.46906603212373588</v>
      </c>
      <c r="Y438" s="54">
        <f t="shared" si="248"/>
        <v>0.46967895362663498</v>
      </c>
      <c r="Z438" s="54">
        <f t="shared" si="248"/>
        <v>0.47274881516587675</v>
      </c>
      <c r="AA438" s="54">
        <f t="shared" si="248"/>
        <v>0.47306098283007697</v>
      </c>
      <c r="AB438" s="54">
        <f t="shared" si="248"/>
        <v>0.46621422248450872</v>
      </c>
      <c r="AC438" s="54">
        <f t="shared" si="248"/>
        <v>0.45878556761513645</v>
      </c>
      <c r="AD438" s="54">
        <f t="shared" ref="AD438" si="249">AD437/AD435</f>
        <v>0.45643883836902321</v>
      </c>
      <c r="AE438" s="54">
        <f t="shared" ref="AE438:AF438" si="250">AE437/AE435</f>
        <v>0.44822528600762696</v>
      </c>
      <c r="AF438" s="54">
        <f t="shared" si="250"/>
        <v>0.44059841595775889</v>
      </c>
      <c r="AG438" s="54">
        <f t="shared" ref="AG438:AI438" si="251">AG437/AG435</f>
        <v>0.43707832208858904</v>
      </c>
      <c r="AH438" s="54">
        <f t="shared" si="251"/>
        <v>0.43137254901960786</v>
      </c>
      <c r="AI438" s="54" t="e">
        <f t="shared" si="251"/>
        <v>#DIV/0!</v>
      </c>
      <c r="AL438" s="53"/>
      <c r="AM438" s="53"/>
      <c r="AN438" s="53"/>
      <c r="AO438" s="53"/>
      <c r="AP438" s="53"/>
      <c r="AQ438" s="53"/>
      <c r="AR438" s="53"/>
      <c r="AT438" s="53"/>
      <c r="AU438" s="53"/>
      <c r="AV438" s="53"/>
      <c r="AW438" s="53"/>
      <c r="AX438" s="53"/>
      <c r="AY438" s="53"/>
      <c r="AZ438" s="53"/>
      <c r="BA438" s="53"/>
      <c r="BB438" s="53"/>
      <c r="BC438" s="53"/>
      <c r="BD438" s="53"/>
      <c r="BE438" s="53"/>
      <c r="BF438" s="53"/>
      <c r="BG438" s="53"/>
      <c r="CJ438" s="621"/>
    </row>
    <row r="439" spans="2:115" ht="15.75">
      <c r="B439" s="53" t="str">
        <f>B427</f>
        <v>Fixed RGUs</v>
      </c>
      <c r="C439" s="53"/>
      <c r="D439" s="53">
        <f t="shared" ref="D439:W439" si="252">SUM(D441:D443)</f>
        <v>292.10000000000002</v>
      </c>
      <c r="E439" s="53">
        <f t="shared" si="252"/>
        <v>272.10000000000002</v>
      </c>
      <c r="F439" s="53">
        <f t="shared" si="252"/>
        <v>271.39999999999998</v>
      </c>
      <c r="G439" s="53">
        <f t="shared" si="252"/>
        <v>271</v>
      </c>
      <c r="H439" s="53">
        <f t="shared" si="252"/>
        <v>273</v>
      </c>
      <c r="I439" s="53">
        <f t="shared" si="252"/>
        <v>278.3</v>
      </c>
      <c r="J439" s="53">
        <f t="shared" si="252"/>
        <v>281.2</v>
      </c>
      <c r="K439" s="53">
        <f t="shared" si="252"/>
        <v>286.89999999999998</v>
      </c>
      <c r="L439" s="53">
        <f t="shared" si="252"/>
        <v>292.7</v>
      </c>
      <c r="M439" s="53">
        <f t="shared" si="252"/>
        <v>296.60000000000002</v>
      </c>
      <c r="N439" s="53">
        <f t="shared" si="252"/>
        <v>301.5</v>
      </c>
      <c r="O439" s="53">
        <f t="shared" si="252"/>
        <v>306.89999999999998</v>
      </c>
      <c r="P439" s="53">
        <f t="shared" si="252"/>
        <v>315.2</v>
      </c>
      <c r="Q439" s="53">
        <f t="shared" si="252"/>
        <v>320.3</v>
      </c>
      <c r="R439" s="53">
        <f t="shared" si="252"/>
        <v>328.79999999999995</v>
      </c>
      <c r="S439" s="53">
        <f t="shared" si="252"/>
        <v>331.5</v>
      </c>
      <c r="T439" s="53">
        <f t="shared" si="252"/>
        <v>330.4</v>
      </c>
      <c r="U439" s="53">
        <f t="shared" si="252"/>
        <v>329.6</v>
      </c>
      <c r="V439" s="53">
        <f t="shared" si="252"/>
        <v>332.5</v>
      </c>
      <c r="W439" s="53">
        <f t="shared" si="252"/>
        <v>335</v>
      </c>
      <c r="X439" s="53">
        <f t="shared" ref="X439:AC439" si="253">SUM(X441:X443)</f>
        <v>335.1</v>
      </c>
      <c r="Y439" s="53">
        <f t="shared" si="253"/>
        <v>334.3</v>
      </c>
      <c r="Z439" s="53">
        <f t="shared" si="253"/>
        <v>335</v>
      </c>
      <c r="AA439" s="53">
        <f t="shared" si="253"/>
        <v>338.6</v>
      </c>
      <c r="AB439" s="53">
        <f t="shared" si="253"/>
        <v>336.8</v>
      </c>
      <c r="AC439" s="53">
        <f t="shared" si="253"/>
        <v>337.4</v>
      </c>
      <c r="AD439" s="53">
        <f t="shared" ref="AD439" si="254">SUM(AD441:AD443)</f>
        <v>336.3</v>
      </c>
      <c r="AE439" s="53">
        <f t="shared" ref="AE439:AF439" si="255">SUM(AE441:AE443)</f>
        <v>335.1</v>
      </c>
      <c r="AF439" s="53">
        <f t="shared" si="255"/>
        <v>331.1</v>
      </c>
      <c r="AG439" s="53">
        <f t="shared" ref="AG439:AI439" si="256">SUM(AG441:AG443)</f>
        <v>324</v>
      </c>
      <c r="AH439" s="53">
        <f t="shared" si="256"/>
        <v>320.2</v>
      </c>
      <c r="AI439" s="53">
        <f t="shared" si="256"/>
        <v>0</v>
      </c>
      <c r="AL439" s="53" t="str">
        <f>B439</f>
        <v>Fixed RGUs</v>
      </c>
      <c r="AM439" s="53"/>
      <c r="AN439" s="53">
        <f>SUM(AN441:AN443)</f>
        <v>-0.30000000000000004</v>
      </c>
      <c r="AO439" s="53">
        <f>E439-D439</f>
        <v>-20</v>
      </c>
      <c r="AP439" s="53">
        <f>SUM(AP441:AP443)</f>
        <v>3.4000000000000004</v>
      </c>
      <c r="AQ439" s="53">
        <f>F439-E439</f>
        <v>-0.70000000000004547</v>
      </c>
      <c r="AR439" s="53"/>
      <c r="AS439" s="53"/>
      <c r="AT439" s="53"/>
      <c r="AU439" s="53"/>
      <c r="AV439" s="53"/>
      <c r="AW439" s="53"/>
      <c r="AX439" s="53"/>
      <c r="AY439" s="53"/>
      <c r="AZ439" s="53"/>
      <c r="BA439" s="53"/>
      <c r="BB439" s="53"/>
      <c r="BC439" s="53"/>
      <c r="BD439" s="53"/>
      <c r="BE439" s="53"/>
      <c r="BF439" s="53"/>
      <c r="BG439" s="53"/>
      <c r="BH439" s="53"/>
      <c r="BI439" s="53"/>
      <c r="BJ439" s="53"/>
      <c r="BK439" s="53"/>
      <c r="BM439" s="53">
        <f>H439-G439</f>
        <v>2</v>
      </c>
      <c r="BN439" s="53"/>
      <c r="BO439" s="53">
        <f>I439-H439</f>
        <v>5.3000000000000114</v>
      </c>
      <c r="BR439" s="53"/>
      <c r="BS439" s="53"/>
      <c r="BT439" s="53">
        <f>J439-I439</f>
        <v>2.8999999999999773</v>
      </c>
      <c r="BU439" s="53"/>
      <c r="BV439" s="53">
        <f>J439-I439</f>
        <v>2.8999999999999773</v>
      </c>
      <c r="BX439" s="53">
        <f>K439-J439</f>
        <v>5.6999999999999886</v>
      </c>
      <c r="BZ439" s="53">
        <f>L439-K439</f>
        <v>5.8000000000000114</v>
      </c>
      <c r="CA439" s="53"/>
      <c r="CB439" s="53">
        <f>M439-L439</f>
        <v>3.9000000000000341</v>
      </c>
      <c r="CC439" s="53">
        <f>N439-M439</f>
        <v>4.8999999999999773</v>
      </c>
      <c r="CE439" s="53">
        <f>O439-N439</f>
        <v>5.3999999999999773</v>
      </c>
      <c r="CG439" s="621">
        <f>P439-O439</f>
        <v>8.3000000000000114</v>
      </c>
      <c r="CJ439" s="621">
        <f>Q439-P439</f>
        <v>5.1000000000000227</v>
      </c>
      <c r="CL439" s="621">
        <f>R439-Q439</f>
        <v>8.4999999999999432</v>
      </c>
      <c r="CN439" s="621">
        <f>S439-R439</f>
        <v>2.7000000000000455</v>
      </c>
      <c r="CO439" s="621">
        <f>T439-S439</f>
        <v>-1.1000000000000227</v>
      </c>
      <c r="CQ439" s="621">
        <f>U439-T439</f>
        <v>-0.79999999999995453</v>
      </c>
      <c r="CS439" s="621">
        <f t="shared" ref="CS439:CZ439" si="257">V439-U439</f>
        <v>2.8999999999999773</v>
      </c>
      <c r="CT439" s="621">
        <f t="shared" si="257"/>
        <v>2.5</v>
      </c>
      <c r="CU439" s="621">
        <f t="shared" si="257"/>
        <v>0.10000000000002274</v>
      </c>
      <c r="CV439" s="621">
        <f t="shared" si="257"/>
        <v>-0.80000000000001137</v>
      </c>
      <c r="CW439" s="621">
        <f t="shared" si="257"/>
        <v>0.69999999999998863</v>
      </c>
      <c r="CX439" s="621">
        <f t="shared" si="257"/>
        <v>3.6000000000000227</v>
      </c>
      <c r="CY439" s="621">
        <f t="shared" si="257"/>
        <v>-1.8000000000000114</v>
      </c>
      <c r="CZ439" s="621">
        <f t="shared" si="257"/>
        <v>0.59999999999996589</v>
      </c>
      <c r="DA439" s="1069">
        <f t="shared" si="242"/>
        <v>0.59999999999996589</v>
      </c>
      <c r="DB439" s="621">
        <f>AD439-AC439</f>
        <v>-1.0999999999999659</v>
      </c>
      <c r="DC439" s="62">
        <f>DB439</f>
        <v>-1.0999999999999659</v>
      </c>
      <c r="DD439" s="621">
        <f>AE439-AD439</f>
        <v>-1.1999999999999886</v>
      </c>
      <c r="DE439" s="62">
        <f t="shared" si="244"/>
        <v>-1.1999999999999886</v>
      </c>
      <c r="DF439" s="621">
        <f>AF439-AE439</f>
        <v>-4</v>
      </c>
      <c r="DG439" s="62">
        <f>DF439</f>
        <v>-4</v>
      </c>
      <c r="DH439" s="621">
        <f>AG439-AF439</f>
        <v>-7.1000000000000227</v>
      </c>
      <c r="DI439" s="62">
        <f>DH439</f>
        <v>-7.1000000000000227</v>
      </c>
      <c r="DJ439" s="621">
        <f>AH439-AG439</f>
        <v>-3.8000000000000114</v>
      </c>
      <c r="DK439" s="621">
        <f>AI439-AH439</f>
        <v>-320.2</v>
      </c>
    </row>
    <row r="440" spans="2:115" ht="15.75">
      <c r="B440" s="53" t="s">
        <v>2242</v>
      </c>
      <c r="C440" s="53"/>
      <c r="D440" s="685">
        <f t="shared" ref="D440:X440" si="258">D439/D437</f>
        <v>1.5806277056277056</v>
      </c>
      <c r="E440" s="685">
        <f t="shared" si="258"/>
        <v>1.6053097345132745</v>
      </c>
      <c r="F440" s="685">
        <f t="shared" si="258"/>
        <v>1.6310096153846152</v>
      </c>
      <c r="G440" s="685">
        <f t="shared" si="258"/>
        <v>1.6585067319461444</v>
      </c>
      <c r="H440" s="685">
        <f t="shared" si="258"/>
        <v>1.6945996275605215</v>
      </c>
      <c r="I440" s="685">
        <f t="shared" si="258"/>
        <v>1.7703562340966923</v>
      </c>
      <c r="J440" s="685">
        <f t="shared" si="258"/>
        <v>1.7991042866282787</v>
      </c>
      <c r="K440" s="685">
        <f t="shared" si="258"/>
        <v>1.841463414634146</v>
      </c>
      <c r="L440" s="685">
        <f t="shared" si="258"/>
        <v>1.8859536082474226</v>
      </c>
      <c r="M440" s="685">
        <f t="shared" si="258"/>
        <v>1.9147837314396385</v>
      </c>
      <c r="N440" s="685">
        <f t="shared" si="258"/>
        <v>1.931454196028187</v>
      </c>
      <c r="O440" s="685">
        <f t="shared" si="258"/>
        <v>1.9647887323943662</v>
      </c>
      <c r="P440" s="685">
        <f t="shared" si="258"/>
        <v>2.0179257362355956</v>
      </c>
      <c r="Q440" s="685">
        <f t="shared" si="258"/>
        <v>2.0427295918367347</v>
      </c>
      <c r="R440" s="685">
        <f t="shared" si="258"/>
        <v>2.0692259282567651</v>
      </c>
      <c r="S440" s="685">
        <f t="shared" si="258"/>
        <v>2.0901639344262297</v>
      </c>
      <c r="T440" s="685">
        <f t="shared" si="258"/>
        <v>2.08717624763108</v>
      </c>
      <c r="U440" s="685">
        <f t="shared" si="258"/>
        <v>2.0940279542566711</v>
      </c>
      <c r="V440" s="685">
        <f t="shared" si="258"/>
        <v>2.1178343949044587</v>
      </c>
      <c r="W440" s="685">
        <f t="shared" si="258"/>
        <v>2.126984126984127</v>
      </c>
      <c r="X440" s="685">
        <f t="shared" si="258"/>
        <v>2.1249207355738746</v>
      </c>
      <c r="Y440" s="685">
        <f t="shared" ref="Y440:AI440" si="259">Y439/Y437</f>
        <v>2.1158227848101268</v>
      </c>
      <c r="Z440" s="685">
        <f t="shared" si="259"/>
        <v>2.0989974937343359</v>
      </c>
      <c r="AA440" s="685">
        <f t="shared" si="259"/>
        <v>2.1188986232790987</v>
      </c>
      <c r="AB440" s="685">
        <f t="shared" si="259"/>
        <v>2.1316455696202534</v>
      </c>
      <c r="AC440" s="685">
        <f t="shared" si="259"/>
        <v>2.1572890025575444</v>
      </c>
      <c r="AD440" s="685">
        <f t="shared" si="259"/>
        <v>2.1613110539845759</v>
      </c>
      <c r="AE440" s="685">
        <f t="shared" si="259"/>
        <v>2.1930628272251309</v>
      </c>
      <c r="AF440" s="685">
        <f t="shared" si="259"/>
        <v>2.2043941411451402</v>
      </c>
      <c r="AG440" s="685">
        <f t="shared" si="259"/>
        <v>2.174496644295302</v>
      </c>
      <c r="AH440" s="685">
        <f t="shared" si="259"/>
        <v>2.1723202170963365</v>
      </c>
      <c r="AI440" s="685" t="e">
        <f t="shared" si="259"/>
        <v>#DIV/0!</v>
      </c>
      <c r="AL440" s="53"/>
      <c r="AM440" s="53"/>
      <c r="AN440" s="53"/>
      <c r="AO440" s="53"/>
      <c r="AP440" s="53"/>
      <c r="AQ440" s="53"/>
      <c r="AR440" s="53"/>
      <c r="AT440" s="53"/>
      <c r="AU440" s="53"/>
      <c r="AV440" s="53"/>
      <c r="AW440" s="53"/>
      <c r="AX440" s="53"/>
      <c r="AY440" s="53"/>
      <c r="AZ440" s="53"/>
      <c r="BA440" s="53"/>
      <c r="BB440" s="53"/>
      <c r="BC440" s="53"/>
      <c r="BD440" s="53"/>
      <c r="BE440" s="53"/>
      <c r="BF440" s="53"/>
      <c r="BG440" s="53"/>
    </row>
    <row r="441" spans="2:115" ht="15.75">
      <c r="B441" s="53" t="str">
        <f>B429</f>
        <v>Video</v>
      </c>
      <c r="C441" s="53"/>
      <c r="D441" s="53">
        <v>135.5</v>
      </c>
      <c r="E441" s="53">
        <v>121.6</v>
      </c>
      <c r="F441" s="53">
        <v>117.2</v>
      </c>
      <c r="G441" s="53">
        <v>114.1</v>
      </c>
      <c r="H441" s="53">
        <v>111.6</v>
      </c>
      <c r="I441" s="53">
        <v>108.3</v>
      </c>
      <c r="J441" s="53">
        <v>107.4</v>
      </c>
      <c r="K441" s="53">
        <v>107.3</v>
      </c>
      <c r="L441" s="53">
        <v>107.7</v>
      </c>
      <c r="M441" s="53">
        <v>107.4</v>
      </c>
      <c r="N441" s="53">
        <v>107.8</v>
      </c>
      <c r="O441" s="53">
        <v>107.7</v>
      </c>
      <c r="P441" s="53">
        <v>108.6</v>
      </c>
      <c r="Q441" s="53">
        <v>108.5</v>
      </c>
      <c r="R441" s="53">
        <v>109.5</v>
      </c>
      <c r="S441" s="53">
        <v>108.8</v>
      </c>
      <c r="T441" s="53">
        <v>107.4</v>
      </c>
      <c r="U441" s="621">
        <v>106</v>
      </c>
      <c r="V441" s="53">
        <v>106.2</v>
      </c>
      <c r="W441" s="53">
        <v>106.2</v>
      </c>
      <c r="X441" s="53">
        <v>105.3</v>
      </c>
      <c r="Y441" s="53">
        <v>104.7</v>
      </c>
      <c r="Z441" s="53">
        <v>104.5</v>
      </c>
      <c r="AA441" s="53">
        <v>105.3</v>
      </c>
      <c r="AB441" s="53">
        <v>102.9</v>
      </c>
      <c r="AC441" s="53">
        <v>102.4</v>
      </c>
      <c r="AD441" s="53">
        <v>101.8</v>
      </c>
      <c r="AE441" s="53">
        <v>101.5</v>
      </c>
      <c r="AF441" s="53">
        <v>100.7</v>
      </c>
      <c r="AG441" s="53">
        <v>98.4</v>
      </c>
      <c r="AH441" s="53">
        <v>97.1</v>
      </c>
      <c r="AL441" s="53" t="str">
        <f>B441</f>
        <v>Video</v>
      </c>
      <c r="AM441" s="53"/>
      <c r="AN441" s="53">
        <v>-2.5</v>
      </c>
      <c r="AO441" s="53">
        <f>E441-D441</f>
        <v>-13.900000000000006</v>
      </c>
      <c r="AP441" s="53">
        <f>AO441+10.4</f>
        <v>-3.5000000000000053</v>
      </c>
      <c r="AQ441" s="53">
        <f>F441-E441</f>
        <v>-4.3999999999999915</v>
      </c>
      <c r="AR441" s="53"/>
      <c r="AS441" s="53"/>
      <c r="AT441" s="53"/>
      <c r="AU441" s="53"/>
      <c r="AV441" s="53"/>
      <c r="AW441" s="53"/>
      <c r="AX441" s="53"/>
      <c r="AY441" s="53"/>
      <c r="AZ441" s="53"/>
      <c r="BA441" s="53"/>
      <c r="BB441" s="53"/>
      <c r="BC441" s="53"/>
      <c r="BD441" s="53"/>
      <c r="BE441" s="53"/>
      <c r="BF441" s="53"/>
      <c r="BG441" s="53"/>
      <c r="BH441" s="53"/>
      <c r="BI441" s="53"/>
      <c r="BJ441" s="53"/>
      <c r="BK441" s="53"/>
      <c r="BM441" s="53">
        <f>H441-G441</f>
        <v>-2.5</v>
      </c>
      <c r="BN441" s="53"/>
      <c r="BO441" s="53">
        <f>I441-H441</f>
        <v>-3.2999999999999972</v>
      </c>
      <c r="BR441" s="53"/>
      <c r="BS441" s="53"/>
      <c r="BT441" s="53">
        <f>J441-I441</f>
        <v>-0.89999999999999147</v>
      </c>
      <c r="BU441" s="53"/>
      <c r="BV441" s="53">
        <f>J441-I441</f>
        <v>-0.89999999999999147</v>
      </c>
      <c r="BX441" s="53">
        <f>K441-J441</f>
        <v>-0.10000000000000853</v>
      </c>
      <c r="BZ441" s="53">
        <f>L441-K441</f>
        <v>0.40000000000000568</v>
      </c>
      <c r="CA441" s="53"/>
      <c r="CB441" s="53">
        <f t="shared" ref="CB441:CC443" si="260">M441-L441</f>
        <v>-0.29999999999999716</v>
      </c>
      <c r="CC441" s="53">
        <f t="shared" si="260"/>
        <v>0.39999999999999147</v>
      </c>
      <c r="CE441" s="53">
        <f>O441-N441</f>
        <v>-9.9999999999994316E-2</v>
      </c>
      <c r="CG441" s="621">
        <f>P441-O441</f>
        <v>0.89999999999999147</v>
      </c>
      <c r="CJ441" s="621">
        <f>Q441-P441</f>
        <v>-9.9999999999994316E-2</v>
      </c>
      <c r="CL441" s="621">
        <f>R441-Q441</f>
        <v>1</v>
      </c>
      <c r="CN441" s="621">
        <f t="shared" ref="CN441:CO443" si="261">S441-R441</f>
        <v>-0.70000000000000284</v>
      </c>
      <c r="CO441" s="621">
        <f t="shared" si="261"/>
        <v>-1.3999999999999915</v>
      </c>
      <c r="CQ441" s="621">
        <f>U441-T441</f>
        <v>-1.4000000000000057</v>
      </c>
      <c r="CS441" s="621">
        <f t="shared" ref="CS441:CZ443" si="262">V441-U441</f>
        <v>0.20000000000000284</v>
      </c>
      <c r="CT441" s="621">
        <f t="shared" si="262"/>
        <v>0</v>
      </c>
      <c r="CU441" s="621">
        <f t="shared" si="262"/>
        <v>-0.90000000000000568</v>
      </c>
      <c r="CV441" s="621">
        <f t="shared" si="262"/>
        <v>-0.59999999999999432</v>
      </c>
      <c r="CW441" s="621">
        <f t="shared" si="262"/>
        <v>-0.20000000000000284</v>
      </c>
      <c r="CX441" s="621">
        <f t="shared" si="262"/>
        <v>0.79999999999999716</v>
      </c>
      <c r="CY441" s="621">
        <f t="shared" si="262"/>
        <v>-2.3999999999999915</v>
      </c>
      <c r="CZ441" s="621">
        <f t="shared" si="262"/>
        <v>-0.5</v>
      </c>
      <c r="DA441" s="1069">
        <f t="shared" si="242"/>
        <v>-0.5</v>
      </c>
      <c r="DB441" s="621">
        <f>AD441-AC441</f>
        <v>-0.60000000000000853</v>
      </c>
      <c r="DC441" s="62">
        <f t="shared" ref="DC441:DC443" si="263">DB441</f>
        <v>-0.60000000000000853</v>
      </c>
      <c r="DD441" s="621">
        <f>AE441-AD441</f>
        <v>-0.29999999999999716</v>
      </c>
      <c r="DE441" s="62">
        <f t="shared" si="244"/>
        <v>-0.29999999999999716</v>
      </c>
      <c r="DF441" s="621">
        <f>AF441-AE441</f>
        <v>-0.79999999999999716</v>
      </c>
      <c r="DG441" s="62">
        <f t="shared" ref="DG441:DG443" si="264">DF441</f>
        <v>-0.79999999999999716</v>
      </c>
      <c r="DH441" s="621">
        <f>AG441-AF441</f>
        <v>-2.2999999999999972</v>
      </c>
      <c r="DI441" s="62">
        <f>DH441</f>
        <v>-2.2999999999999972</v>
      </c>
      <c r="DJ441" s="621">
        <f t="shared" ref="DJ441:DK443" si="265">AH441-AG441</f>
        <v>-1.3000000000000114</v>
      </c>
      <c r="DK441" s="621">
        <f t="shared" si="265"/>
        <v>-97.1</v>
      </c>
    </row>
    <row r="442" spans="2:115" ht="15.75">
      <c r="B442" s="53" t="str">
        <f>B430</f>
        <v>BB</v>
      </c>
      <c r="C442" s="53"/>
      <c r="D442" s="53">
        <v>132</v>
      </c>
      <c r="E442" s="53">
        <v>123.4</v>
      </c>
      <c r="F442" s="53">
        <v>123.5</v>
      </c>
      <c r="G442" s="53">
        <v>123.5</v>
      </c>
      <c r="H442" s="53">
        <v>123.4</v>
      </c>
      <c r="I442" s="53">
        <v>123.4</v>
      </c>
      <c r="J442" s="53">
        <v>124.3</v>
      </c>
      <c r="K442" s="53">
        <v>125.7</v>
      </c>
      <c r="L442" s="53">
        <v>126.7</v>
      </c>
      <c r="M442" s="53">
        <v>127.7</v>
      </c>
      <c r="N442" s="53">
        <v>129.69999999999999</v>
      </c>
      <c r="O442" s="53">
        <v>131.19999999999999</v>
      </c>
      <c r="P442" s="53">
        <v>133</v>
      </c>
      <c r="Q442" s="53">
        <v>134.9</v>
      </c>
      <c r="R442" s="53">
        <v>137.69999999999999</v>
      </c>
      <c r="S442" s="53">
        <v>138.4</v>
      </c>
      <c r="T442" s="53">
        <v>138.19999999999999</v>
      </c>
      <c r="U442" s="53">
        <v>138.30000000000001</v>
      </c>
      <c r="V442" s="53">
        <v>140.1</v>
      </c>
      <c r="W442" s="53">
        <v>141.5</v>
      </c>
      <c r="X442" s="53">
        <v>141.5</v>
      </c>
      <c r="Y442" s="53">
        <v>141.9</v>
      </c>
      <c r="Z442" s="53">
        <v>143.30000000000001</v>
      </c>
      <c r="AA442" s="53">
        <v>143.5</v>
      </c>
      <c r="AB442" s="53">
        <v>141.9</v>
      </c>
      <c r="AC442" s="53">
        <v>141.4</v>
      </c>
      <c r="AD442" s="53">
        <v>140.30000000000001</v>
      </c>
      <c r="AE442" s="53">
        <v>138.19999999999999</v>
      </c>
      <c r="AF442" s="53">
        <v>135.80000000000001</v>
      </c>
      <c r="AG442" s="53">
        <v>133.1</v>
      </c>
      <c r="AH442" s="53">
        <v>131.19999999999999</v>
      </c>
      <c r="AL442" s="53" t="str">
        <f>B442</f>
        <v>BB</v>
      </c>
      <c r="AM442" s="53"/>
      <c r="AN442" s="53">
        <v>0.8</v>
      </c>
      <c r="AO442" s="53">
        <f>E442-D442</f>
        <v>-8.5999999999999943</v>
      </c>
      <c r="AP442" s="53">
        <f>AO442+11</f>
        <v>2.4000000000000057</v>
      </c>
      <c r="AQ442" s="53">
        <f>F442-E442</f>
        <v>9.9999999999994316E-2</v>
      </c>
      <c r="AR442" s="53"/>
      <c r="AS442" s="53"/>
      <c r="AT442" s="53"/>
      <c r="AU442" s="53"/>
      <c r="AV442" s="53"/>
      <c r="AW442" s="53"/>
      <c r="AX442" s="53"/>
      <c r="AY442" s="53"/>
      <c r="AZ442" s="53"/>
      <c r="BA442" s="53"/>
      <c r="BB442" s="53"/>
      <c r="BC442" s="53"/>
      <c r="BD442" s="53"/>
      <c r="BE442" s="53"/>
      <c r="BF442" s="53"/>
      <c r="BG442" s="53"/>
      <c r="BH442" s="53"/>
      <c r="BI442" s="53"/>
      <c r="BJ442" s="53"/>
      <c r="BK442" s="53"/>
      <c r="BM442" s="53">
        <f>H442-G442</f>
        <v>-9.9999999999994316E-2</v>
      </c>
      <c r="BN442" s="53"/>
      <c r="BO442" s="53">
        <f>I442-H442</f>
        <v>0</v>
      </c>
      <c r="BR442" s="53"/>
      <c r="BS442" s="53"/>
      <c r="BT442" s="53">
        <f>J442-I442</f>
        <v>0.89999999999999147</v>
      </c>
      <c r="BU442" s="53"/>
      <c r="BV442" s="53">
        <f>J442-I442</f>
        <v>0.89999999999999147</v>
      </c>
      <c r="BX442" s="53">
        <f>K442-J442</f>
        <v>1.4000000000000057</v>
      </c>
      <c r="BZ442" s="53">
        <f>L442-K442</f>
        <v>1</v>
      </c>
      <c r="CA442" s="53"/>
      <c r="CB442" s="53">
        <f t="shared" si="260"/>
        <v>1</v>
      </c>
      <c r="CC442" s="53">
        <f t="shared" si="260"/>
        <v>1.9999999999999858</v>
      </c>
      <c r="CE442" s="53">
        <f>O442-N442</f>
        <v>1.5</v>
      </c>
      <c r="CG442" s="621">
        <f>P442-O442</f>
        <v>1.8000000000000114</v>
      </c>
      <c r="CJ442" s="621">
        <f>Q442-P442</f>
        <v>1.9000000000000057</v>
      </c>
      <c r="CL442" s="621">
        <f>R442-Q442</f>
        <v>2.7999999999999829</v>
      </c>
      <c r="CN442" s="621">
        <f t="shared" si="261"/>
        <v>0.70000000000001705</v>
      </c>
      <c r="CO442" s="621">
        <f t="shared" si="261"/>
        <v>-0.20000000000001705</v>
      </c>
      <c r="CQ442" s="621">
        <f>U442-T442</f>
        <v>0.10000000000002274</v>
      </c>
      <c r="CS442" s="621">
        <f t="shared" si="262"/>
        <v>1.7999999999999829</v>
      </c>
      <c r="CT442" s="621">
        <f t="shared" si="262"/>
        <v>1.4000000000000057</v>
      </c>
      <c r="CU442" s="621">
        <f t="shared" si="262"/>
        <v>0</v>
      </c>
      <c r="CV442" s="621">
        <f t="shared" si="262"/>
        <v>0.40000000000000568</v>
      </c>
      <c r="CW442" s="621">
        <f t="shared" si="262"/>
        <v>1.4000000000000057</v>
      </c>
      <c r="CX442" s="621">
        <f t="shared" si="262"/>
        <v>0.19999999999998863</v>
      </c>
      <c r="CY442" s="621">
        <f t="shared" si="262"/>
        <v>-1.5999999999999943</v>
      </c>
      <c r="CZ442" s="621">
        <f t="shared" si="262"/>
        <v>-0.5</v>
      </c>
      <c r="DA442" s="1069">
        <f t="shared" si="242"/>
        <v>-0.5</v>
      </c>
      <c r="DB442" s="621">
        <f>AD442-AC442</f>
        <v>-1.0999999999999943</v>
      </c>
      <c r="DC442" s="62">
        <f t="shared" si="263"/>
        <v>-1.0999999999999943</v>
      </c>
      <c r="DD442" s="621">
        <f>AE442-AD442</f>
        <v>-2.1000000000000227</v>
      </c>
      <c r="DE442" s="62">
        <f t="shared" si="244"/>
        <v>-2.1000000000000227</v>
      </c>
      <c r="DF442" s="621">
        <f>AF442-AE442</f>
        <v>-2.3999999999999773</v>
      </c>
      <c r="DG442" s="62">
        <f t="shared" si="264"/>
        <v>-2.3999999999999773</v>
      </c>
      <c r="DH442" s="621">
        <f>AG442-AF442</f>
        <v>-2.7000000000000171</v>
      </c>
      <c r="DI442" s="62">
        <f>DH442</f>
        <v>-2.7000000000000171</v>
      </c>
      <c r="DJ442" s="621">
        <f t="shared" si="265"/>
        <v>-1.9000000000000057</v>
      </c>
      <c r="DK442" s="621">
        <f t="shared" si="265"/>
        <v>-131.19999999999999</v>
      </c>
    </row>
    <row r="443" spans="2:115" ht="15.75">
      <c r="B443" s="53" t="str">
        <f>B431</f>
        <v>Telephony</v>
      </c>
      <c r="C443" s="53"/>
      <c r="D443" s="53">
        <v>24.6</v>
      </c>
      <c r="E443" s="53">
        <v>27.1</v>
      </c>
      <c r="F443" s="53">
        <v>30.7</v>
      </c>
      <c r="G443" s="53">
        <v>33.4</v>
      </c>
      <c r="H443" s="621">
        <v>38</v>
      </c>
      <c r="I443" s="621">
        <v>46.6</v>
      </c>
      <c r="J443" s="53">
        <v>49.5</v>
      </c>
      <c r="K443" s="53">
        <v>53.9</v>
      </c>
      <c r="L443" s="53">
        <v>58.3</v>
      </c>
      <c r="M443" s="53">
        <v>61.5</v>
      </c>
      <c r="N443" s="621">
        <v>64</v>
      </c>
      <c r="O443" s="949">
        <v>68</v>
      </c>
      <c r="P443" s="53">
        <v>73.599999999999994</v>
      </c>
      <c r="Q443" s="53">
        <v>76.900000000000006</v>
      </c>
      <c r="R443" s="53">
        <v>81.599999999999994</v>
      </c>
      <c r="S443" s="53">
        <v>84.3</v>
      </c>
      <c r="T443" s="53">
        <v>84.8</v>
      </c>
      <c r="U443" s="53">
        <v>85.3</v>
      </c>
      <c r="V443" s="53">
        <v>86.2</v>
      </c>
      <c r="W443" s="53">
        <v>87.3</v>
      </c>
      <c r="X443" s="53">
        <v>88.3</v>
      </c>
      <c r="Y443" s="53">
        <v>87.7</v>
      </c>
      <c r="Z443" s="53">
        <v>87.2</v>
      </c>
      <c r="AA443" s="53">
        <v>89.8</v>
      </c>
      <c r="AB443" s="53">
        <v>92</v>
      </c>
      <c r="AC443" s="53">
        <v>93.6</v>
      </c>
      <c r="AD443" s="53">
        <v>94.2</v>
      </c>
      <c r="AE443" s="53">
        <v>95.4</v>
      </c>
      <c r="AF443" s="53">
        <v>94.6</v>
      </c>
      <c r="AG443" s="53">
        <v>92.5</v>
      </c>
      <c r="AH443" s="53">
        <v>91.9</v>
      </c>
      <c r="AL443" s="53" t="str">
        <f>B443</f>
        <v>Telephony</v>
      </c>
      <c r="AM443" s="53"/>
      <c r="AN443" s="53">
        <v>1.4</v>
      </c>
      <c r="AO443" s="53">
        <f>E443-D443</f>
        <v>2.5</v>
      </c>
      <c r="AP443" s="53">
        <f>AO443+2</f>
        <v>4.5</v>
      </c>
      <c r="AQ443" s="53">
        <f>F443-E443</f>
        <v>3.5999999999999979</v>
      </c>
      <c r="AR443" s="53"/>
      <c r="AS443" s="53"/>
      <c r="AT443" s="53"/>
      <c r="AU443" s="53"/>
      <c r="AV443" s="53"/>
      <c r="AW443" s="53"/>
      <c r="AX443" s="53"/>
      <c r="AY443" s="53"/>
      <c r="AZ443" s="53"/>
      <c r="BA443" s="53"/>
      <c r="BB443" s="53"/>
      <c r="BC443" s="53"/>
      <c r="BD443" s="53"/>
      <c r="BE443" s="53"/>
      <c r="BF443" s="53"/>
      <c r="BG443" s="53"/>
      <c r="BH443" s="53"/>
      <c r="BI443" s="53"/>
      <c r="BJ443" s="53"/>
      <c r="BK443" s="53"/>
      <c r="BM443" s="53">
        <f>H443-G443</f>
        <v>4.6000000000000014</v>
      </c>
      <c r="BN443" s="53"/>
      <c r="BO443" s="53">
        <f>I443-H443</f>
        <v>8.6000000000000014</v>
      </c>
      <c r="BR443" s="53"/>
      <c r="BS443" s="53"/>
      <c r="BT443" s="53">
        <f>J443-I443</f>
        <v>2.8999999999999986</v>
      </c>
      <c r="BU443" s="53"/>
      <c r="BV443" s="53">
        <f>J443-I443</f>
        <v>2.8999999999999986</v>
      </c>
      <c r="BX443" s="53">
        <f>K443-J443</f>
        <v>4.3999999999999986</v>
      </c>
      <c r="BZ443" s="53">
        <f>L443-K443</f>
        <v>4.3999999999999986</v>
      </c>
      <c r="CA443" s="53"/>
      <c r="CB443" s="53">
        <f t="shared" si="260"/>
        <v>3.2000000000000028</v>
      </c>
      <c r="CC443" s="53">
        <f t="shared" si="260"/>
        <v>2.5</v>
      </c>
      <c r="CE443" s="621">
        <f>O443-N443</f>
        <v>4</v>
      </c>
      <c r="CG443" s="621">
        <f>P443-O443</f>
        <v>5.5999999999999943</v>
      </c>
      <c r="CJ443" s="621">
        <f>Q443-P443</f>
        <v>3.3000000000000114</v>
      </c>
      <c r="CL443" s="621">
        <f>R443-Q443</f>
        <v>4.6999999999999886</v>
      </c>
      <c r="CN443" s="621">
        <f t="shared" si="261"/>
        <v>2.7000000000000028</v>
      </c>
      <c r="CO443" s="621">
        <f t="shared" si="261"/>
        <v>0.5</v>
      </c>
      <c r="CQ443" s="621">
        <f>U443-T443</f>
        <v>0.5</v>
      </c>
      <c r="CS443" s="621">
        <f t="shared" si="262"/>
        <v>0.90000000000000568</v>
      </c>
      <c r="CT443" s="621">
        <f t="shared" si="262"/>
        <v>1.0999999999999943</v>
      </c>
      <c r="CU443" s="621">
        <f t="shared" si="262"/>
        <v>1</v>
      </c>
      <c r="CV443" s="621">
        <f t="shared" si="262"/>
        <v>-0.59999999999999432</v>
      </c>
      <c r="CW443" s="621">
        <f t="shared" si="262"/>
        <v>-0.5</v>
      </c>
      <c r="CX443" s="621">
        <f t="shared" si="262"/>
        <v>2.5999999999999943</v>
      </c>
      <c r="CY443" s="621">
        <f t="shared" si="262"/>
        <v>2.2000000000000028</v>
      </c>
      <c r="CZ443" s="621">
        <f t="shared" si="262"/>
        <v>1.5999999999999943</v>
      </c>
      <c r="DA443" s="1069">
        <f t="shared" si="242"/>
        <v>1.5999999999999943</v>
      </c>
      <c r="DB443" s="621">
        <f>AD443-AC443</f>
        <v>0.60000000000000853</v>
      </c>
      <c r="DC443" s="62">
        <f t="shared" si="263"/>
        <v>0.60000000000000853</v>
      </c>
      <c r="DD443" s="621">
        <f>AE443-AD443</f>
        <v>1.2000000000000028</v>
      </c>
      <c r="DE443" s="62">
        <f t="shared" si="244"/>
        <v>1.2000000000000028</v>
      </c>
      <c r="DF443" s="621">
        <f>AF443-AE443</f>
        <v>-0.80000000000001137</v>
      </c>
      <c r="DG443" s="62">
        <f t="shared" si="264"/>
        <v>-0.80000000000001137</v>
      </c>
      <c r="DH443" s="621">
        <f>AG443-AF443</f>
        <v>-2.0999999999999943</v>
      </c>
      <c r="DI443" s="62">
        <f>DH443</f>
        <v>-2.0999999999999943</v>
      </c>
      <c r="DJ443" s="621">
        <f t="shared" si="265"/>
        <v>-0.59999999999999432</v>
      </c>
      <c r="DK443" s="621">
        <f t="shared" si="265"/>
        <v>-91.9</v>
      </c>
    </row>
    <row r="444" spans="2:115" ht="15.75">
      <c r="B444" s="53"/>
      <c r="C444" s="53"/>
      <c r="D444" s="53"/>
      <c r="E444" s="53"/>
      <c r="F444" s="53"/>
      <c r="G444" s="53"/>
      <c r="H444" s="53"/>
      <c r="I444" s="53"/>
      <c r="AL444" s="53"/>
      <c r="AM444" s="53"/>
      <c r="AN444" s="53"/>
      <c r="AO444" s="53"/>
      <c r="AP444" s="53"/>
      <c r="AQ444" s="53"/>
      <c r="AR444" s="53"/>
      <c r="AT444" s="53"/>
      <c r="AU444" s="53"/>
      <c r="AV444" s="53"/>
      <c r="AW444" s="53"/>
      <c r="AX444" s="53"/>
      <c r="AY444" s="53"/>
      <c r="AZ444" s="53"/>
      <c r="BA444" s="53"/>
      <c r="BB444" s="53"/>
      <c r="BC444" s="53"/>
      <c r="BD444" s="53"/>
      <c r="BE444" s="53"/>
      <c r="BF444" s="53"/>
      <c r="BG444" s="53"/>
    </row>
    <row r="445" spans="2:115" ht="15.75">
      <c r="B445" s="78" t="s">
        <v>33</v>
      </c>
      <c r="C445" s="53"/>
      <c r="D445" s="53"/>
      <c r="E445" s="53"/>
      <c r="F445" s="53"/>
      <c r="G445" s="53"/>
      <c r="H445" s="53"/>
      <c r="I445" s="53"/>
      <c r="AL445" s="78" t="str">
        <f>B445</f>
        <v>Barbados</v>
      </c>
      <c r="AM445" s="53"/>
      <c r="AN445" s="53"/>
      <c r="AO445" s="53"/>
      <c r="AP445" s="53"/>
      <c r="AQ445" s="53"/>
      <c r="AR445" s="53"/>
      <c r="AT445" s="53"/>
      <c r="AU445" s="53"/>
      <c r="AV445" s="53"/>
      <c r="AW445" s="53"/>
      <c r="AX445" s="53"/>
      <c r="AY445" s="53"/>
      <c r="AZ445" s="53"/>
      <c r="BA445" s="53"/>
      <c r="BB445" s="53"/>
      <c r="BC445" s="53"/>
      <c r="BD445" s="53"/>
      <c r="BE445" s="53"/>
      <c r="BF445" s="53"/>
      <c r="BG445" s="53"/>
    </row>
    <row r="446" spans="2:115" ht="15.75">
      <c r="B446" s="53" t="str">
        <f>B435</f>
        <v>Homes passed</v>
      </c>
      <c r="C446" s="53"/>
      <c r="D446" s="53">
        <v>121.8</v>
      </c>
      <c r="E446" s="53">
        <v>121.8</v>
      </c>
      <c r="F446" s="53">
        <v>121.8</v>
      </c>
      <c r="G446" s="53">
        <v>122.5</v>
      </c>
      <c r="H446" s="53">
        <v>123.1</v>
      </c>
      <c r="I446" s="53">
        <v>123.7</v>
      </c>
      <c r="J446" s="53">
        <v>124.5</v>
      </c>
      <c r="K446" s="53">
        <v>124.5</v>
      </c>
      <c r="L446" s="53">
        <v>124.5</v>
      </c>
      <c r="M446" s="53">
        <v>124.7</v>
      </c>
      <c r="N446" s="53">
        <v>124.7</v>
      </c>
      <c r="O446" s="53">
        <v>125.2</v>
      </c>
      <c r="P446" s="53">
        <v>125.2</v>
      </c>
      <c r="Q446" s="53">
        <v>125.2</v>
      </c>
      <c r="R446" s="53">
        <v>140.4</v>
      </c>
      <c r="S446" s="53">
        <v>140.4</v>
      </c>
      <c r="T446" s="53">
        <v>140.4</v>
      </c>
      <c r="U446" s="53">
        <v>140.4</v>
      </c>
      <c r="V446" s="53">
        <v>140.4</v>
      </c>
      <c r="W446" s="53">
        <v>140.4</v>
      </c>
      <c r="X446" s="53">
        <v>140.4</v>
      </c>
      <c r="Y446" s="53">
        <v>140.4</v>
      </c>
      <c r="Z446" s="53">
        <v>140.4</v>
      </c>
      <c r="AA446" s="53">
        <v>140.4</v>
      </c>
      <c r="AB446" s="53">
        <v>140.4</v>
      </c>
      <c r="AC446" s="53">
        <v>140.4</v>
      </c>
      <c r="AD446" s="53">
        <v>140.4</v>
      </c>
      <c r="AE446" s="53">
        <v>140.4</v>
      </c>
      <c r="AF446" s="53">
        <v>140.4</v>
      </c>
      <c r="AG446" s="53">
        <v>140.4</v>
      </c>
      <c r="AH446" s="53">
        <v>140.4</v>
      </c>
      <c r="AL446" s="53" t="str">
        <f>B446</f>
        <v>Homes passed</v>
      </c>
      <c r="AM446" s="53"/>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M446" s="53">
        <f>H446-G446</f>
        <v>0.59999999999999432</v>
      </c>
      <c r="BN446" s="53"/>
      <c r="BO446" s="53">
        <f>I446-H446</f>
        <v>0.60000000000000853</v>
      </c>
      <c r="BR446" s="53"/>
      <c r="BS446" s="53"/>
      <c r="BT446" s="53">
        <f>J446-I446</f>
        <v>0.79999999999999716</v>
      </c>
      <c r="BU446" s="53"/>
      <c r="BV446" s="53">
        <f>J446-I446</f>
        <v>0.79999999999999716</v>
      </c>
      <c r="BX446" s="53">
        <f>K446-J446</f>
        <v>0</v>
      </c>
      <c r="BZ446" s="53">
        <f>L446-K446</f>
        <v>0</v>
      </c>
      <c r="CA446" s="53"/>
      <c r="CB446" s="53">
        <f t="shared" ref="CB446:CC448" si="266">M446-L446</f>
        <v>0.20000000000000284</v>
      </c>
      <c r="CC446" s="53">
        <f t="shared" si="266"/>
        <v>0</v>
      </c>
      <c r="CE446" s="53">
        <f>O446-N446</f>
        <v>0.5</v>
      </c>
      <c r="CG446" s="621">
        <f>P446-O446</f>
        <v>0</v>
      </c>
      <c r="CJ446" s="621">
        <f>Q446-P446</f>
        <v>0</v>
      </c>
      <c r="CL446" s="621">
        <f>R446-Q446</f>
        <v>15.200000000000003</v>
      </c>
      <c r="CN446" s="621">
        <f t="shared" ref="CN446:CO448" si="267">S446-R446</f>
        <v>0</v>
      </c>
      <c r="CO446" s="621">
        <f t="shared" si="267"/>
        <v>0</v>
      </c>
      <c r="CQ446" s="621">
        <f>U446-T446</f>
        <v>0</v>
      </c>
      <c r="CS446" s="621">
        <f t="shared" ref="CS446:CZ448" si="268">V446-U446</f>
        <v>0</v>
      </c>
      <c r="CT446" s="621">
        <f t="shared" si="268"/>
        <v>0</v>
      </c>
      <c r="CU446" s="621">
        <f t="shared" si="268"/>
        <v>0</v>
      </c>
      <c r="CV446" s="621">
        <f t="shared" si="268"/>
        <v>0</v>
      </c>
      <c r="CW446" s="621">
        <f t="shared" si="268"/>
        <v>0</v>
      </c>
      <c r="CX446" s="621">
        <f t="shared" si="268"/>
        <v>0</v>
      </c>
      <c r="CY446" s="621">
        <f t="shared" si="268"/>
        <v>0</v>
      </c>
      <c r="CZ446" s="621">
        <f t="shared" si="268"/>
        <v>0</v>
      </c>
      <c r="DA446" s="1069">
        <f t="shared" si="242"/>
        <v>0</v>
      </c>
      <c r="DB446" s="621">
        <f>AD446-AC446</f>
        <v>0</v>
      </c>
      <c r="DC446" s="62">
        <f t="shared" ref="DC446:DC448" si="269">DB446</f>
        <v>0</v>
      </c>
      <c r="DD446" s="621">
        <f>AE446-AD446</f>
        <v>0</v>
      </c>
      <c r="DE446" s="62">
        <f t="shared" ref="DE446:DE455" si="270">DD446</f>
        <v>0</v>
      </c>
      <c r="DF446" s="621">
        <f>AF446-AE446</f>
        <v>0</v>
      </c>
      <c r="DG446" s="62">
        <f t="shared" ref="DG446:DG455" si="271">DF446</f>
        <v>0</v>
      </c>
      <c r="DH446" s="621">
        <f>AG446-AF446</f>
        <v>0</v>
      </c>
      <c r="DI446" s="62">
        <f>DH446</f>
        <v>0</v>
      </c>
      <c r="DJ446" s="621">
        <f t="shared" ref="DJ446:DK448" si="272">AH446-AG446</f>
        <v>0</v>
      </c>
      <c r="DK446" s="621">
        <f t="shared" si="272"/>
        <v>-140.4</v>
      </c>
    </row>
    <row r="447" spans="2:115" ht="15.75">
      <c r="B447" s="53" t="str">
        <f>B436</f>
        <v>2-way homes passed</v>
      </c>
      <c r="C447" s="53"/>
      <c r="D447" s="53">
        <v>121.8</v>
      </c>
      <c r="E447" s="53">
        <v>121.8</v>
      </c>
      <c r="F447" s="53">
        <v>121.8</v>
      </c>
      <c r="G447" s="53">
        <v>122.5</v>
      </c>
      <c r="H447" s="53">
        <v>123.1</v>
      </c>
      <c r="I447" s="53">
        <v>123.7</v>
      </c>
      <c r="J447" s="53">
        <v>124.5</v>
      </c>
      <c r="K447" s="53">
        <v>124.5</v>
      </c>
      <c r="L447" s="53">
        <v>124.5</v>
      </c>
      <c r="M447" s="53">
        <v>124.7</v>
      </c>
      <c r="N447" s="53">
        <v>124.7</v>
      </c>
      <c r="O447" s="53">
        <v>125.2</v>
      </c>
      <c r="P447" s="53">
        <v>125.2</v>
      </c>
      <c r="Q447" s="53">
        <v>125.2</v>
      </c>
      <c r="R447" s="53">
        <v>140.4</v>
      </c>
      <c r="S447" s="53">
        <v>140.4</v>
      </c>
      <c r="T447" s="53">
        <v>140.4</v>
      </c>
      <c r="U447" s="53">
        <v>140.4</v>
      </c>
      <c r="V447" s="53">
        <v>140.4</v>
      </c>
      <c r="W447" s="53">
        <v>140.4</v>
      </c>
      <c r="X447" s="53">
        <v>140.4</v>
      </c>
      <c r="Y447" s="53">
        <v>140.4</v>
      </c>
      <c r="Z447" s="53">
        <v>140.4</v>
      </c>
      <c r="AA447" s="53">
        <v>140.4</v>
      </c>
      <c r="AB447" s="53">
        <v>140.4</v>
      </c>
      <c r="AC447" s="53">
        <v>140.4</v>
      </c>
      <c r="AD447" s="53">
        <v>140.4</v>
      </c>
      <c r="AE447" s="53">
        <v>140.4</v>
      </c>
      <c r="AF447" s="53">
        <v>140.4</v>
      </c>
      <c r="AG447" s="53">
        <v>140.4</v>
      </c>
      <c r="AH447" s="53">
        <v>140.4</v>
      </c>
      <c r="AL447" s="53" t="str">
        <f>B447</f>
        <v>2-way homes passed</v>
      </c>
      <c r="AM447" s="53"/>
      <c r="AN447" s="53"/>
      <c r="AO447" s="53">
        <f>E447-D447</f>
        <v>0</v>
      </c>
      <c r="AP447" s="53"/>
      <c r="AQ447" s="53">
        <f>F447-E447</f>
        <v>0</v>
      </c>
      <c r="AR447" s="53"/>
      <c r="AS447" s="53"/>
      <c r="AT447" s="53"/>
      <c r="AU447" s="53"/>
      <c r="AV447" s="53"/>
      <c r="AW447" s="53"/>
      <c r="AX447" s="53"/>
      <c r="AY447" s="53"/>
      <c r="AZ447" s="53"/>
      <c r="BA447" s="53"/>
      <c r="BB447" s="53"/>
      <c r="BC447" s="53"/>
      <c r="BD447" s="53"/>
      <c r="BE447" s="53"/>
      <c r="BF447" s="53"/>
      <c r="BG447" s="53"/>
      <c r="BH447" s="53"/>
      <c r="BI447" s="53"/>
      <c r="BJ447" s="53"/>
      <c r="BK447" s="53"/>
      <c r="BM447" s="53">
        <f>H447-G447</f>
        <v>0.59999999999999432</v>
      </c>
      <c r="BN447" s="53"/>
      <c r="BO447" s="53">
        <f>I447-H447</f>
        <v>0.60000000000000853</v>
      </c>
      <c r="BR447" s="53"/>
      <c r="BS447" s="53"/>
      <c r="BT447" s="53">
        <f>J447-I447</f>
        <v>0.79999999999999716</v>
      </c>
      <c r="BU447" s="53"/>
      <c r="BV447" s="53">
        <f>J447-I447</f>
        <v>0.79999999999999716</v>
      </c>
      <c r="BX447" s="53">
        <f>K447-J447</f>
        <v>0</v>
      </c>
      <c r="BZ447" s="53">
        <f>L447-K447</f>
        <v>0</v>
      </c>
      <c r="CA447" s="53"/>
      <c r="CB447" s="53">
        <f t="shared" si="266"/>
        <v>0.20000000000000284</v>
      </c>
      <c r="CC447" s="53">
        <f t="shared" si="266"/>
        <v>0</v>
      </c>
      <c r="CE447" s="53">
        <f>O447-N447</f>
        <v>0.5</v>
      </c>
      <c r="CG447" s="621">
        <f>P447-O447</f>
        <v>0</v>
      </c>
      <c r="CJ447" s="621">
        <f>Q447-P447</f>
        <v>0</v>
      </c>
      <c r="CL447" s="621">
        <f>R447-Q447</f>
        <v>15.200000000000003</v>
      </c>
      <c r="CN447" s="621">
        <f t="shared" si="267"/>
        <v>0</v>
      </c>
      <c r="CO447" s="621">
        <f t="shared" si="267"/>
        <v>0</v>
      </c>
      <c r="CQ447" s="621">
        <f>U447-T447</f>
        <v>0</v>
      </c>
      <c r="CS447" s="621">
        <f t="shared" si="268"/>
        <v>0</v>
      </c>
      <c r="CT447" s="621">
        <f t="shared" si="268"/>
        <v>0</v>
      </c>
      <c r="CU447" s="621">
        <f t="shared" si="268"/>
        <v>0</v>
      </c>
      <c r="CV447" s="621">
        <f t="shared" si="268"/>
        <v>0</v>
      </c>
      <c r="CW447" s="621">
        <f t="shared" si="268"/>
        <v>0</v>
      </c>
      <c r="CX447" s="621">
        <f t="shared" si="268"/>
        <v>0</v>
      </c>
      <c r="CY447" s="621">
        <f t="shared" si="268"/>
        <v>0</v>
      </c>
      <c r="CZ447" s="621">
        <f t="shared" si="268"/>
        <v>0</v>
      </c>
      <c r="DA447" s="1069">
        <f t="shared" si="242"/>
        <v>0</v>
      </c>
      <c r="DB447" s="621">
        <f>AD447-AC447</f>
        <v>0</v>
      </c>
      <c r="DC447" s="62">
        <f t="shared" si="269"/>
        <v>0</v>
      </c>
      <c r="DD447" s="621">
        <f>AE447-AD447</f>
        <v>0</v>
      </c>
      <c r="DE447" s="62">
        <f t="shared" si="270"/>
        <v>0</v>
      </c>
      <c r="DF447" s="621">
        <f>AF447-AE447</f>
        <v>0</v>
      </c>
      <c r="DG447" s="62">
        <f t="shared" si="271"/>
        <v>0</v>
      </c>
      <c r="DH447" s="621">
        <f>AG447-AF447</f>
        <v>0</v>
      </c>
      <c r="DI447" s="62">
        <f>DH447</f>
        <v>0</v>
      </c>
      <c r="DJ447" s="621">
        <f t="shared" si="272"/>
        <v>0</v>
      </c>
      <c r="DK447" s="621">
        <f t="shared" si="272"/>
        <v>-140.4</v>
      </c>
    </row>
    <row r="448" spans="2:115" ht="15.75">
      <c r="B448" s="53" t="str">
        <f>B437</f>
        <v>Customer relationships</v>
      </c>
      <c r="C448" s="53"/>
      <c r="D448" s="53">
        <v>96.3</v>
      </c>
      <c r="E448" s="53">
        <v>94.5</v>
      </c>
      <c r="F448" s="53">
        <v>92.2</v>
      </c>
      <c r="G448" s="53">
        <v>89.5</v>
      </c>
      <c r="H448" s="53">
        <v>97.4</v>
      </c>
      <c r="I448" s="53">
        <v>85</v>
      </c>
      <c r="J448" s="53">
        <v>85.5</v>
      </c>
      <c r="K448" s="53">
        <v>84.9</v>
      </c>
      <c r="L448" s="53">
        <v>84.8</v>
      </c>
      <c r="M448" s="53">
        <v>84</v>
      </c>
      <c r="N448" s="53">
        <v>83.9</v>
      </c>
      <c r="O448" s="53">
        <v>83.3</v>
      </c>
      <c r="P448" s="53">
        <v>82.4</v>
      </c>
      <c r="Q448" s="53">
        <v>82.3</v>
      </c>
      <c r="R448" s="53">
        <v>82.5</v>
      </c>
      <c r="S448" s="53">
        <v>82.6</v>
      </c>
      <c r="T448" s="621">
        <v>82</v>
      </c>
      <c r="U448" s="621">
        <v>81.900000000000006</v>
      </c>
      <c r="V448" s="53">
        <v>82.4</v>
      </c>
      <c r="W448" s="53">
        <v>82.6</v>
      </c>
      <c r="X448" s="53">
        <v>82.9</v>
      </c>
      <c r="Y448" s="53">
        <v>83.1</v>
      </c>
      <c r="Z448" s="53">
        <v>83.7</v>
      </c>
      <c r="AA448" s="621">
        <v>84</v>
      </c>
      <c r="AB448" s="621">
        <v>83.8</v>
      </c>
      <c r="AC448" s="621">
        <v>83.9</v>
      </c>
      <c r="AD448" s="621">
        <v>84.3</v>
      </c>
      <c r="AE448" s="53">
        <v>84.6</v>
      </c>
      <c r="AF448" s="53">
        <v>84.6</v>
      </c>
      <c r="AG448" s="53">
        <v>84.7</v>
      </c>
      <c r="AH448" s="53">
        <v>85.2</v>
      </c>
      <c r="AL448" s="53" t="str">
        <f>B448</f>
        <v>Customer relationships</v>
      </c>
      <c r="AM448" s="53"/>
      <c r="AN448" s="53">
        <v>-1</v>
      </c>
      <c r="AO448" s="53">
        <f>E448-D448</f>
        <v>-1.7999999999999972</v>
      </c>
      <c r="AP448" s="53"/>
      <c r="AQ448" s="53">
        <f>F448-E448</f>
        <v>-2.2999999999999972</v>
      </c>
      <c r="AR448" s="53"/>
      <c r="AS448" s="53"/>
      <c r="AT448" s="53"/>
      <c r="AU448" s="53"/>
      <c r="AV448" s="53"/>
      <c r="AW448" s="53"/>
      <c r="AX448" s="53"/>
      <c r="AY448" s="53"/>
      <c r="AZ448" s="53"/>
      <c r="BA448" s="53"/>
      <c r="BB448" s="53"/>
      <c r="BC448" s="53"/>
      <c r="BD448" s="53"/>
      <c r="BE448" s="53"/>
      <c r="BF448" s="53"/>
      <c r="BG448" s="53"/>
      <c r="BH448" s="53"/>
      <c r="BI448" s="53"/>
      <c r="BJ448" s="53"/>
      <c r="BK448" s="53"/>
      <c r="BM448" s="53">
        <f>H448-G448</f>
        <v>7.9000000000000057</v>
      </c>
      <c r="BN448" s="53"/>
      <c r="BO448" s="53">
        <f>I448-H448</f>
        <v>-12.400000000000006</v>
      </c>
      <c r="BR448" s="53"/>
      <c r="BS448" s="53"/>
      <c r="BT448" s="53">
        <f>J448-I448</f>
        <v>0.5</v>
      </c>
      <c r="BU448" s="53"/>
      <c r="BV448" s="53">
        <f>J448-I448</f>
        <v>0.5</v>
      </c>
      <c r="BX448" s="53">
        <f>K448-J448</f>
        <v>-0.59999999999999432</v>
      </c>
      <c r="BZ448" s="53">
        <f>L448-K448</f>
        <v>-0.10000000000000853</v>
      </c>
      <c r="CA448" s="53"/>
      <c r="CB448" s="53">
        <f t="shared" si="266"/>
        <v>-0.79999999999999716</v>
      </c>
      <c r="CC448" s="53">
        <f t="shared" si="266"/>
        <v>-9.9999999999994316E-2</v>
      </c>
      <c r="CE448" s="53">
        <f>O448-N448</f>
        <v>-0.60000000000000853</v>
      </c>
      <c r="CG448" s="621">
        <f>P448-O448</f>
        <v>-0.89999999999999147</v>
      </c>
      <c r="CJ448" s="621">
        <f>Q448-P448</f>
        <v>-0.10000000000000853</v>
      </c>
      <c r="CL448" s="621">
        <f>R448-Q448</f>
        <v>0.20000000000000284</v>
      </c>
      <c r="CN448" s="621">
        <f t="shared" si="267"/>
        <v>9.9999999999994316E-2</v>
      </c>
      <c r="CO448" s="621">
        <f t="shared" si="267"/>
        <v>-0.59999999999999432</v>
      </c>
      <c r="CQ448" s="621">
        <f>U448-T448</f>
        <v>-9.9999999999994316E-2</v>
      </c>
      <c r="CS448" s="621">
        <f t="shared" si="268"/>
        <v>0.5</v>
      </c>
      <c r="CT448" s="621">
        <f t="shared" si="268"/>
        <v>0.19999999999998863</v>
      </c>
      <c r="CU448" s="621">
        <f t="shared" si="268"/>
        <v>0.30000000000001137</v>
      </c>
      <c r="CV448" s="621">
        <f t="shared" si="268"/>
        <v>0.19999999999998863</v>
      </c>
      <c r="CW448" s="621">
        <f t="shared" si="268"/>
        <v>0.60000000000000853</v>
      </c>
      <c r="CX448" s="621">
        <f t="shared" si="268"/>
        <v>0.29999999999999716</v>
      </c>
      <c r="CY448" s="621">
        <f t="shared" si="268"/>
        <v>-0.20000000000000284</v>
      </c>
      <c r="CZ448" s="621">
        <f t="shared" si="268"/>
        <v>0.10000000000000853</v>
      </c>
      <c r="DA448" s="1069">
        <f t="shared" si="242"/>
        <v>0.10000000000000853</v>
      </c>
      <c r="DB448" s="621">
        <f>AD448-AC448</f>
        <v>0.39999999999999147</v>
      </c>
      <c r="DC448" s="62">
        <f t="shared" si="269"/>
        <v>0.39999999999999147</v>
      </c>
      <c r="DD448" s="621">
        <f>AE448-AD448</f>
        <v>0.29999999999999716</v>
      </c>
      <c r="DE448" s="62">
        <f t="shared" si="270"/>
        <v>0.29999999999999716</v>
      </c>
      <c r="DF448" s="621">
        <f>AF448-AE448</f>
        <v>0</v>
      </c>
      <c r="DG448" s="62">
        <f t="shared" si="271"/>
        <v>0</v>
      </c>
      <c r="DH448" s="621">
        <f>AG448-AF448</f>
        <v>0.10000000000000853</v>
      </c>
      <c r="DI448" s="62">
        <f>DH448</f>
        <v>0.10000000000000853</v>
      </c>
      <c r="DJ448" s="621">
        <f t="shared" si="272"/>
        <v>0.5</v>
      </c>
      <c r="DK448" s="621">
        <f t="shared" si="272"/>
        <v>-85.2</v>
      </c>
    </row>
    <row r="449" spans="2:115" ht="15.75">
      <c r="B449" s="53" t="s">
        <v>2478</v>
      </c>
      <c r="C449" s="53"/>
      <c r="D449" s="54">
        <f t="shared" ref="D449:W449" si="273">D448/D446</f>
        <v>0.79064039408866993</v>
      </c>
      <c r="E449" s="54">
        <f t="shared" si="273"/>
        <v>0.77586206896551724</v>
      </c>
      <c r="F449" s="54">
        <f t="shared" si="273"/>
        <v>0.75697865353037774</v>
      </c>
      <c r="G449" s="54">
        <f t="shared" si="273"/>
        <v>0.73061224489795917</v>
      </c>
      <c r="H449" s="54">
        <f t="shared" si="273"/>
        <v>0.79122664500406181</v>
      </c>
      <c r="I449" s="54">
        <f t="shared" si="273"/>
        <v>0.68714632174616008</v>
      </c>
      <c r="J449" s="54">
        <f t="shared" si="273"/>
        <v>0.68674698795180722</v>
      </c>
      <c r="K449" s="54">
        <f t="shared" si="273"/>
        <v>0.68192771084337356</v>
      </c>
      <c r="L449" s="54">
        <f t="shared" si="273"/>
        <v>0.68112449799196784</v>
      </c>
      <c r="M449" s="54">
        <f t="shared" si="273"/>
        <v>0.67361668003207698</v>
      </c>
      <c r="N449" s="54">
        <f t="shared" si="273"/>
        <v>0.67281475541299118</v>
      </c>
      <c r="O449" s="54">
        <f t="shared" si="273"/>
        <v>0.6653354632587859</v>
      </c>
      <c r="P449" s="54">
        <f t="shared" si="273"/>
        <v>0.65814696485623003</v>
      </c>
      <c r="Q449" s="54">
        <f t="shared" si="273"/>
        <v>0.65734824281150162</v>
      </c>
      <c r="R449" s="54">
        <f t="shared" si="273"/>
        <v>0.58760683760683763</v>
      </c>
      <c r="S449" s="54">
        <f t="shared" si="273"/>
        <v>0.5883190883190883</v>
      </c>
      <c r="T449" s="54">
        <f t="shared" si="273"/>
        <v>0.58404558404558404</v>
      </c>
      <c r="U449" s="54">
        <f t="shared" si="273"/>
        <v>0.58333333333333337</v>
      </c>
      <c r="V449" s="54">
        <f t="shared" si="273"/>
        <v>0.58689458689458696</v>
      </c>
      <c r="W449" s="54">
        <f t="shared" si="273"/>
        <v>0.5883190883190883</v>
      </c>
      <c r="X449" s="54">
        <f t="shared" ref="X449:AC449" si="274">X448/X446</f>
        <v>0.59045584045584043</v>
      </c>
      <c r="Y449" s="54">
        <f t="shared" si="274"/>
        <v>0.59188034188034178</v>
      </c>
      <c r="Z449" s="54">
        <f t="shared" si="274"/>
        <v>0.59615384615384615</v>
      </c>
      <c r="AA449" s="54">
        <f t="shared" si="274"/>
        <v>0.59829059829059827</v>
      </c>
      <c r="AB449" s="54">
        <f t="shared" si="274"/>
        <v>0.59686609686609682</v>
      </c>
      <c r="AC449" s="54">
        <f t="shared" si="274"/>
        <v>0.5975783475783476</v>
      </c>
      <c r="AD449" s="54">
        <f t="shared" ref="AD449" si="275">AD448/AD446</f>
        <v>0.6004273504273504</v>
      </c>
      <c r="AE449" s="54">
        <f t="shared" ref="AE449:AF449" si="276">AE448/AE446</f>
        <v>0.60256410256410253</v>
      </c>
      <c r="AF449" s="54">
        <f t="shared" si="276"/>
        <v>0.60256410256410253</v>
      </c>
      <c r="AG449" s="54">
        <f t="shared" ref="AG449:AI449" si="277">AG448/AG446</f>
        <v>0.60327635327635332</v>
      </c>
      <c r="AH449" s="54">
        <f t="shared" si="277"/>
        <v>0.60683760683760679</v>
      </c>
      <c r="AI449" s="54" t="e">
        <f t="shared" si="277"/>
        <v>#DIV/0!</v>
      </c>
      <c r="AL449" s="53"/>
      <c r="AM449" s="53"/>
      <c r="AN449" s="53"/>
      <c r="AO449" s="53"/>
      <c r="AP449" s="53"/>
      <c r="AQ449" s="53"/>
      <c r="AR449" s="53"/>
      <c r="AT449" s="53"/>
      <c r="AU449" s="53"/>
      <c r="AV449" s="53"/>
      <c r="AW449" s="53"/>
      <c r="AX449" s="53"/>
      <c r="AY449" s="53"/>
      <c r="AZ449" s="53"/>
      <c r="BA449" s="53"/>
      <c r="BB449" s="53"/>
      <c r="BC449" s="53"/>
      <c r="BD449" s="53"/>
      <c r="BE449" s="53"/>
      <c r="BF449" s="53"/>
      <c r="BG449" s="53"/>
    </row>
    <row r="450" spans="2:115" ht="15.75">
      <c r="B450" s="53" t="str">
        <f>B439</f>
        <v>Fixed RGUs</v>
      </c>
      <c r="C450" s="53"/>
      <c r="D450" s="53">
        <f t="shared" ref="D450:W450" si="278">SUM(D452:D454)</f>
        <v>173.8</v>
      </c>
      <c r="E450" s="53">
        <f t="shared" si="278"/>
        <v>169.9</v>
      </c>
      <c r="F450" s="53">
        <f t="shared" si="278"/>
        <v>162.5</v>
      </c>
      <c r="G450" s="53">
        <f t="shared" si="278"/>
        <v>160.6</v>
      </c>
      <c r="H450" s="53">
        <f t="shared" si="278"/>
        <v>156.89999999999998</v>
      </c>
      <c r="I450" s="53">
        <f t="shared" si="278"/>
        <v>152.1</v>
      </c>
      <c r="J450" s="53">
        <f t="shared" si="278"/>
        <v>154.80000000000001</v>
      </c>
      <c r="K450" s="53">
        <f t="shared" si="278"/>
        <v>155.5</v>
      </c>
      <c r="L450" s="53">
        <f t="shared" si="278"/>
        <v>157.5</v>
      </c>
      <c r="M450" s="53">
        <f t="shared" si="278"/>
        <v>157.30000000000001</v>
      </c>
      <c r="N450" s="53">
        <f t="shared" si="278"/>
        <v>158.5</v>
      </c>
      <c r="O450" s="53">
        <f t="shared" si="278"/>
        <v>159.1</v>
      </c>
      <c r="P450" s="53">
        <f t="shared" si="278"/>
        <v>161.4</v>
      </c>
      <c r="Q450" s="53">
        <f t="shared" si="278"/>
        <v>165.89999999999998</v>
      </c>
      <c r="R450" s="53">
        <f t="shared" si="278"/>
        <v>168.8</v>
      </c>
      <c r="S450" s="53">
        <f t="shared" si="278"/>
        <v>171.3</v>
      </c>
      <c r="T450" s="53">
        <f t="shared" si="278"/>
        <v>170.70000000000002</v>
      </c>
      <c r="U450" s="53">
        <f t="shared" si="278"/>
        <v>172</v>
      </c>
      <c r="V450" s="53">
        <f t="shared" si="278"/>
        <v>174.2</v>
      </c>
      <c r="W450" s="53">
        <f t="shared" si="278"/>
        <v>175.7</v>
      </c>
      <c r="X450" s="53">
        <f t="shared" ref="X450:AC450" si="279">SUM(X452:X454)</f>
        <v>177.89999999999998</v>
      </c>
      <c r="Y450" s="53">
        <f t="shared" si="279"/>
        <v>179</v>
      </c>
      <c r="Z450" s="53">
        <f t="shared" si="279"/>
        <v>180.89999999999998</v>
      </c>
      <c r="AA450" s="53">
        <f t="shared" si="279"/>
        <v>182.2</v>
      </c>
      <c r="AB450" s="53">
        <f t="shared" si="279"/>
        <v>182.29999999999998</v>
      </c>
      <c r="AC450" s="53">
        <f t="shared" si="279"/>
        <v>182.9</v>
      </c>
      <c r="AD450" s="53">
        <f t="shared" ref="AD450" si="280">SUM(AD452:AD454)</f>
        <v>184</v>
      </c>
      <c r="AE450" s="53">
        <f t="shared" ref="AE450:AF450" si="281">SUM(AE452:AE454)</f>
        <v>184.7</v>
      </c>
      <c r="AF450" s="53">
        <f t="shared" si="281"/>
        <v>184.7</v>
      </c>
      <c r="AG450" s="53">
        <f t="shared" ref="AG450:AI450" si="282">SUM(AG452:AG454)</f>
        <v>185</v>
      </c>
      <c r="AH450" s="53">
        <f t="shared" si="282"/>
        <v>186</v>
      </c>
      <c r="AI450" s="53">
        <f t="shared" si="282"/>
        <v>0</v>
      </c>
      <c r="AL450" s="53" t="str">
        <f>B450</f>
        <v>Fixed RGUs</v>
      </c>
      <c r="AM450" s="53"/>
      <c r="AN450" s="53">
        <f>SUM(AN452:AN454)</f>
        <v>-1.2</v>
      </c>
      <c r="AO450" s="53">
        <f>E450-D450</f>
        <v>-3.9000000000000057</v>
      </c>
      <c r="AP450" s="53"/>
      <c r="AQ450" s="53">
        <f>F450-E450</f>
        <v>-7.4000000000000057</v>
      </c>
      <c r="AR450" s="53"/>
      <c r="AS450" s="53"/>
      <c r="AT450" s="53"/>
      <c r="AU450" s="53"/>
      <c r="AV450" s="53"/>
      <c r="AW450" s="53"/>
      <c r="AX450" s="53"/>
      <c r="AY450" s="53"/>
      <c r="AZ450" s="53"/>
      <c r="BA450" s="53"/>
      <c r="BB450" s="53"/>
      <c r="BC450" s="53"/>
      <c r="BD450" s="53"/>
      <c r="BE450" s="53"/>
      <c r="BF450" s="53"/>
      <c r="BG450" s="53"/>
      <c r="BH450" s="53"/>
      <c r="BI450" s="53"/>
      <c r="BJ450" s="53"/>
      <c r="BK450" s="53"/>
      <c r="BM450" s="53">
        <f>H450-G450</f>
        <v>-3.7000000000000171</v>
      </c>
      <c r="BN450" s="53"/>
      <c r="BO450" s="53">
        <f>I450-H450</f>
        <v>-4.7999999999999829</v>
      </c>
      <c r="BR450" s="53"/>
      <c r="BS450" s="53"/>
      <c r="BT450" s="53">
        <f>J450-I450</f>
        <v>2.7000000000000171</v>
      </c>
      <c r="BU450" s="53"/>
      <c r="BV450" s="53">
        <f>J450-I450</f>
        <v>2.7000000000000171</v>
      </c>
      <c r="BX450" s="53">
        <f>K450-J450</f>
        <v>0.69999999999998863</v>
      </c>
      <c r="BZ450" s="53">
        <f>L450-K450</f>
        <v>2</v>
      </c>
      <c r="CA450" s="53"/>
      <c r="CB450" s="53">
        <f>M450-L450</f>
        <v>-0.19999999999998863</v>
      </c>
      <c r="CC450" s="53">
        <f>N450-M450</f>
        <v>1.1999999999999886</v>
      </c>
      <c r="CE450" s="53">
        <f>O450-N450</f>
        <v>0.59999999999999432</v>
      </c>
      <c r="CG450" s="621">
        <f>P450-O450</f>
        <v>2.3000000000000114</v>
      </c>
      <c r="CJ450" s="621">
        <f>Q450-P450</f>
        <v>4.4999999999999716</v>
      </c>
      <c r="CL450" s="621">
        <f>R450-Q450</f>
        <v>2.9000000000000341</v>
      </c>
      <c r="CN450" s="621">
        <f>S450-R450</f>
        <v>2.5</v>
      </c>
      <c r="CO450" s="621">
        <f>T450-S450</f>
        <v>-0.59999999999999432</v>
      </c>
      <c r="CQ450" s="621">
        <f>U450-T450</f>
        <v>1.2999999999999829</v>
      </c>
      <c r="CS450" s="621">
        <f t="shared" ref="CS450:CZ450" si="283">V450-U450</f>
        <v>2.1999999999999886</v>
      </c>
      <c r="CT450" s="621">
        <f t="shared" si="283"/>
        <v>1.5</v>
      </c>
      <c r="CU450" s="621">
        <f t="shared" si="283"/>
        <v>2.1999999999999886</v>
      </c>
      <c r="CV450" s="621">
        <f t="shared" si="283"/>
        <v>1.1000000000000227</v>
      </c>
      <c r="CW450" s="621">
        <f t="shared" si="283"/>
        <v>1.8999999999999773</v>
      </c>
      <c r="CX450" s="621">
        <f t="shared" si="283"/>
        <v>1.3000000000000114</v>
      </c>
      <c r="CY450" s="621">
        <f t="shared" si="283"/>
        <v>9.9999999999994316E-2</v>
      </c>
      <c r="CZ450" s="621">
        <f t="shared" si="283"/>
        <v>0.60000000000002274</v>
      </c>
      <c r="DA450" s="1069">
        <f t="shared" si="242"/>
        <v>0.60000000000002274</v>
      </c>
      <c r="DB450" s="621">
        <f>AD450-AC450</f>
        <v>1.0999999999999943</v>
      </c>
      <c r="DC450" s="62">
        <f>DB450</f>
        <v>1.0999999999999943</v>
      </c>
      <c r="DD450" s="621">
        <f>AE450-AD450</f>
        <v>0.69999999999998863</v>
      </c>
      <c r="DE450" s="62">
        <f t="shared" si="270"/>
        <v>0.69999999999998863</v>
      </c>
      <c r="DF450" s="621">
        <f>AF450-AE450</f>
        <v>0</v>
      </c>
      <c r="DG450" s="62">
        <f t="shared" si="271"/>
        <v>0</v>
      </c>
      <c r="DH450" s="621">
        <f>AG450-AF450</f>
        <v>0.30000000000001137</v>
      </c>
      <c r="DI450" s="62">
        <f>DH450</f>
        <v>0.30000000000001137</v>
      </c>
      <c r="DJ450" s="621">
        <f>AH450-AG450</f>
        <v>1</v>
      </c>
      <c r="DK450" s="621">
        <f>AI450-AH450</f>
        <v>-186</v>
      </c>
    </row>
    <row r="451" spans="2:115" ht="15.75">
      <c r="B451" s="53" t="s">
        <v>2242</v>
      </c>
      <c r="C451" s="53"/>
      <c r="D451" s="685">
        <f t="shared" ref="D451:W451" si="284">D450/D448</f>
        <v>1.8047767393561789</v>
      </c>
      <c r="E451" s="685">
        <f t="shared" si="284"/>
        <v>1.7978835978835979</v>
      </c>
      <c r="F451" s="685">
        <f t="shared" si="284"/>
        <v>1.762472885032538</v>
      </c>
      <c r="G451" s="685">
        <f t="shared" si="284"/>
        <v>1.794413407821229</v>
      </c>
      <c r="H451" s="685">
        <f t="shared" si="284"/>
        <v>1.6108829568788499</v>
      </c>
      <c r="I451" s="685">
        <f t="shared" si="284"/>
        <v>1.7894117647058823</v>
      </c>
      <c r="J451" s="685">
        <f t="shared" si="284"/>
        <v>1.8105263157894738</v>
      </c>
      <c r="K451" s="685">
        <f t="shared" si="284"/>
        <v>1.8315665488810364</v>
      </c>
      <c r="L451" s="685">
        <f t="shared" si="284"/>
        <v>1.8573113207547169</v>
      </c>
      <c r="M451" s="685">
        <f t="shared" si="284"/>
        <v>1.8726190476190478</v>
      </c>
      <c r="N451" s="685">
        <f t="shared" si="284"/>
        <v>1.8891537544696066</v>
      </c>
      <c r="O451" s="685">
        <f t="shared" si="284"/>
        <v>1.9099639855942376</v>
      </c>
      <c r="P451" s="685">
        <f t="shared" si="284"/>
        <v>1.9587378640776698</v>
      </c>
      <c r="Q451" s="685">
        <f t="shared" si="284"/>
        <v>2.0157958687727824</v>
      </c>
      <c r="R451" s="685">
        <f t="shared" si="284"/>
        <v>2.0460606060606064</v>
      </c>
      <c r="S451" s="685">
        <f t="shared" si="284"/>
        <v>2.0738498789346251</v>
      </c>
      <c r="T451" s="685">
        <f t="shared" si="284"/>
        <v>2.081707317073171</v>
      </c>
      <c r="U451" s="685">
        <f t="shared" si="284"/>
        <v>2.1001221001220998</v>
      </c>
      <c r="V451" s="685">
        <f t="shared" si="284"/>
        <v>2.1140776699029122</v>
      </c>
      <c r="W451" s="685">
        <f t="shared" si="284"/>
        <v>2.1271186440677967</v>
      </c>
      <c r="X451" s="685">
        <f t="shared" ref="X451:AC451" si="285">X450/X448</f>
        <v>2.1459589867310007</v>
      </c>
      <c r="Y451" s="685">
        <f t="shared" si="285"/>
        <v>2.1540312876052949</v>
      </c>
      <c r="Z451" s="685">
        <f t="shared" si="285"/>
        <v>2.161290322580645</v>
      </c>
      <c r="AA451" s="685">
        <f t="shared" si="285"/>
        <v>2.1690476190476189</v>
      </c>
      <c r="AB451" s="685">
        <f t="shared" si="285"/>
        <v>2.175417661097852</v>
      </c>
      <c r="AC451" s="685">
        <f t="shared" si="285"/>
        <v>2.1799761620977351</v>
      </c>
      <c r="AD451" s="685">
        <f t="shared" ref="AD451" si="286">AD450/AD448</f>
        <v>2.1826809015421116</v>
      </c>
      <c r="AE451" s="685">
        <f t="shared" ref="AE451:AG451" si="287">AE450/AE448</f>
        <v>2.1832151300236409</v>
      </c>
      <c r="AF451" s="685">
        <f t="shared" si="287"/>
        <v>2.1832151300236409</v>
      </c>
      <c r="AG451" s="685">
        <f t="shared" si="287"/>
        <v>2.1841794569067297</v>
      </c>
      <c r="AH451" s="685">
        <f t="shared" ref="AH451:AI451" si="288">AH450/AH448</f>
        <v>2.1830985915492955</v>
      </c>
      <c r="AI451" s="685" t="e">
        <f t="shared" si="288"/>
        <v>#DIV/0!</v>
      </c>
      <c r="AL451" s="53"/>
      <c r="AM451" s="53"/>
      <c r="AN451" s="53"/>
      <c r="AO451" s="53"/>
      <c r="AP451" s="53"/>
      <c r="AQ451" s="53"/>
      <c r="AR451" s="53"/>
      <c r="AT451" s="53"/>
      <c r="AU451" s="53"/>
      <c r="AV451" s="53"/>
      <c r="AW451" s="53"/>
      <c r="AX451" s="53"/>
      <c r="AY451" s="53"/>
      <c r="AZ451" s="53"/>
      <c r="BA451" s="53"/>
      <c r="BB451" s="53"/>
      <c r="BC451" s="53"/>
      <c r="BD451" s="53"/>
      <c r="BE451" s="53"/>
      <c r="BF451" s="53"/>
      <c r="BG451" s="53"/>
    </row>
    <row r="452" spans="2:115" ht="15.75">
      <c r="B452" s="53" t="str">
        <f>B441</f>
        <v>Video</v>
      </c>
      <c r="C452" s="53"/>
      <c r="D452" s="53">
        <v>20.399999999999999</v>
      </c>
      <c r="E452" s="53">
        <v>19.899999999999999</v>
      </c>
      <c r="F452" s="53">
        <v>18.399999999999999</v>
      </c>
      <c r="G452" s="53">
        <v>18.100000000000001</v>
      </c>
      <c r="H452" s="53">
        <v>17.399999999999999</v>
      </c>
      <c r="I452" s="53">
        <v>16.8</v>
      </c>
      <c r="J452" s="53">
        <v>17.7</v>
      </c>
      <c r="K452" s="53">
        <v>18.5</v>
      </c>
      <c r="L452" s="53">
        <v>19.3</v>
      </c>
      <c r="M452" s="53">
        <v>20</v>
      </c>
      <c r="N452" s="53">
        <v>20.6</v>
      </c>
      <c r="O452" s="53">
        <v>21.1</v>
      </c>
      <c r="P452" s="53">
        <v>24.1</v>
      </c>
      <c r="Q452" s="53">
        <v>27.6</v>
      </c>
      <c r="R452" s="53">
        <v>29.4</v>
      </c>
      <c r="S452" s="53">
        <v>31.5</v>
      </c>
      <c r="T452" s="53">
        <v>31.9</v>
      </c>
      <c r="U452" s="53">
        <v>32.9</v>
      </c>
      <c r="V452" s="53">
        <v>33.700000000000003</v>
      </c>
      <c r="W452" s="53">
        <v>34.4</v>
      </c>
      <c r="X452" s="53">
        <v>35.4</v>
      </c>
      <c r="Y452" s="53">
        <v>35.9</v>
      </c>
      <c r="Z452" s="53">
        <v>36.6</v>
      </c>
      <c r="AA452" s="53">
        <v>37.1</v>
      </c>
      <c r="AB452" s="53">
        <v>37.4</v>
      </c>
      <c r="AC452" s="53">
        <v>37.700000000000003</v>
      </c>
      <c r="AD452" s="53">
        <v>38</v>
      </c>
      <c r="AE452" s="53">
        <v>38.200000000000003</v>
      </c>
      <c r="AF452" s="53">
        <v>38.4</v>
      </c>
      <c r="AG452" s="53">
        <v>38.5</v>
      </c>
      <c r="AH452" s="53">
        <v>38.799999999999997</v>
      </c>
      <c r="AL452" s="53" t="str">
        <f>B452</f>
        <v>Video</v>
      </c>
      <c r="AM452" s="53"/>
      <c r="AN452" s="53">
        <v>-0.1</v>
      </c>
      <c r="AO452" s="53">
        <f>E452-D452</f>
        <v>-0.5</v>
      </c>
      <c r="AP452" s="53"/>
      <c r="AQ452" s="53">
        <f>F452-E452</f>
        <v>-1.5</v>
      </c>
      <c r="AR452" s="53"/>
      <c r="AS452" s="53"/>
      <c r="AT452" s="53"/>
      <c r="AU452" s="53"/>
      <c r="AV452" s="53"/>
      <c r="AW452" s="53"/>
      <c r="AX452" s="53"/>
      <c r="AY452" s="53"/>
      <c r="AZ452" s="53"/>
      <c r="BA452" s="53"/>
      <c r="BB452" s="53"/>
      <c r="BC452" s="53"/>
      <c r="BD452" s="53"/>
      <c r="BE452" s="53"/>
      <c r="BF452" s="53"/>
      <c r="BG452" s="53"/>
      <c r="BH452" s="53"/>
      <c r="BI452" s="53"/>
      <c r="BJ452" s="53"/>
      <c r="BK452" s="53"/>
      <c r="BM452" s="53">
        <f>H452-G452</f>
        <v>-0.70000000000000284</v>
      </c>
      <c r="BN452" s="53"/>
      <c r="BO452" s="53">
        <f>I452-H452</f>
        <v>-0.59999999999999787</v>
      </c>
      <c r="BR452" s="53"/>
      <c r="BS452" s="53"/>
      <c r="BT452" s="53">
        <f>J452-I452</f>
        <v>0.89999999999999858</v>
      </c>
      <c r="BU452" s="53"/>
      <c r="BV452" s="53">
        <f>J452-I452</f>
        <v>0.89999999999999858</v>
      </c>
      <c r="BX452" s="53">
        <f>K452-J452</f>
        <v>0.80000000000000071</v>
      </c>
      <c r="BZ452" s="53">
        <f>L452-K452</f>
        <v>0.80000000000000071</v>
      </c>
      <c r="CA452" s="53"/>
      <c r="CB452" s="53">
        <f t="shared" ref="CB452:CC455" si="289">M452-L452</f>
        <v>0.69999999999999929</v>
      </c>
      <c r="CC452" s="53">
        <f t="shared" si="289"/>
        <v>0.60000000000000142</v>
      </c>
      <c r="CE452" s="53">
        <f>O452-N452</f>
        <v>0.5</v>
      </c>
      <c r="CG452" s="621">
        <f>P452-O452</f>
        <v>3</v>
      </c>
      <c r="CJ452" s="621">
        <f>Q452-P452</f>
        <v>3.5</v>
      </c>
      <c r="CL452" s="621">
        <f>R452-Q452</f>
        <v>1.7999999999999972</v>
      </c>
      <c r="CN452" s="621">
        <f t="shared" ref="CN452:CO455" si="290">S452-R452</f>
        <v>2.1000000000000014</v>
      </c>
      <c r="CO452" s="621">
        <f t="shared" si="290"/>
        <v>0.39999999999999858</v>
      </c>
      <c r="CQ452" s="621">
        <f>U452-T452</f>
        <v>1</v>
      </c>
      <c r="CS452" s="621">
        <f t="shared" ref="CS452:CZ455" si="291">V452-U452</f>
        <v>0.80000000000000426</v>
      </c>
      <c r="CT452" s="621">
        <f t="shared" si="291"/>
        <v>0.69999999999999574</v>
      </c>
      <c r="CU452" s="621">
        <f t="shared" si="291"/>
        <v>1</v>
      </c>
      <c r="CV452" s="621">
        <f t="shared" si="291"/>
        <v>0.5</v>
      </c>
      <c r="CW452" s="621">
        <f t="shared" si="291"/>
        <v>0.70000000000000284</v>
      </c>
      <c r="CX452" s="621">
        <f t="shared" si="291"/>
        <v>0.5</v>
      </c>
      <c r="CY452" s="621">
        <f t="shared" si="291"/>
        <v>0.29999999999999716</v>
      </c>
      <c r="CZ452" s="621">
        <f t="shared" si="291"/>
        <v>0.30000000000000426</v>
      </c>
      <c r="DA452" s="1069">
        <f t="shared" si="242"/>
        <v>0.30000000000000426</v>
      </c>
      <c r="DB452" s="621">
        <f>AD452-AC452</f>
        <v>0.29999999999999716</v>
      </c>
      <c r="DC452" s="62">
        <f t="shared" ref="DC452:DC454" si="292">DB452</f>
        <v>0.29999999999999716</v>
      </c>
      <c r="DD452" s="621">
        <f>AE452-AD452</f>
        <v>0.20000000000000284</v>
      </c>
      <c r="DE452" s="62">
        <f t="shared" si="270"/>
        <v>0.20000000000000284</v>
      </c>
      <c r="DF452" s="621">
        <f>AF452-AE452</f>
        <v>0.19999999999999574</v>
      </c>
      <c r="DG452" s="62">
        <f t="shared" si="271"/>
        <v>0.19999999999999574</v>
      </c>
      <c r="DH452" s="621">
        <f>AG452-AF452</f>
        <v>0.10000000000000142</v>
      </c>
      <c r="DI452" s="62">
        <f>DH452</f>
        <v>0.10000000000000142</v>
      </c>
      <c r="DJ452" s="621">
        <f t="shared" ref="DJ452:DK455" si="293">AH452-AG452</f>
        <v>0.29999999999999716</v>
      </c>
      <c r="DK452" s="621">
        <f t="shared" si="293"/>
        <v>-38.799999999999997</v>
      </c>
    </row>
    <row r="453" spans="2:115" ht="15.75">
      <c r="B453" s="53" t="str">
        <f>B442</f>
        <v>BB</v>
      </c>
      <c r="C453" s="53"/>
      <c r="D453" s="53">
        <v>67.400000000000006</v>
      </c>
      <c r="E453" s="53">
        <v>66.099999999999994</v>
      </c>
      <c r="F453" s="53">
        <v>62.5</v>
      </c>
      <c r="G453" s="53">
        <v>63</v>
      </c>
      <c r="H453" s="53">
        <v>61.9</v>
      </c>
      <c r="I453" s="53">
        <v>60.8</v>
      </c>
      <c r="J453" s="53">
        <v>62</v>
      </c>
      <c r="K453" s="53">
        <v>62.3</v>
      </c>
      <c r="L453" s="53">
        <v>63.5</v>
      </c>
      <c r="M453" s="53">
        <v>63.2</v>
      </c>
      <c r="N453" s="53">
        <v>64</v>
      </c>
      <c r="O453" s="53">
        <v>64.900000000000006</v>
      </c>
      <c r="P453" s="53">
        <v>64.8</v>
      </c>
      <c r="Q453" s="53">
        <v>65.599999999999994</v>
      </c>
      <c r="R453" s="53">
        <v>66.7</v>
      </c>
      <c r="S453" s="53">
        <v>67.5</v>
      </c>
      <c r="T453" s="53">
        <v>67.400000000000006</v>
      </c>
      <c r="U453" s="53">
        <v>68.099999999999994</v>
      </c>
      <c r="V453" s="53">
        <v>69.400000000000006</v>
      </c>
      <c r="W453" s="53">
        <v>70.3</v>
      </c>
      <c r="X453" s="53">
        <v>71.2</v>
      </c>
      <c r="Y453" s="53">
        <v>71.900000000000006</v>
      </c>
      <c r="Z453" s="53">
        <v>73</v>
      </c>
      <c r="AA453" s="53">
        <v>73.8</v>
      </c>
      <c r="AB453" s="53">
        <v>74.3</v>
      </c>
      <c r="AC453" s="53">
        <v>74.8</v>
      </c>
      <c r="AD453" s="53">
        <v>75.7</v>
      </c>
      <c r="AE453" s="53">
        <v>76.400000000000006</v>
      </c>
      <c r="AF453" s="53">
        <v>76.599999999999994</v>
      </c>
      <c r="AG453">
        <v>77.099999999999994</v>
      </c>
      <c r="AH453" s="53">
        <v>78</v>
      </c>
      <c r="AL453" s="53" t="str">
        <f>B453</f>
        <v>BB</v>
      </c>
      <c r="AM453" s="53"/>
      <c r="AN453" s="53">
        <v>-0.5</v>
      </c>
      <c r="AO453" s="53">
        <f>E453-D453</f>
        <v>-1.3000000000000114</v>
      </c>
      <c r="AP453" s="53"/>
      <c r="AQ453" s="53">
        <f>F453-E453</f>
        <v>-3.5999999999999943</v>
      </c>
      <c r="AR453" s="53"/>
      <c r="AS453" s="53"/>
      <c r="AT453" s="53"/>
      <c r="AU453" s="53"/>
      <c r="AV453" s="53"/>
      <c r="AW453" s="53"/>
      <c r="AX453" s="53"/>
      <c r="AY453" s="53"/>
      <c r="AZ453" s="53"/>
      <c r="BA453" s="53"/>
      <c r="BB453" s="53"/>
      <c r="BC453" s="53"/>
      <c r="BD453" s="53"/>
      <c r="BE453" s="53"/>
      <c r="BF453" s="53"/>
      <c r="BG453" s="53"/>
      <c r="BH453" s="53"/>
      <c r="BI453" s="53"/>
      <c r="BJ453" s="53"/>
      <c r="BK453" s="53"/>
      <c r="BM453" s="53">
        <f>H453-G453</f>
        <v>-1.1000000000000014</v>
      </c>
      <c r="BN453" s="53"/>
      <c r="BO453" s="53">
        <f>I453-H453</f>
        <v>-1.1000000000000014</v>
      </c>
      <c r="BR453" s="53"/>
      <c r="BS453" s="53"/>
      <c r="BT453" s="53">
        <f>J453-I453</f>
        <v>1.2000000000000028</v>
      </c>
      <c r="BU453" s="53"/>
      <c r="BV453" s="53">
        <f>J453-I453</f>
        <v>1.2000000000000028</v>
      </c>
      <c r="BX453" s="53">
        <f>K453-J453</f>
        <v>0.29999999999999716</v>
      </c>
      <c r="BZ453" s="53">
        <f>L453-K453</f>
        <v>1.2000000000000028</v>
      </c>
      <c r="CA453" s="53"/>
      <c r="CB453" s="53">
        <f t="shared" si="289"/>
        <v>-0.29999999999999716</v>
      </c>
      <c r="CC453" s="53">
        <f t="shared" si="289"/>
        <v>0.79999999999999716</v>
      </c>
      <c r="CE453" s="53">
        <f>O453-N453</f>
        <v>0.90000000000000568</v>
      </c>
      <c r="CG453" s="621">
        <f>P453-O453</f>
        <v>-0.10000000000000853</v>
      </c>
      <c r="CJ453" s="621">
        <f>Q453-P453</f>
        <v>0.79999999999999716</v>
      </c>
      <c r="CL453" s="621">
        <f>R453-Q453</f>
        <v>1.1000000000000085</v>
      </c>
      <c r="CN453" s="621">
        <f t="shared" si="290"/>
        <v>0.79999999999999716</v>
      </c>
      <c r="CO453" s="621">
        <f t="shared" si="290"/>
        <v>-9.9999999999994316E-2</v>
      </c>
      <c r="CQ453" s="621">
        <f>U453-T453</f>
        <v>0.69999999999998863</v>
      </c>
      <c r="CS453" s="621">
        <f t="shared" si="291"/>
        <v>1.3000000000000114</v>
      </c>
      <c r="CT453" s="621">
        <f t="shared" si="291"/>
        <v>0.89999999999999147</v>
      </c>
      <c r="CU453" s="621">
        <f t="shared" si="291"/>
        <v>0.90000000000000568</v>
      </c>
      <c r="CV453" s="621">
        <f t="shared" si="291"/>
        <v>0.70000000000000284</v>
      </c>
      <c r="CW453" s="621">
        <f t="shared" si="291"/>
        <v>1.0999999999999943</v>
      </c>
      <c r="CX453" s="621">
        <f t="shared" si="291"/>
        <v>0.79999999999999716</v>
      </c>
      <c r="CY453" s="621">
        <f t="shared" si="291"/>
        <v>0.5</v>
      </c>
      <c r="CZ453" s="621">
        <f t="shared" si="291"/>
        <v>0.5</v>
      </c>
      <c r="DA453" s="1069">
        <f t="shared" si="242"/>
        <v>0.5</v>
      </c>
      <c r="DB453" s="621">
        <f>AD453-AC453</f>
        <v>0.90000000000000568</v>
      </c>
      <c r="DC453" s="62">
        <f t="shared" si="292"/>
        <v>0.90000000000000568</v>
      </c>
      <c r="DD453" s="621">
        <f>AE453-AD453</f>
        <v>0.70000000000000284</v>
      </c>
      <c r="DE453" s="62">
        <f t="shared" si="270"/>
        <v>0.70000000000000284</v>
      </c>
      <c r="DF453" s="621">
        <f>AF453-AE453</f>
        <v>0.19999999999998863</v>
      </c>
      <c r="DG453" s="62">
        <f t="shared" si="271"/>
        <v>0.19999999999998863</v>
      </c>
      <c r="DH453" s="621">
        <f>AG453-AF453</f>
        <v>0.5</v>
      </c>
      <c r="DI453" s="62">
        <f>DH453</f>
        <v>0.5</v>
      </c>
      <c r="DJ453" s="621">
        <f t="shared" si="293"/>
        <v>0.90000000000000568</v>
      </c>
      <c r="DK453" s="621">
        <f t="shared" si="293"/>
        <v>-78</v>
      </c>
    </row>
    <row r="454" spans="2:115" ht="15.75">
      <c r="B454" s="53" t="str">
        <f>B443</f>
        <v>Telephony</v>
      </c>
      <c r="C454" s="53"/>
      <c r="D454" s="53">
        <v>86</v>
      </c>
      <c r="E454" s="53">
        <v>83.9</v>
      </c>
      <c r="F454" s="53">
        <v>81.599999999999994</v>
      </c>
      <c r="G454" s="53">
        <v>79.5</v>
      </c>
      <c r="H454" s="53">
        <v>77.599999999999994</v>
      </c>
      <c r="I454" s="53">
        <v>74.5</v>
      </c>
      <c r="J454" s="53">
        <v>75.099999999999994</v>
      </c>
      <c r="K454" s="53">
        <v>74.7</v>
      </c>
      <c r="L454" s="53">
        <v>74.7</v>
      </c>
      <c r="M454" s="53">
        <v>74.099999999999994</v>
      </c>
      <c r="N454" s="53">
        <v>73.900000000000006</v>
      </c>
      <c r="O454" s="53">
        <v>73.099999999999994</v>
      </c>
      <c r="P454" s="53">
        <v>72.5</v>
      </c>
      <c r="Q454" s="53">
        <v>72.7</v>
      </c>
      <c r="R454" s="53">
        <v>72.7</v>
      </c>
      <c r="S454" s="53">
        <v>72.3</v>
      </c>
      <c r="T454" s="53">
        <v>71.400000000000006</v>
      </c>
      <c r="U454" s="53">
        <v>71</v>
      </c>
      <c r="V454" s="53">
        <v>71.099999999999994</v>
      </c>
      <c r="W454" s="53">
        <v>71</v>
      </c>
      <c r="X454" s="53">
        <v>71.3</v>
      </c>
      <c r="Y454" s="53">
        <v>71.2</v>
      </c>
      <c r="Z454" s="53">
        <v>71.3</v>
      </c>
      <c r="AA454" s="53">
        <v>71.3</v>
      </c>
      <c r="AB454" s="53">
        <v>70.599999999999994</v>
      </c>
      <c r="AC454" s="53">
        <v>70.400000000000006</v>
      </c>
      <c r="AD454" s="53">
        <v>70.3</v>
      </c>
      <c r="AE454" s="53">
        <v>70.099999999999994</v>
      </c>
      <c r="AF454" s="53">
        <v>69.7</v>
      </c>
      <c r="AG454" s="53">
        <v>69.400000000000006</v>
      </c>
      <c r="AH454" s="53">
        <v>69.2</v>
      </c>
      <c r="AL454" s="53" t="str">
        <f>B454</f>
        <v>Telephony</v>
      </c>
      <c r="AM454" s="53"/>
      <c r="AN454" s="53">
        <v>-0.6</v>
      </c>
      <c r="AO454" s="53">
        <f>E454-D454</f>
        <v>-2.0999999999999943</v>
      </c>
      <c r="AP454" s="53"/>
      <c r="AQ454" s="53">
        <f>F454-E454</f>
        <v>-2.3000000000000114</v>
      </c>
      <c r="AR454" s="53"/>
      <c r="AS454" s="53"/>
      <c r="AT454" s="53"/>
      <c r="AU454" s="53"/>
      <c r="AV454" s="53"/>
      <c r="AW454" s="53"/>
      <c r="AX454" s="53"/>
      <c r="AY454" s="53"/>
      <c r="AZ454" s="53"/>
      <c r="BA454" s="53"/>
      <c r="BB454" s="53"/>
      <c r="BC454" s="53"/>
      <c r="BD454" s="53"/>
      <c r="BE454" s="53"/>
      <c r="BF454" s="53"/>
      <c r="BG454" s="53"/>
      <c r="BH454" s="53"/>
      <c r="BI454" s="53"/>
      <c r="BJ454" s="53"/>
      <c r="BK454" s="53"/>
      <c r="BM454" s="53">
        <f>H454-G454</f>
        <v>-1.9000000000000057</v>
      </c>
      <c r="BN454" s="53"/>
      <c r="BO454" s="53">
        <f>I454-H454</f>
        <v>-3.0999999999999943</v>
      </c>
      <c r="BR454" s="53"/>
      <c r="BS454" s="53"/>
      <c r="BT454" s="53">
        <f>J454-I454</f>
        <v>0.59999999999999432</v>
      </c>
      <c r="BU454" s="53"/>
      <c r="BV454" s="53">
        <f>J454-I454</f>
        <v>0.59999999999999432</v>
      </c>
      <c r="BX454" s="53">
        <f>K454-J454</f>
        <v>-0.39999999999999147</v>
      </c>
      <c r="BZ454" s="53">
        <f>L454-K454</f>
        <v>0</v>
      </c>
      <c r="CA454" s="53"/>
      <c r="CB454" s="53">
        <f t="shared" si="289"/>
        <v>-0.60000000000000853</v>
      </c>
      <c r="CC454" s="53">
        <f t="shared" si="289"/>
        <v>-0.19999999999998863</v>
      </c>
      <c r="CE454" s="53">
        <f>O454-N454</f>
        <v>-0.80000000000001137</v>
      </c>
      <c r="CG454" s="621">
        <f>P454-O454</f>
        <v>-0.59999999999999432</v>
      </c>
      <c r="CJ454" s="621">
        <f>Q454-P454</f>
        <v>0.20000000000000284</v>
      </c>
      <c r="CL454" s="621">
        <f>R454-Q454</f>
        <v>0</v>
      </c>
      <c r="CN454" s="621">
        <f t="shared" si="290"/>
        <v>-0.40000000000000568</v>
      </c>
      <c r="CO454" s="621">
        <f t="shared" si="290"/>
        <v>-0.89999999999999147</v>
      </c>
      <c r="CQ454" s="621">
        <f>U454-T454</f>
        <v>-0.40000000000000568</v>
      </c>
      <c r="CS454" s="621">
        <f t="shared" si="291"/>
        <v>9.9999999999994316E-2</v>
      </c>
      <c r="CT454" s="621">
        <f t="shared" si="291"/>
        <v>-9.9999999999994316E-2</v>
      </c>
      <c r="CU454" s="621">
        <f t="shared" si="291"/>
        <v>0.29999999999999716</v>
      </c>
      <c r="CV454" s="621">
        <f t="shared" si="291"/>
        <v>-9.9999999999994316E-2</v>
      </c>
      <c r="CW454" s="621">
        <f t="shared" si="291"/>
        <v>9.9999999999994316E-2</v>
      </c>
      <c r="CX454" s="621">
        <f t="shared" si="291"/>
        <v>0</v>
      </c>
      <c r="CY454" s="621">
        <f t="shared" si="291"/>
        <v>-0.70000000000000284</v>
      </c>
      <c r="CZ454" s="621">
        <f t="shared" si="291"/>
        <v>-0.19999999999998863</v>
      </c>
      <c r="DA454" s="1069">
        <f t="shared" si="242"/>
        <v>-0.19999999999998863</v>
      </c>
      <c r="DB454" s="621">
        <f>AD454-AC454</f>
        <v>-0.10000000000000853</v>
      </c>
      <c r="DC454" s="62">
        <f t="shared" si="292"/>
        <v>-0.10000000000000853</v>
      </c>
      <c r="DD454" s="621">
        <f>AE454-AD454</f>
        <v>-0.20000000000000284</v>
      </c>
      <c r="DE454" s="62">
        <f t="shared" si="270"/>
        <v>-0.20000000000000284</v>
      </c>
      <c r="DF454" s="621">
        <f>AF454-AE454</f>
        <v>-0.39999999999999147</v>
      </c>
      <c r="DG454" s="62">
        <f t="shared" si="271"/>
        <v>-0.39999999999999147</v>
      </c>
      <c r="DH454" s="621">
        <f>AG454-AF454</f>
        <v>-0.29999999999999716</v>
      </c>
      <c r="DI454" s="62">
        <f>DH454</f>
        <v>-0.29999999999999716</v>
      </c>
      <c r="DJ454" s="621">
        <f t="shared" si="293"/>
        <v>-0.20000000000000284</v>
      </c>
      <c r="DK454" s="621">
        <f t="shared" si="293"/>
        <v>-69.2</v>
      </c>
    </row>
    <row r="455" spans="2:115" ht="15.75">
      <c r="B455" s="53" t="s">
        <v>5</v>
      </c>
      <c r="C455" s="53"/>
      <c r="D455" s="53"/>
      <c r="E455" s="53">
        <v>129</v>
      </c>
      <c r="F455" s="53">
        <v>131.5</v>
      </c>
      <c r="G455" s="53">
        <v>128.6</v>
      </c>
      <c r="H455" s="53">
        <v>125.6</v>
      </c>
      <c r="I455" s="53">
        <v>124.3</v>
      </c>
      <c r="J455" s="53">
        <v>124.3</v>
      </c>
      <c r="K455" s="53">
        <v>122.7</v>
      </c>
      <c r="L455" s="53">
        <v>120.1</v>
      </c>
      <c r="M455" s="53">
        <v>121</v>
      </c>
      <c r="N455" s="53">
        <v>122.1</v>
      </c>
      <c r="O455" s="53">
        <v>133.1</v>
      </c>
      <c r="P455" s="53">
        <v>119.7</v>
      </c>
      <c r="Q455" s="53">
        <v>119.7</v>
      </c>
      <c r="R455" s="53">
        <v>123.2</v>
      </c>
      <c r="S455" s="53">
        <v>123.1</v>
      </c>
      <c r="T455" s="53">
        <v>113.3</v>
      </c>
      <c r="U455" s="53">
        <v>116.5</v>
      </c>
      <c r="V455" s="53">
        <v>118.6</v>
      </c>
      <c r="W455" s="53">
        <v>114.9</v>
      </c>
      <c r="X455" s="53">
        <v>117.8</v>
      </c>
      <c r="Y455" s="53">
        <v>120.3</v>
      </c>
      <c r="Z455" s="53">
        <v>122.4</v>
      </c>
      <c r="AA455" s="53">
        <v>124.1</v>
      </c>
      <c r="AB455" s="53">
        <v>123.3</v>
      </c>
      <c r="AC455" s="53">
        <v>124.2</v>
      </c>
      <c r="AD455" s="53">
        <v>128</v>
      </c>
      <c r="AE455" s="53">
        <v>128.5</v>
      </c>
      <c r="AF455" s="53">
        <v>126.5</v>
      </c>
      <c r="AG455" s="53">
        <v>129.19999999999999</v>
      </c>
      <c r="AH455" s="53">
        <v>131.1</v>
      </c>
      <c r="AL455" s="53" t="str">
        <f>B455</f>
        <v>Mobile</v>
      </c>
      <c r="AM455" s="53"/>
      <c r="AN455" s="53"/>
      <c r="AO455" s="53"/>
      <c r="AP455" s="53"/>
      <c r="AQ455" s="53">
        <f>F455-E455</f>
        <v>2.5</v>
      </c>
      <c r="AR455" s="53"/>
      <c r="AS455" s="53"/>
      <c r="AT455" s="53"/>
      <c r="AU455" s="53"/>
      <c r="AV455" s="53"/>
      <c r="AW455" s="53"/>
      <c r="AX455" s="53"/>
      <c r="AY455" s="53"/>
      <c r="AZ455" s="53"/>
      <c r="BA455" s="53"/>
      <c r="BB455" s="53"/>
      <c r="BC455" s="53"/>
      <c r="BD455" s="53"/>
      <c r="BE455" s="53"/>
      <c r="BF455" s="53"/>
      <c r="BG455" s="53"/>
      <c r="BH455" s="53"/>
      <c r="BI455" s="53"/>
      <c r="BJ455" s="53"/>
      <c r="BK455" s="53"/>
      <c r="BM455" s="53">
        <f>H455-G455</f>
        <v>-3</v>
      </c>
      <c r="BN455" s="53"/>
      <c r="BO455" s="53">
        <f>I455-H455</f>
        <v>-1.2999999999999972</v>
      </c>
      <c r="BR455" s="53"/>
      <c r="BS455" s="53"/>
      <c r="BT455" s="53">
        <f>J455-I455</f>
        <v>0</v>
      </c>
      <c r="BU455" s="53"/>
      <c r="BV455" s="53">
        <f>J455-I455</f>
        <v>0</v>
      </c>
      <c r="BX455" s="53">
        <f>K455-J455</f>
        <v>-1.5999999999999943</v>
      </c>
      <c r="BZ455" s="53">
        <f>L455-K455</f>
        <v>-2.6000000000000085</v>
      </c>
      <c r="CA455" s="53"/>
      <c r="CB455" s="53">
        <f t="shared" si="289"/>
        <v>0.90000000000000568</v>
      </c>
      <c r="CC455" s="53">
        <f t="shared" si="289"/>
        <v>1.0999999999999943</v>
      </c>
      <c r="CE455" s="53">
        <f>O455-N455</f>
        <v>11</v>
      </c>
      <c r="CG455" s="621">
        <f>P455-O455</f>
        <v>-13.399999999999991</v>
      </c>
      <c r="CJ455" s="621">
        <f>Q455-P455</f>
        <v>0</v>
      </c>
      <c r="CL455" s="621">
        <f>R455-Q455</f>
        <v>3.5</v>
      </c>
      <c r="CN455" s="621">
        <f t="shared" si="290"/>
        <v>-0.10000000000000853</v>
      </c>
      <c r="CO455" s="621">
        <f t="shared" si="290"/>
        <v>-9.7999999999999972</v>
      </c>
      <c r="CQ455" s="621">
        <f>U455-T455</f>
        <v>3.2000000000000028</v>
      </c>
      <c r="CS455" s="621">
        <f t="shared" si="291"/>
        <v>2.0999999999999943</v>
      </c>
      <c r="CT455" s="621">
        <f t="shared" si="291"/>
        <v>-3.6999999999999886</v>
      </c>
      <c r="CU455" s="621">
        <f t="shared" si="291"/>
        <v>2.8999999999999915</v>
      </c>
      <c r="CV455" s="621">
        <f t="shared" si="291"/>
        <v>2.5</v>
      </c>
      <c r="CW455" s="621">
        <f t="shared" si="291"/>
        <v>2.1000000000000085</v>
      </c>
      <c r="CX455" s="621">
        <f t="shared" si="291"/>
        <v>1.6999999999999886</v>
      </c>
      <c r="CY455" s="621">
        <f t="shared" si="291"/>
        <v>-0.79999999999999716</v>
      </c>
      <c r="CZ455" s="621">
        <f t="shared" si="291"/>
        <v>0.90000000000000568</v>
      </c>
      <c r="DA455" s="1069">
        <f t="shared" si="242"/>
        <v>0.90000000000000568</v>
      </c>
      <c r="DB455" s="621">
        <f>AD455-AC455</f>
        <v>3.7999999999999972</v>
      </c>
      <c r="DC455" s="62">
        <f>DB455</f>
        <v>3.7999999999999972</v>
      </c>
      <c r="DD455" s="621">
        <f>AE455-AD455</f>
        <v>0.5</v>
      </c>
      <c r="DE455" s="62">
        <f t="shared" si="270"/>
        <v>0.5</v>
      </c>
      <c r="DF455" s="621">
        <f>AF455-AE455</f>
        <v>-2</v>
      </c>
      <c r="DG455" s="62">
        <f t="shared" si="271"/>
        <v>-2</v>
      </c>
      <c r="DH455" s="621">
        <f>AG455-AF455</f>
        <v>2.6999999999999886</v>
      </c>
      <c r="DI455" s="62">
        <f>DH455</f>
        <v>2.6999999999999886</v>
      </c>
      <c r="DJ455" s="621">
        <f t="shared" si="293"/>
        <v>1.9000000000000057</v>
      </c>
      <c r="DK455" s="621">
        <f t="shared" si="293"/>
        <v>-131.1</v>
      </c>
    </row>
    <row r="456" spans="2:115" ht="15.75">
      <c r="B456" s="53"/>
      <c r="C456" s="53"/>
      <c r="D456" s="53"/>
      <c r="E456" s="53"/>
      <c r="F456" s="53"/>
      <c r="G456" s="53"/>
      <c r="H456" s="53"/>
      <c r="I456" s="53"/>
      <c r="AL456" s="53"/>
      <c r="AM456" s="53"/>
      <c r="AN456" s="53"/>
      <c r="AO456" s="53"/>
      <c r="AP456" s="53"/>
      <c r="AQ456" s="53"/>
      <c r="AR456" s="53"/>
      <c r="AT456" s="53"/>
      <c r="AU456" s="53"/>
      <c r="AV456" s="53"/>
      <c r="AW456" s="53"/>
      <c r="AX456" s="53"/>
      <c r="AY456" s="53"/>
      <c r="AZ456" s="53"/>
      <c r="BA456" s="53"/>
      <c r="BB456" s="53"/>
      <c r="BC456" s="53"/>
      <c r="BD456" s="53"/>
      <c r="BE456" s="53"/>
      <c r="BF456" s="53"/>
      <c r="BG456" s="53"/>
    </row>
    <row r="457" spans="2:115" ht="15.75">
      <c r="B457" s="78" t="s">
        <v>31</v>
      </c>
      <c r="C457" s="53"/>
      <c r="D457" s="53"/>
      <c r="E457" s="53"/>
      <c r="F457" s="53"/>
      <c r="G457" s="53"/>
      <c r="H457" s="53"/>
      <c r="I457" s="53"/>
      <c r="AL457" s="78" t="str">
        <f>B457</f>
        <v>Bahamas</v>
      </c>
      <c r="AM457" s="53"/>
      <c r="AN457" s="53"/>
      <c r="AO457" s="53"/>
      <c r="AP457" s="53"/>
      <c r="AQ457" s="53"/>
      <c r="AR457" s="53"/>
      <c r="AT457" s="53"/>
      <c r="AU457" s="53"/>
      <c r="AV457" s="53"/>
      <c r="AW457" s="53"/>
      <c r="AX457" s="53"/>
      <c r="AY457" s="53"/>
      <c r="AZ457" s="53"/>
      <c r="BA457" s="53"/>
      <c r="BB457" s="53"/>
      <c r="BC457" s="53"/>
      <c r="BD457" s="53"/>
      <c r="BE457" s="53"/>
      <c r="BF457" s="53"/>
      <c r="BG457" s="53"/>
    </row>
    <row r="458" spans="2:115" ht="15.75">
      <c r="B458" s="53" t="str">
        <f>B446</f>
        <v>Homes passed</v>
      </c>
      <c r="C458" s="53"/>
      <c r="D458" s="53">
        <v>140.6</v>
      </c>
      <c r="E458" s="53">
        <v>140.6</v>
      </c>
      <c r="F458" s="53">
        <v>155</v>
      </c>
      <c r="G458" s="53">
        <v>128.9</v>
      </c>
      <c r="H458" s="53">
        <v>128.9</v>
      </c>
      <c r="I458" s="53">
        <v>128.9</v>
      </c>
      <c r="J458" s="53">
        <v>128.9</v>
      </c>
      <c r="K458" s="53">
        <v>128.9</v>
      </c>
      <c r="L458" s="53">
        <v>128.9</v>
      </c>
      <c r="M458" s="53">
        <v>128.9</v>
      </c>
      <c r="N458" s="53">
        <v>128.9</v>
      </c>
      <c r="O458" s="53">
        <v>128.9</v>
      </c>
      <c r="P458" s="53">
        <v>128.9</v>
      </c>
      <c r="Q458" s="53">
        <v>128.9</v>
      </c>
      <c r="R458" s="53">
        <v>128.9</v>
      </c>
      <c r="S458" s="53">
        <v>120.9</v>
      </c>
      <c r="T458" s="53">
        <v>120.9</v>
      </c>
      <c r="U458" s="53">
        <v>120.9</v>
      </c>
      <c r="V458" s="53">
        <v>120.9</v>
      </c>
      <c r="W458" s="53">
        <v>120.9</v>
      </c>
      <c r="X458" s="53">
        <v>120.9</v>
      </c>
      <c r="Y458" s="53">
        <v>120.9</v>
      </c>
      <c r="Z458" s="53">
        <v>120.9</v>
      </c>
      <c r="AA458" s="53">
        <v>120.9</v>
      </c>
      <c r="AB458" s="53">
        <v>120.9</v>
      </c>
      <c r="AC458" s="53">
        <v>120.9</v>
      </c>
      <c r="AD458" s="53">
        <v>120.9</v>
      </c>
      <c r="AE458" s="53">
        <v>120.9</v>
      </c>
      <c r="AF458" s="53">
        <v>120.9</v>
      </c>
      <c r="AG458" s="53">
        <v>120.9</v>
      </c>
      <c r="AH458" s="53">
        <v>125.7</v>
      </c>
      <c r="AL458" s="53" t="str">
        <f>B458</f>
        <v>Homes passed</v>
      </c>
      <c r="AM458" s="53"/>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f>H458-G458</f>
        <v>0</v>
      </c>
      <c r="BN458" s="53"/>
      <c r="BO458" s="53">
        <f>I458-H458</f>
        <v>0</v>
      </c>
      <c r="BP458" s="53"/>
      <c r="BQ458" s="53"/>
      <c r="BR458" s="53"/>
      <c r="BS458" s="53"/>
      <c r="BT458" s="53">
        <f>J458-I458</f>
        <v>0</v>
      </c>
      <c r="BU458" s="53"/>
      <c r="BV458" s="53">
        <f>J458-I458</f>
        <v>0</v>
      </c>
      <c r="BX458" s="53">
        <f>K458-J458</f>
        <v>0</v>
      </c>
      <c r="BZ458" s="53">
        <f>L458-K458</f>
        <v>0</v>
      </c>
      <c r="CA458" s="53"/>
      <c r="CB458" s="53">
        <f t="shared" ref="CB458:CC461" si="294">M458-L458</f>
        <v>0</v>
      </c>
      <c r="CC458" s="53">
        <f t="shared" si="294"/>
        <v>0</v>
      </c>
      <c r="CE458" s="53">
        <f>O458-N458</f>
        <v>0</v>
      </c>
      <c r="CG458" s="621">
        <f>P458-O458</f>
        <v>0</v>
      </c>
      <c r="CJ458" s="621">
        <f>Q458-P458</f>
        <v>0</v>
      </c>
      <c r="CL458" s="621">
        <f>R458-Q458</f>
        <v>0</v>
      </c>
      <c r="CN458" s="621">
        <f t="shared" ref="CN458:CO461" si="295">S458-R458</f>
        <v>-8</v>
      </c>
      <c r="CO458" s="621">
        <f t="shared" si="295"/>
        <v>0</v>
      </c>
      <c r="CQ458" s="621">
        <f>U458-T458</f>
        <v>0</v>
      </c>
      <c r="CS458" s="621">
        <f t="shared" ref="CS458:CZ461" si="296">V458-U458</f>
        <v>0</v>
      </c>
      <c r="CT458" s="621">
        <f t="shared" si="296"/>
        <v>0</v>
      </c>
      <c r="CU458" s="621">
        <f t="shared" si="296"/>
        <v>0</v>
      </c>
      <c r="CV458" s="621">
        <f t="shared" si="296"/>
        <v>0</v>
      </c>
      <c r="CW458" s="621">
        <f t="shared" si="296"/>
        <v>0</v>
      </c>
      <c r="CX458" s="621">
        <f t="shared" si="296"/>
        <v>0</v>
      </c>
      <c r="CY458" s="621">
        <f t="shared" si="296"/>
        <v>0</v>
      </c>
      <c r="CZ458" s="621">
        <f t="shared" si="296"/>
        <v>0</v>
      </c>
      <c r="DA458" s="1069">
        <f t="shared" si="242"/>
        <v>0</v>
      </c>
      <c r="DB458" s="621">
        <f>AD458-AC458</f>
        <v>0</v>
      </c>
      <c r="DC458" s="62">
        <f t="shared" ref="DC458:DC459" si="297">DB458</f>
        <v>0</v>
      </c>
      <c r="DD458" s="621">
        <f>AE458-AD458</f>
        <v>0</v>
      </c>
      <c r="DE458" s="62">
        <f t="shared" ref="DE458:DE461" si="298">DD458</f>
        <v>0</v>
      </c>
      <c r="DF458" s="621">
        <f>AF458-AE458</f>
        <v>0</v>
      </c>
      <c r="DG458" s="62">
        <f t="shared" ref="DG458:DG466" si="299">DF458</f>
        <v>0</v>
      </c>
      <c r="DH458" s="621">
        <f>AG458-AF458</f>
        <v>0</v>
      </c>
      <c r="DI458" s="62">
        <f>DH458</f>
        <v>0</v>
      </c>
      <c r="DJ458" s="621">
        <f t="shared" ref="DJ458:DK461" si="300">AH458-AG458</f>
        <v>4.7999999999999972</v>
      </c>
      <c r="DK458" s="621">
        <f t="shared" si="300"/>
        <v>-125.7</v>
      </c>
    </row>
    <row r="459" spans="2:115" ht="15.75">
      <c r="B459" s="53" t="str">
        <f>B447</f>
        <v>2-way homes passed</v>
      </c>
      <c r="C459" s="53"/>
      <c r="D459" s="53">
        <v>140.6</v>
      </c>
      <c r="E459" s="53">
        <v>140.6</v>
      </c>
      <c r="F459" s="53">
        <v>155</v>
      </c>
      <c r="G459" s="53">
        <v>128.9</v>
      </c>
      <c r="H459" s="53">
        <v>128.9</v>
      </c>
      <c r="I459" s="53">
        <v>128.9</v>
      </c>
      <c r="J459" s="53">
        <v>128.9</v>
      </c>
      <c r="K459" s="53">
        <v>128.9</v>
      </c>
      <c r="L459" s="53">
        <v>128.9</v>
      </c>
      <c r="M459" s="53">
        <v>128.9</v>
      </c>
      <c r="N459" s="53">
        <v>128.9</v>
      </c>
      <c r="O459" s="53">
        <v>128.9</v>
      </c>
      <c r="P459" s="53">
        <v>128.9</v>
      </c>
      <c r="Q459" s="53">
        <v>128.9</v>
      </c>
      <c r="R459" s="53">
        <v>128.9</v>
      </c>
      <c r="S459" s="53">
        <v>120.9</v>
      </c>
      <c r="T459" s="53">
        <v>120.9</v>
      </c>
      <c r="U459" s="53">
        <v>120.9</v>
      </c>
      <c r="V459" s="53">
        <v>120.9</v>
      </c>
      <c r="W459" s="53">
        <v>120.9</v>
      </c>
      <c r="X459" s="53">
        <v>120.9</v>
      </c>
      <c r="Y459" s="53">
        <v>120.9</v>
      </c>
      <c r="Z459" s="53">
        <v>120.9</v>
      </c>
      <c r="AA459" s="53">
        <v>120.9</v>
      </c>
      <c r="AB459" s="53">
        <v>120.9</v>
      </c>
      <c r="AC459" s="53">
        <v>120.9</v>
      </c>
      <c r="AD459" s="53">
        <v>120.9</v>
      </c>
      <c r="AE459" s="53">
        <v>120.9</v>
      </c>
      <c r="AF459" s="53">
        <v>120.9</v>
      </c>
      <c r="AG459" s="53">
        <v>120.9</v>
      </c>
      <c r="AH459" s="53">
        <v>125.7</v>
      </c>
      <c r="AL459" s="53" t="str">
        <f>B459</f>
        <v>2-way homes passed</v>
      </c>
      <c r="AM459" s="53"/>
      <c r="AN459" s="53"/>
      <c r="AO459" s="53">
        <f>E459-D459</f>
        <v>0</v>
      </c>
      <c r="AP459" s="53"/>
      <c r="AQ459" s="53">
        <f>F459-E459</f>
        <v>14.400000000000006</v>
      </c>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f>H459-G459</f>
        <v>0</v>
      </c>
      <c r="BN459" s="53"/>
      <c r="BO459" s="53">
        <f>I459-H459</f>
        <v>0</v>
      </c>
      <c r="BP459" s="53"/>
      <c r="BQ459" s="53"/>
      <c r="BR459" s="53"/>
      <c r="BS459" s="53"/>
      <c r="BT459" s="53">
        <f>J459-I459</f>
        <v>0</v>
      </c>
      <c r="BU459" s="53"/>
      <c r="BV459" s="53">
        <f>J459-I459</f>
        <v>0</v>
      </c>
      <c r="BX459" s="53">
        <f>K459-J459</f>
        <v>0</v>
      </c>
      <c r="BZ459" s="53">
        <f>L459-K459</f>
        <v>0</v>
      </c>
      <c r="CA459" s="53"/>
      <c r="CB459" s="53">
        <f t="shared" si="294"/>
        <v>0</v>
      </c>
      <c r="CC459" s="53">
        <f t="shared" si="294"/>
        <v>0</v>
      </c>
      <c r="CE459" s="53">
        <f>O459-N459</f>
        <v>0</v>
      </c>
      <c r="CG459" s="621">
        <f>P459-O459</f>
        <v>0</v>
      </c>
      <c r="CJ459" s="621">
        <f>Q459-P459</f>
        <v>0</v>
      </c>
      <c r="CL459" s="621">
        <f>R459-Q459</f>
        <v>0</v>
      </c>
      <c r="CN459" s="621">
        <f t="shared" si="295"/>
        <v>-8</v>
      </c>
      <c r="CO459" s="621">
        <f t="shared" si="295"/>
        <v>0</v>
      </c>
      <c r="CQ459" s="621">
        <f>U459-T459</f>
        <v>0</v>
      </c>
      <c r="CS459" s="621">
        <f t="shared" si="296"/>
        <v>0</v>
      </c>
      <c r="CT459" s="621">
        <f t="shared" si="296"/>
        <v>0</v>
      </c>
      <c r="CU459" s="621">
        <f t="shared" si="296"/>
        <v>0</v>
      </c>
      <c r="CV459" s="621">
        <f t="shared" si="296"/>
        <v>0</v>
      </c>
      <c r="CW459" s="621">
        <f t="shared" si="296"/>
        <v>0</v>
      </c>
      <c r="CX459" s="621">
        <f t="shared" si="296"/>
        <v>0</v>
      </c>
      <c r="CY459" s="621">
        <f t="shared" si="296"/>
        <v>0</v>
      </c>
      <c r="CZ459" s="621">
        <f t="shared" si="296"/>
        <v>0</v>
      </c>
      <c r="DA459" s="1069">
        <f t="shared" si="242"/>
        <v>0</v>
      </c>
      <c r="DB459" s="621">
        <f>AD459-AC459</f>
        <v>0</v>
      </c>
      <c r="DC459" s="62">
        <f t="shared" si="297"/>
        <v>0</v>
      </c>
      <c r="DD459" s="621">
        <f>AE459-AD459</f>
        <v>0</v>
      </c>
      <c r="DE459" s="62">
        <f t="shared" si="298"/>
        <v>0</v>
      </c>
      <c r="DF459" s="621">
        <f>AF459-AE459</f>
        <v>0</v>
      </c>
      <c r="DG459" s="62">
        <f t="shared" si="299"/>
        <v>0</v>
      </c>
      <c r="DH459" s="621">
        <f>AG459-AF459</f>
        <v>0</v>
      </c>
      <c r="DI459" s="62">
        <f>DH459</f>
        <v>0</v>
      </c>
      <c r="DJ459" s="621">
        <f t="shared" si="300"/>
        <v>4.7999999999999972</v>
      </c>
      <c r="DK459" s="621">
        <f t="shared" si="300"/>
        <v>-125.7</v>
      </c>
    </row>
    <row r="460" spans="2:115" ht="15.75">
      <c r="B460" s="53" t="str">
        <f>B448</f>
        <v>Customer relationships</v>
      </c>
      <c r="C460" s="53"/>
      <c r="D460" s="53">
        <v>61.5</v>
      </c>
      <c r="E460" s="53">
        <v>55</v>
      </c>
      <c r="F460" s="53">
        <v>55.2</v>
      </c>
      <c r="G460" s="53">
        <v>54.7</v>
      </c>
      <c r="H460" s="53">
        <v>52</v>
      </c>
      <c r="I460" s="53">
        <v>49.5</v>
      </c>
      <c r="J460" s="53">
        <v>47.4</v>
      </c>
      <c r="K460" s="53">
        <v>47.3</v>
      </c>
      <c r="L460" s="53">
        <v>48.8</v>
      </c>
      <c r="M460" s="53">
        <v>48.6</v>
      </c>
      <c r="N460" s="53">
        <v>47.3</v>
      </c>
      <c r="O460" s="53">
        <v>48.2</v>
      </c>
      <c r="P460" s="53">
        <v>47.1</v>
      </c>
      <c r="Q460" s="53">
        <v>45.8</v>
      </c>
      <c r="R460" s="53">
        <v>45.4</v>
      </c>
      <c r="S460" s="53">
        <v>39</v>
      </c>
      <c r="T460" s="53">
        <v>36.4</v>
      </c>
      <c r="U460" s="53">
        <v>35.299999999999997</v>
      </c>
      <c r="V460" s="53">
        <v>35.299999999999997</v>
      </c>
      <c r="W460" s="53">
        <v>34.799999999999997</v>
      </c>
      <c r="X460" s="53">
        <v>37.1</v>
      </c>
      <c r="Y460" s="53">
        <v>40</v>
      </c>
      <c r="Z460" s="53">
        <v>38.9</v>
      </c>
      <c r="AA460" s="53">
        <v>37.5</v>
      </c>
      <c r="AB460" s="53">
        <v>37.299999999999997</v>
      </c>
      <c r="AC460" s="53">
        <v>42.5</v>
      </c>
      <c r="AD460" s="53">
        <v>35.9</v>
      </c>
      <c r="AE460" s="53">
        <v>34.799999999999997</v>
      </c>
      <c r="AF460" s="53">
        <v>34.6</v>
      </c>
      <c r="AG460" s="53">
        <v>35.700000000000003</v>
      </c>
      <c r="AH460" s="53">
        <v>33.9</v>
      </c>
      <c r="AL460" s="53" t="str">
        <f>B460</f>
        <v>Customer relationships</v>
      </c>
      <c r="AM460" s="53"/>
      <c r="AN460" s="53">
        <v>0</v>
      </c>
      <c r="AO460" s="53">
        <f>E460-D460</f>
        <v>-6.5</v>
      </c>
      <c r="AP460" s="53">
        <f>AO460+1.2</f>
        <v>-5.3</v>
      </c>
      <c r="AQ460" s="53">
        <f>F460-E460</f>
        <v>0.20000000000000284</v>
      </c>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f>H460-G460</f>
        <v>-2.7000000000000028</v>
      </c>
      <c r="BN460" s="53"/>
      <c r="BO460" s="53">
        <f>I460-H460</f>
        <v>-2.5</v>
      </c>
      <c r="BP460" s="53"/>
      <c r="BQ460" s="53"/>
      <c r="BR460" s="53"/>
      <c r="BS460" s="53"/>
      <c r="BT460" s="53">
        <f>J460-I460</f>
        <v>-2.1000000000000014</v>
      </c>
      <c r="BU460" s="53"/>
      <c r="BV460" s="53">
        <f>J460-I460</f>
        <v>-2.1000000000000014</v>
      </c>
      <c r="BX460" s="53">
        <f>K460-J460</f>
        <v>-0.10000000000000142</v>
      </c>
      <c r="BZ460" s="53">
        <f>L460-K460</f>
        <v>1.5</v>
      </c>
      <c r="CA460" s="53"/>
      <c r="CB460" s="53">
        <f t="shared" si="294"/>
        <v>-0.19999999999999574</v>
      </c>
      <c r="CC460" s="53">
        <f t="shared" si="294"/>
        <v>-1.3000000000000043</v>
      </c>
      <c r="CE460" s="53">
        <f>O460-N460</f>
        <v>0.90000000000000568</v>
      </c>
      <c r="CG460" s="621">
        <f>P460-O460</f>
        <v>-1.1000000000000014</v>
      </c>
      <c r="CJ460" s="621">
        <f>Q460-P460</f>
        <v>-1.3000000000000043</v>
      </c>
      <c r="CL460" s="621">
        <f>R460-Q460</f>
        <v>-0.39999999999999858</v>
      </c>
      <c r="CN460" s="621">
        <f t="shared" si="295"/>
        <v>-6.3999999999999986</v>
      </c>
      <c r="CO460" s="621">
        <f t="shared" si="295"/>
        <v>-2.6000000000000014</v>
      </c>
      <c r="CQ460" s="621">
        <f>U460-T460</f>
        <v>-1.1000000000000014</v>
      </c>
      <c r="CS460" s="621">
        <f t="shared" si="296"/>
        <v>0</v>
      </c>
      <c r="CT460" s="621">
        <f t="shared" si="296"/>
        <v>-0.5</v>
      </c>
      <c r="CU460" s="621">
        <f t="shared" si="296"/>
        <v>2.3000000000000043</v>
      </c>
      <c r="CV460" s="621">
        <f t="shared" si="296"/>
        <v>2.8999999999999986</v>
      </c>
      <c r="CW460" s="621">
        <f t="shared" si="296"/>
        <v>-1.1000000000000014</v>
      </c>
      <c r="CX460" s="621">
        <f t="shared" si="296"/>
        <v>-1.3999999999999986</v>
      </c>
      <c r="CY460" s="621">
        <f t="shared" si="296"/>
        <v>-0.20000000000000284</v>
      </c>
      <c r="CZ460" s="621">
        <f t="shared" si="296"/>
        <v>5.2000000000000028</v>
      </c>
      <c r="DA460" s="1069">
        <f t="shared" si="242"/>
        <v>5.2000000000000028</v>
      </c>
      <c r="DB460" s="621">
        <f>AD460-AC460</f>
        <v>-6.6000000000000014</v>
      </c>
      <c r="DC460" s="62">
        <f>DB460-1.3</f>
        <v>-7.9000000000000012</v>
      </c>
      <c r="DD460" s="621">
        <f>AE460-AD460</f>
        <v>-1.1000000000000014</v>
      </c>
      <c r="DE460" s="62">
        <f t="shared" si="298"/>
        <v>-1.1000000000000014</v>
      </c>
      <c r="DF460" s="621">
        <f>AF460-AE460</f>
        <v>-0.19999999999999574</v>
      </c>
      <c r="DG460" s="62">
        <f t="shared" si="299"/>
        <v>-0.19999999999999574</v>
      </c>
      <c r="DH460" s="621">
        <f>AG460-AF460</f>
        <v>1.1000000000000014</v>
      </c>
      <c r="DI460" s="62">
        <f>DH460</f>
        <v>1.1000000000000014</v>
      </c>
      <c r="DJ460" s="621">
        <f t="shared" si="300"/>
        <v>-1.8000000000000043</v>
      </c>
      <c r="DK460" s="621">
        <f t="shared" si="300"/>
        <v>-33.9</v>
      </c>
    </row>
    <row r="461" spans="2:115" ht="15.75">
      <c r="B461" s="53" t="str">
        <f>B450</f>
        <v>Fixed RGUs</v>
      </c>
      <c r="C461" s="53"/>
      <c r="D461" s="53">
        <f t="shared" ref="D461:W461" si="301">SUM(D463:D465)</f>
        <v>86.9</v>
      </c>
      <c r="E461" s="53">
        <f t="shared" si="301"/>
        <v>80.8</v>
      </c>
      <c r="F461" s="53">
        <f t="shared" si="301"/>
        <v>83.1</v>
      </c>
      <c r="G461" s="53">
        <f t="shared" si="301"/>
        <v>85.2</v>
      </c>
      <c r="H461" s="53">
        <f t="shared" si="301"/>
        <v>84.7</v>
      </c>
      <c r="I461" s="53">
        <f t="shared" si="301"/>
        <v>81.599999999999994</v>
      </c>
      <c r="J461" s="53">
        <f t="shared" si="301"/>
        <v>80.2</v>
      </c>
      <c r="K461" s="53">
        <f t="shared" si="301"/>
        <v>81.400000000000006</v>
      </c>
      <c r="L461" s="53">
        <f t="shared" si="301"/>
        <v>80.400000000000006</v>
      </c>
      <c r="M461" s="53">
        <f t="shared" si="301"/>
        <v>80.199999999999989</v>
      </c>
      <c r="N461" s="53">
        <f t="shared" si="301"/>
        <v>79.099999999999994</v>
      </c>
      <c r="O461" s="53">
        <f t="shared" si="301"/>
        <v>79.099999999999994</v>
      </c>
      <c r="P461" s="53">
        <f t="shared" si="301"/>
        <v>76.199999999999989</v>
      </c>
      <c r="Q461" s="53">
        <f t="shared" si="301"/>
        <v>75.300000000000011</v>
      </c>
      <c r="R461" s="53">
        <f t="shared" si="301"/>
        <v>75.900000000000006</v>
      </c>
      <c r="S461" s="53">
        <f t="shared" si="301"/>
        <v>66.099999999999994</v>
      </c>
      <c r="T461" s="53">
        <f t="shared" si="301"/>
        <v>65.3</v>
      </c>
      <c r="U461" s="53">
        <f t="shared" si="301"/>
        <v>66.3</v>
      </c>
      <c r="V461" s="53">
        <f t="shared" si="301"/>
        <v>68.199999999999989</v>
      </c>
      <c r="W461" s="53">
        <f t="shared" si="301"/>
        <v>69.5</v>
      </c>
      <c r="X461" s="53">
        <f t="shared" ref="X461:AC461" si="302">SUM(X463:X465)</f>
        <v>72.400000000000006</v>
      </c>
      <c r="Y461" s="53">
        <f t="shared" si="302"/>
        <v>75.300000000000011</v>
      </c>
      <c r="Z461" s="53">
        <f t="shared" si="302"/>
        <v>72.400000000000006</v>
      </c>
      <c r="AA461" s="53">
        <f t="shared" si="302"/>
        <v>72.599999999999994</v>
      </c>
      <c r="AB461" s="621">
        <f t="shared" si="302"/>
        <v>73</v>
      </c>
      <c r="AC461" s="621">
        <f t="shared" si="302"/>
        <v>72.300000000000011</v>
      </c>
      <c r="AD461" s="621">
        <f t="shared" ref="AD461" si="303">SUM(AD463:AD465)</f>
        <v>62.300000000000004</v>
      </c>
      <c r="AE461" s="621">
        <f t="shared" ref="AE461:AF461" si="304">SUM(AE463:AE465)</f>
        <v>64.8</v>
      </c>
      <c r="AF461" s="621">
        <f t="shared" si="304"/>
        <v>68.099999999999994</v>
      </c>
      <c r="AG461" s="621">
        <f t="shared" ref="AG461" si="305">SUM(AG463:AG465)</f>
        <v>69.900000000000006</v>
      </c>
      <c r="AH461" s="621">
        <f t="shared" ref="AH461:AI461" si="306">SUM(AH463:AH465)</f>
        <v>67.099999999999994</v>
      </c>
      <c r="AI461" s="621">
        <f t="shared" si="306"/>
        <v>0</v>
      </c>
      <c r="AL461" s="53" t="str">
        <f>B461</f>
        <v>Fixed RGUs</v>
      </c>
      <c r="AM461" s="53"/>
      <c r="AN461" s="53">
        <f>SUM(AN463:AN465)</f>
        <v>0.30000000000000004</v>
      </c>
      <c r="AO461" s="53">
        <f>E461-D461</f>
        <v>-6.1000000000000085</v>
      </c>
      <c r="AP461" s="621">
        <f>SUM(AP463:AP465)</f>
        <v>-4.700000000000002</v>
      </c>
      <c r="AQ461" s="53">
        <f>F461-E461</f>
        <v>2.2999999999999972</v>
      </c>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f>H461-G461</f>
        <v>-0.5</v>
      </c>
      <c r="BN461" s="53"/>
      <c r="BO461" s="53">
        <f>I461-H461</f>
        <v>-3.1000000000000085</v>
      </c>
      <c r="BP461" s="53"/>
      <c r="BQ461" s="53"/>
      <c r="BR461" s="53"/>
      <c r="BS461" s="53"/>
      <c r="BT461" s="53">
        <f>J461-I461</f>
        <v>-1.3999999999999915</v>
      </c>
      <c r="BU461" s="53"/>
      <c r="BV461" s="53">
        <f>J461-I461</f>
        <v>-1.3999999999999915</v>
      </c>
      <c r="BX461" s="53">
        <f>K461-J461</f>
        <v>1.2000000000000028</v>
      </c>
      <c r="BZ461" s="53">
        <f>L461-K461</f>
        <v>-1</v>
      </c>
      <c r="CA461" s="53"/>
      <c r="CB461" s="53">
        <f t="shared" si="294"/>
        <v>-0.20000000000001705</v>
      </c>
      <c r="CC461" s="53">
        <f t="shared" si="294"/>
        <v>-1.0999999999999943</v>
      </c>
      <c r="CE461" s="53">
        <f>O461-N461</f>
        <v>0</v>
      </c>
      <c r="CG461" s="621">
        <f>P461-O461</f>
        <v>-2.9000000000000057</v>
      </c>
      <c r="CJ461" s="621">
        <f>Q461-P461</f>
        <v>-0.89999999999997726</v>
      </c>
      <c r="CL461" s="621">
        <f>R461-Q461</f>
        <v>0.59999999999999432</v>
      </c>
      <c r="CN461" s="621">
        <f t="shared" si="295"/>
        <v>-9.8000000000000114</v>
      </c>
      <c r="CO461" s="621">
        <f t="shared" si="295"/>
        <v>-0.79999999999999716</v>
      </c>
      <c r="CQ461" s="621">
        <f>U461-T461</f>
        <v>1</v>
      </c>
      <c r="CS461" s="621">
        <f t="shared" si="296"/>
        <v>1.8999999999999915</v>
      </c>
      <c r="CT461" s="621">
        <f t="shared" si="296"/>
        <v>1.3000000000000114</v>
      </c>
      <c r="CU461" s="621">
        <f t="shared" si="296"/>
        <v>2.9000000000000057</v>
      </c>
      <c r="CV461" s="621">
        <f t="shared" si="296"/>
        <v>2.9000000000000057</v>
      </c>
      <c r="CW461" s="621">
        <f t="shared" si="296"/>
        <v>-2.9000000000000057</v>
      </c>
      <c r="CX461" s="621">
        <f t="shared" si="296"/>
        <v>0.19999999999998863</v>
      </c>
      <c r="CY461" s="621">
        <f t="shared" si="296"/>
        <v>0.40000000000000568</v>
      </c>
      <c r="CZ461" s="621">
        <f t="shared" si="296"/>
        <v>-0.69999999999998863</v>
      </c>
      <c r="DA461" s="1069">
        <f t="shared" si="242"/>
        <v>-0.69999999999998863</v>
      </c>
      <c r="DB461" s="621">
        <f>AD461-AC461</f>
        <v>-10.000000000000007</v>
      </c>
      <c r="DC461" s="62">
        <f>DB461</f>
        <v>-10.000000000000007</v>
      </c>
      <c r="DD461" s="621">
        <f>AE461-AD461</f>
        <v>2.4999999999999929</v>
      </c>
      <c r="DE461" s="62">
        <f t="shared" si="298"/>
        <v>2.4999999999999929</v>
      </c>
      <c r="DF461" s="621">
        <f>AF461-AE461</f>
        <v>3.2999999999999972</v>
      </c>
      <c r="DG461" s="62">
        <f t="shared" si="299"/>
        <v>3.2999999999999972</v>
      </c>
      <c r="DH461" s="621">
        <f>AG461-AF461</f>
        <v>1.8000000000000114</v>
      </c>
      <c r="DI461" s="62">
        <f>DH461</f>
        <v>1.8000000000000114</v>
      </c>
      <c r="DJ461" s="621">
        <f t="shared" si="300"/>
        <v>-2.8000000000000114</v>
      </c>
      <c r="DK461" s="621">
        <f t="shared" si="300"/>
        <v>-67.099999999999994</v>
      </c>
    </row>
    <row r="462" spans="2:115" ht="15.75">
      <c r="B462" s="53" t="s">
        <v>2242</v>
      </c>
      <c r="C462" s="53"/>
      <c r="D462" s="685">
        <f t="shared" ref="D462:W462" si="307">D461/D460</f>
        <v>1.4130081300813009</v>
      </c>
      <c r="E462" s="685">
        <f t="shared" si="307"/>
        <v>1.469090909090909</v>
      </c>
      <c r="F462" s="685">
        <f t="shared" si="307"/>
        <v>1.5054347826086956</v>
      </c>
      <c r="G462" s="685">
        <f t="shared" si="307"/>
        <v>1.5575868372943327</v>
      </c>
      <c r="H462" s="685">
        <f t="shared" si="307"/>
        <v>1.6288461538461538</v>
      </c>
      <c r="I462" s="685">
        <f t="shared" si="307"/>
        <v>1.6484848484848484</v>
      </c>
      <c r="J462" s="685">
        <f t="shared" si="307"/>
        <v>1.6919831223628694</v>
      </c>
      <c r="K462" s="685">
        <f t="shared" si="307"/>
        <v>1.7209302325581397</v>
      </c>
      <c r="L462" s="685">
        <f t="shared" si="307"/>
        <v>1.6475409836065575</v>
      </c>
      <c r="M462" s="685">
        <f t="shared" si="307"/>
        <v>1.6502057613168721</v>
      </c>
      <c r="N462" s="685">
        <f t="shared" si="307"/>
        <v>1.6723044397463003</v>
      </c>
      <c r="O462" s="685">
        <f t="shared" si="307"/>
        <v>1.6410788381742736</v>
      </c>
      <c r="P462" s="685">
        <f t="shared" si="307"/>
        <v>1.6178343949044582</v>
      </c>
      <c r="Q462" s="685">
        <f t="shared" si="307"/>
        <v>1.6441048034934502</v>
      </c>
      <c r="R462" s="685">
        <f t="shared" si="307"/>
        <v>1.6718061674008813</v>
      </c>
      <c r="S462" s="685">
        <f t="shared" si="307"/>
        <v>1.6948717948717946</v>
      </c>
      <c r="T462" s="685">
        <f t="shared" si="307"/>
        <v>1.793956043956044</v>
      </c>
      <c r="U462" s="685">
        <f t="shared" si="307"/>
        <v>1.8781869688385271</v>
      </c>
      <c r="V462" s="685">
        <f t="shared" si="307"/>
        <v>1.9320113314447591</v>
      </c>
      <c r="W462" s="685">
        <f t="shared" si="307"/>
        <v>1.9971264367816093</v>
      </c>
      <c r="X462" s="685">
        <f t="shared" ref="X462:AC462" si="308">X461/X460</f>
        <v>1.9514824797843666</v>
      </c>
      <c r="Y462" s="685">
        <f t="shared" si="308"/>
        <v>1.8825000000000003</v>
      </c>
      <c r="Z462" s="685">
        <f t="shared" si="308"/>
        <v>1.8611825192802058</v>
      </c>
      <c r="AA462" s="685">
        <f t="shared" si="308"/>
        <v>1.9359999999999999</v>
      </c>
      <c r="AB462" s="685">
        <f t="shared" si="308"/>
        <v>1.9571045576407509</v>
      </c>
      <c r="AC462" s="685">
        <f t="shared" si="308"/>
        <v>1.7011764705882355</v>
      </c>
      <c r="AD462" s="685">
        <f t="shared" ref="AD462" si="309">AD461/AD460</f>
        <v>1.7353760445682453</v>
      </c>
      <c r="AE462" s="685">
        <f t="shared" ref="AE462:AF462" si="310">AE461/AE460</f>
        <v>1.8620689655172415</v>
      </c>
      <c r="AF462" s="685">
        <f t="shared" si="310"/>
        <v>1.968208092485549</v>
      </c>
      <c r="AG462" s="685">
        <f t="shared" ref="AG462:AI462" si="311">AG461/AG460</f>
        <v>1.9579831932773109</v>
      </c>
      <c r="AH462" s="685">
        <f t="shared" si="311"/>
        <v>1.9793510324483774</v>
      </c>
      <c r="AI462" s="685" t="e">
        <f t="shared" si="311"/>
        <v>#DIV/0!</v>
      </c>
      <c r="AL462" s="53"/>
      <c r="AM462" s="53"/>
      <c r="AN462" s="53"/>
      <c r="AO462" s="53"/>
      <c r="AP462" s="53"/>
      <c r="AQ462" s="53"/>
      <c r="AR462" s="53"/>
      <c r="AT462" s="53"/>
      <c r="AU462" s="53"/>
      <c r="AV462" s="53"/>
      <c r="AW462" s="53"/>
      <c r="AX462" s="53"/>
      <c r="AY462" s="53"/>
      <c r="AZ462" s="53"/>
      <c r="BA462" s="53"/>
      <c r="BB462" s="53"/>
      <c r="BC462" s="53"/>
      <c r="BD462" s="53"/>
      <c r="BE462" s="53"/>
      <c r="BF462" s="53"/>
      <c r="BG462" s="53"/>
    </row>
    <row r="463" spans="2:115" ht="15.75">
      <c r="B463" s="53" t="str">
        <f>B452</f>
        <v>Video</v>
      </c>
      <c r="C463" s="53"/>
      <c r="D463" s="53">
        <v>0.6</v>
      </c>
      <c r="E463" s="53">
        <v>0.9</v>
      </c>
      <c r="F463" s="53">
        <v>1.6</v>
      </c>
      <c r="G463" s="53">
        <v>3.7</v>
      </c>
      <c r="H463" s="53">
        <v>5.5</v>
      </c>
      <c r="I463" s="53">
        <v>5.9</v>
      </c>
      <c r="J463" s="53">
        <v>6.2</v>
      </c>
      <c r="K463" s="53">
        <v>7</v>
      </c>
      <c r="L463" s="53">
        <v>6.7</v>
      </c>
      <c r="M463" s="53">
        <v>6.8</v>
      </c>
      <c r="N463" s="53">
        <v>6.9</v>
      </c>
      <c r="O463" s="53">
        <v>6.6</v>
      </c>
      <c r="P463" s="53">
        <v>6.1</v>
      </c>
      <c r="Q463" s="53">
        <v>6.5</v>
      </c>
      <c r="R463" s="621">
        <v>7</v>
      </c>
      <c r="S463" s="53">
        <v>6.2</v>
      </c>
      <c r="T463" s="53">
        <v>6.3</v>
      </c>
      <c r="U463" s="53">
        <v>6.9</v>
      </c>
      <c r="V463" s="53">
        <v>7.4</v>
      </c>
      <c r="W463" s="53">
        <v>8</v>
      </c>
      <c r="X463" s="53">
        <v>8.6999999999999993</v>
      </c>
      <c r="Y463" s="53">
        <v>9.5</v>
      </c>
      <c r="Z463" s="53">
        <v>9.4</v>
      </c>
      <c r="AA463" s="53">
        <v>9.6</v>
      </c>
      <c r="AB463" s="53">
        <v>9.6</v>
      </c>
      <c r="AC463" s="53">
        <v>9.6</v>
      </c>
      <c r="AD463" s="53">
        <v>5.6</v>
      </c>
      <c r="AE463" s="53">
        <v>6.3</v>
      </c>
      <c r="AF463" s="53">
        <v>7.4</v>
      </c>
      <c r="AG463" s="53">
        <v>7.8</v>
      </c>
      <c r="AH463" s="53">
        <v>7.6</v>
      </c>
      <c r="AL463" s="53" t="str">
        <f>B463</f>
        <v>Video</v>
      </c>
      <c r="AM463" s="53"/>
      <c r="AN463" s="53">
        <v>0.3</v>
      </c>
      <c r="AO463" s="53">
        <f>E463-D463</f>
        <v>0.30000000000000004</v>
      </c>
      <c r="AP463" s="53">
        <f>AO463</f>
        <v>0.30000000000000004</v>
      </c>
      <c r="AQ463" s="53">
        <f>F463-E463</f>
        <v>0.70000000000000007</v>
      </c>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f>H463-G463</f>
        <v>1.7999999999999998</v>
      </c>
      <c r="BN463" s="53"/>
      <c r="BO463" s="53">
        <f>I463-H463</f>
        <v>0.40000000000000036</v>
      </c>
      <c r="BP463" s="53"/>
      <c r="BQ463" s="53"/>
      <c r="BR463" s="53"/>
      <c r="BS463" s="53"/>
      <c r="BT463" s="53">
        <f>J463-I463</f>
        <v>0.29999999999999982</v>
      </c>
      <c r="BU463" s="53"/>
      <c r="BV463" s="53">
        <f>J463-I463</f>
        <v>0.29999999999999982</v>
      </c>
      <c r="BX463" s="53">
        <f>K463-J463</f>
        <v>0.79999999999999982</v>
      </c>
      <c r="BZ463" s="53">
        <f>L463-K463</f>
        <v>-0.29999999999999982</v>
      </c>
      <c r="CA463" s="53"/>
      <c r="CB463" s="53">
        <f t="shared" ref="CB463:CC466" si="312">M463-L463</f>
        <v>9.9999999999999645E-2</v>
      </c>
      <c r="CC463" s="53">
        <f t="shared" si="312"/>
        <v>0.10000000000000053</v>
      </c>
      <c r="CE463" s="53">
        <f>O463-N463</f>
        <v>-0.30000000000000071</v>
      </c>
      <c r="CG463" s="621">
        <f>P463-O463</f>
        <v>-0.5</v>
      </c>
      <c r="CJ463" s="621">
        <f>Q463-P463</f>
        <v>0.40000000000000036</v>
      </c>
      <c r="CL463" s="621">
        <f>R463-Q463</f>
        <v>0.5</v>
      </c>
      <c r="CN463" s="621">
        <f t="shared" ref="CN463:CO466" si="313">S463-R463</f>
        <v>-0.79999999999999982</v>
      </c>
      <c r="CO463" s="621">
        <f t="shared" si="313"/>
        <v>9.9999999999999645E-2</v>
      </c>
      <c r="CQ463" s="621">
        <f>U463-T463</f>
        <v>0.60000000000000053</v>
      </c>
      <c r="CS463" s="621">
        <f t="shared" ref="CS463:CZ466" si="314">V463-U463</f>
        <v>0.5</v>
      </c>
      <c r="CT463" s="621">
        <f t="shared" si="314"/>
        <v>0.59999999999999964</v>
      </c>
      <c r="CU463" s="621">
        <f t="shared" si="314"/>
        <v>0.69999999999999929</v>
      </c>
      <c r="CV463" s="621">
        <f t="shared" si="314"/>
        <v>0.80000000000000071</v>
      </c>
      <c r="CW463" s="621">
        <f t="shared" si="314"/>
        <v>-9.9999999999999645E-2</v>
      </c>
      <c r="CX463" s="621">
        <f t="shared" si="314"/>
        <v>0.19999999999999929</v>
      </c>
      <c r="CY463" s="621">
        <f t="shared" si="314"/>
        <v>0</v>
      </c>
      <c r="CZ463" s="621">
        <f t="shared" si="314"/>
        <v>0</v>
      </c>
      <c r="DA463" s="1069">
        <f t="shared" si="242"/>
        <v>0</v>
      </c>
      <c r="DB463" s="621">
        <f>AD463-AC463</f>
        <v>-4</v>
      </c>
      <c r="DC463" s="62">
        <f>DB463+3.8</f>
        <v>-0.20000000000000018</v>
      </c>
      <c r="DD463" s="621">
        <f>AE463-AD463</f>
        <v>0.70000000000000018</v>
      </c>
      <c r="DE463" s="62">
        <f t="shared" ref="DE463:DE466" si="315">DD463</f>
        <v>0.70000000000000018</v>
      </c>
      <c r="DF463" s="621">
        <f>AF463-AE463</f>
        <v>1.1000000000000005</v>
      </c>
      <c r="DG463" s="62">
        <f t="shared" si="299"/>
        <v>1.1000000000000005</v>
      </c>
      <c r="DH463" s="621">
        <f>AG463-AF463</f>
        <v>0.39999999999999947</v>
      </c>
      <c r="DI463" s="62">
        <f>DH463</f>
        <v>0.39999999999999947</v>
      </c>
      <c r="DJ463" s="621">
        <f t="shared" ref="DJ463:DK466" si="316">AH463-AG463</f>
        <v>-0.20000000000000018</v>
      </c>
      <c r="DK463" s="621">
        <f t="shared" si="316"/>
        <v>-7.6</v>
      </c>
    </row>
    <row r="464" spans="2:115" ht="15.75">
      <c r="B464" s="53" t="str">
        <f>B453</f>
        <v>BB</v>
      </c>
      <c r="C464" s="53"/>
      <c r="D464" s="53">
        <v>24.8</v>
      </c>
      <c r="E464" s="53">
        <v>24.9</v>
      </c>
      <c r="F464" s="53">
        <v>26.4</v>
      </c>
      <c r="G464" s="53">
        <v>26.8</v>
      </c>
      <c r="H464" s="53">
        <v>27.2</v>
      </c>
      <c r="I464" s="53">
        <v>26.2</v>
      </c>
      <c r="J464" s="53">
        <v>26.6</v>
      </c>
      <c r="K464" s="53">
        <v>27.1</v>
      </c>
      <c r="L464" s="53">
        <v>26.4</v>
      </c>
      <c r="M464" s="53">
        <v>26.4</v>
      </c>
      <c r="N464" s="53">
        <v>26.6</v>
      </c>
      <c r="O464" s="53">
        <v>26.2</v>
      </c>
      <c r="P464" s="53">
        <v>25.7</v>
      </c>
      <c r="Q464" s="53">
        <v>25.6</v>
      </c>
      <c r="R464" s="53">
        <v>26.2</v>
      </c>
      <c r="S464" s="53">
        <v>23.2</v>
      </c>
      <c r="T464" s="53">
        <v>23.5</v>
      </c>
      <c r="U464" s="53">
        <v>25</v>
      </c>
      <c r="V464" s="53">
        <v>26.4</v>
      </c>
      <c r="W464" s="53">
        <v>27.8</v>
      </c>
      <c r="X464" s="53">
        <v>29.1</v>
      </c>
      <c r="Y464" s="53">
        <v>31.2</v>
      </c>
      <c r="Z464" s="53">
        <v>30</v>
      </c>
      <c r="AA464" s="53">
        <v>30.7</v>
      </c>
      <c r="AB464" s="53">
        <v>31.5</v>
      </c>
      <c r="AC464" s="53">
        <v>31.6</v>
      </c>
      <c r="AD464" s="53">
        <v>23.1</v>
      </c>
      <c r="AE464" s="53">
        <v>24.7</v>
      </c>
      <c r="AF464" s="53">
        <v>26.5</v>
      </c>
      <c r="AG464" s="53">
        <v>27.5</v>
      </c>
      <c r="AH464" s="53">
        <v>26.2</v>
      </c>
      <c r="AL464" s="53" t="str">
        <f>B464</f>
        <v>BB</v>
      </c>
      <c r="AM464" s="53"/>
      <c r="AN464" s="53">
        <v>0.1</v>
      </c>
      <c r="AO464" s="53">
        <f>E464-D464</f>
        <v>9.9999999999997868E-2</v>
      </c>
      <c r="AP464" s="53">
        <f>AO464+0.2</f>
        <v>0.29999999999999788</v>
      </c>
      <c r="AQ464" s="53">
        <f>F464-E464</f>
        <v>1.5</v>
      </c>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f>H464-G464</f>
        <v>0.39999999999999858</v>
      </c>
      <c r="BN464" s="53"/>
      <c r="BO464" s="53">
        <f>I464-H464</f>
        <v>-1</v>
      </c>
      <c r="BP464" s="53"/>
      <c r="BQ464" s="53"/>
      <c r="BR464" s="53"/>
      <c r="BS464" s="53"/>
      <c r="BT464" s="53">
        <f>J464-I464</f>
        <v>0.40000000000000213</v>
      </c>
      <c r="BU464" s="53"/>
      <c r="BV464" s="53">
        <f>J464-I464</f>
        <v>0.40000000000000213</v>
      </c>
      <c r="BX464" s="53">
        <f>K464-J464</f>
        <v>0.5</v>
      </c>
      <c r="BZ464" s="53">
        <f>L464-K464</f>
        <v>-0.70000000000000284</v>
      </c>
      <c r="CA464" s="53"/>
      <c r="CB464" s="53">
        <f t="shared" si="312"/>
        <v>0</v>
      </c>
      <c r="CC464" s="53">
        <f t="shared" si="312"/>
        <v>0.20000000000000284</v>
      </c>
      <c r="CE464" s="53">
        <f>O464-N464</f>
        <v>-0.40000000000000213</v>
      </c>
      <c r="CG464" s="621">
        <f>P464-O464</f>
        <v>-0.5</v>
      </c>
      <c r="CJ464" s="621">
        <f>Q464-P464</f>
        <v>-9.9999999999997868E-2</v>
      </c>
      <c r="CL464" s="621">
        <f>R464-Q464</f>
        <v>0.59999999999999787</v>
      </c>
      <c r="CN464" s="621">
        <f t="shared" si="313"/>
        <v>-3</v>
      </c>
      <c r="CO464" s="621">
        <f t="shared" si="313"/>
        <v>0.30000000000000071</v>
      </c>
      <c r="CQ464" s="621">
        <f>U464-T464</f>
        <v>1.5</v>
      </c>
      <c r="CS464" s="621">
        <f t="shared" si="314"/>
        <v>1.3999999999999986</v>
      </c>
      <c r="CT464" s="621">
        <f t="shared" si="314"/>
        <v>1.4000000000000021</v>
      </c>
      <c r="CU464" s="621">
        <f t="shared" si="314"/>
        <v>1.3000000000000007</v>
      </c>
      <c r="CV464" s="621">
        <f t="shared" si="314"/>
        <v>2.0999999999999979</v>
      </c>
      <c r="CW464" s="621">
        <f t="shared" si="314"/>
        <v>-1.1999999999999993</v>
      </c>
      <c r="CX464" s="621">
        <f t="shared" si="314"/>
        <v>0.69999999999999929</v>
      </c>
      <c r="CY464" s="621">
        <f t="shared" si="314"/>
        <v>0.80000000000000071</v>
      </c>
      <c r="CZ464" s="621">
        <f t="shared" si="314"/>
        <v>0.10000000000000142</v>
      </c>
      <c r="DA464" s="1069">
        <f t="shared" si="242"/>
        <v>0.10000000000000142</v>
      </c>
      <c r="DB464" s="621">
        <f>AD464-AC464</f>
        <v>-8.5</v>
      </c>
      <c r="DC464" s="62">
        <f>DB464+8.4</f>
        <v>-9.9999999999999645E-2</v>
      </c>
      <c r="DD464" s="621">
        <f>AE464-AD464</f>
        <v>1.5999999999999979</v>
      </c>
      <c r="DE464" s="62">
        <f t="shared" si="315"/>
        <v>1.5999999999999979</v>
      </c>
      <c r="DF464" s="621">
        <f>AF464-AE464</f>
        <v>1.8000000000000007</v>
      </c>
      <c r="DG464" s="62">
        <f t="shared" si="299"/>
        <v>1.8000000000000007</v>
      </c>
      <c r="DH464" s="621">
        <f>AG464-AF464</f>
        <v>1</v>
      </c>
      <c r="DI464" s="62">
        <f>DH464</f>
        <v>1</v>
      </c>
      <c r="DJ464" s="621">
        <f t="shared" si="316"/>
        <v>-1.3000000000000007</v>
      </c>
      <c r="DK464" s="621">
        <f t="shared" si="316"/>
        <v>-26.2</v>
      </c>
    </row>
    <row r="465" spans="2:115" ht="15.75">
      <c r="B465" s="53" t="str">
        <f>B454</f>
        <v>Telephony</v>
      </c>
      <c r="C465" s="53"/>
      <c r="D465" s="53">
        <v>61.5</v>
      </c>
      <c r="E465" s="53">
        <v>55</v>
      </c>
      <c r="F465" s="53">
        <v>55.1</v>
      </c>
      <c r="G465" s="53">
        <v>54.7</v>
      </c>
      <c r="H465" s="53">
        <v>52</v>
      </c>
      <c r="I465" s="53">
        <v>49.5</v>
      </c>
      <c r="J465" s="53">
        <v>47.4</v>
      </c>
      <c r="K465" s="53">
        <v>47.3</v>
      </c>
      <c r="L465" s="53">
        <v>47.3</v>
      </c>
      <c r="M465" s="53">
        <v>47</v>
      </c>
      <c r="N465" s="53">
        <v>45.6</v>
      </c>
      <c r="O465" s="53">
        <v>46.3</v>
      </c>
      <c r="P465" s="53">
        <v>44.4</v>
      </c>
      <c r="Q465" s="53">
        <v>43.2</v>
      </c>
      <c r="R465" s="53">
        <v>42.7</v>
      </c>
      <c r="S465" s="53">
        <v>36.700000000000003</v>
      </c>
      <c r="T465" s="53">
        <v>35.5</v>
      </c>
      <c r="U465" s="53">
        <v>34.4</v>
      </c>
      <c r="V465" s="53">
        <v>34.4</v>
      </c>
      <c r="W465" s="53">
        <v>33.700000000000003</v>
      </c>
      <c r="X465" s="53">
        <v>34.6</v>
      </c>
      <c r="Y465" s="53">
        <v>34.6</v>
      </c>
      <c r="Z465" s="53">
        <v>33</v>
      </c>
      <c r="AA465" s="53">
        <v>32.299999999999997</v>
      </c>
      <c r="AB465" s="53">
        <v>31.9</v>
      </c>
      <c r="AC465" s="53">
        <v>31.1</v>
      </c>
      <c r="AD465" s="53">
        <v>33.6</v>
      </c>
      <c r="AE465" s="53">
        <v>33.799999999999997</v>
      </c>
      <c r="AF465" s="53">
        <v>34.200000000000003</v>
      </c>
      <c r="AG465" s="53">
        <v>34.6</v>
      </c>
      <c r="AH465" s="53">
        <v>33.299999999999997</v>
      </c>
      <c r="AL465" s="53" t="str">
        <f>B465</f>
        <v>Telephony</v>
      </c>
      <c r="AM465" s="53"/>
      <c r="AN465" s="53">
        <v>-0.1</v>
      </c>
      <c r="AO465" s="53">
        <f>E465-D465</f>
        <v>-6.5</v>
      </c>
      <c r="AP465" s="53">
        <f>AO465+1.2</f>
        <v>-5.3</v>
      </c>
      <c r="AQ465" s="53">
        <f>F465-E465</f>
        <v>0.10000000000000142</v>
      </c>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f>H465-G465</f>
        <v>-2.7000000000000028</v>
      </c>
      <c r="BN465" s="53"/>
      <c r="BO465" s="53">
        <f>I465-H465</f>
        <v>-2.5</v>
      </c>
      <c r="BP465" s="53"/>
      <c r="BQ465" s="53"/>
      <c r="BR465" s="53"/>
      <c r="BS465" s="53"/>
      <c r="BT465" s="53">
        <f>J465-I465</f>
        <v>-2.1000000000000014</v>
      </c>
      <c r="BU465" s="53"/>
      <c r="BV465" s="53">
        <f>J465-I465</f>
        <v>-2.1000000000000014</v>
      </c>
      <c r="BX465" s="53">
        <f>K465-J465</f>
        <v>-0.10000000000000142</v>
      </c>
      <c r="BZ465" s="53">
        <f>L465-K465</f>
        <v>0</v>
      </c>
      <c r="CA465" s="53"/>
      <c r="CB465" s="53">
        <f t="shared" si="312"/>
        <v>-0.29999999999999716</v>
      </c>
      <c r="CC465" s="53">
        <f t="shared" si="312"/>
        <v>-1.3999999999999986</v>
      </c>
      <c r="CE465" s="53">
        <f>O465-N465</f>
        <v>0.69999999999999574</v>
      </c>
      <c r="CG465" s="621">
        <f>P465-O465</f>
        <v>-1.8999999999999986</v>
      </c>
      <c r="CJ465" s="621">
        <f>Q465-P465</f>
        <v>-1.1999999999999957</v>
      </c>
      <c r="CL465" s="621">
        <f>R465-Q465</f>
        <v>-0.5</v>
      </c>
      <c r="CN465" s="621">
        <f t="shared" si="313"/>
        <v>-6</v>
      </c>
      <c r="CO465" s="621">
        <f t="shared" si="313"/>
        <v>-1.2000000000000028</v>
      </c>
      <c r="CQ465" s="621">
        <f>U465-T465</f>
        <v>-1.1000000000000014</v>
      </c>
      <c r="CS465" s="621">
        <f t="shared" si="314"/>
        <v>0</v>
      </c>
      <c r="CT465" s="621">
        <f t="shared" si="314"/>
        <v>-0.69999999999999574</v>
      </c>
      <c r="CU465" s="621">
        <f t="shared" si="314"/>
        <v>0.89999999999999858</v>
      </c>
      <c r="CV465" s="621">
        <f t="shared" si="314"/>
        <v>0</v>
      </c>
      <c r="CW465" s="621">
        <f t="shared" si="314"/>
        <v>-1.6000000000000014</v>
      </c>
      <c r="CX465" s="621">
        <f t="shared" si="314"/>
        <v>-0.70000000000000284</v>
      </c>
      <c r="CY465" s="621">
        <f t="shared" si="314"/>
        <v>-0.39999999999999858</v>
      </c>
      <c r="CZ465" s="621">
        <f t="shared" si="314"/>
        <v>-0.79999999999999716</v>
      </c>
      <c r="DA465" s="1069">
        <f t="shared" si="242"/>
        <v>-0.79999999999999716</v>
      </c>
      <c r="DB465" s="621">
        <f>AD465-AC465</f>
        <v>2.5</v>
      </c>
      <c r="DC465" s="62">
        <f>DB465-3.4</f>
        <v>-0.89999999999999991</v>
      </c>
      <c r="DD465" s="621">
        <f>AE465-AD465</f>
        <v>0.19999999999999574</v>
      </c>
      <c r="DE465" s="62">
        <f t="shared" si="315"/>
        <v>0.19999999999999574</v>
      </c>
      <c r="DF465" s="621">
        <f>AF465-AE465</f>
        <v>0.40000000000000568</v>
      </c>
      <c r="DG465" s="62">
        <f t="shared" si="299"/>
        <v>0.40000000000000568</v>
      </c>
      <c r="DH465" s="621">
        <f>AG465-AF465</f>
        <v>0.39999999999999858</v>
      </c>
      <c r="DI465" s="62">
        <f>DH465</f>
        <v>0.39999999999999858</v>
      </c>
      <c r="DJ465" s="621">
        <f t="shared" si="316"/>
        <v>-1.3000000000000043</v>
      </c>
      <c r="DK465" s="621">
        <f t="shared" si="316"/>
        <v>-33.299999999999997</v>
      </c>
    </row>
    <row r="466" spans="2:115" ht="15.75">
      <c r="B466" s="53" t="s">
        <v>5</v>
      </c>
      <c r="C466" s="53"/>
      <c r="D466" s="53"/>
      <c r="E466" s="53">
        <v>309.2</v>
      </c>
      <c r="F466" s="53">
        <v>315.2</v>
      </c>
      <c r="G466" s="53">
        <v>309.39999999999998</v>
      </c>
      <c r="H466" s="53">
        <v>285.2</v>
      </c>
      <c r="I466" s="53">
        <v>266.10000000000002</v>
      </c>
      <c r="J466" s="53">
        <v>254.9</v>
      </c>
      <c r="K466" s="53">
        <v>251.1</v>
      </c>
      <c r="L466" s="53">
        <v>240.7</v>
      </c>
      <c r="M466" s="53">
        <v>228.3</v>
      </c>
      <c r="N466" s="53">
        <v>224.3</v>
      </c>
      <c r="O466" s="53">
        <v>222.8</v>
      </c>
      <c r="P466" s="53">
        <v>213.5</v>
      </c>
      <c r="Q466" s="53">
        <v>209.3</v>
      </c>
      <c r="R466" s="53">
        <v>201.1</v>
      </c>
      <c r="S466" s="53">
        <v>199.4</v>
      </c>
      <c r="T466" s="53">
        <v>180.3</v>
      </c>
      <c r="U466" s="53">
        <v>179.1</v>
      </c>
      <c r="V466" s="53">
        <v>181.1</v>
      </c>
      <c r="W466" s="53">
        <v>180.1</v>
      </c>
      <c r="X466" s="53">
        <v>177.7</v>
      </c>
      <c r="Y466" s="53">
        <v>175.1</v>
      </c>
      <c r="Z466" s="53">
        <v>176.4</v>
      </c>
      <c r="AA466" s="53">
        <v>173.5</v>
      </c>
      <c r="AB466" s="53">
        <v>173.2</v>
      </c>
      <c r="AC466" s="53">
        <v>173</v>
      </c>
      <c r="AD466" s="53">
        <v>170.4</v>
      </c>
      <c r="AE466" s="53">
        <v>168.3</v>
      </c>
      <c r="AF466" s="53">
        <v>167.9</v>
      </c>
      <c r="AG466" s="53">
        <v>163.6</v>
      </c>
      <c r="AH466" s="53">
        <v>162.4</v>
      </c>
      <c r="AL466" s="53" t="str">
        <f>B466</f>
        <v>Mobile</v>
      </c>
      <c r="AM466" s="53"/>
      <c r="AN466" s="53"/>
      <c r="AO466" s="53"/>
      <c r="AP466" s="53"/>
      <c r="AQ466" s="53">
        <f>F466-E466</f>
        <v>6</v>
      </c>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f>H466-G466</f>
        <v>-24.199999999999989</v>
      </c>
      <c r="BN466" s="53"/>
      <c r="BO466" s="53">
        <f>I466-H466</f>
        <v>-19.099999999999966</v>
      </c>
      <c r="BP466" s="53"/>
      <c r="BQ466" s="53"/>
      <c r="BR466" s="53"/>
      <c r="BS466" s="53"/>
      <c r="BT466" s="53">
        <f>J466-I466</f>
        <v>-11.200000000000017</v>
      </c>
      <c r="BU466" s="53"/>
      <c r="BV466" s="53">
        <f>J466-I466</f>
        <v>-11.200000000000017</v>
      </c>
      <c r="BX466" s="53">
        <f>K466-J466</f>
        <v>-3.8000000000000114</v>
      </c>
      <c r="BZ466" s="53">
        <f>L466-K466</f>
        <v>-10.400000000000006</v>
      </c>
      <c r="CA466" s="53"/>
      <c r="CB466" s="53">
        <f t="shared" si="312"/>
        <v>-12.399999999999977</v>
      </c>
      <c r="CC466" s="53">
        <f t="shared" si="312"/>
        <v>-4</v>
      </c>
      <c r="CE466" s="53">
        <f>O466-N466</f>
        <v>-1.5</v>
      </c>
      <c r="CG466" s="621">
        <f>P466-O466</f>
        <v>-9.3000000000000114</v>
      </c>
      <c r="CJ466" s="621">
        <f>Q466-P466</f>
        <v>-4.1999999999999886</v>
      </c>
      <c r="CL466" s="621">
        <f>R466-Q466</f>
        <v>-8.2000000000000171</v>
      </c>
      <c r="CN466" s="621">
        <f t="shared" si="313"/>
        <v>-1.6999999999999886</v>
      </c>
      <c r="CO466" s="621">
        <f t="shared" si="313"/>
        <v>-19.099999999999994</v>
      </c>
      <c r="CQ466" s="621">
        <f>U466-T466</f>
        <v>-1.2000000000000171</v>
      </c>
      <c r="CS466" s="621">
        <f t="shared" si="314"/>
        <v>2</v>
      </c>
      <c r="CT466" s="621">
        <f t="shared" si="314"/>
        <v>-1</v>
      </c>
      <c r="CU466" s="621">
        <f t="shared" si="314"/>
        <v>-2.4000000000000057</v>
      </c>
      <c r="CV466" s="621">
        <f t="shared" si="314"/>
        <v>-2.5999999999999943</v>
      </c>
      <c r="CW466" s="621">
        <f t="shared" si="314"/>
        <v>1.3000000000000114</v>
      </c>
      <c r="CX466" s="621">
        <f t="shared" si="314"/>
        <v>-2.9000000000000057</v>
      </c>
      <c r="CY466" s="621">
        <f t="shared" si="314"/>
        <v>-0.30000000000001137</v>
      </c>
      <c r="CZ466" s="621">
        <f t="shared" si="314"/>
        <v>-0.19999999999998863</v>
      </c>
      <c r="DA466" s="1069">
        <f t="shared" si="242"/>
        <v>-0.19999999999998863</v>
      </c>
      <c r="DB466" s="621">
        <f>AD466-AC466</f>
        <v>-2.5999999999999943</v>
      </c>
      <c r="DC466" s="62">
        <f>DB466+6.5</f>
        <v>3.9000000000000057</v>
      </c>
      <c r="DD466" s="621">
        <f>AE466-AD466</f>
        <v>-2.0999999999999943</v>
      </c>
      <c r="DE466" s="62">
        <f t="shared" si="315"/>
        <v>-2.0999999999999943</v>
      </c>
      <c r="DF466" s="621">
        <f>AF466-AE466</f>
        <v>-0.40000000000000568</v>
      </c>
      <c r="DG466" s="62">
        <f t="shared" si="299"/>
        <v>-0.40000000000000568</v>
      </c>
      <c r="DH466" s="621">
        <f>AG466-AF466</f>
        <v>-4.3000000000000114</v>
      </c>
      <c r="DI466" s="62">
        <f>DH466</f>
        <v>-4.3000000000000114</v>
      </c>
      <c r="DJ466" s="621">
        <f t="shared" si="316"/>
        <v>-1.1999999999999886</v>
      </c>
      <c r="DK466" s="621">
        <f t="shared" si="316"/>
        <v>-162.4</v>
      </c>
    </row>
    <row r="467" spans="2:115" ht="15.75">
      <c r="B467" s="53"/>
      <c r="C467" s="53"/>
      <c r="D467" s="53"/>
      <c r="E467" s="53"/>
      <c r="F467" s="53"/>
      <c r="G467" s="53"/>
      <c r="H467" s="53"/>
      <c r="I467" s="53"/>
      <c r="AL467" s="53"/>
      <c r="AM467" s="53"/>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U467" s="53"/>
    </row>
    <row r="468" spans="2:115" ht="15.75">
      <c r="B468" s="78" t="s">
        <v>3411</v>
      </c>
      <c r="C468" s="53"/>
      <c r="D468" s="53"/>
      <c r="E468" s="53"/>
      <c r="F468" s="53"/>
      <c r="G468" s="53"/>
      <c r="H468" s="53"/>
      <c r="I468" s="53"/>
      <c r="AL468" s="53"/>
      <c r="AM468" s="53"/>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U468" s="53"/>
    </row>
    <row r="469" spans="2:115" ht="15.75">
      <c r="B469" s="53" t="str">
        <f t="shared" ref="B469:B477" si="317">B458</f>
        <v>Homes passed</v>
      </c>
      <c r="C469" s="53"/>
      <c r="D469" s="53"/>
      <c r="E469" s="53"/>
      <c r="F469" s="53"/>
      <c r="G469" s="53"/>
      <c r="H469" s="53"/>
      <c r="I469" s="53"/>
      <c r="J469" s="53"/>
      <c r="K469" s="53"/>
      <c r="L469" s="53"/>
      <c r="M469" s="53"/>
      <c r="N469" s="53">
        <v>585.1</v>
      </c>
      <c r="O469" s="53">
        <v>586.20000000000005</v>
      </c>
      <c r="P469" s="53">
        <v>592.4</v>
      </c>
      <c r="Q469" s="53">
        <v>599.4</v>
      </c>
      <c r="R469" s="53">
        <v>603.4</v>
      </c>
      <c r="S469" s="53">
        <v>604.9</v>
      </c>
      <c r="T469" s="53">
        <v>612</v>
      </c>
      <c r="U469" s="53">
        <v>627.29999999999995</v>
      </c>
      <c r="V469" s="53">
        <v>633</v>
      </c>
      <c r="W469" s="53">
        <v>639.6</v>
      </c>
      <c r="X469" s="53">
        <v>647.4</v>
      </c>
      <c r="Y469" s="53">
        <v>657.6</v>
      </c>
      <c r="Z469" s="53">
        <v>663.1</v>
      </c>
      <c r="AA469" s="53">
        <v>673.3</v>
      </c>
      <c r="AB469" s="53">
        <v>681.1</v>
      </c>
      <c r="AC469" s="53">
        <v>691.7</v>
      </c>
      <c r="AD469" s="53">
        <v>700.3</v>
      </c>
      <c r="AE469" s="53">
        <v>722</v>
      </c>
      <c r="AF469" s="53">
        <v>733.6</v>
      </c>
      <c r="AG469" s="53">
        <v>741.9</v>
      </c>
      <c r="AH469" s="53">
        <v>749.5</v>
      </c>
      <c r="AL469" s="53"/>
      <c r="AM469" s="53"/>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U469" s="53"/>
    </row>
    <row r="470" spans="2:115" ht="15.75">
      <c r="B470" s="53" t="str">
        <f t="shared" si="317"/>
        <v>2-way homes passed</v>
      </c>
      <c r="C470" s="53"/>
      <c r="D470" s="53"/>
      <c r="E470" s="53"/>
      <c r="F470" s="53"/>
      <c r="G470" s="53"/>
      <c r="H470" s="53"/>
      <c r="I470" s="53"/>
      <c r="J470" s="53"/>
      <c r="K470" s="53"/>
      <c r="L470" s="53"/>
      <c r="M470" s="53"/>
      <c r="N470" s="53">
        <v>579.20000000000005</v>
      </c>
      <c r="O470" s="53">
        <v>580.29999999999995</v>
      </c>
      <c r="P470" s="53">
        <v>586.5</v>
      </c>
      <c r="Q470" s="53">
        <v>593.5</v>
      </c>
      <c r="R470" s="53">
        <v>597.5</v>
      </c>
      <c r="S470" s="53">
        <v>599</v>
      </c>
      <c r="T470" s="53">
        <v>606.1</v>
      </c>
      <c r="U470" s="53">
        <v>621.4</v>
      </c>
      <c r="V470" s="53">
        <v>627.1</v>
      </c>
      <c r="W470" s="53">
        <v>633.70000000000005</v>
      </c>
      <c r="X470" s="53">
        <v>641.5</v>
      </c>
      <c r="Y470" s="53">
        <v>651.70000000000005</v>
      </c>
      <c r="Z470" s="53">
        <v>657.2</v>
      </c>
      <c r="AA470" s="53">
        <v>667.4</v>
      </c>
      <c r="AB470" s="53">
        <v>675.2</v>
      </c>
      <c r="AC470" s="53">
        <v>685.8</v>
      </c>
      <c r="AD470" s="53">
        <v>694.4</v>
      </c>
      <c r="AE470" s="53">
        <v>716.2</v>
      </c>
      <c r="AF470" s="53">
        <v>727.7</v>
      </c>
      <c r="AG470" s="53">
        <v>736</v>
      </c>
      <c r="AH470" s="53">
        <v>749.5</v>
      </c>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U470" s="53"/>
    </row>
    <row r="471" spans="2:115" ht="15.75">
      <c r="B471" s="53" t="str">
        <f t="shared" si="317"/>
        <v>Customer relationships</v>
      </c>
      <c r="C471" s="53"/>
      <c r="D471" s="53"/>
      <c r="E471" s="53"/>
      <c r="F471" s="53"/>
      <c r="G471" s="53"/>
      <c r="H471" s="53"/>
      <c r="I471" s="53"/>
      <c r="J471" s="53"/>
      <c r="K471" s="53"/>
      <c r="L471" s="53"/>
      <c r="M471" s="53"/>
      <c r="N471" s="53">
        <v>232.7</v>
      </c>
      <c r="O471" s="53">
        <v>240.5</v>
      </c>
      <c r="P471" s="53">
        <v>245.2</v>
      </c>
      <c r="Q471" s="53">
        <v>250.7</v>
      </c>
      <c r="R471" s="53">
        <v>256.5</v>
      </c>
      <c r="S471" s="53">
        <v>259</v>
      </c>
      <c r="T471" s="53">
        <v>263.7</v>
      </c>
      <c r="U471" s="53">
        <v>265.7</v>
      </c>
      <c r="V471" s="53">
        <v>268.3</v>
      </c>
      <c r="W471" s="53">
        <v>271.3</v>
      </c>
      <c r="X471" s="53">
        <v>275.60000000000002</v>
      </c>
      <c r="Y471" s="53">
        <v>285</v>
      </c>
      <c r="Z471" s="53">
        <v>283.2</v>
      </c>
      <c r="AA471" s="53">
        <v>289.89999999999998</v>
      </c>
      <c r="AB471" s="53">
        <v>297.3</v>
      </c>
      <c r="AC471" s="621">
        <v>297</v>
      </c>
      <c r="AD471" s="53">
        <v>299.2</v>
      </c>
      <c r="AE471" s="53">
        <v>292.89999999999998</v>
      </c>
      <c r="AF471" s="53">
        <v>280.10000000000002</v>
      </c>
      <c r="AG471" s="53">
        <v>278.89999999999998</v>
      </c>
      <c r="AH471" s="53">
        <v>277.5</v>
      </c>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U471" s="53"/>
    </row>
    <row r="472" spans="2:115" ht="15.75">
      <c r="B472" s="53" t="str">
        <f t="shared" si="317"/>
        <v>Fixed RGUs</v>
      </c>
      <c r="C472" s="53"/>
      <c r="D472" s="53"/>
      <c r="E472" s="53"/>
      <c r="F472" s="53"/>
      <c r="G472" s="53"/>
      <c r="H472" s="53"/>
      <c r="I472" s="53"/>
      <c r="J472" s="53"/>
      <c r="K472" s="53"/>
      <c r="L472" s="53"/>
      <c r="M472" s="53"/>
      <c r="N472" s="53">
        <f t="shared" ref="N472:W472" si="318">SUM(N474:N476)</f>
        <v>381.29999999999995</v>
      </c>
      <c r="O472" s="53">
        <f t="shared" si="318"/>
        <v>394.3</v>
      </c>
      <c r="P472" s="53">
        <f t="shared" si="318"/>
        <v>403.09999999999997</v>
      </c>
      <c r="Q472" s="53">
        <f t="shared" si="318"/>
        <v>414.09999999999997</v>
      </c>
      <c r="R472" s="53">
        <f t="shared" si="318"/>
        <v>425</v>
      </c>
      <c r="S472" s="53">
        <f t="shared" si="318"/>
        <v>431.6</v>
      </c>
      <c r="T472" s="53">
        <f t="shared" si="318"/>
        <v>438</v>
      </c>
      <c r="U472" s="53">
        <f t="shared" si="318"/>
        <v>440.79999999999995</v>
      </c>
      <c r="V472" s="53">
        <f t="shared" si="318"/>
        <v>443.20000000000005</v>
      </c>
      <c r="W472" s="53">
        <f t="shared" si="318"/>
        <v>450.4</v>
      </c>
      <c r="X472" s="53">
        <f t="shared" ref="X472:AC472" si="319">SUM(X474:X476)</f>
        <v>461.3</v>
      </c>
      <c r="Y472" s="53">
        <f t="shared" si="319"/>
        <v>475.40000000000003</v>
      </c>
      <c r="Z472" s="53">
        <f t="shared" si="319"/>
        <v>476.70000000000005</v>
      </c>
      <c r="AA472" s="53">
        <f t="shared" si="319"/>
        <v>492.4</v>
      </c>
      <c r="AB472" s="53">
        <f t="shared" si="319"/>
        <v>512.9</v>
      </c>
      <c r="AC472" s="53">
        <f t="shared" si="319"/>
        <v>522.5</v>
      </c>
      <c r="AD472" s="53">
        <f t="shared" ref="AD472" si="320">SUM(AD474:AD476)</f>
        <v>528.4</v>
      </c>
      <c r="AE472" s="53">
        <f t="shared" ref="AE472:AF472" si="321">SUM(AE474:AE476)</f>
        <v>521.80000000000007</v>
      </c>
      <c r="AF472" s="53">
        <f t="shared" si="321"/>
        <v>509.70000000000005</v>
      </c>
      <c r="AG472" s="53">
        <f t="shared" ref="AG472:AI472" si="322">SUM(AG474:AG476)</f>
        <v>516.19999999999993</v>
      </c>
      <c r="AH472" s="53">
        <f t="shared" si="322"/>
        <v>520.9</v>
      </c>
      <c r="AI472" s="53">
        <f t="shared" si="322"/>
        <v>0</v>
      </c>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U472" s="53"/>
    </row>
    <row r="473" spans="2:115" ht="15.75">
      <c r="B473" s="53" t="str">
        <f t="shared" si="317"/>
        <v>RGUs/sub</v>
      </c>
      <c r="C473" s="53"/>
      <c r="D473" s="685"/>
      <c r="E473" s="685"/>
      <c r="F473" s="685"/>
      <c r="G473" s="685"/>
      <c r="H473" s="685"/>
      <c r="I473" s="685"/>
      <c r="J473" s="685"/>
      <c r="K473" s="685"/>
      <c r="L473" s="685"/>
      <c r="M473" s="685"/>
      <c r="N473" s="685">
        <f t="shared" ref="N473:W473" si="323">N472/N471</f>
        <v>1.63859045981951</v>
      </c>
      <c r="O473" s="685">
        <f t="shared" si="323"/>
        <v>1.6395010395010396</v>
      </c>
      <c r="P473" s="685">
        <f t="shared" si="323"/>
        <v>1.6439641109298531</v>
      </c>
      <c r="Q473" s="685">
        <f t="shared" si="323"/>
        <v>1.6517750299162344</v>
      </c>
      <c r="R473" s="685">
        <f t="shared" si="323"/>
        <v>1.6569200779727096</v>
      </c>
      <c r="S473" s="685">
        <f t="shared" si="323"/>
        <v>1.6664092664092665</v>
      </c>
      <c r="T473" s="685">
        <f t="shared" si="323"/>
        <v>1.6609783845278727</v>
      </c>
      <c r="U473" s="685">
        <f t="shared" si="323"/>
        <v>1.6590139254798644</v>
      </c>
      <c r="V473" s="685">
        <f t="shared" si="323"/>
        <v>1.6518822213939621</v>
      </c>
      <c r="W473" s="685">
        <f t="shared" si="323"/>
        <v>1.6601548101732397</v>
      </c>
      <c r="X473" s="685">
        <f t="shared" ref="X473:AC473" si="324">X472/X471</f>
        <v>1.6738026124818577</v>
      </c>
      <c r="Y473" s="685">
        <f t="shared" si="324"/>
        <v>1.6680701754385967</v>
      </c>
      <c r="Z473" s="685">
        <f t="shared" si="324"/>
        <v>1.683262711864407</v>
      </c>
      <c r="AA473" s="685">
        <f t="shared" si="324"/>
        <v>1.6985167299068644</v>
      </c>
      <c r="AB473" s="685">
        <f t="shared" si="324"/>
        <v>1.7251934073326605</v>
      </c>
      <c r="AC473" s="685">
        <f t="shared" si="324"/>
        <v>1.7592592592592593</v>
      </c>
      <c r="AD473" s="685">
        <f t="shared" ref="AD473" si="325">AD472/AD471</f>
        <v>1.7660427807486632</v>
      </c>
      <c r="AE473" s="685">
        <f t="shared" ref="AE473:AF473" si="326">AE472/AE471</f>
        <v>1.7814953909184026</v>
      </c>
      <c r="AF473" s="685">
        <f t="shared" si="326"/>
        <v>1.8197072474116387</v>
      </c>
      <c r="AG473" s="685">
        <f t="shared" ref="AG473:AI473" si="327">AG472/AG471</f>
        <v>1.8508425959125134</v>
      </c>
      <c r="AH473" s="685">
        <f t="shared" si="327"/>
        <v>1.877117117117117</v>
      </c>
      <c r="AI473" s="685" t="e">
        <f t="shared" si="327"/>
        <v>#DIV/0!</v>
      </c>
      <c r="AL473" s="53"/>
      <c r="AM473" s="53"/>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U473" s="53"/>
    </row>
    <row r="474" spans="2:115" ht="15.75">
      <c r="B474" s="53" t="str">
        <f t="shared" si="317"/>
        <v>Video</v>
      </c>
      <c r="C474" s="53"/>
      <c r="D474" s="53"/>
      <c r="E474" s="53"/>
      <c r="F474" s="53"/>
      <c r="G474" s="53"/>
      <c r="H474" s="53"/>
      <c r="I474" s="53"/>
      <c r="J474" s="53"/>
      <c r="K474" s="53"/>
      <c r="L474" s="53"/>
      <c r="M474" s="53"/>
      <c r="N474" s="53">
        <v>195.1</v>
      </c>
      <c r="O474" s="621">
        <v>199</v>
      </c>
      <c r="P474" s="53">
        <v>201.6</v>
      </c>
      <c r="Q474" s="53">
        <v>204.6</v>
      </c>
      <c r="R474" s="53">
        <v>207.3</v>
      </c>
      <c r="S474" s="53">
        <v>207.4</v>
      </c>
      <c r="T474" s="53">
        <v>209.8</v>
      </c>
      <c r="U474" s="53">
        <v>207.8</v>
      </c>
      <c r="V474" s="53">
        <v>206.9</v>
      </c>
      <c r="W474" s="53">
        <v>206.5</v>
      </c>
      <c r="X474" s="53">
        <v>207.5</v>
      </c>
      <c r="Y474" s="53">
        <v>209.1</v>
      </c>
      <c r="Z474" s="53">
        <v>200.8</v>
      </c>
      <c r="AA474" s="53">
        <v>202.6</v>
      </c>
      <c r="AB474" s="53">
        <v>203.9</v>
      </c>
      <c r="AC474" s="53">
        <v>204.8</v>
      </c>
      <c r="AD474" s="53">
        <v>204.8</v>
      </c>
      <c r="AE474" s="621">
        <v>199</v>
      </c>
      <c r="AF474" s="53">
        <v>184.9</v>
      </c>
      <c r="AG474" s="53">
        <v>183.6</v>
      </c>
      <c r="AH474" s="53">
        <v>183.1</v>
      </c>
      <c r="AL474" s="53"/>
      <c r="AM474" s="53"/>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U474" s="53"/>
    </row>
    <row r="475" spans="2:115" ht="15.75">
      <c r="B475" s="53" t="str">
        <f t="shared" si="317"/>
        <v>BB</v>
      </c>
      <c r="C475" s="53"/>
      <c r="D475" s="53"/>
      <c r="E475" s="53"/>
      <c r="F475" s="53"/>
      <c r="G475" s="53"/>
      <c r="H475" s="53"/>
      <c r="I475" s="53"/>
      <c r="J475" s="53"/>
      <c r="K475" s="53"/>
      <c r="L475" s="53"/>
      <c r="M475" s="53"/>
      <c r="N475" s="53">
        <v>165.2</v>
      </c>
      <c r="O475" s="53">
        <v>174.3</v>
      </c>
      <c r="P475" s="53">
        <v>180.6</v>
      </c>
      <c r="Q475" s="53">
        <v>187.2</v>
      </c>
      <c r="R475" s="53">
        <v>194.3</v>
      </c>
      <c r="S475" s="53">
        <v>200.8</v>
      </c>
      <c r="T475" s="53">
        <v>205.7</v>
      </c>
      <c r="U475" s="53">
        <v>211.1</v>
      </c>
      <c r="V475" s="53">
        <v>214.8</v>
      </c>
      <c r="W475" s="53">
        <v>220.7</v>
      </c>
      <c r="X475" s="53">
        <v>227.3</v>
      </c>
      <c r="Y475" s="53">
        <v>237.5</v>
      </c>
      <c r="Z475" s="53">
        <v>243.3</v>
      </c>
      <c r="AA475" s="53">
        <v>251.8</v>
      </c>
      <c r="AB475" s="53">
        <v>263.10000000000002</v>
      </c>
      <c r="AC475" s="53">
        <v>267</v>
      </c>
      <c r="AD475" s="53">
        <v>268.2</v>
      </c>
      <c r="AE475" s="53">
        <v>264.10000000000002</v>
      </c>
      <c r="AF475" s="53">
        <v>260.7</v>
      </c>
      <c r="AG475" s="53">
        <v>262.2</v>
      </c>
      <c r="AH475" s="53">
        <v>262.3</v>
      </c>
      <c r="AL475" s="53"/>
      <c r="AM475" s="53"/>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U475" s="53"/>
    </row>
    <row r="476" spans="2:115" ht="15.75">
      <c r="B476" s="53" t="str">
        <f t="shared" si="317"/>
        <v>Telephony</v>
      </c>
      <c r="C476" s="53"/>
      <c r="D476" s="53"/>
      <c r="E476" s="53"/>
      <c r="F476" s="53"/>
      <c r="G476" s="53"/>
      <c r="H476" s="53"/>
      <c r="I476" s="53"/>
      <c r="J476" s="53"/>
      <c r="K476" s="53"/>
      <c r="L476" s="53"/>
      <c r="M476" s="53"/>
      <c r="N476" s="53">
        <v>21</v>
      </c>
      <c r="O476" s="53">
        <v>21</v>
      </c>
      <c r="P476" s="53">
        <v>20.9</v>
      </c>
      <c r="Q476" s="53">
        <v>22.3</v>
      </c>
      <c r="R476" s="53">
        <v>23.4</v>
      </c>
      <c r="S476" s="53">
        <v>23.4</v>
      </c>
      <c r="T476" s="53">
        <v>22.5</v>
      </c>
      <c r="U476" s="53">
        <v>21.9</v>
      </c>
      <c r="V476" s="53">
        <v>21.5</v>
      </c>
      <c r="W476" s="53">
        <v>23.2</v>
      </c>
      <c r="X476" s="53">
        <v>26.5</v>
      </c>
      <c r="Y476" s="53">
        <v>28.8</v>
      </c>
      <c r="Z476" s="53">
        <v>32.6</v>
      </c>
      <c r="AA476" s="53">
        <v>38</v>
      </c>
      <c r="AB476" s="53">
        <v>45.9</v>
      </c>
      <c r="AC476" s="53">
        <v>50.7</v>
      </c>
      <c r="AD476" s="53">
        <v>55.4</v>
      </c>
      <c r="AE476" s="53">
        <v>58.7</v>
      </c>
      <c r="AF476" s="53">
        <v>64.099999999999994</v>
      </c>
      <c r="AG476" s="53">
        <v>70.400000000000006</v>
      </c>
      <c r="AH476" s="53">
        <v>75.5</v>
      </c>
      <c r="AL476" s="53"/>
      <c r="AM476" s="53"/>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U476" s="53"/>
    </row>
    <row r="477" spans="2:115" ht="15.75">
      <c r="B477" s="53" t="str">
        <f t="shared" si="317"/>
        <v>Mobile</v>
      </c>
      <c r="C477" s="53"/>
      <c r="D477" s="53"/>
      <c r="E477" s="53"/>
      <c r="F477" s="53"/>
      <c r="G477" s="53"/>
      <c r="H477" s="53"/>
      <c r="I477" s="53"/>
      <c r="J477" s="53"/>
      <c r="K477" s="53"/>
      <c r="L477" s="53"/>
      <c r="M477" s="53"/>
      <c r="N477" s="53">
        <v>0</v>
      </c>
      <c r="O477" s="53">
        <v>0</v>
      </c>
      <c r="P477" s="53">
        <v>0</v>
      </c>
      <c r="Q477" s="53">
        <v>0</v>
      </c>
      <c r="R477" s="53">
        <v>0</v>
      </c>
      <c r="S477" s="53">
        <v>0</v>
      </c>
      <c r="T477" s="53">
        <v>0</v>
      </c>
      <c r="U477" s="53">
        <v>0</v>
      </c>
      <c r="V477" s="53">
        <v>0</v>
      </c>
      <c r="W477" s="53">
        <v>0</v>
      </c>
      <c r="X477" s="53">
        <v>0</v>
      </c>
      <c r="Y477" s="53">
        <v>2632.2</v>
      </c>
      <c r="Z477" s="53">
        <v>2733.1</v>
      </c>
      <c r="AA477" s="53">
        <v>2833.4</v>
      </c>
      <c r="AB477" s="53">
        <v>2870.1</v>
      </c>
      <c r="AC477" s="53">
        <v>2922.2</v>
      </c>
      <c r="AD477" s="53">
        <v>2979.6</v>
      </c>
      <c r="AE477" s="53">
        <v>3022</v>
      </c>
      <c r="AF477" s="53">
        <v>3053.2</v>
      </c>
      <c r="AG477" s="53">
        <v>3098.3</v>
      </c>
      <c r="AH477" s="53">
        <v>3171.7</v>
      </c>
      <c r="AL477" s="53"/>
      <c r="AM477" s="53"/>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U477" s="53"/>
    </row>
    <row r="478" spans="2:115" ht="15.75">
      <c r="B478" s="53"/>
      <c r="C478" s="53"/>
      <c r="D478" s="53"/>
      <c r="E478" s="53"/>
      <c r="F478" s="53"/>
      <c r="G478" s="53"/>
      <c r="H478" s="53"/>
      <c r="I478" s="53"/>
      <c r="J478" s="53"/>
      <c r="K478" s="53"/>
      <c r="L478" s="53"/>
      <c r="M478" s="53"/>
      <c r="N478" s="53"/>
      <c r="O478" s="53"/>
      <c r="P478" s="53"/>
      <c r="Q478" s="53"/>
      <c r="R478" s="53"/>
      <c r="AL478" s="53"/>
      <c r="AM478" s="53"/>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U478" s="53"/>
    </row>
    <row r="479" spans="2:115" ht="15.75">
      <c r="B479" s="78" t="s">
        <v>4</v>
      </c>
      <c r="C479" s="53"/>
      <c r="D479" s="53"/>
      <c r="E479" s="53"/>
      <c r="F479" s="53"/>
      <c r="G479" s="53"/>
      <c r="H479" s="53"/>
      <c r="I479" s="53"/>
      <c r="AL479" s="78" t="str">
        <f>B479</f>
        <v>Other</v>
      </c>
      <c r="AM479" s="53"/>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U479" s="53"/>
    </row>
    <row r="480" spans="2:115" ht="15.75">
      <c r="B480" s="53" t="str">
        <f>B458</f>
        <v>Homes passed</v>
      </c>
      <c r="C480" s="53"/>
      <c r="D480" s="53">
        <v>354.3</v>
      </c>
      <c r="E480" s="53">
        <v>354.3</v>
      </c>
      <c r="F480" s="53">
        <v>354.3</v>
      </c>
      <c r="G480" s="53">
        <v>356.3</v>
      </c>
      <c r="H480" s="53">
        <v>356.3</v>
      </c>
      <c r="I480" s="53">
        <v>359</v>
      </c>
      <c r="J480" s="53">
        <v>362.4</v>
      </c>
      <c r="K480" s="53">
        <v>362.4</v>
      </c>
      <c r="L480" s="53">
        <v>362.8</v>
      </c>
      <c r="M480" s="53">
        <v>362.8</v>
      </c>
      <c r="N480" s="53">
        <v>345.2</v>
      </c>
      <c r="O480" s="53">
        <v>345.4</v>
      </c>
      <c r="P480" s="53">
        <v>354.9</v>
      </c>
      <c r="Q480" s="621">
        <v>355</v>
      </c>
      <c r="R480" s="53">
        <v>331.7</v>
      </c>
      <c r="S480" s="53">
        <v>331.7</v>
      </c>
      <c r="T480" s="53">
        <v>331.7</v>
      </c>
      <c r="U480" s="53">
        <v>331.7</v>
      </c>
      <c r="V480" s="53">
        <v>331.7</v>
      </c>
      <c r="W480" s="53">
        <v>333.6</v>
      </c>
      <c r="X480" s="53">
        <v>334</v>
      </c>
      <c r="Y480" s="53">
        <v>334</v>
      </c>
      <c r="Z480" s="53">
        <v>336</v>
      </c>
      <c r="AA480" s="53">
        <v>341.1</v>
      </c>
      <c r="AB480" s="53">
        <v>350.9</v>
      </c>
      <c r="AC480" s="53">
        <v>330</v>
      </c>
      <c r="AD480" s="53">
        <v>336</v>
      </c>
      <c r="AE480" s="53">
        <v>342.8</v>
      </c>
      <c r="AF480" s="53">
        <v>350.5</v>
      </c>
      <c r="AG480" s="621">
        <v>358</v>
      </c>
      <c r="AH480" s="53">
        <v>388.7</v>
      </c>
      <c r="AL480" s="53" t="str">
        <f>B480</f>
        <v>Homes passed</v>
      </c>
      <c r="AM480" s="53"/>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N480" s="53">
        <f>H480-G480</f>
        <v>0</v>
      </c>
      <c r="BO480" s="53"/>
      <c r="BP480" s="53"/>
      <c r="BQ480" s="53"/>
      <c r="BS480" s="53"/>
      <c r="BT480" s="53"/>
      <c r="BU480" s="53">
        <f>I480-H480</f>
        <v>2.6999999999999886</v>
      </c>
      <c r="BW480" s="53">
        <f t="shared" ref="BW480:BX483" si="328">J480-I480</f>
        <v>3.3999999999999773</v>
      </c>
      <c r="BX480" s="53">
        <f t="shared" si="328"/>
        <v>0</v>
      </c>
      <c r="BZ480" s="53">
        <f>L480-K480</f>
        <v>0.40000000000003411</v>
      </c>
      <c r="CA480" s="53">
        <f>BZ480</f>
        <v>0.40000000000003411</v>
      </c>
      <c r="CB480" s="53">
        <f t="shared" ref="CB480:CC483" si="329">M480-L480</f>
        <v>0</v>
      </c>
      <c r="CC480" s="53">
        <f t="shared" si="329"/>
        <v>-17.600000000000023</v>
      </c>
      <c r="CD480" s="53">
        <f>CC480+17.5</f>
        <v>-0.10000000000002274</v>
      </c>
      <c r="CE480" s="53">
        <f>O480-N480</f>
        <v>0.19999999999998863</v>
      </c>
      <c r="CG480" s="621">
        <f>P480-O480</f>
        <v>9.5</v>
      </c>
      <c r="CH480" s="621">
        <f>CG480-9.5</f>
        <v>0</v>
      </c>
      <c r="CI480" s="621"/>
      <c r="CJ480" s="621">
        <f>Q480-P480</f>
        <v>0.10000000000002274</v>
      </c>
      <c r="CL480" s="621">
        <f>R480-Q480</f>
        <v>-23.300000000000011</v>
      </c>
      <c r="CM480" s="621">
        <f>CL480+23.3</f>
        <v>0</v>
      </c>
      <c r="CN480" s="621">
        <f t="shared" ref="CN480:CO483" si="330">S480-R480</f>
        <v>0</v>
      </c>
      <c r="CO480" s="621">
        <f t="shared" si="330"/>
        <v>0</v>
      </c>
      <c r="CQ480" s="621">
        <f>U480-T480</f>
        <v>0</v>
      </c>
      <c r="CS480" s="621">
        <f t="shared" ref="CS480:CZ483" si="331">V480-U480</f>
        <v>0</v>
      </c>
      <c r="CT480" s="621">
        <f t="shared" si="331"/>
        <v>1.9000000000000341</v>
      </c>
      <c r="CU480" s="621">
        <f t="shared" si="331"/>
        <v>0.39999999999997726</v>
      </c>
      <c r="CV480" s="621">
        <f t="shared" si="331"/>
        <v>0</v>
      </c>
      <c r="CW480" s="621">
        <f t="shared" si="331"/>
        <v>2</v>
      </c>
      <c r="CX480" s="621">
        <f t="shared" si="331"/>
        <v>5.1000000000000227</v>
      </c>
      <c r="CY480" s="621">
        <f t="shared" si="331"/>
        <v>9.7999999999999545</v>
      </c>
      <c r="CZ480" s="621">
        <f t="shared" si="331"/>
        <v>-20.899999999999977</v>
      </c>
      <c r="DA480" s="62">
        <f>CZ480+21</f>
        <v>0.10000000000002274</v>
      </c>
      <c r="DB480" s="621">
        <f>AD480-AC480</f>
        <v>6</v>
      </c>
      <c r="DC480" s="62">
        <f t="shared" ref="DC480" si="332">DB480</f>
        <v>6</v>
      </c>
      <c r="DD480" s="621">
        <f>AE480-AD480</f>
        <v>6.8000000000000114</v>
      </c>
      <c r="DE480" s="62">
        <f>DD480-6.8</f>
        <v>1.1546319456101628E-14</v>
      </c>
      <c r="DF480" s="621">
        <f>AF480-AE480</f>
        <v>7.6999999999999886</v>
      </c>
      <c r="DG480" s="702">
        <f>DF480-7.8</f>
        <v>-0.10000000000001119</v>
      </c>
      <c r="DH480" s="621">
        <f>AG480-AF480</f>
        <v>7.5</v>
      </c>
      <c r="DI480" s="62">
        <f>DH480</f>
        <v>7.5</v>
      </c>
      <c r="DJ480" s="621">
        <f t="shared" ref="DJ480:DK482" si="333">AH480-AG480</f>
        <v>30.699999999999989</v>
      </c>
      <c r="DK480" s="621">
        <f t="shared" si="333"/>
        <v>-388.7</v>
      </c>
    </row>
    <row r="481" spans="2:115" ht="15.75">
      <c r="B481" s="53" t="str">
        <f>B459</f>
        <v>2-way homes passed</v>
      </c>
      <c r="C481" s="53"/>
      <c r="D481" s="53">
        <v>334.4</v>
      </c>
      <c r="E481" s="53">
        <v>334.5</v>
      </c>
      <c r="F481" s="53">
        <v>334.5</v>
      </c>
      <c r="G481" s="53">
        <v>336.5</v>
      </c>
      <c r="H481" s="53">
        <v>336.5</v>
      </c>
      <c r="I481" s="53">
        <v>339.2</v>
      </c>
      <c r="J481" s="53">
        <v>342.6</v>
      </c>
      <c r="K481" s="53">
        <v>342.6</v>
      </c>
      <c r="L481" s="53">
        <v>343</v>
      </c>
      <c r="M481" s="53">
        <v>343</v>
      </c>
      <c r="N481" s="53">
        <v>325.39999999999998</v>
      </c>
      <c r="O481" s="53">
        <v>325.60000000000002</v>
      </c>
      <c r="P481" s="53">
        <v>335.1</v>
      </c>
      <c r="Q481" s="53">
        <v>335.2</v>
      </c>
      <c r="R481" s="53">
        <v>311.89999999999998</v>
      </c>
      <c r="S481" s="53">
        <v>311.89999999999998</v>
      </c>
      <c r="T481" s="53">
        <v>311.89999999999998</v>
      </c>
      <c r="U481" s="53">
        <v>311.89999999999998</v>
      </c>
      <c r="V481" s="53">
        <v>311.89999999999998</v>
      </c>
      <c r="W481" s="53">
        <v>313.8</v>
      </c>
      <c r="X481" s="53">
        <v>334</v>
      </c>
      <c r="Y481" s="53">
        <v>314.2</v>
      </c>
      <c r="Z481" s="53">
        <v>316.2</v>
      </c>
      <c r="AA481" s="53">
        <v>321.3</v>
      </c>
      <c r="AB481" s="53">
        <v>331.1</v>
      </c>
      <c r="AC481" s="53">
        <v>310.2</v>
      </c>
      <c r="AD481" s="53">
        <v>316.10000000000002</v>
      </c>
      <c r="AE481" s="53">
        <v>322.89999999999998</v>
      </c>
      <c r="AF481" s="53">
        <v>330.6</v>
      </c>
      <c r="AG481" s="53">
        <v>338.2</v>
      </c>
      <c r="AH481" s="53">
        <v>388.7</v>
      </c>
      <c r="AL481" s="53" t="str">
        <f>B481</f>
        <v>2-way homes passed</v>
      </c>
      <c r="AM481" s="53"/>
      <c r="AN481" s="53"/>
      <c r="AO481" s="53">
        <f>E481-D481</f>
        <v>0.10000000000002274</v>
      </c>
      <c r="AP481" s="53"/>
      <c r="AQ481" s="53">
        <f>F481-E481</f>
        <v>0</v>
      </c>
      <c r="AR481" s="53"/>
      <c r="AS481" s="53"/>
      <c r="AT481" s="53"/>
      <c r="AU481" s="53"/>
      <c r="AV481" s="53"/>
      <c r="AW481" s="53"/>
      <c r="AX481" s="53"/>
      <c r="AY481" s="53"/>
      <c r="AZ481" s="53"/>
      <c r="BA481" s="53"/>
      <c r="BB481" s="53"/>
      <c r="BC481" s="53"/>
      <c r="BD481" s="53"/>
      <c r="BE481" s="53"/>
      <c r="BF481" s="53"/>
      <c r="BG481" s="53"/>
      <c r="BH481" s="53"/>
      <c r="BI481" s="53"/>
      <c r="BJ481" s="53"/>
      <c r="BK481" s="53"/>
      <c r="BL481" s="53"/>
      <c r="BN481" s="53">
        <f>H481-G481</f>
        <v>0</v>
      </c>
      <c r="BO481" s="53"/>
      <c r="BP481" s="53"/>
      <c r="BQ481" s="53"/>
      <c r="BS481" s="53"/>
      <c r="BT481" s="53"/>
      <c r="BU481" s="53">
        <f>I481-H481</f>
        <v>2.6999999999999886</v>
      </c>
      <c r="BW481" s="53">
        <f t="shared" si="328"/>
        <v>3.4000000000000341</v>
      </c>
      <c r="BX481" s="53">
        <f t="shared" si="328"/>
        <v>0</v>
      </c>
      <c r="BZ481" s="53">
        <f>L481-K481</f>
        <v>0.39999999999997726</v>
      </c>
      <c r="CA481" s="53">
        <f>BZ481</f>
        <v>0.39999999999997726</v>
      </c>
      <c r="CB481" s="53">
        <f t="shared" si="329"/>
        <v>0</v>
      </c>
      <c r="CC481" s="53">
        <f t="shared" si="329"/>
        <v>-17.600000000000023</v>
      </c>
      <c r="CD481" s="53">
        <f>CC481+17.5</f>
        <v>-0.10000000000002274</v>
      </c>
      <c r="CE481" s="53">
        <f>O481-N481</f>
        <v>0.20000000000004547</v>
      </c>
      <c r="CG481" s="621">
        <f>P481-O481</f>
        <v>9.5</v>
      </c>
      <c r="CH481" s="621">
        <f>CG481-9.5</f>
        <v>0</v>
      </c>
      <c r="CI481" s="621"/>
      <c r="CJ481" s="621">
        <f>Q481-P481</f>
        <v>9.9999999999965894E-2</v>
      </c>
      <c r="CL481" s="621">
        <f>R481-Q481</f>
        <v>-23.300000000000011</v>
      </c>
      <c r="CM481" s="621">
        <f>CL481+23.3</f>
        <v>0</v>
      </c>
      <c r="CN481" s="621">
        <f t="shared" si="330"/>
        <v>0</v>
      </c>
      <c r="CO481" s="621">
        <f t="shared" si="330"/>
        <v>0</v>
      </c>
      <c r="CQ481" s="621">
        <f>U481-T481</f>
        <v>0</v>
      </c>
      <c r="CS481" s="621">
        <f t="shared" si="331"/>
        <v>0</v>
      </c>
      <c r="CT481" s="621">
        <f t="shared" si="331"/>
        <v>1.9000000000000341</v>
      </c>
      <c r="CU481" s="621">
        <f t="shared" si="331"/>
        <v>20.199999999999989</v>
      </c>
      <c r="CV481" s="621">
        <f t="shared" si="331"/>
        <v>-19.800000000000011</v>
      </c>
      <c r="CW481" s="621">
        <f t="shared" si="331"/>
        <v>2</v>
      </c>
      <c r="CX481" s="621">
        <f t="shared" si="331"/>
        <v>5.1000000000000227</v>
      </c>
      <c r="CY481" s="621">
        <f t="shared" si="331"/>
        <v>9.8000000000000114</v>
      </c>
      <c r="CZ481" s="621">
        <f t="shared" si="331"/>
        <v>-20.900000000000034</v>
      </c>
      <c r="DA481" s="62">
        <f>CZ481+21</f>
        <v>9.9999999999965894E-2</v>
      </c>
      <c r="DB481" s="621">
        <f>AD481-AC481</f>
        <v>5.9000000000000341</v>
      </c>
      <c r="DC481" s="62">
        <f t="shared" ref="DC481" si="334">DB481</f>
        <v>5.9000000000000341</v>
      </c>
      <c r="DD481" s="621">
        <f>AE481-AD481</f>
        <v>6.7999999999999545</v>
      </c>
      <c r="DE481" s="62">
        <f>DD481</f>
        <v>6.7999999999999545</v>
      </c>
      <c r="DF481" s="621">
        <f>AF481-AE481</f>
        <v>7.7000000000000455</v>
      </c>
      <c r="DG481" s="702">
        <f>DF481-7.8</f>
        <v>-9.9999999999954348E-2</v>
      </c>
      <c r="DH481" s="621">
        <f>AG481-AF481</f>
        <v>7.5999999999999659</v>
      </c>
      <c r="DI481" s="62">
        <f>DH481</f>
        <v>7.5999999999999659</v>
      </c>
      <c r="DJ481" s="621">
        <f t="shared" si="333"/>
        <v>50.5</v>
      </c>
      <c r="DK481" s="621">
        <f t="shared" si="333"/>
        <v>-388.7</v>
      </c>
    </row>
    <row r="482" spans="2:115" ht="15.75">
      <c r="B482" s="53" t="str">
        <f>B460</f>
        <v>Customer relationships</v>
      </c>
      <c r="C482" s="53"/>
      <c r="D482" s="53">
        <v>218.3</v>
      </c>
      <c r="E482" s="53">
        <v>212.5</v>
      </c>
      <c r="F482" s="53">
        <v>211.8</v>
      </c>
      <c r="G482" s="53">
        <v>215.6</v>
      </c>
      <c r="H482" s="53">
        <v>206.7</v>
      </c>
      <c r="I482" s="53">
        <v>206.9</v>
      </c>
      <c r="J482" s="53">
        <v>207.9</v>
      </c>
      <c r="K482" s="53">
        <v>207.1</v>
      </c>
      <c r="L482" s="53">
        <v>210.8</v>
      </c>
      <c r="M482" s="53">
        <v>211.3</v>
      </c>
      <c r="N482" s="53">
        <v>204.8</v>
      </c>
      <c r="O482" s="53">
        <v>205.1</v>
      </c>
      <c r="P482" s="53">
        <v>254.2</v>
      </c>
      <c r="Q482" s="53">
        <v>254.8</v>
      </c>
      <c r="R482" s="53">
        <v>241.4</v>
      </c>
      <c r="S482" s="53">
        <v>241.5</v>
      </c>
      <c r="T482" s="53">
        <v>238.1</v>
      </c>
      <c r="U482" s="53">
        <v>234.4</v>
      </c>
      <c r="V482" s="53">
        <v>233.9</v>
      </c>
      <c r="W482" s="53">
        <v>231.7</v>
      </c>
      <c r="X482" s="53">
        <v>229.1</v>
      </c>
      <c r="Y482" s="53">
        <v>222</v>
      </c>
      <c r="Z482" s="53">
        <v>222</v>
      </c>
      <c r="AA482" s="53">
        <v>216.4</v>
      </c>
      <c r="AB482" s="53">
        <v>213.8</v>
      </c>
      <c r="AC482" s="53">
        <v>212.4</v>
      </c>
      <c r="AD482" s="53">
        <v>215.1</v>
      </c>
      <c r="AE482" s="53">
        <v>215</v>
      </c>
      <c r="AF482" s="53">
        <v>216.7</v>
      </c>
      <c r="AG482" s="53">
        <v>216.5</v>
      </c>
      <c r="AH482" s="53">
        <v>217.5</v>
      </c>
      <c r="AL482" s="53" t="str">
        <f>B482</f>
        <v>Customer relationships</v>
      </c>
      <c r="AM482" s="53"/>
      <c r="AN482" s="53">
        <v>-2.2999999999999998</v>
      </c>
      <c r="AO482" s="53">
        <f>E482-D482</f>
        <v>-5.8000000000000114</v>
      </c>
      <c r="AP482" s="53">
        <f>AO482-AO482</f>
        <v>0</v>
      </c>
      <c r="AQ482" s="53">
        <f>F482-E482</f>
        <v>-0.69999999999998863</v>
      </c>
      <c r="AR482" s="53"/>
      <c r="AS482" s="53"/>
      <c r="AT482" s="53"/>
      <c r="AU482" s="53"/>
      <c r="AV482" s="53"/>
      <c r="AW482" s="53"/>
      <c r="AX482" s="53"/>
      <c r="AY482" s="53"/>
      <c r="AZ482" s="53"/>
      <c r="BA482" s="53"/>
      <c r="BB482" s="53"/>
      <c r="BC482" s="53"/>
      <c r="BD482" s="53"/>
      <c r="BE482" s="53"/>
      <c r="BF482" s="53"/>
      <c r="BG482" s="53"/>
      <c r="BH482" s="53"/>
      <c r="BI482" s="53"/>
      <c r="BJ482" s="53"/>
      <c r="BK482" s="53"/>
      <c r="BL482" s="53"/>
      <c r="BN482" s="53">
        <f>H482-G482</f>
        <v>-8.9000000000000057</v>
      </c>
      <c r="BO482" s="53"/>
      <c r="BP482" s="53"/>
      <c r="BQ482" s="53"/>
      <c r="BS482" s="53"/>
      <c r="BT482" s="53"/>
      <c r="BU482" s="53">
        <f>I482-H482</f>
        <v>0.20000000000001705</v>
      </c>
      <c r="BW482" s="53">
        <f t="shared" si="328"/>
        <v>1</v>
      </c>
      <c r="BX482" s="53">
        <f t="shared" si="328"/>
        <v>-0.80000000000001137</v>
      </c>
      <c r="BZ482" s="53">
        <f>L482-K482</f>
        <v>3.7000000000000171</v>
      </c>
      <c r="CA482" s="53">
        <f>BZ482-3.2</f>
        <v>0.50000000000001688</v>
      </c>
      <c r="CB482" s="53">
        <f t="shared" si="329"/>
        <v>0.5</v>
      </c>
      <c r="CC482" s="53">
        <f t="shared" si="329"/>
        <v>-6.5</v>
      </c>
      <c r="CD482" s="53">
        <f>CC482+6.6</f>
        <v>9.9999999999999645E-2</v>
      </c>
      <c r="CE482" s="53">
        <f>O482-N482</f>
        <v>0.29999999999998295</v>
      </c>
      <c r="CG482" s="621">
        <f>P482-O482</f>
        <v>49.099999999999994</v>
      </c>
      <c r="CH482" s="621">
        <f>CG482-47.1</f>
        <v>1.9999999999999929</v>
      </c>
      <c r="CI482" s="621"/>
      <c r="CJ482" s="621">
        <f>Q482-P482</f>
        <v>0.60000000000002274</v>
      </c>
      <c r="CL482" s="621">
        <f>R482-Q482</f>
        <v>-13.400000000000006</v>
      </c>
      <c r="CM482" s="621">
        <f>CL482+13.6</f>
        <v>0.19999999999999396</v>
      </c>
      <c r="CN482" s="621">
        <f t="shared" si="330"/>
        <v>9.9999999999994316E-2</v>
      </c>
      <c r="CO482" s="621">
        <f t="shared" si="330"/>
        <v>-3.4000000000000057</v>
      </c>
      <c r="CQ482" s="621">
        <f>U482-T482</f>
        <v>-3.6999999999999886</v>
      </c>
      <c r="CS482" s="621">
        <f t="shared" si="331"/>
        <v>-0.5</v>
      </c>
      <c r="CT482" s="621">
        <f t="shared" si="331"/>
        <v>-2.2000000000000171</v>
      </c>
      <c r="CU482" s="621">
        <f t="shared" si="331"/>
        <v>-2.5999999999999943</v>
      </c>
      <c r="CV482" s="621">
        <f t="shared" si="331"/>
        <v>-7.0999999999999943</v>
      </c>
      <c r="CW482" s="621">
        <f t="shared" si="331"/>
        <v>0</v>
      </c>
      <c r="CX482" s="621">
        <f t="shared" si="331"/>
        <v>-5.5999999999999943</v>
      </c>
      <c r="CY482" s="621">
        <f t="shared" si="331"/>
        <v>-2.5999999999999943</v>
      </c>
      <c r="CZ482" s="621">
        <f t="shared" si="331"/>
        <v>-1.4000000000000057</v>
      </c>
      <c r="DA482" s="62">
        <f>CZ482+1.1</f>
        <v>-0.3000000000000056</v>
      </c>
      <c r="DB482" s="621">
        <f>AD482-AC482</f>
        <v>2.6999999999999886</v>
      </c>
      <c r="DC482" s="62">
        <f t="shared" ref="DC482" si="335">DB482</f>
        <v>2.6999999999999886</v>
      </c>
      <c r="DD482" s="621">
        <f>AE482-AD482</f>
        <v>-9.9999999999994316E-2</v>
      </c>
      <c r="DE482" s="62">
        <f>DD482</f>
        <v>-9.9999999999994316E-2</v>
      </c>
      <c r="DF482" s="621">
        <f>AF482-AE482</f>
        <v>1.6999999999999886</v>
      </c>
      <c r="DG482" s="62">
        <f>DF482</f>
        <v>1.6999999999999886</v>
      </c>
      <c r="DH482" s="621">
        <f>AG482-AF482</f>
        <v>-0.19999999999998863</v>
      </c>
      <c r="DI482" s="62">
        <f>DH482</f>
        <v>-0.19999999999998863</v>
      </c>
      <c r="DJ482" s="621">
        <f t="shared" si="333"/>
        <v>1</v>
      </c>
      <c r="DK482" s="621">
        <f t="shared" si="333"/>
        <v>-217.5</v>
      </c>
    </row>
    <row r="483" spans="2:115" ht="15.75">
      <c r="B483" s="53" t="str">
        <f>B461</f>
        <v>Fixed RGUs</v>
      </c>
      <c r="C483" s="53"/>
      <c r="D483" s="53">
        <f t="shared" ref="D483:W483" si="336">SUM(D485:D487)</f>
        <v>326.89999999999998</v>
      </c>
      <c r="E483" s="53">
        <f t="shared" si="336"/>
        <v>318.2</v>
      </c>
      <c r="F483" s="53">
        <f t="shared" si="336"/>
        <v>317.39999999999998</v>
      </c>
      <c r="G483" s="53">
        <f t="shared" si="336"/>
        <v>319.70000000000005</v>
      </c>
      <c r="H483" s="53">
        <f t="shared" si="336"/>
        <v>309.20000000000005</v>
      </c>
      <c r="I483" s="53">
        <f t="shared" si="336"/>
        <v>309.7</v>
      </c>
      <c r="J483" s="53">
        <f t="shared" si="336"/>
        <v>310.39999999999998</v>
      </c>
      <c r="K483" s="53">
        <f t="shared" si="336"/>
        <v>310.09999999999997</v>
      </c>
      <c r="L483" s="53">
        <f t="shared" si="336"/>
        <v>315.2</v>
      </c>
      <c r="M483" s="53">
        <f t="shared" si="336"/>
        <v>312.89999999999998</v>
      </c>
      <c r="N483" s="53">
        <f t="shared" si="336"/>
        <v>303.60000000000002</v>
      </c>
      <c r="O483" s="53">
        <f t="shared" si="336"/>
        <v>304.89999999999998</v>
      </c>
      <c r="P483" s="53">
        <f t="shared" si="336"/>
        <v>391.4</v>
      </c>
      <c r="Q483" s="53">
        <f t="shared" si="336"/>
        <v>391.3</v>
      </c>
      <c r="R483" s="53">
        <f t="shared" si="336"/>
        <v>370.4</v>
      </c>
      <c r="S483" s="53">
        <f t="shared" si="336"/>
        <v>374.4</v>
      </c>
      <c r="T483" s="53">
        <f t="shared" si="336"/>
        <v>369.7</v>
      </c>
      <c r="U483" s="53">
        <f t="shared" si="336"/>
        <v>370.2</v>
      </c>
      <c r="V483" s="53">
        <f t="shared" si="336"/>
        <v>374.1</v>
      </c>
      <c r="W483" s="53">
        <f t="shared" si="336"/>
        <v>374.5</v>
      </c>
      <c r="X483" s="53">
        <f t="shared" ref="X483:AC483" si="337">SUM(X485:X487)</f>
        <v>374.70000000000005</v>
      </c>
      <c r="Y483" s="53">
        <f t="shared" si="337"/>
        <v>372.1</v>
      </c>
      <c r="Z483" s="53">
        <f t="shared" si="337"/>
        <v>374.09999999999997</v>
      </c>
      <c r="AA483" s="53">
        <f t="shared" si="337"/>
        <v>373.29999999999995</v>
      </c>
      <c r="AB483" s="53">
        <f t="shared" si="337"/>
        <v>372.9</v>
      </c>
      <c r="AC483" s="53">
        <f t="shared" si="337"/>
        <v>371.80000000000007</v>
      </c>
      <c r="AD483" s="53">
        <f t="shared" ref="AD483" si="338">SUM(AD485:AD487)</f>
        <v>376.6</v>
      </c>
      <c r="AE483" s="53">
        <f t="shared" ref="AE483:AF483" si="339">SUM(AE485:AE487)</f>
        <v>379.20000000000005</v>
      </c>
      <c r="AF483" s="53">
        <f t="shared" si="339"/>
        <v>378.7</v>
      </c>
      <c r="AG483" s="53">
        <f t="shared" ref="AG483:AI483" si="340">SUM(AG485:AG487)</f>
        <v>377.20000000000005</v>
      </c>
      <c r="AH483" s="53">
        <f t="shared" si="340"/>
        <v>377.9</v>
      </c>
      <c r="AI483" s="53">
        <f t="shared" si="340"/>
        <v>0</v>
      </c>
      <c r="AL483" s="53" t="str">
        <f>B483</f>
        <v>Fixed RGUs</v>
      </c>
      <c r="AM483" s="53"/>
      <c r="AN483" s="53" t="e">
        <f>#REF!</f>
        <v>#REF!</v>
      </c>
      <c r="AO483" s="53">
        <f>E483-D483</f>
        <v>-8.6999999999999886</v>
      </c>
      <c r="AP483" s="53">
        <f>SUM(AP485:AP487)</f>
        <v>-0.59999999999998899</v>
      </c>
      <c r="AQ483" s="53">
        <f>F483-E483</f>
        <v>-0.80000000000001137</v>
      </c>
      <c r="AR483" s="53"/>
      <c r="AS483" s="53"/>
      <c r="AT483" s="53"/>
      <c r="AU483" s="53"/>
      <c r="AV483" s="53"/>
      <c r="AW483" s="53"/>
      <c r="AX483" s="53"/>
      <c r="AY483" s="53"/>
      <c r="AZ483" s="53"/>
      <c r="BA483" s="53"/>
      <c r="BB483" s="53"/>
      <c r="BC483" s="53"/>
      <c r="BD483" s="53"/>
      <c r="BE483" s="53"/>
      <c r="BF483" s="53"/>
      <c r="BG483" s="53"/>
      <c r="BH483" s="53"/>
      <c r="BI483" s="53"/>
      <c r="BJ483" s="53"/>
      <c r="BK483" s="53"/>
      <c r="BL483" s="53"/>
      <c r="BN483" s="53">
        <f>H483-G483</f>
        <v>-10.5</v>
      </c>
      <c r="BO483" s="53"/>
      <c r="BP483" s="53"/>
      <c r="BQ483" s="53"/>
      <c r="BS483" s="53"/>
      <c r="BT483" s="53"/>
      <c r="BU483" s="53">
        <f>I483-H483</f>
        <v>0.49999999999994316</v>
      </c>
      <c r="BW483" s="53">
        <f t="shared" si="328"/>
        <v>0.69999999999998863</v>
      </c>
      <c r="BX483" s="53">
        <f t="shared" si="328"/>
        <v>-0.30000000000001137</v>
      </c>
      <c r="BZ483" s="53">
        <f>L483-K483</f>
        <v>5.1000000000000227</v>
      </c>
      <c r="CA483" s="53">
        <f>SUM(CA485:CA487)</f>
        <v>1.4000000000000226</v>
      </c>
      <c r="CB483" s="53">
        <f t="shared" si="329"/>
        <v>-2.3000000000000114</v>
      </c>
      <c r="CC483" s="53">
        <f t="shared" si="329"/>
        <v>-9.2999999999999545</v>
      </c>
      <c r="CD483" s="53">
        <f>CC483+11</f>
        <v>1.7000000000000455</v>
      </c>
      <c r="CE483" s="53">
        <f>O483-N483</f>
        <v>1.2999999999999545</v>
      </c>
      <c r="CG483" s="621">
        <f>P483-O483</f>
        <v>86.5</v>
      </c>
      <c r="CH483" s="621">
        <f>CG483-84.7</f>
        <v>1.7999999999999972</v>
      </c>
      <c r="CI483" s="621"/>
      <c r="CJ483" s="621">
        <f>Q483-P483</f>
        <v>-9.9999999999965894E-2</v>
      </c>
      <c r="CL483" s="621">
        <f>R483-Q483</f>
        <v>-20.900000000000034</v>
      </c>
      <c r="CM483" s="621"/>
      <c r="CN483" s="621">
        <f t="shared" si="330"/>
        <v>4</v>
      </c>
      <c r="CO483" s="621">
        <f t="shared" si="330"/>
        <v>-4.6999999999999886</v>
      </c>
      <c r="CQ483" s="621">
        <f>U483-T483</f>
        <v>0.5</v>
      </c>
      <c r="CS483" s="621">
        <f t="shared" si="331"/>
        <v>3.9000000000000341</v>
      </c>
      <c r="CT483" s="621">
        <f t="shared" si="331"/>
        <v>0.39999999999997726</v>
      </c>
      <c r="CU483" s="621">
        <f t="shared" si="331"/>
        <v>0.20000000000004547</v>
      </c>
      <c r="CV483" s="621">
        <f t="shared" si="331"/>
        <v>-2.6000000000000227</v>
      </c>
      <c r="CW483" s="621">
        <f t="shared" si="331"/>
        <v>1.9999999999999432</v>
      </c>
      <c r="CX483" s="621">
        <f t="shared" si="331"/>
        <v>-0.80000000000001137</v>
      </c>
      <c r="CY483" s="621">
        <f t="shared" si="331"/>
        <v>-0.39999999999997726</v>
      </c>
      <c r="CZ483" s="621">
        <f t="shared" si="331"/>
        <v>-1.0999999999999091</v>
      </c>
      <c r="DA483" s="62">
        <f>SUM(DA485:DA487)</f>
        <v>0.70000000000000551</v>
      </c>
      <c r="DB483" s="621">
        <f>AD483-AC483</f>
        <v>4.7999999999999545</v>
      </c>
      <c r="DC483" s="62">
        <f t="shared" ref="DC483" si="341">DB483</f>
        <v>4.7999999999999545</v>
      </c>
      <c r="DD483" s="621">
        <f>AE483-AD483</f>
        <v>2.6000000000000227</v>
      </c>
      <c r="DE483" s="62">
        <f>DD483</f>
        <v>2.6000000000000227</v>
      </c>
      <c r="DF483" s="621">
        <f>AF483-AE483</f>
        <v>-0.50000000000005684</v>
      </c>
      <c r="DG483" s="62">
        <f>DF483</f>
        <v>-0.50000000000005684</v>
      </c>
      <c r="DH483" s="62"/>
      <c r="DJ483" s="62"/>
      <c r="DK483" s="62"/>
    </row>
    <row r="484" spans="2:115" ht="15.75">
      <c r="B484" s="53" t="s">
        <v>2242</v>
      </c>
      <c r="C484" s="53"/>
      <c r="D484" s="685">
        <f t="shared" ref="D484:W484" si="342">D483/D482</f>
        <v>1.4974805313788362</v>
      </c>
      <c r="E484" s="685">
        <f t="shared" si="342"/>
        <v>1.4974117647058822</v>
      </c>
      <c r="F484" s="685">
        <f t="shared" si="342"/>
        <v>1.4985835694050991</v>
      </c>
      <c r="G484" s="685">
        <f t="shared" si="342"/>
        <v>1.4828385899814474</v>
      </c>
      <c r="H484" s="685">
        <f t="shared" si="342"/>
        <v>1.4958877600387037</v>
      </c>
      <c r="I484" s="685">
        <f t="shared" si="342"/>
        <v>1.4968583856935718</v>
      </c>
      <c r="J484" s="685">
        <f t="shared" si="342"/>
        <v>1.4930254930254929</v>
      </c>
      <c r="K484" s="685">
        <f t="shared" si="342"/>
        <v>1.4973442781265087</v>
      </c>
      <c r="L484" s="685">
        <f t="shared" si="342"/>
        <v>1.4952561669829221</v>
      </c>
      <c r="M484" s="685">
        <f t="shared" si="342"/>
        <v>1.4808329389493609</v>
      </c>
      <c r="N484" s="685">
        <f t="shared" si="342"/>
        <v>1.482421875</v>
      </c>
      <c r="O484" s="685">
        <f t="shared" si="342"/>
        <v>1.4865919063871282</v>
      </c>
      <c r="P484" s="685">
        <f t="shared" si="342"/>
        <v>1.5397324940991346</v>
      </c>
      <c r="Q484" s="685">
        <f t="shared" si="342"/>
        <v>1.5357142857142856</v>
      </c>
      <c r="R484" s="685">
        <f t="shared" si="342"/>
        <v>1.5343827671913834</v>
      </c>
      <c r="S484" s="685">
        <f t="shared" si="342"/>
        <v>1.5503105590062112</v>
      </c>
      <c r="T484" s="685">
        <f t="shared" si="342"/>
        <v>1.5527089458210837</v>
      </c>
      <c r="U484" s="685">
        <f t="shared" si="342"/>
        <v>1.5793515358361774</v>
      </c>
      <c r="V484" s="685">
        <f t="shared" si="342"/>
        <v>1.5994014536126551</v>
      </c>
      <c r="W484" s="685">
        <f t="shared" si="342"/>
        <v>1.6163141993957704</v>
      </c>
      <c r="X484" s="685">
        <f t="shared" ref="X484:AC484" si="343">X483/X482</f>
        <v>1.6355303360977742</v>
      </c>
      <c r="Y484" s="685">
        <f t="shared" si="343"/>
        <v>1.6761261261261262</v>
      </c>
      <c r="Z484" s="685">
        <f t="shared" si="343"/>
        <v>1.6851351351351349</v>
      </c>
      <c r="AA484" s="685">
        <f t="shared" si="343"/>
        <v>1.725046210720887</v>
      </c>
      <c r="AB484" s="685">
        <f t="shared" si="343"/>
        <v>1.7441534144059867</v>
      </c>
      <c r="AC484" s="685">
        <f t="shared" si="343"/>
        <v>1.7504708097928439</v>
      </c>
      <c r="AD484" s="685">
        <f t="shared" ref="AD484" si="344">AD483/AD482</f>
        <v>1.7508135750813576</v>
      </c>
      <c r="AE484" s="685">
        <f t="shared" ref="AE484:AF484" si="345">AE483/AE482</f>
        <v>1.7637209302325583</v>
      </c>
      <c r="AF484" s="685">
        <f t="shared" si="345"/>
        <v>1.7475772958006461</v>
      </c>
      <c r="AG484" s="685">
        <f t="shared" ref="AG484:AI484" si="346">AG483/AG482</f>
        <v>1.7422632794457278</v>
      </c>
      <c r="AH484" s="685">
        <f t="shared" si="346"/>
        <v>1.7374712643678161</v>
      </c>
      <c r="AI484" s="685" t="e">
        <f t="shared" si="346"/>
        <v>#DIV/0!</v>
      </c>
      <c r="AL484" s="53"/>
      <c r="AM484" s="53"/>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U484" s="53"/>
    </row>
    <row r="485" spans="2:115" ht="15.75">
      <c r="B485" s="53" t="str">
        <f>B463</f>
        <v>Video</v>
      </c>
      <c r="C485" s="53"/>
      <c r="D485" s="53">
        <v>85.1</v>
      </c>
      <c r="E485" s="53">
        <v>85.9</v>
      </c>
      <c r="F485" s="53">
        <v>83.5</v>
      </c>
      <c r="G485" s="53">
        <v>84.4</v>
      </c>
      <c r="H485" s="53">
        <v>79.3</v>
      </c>
      <c r="I485" s="53">
        <v>78.8</v>
      </c>
      <c r="J485" s="53">
        <v>78.400000000000006</v>
      </c>
      <c r="K485" s="53">
        <v>77.099999999999994</v>
      </c>
      <c r="L485" s="53">
        <v>79.599999999999994</v>
      </c>
      <c r="M485" s="53">
        <v>78.099999999999994</v>
      </c>
      <c r="N485" s="53">
        <v>77.900000000000006</v>
      </c>
      <c r="O485" s="53">
        <v>76.7</v>
      </c>
      <c r="P485" s="53">
        <v>90.5</v>
      </c>
      <c r="Q485" s="53">
        <v>89.8</v>
      </c>
      <c r="R485" s="53">
        <v>80.599999999999994</v>
      </c>
      <c r="S485" s="53">
        <v>80.7</v>
      </c>
      <c r="T485" s="53">
        <v>77.8</v>
      </c>
      <c r="U485" s="53">
        <v>77.2</v>
      </c>
      <c r="V485" s="53">
        <v>77.8</v>
      </c>
      <c r="W485" s="53">
        <v>74.8</v>
      </c>
      <c r="X485" s="53">
        <v>74.7</v>
      </c>
      <c r="Y485" s="53">
        <v>75.400000000000006</v>
      </c>
      <c r="Z485" s="53">
        <v>74.7</v>
      </c>
      <c r="AA485" s="53">
        <v>74.8</v>
      </c>
      <c r="AB485" s="53">
        <v>74.7</v>
      </c>
      <c r="AC485" s="53">
        <v>73.900000000000006</v>
      </c>
      <c r="AD485" s="53">
        <v>74.400000000000006</v>
      </c>
      <c r="AE485" s="621">
        <v>74</v>
      </c>
      <c r="AF485" s="53">
        <v>73.8</v>
      </c>
      <c r="AG485" s="53">
        <v>73</v>
      </c>
      <c r="AH485" s="53">
        <v>73.099999999999994</v>
      </c>
      <c r="AL485" s="53" t="str">
        <f>B485</f>
        <v>Video</v>
      </c>
      <c r="AM485" s="53"/>
      <c r="AN485" s="53">
        <v>-1.8</v>
      </c>
      <c r="AO485" s="53">
        <f>E485-D485</f>
        <v>0.80000000000001137</v>
      </c>
      <c r="AP485" s="53">
        <f>AO485</f>
        <v>0.80000000000001137</v>
      </c>
      <c r="AQ485" s="53">
        <f>F485-E485</f>
        <v>-2.4000000000000057</v>
      </c>
      <c r="AR485" s="53"/>
      <c r="AS485" s="53"/>
      <c r="AT485" s="53"/>
      <c r="AU485" s="53"/>
      <c r="AV485" s="53"/>
      <c r="AW485" s="53"/>
      <c r="AX485" s="53"/>
      <c r="AY485" s="53"/>
      <c r="AZ485" s="53"/>
      <c r="BA485" s="53"/>
      <c r="BB485" s="53"/>
      <c r="BC485" s="53"/>
      <c r="BD485" s="53"/>
      <c r="BE485" s="53"/>
      <c r="BF485" s="53"/>
      <c r="BG485" s="53"/>
      <c r="BH485" s="53"/>
      <c r="BI485" s="53"/>
      <c r="BJ485" s="53"/>
      <c r="BK485" s="53"/>
      <c r="BL485" s="53"/>
      <c r="BN485" s="53">
        <f>H485-G485</f>
        <v>-5.1000000000000085</v>
      </c>
      <c r="BO485" s="53"/>
      <c r="BP485" s="53"/>
      <c r="BQ485" s="53"/>
      <c r="BS485" s="53"/>
      <c r="BT485" s="53"/>
      <c r="BU485" s="53">
        <f>I485-H485</f>
        <v>-0.5</v>
      </c>
      <c r="BW485" s="53">
        <f t="shared" ref="BW485:BX488" si="347">J485-I485</f>
        <v>-0.39999999999999147</v>
      </c>
      <c r="BX485" s="53">
        <f t="shared" si="347"/>
        <v>-1.3000000000000114</v>
      </c>
      <c r="BZ485" s="53">
        <f>L485-K485</f>
        <v>2.5</v>
      </c>
      <c r="CA485" s="53">
        <f>BZ485-2.2</f>
        <v>0.29999999999999982</v>
      </c>
      <c r="CB485" s="53">
        <f t="shared" ref="CB485:CC488" si="348">M485-L485</f>
        <v>-1.5</v>
      </c>
      <c r="CC485" s="53">
        <f t="shared" si="348"/>
        <v>-0.19999999999998863</v>
      </c>
      <c r="CE485" s="53">
        <f>O485-N485</f>
        <v>-1.2000000000000028</v>
      </c>
      <c r="CG485" s="621">
        <f>P485-O485</f>
        <v>13.799999999999997</v>
      </c>
      <c r="CH485" s="621">
        <f>CG485-14.6</f>
        <v>-0.80000000000000249</v>
      </c>
      <c r="CI485" s="621"/>
      <c r="CJ485" s="621">
        <f>Q485-P485</f>
        <v>-0.70000000000000284</v>
      </c>
      <c r="CL485" s="621">
        <f>R485-Q485</f>
        <v>-9.2000000000000028</v>
      </c>
      <c r="CM485" s="621">
        <f>CL485+9.6</f>
        <v>0.3999999999999968</v>
      </c>
      <c r="CN485" s="621">
        <f t="shared" ref="CN485:CO488" si="349">S485-R485</f>
        <v>0.10000000000000853</v>
      </c>
      <c r="CO485" s="621">
        <f t="shared" si="349"/>
        <v>-2.9000000000000057</v>
      </c>
      <c r="CQ485" s="621">
        <f>U485-T485</f>
        <v>-0.59999999999999432</v>
      </c>
      <c r="CS485" s="621">
        <f t="shared" ref="CS485:CZ488" si="350">V485-U485</f>
        <v>0.59999999999999432</v>
      </c>
      <c r="CT485" s="621">
        <f t="shared" si="350"/>
        <v>-3</v>
      </c>
      <c r="CU485" s="621">
        <f t="shared" si="350"/>
        <v>-9.9999999999994316E-2</v>
      </c>
      <c r="CV485" s="621">
        <f t="shared" si="350"/>
        <v>0.70000000000000284</v>
      </c>
      <c r="CW485" s="621">
        <f t="shared" si="350"/>
        <v>-0.70000000000000284</v>
      </c>
      <c r="CX485" s="621">
        <f t="shared" si="350"/>
        <v>9.9999999999994316E-2</v>
      </c>
      <c r="CY485" s="621">
        <f t="shared" si="350"/>
        <v>-9.9999999999994316E-2</v>
      </c>
      <c r="CZ485" s="621">
        <f t="shared" si="350"/>
        <v>-0.79999999999999716</v>
      </c>
      <c r="DA485" s="62">
        <f>CZ485</f>
        <v>-0.79999999999999716</v>
      </c>
      <c r="DB485" s="621">
        <f>AD485-AC485</f>
        <v>0.5</v>
      </c>
      <c r="DC485" s="62">
        <f t="shared" ref="DC485:DE488" si="351">DB485</f>
        <v>0.5</v>
      </c>
      <c r="DD485" s="621">
        <f>AE485-AD485</f>
        <v>-0.40000000000000568</v>
      </c>
      <c r="DE485" s="62">
        <f t="shared" si="351"/>
        <v>-0.40000000000000568</v>
      </c>
      <c r="DF485" s="621">
        <f>AF485-AE485</f>
        <v>-0.20000000000000284</v>
      </c>
      <c r="DG485" s="62">
        <f t="shared" ref="DG485:DG488" si="352">DF485</f>
        <v>-0.20000000000000284</v>
      </c>
      <c r="DH485" s="621">
        <f>AG485-AF485</f>
        <v>-0.79999999999999716</v>
      </c>
      <c r="DI485" s="62">
        <f>DH485</f>
        <v>-0.79999999999999716</v>
      </c>
      <c r="DJ485" s="621">
        <f t="shared" ref="DJ485:DK488" si="353">AH485-AG485</f>
        <v>9.9999999999994316E-2</v>
      </c>
      <c r="DK485" s="621">
        <f t="shared" si="353"/>
        <v>-73.099999999999994</v>
      </c>
    </row>
    <row r="486" spans="2:115" ht="15.75">
      <c r="B486" s="53" t="str">
        <f>B464</f>
        <v>BB</v>
      </c>
      <c r="C486" s="53"/>
      <c r="D486" s="53">
        <v>119.1</v>
      </c>
      <c r="E486" s="53">
        <v>119.5</v>
      </c>
      <c r="F486" s="53">
        <v>122.3</v>
      </c>
      <c r="G486" s="53">
        <v>124.4</v>
      </c>
      <c r="H486" s="53">
        <v>122</v>
      </c>
      <c r="I486" s="53">
        <v>124.8</v>
      </c>
      <c r="J486" s="53">
        <v>129.19999999999999</v>
      </c>
      <c r="K486" s="53">
        <v>131.69999999999999</v>
      </c>
      <c r="L486" s="53">
        <v>133.30000000000001</v>
      </c>
      <c r="M486" s="53">
        <v>133.80000000000001</v>
      </c>
      <c r="N486" s="53">
        <v>131.1</v>
      </c>
      <c r="O486" s="53">
        <v>133.1</v>
      </c>
      <c r="P486" s="53">
        <v>169.9</v>
      </c>
      <c r="Q486" s="53">
        <v>171.2</v>
      </c>
      <c r="R486" s="53">
        <v>167.8</v>
      </c>
      <c r="S486" s="53">
        <v>171.5</v>
      </c>
      <c r="T486" s="53">
        <v>171.1</v>
      </c>
      <c r="U486" s="53">
        <v>173.2</v>
      </c>
      <c r="V486" s="53">
        <v>177.3</v>
      </c>
      <c r="W486" s="53">
        <v>180.5</v>
      </c>
      <c r="X486" s="53">
        <v>180.1</v>
      </c>
      <c r="Y486" s="53">
        <v>180.3</v>
      </c>
      <c r="Z486" s="53">
        <v>183.2</v>
      </c>
      <c r="AA486" s="53">
        <v>182.6</v>
      </c>
      <c r="AB486" s="53">
        <v>183</v>
      </c>
      <c r="AC486" s="53">
        <v>183.3</v>
      </c>
      <c r="AD486" s="53">
        <v>187.2</v>
      </c>
      <c r="AE486" s="53">
        <v>190.1</v>
      </c>
      <c r="AF486" s="53">
        <v>191.2</v>
      </c>
      <c r="AG486" s="53">
        <v>191.8</v>
      </c>
      <c r="AH486" s="53">
        <v>193.2</v>
      </c>
      <c r="AL486" s="53" t="str">
        <f>B486</f>
        <v>BB</v>
      </c>
      <c r="AM486" s="53"/>
      <c r="AN486" s="53">
        <v>0.2</v>
      </c>
      <c r="AO486" s="53">
        <f>E486-D486</f>
        <v>0.40000000000000568</v>
      </c>
      <c r="AP486" s="53">
        <f>AO486</f>
        <v>0.40000000000000568</v>
      </c>
      <c r="AQ486" s="53">
        <f>F486-E486</f>
        <v>2.7999999999999972</v>
      </c>
      <c r="AR486" s="53"/>
      <c r="AS486" s="53"/>
      <c r="AT486" s="53"/>
      <c r="AU486" s="53"/>
      <c r="AV486" s="53"/>
      <c r="AW486" s="53"/>
      <c r="AX486" s="53"/>
      <c r="AY486" s="53"/>
      <c r="AZ486" s="53"/>
      <c r="BA486" s="53"/>
      <c r="BB486" s="53"/>
      <c r="BC486" s="53"/>
      <c r="BD486" s="53"/>
      <c r="BE486" s="53"/>
      <c r="BF486" s="53"/>
      <c r="BG486" s="53"/>
      <c r="BH486" s="53"/>
      <c r="BI486" s="53"/>
      <c r="BJ486" s="53"/>
      <c r="BK486" s="53"/>
      <c r="BL486" s="53"/>
      <c r="BN486" s="53">
        <f>H486-G486</f>
        <v>-2.4000000000000057</v>
      </c>
      <c r="BO486" s="53"/>
      <c r="BP486" s="53"/>
      <c r="BQ486" s="53"/>
      <c r="BS486" s="53"/>
      <c r="BT486" s="53"/>
      <c r="BU486" s="53">
        <f>I486-H486</f>
        <v>2.7999999999999972</v>
      </c>
      <c r="BW486" s="53">
        <f t="shared" si="347"/>
        <v>4.3999999999999915</v>
      </c>
      <c r="BX486" s="53">
        <f t="shared" si="347"/>
        <v>2.5</v>
      </c>
      <c r="BZ486" s="53">
        <f>L486-K486</f>
        <v>1.6000000000000227</v>
      </c>
      <c r="CA486" s="53">
        <f>BZ486</f>
        <v>1.6000000000000227</v>
      </c>
      <c r="CB486" s="53">
        <f t="shared" si="348"/>
        <v>0.5</v>
      </c>
      <c r="CC486" s="53">
        <f t="shared" si="348"/>
        <v>-2.7000000000000171</v>
      </c>
      <c r="CD486" s="53">
        <f>CC486+4.9</f>
        <v>2.1999999999999833</v>
      </c>
      <c r="CE486" s="53">
        <f>O486-N486</f>
        <v>2</v>
      </c>
      <c r="CG486" s="621">
        <f>P486-O486</f>
        <v>36.800000000000011</v>
      </c>
      <c r="CH486" s="621">
        <f>CG486-33</f>
        <v>3.8000000000000114</v>
      </c>
      <c r="CI486" s="621"/>
      <c r="CJ486" s="621">
        <f>Q486-P486</f>
        <v>1.2999999999999829</v>
      </c>
      <c r="CL486" s="621">
        <f>R486-Q486</f>
        <v>-3.3999999999999773</v>
      </c>
      <c r="CM486" s="621">
        <f>CL486+7.7</f>
        <v>4.3000000000000229</v>
      </c>
      <c r="CN486" s="621">
        <f t="shared" si="349"/>
        <v>3.6999999999999886</v>
      </c>
      <c r="CO486" s="621">
        <f t="shared" si="349"/>
        <v>-0.40000000000000568</v>
      </c>
      <c r="CQ486" s="621">
        <f>U486-T486</f>
        <v>2.0999999999999943</v>
      </c>
      <c r="CS486" s="621">
        <f t="shared" si="350"/>
        <v>4.1000000000000227</v>
      </c>
      <c r="CT486" s="621">
        <f t="shared" si="350"/>
        <v>3.1999999999999886</v>
      </c>
      <c r="CU486" s="621">
        <f t="shared" si="350"/>
        <v>-0.40000000000000568</v>
      </c>
      <c r="CV486" s="621">
        <f t="shared" si="350"/>
        <v>0.20000000000001705</v>
      </c>
      <c r="CW486" s="621">
        <f t="shared" si="350"/>
        <v>2.8999999999999773</v>
      </c>
      <c r="CX486" s="621">
        <f t="shared" si="350"/>
        <v>-0.59999999999999432</v>
      </c>
      <c r="CY486" s="621">
        <f t="shared" si="350"/>
        <v>0.40000000000000568</v>
      </c>
      <c r="CZ486" s="621">
        <f t="shared" si="350"/>
        <v>0.30000000000001137</v>
      </c>
      <c r="DA486" s="62">
        <f>CZ486+1.8</f>
        <v>2.1000000000000112</v>
      </c>
      <c r="DB486" s="621">
        <f>AD486-AC486</f>
        <v>3.8999999999999773</v>
      </c>
      <c r="DC486" s="62">
        <f t="shared" si="351"/>
        <v>3.8999999999999773</v>
      </c>
      <c r="DD486" s="621">
        <f>AE486-AD486</f>
        <v>2.9000000000000057</v>
      </c>
      <c r="DE486" s="62">
        <f t="shared" si="351"/>
        <v>2.9000000000000057</v>
      </c>
      <c r="DF486" s="621">
        <f>AF486-AE486</f>
        <v>1.0999999999999943</v>
      </c>
      <c r="DG486" s="62">
        <f t="shared" si="352"/>
        <v>1.0999999999999943</v>
      </c>
      <c r="DH486" s="621">
        <f>AG486-AF486</f>
        <v>0.60000000000002274</v>
      </c>
      <c r="DI486" s="62">
        <f>DH486</f>
        <v>0.60000000000002274</v>
      </c>
      <c r="DJ486" s="621">
        <f t="shared" si="353"/>
        <v>1.3999999999999773</v>
      </c>
      <c r="DK486" s="621">
        <f t="shared" si="353"/>
        <v>-193.2</v>
      </c>
    </row>
    <row r="487" spans="2:115" ht="15.75">
      <c r="B487" s="53" t="str">
        <f>B465</f>
        <v>Telephony</v>
      </c>
      <c r="C487" s="53"/>
      <c r="D487" s="53">
        <v>122.7</v>
      </c>
      <c r="E487" s="53">
        <v>112.8</v>
      </c>
      <c r="F487" s="53">
        <v>111.6</v>
      </c>
      <c r="G487" s="53">
        <v>110.9</v>
      </c>
      <c r="H487" s="53">
        <v>107.9</v>
      </c>
      <c r="I487" s="53">
        <v>106.1</v>
      </c>
      <c r="J487" s="53">
        <v>102.8</v>
      </c>
      <c r="K487" s="53">
        <v>101.3</v>
      </c>
      <c r="L487" s="53">
        <v>102.3</v>
      </c>
      <c r="M487" s="53">
        <v>101</v>
      </c>
      <c r="N487" s="53">
        <v>94.6</v>
      </c>
      <c r="O487" s="53">
        <v>95.1</v>
      </c>
      <c r="P487" s="53">
        <v>131</v>
      </c>
      <c r="Q487" s="53">
        <v>130.30000000000001</v>
      </c>
      <c r="R487" s="53">
        <v>122</v>
      </c>
      <c r="S487" s="53">
        <v>122.2</v>
      </c>
      <c r="T487" s="53">
        <v>120.8</v>
      </c>
      <c r="U487" s="53">
        <v>119.8</v>
      </c>
      <c r="V487" s="53">
        <v>119</v>
      </c>
      <c r="W487" s="53">
        <v>119.2</v>
      </c>
      <c r="X487" s="53">
        <v>119.9</v>
      </c>
      <c r="Y487" s="53">
        <v>116.4</v>
      </c>
      <c r="Z487" s="53">
        <v>116.2</v>
      </c>
      <c r="AA487" s="53">
        <v>115.9</v>
      </c>
      <c r="AB487" s="53">
        <v>115.2</v>
      </c>
      <c r="AC487" s="53">
        <v>114.6</v>
      </c>
      <c r="AD487" s="53">
        <v>115</v>
      </c>
      <c r="AE487" s="53">
        <v>115.1</v>
      </c>
      <c r="AF487" s="53">
        <v>113.7</v>
      </c>
      <c r="AG487" s="53">
        <v>112.4</v>
      </c>
      <c r="AH487" s="53">
        <v>111.6</v>
      </c>
      <c r="AL487" s="53" t="str">
        <f>B487</f>
        <v>Telephony</v>
      </c>
      <c r="AM487" s="53"/>
      <c r="AN487" s="53">
        <v>-1.3</v>
      </c>
      <c r="AO487" s="53">
        <f>E487-D487</f>
        <v>-9.9000000000000057</v>
      </c>
      <c r="AP487" s="53">
        <f>AO487+8.1</f>
        <v>-1.800000000000006</v>
      </c>
      <c r="AQ487" s="53">
        <f>F487-E487</f>
        <v>-1.2000000000000028</v>
      </c>
      <c r="AR487" s="53"/>
      <c r="AS487" s="53"/>
      <c r="AT487" s="53"/>
      <c r="AU487" s="53"/>
      <c r="AV487" s="53"/>
      <c r="AW487" s="53"/>
      <c r="AX487" s="53"/>
      <c r="AY487" s="53"/>
      <c r="AZ487" s="53"/>
      <c r="BA487" s="53"/>
      <c r="BB487" s="53"/>
      <c r="BC487" s="53"/>
      <c r="BD487" s="53"/>
      <c r="BE487" s="53"/>
      <c r="BF487" s="53"/>
      <c r="BG487" s="53"/>
      <c r="BH487" s="53"/>
      <c r="BI487" s="53"/>
      <c r="BJ487" s="53"/>
      <c r="BK487" s="53"/>
      <c r="BL487" s="53"/>
      <c r="BN487" s="53">
        <f>H487-G487</f>
        <v>-3</v>
      </c>
      <c r="BO487" s="53"/>
      <c r="BP487" s="53"/>
      <c r="BQ487" s="53"/>
      <c r="BS487" s="53"/>
      <c r="BT487" s="53"/>
      <c r="BU487" s="53">
        <f>I487-H487</f>
        <v>-1.8000000000000114</v>
      </c>
      <c r="BW487" s="53">
        <f t="shared" si="347"/>
        <v>-3.2999999999999972</v>
      </c>
      <c r="BX487" s="53">
        <f t="shared" si="347"/>
        <v>-1.5</v>
      </c>
      <c r="BZ487" s="53">
        <f>L487-K487</f>
        <v>1</v>
      </c>
      <c r="CA487" s="53">
        <f>BZ487-1.5</f>
        <v>-0.5</v>
      </c>
      <c r="CB487" s="53">
        <f t="shared" si="348"/>
        <v>-1.2999999999999972</v>
      </c>
      <c r="CC487" s="53">
        <f t="shared" si="348"/>
        <v>-6.4000000000000057</v>
      </c>
      <c r="CD487" s="53">
        <f>CC487+6.1</f>
        <v>-0.30000000000000604</v>
      </c>
      <c r="CE487" s="53">
        <f>O487-N487</f>
        <v>0.5</v>
      </c>
      <c r="CG487" s="621">
        <f>P487-O487</f>
        <v>35.900000000000006</v>
      </c>
      <c r="CH487" s="621">
        <f>CG487-37.1</f>
        <v>-1.1999999999999957</v>
      </c>
      <c r="CI487" s="621"/>
      <c r="CJ487" s="621">
        <f>Q487-P487</f>
        <v>-0.69999999999998863</v>
      </c>
      <c r="CL487" s="621">
        <f>R487-Q487</f>
        <v>-8.3000000000000114</v>
      </c>
      <c r="CM487" s="621">
        <f>CL487+8.3</f>
        <v>0</v>
      </c>
      <c r="CN487" s="621">
        <f t="shared" si="349"/>
        <v>0.20000000000000284</v>
      </c>
      <c r="CO487" s="621">
        <f t="shared" si="349"/>
        <v>-1.4000000000000057</v>
      </c>
      <c r="CQ487" s="621">
        <f>U487-T487</f>
        <v>-1</v>
      </c>
      <c r="CS487" s="621">
        <f t="shared" si="350"/>
        <v>-0.79999999999999716</v>
      </c>
      <c r="CT487" s="621">
        <f t="shared" si="350"/>
        <v>0.20000000000000284</v>
      </c>
      <c r="CU487" s="621">
        <f t="shared" si="350"/>
        <v>0.70000000000000284</v>
      </c>
      <c r="CV487" s="621">
        <f t="shared" si="350"/>
        <v>-3.5</v>
      </c>
      <c r="CW487" s="621">
        <f t="shared" si="350"/>
        <v>-0.20000000000000284</v>
      </c>
      <c r="CX487" s="621">
        <f t="shared" si="350"/>
        <v>-0.29999999999999716</v>
      </c>
      <c r="CY487" s="621">
        <f t="shared" si="350"/>
        <v>-0.70000000000000284</v>
      </c>
      <c r="CZ487" s="621">
        <f t="shared" si="350"/>
        <v>-0.60000000000000853</v>
      </c>
      <c r="DA487" s="62">
        <f>CZ487</f>
        <v>-0.60000000000000853</v>
      </c>
      <c r="DB487" s="621">
        <f>AD487-AC487</f>
        <v>0.40000000000000568</v>
      </c>
      <c r="DC487" s="62">
        <f t="shared" si="351"/>
        <v>0.40000000000000568</v>
      </c>
      <c r="DD487" s="621">
        <f>AE487-AD487</f>
        <v>9.9999999999994316E-2</v>
      </c>
      <c r="DE487" s="62">
        <f t="shared" si="351"/>
        <v>9.9999999999994316E-2</v>
      </c>
      <c r="DF487" s="621">
        <f>AF487-AE487</f>
        <v>-1.3999999999999915</v>
      </c>
      <c r="DG487" s="62">
        <f t="shared" si="352"/>
        <v>-1.3999999999999915</v>
      </c>
      <c r="DH487" s="621">
        <f>AG487-AF487</f>
        <v>-1.2999999999999972</v>
      </c>
      <c r="DI487" s="62">
        <f>DH487</f>
        <v>-1.2999999999999972</v>
      </c>
      <c r="DJ487" s="621">
        <f t="shared" si="353"/>
        <v>-0.80000000000001137</v>
      </c>
      <c r="DK487" s="621">
        <f t="shared" si="353"/>
        <v>-111.6</v>
      </c>
    </row>
    <row r="488" spans="2:115" ht="15.75">
      <c r="B488" s="53" t="s">
        <v>5</v>
      </c>
      <c r="C488" s="53"/>
      <c r="D488" s="53"/>
      <c r="E488" s="53">
        <v>379.1</v>
      </c>
      <c r="F488" s="53">
        <v>399</v>
      </c>
      <c r="G488" s="53">
        <v>397.3</v>
      </c>
      <c r="H488" s="53">
        <v>391.3</v>
      </c>
      <c r="I488" s="53">
        <v>394.3</v>
      </c>
      <c r="J488" s="53">
        <v>401.3</v>
      </c>
      <c r="K488" s="53">
        <v>400.5</v>
      </c>
      <c r="L488" s="53">
        <v>397.7</v>
      </c>
      <c r="M488" s="53">
        <v>394.5</v>
      </c>
      <c r="N488" s="53">
        <v>394.2</v>
      </c>
      <c r="O488" s="53">
        <v>389.8</v>
      </c>
      <c r="P488" s="53">
        <v>498.4</v>
      </c>
      <c r="Q488" s="53">
        <v>495.9</v>
      </c>
      <c r="R488" s="53">
        <v>432.8</v>
      </c>
      <c r="S488" s="53">
        <v>425.7</v>
      </c>
      <c r="T488" s="53">
        <v>386.2</v>
      </c>
      <c r="U488" s="53">
        <v>390.3</v>
      </c>
      <c r="V488" s="53">
        <v>394.5</v>
      </c>
      <c r="W488" s="53">
        <v>391.2</v>
      </c>
      <c r="X488" s="53">
        <v>393.9</v>
      </c>
      <c r="Y488" s="53">
        <v>394.3</v>
      </c>
      <c r="Z488" s="53">
        <v>411.1</v>
      </c>
      <c r="AA488" s="53">
        <v>417.4</v>
      </c>
      <c r="AB488" s="53">
        <v>417.1</v>
      </c>
      <c r="AC488" s="53">
        <v>421.6</v>
      </c>
      <c r="AD488" s="53">
        <v>433.3</v>
      </c>
      <c r="AE488" s="53">
        <v>439</v>
      </c>
      <c r="AF488" s="53">
        <v>436</v>
      </c>
      <c r="AG488" s="53">
        <v>438.9</v>
      </c>
      <c r="AH488" s="53">
        <v>377.9</v>
      </c>
      <c r="AL488" s="53" t="str">
        <f>B488</f>
        <v>Mobile</v>
      </c>
      <c r="AM488" s="53"/>
      <c r="AN488" s="53"/>
      <c r="AO488" s="53"/>
      <c r="AP488" s="53"/>
      <c r="AQ488" s="53">
        <f>F488-E488</f>
        <v>19.899999999999977</v>
      </c>
      <c r="AR488" s="53"/>
      <c r="AS488" s="53"/>
      <c r="AT488" s="53"/>
      <c r="AU488" s="53"/>
      <c r="AV488" s="53"/>
      <c r="AW488" s="53"/>
      <c r="AX488" s="53"/>
      <c r="AY488" s="53"/>
      <c r="AZ488" s="53"/>
      <c r="BA488" s="53"/>
      <c r="BB488" s="53"/>
      <c r="BC488" s="53"/>
      <c r="BD488" s="53"/>
      <c r="BE488" s="53"/>
      <c r="BF488" s="53"/>
      <c r="BG488" s="53"/>
      <c r="BH488" s="53"/>
      <c r="BI488" s="53"/>
      <c r="BJ488" s="53"/>
      <c r="BK488" s="53"/>
      <c r="BL488" s="53"/>
      <c r="BN488" s="53">
        <f>H488-G488</f>
        <v>-6</v>
      </c>
      <c r="BO488" s="53"/>
      <c r="BP488" s="53"/>
      <c r="BQ488" s="53"/>
      <c r="BS488" s="53"/>
      <c r="BT488" s="53"/>
      <c r="BU488" s="53">
        <f>I488-H488</f>
        <v>3</v>
      </c>
      <c r="BW488" s="53">
        <f t="shared" si="347"/>
        <v>7</v>
      </c>
      <c r="BX488" s="53">
        <f t="shared" si="347"/>
        <v>-0.80000000000001137</v>
      </c>
      <c r="BZ488" s="53">
        <f>L488-K488</f>
        <v>-2.8000000000000114</v>
      </c>
      <c r="CA488" s="53">
        <f>BZ488</f>
        <v>-2.8000000000000114</v>
      </c>
      <c r="CB488" s="53">
        <f t="shared" si="348"/>
        <v>-3.1999999999999886</v>
      </c>
      <c r="CC488" s="53">
        <f t="shared" si="348"/>
        <v>-0.30000000000001137</v>
      </c>
      <c r="CE488" s="53">
        <f>O488-N488</f>
        <v>-4.3999999999999773</v>
      </c>
      <c r="CG488" s="621">
        <f>P488-O488</f>
        <v>108.59999999999997</v>
      </c>
      <c r="CH488" s="621">
        <f>CG488-112</f>
        <v>-3.4000000000000341</v>
      </c>
      <c r="CI488" s="621"/>
      <c r="CJ488" s="621">
        <f>Q488-P488</f>
        <v>-2.5</v>
      </c>
      <c r="CL488" s="621">
        <f>R488-Q488</f>
        <v>-63.099999999999966</v>
      </c>
      <c r="CM488" s="621">
        <f>CL488+78.8</f>
        <v>15.700000000000031</v>
      </c>
      <c r="CN488" s="621">
        <f t="shared" si="349"/>
        <v>-7.1000000000000227</v>
      </c>
      <c r="CO488" s="621">
        <f t="shared" si="349"/>
        <v>-39.5</v>
      </c>
      <c r="CQ488" s="621">
        <f>U488-T488</f>
        <v>4.1000000000000227</v>
      </c>
      <c r="CS488" s="621">
        <f t="shared" si="350"/>
        <v>4.1999999999999886</v>
      </c>
      <c r="CT488" s="621">
        <f t="shared" si="350"/>
        <v>-3.3000000000000114</v>
      </c>
      <c r="CU488" s="621">
        <f t="shared" si="350"/>
        <v>2.6999999999999886</v>
      </c>
      <c r="CV488" s="621">
        <f t="shared" si="350"/>
        <v>0.40000000000003411</v>
      </c>
      <c r="CW488" s="621">
        <f t="shared" si="350"/>
        <v>16.800000000000011</v>
      </c>
      <c r="CX488" s="621">
        <f t="shared" si="350"/>
        <v>6.2999999999999545</v>
      </c>
      <c r="CY488" s="621">
        <f t="shared" si="350"/>
        <v>-0.29999999999995453</v>
      </c>
      <c r="CZ488" s="621">
        <f t="shared" si="350"/>
        <v>4.5</v>
      </c>
      <c r="DB488" s="621">
        <f>AD488-AC488</f>
        <v>11.699999999999989</v>
      </c>
      <c r="DC488" s="62">
        <f t="shared" si="351"/>
        <v>11.699999999999989</v>
      </c>
      <c r="DD488" s="621">
        <f>AE488-AD488</f>
        <v>5.6999999999999886</v>
      </c>
      <c r="DE488" s="62">
        <f t="shared" si="351"/>
        <v>5.6999999999999886</v>
      </c>
      <c r="DF488" s="621">
        <f>AF488-AE488</f>
        <v>-3</v>
      </c>
      <c r="DG488" s="62">
        <f t="shared" si="352"/>
        <v>-3</v>
      </c>
      <c r="DH488" s="621">
        <f>AG488-AF488</f>
        <v>2.8999999999999773</v>
      </c>
      <c r="DI488" s="62">
        <f>DH488</f>
        <v>2.8999999999999773</v>
      </c>
      <c r="DJ488" s="621">
        <f t="shared" si="353"/>
        <v>-61</v>
      </c>
      <c r="DK488" s="621">
        <f t="shared" si="353"/>
        <v>-377.9</v>
      </c>
    </row>
    <row r="489" spans="2:115" ht="15.75">
      <c r="B489" s="53"/>
      <c r="C489" s="53"/>
      <c r="D489" s="53"/>
      <c r="E489" s="53"/>
      <c r="F489" s="53"/>
      <c r="G489" s="53"/>
      <c r="H489" s="53"/>
      <c r="I489" s="53"/>
      <c r="Q489" s="53"/>
      <c r="R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row>
    <row r="490" spans="2:115" ht="15.75">
      <c r="B490" s="78" t="s">
        <v>16</v>
      </c>
      <c r="C490" s="53"/>
      <c r="D490" s="53"/>
      <c r="E490" s="53"/>
      <c r="F490" s="53"/>
      <c r="G490" s="53"/>
      <c r="H490" s="53"/>
      <c r="I490" s="53"/>
      <c r="U490" s="78"/>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row>
    <row r="491" spans="2:115" ht="15.75">
      <c r="B491" s="53" t="str">
        <f>B480</f>
        <v>Homes passed</v>
      </c>
      <c r="C491" s="53"/>
      <c r="D491" s="53">
        <f t="shared" ref="D491:M491" si="354">D412+D423+D435+D446+D458+D480</f>
        <v>1812.6999999999998</v>
      </c>
      <c r="E491" s="53">
        <f t="shared" si="354"/>
        <v>1812.6999999999998</v>
      </c>
      <c r="F491" s="53">
        <f t="shared" si="354"/>
        <v>1893.6999999999998</v>
      </c>
      <c r="G491" s="53">
        <f t="shared" si="354"/>
        <v>1871.5</v>
      </c>
      <c r="H491" s="53">
        <f t="shared" si="354"/>
        <v>1875.9999999999998</v>
      </c>
      <c r="I491" s="53">
        <f t="shared" si="354"/>
        <v>1896.1000000000001</v>
      </c>
      <c r="J491" s="53">
        <f t="shared" si="354"/>
        <v>1931.6</v>
      </c>
      <c r="K491" s="53">
        <f t="shared" si="354"/>
        <v>1948.5</v>
      </c>
      <c r="L491" s="53">
        <f t="shared" si="354"/>
        <v>1968.6</v>
      </c>
      <c r="M491" s="53">
        <f t="shared" si="354"/>
        <v>1974.7</v>
      </c>
      <c r="N491" s="621">
        <f t="shared" ref="N491:X491" si="355">N412+N423+N435+N446+N458+N469+N480</f>
        <v>2549.3000000000002</v>
      </c>
      <c r="O491" s="621">
        <f t="shared" si="355"/>
        <v>2574.6000000000004</v>
      </c>
      <c r="P491" s="621">
        <f t="shared" si="355"/>
        <v>2627</v>
      </c>
      <c r="Q491" s="621">
        <f t="shared" si="355"/>
        <v>2683.4</v>
      </c>
      <c r="R491" s="481">
        <f t="shared" si="355"/>
        <v>2714</v>
      </c>
      <c r="S491" s="481">
        <f t="shared" si="355"/>
        <v>2743.1</v>
      </c>
      <c r="T491" s="481">
        <f t="shared" si="355"/>
        <v>2772.3</v>
      </c>
      <c r="U491" s="481">
        <f t="shared" si="355"/>
        <v>2832.3</v>
      </c>
      <c r="V491" s="481">
        <f t="shared" si="355"/>
        <v>2862.2</v>
      </c>
      <c r="W491" s="481">
        <f t="shared" si="355"/>
        <v>2894.9</v>
      </c>
      <c r="X491" s="481">
        <f t="shared" si="355"/>
        <v>2938.8</v>
      </c>
      <c r="Y491" s="481">
        <f t="shared" ref="Y491:AC494" si="356">Y412+Y423+Y435+Y446+Y458+Y469+Y480</f>
        <v>2986.4</v>
      </c>
      <c r="Z491" s="481">
        <f t="shared" si="356"/>
        <v>3018.7</v>
      </c>
      <c r="AA491" s="481">
        <f t="shared" si="356"/>
        <v>3060.1</v>
      </c>
      <c r="AB491" s="481">
        <f t="shared" si="356"/>
        <v>3103.8</v>
      </c>
      <c r="AC491" s="481">
        <f t="shared" si="356"/>
        <v>3127</v>
      </c>
      <c r="AD491" s="481">
        <f t="shared" ref="AD491" si="357">AD412+AD423+AD435+AD446+AD458+AD469+AD480</f>
        <v>3153.4000000000005</v>
      </c>
      <c r="AE491" s="481">
        <f t="shared" ref="AE491:AF491" si="358">AE412+AE423+AE435+AE446+AE458+AE469+AE480</f>
        <v>3198.0000000000005</v>
      </c>
      <c r="AF491" s="481">
        <f t="shared" si="358"/>
        <v>3231.4</v>
      </c>
      <c r="AG491" s="481">
        <f t="shared" ref="AG491:AH491" si="359">AG412+AG423+AG435+AG446+AG458+AG469+AG480</f>
        <v>3346.7000000000003</v>
      </c>
      <c r="AH491" s="481">
        <f t="shared" si="359"/>
        <v>3441.7</v>
      </c>
      <c r="AI491" s="481">
        <f t="shared" ref="AI491" si="360">AI412+AI423+AI435+AI446+AI458+AI469+AI480</f>
        <v>0</v>
      </c>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row>
    <row r="492" spans="2:115" ht="15.75">
      <c r="B492" s="53" t="str">
        <f>B481</f>
        <v>2-way homes passed</v>
      </c>
      <c r="C492" s="53"/>
      <c r="D492" s="53">
        <f t="shared" ref="D492:M492" si="361">D413+D424+D436+D447+D459+D481</f>
        <v>1607.2999999999997</v>
      </c>
      <c r="E492" s="53">
        <f t="shared" si="361"/>
        <v>1607.3999999999999</v>
      </c>
      <c r="F492" s="53">
        <f t="shared" si="361"/>
        <v>1762.3999999999999</v>
      </c>
      <c r="G492" s="53">
        <f t="shared" si="361"/>
        <v>1767.1000000000001</v>
      </c>
      <c r="H492" s="53">
        <f t="shared" si="361"/>
        <v>1790</v>
      </c>
      <c r="I492" s="53">
        <f t="shared" si="361"/>
        <v>1841.4</v>
      </c>
      <c r="J492" s="53">
        <f t="shared" si="361"/>
        <v>1901.8000000000002</v>
      </c>
      <c r="K492" s="53">
        <f t="shared" si="361"/>
        <v>1918.7000000000003</v>
      </c>
      <c r="L492" s="53">
        <f t="shared" si="361"/>
        <v>1938.8</v>
      </c>
      <c r="M492" s="53">
        <f t="shared" si="361"/>
        <v>1944.9</v>
      </c>
      <c r="N492" s="621">
        <f t="shared" ref="N492:X492" si="362">N413+N424+N436+N447+N459+N470+N481</f>
        <v>2508.3000000000002</v>
      </c>
      <c r="O492" s="621">
        <f t="shared" si="362"/>
        <v>2538.9</v>
      </c>
      <c r="P492" s="621">
        <f t="shared" si="362"/>
        <v>2591.2999999999997</v>
      </c>
      <c r="Q492" s="621">
        <f t="shared" si="362"/>
        <v>2647.7999999999997</v>
      </c>
      <c r="R492" s="481">
        <f t="shared" si="362"/>
        <v>2678.3</v>
      </c>
      <c r="S492" s="481">
        <f t="shared" si="362"/>
        <v>2709.8000000000006</v>
      </c>
      <c r="T492" s="481">
        <f t="shared" si="362"/>
        <v>2746.6000000000004</v>
      </c>
      <c r="U492" s="481">
        <f t="shared" si="362"/>
        <v>2806.6000000000004</v>
      </c>
      <c r="V492" s="481">
        <f t="shared" si="362"/>
        <v>2836.5</v>
      </c>
      <c r="W492" s="481">
        <f t="shared" si="362"/>
        <v>2869.2000000000007</v>
      </c>
      <c r="X492" s="481">
        <f t="shared" si="362"/>
        <v>2932.9000000000005</v>
      </c>
      <c r="Y492" s="481">
        <f t="shared" si="356"/>
        <v>2960.7</v>
      </c>
      <c r="Z492" s="481">
        <f t="shared" si="356"/>
        <v>2993</v>
      </c>
      <c r="AA492" s="481">
        <f t="shared" si="356"/>
        <v>3034.4</v>
      </c>
      <c r="AB492" s="481">
        <f t="shared" si="356"/>
        <v>3078.1</v>
      </c>
      <c r="AC492" s="481">
        <f t="shared" ref="AC492:AE494" si="363">AC413+AC424+AC436+AC447+AC459+AC470+AC481</f>
        <v>3101.3</v>
      </c>
      <c r="AD492" s="481">
        <f t="shared" si="363"/>
        <v>3127.6000000000004</v>
      </c>
      <c r="AE492" s="481">
        <f t="shared" si="363"/>
        <v>3172.2000000000003</v>
      </c>
      <c r="AF492" s="481">
        <f t="shared" ref="AF492:AG492" si="364">AF413+AF424+AF436+AF447+AF459+AF470+AF481</f>
        <v>3205.6</v>
      </c>
      <c r="AG492" s="481">
        <f t="shared" si="364"/>
        <v>3321</v>
      </c>
      <c r="AH492" s="481">
        <f t="shared" ref="AH492:AI492" si="365">AH413+AH424+AH436+AH447+AH459+AH470+AH481</f>
        <v>3441.7</v>
      </c>
      <c r="AI492" s="481">
        <f t="shared" si="365"/>
        <v>0</v>
      </c>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53"/>
      <c r="BK492" s="53"/>
      <c r="BL492" s="53"/>
      <c r="BM492" s="53"/>
      <c r="BN492" s="53"/>
      <c r="BO492" s="53"/>
    </row>
    <row r="493" spans="2:115" ht="15.75">
      <c r="B493" s="53" t="str">
        <f>B482</f>
        <v>Customer relationships</v>
      </c>
      <c r="C493" s="53"/>
      <c r="D493" s="53">
        <f t="shared" ref="D493:M493" si="366">D414+D425+D437+D448+D460+D482</f>
        <v>1252.6999999999998</v>
      </c>
      <c r="E493" s="53">
        <f t="shared" si="366"/>
        <v>1228.7</v>
      </c>
      <c r="F493" s="53">
        <f t="shared" si="366"/>
        <v>1157.5</v>
      </c>
      <c r="G493" s="53">
        <f t="shared" si="366"/>
        <v>1161.4000000000001</v>
      </c>
      <c r="H493" s="53">
        <f t="shared" si="366"/>
        <v>966</v>
      </c>
      <c r="I493" s="53">
        <f t="shared" si="366"/>
        <v>947.69999999999993</v>
      </c>
      <c r="J493" s="53">
        <f t="shared" si="366"/>
        <v>909.59999999999991</v>
      </c>
      <c r="K493" s="53">
        <f t="shared" si="366"/>
        <v>910.2</v>
      </c>
      <c r="L493" s="53">
        <f t="shared" si="366"/>
        <v>916.8</v>
      </c>
      <c r="M493" s="53">
        <f t="shared" si="366"/>
        <v>917.5</v>
      </c>
      <c r="N493" s="621">
        <f t="shared" ref="N493:X493" si="367">N414+N425+N437+N448+N460+N471+N482</f>
        <v>1146.5999999999999</v>
      </c>
      <c r="O493" s="621">
        <f t="shared" si="367"/>
        <v>1162.6999999999998</v>
      </c>
      <c r="P493" s="621">
        <f t="shared" si="367"/>
        <v>1219.6000000000001</v>
      </c>
      <c r="Q493" s="621">
        <f t="shared" si="367"/>
        <v>1230.1999999999998</v>
      </c>
      <c r="R493" s="481">
        <f t="shared" si="367"/>
        <v>1233.8</v>
      </c>
      <c r="S493" s="481">
        <f t="shared" si="367"/>
        <v>1243.4000000000001</v>
      </c>
      <c r="T493" s="481">
        <f t="shared" si="367"/>
        <v>1231.5999999999999</v>
      </c>
      <c r="U493" s="481">
        <f t="shared" si="367"/>
        <v>1250.7</v>
      </c>
      <c r="V493" s="481">
        <f t="shared" si="367"/>
        <v>1258.3</v>
      </c>
      <c r="W493" s="481">
        <f t="shared" si="367"/>
        <v>1269.8</v>
      </c>
      <c r="X493" s="481">
        <f t="shared" si="367"/>
        <v>1283.4000000000001</v>
      </c>
      <c r="Y493" s="481">
        <f t="shared" si="356"/>
        <v>1306.8000000000002</v>
      </c>
      <c r="Z493" s="481">
        <f t="shared" si="356"/>
        <v>1317.8</v>
      </c>
      <c r="AA493" s="481">
        <f t="shared" si="356"/>
        <v>1319.6</v>
      </c>
      <c r="AB493" s="481">
        <f t="shared" si="356"/>
        <v>1326.4999999999998</v>
      </c>
      <c r="AC493" s="481">
        <f t="shared" si="363"/>
        <v>1373.5</v>
      </c>
      <c r="AD493" s="481">
        <f t="shared" si="363"/>
        <v>1373.6</v>
      </c>
      <c r="AE493" s="481">
        <f t="shared" si="363"/>
        <v>1368.8999999999999</v>
      </c>
      <c r="AF493" s="481">
        <f t="shared" ref="AF493:AG493" si="368">AF414+AF425+AF437+AF448+AF460+AF471+AF482</f>
        <v>1365.1000000000001</v>
      </c>
      <c r="AG493" s="481">
        <f t="shared" si="368"/>
        <v>1364.5</v>
      </c>
      <c r="AH493" s="481">
        <f t="shared" ref="AH493:AI493" si="369">AH414+AH425+AH437+AH448+AH460+AH471+AH482</f>
        <v>1370.1</v>
      </c>
      <c r="AI493" s="481">
        <f t="shared" si="369"/>
        <v>0</v>
      </c>
      <c r="AJ493" s="53"/>
      <c r="AK493" s="53"/>
      <c r="AL493" s="53"/>
      <c r="AM493" s="53"/>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c r="BO493" s="53"/>
    </row>
    <row r="494" spans="2:115" ht="15.75">
      <c r="B494" s="53" t="str">
        <f>B483</f>
        <v>Fixed RGUs</v>
      </c>
      <c r="C494" s="53"/>
      <c r="D494" s="53">
        <f t="shared" ref="D494:M494" si="370">D415+D427+D439+D450+D461+D483</f>
        <v>1882.3000000000002</v>
      </c>
      <c r="E494" s="53">
        <f t="shared" si="370"/>
        <v>1858.4</v>
      </c>
      <c r="F494" s="53">
        <f t="shared" si="370"/>
        <v>1783.7999999999997</v>
      </c>
      <c r="G494" s="53">
        <f t="shared" si="370"/>
        <v>1791.3</v>
      </c>
      <c r="H494" s="53">
        <f t="shared" si="370"/>
        <v>1570.6</v>
      </c>
      <c r="I494" s="53">
        <f t="shared" si="370"/>
        <v>1590.9999999999998</v>
      </c>
      <c r="J494" s="53">
        <f t="shared" si="370"/>
        <v>1581.8000000000002</v>
      </c>
      <c r="K494" s="53">
        <f t="shared" si="370"/>
        <v>1606.9</v>
      </c>
      <c r="L494" s="53">
        <f t="shared" si="370"/>
        <v>1639.2</v>
      </c>
      <c r="M494" s="53">
        <f t="shared" si="370"/>
        <v>1655.6</v>
      </c>
      <c r="N494" s="621">
        <f t="shared" ref="N494:X494" si="371">N415+N426+N438+N449+N461+N472+N483</f>
        <v>1087.9509326363814</v>
      </c>
      <c r="O494" s="621">
        <f t="shared" si="371"/>
        <v>1117.4307107412583</v>
      </c>
      <c r="P494" s="621">
        <f t="shared" si="371"/>
        <v>1223.6151839506415</v>
      </c>
      <c r="Q494" s="621">
        <f t="shared" si="371"/>
        <v>1255.591137739887</v>
      </c>
      <c r="R494" s="481">
        <f t="shared" si="371"/>
        <v>1259.4310671622607</v>
      </c>
      <c r="S494" s="481">
        <f t="shared" si="371"/>
        <v>1273.9364182291481</v>
      </c>
      <c r="T494" s="481">
        <f t="shared" si="371"/>
        <v>1229.7426125674269</v>
      </c>
      <c r="U494" s="481">
        <f t="shared" si="371"/>
        <v>1278.631467768487</v>
      </c>
      <c r="V494" s="481">
        <f t="shared" si="371"/>
        <v>1292.5395725368053</v>
      </c>
      <c r="W494" s="481">
        <f t="shared" si="371"/>
        <v>1311.4465149848902</v>
      </c>
      <c r="X494" s="481">
        <f t="shared" si="371"/>
        <v>1334.2571371349009</v>
      </c>
      <c r="Y494" s="481">
        <f t="shared" si="356"/>
        <v>1378.5669068890898</v>
      </c>
      <c r="Z494" s="481">
        <f t="shared" si="356"/>
        <v>1387.6797318692404</v>
      </c>
      <c r="AA494" s="481">
        <f t="shared" si="356"/>
        <v>1430.5666202013892</v>
      </c>
      <c r="AB494" s="481">
        <f t="shared" si="356"/>
        <v>1463.853547216213</v>
      </c>
      <c r="AC494" s="481">
        <f t="shared" si="363"/>
        <v>1523.8413373978101</v>
      </c>
      <c r="AD494" s="481">
        <f t="shared" si="363"/>
        <v>1535.4407512697353</v>
      </c>
      <c r="AE494" s="481">
        <f t="shared" si="363"/>
        <v>1544.0378652008462</v>
      </c>
      <c r="AF494" s="481">
        <f t="shared" ref="AF494:AG494" si="372">AF415+AF426+AF438+AF449+AF461+AF472+AF483</f>
        <v>1551.233826120935</v>
      </c>
      <c r="AG494" s="481">
        <f t="shared" si="372"/>
        <v>1570.3302262873478</v>
      </c>
      <c r="AH494" s="481">
        <f t="shared" ref="AH494:AI494" si="373">AH415+AH426+AH438+AH449+AH461+AH472+AH483</f>
        <v>1587.9074191573395</v>
      </c>
      <c r="AI494" s="481" t="e">
        <f t="shared" si="373"/>
        <v>#DIV/0!</v>
      </c>
      <c r="AJ494" s="53"/>
      <c r="AK494" s="53"/>
      <c r="AL494" s="53"/>
      <c r="AM494" s="53"/>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row>
    <row r="495" spans="2:115" ht="15.75">
      <c r="B495" s="53" t="str">
        <f>B485</f>
        <v>Video</v>
      </c>
      <c r="C495" s="53"/>
      <c r="D495" s="53">
        <f t="shared" ref="D495:M495" si="374">D417+D429+D441+D452+D463+D485</f>
        <v>437.4</v>
      </c>
      <c r="E495" s="53">
        <f t="shared" si="374"/>
        <v>428.29999999999995</v>
      </c>
      <c r="F495" s="53">
        <f t="shared" si="374"/>
        <v>405.7</v>
      </c>
      <c r="G495" s="53">
        <f t="shared" si="374"/>
        <v>403.30000000000007</v>
      </c>
      <c r="H495" s="53">
        <f t="shared" si="374"/>
        <v>390.40000000000003</v>
      </c>
      <c r="I495" s="53">
        <f t="shared" si="374"/>
        <v>386.6</v>
      </c>
      <c r="J495" s="53">
        <f t="shared" si="374"/>
        <v>389.79999999999995</v>
      </c>
      <c r="K495" s="53">
        <f t="shared" si="374"/>
        <v>393.20000000000005</v>
      </c>
      <c r="L495" s="53">
        <f t="shared" si="374"/>
        <v>403.19999999999993</v>
      </c>
      <c r="M495" s="53">
        <f t="shared" si="374"/>
        <v>409.4</v>
      </c>
      <c r="N495" s="53">
        <f t="shared" ref="N495:X495" si="375">N417+N429+N441+N452+N463+N474+N485</f>
        <v>612.79999999999995</v>
      </c>
      <c r="O495" s="53">
        <f t="shared" si="375"/>
        <v>619.40000000000009</v>
      </c>
      <c r="P495" s="53">
        <f t="shared" si="375"/>
        <v>644.20000000000005</v>
      </c>
      <c r="Q495" s="53">
        <f t="shared" si="375"/>
        <v>658.8</v>
      </c>
      <c r="R495" s="481">
        <f t="shared" si="375"/>
        <v>659.9</v>
      </c>
      <c r="S495" s="481">
        <f t="shared" si="375"/>
        <v>664.7</v>
      </c>
      <c r="T495" s="481">
        <f t="shared" si="375"/>
        <v>647.79999999999995</v>
      </c>
      <c r="U495" s="481">
        <f t="shared" si="375"/>
        <v>655.6</v>
      </c>
      <c r="V495" s="481">
        <f t="shared" si="375"/>
        <v>650.29999999999995</v>
      </c>
      <c r="W495" s="481">
        <f t="shared" si="375"/>
        <v>651.5</v>
      </c>
      <c r="X495" s="481">
        <f t="shared" si="375"/>
        <v>657.8</v>
      </c>
      <c r="Y495" s="481">
        <f t="shared" ref="Y495:AB497" si="376">Y417+Y429+Y441+Y452+Y463+Y474+Y485</f>
        <v>673.09999999999991</v>
      </c>
      <c r="Z495" s="481">
        <f t="shared" si="376"/>
        <v>673</v>
      </c>
      <c r="AA495" s="481">
        <f t="shared" si="376"/>
        <v>682</v>
      </c>
      <c r="AB495" s="481">
        <f t="shared" si="376"/>
        <v>683.80000000000007</v>
      </c>
      <c r="AC495" s="481">
        <f t="shared" ref="AC495:AE497" si="377">AC417+AC429+AC441+AC452+AC463+AC474+AC485</f>
        <v>719.5</v>
      </c>
      <c r="AD495" s="481">
        <f t="shared" si="377"/>
        <v>715.9</v>
      </c>
      <c r="AE495" s="481">
        <f t="shared" si="377"/>
        <v>709.8</v>
      </c>
      <c r="AF495" s="481">
        <f t="shared" ref="AF495:AG495" si="378">AF417+AF429+AF441+AF452+AF463+AF474+AF485</f>
        <v>697.49999999999989</v>
      </c>
      <c r="AG495" s="481">
        <f t="shared" si="378"/>
        <v>694.8</v>
      </c>
      <c r="AH495" s="481">
        <f t="shared" ref="AH495:AI495" si="379">AH417+AH429+AH441+AH452+AH463+AH474+AH485</f>
        <v>696.6</v>
      </c>
      <c r="AI495" s="481">
        <f t="shared" si="379"/>
        <v>0</v>
      </c>
      <c r="AJ495" s="53"/>
      <c r="AK495" s="53"/>
      <c r="AL495" s="53"/>
      <c r="AM495" s="53"/>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53"/>
      <c r="BK495" s="53"/>
      <c r="BL495" s="53"/>
      <c r="BM495" s="53"/>
      <c r="BN495" s="53"/>
      <c r="BO495" s="53"/>
    </row>
    <row r="496" spans="2:115" ht="15.75">
      <c r="B496" s="53" t="str">
        <f>B486</f>
        <v>BB</v>
      </c>
      <c r="C496" s="53"/>
      <c r="D496" s="53">
        <f t="shared" ref="D496:M496" si="380">D418+D430+D442+D453+D464+D486</f>
        <v>636.19999999999993</v>
      </c>
      <c r="E496" s="53">
        <f t="shared" si="380"/>
        <v>631.5</v>
      </c>
      <c r="F496" s="53">
        <f t="shared" si="380"/>
        <v>602.69999999999993</v>
      </c>
      <c r="G496" s="53">
        <f t="shared" si="380"/>
        <v>609.80000000000007</v>
      </c>
      <c r="H496" s="53">
        <f t="shared" si="380"/>
        <v>584</v>
      </c>
      <c r="I496" s="53">
        <f t="shared" si="380"/>
        <v>593.99999999999989</v>
      </c>
      <c r="J496" s="53">
        <f t="shared" si="380"/>
        <v>615.1</v>
      </c>
      <c r="K496" s="53">
        <f t="shared" si="380"/>
        <v>628.90000000000009</v>
      </c>
      <c r="L496" s="53">
        <f t="shared" si="380"/>
        <v>639.79999999999995</v>
      </c>
      <c r="M496" s="621">
        <f t="shared" si="380"/>
        <v>646</v>
      </c>
      <c r="N496" s="621">
        <f t="shared" ref="N496:X496" si="381">N418+N430+N442+N453+N464+N475+N486</f>
        <v>819.19999999999993</v>
      </c>
      <c r="O496" s="621">
        <f t="shared" si="381"/>
        <v>844.9000000000002</v>
      </c>
      <c r="P496" s="621">
        <f t="shared" si="381"/>
        <v>899</v>
      </c>
      <c r="Q496" s="621">
        <f t="shared" si="381"/>
        <v>920.5</v>
      </c>
      <c r="R496" s="481">
        <f t="shared" si="381"/>
        <v>939.5</v>
      </c>
      <c r="S496" s="481">
        <f t="shared" si="381"/>
        <v>970.40000000000009</v>
      </c>
      <c r="T496" s="481">
        <f t="shared" si="381"/>
        <v>972.00000000000011</v>
      </c>
      <c r="U496" s="481">
        <f t="shared" si="381"/>
        <v>1010.7</v>
      </c>
      <c r="V496" s="481">
        <f t="shared" si="381"/>
        <v>1043.5</v>
      </c>
      <c r="W496" s="481">
        <f t="shared" si="381"/>
        <v>1070.5</v>
      </c>
      <c r="X496" s="481">
        <f t="shared" si="381"/>
        <v>1093.9000000000001</v>
      </c>
      <c r="Y496" s="481">
        <f t="shared" si="376"/>
        <v>1128</v>
      </c>
      <c r="Z496" s="481">
        <f t="shared" si="376"/>
        <v>1152.3</v>
      </c>
      <c r="AA496" s="481">
        <f t="shared" si="376"/>
        <v>1167.3</v>
      </c>
      <c r="AB496" s="481">
        <f t="shared" si="376"/>
        <v>1186.9000000000001</v>
      </c>
      <c r="AC496" s="481">
        <f t="shared" si="377"/>
        <v>1204.4000000000001</v>
      </c>
      <c r="AD496" s="481">
        <f t="shared" si="377"/>
        <v>1210.1000000000001</v>
      </c>
      <c r="AE496" s="481">
        <f t="shared" si="377"/>
        <v>1222.0999999999999</v>
      </c>
      <c r="AF496" s="481">
        <f t="shared" ref="AF496:AG496" si="382">AF418+AF430+AF442+AF453+AF464+AF475+AF486</f>
        <v>1232.8999999999999</v>
      </c>
      <c r="AG496" s="481">
        <f t="shared" si="382"/>
        <v>1242.5999999999999</v>
      </c>
      <c r="AH496" s="481">
        <f t="shared" ref="AH496:AI496" si="383">AH418+AH430+AH442+AH453+AH464+AH475+AH486</f>
        <v>1254.3</v>
      </c>
      <c r="AI496" s="481">
        <f t="shared" si="383"/>
        <v>0</v>
      </c>
      <c r="AJ496" s="53"/>
      <c r="AK496" s="53"/>
      <c r="AL496" s="53"/>
      <c r="AM496" s="53"/>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53"/>
      <c r="BK496" s="53"/>
      <c r="BL496" s="53"/>
      <c r="BM496" s="53"/>
      <c r="BN496" s="53"/>
      <c r="BO496" s="53"/>
    </row>
    <row r="497" spans="2:66" ht="15.75">
      <c r="B497" s="53" t="str">
        <f>B487</f>
        <v>Telephony</v>
      </c>
      <c r="C497" s="53"/>
      <c r="D497" s="53">
        <f t="shared" ref="D497:M497" si="384">D419+D431+D443+D454+D465+D487</f>
        <v>808.7</v>
      </c>
      <c r="E497" s="53">
        <f t="shared" si="384"/>
        <v>798.59999999999991</v>
      </c>
      <c r="F497" s="53">
        <f t="shared" si="384"/>
        <v>775.40000000000009</v>
      </c>
      <c r="G497" s="53">
        <f t="shared" si="384"/>
        <v>778.2</v>
      </c>
      <c r="H497" s="53">
        <f t="shared" si="384"/>
        <v>596.19999999999993</v>
      </c>
      <c r="I497" s="53">
        <f t="shared" si="384"/>
        <v>610.4</v>
      </c>
      <c r="J497" s="53">
        <f t="shared" si="384"/>
        <v>576.9</v>
      </c>
      <c r="K497" s="53">
        <f t="shared" si="384"/>
        <v>584.79999999999995</v>
      </c>
      <c r="L497" s="53">
        <f t="shared" si="384"/>
        <v>596.20000000000005</v>
      </c>
      <c r="M497" s="53">
        <f t="shared" si="384"/>
        <v>600.20000000000005</v>
      </c>
      <c r="N497" s="53">
        <f t="shared" ref="N497:X497" si="385">N419+N431+N443+N454+N465+N476+N487</f>
        <v>619.70000000000005</v>
      </c>
      <c r="O497" s="53">
        <f t="shared" si="385"/>
        <v>632.4</v>
      </c>
      <c r="P497" s="53">
        <f t="shared" si="385"/>
        <v>677.4</v>
      </c>
      <c r="Q497" s="53">
        <f t="shared" si="385"/>
        <v>688</v>
      </c>
      <c r="R497" s="481">
        <f t="shared" si="385"/>
        <v>698.19999999999993</v>
      </c>
      <c r="S497" s="481">
        <f t="shared" si="385"/>
        <v>706.90000000000009</v>
      </c>
      <c r="T497" s="481">
        <f t="shared" si="385"/>
        <v>697.3</v>
      </c>
      <c r="U497" s="481">
        <f t="shared" si="385"/>
        <v>719.3</v>
      </c>
      <c r="V497" s="481">
        <f t="shared" si="385"/>
        <v>738.09999999999991</v>
      </c>
      <c r="W497" s="481">
        <f t="shared" si="385"/>
        <v>754.80000000000018</v>
      </c>
      <c r="X497" s="481">
        <f t="shared" si="385"/>
        <v>776.49999999999989</v>
      </c>
      <c r="Y497" s="481">
        <f t="shared" si="376"/>
        <v>795.6</v>
      </c>
      <c r="Z497" s="481">
        <f t="shared" si="376"/>
        <v>810.1</v>
      </c>
      <c r="AA497" s="481">
        <f t="shared" si="376"/>
        <v>825.79999999999984</v>
      </c>
      <c r="AB497" s="481">
        <f t="shared" si="376"/>
        <v>837.80000000000007</v>
      </c>
      <c r="AC497" s="481">
        <f t="shared" si="377"/>
        <v>851.50000000000011</v>
      </c>
      <c r="AD497" s="481">
        <f t="shared" si="377"/>
        <v>869.3</v>
      </c>
      <c r="AE497" s="481">
        <f t="shared" si="377"/>
        <v>887.30000000000007</v>
      </c>
      <c r="AF497" s="481">
        <f t="shared" ref="AF497:AG497" si="386">AF419+AF431+AF443+AF454+AF465+AF476+AF487</f>
        <v>902.70000000000016</v>
      </c>
      <c r="AG497" s="481">
        <f t="shared" si="386"/>
        <v>915.5</v>
      </c>
      <c r="AH497" s="481">
        <f t="shared" ref="AH497:AI497" si="387">AH419+AH431+AH443+AH454+AH465+AH476+AH487</f>
        <v>929.5</v>
      </c>
      <c r="AI497" s="481">
        <f t="shared" si="387"/>
        <v>0</v>
      </c>
      <c r="AJ497" s="53"/>
      <c r="AK497" s="53"/>
      <c r="AL497" s="53"/>
      <c r="AM497" s="53"/>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row>
    <row r="498" spans="2:66" ht="15.75">
      <c r="B498" s="53" t="s">
        <v>5</v>
      </c>
      <c r="C498" s="53"/>
      <c r="D498" s="53"/>
      <c r="E498" s="53">
        <f t="shared" ref="E498:M498" si="388">E420+E432+E444+E455+E466+E488</f>
        <v>3466.2999999999997</v>
      </c>
      <c r="F498" s="53">
        <f t="shared" si="388"/>
        <v>3526.7999999999997</v>
      </c>
      <c r="G498" s="53">
        <f t="shared" si="388"/>
        <v>3553.4</v>
      </c>
      <c r="H498" s="53">
        <f t="shared" si="388"/>
        <v>3501.2999999999997</v>
      </c>
      <c r="I498" s="53">
        <f t="shared" si="388"/>
        <v>3458.4</v>
      </c>
      <c r="J498" s="53">
        <f t="shared" si="388"/>
        <v>3416.5000000000005</v>
      </c>
      <c r="K498" s="53">
        <f t="shared" si="388"/>
        <v>3396.7</v>
      </c>
      <c r="L498" s="53">
        <f t="shared" si="388"/>
        <v>3311.1999999999994</v>
      </c>
      <c r="M498" s="53">
        <f t="shared" si="388"/>
        <v>3264.4</v>
      </c>
      <c r="N498" s="621">
        <f t="shared" ref="N498:X498" si="389">N420+N432+N443+N455+N466+N477+N488</f>
        <v>3310.4</v>
      </c>
      <c r="O498" s="621">
        <f t="shared" si="389"/>
        <v>3326.2000000000003</v>
      </c>
      <c r="P498" s="621">
        <f t="shared" si="389"/>
        <v>3467.1</v>
      </c>
      <c r="Q498" s="621">
        <f t="shared" si="389"/>
        <v>3468.5</v>
      </c>
      <c r="R498" s="481">
        <f t="shared" si="389"/>
        <v>3439.2999999999997</v>
      </c>
      <c r="S498" s="481">
        <f t="shared" si="389"/>
        <v>3399.2</v>
      </c>
      <c r="T498" s="481">
        <f t="shared" si="389"/>
        <v>3092.9000000000005</v>
      </c>
      <c r="U498" s="481">
        <f t="shared" si="389"/>
        <v>3172.8</v>
      </c>
      <c r="V498" s="481">
        <f t="shared" si="389"/>
        <v>3234.5999999999995</v>
      </c>
      <c r="W498" s="481">
        <f t="shared" si="389"/>
        <v>3298.9</v>
      </c>
      <c r="X498" s="481">
        <f t="shared" si="389"/>
        <v>3418.1</v>
      </c>
      <c r="Y498" s="481">
        <f t="shared" ref="Y498:AE498" si="390">Y420+Y432+Y443+Y455+Y466+Y477+Y488</f>
        <v>6097.2</v>
      </c>
      <c r="Z498" s="481">
        <f t="shared" si="390"/>
        <v>6353.9</v>
      </c>
      <c r="AA498" s="481">
        <f t="shared" si="390"/>
        <v>6381.6</v>
      </c>
      <c r="AB498" s="481">
        <f t="shared" si="390"/>
        <v>6293.7000000000007</v>
      </c>
      <c r="AC498" s="481">
        <f t="shared" si="390"/>
        <v>7132.4</v>
      </c>
      <c r="AD498" s="481">
        <f t="shared" si="390"/>
        <v>7178.1</v>
      </c>
      <c r="AE498" s="481">
        <f t="shared" si="390"/>
        <v>7051.8000000000011</v>
      </c>
      <c r="AF498" s="481">
        <f t="shared" ref="AF498:AG498" si="391">AF420+AF432+AF443+AF455+AF466+AF477+AF488</f>
        <v>7019.4</v>
      </c>
      <c r="AG498" s="481">
        <f t="shared" si="391"/>
        <v>7097.6999999999989</v>
      </c>
      <c r="AH498" s="481">
        <f t="shared" ref="AH498:AI498" si="392">AH420+AH432+AH443+AH455+AH466+AH477+AH488</f>
        <v>7018.9</v>
      </c>
      <c r="AI498" s="481">
        <f t="shared" si="392"/>
        <v>0</v>
      </c>
      <c r="AJ498" s="53"/>
      <c r="AK498" s="53"/>
      <c r="AL498" s="53"/>
      <c r="AM498" s="53"/>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row>
    <row r="499" spans="2:66" ht="15.75">
      <c r="B499" s="53"/>
      <c r="C499" s="53"/>
      <c r="D499" s="53"/>
      <c r="E499" s="53"/>
      <c r="F499" s="53"/>
      <c r="G499" s="53"/>
      <c r="H499" s="53"/>
      <c r="I499" s="53"/>
      <c r="J499" s="53"/>
      <c r="P499" s="53"/>
      <c r="Q499" s="53"/>
      <c r="R499" s="481"/>
      <c r="S499" s="481"/>
      <c r="V499" s="53"/>
      <c r="W499" s="53"/>
      <c r="X499" s="53"/>
      <c r="Y499" s="53"/>
      <c r="Z499" s="53"/>
      <c r="AA499" s="53"/>
      <c r="AB499" s="53"/>
      <c r="AC499" s="53"/>
      <c r="AD499" s="53"/>
      <c r="AE499" s="53"/>
      <c r="AF499" s="53"/>
      <c r="AG499" s="53"/>
      <c r="AH499" s="53"/>
      <c r="AI499" s="53"/>
      <c r="AJ499" s="53"/>
      <c r="AK499" s="53"/>
      <c r="AL499" s="53"/>
      <c r="AM499" s="53"/>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53"/>
      <c r="BK499" s="53"/>
      <c r="BL499" s="53"/>
    </row>
    <row r="500" spans="2:66" ht="15.75">
      <c r="B500" s="53" t="s">
        <v>4586</v>
      </c>
      <c r="C500" s="53"/>
      <c r="D500" s="53"/>
      <c r="E500" s="53"/>
      <c r="F500" s="53"/>
      <c r="G500" s="53"/>
      <c r="H500" s="53"/>
      <c r="I500" s="53">
        <f>I491+'LiLAC valuation'!T324+'LiLAC valuation'!T224</f>
        <v>6363.7</v>
      </c>
      <c r="J500" s="53">
        <f>J491+'LiLAC valuation'!U324+'LiLAC valuation'!U224</f>
        <v>6403.2</v>
      </c>
      <c r="K500" s="53">
        <f>K491+'LiLAC valuation'!V324+'LiLAC valuation'!V224</f>
        <v>6457.9</v>
      </c>
      <c r="L500" s="53">
        <f>L491+'LiLAC valuation'!W324+'LiLAC valuation'!W224</f>
        <v>6515.4</v>
      </c>
      <c r="M500" s="53">
        <f>M491+'LiLAC valuation'!X324+'LiLAC valuation'!X224</f>
        <v>6556</v>
      </c>
      <c r="N500" s="53">
        <f>N491+'LiLAC valuation'!Y324+'LiLAC valuation'!Y224</f>
        <v>7155.4</v>
      </c>
      <c r="O500" s="53">
        <f>O491+'LiLAC valuation'!Z324+'LiLAC valuation'!Z224</f>
        <v>7226.9000000000005</v>
      </c>
      <c r="P500" s="53">
        <f>P491+'LiLAC valuation'!AA324+'LiLAC valuation'!AA224</f>
        <v>7335.9</v>
      </c>
      <c r="Q500" s="53">
        <f>Q491+'LiLAC valuation'!AB324+'LiLAC valuation'!AB224</f>
        <v>7449.8</v>
      </c>
      <c r="R500" s="481">
        <f>R491+'LiLAC valuation'!AC324+'LiLAC valuation'!AC224</f>
        <v>7524.3</v>
      </c>
      <c r="S500" s="481">
        <f>S491+'LiLAC valuation'!AD324+'LiLAC valuation'!AD224</f>
        <v>7583</v>
      </c>
      <c r="T500" s="481">
        <f>T491+'LiLAC valuation'!AE324+'LiLAC valuation'!AE224</f>
        <v>7622.6</v>
      </c>
      <c r="U500" s="481">
        <f>U491+'LiLAC valuation'!AF324+'LiLAC valuation'!AF224</f>
        <v>7699.2000000000007</v>
      </c>
      <c r="V500" s="481">
        <f>V491+'LiLAC valuation'!AG324+'LiLAC valuation'!AG224</f>
        <v>7848.5</v>
      </c>
      <c r="W500" s="481">
        <f>W491+'LiLAC valuation'!AH324+'LiLAC valuation'!AH224</f>
        <v>7959.5</v>
      </c>
      <c r="X500" s="481">
        <f>X491+'LiLAC valuation'!AI324+'LiLAC valuation'!AI224</f>
        <v>8126.8</v>
      </c>
      <c r="Y500" s="481">
        <f>Y491+'LiLAC valuation'!AJ324+'LiLAC valuation'!AJ224</f>
        <v>8264.2000000000007</v>
      </c>
      <c r="Z500" s="481">
        <f>Z491+'LiLAC valuation'!AK324+'LiLAC valuation'!AK224</f>
        <v>8354.7999999999993</v>
      </c>
      <c r="AA500" s="481">
        <f>AA491+'LiLAC valuation'!AL324+'LiLAC valuation'!AL224</f>
        <v>8463.7999999999993</v>
      </c>
      <c r="AB500" s="481">
        <f>AB491+'LiLAC valuation'!AM324+'LiLAC valuation'!AM224</f>
        <v>8541.6</v>
      </c>
      <c r="AC500" s="481">
        <f>AC491+'LiLAC valuation'!AN324+'LiLAC valuation'!AN224</f>
        <v>8588.6</v>
      </c>
      <c r="AD500" s="481">
        <f>AD491+'LiLAC valuation'!AO324+'LiLAC valuation'!AO224</f>
        <v>4327</v>
      </c>
      <c r="AE500" s="481">
        <f>AE491+'LiLAC valuation'!AP324+'LiLAC valuation'!AP224</f>
        <v>4373.2000000000007</v>
      </c>
      <c r="AF500" s="481">
        <f>AF491+'LiLAC valuation'!AQ324+'LiLAC valuation'!AQ224</f>
        <v>4407.3999999999996</v>
      </c>
      <c r="AG500" s="481">
        <f>AG491+'LiLAC valuation'!AR324+'LiLAC valuation'!AR224</f>
        <v>4524.4000000000005</v>
      </c>
      <c r="AH500" s="481">
        <f>AH491+'LiLAC valuation'!AS324+'LiLAC valuation'!AS224</f>
        <v>4620.3999999999996</v>
      </c>
      <c r="AI500" s="481">
        <f>AI491+'LiLAC valuation'!AT324+'LiLAC valuation'!AT224</f>
        <v>1179.7</v>
      </c>
      <c r="AJ500" s="53"/>
      <c r="AK500" s="53"/>
      <c r="AL500" s="53"/>
      <c r="AM500" s="53"/>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row>
    <row r="501" spans="2:66" ht="15.75">
      <c r="B501" s="53"/>
      <c r="C501" s="53"/>
      <c r="D501" s="53"/>
      <c r="E501" s="53"/>
      <c r="F501" s="53"/>
      <c r="G501" s="53"/>
      <c r="H501" s="53"/>
      <c r="I501" s="53"/>
      <c r="J501" s="53"/>
      <c r="K501" s="53"/>
      <c r="L501" s="53"/>
      <c r="M501" s="56">
        <f>M500/I500-1</f>
        <v>3.0218269245879004E-2</v>
      </c>
      <c r="N501" s="56"/>
      <c r="O501" s="56"/>
      <c r="P501" s="56"/>
      <c r="Q501" s="56"/>
      <c r="R501" s="56">
        <f>R500/N500-1</f>
        <v>5.155546859714355E-2</v>
      </c>
      <c r="U501" s="53"/>
      <c r="V501" s="53"/>
      <c r="W501" s="53"/>
      <c r="X501" s="53"/>
      <c r="Y501" s="53"/>
      <c r="Z501" s="53"/>
      <c r="AA501" s="53"/>
      <c r="AB501" s="53"/>
      <c r="AC501" s="53"/>
      <c r="AD501" s="53"/>
      <c r="AE501" s="53"/>
      <c r="AF501" s="53"/>
      <c r="AG501" s="53"/>
      <c r="AH501" s="53"/>
      <c r="AI501" s="53"/>
      <c r="AJ501" s="53"/>
      <c r="AK501" s="53"/>
      <c r="AL501" s="53"/>
      <c r="AM501" s="53"/>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row>
    <row r="502" spans="2:66" ht="15.75">
      <c r="B502" s="53"/>
      <c r="C502" s="53"/>
      <c r="D502" s="53"/>
      <c r="E502" s="53"/>
      <c r="F502" s="53"/>
      <c r="G502" s="53"/>
      <c r="H502" s="53"/>
      <c r="I502" s="53"/>
      <c r="J502" s="53"/>
      <c r="K502" s="53"/>
      <c r="L502" s="53"/>
      <c r="M502" s="56"/>
      <c r="N502" s="56"/>
      <c r="O502" s="53"/>
      <c r="P502" s="53"/>
      <c r="Q502" s="53"/>
      <c r="R502" s="53"/>
      <c r="U502" s="53"/>
      <c r="V502" s="53"/>
      <c r="W502" s="53"/>
      <c r="X502" s="53"/>
      <c r="Y502" s="53"/>
      <c r="Z502" s="53"/>
      <c r="AA502" s="53"/>
      <c r="AB502" s="53"/>
      <c r="AC502" s="53"/>
      <c r="AD502" s="53"/>
      <c r="AE502" s="53"/>
      <c r="AF502" s="53"/>
      <c r="AG502" s="53"/>
      <c r="AH502" s="53"/>
      <c r="AI502" s="53"/>
      <c r="AJ502" s="53"/>
      <c r="AK502" s="53"/>
      <c r="AL502" s="53"/>
      <c r="AM502" s="53"/>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row>
    <row r="503" spans="2:66" ht="15.75">
      <c r="B503" s="53" t="s">
        <v>4247</v>
      </c>
      <c r="C503" s="53"/>
      <c r="D503" s="53"/>
      <c r="E503" s="53"/>
      <c r="F503" s="53"/>
      <c r="G503" s="53"/>
      <c r="H503" s="53"/>
      <c r="I503" s="53"/>
      <c r="J503" s="53"/>
      <c r="K503" s="481">
        <f>S95</f>
        <v>123.2</v>
      </c>
      <c r="L503" s="481">
        <f>T95</f>
        <v>125.5</v>
      </c>
      <c r="M503" s="481">
        <f>U95</f>
        <v>125.1</v>
      </c>
      <c r="N503" s="481">
        <f>V95</f>
        <v>124.50000000000003</v>
      </c>
      <c r="O503" s="481">
        <f>X95</f>
        <v>128.4</v>
      </c>
      <c r="P503" s="53"/>
      <c r="Q503" s="53"/>
      <c r="R503" s="53"/>
      <c r="U503" s="53"/>
      <c r="V503" s="53"/>
      <c r="W503" s="53"/>
      <c r="X503" s="53"/>
      <c r="Y503" s="53"/>
      <c r="Z503" s="53"/>
      <c r="AA503" s="53"/>
      <c r="AB503" s="53"/>
      <c r="AC503" s="53"/>
      <c r="AD503" s="53"/>
      <c r="AE503" s="53"/>
      <c r="AF503" s="53"/>
      <c r="AG503" s="53"/>
      <c r="AH503" s="53"/>
      <c r="AI503" s="53"/>
      <c r="AJ503" s="53"/>
      <c r="AK503" s="53"/>
      <c r="AL503" s="53"/>
      <c r="AM503" s="53"/>
      <c r="AN503" s="53"/>
      <c r="AO503" s="53"/>
      <c r="AP503" s="53"/>
      <c r="AQ503" s="53"/>
      <c r="AR503" s="53"/>
      <c r="AS503" s="53"/>
      <c r="AT503" s="53"/>
      <c r="AU503" s="53"/>
      <c r="AV503" s="53"/>
      <c r="AW503" s="53"/>
      <c r="AX503" s="53"/>
      <c r="AY503" s="53"/>
      <c r="AZ503" s="53"/>
      <c r="BA503" s="53"/>
      <c r="BB503" s="53"/>
      <c r="BC503" s="53"/>
      <c r="BD503" s="53"/>
      <c r="BE503" s="53"/>
      <c r="BF503" s="53"/>
      <c r="BG503" s="53"/>
      <c r="BH503" s="53"/>
      <c r="BI503" s="53"/>
      <c r="BJ503" s="53"/>
      <c r="BK503" s="53"/>
      <c r="BL503" s="53"/>
    </row>
    <row r="504" spans="2:66" ht="15.75">
      <c r="B504" s="53" t="s">
        <v>2304</v>
      </c>
      <c r="C504" s="53"/>
      <c r="D504" s="53"/>
      <c r="E504" s="53"/>
      <c r="F504" s="53"/>
      <c r="G504" s="53"/>
      <c r="H504" s="53"/>
      <c r="I504" s="53"/>
      <c r="J504" s="481">
        <f t="shared" ref="J504:O504" si="393">J493</f>
        <v>909.59999999999991</v>
      </c>
      <c r="K504" s="481">
        <f t="shared" si="393"/>
        <v>910.2</v>
      </c>
      <c r="L504" s="481">
        <f t="shared" si="393"/>
        <v>916.8</v>
      </c>
      <c r="M504" s="481">
        <f t="shared" si="393"/>
        <v>917.5</v>
      </c>
      <c r="N504" s="481">
        <f t="shared" si="393"/>
        <v>1146.5999999999999</v>
      </c>
      <c r="O504" s="481">
        <f t="shared" si="393"/>
        <v>1162.6999999999998</v>
      </c>
      <c r="P504" s="53"/>
      <c r="Q504" s="53"/>
      <c r="R504" s="53"/>
      <c r="U504" s="53"/>
      <c r="V504" s="53"/>
      <c r="W504" s="53"/>
      <c r="X504" s="53"/>
      <c r="Y504" s="53"/>
      <c r="Z504" s="53"/>
      <c r="AA504" s="53"/>
      <c r="AB504" s="53"/>
      <c r="AC504" s="53"/>
      <c r="AD504" s="53"/>
      <c r="AE504" s="53"/>
      <c r="AF504" s="53"/>
      <c r="AG504" s="53"/>
      <c r="AH504" s="53"/>
      <c r="AI504" s="53"/>
      <c r="AJ504" s="53"/>
      <c r="AK504" s="53"/>
      <c r="AL504" s="53"/>
      <c r="AM504" s="53"/>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row>
    <row r="505" spans="2:66" ht="15.75">
      <c r="B505" s="53" t="s">
        <v>4246</v>
      </c>
      <c r="C505" s="53"/>
      <c r="D505" s="53"/>
      <c r="E505" s="53"/>
      <c r="F505" s="53"/>
      <c r="G505" s="53"/>
      <c r="H505" s="53"/>
      <c r="I505" s="53"/>
      <c r="J505" s="53"/>
      <c r="K505" s="621">
        <f>K503/AVERAGE(J504,K504)/3*1000</f>
        <v>45.133164816646527</v>
      </c>
      <c r="L505" s="621">
        <f>L503/AVERAGE(K504,L504)/3*1000</f>
        <v>45.794563035942346</v>
      </c>
      <c r="M505" s="621">
        <f>M503/AVERAGE(L504,M504)/3*1000</f>
        <v>45.466935615766232</v>
      </c>
      <c r="N505" s="621">
        <f>N503/AVERAGE(M504,N504)/3*1000</f>
        <v>40.211230076062222</v>
      </c>
      <c r="O505" s="621">
        <f>O503/AVERAGE(N504,O504)/3*1000</f>
        <v>37.06750963495432</v>
      </c>
      <c r="P505" s="53"/>
      <c r="Q505" s="53"/>
      <c r="R505" s="53"/>
      <c r="S505" s="53"/>
      <c r="T505" s="53"/>
      <c r="U505" s="53"/>
      <c r="V505" s="53"/>
      <c r="W505" s="53"/>
      <c r="X505" s="53"/>
      <c r="Y505" s="53"/>
      <c r="Z505" s="53"/>
      <c r="AA505" s="53"/>
      <c r="AB505" s="53"/>
      <c r="AC505" s="53"/>
      <c r="AD505" s="53"/>
      <c r="AE505" s="53"/>
      <c r="AF505" s="53"/>
      <c r="AG505" s="53"/>
      <c r="AH505" s="53"/>
      <c r="AI505" s="53"/>
      <c r="AJ505" s="53"/>
      <c r="AK505" s="53"/>
      <c r="AL505" s="53"/>
      <c r="AM505" s="53"/>
      <c r="AN505" s="53"/>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53"/>
      <c r="BK505" s="53"/>
    </row>
    <row r="506" spans="2:66" ht="15.75">
      <c r="B506" s="53"/>
      <c r="C506" s="53"/>
      <c r="D506" s="53"/>
      <c r="E506" s="53"/>
      <c r="F506" s="53"/>
      <c r="G506" s="53"/>
      <c r="H506" s="53"/>
      <c r="I506" s="53"/>
      <c r="J506" s="53"/>
      <c r="P506" s="53"/>
      <c r="Q506" s="53"/>
      <c r="R506" s="53"/>
      <c r="S506" s="53"/>
      <c r="T506" s="53"/>
      <c r="U506" s="53"/>
      <c r="V506" s="53"/>
      <c r="W506" s="53"/>
      <c r="X506" s="53"/>
      <c r="Y506" s="53"/>
      <c r="Z506" s="53"/>
      <c r="AA506" s="53"/>
      <c r="AB506" s="53"/>
      <c r="AC506" s="53"/>
      <c r="AD506" s="53"/>
      <c r="AE506" s="53"/>
      <c r="AF506" s="53"/>
      <c r="AG506" s="53"/>
      <c r="AH506" s="53"/>
      <c r="AI506" s="53"/>
      <c r="AJ506" s="53"/>
      <c r="AK506" s="53"/>
      <c r="AL506" s="53"/>
      <c r="AM506" s="53"/>
      <c r="AN506" s="53"/>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53"/>
      <c r="BK506" s="53"/>
    </row>
    <row r="507" spans="2:66">
      <c r="B507" s="1210" t="s">
        <v>468</v>
      </c>
      <c r="C507" s="1206" t="s">
        <v>2092</v>
      </c>
      <c r="D507" s="1206" t="s">
        <v>1559</v>
      </c>
      <c r="E507" s="1206" t="s">
        <v>1560</v>
      </c>
      <c r="F507" s="1206" t="s">
        <v>2570</v>
      </c>
      <c r="G507" s="1206" t="s">
        <v>2866</v>
      </c>
      <c r="H507" s="1206" t="s">
        <v>3156</v>
      </c>
      <c r="I507" s="1206" t="s">
        <v>3165</v>
      </c>
      <c r="J507" s="1206" t="s">
        <v>3482</v>
      </c>
      <c r="K507" s="1206" t="s">
        <v>3779</v>
      </c>
      <c r="L507" s="1206" t="s">
        <v>3859</v>
      </c>
      <c r="M507" s="1206" t="s">
        <v>3860</v>
      </c>
      <c r="N507" s="1206" t="s">
        <v>4078</v>
      </c>
      <c r="O507" s="1206" t="s">
        <v>4356</v>
      </c>
      <c r="P507" s="1206" t="s">
        <v>4427</v>
      </c>
      <c r="Q507" s="1206" t="s">
        <v>4535</v>
      </c>
      <c r="R507" s="1206" t="s">
        <v>4755</v>
      </c>
      <c r="S507" s="1206" t="s">
        <v>4922</v>
      </c>
      <c r="T507" s="1206" t="s">
        <v>5188</v>
      </c>
      <c r="U507" s="1206" t="s">
        <v>5371</v>
      </c>
      <c r="V507" s="1206" t="s">
        <v>5556</v>
      </c>
      <c r="W507" s="1206" t="s">
        <v>5696</v>
      </c>
      <c r="X507" s="1212" t="s">
        <v>5878</v>
      </c>
      <c r="Y507" s="1212" t="s">
        <v>5920</v>
      </c>
      <c r="Z507" s="1212" t="s">
        <v>5949</v>
      </c>
      <c r="AA507" s="1212" t="s">
        <v>5950</v>
      </c>
      <c r="AB507" s="1212" t="s">
        <v>5951</v>
      </c>
      <c r="AC507" s="1212" t="s">
        <v>5952</v>
      </c>
      <c r="AD507" s="1212" t="s">
        <v>6525</v>
      </c>
      <c r="AE507" s="1212" t="s">
        <v>6526</v>
      </c>
      <c r="AF507" s="1212" t="s">
        <v>6527</v>
      </c>
      <c r="AG507" s="1212" t="s">
        <v>6528</v>
      </c>
      <c r="AH507" s="1212" t="s">
        <v>7121</v>
      </c>
    </row>
    <row r="508" spans="2:66">
      <c r="B508" s="1207" t="str">
        <f t="shared" ref="B508:B513" si="394">B582</f>
        <v>Two-way homes passed</v>
      </c>
      <c r="C508" s="1207"/>
      <c r="D508" s="1207">
        <f>AO488</f>
        <v>0</v>
      </c>
      <c r="E508" s="1207">
        <f>AQ488</f>
        <v>19.899999999999977</v>
      </c>
      <c r="F508" s="1207" t="e">
        <f>#REF!</f>
        <v>#REF!</v>
      </c>
      <c r="G508" s="1207">
        <f>BM488</f>
        <v>0</v>
      </c>
      <c r="H508" s="1207">
        <f>BO488</f>
        <v>0</v>
      </c>
      <c r="I508" s="1213">
        <f>'LiLAC valuation'!U239</f>
        <v>44.700000000000273</v>
      </c>
      <c r="J508" s="1213">
        <f>'LiLAC valuation'!V239</f>
        <v>45</v>
      </c>
      <c r="K508" s="1213">
        <f>'LiLAC valuation'!W239</f>
        <v>41.799999999999727</v>
      </c>
      <c r="L508" s="1213">
        <f>'LiLAC valuation'!X239</f>
        <v>48.800000000000182</v>
      </c>
      <c r="M508" s="1213">
        <f>'LiLAC valuation'!Y239</f>
        <v>14.299999999999727</v>
      </c>
      <c r="N508" s="1213">
        <f>'LiLAC valuation'!Z239</f>
        <v>43.400000000000091</v>
      </c>
      <c r="O508" s="1213">
        <f>'LiLAC valuation'!AA239</f>
        <v>52.099999999999909</v>
      </c>
      <c r="P508" s="1213">
        <f>'LiLAC valuation'!AB239</f>
        <v>55.400000000000091</v>
      </c>
      <c r="Q508" s="1213">
        <f>'LiLAC valuation'!AC239</f>
        <v>50.700000000000273</v>
      </c>
      <c r="R508" s="1213">
        <f>'LiLAC valuation'!AD239</f>
        <v>28.799999999999727</v>
      </c>
      <c r="S508" s="1213">
        <f>'LiLAC valuation'!AE239</f>
        <v>4.9000000000000909</v>
      </c>
      <c r="T508" s="1213">
        <f>'LiLAC valuation'!AF239</f>
        <v>11.400000000000091</v>
      </c>
      <c r="U508" s="1213">
        <f>'LiLAC valuation'!AG239</f>
        <v>115.29999999999973</v>
      </c>
      <c r="V508" s="1213">
        <f>'LiLAC valuation'!AH239</f>
        <v>77</v>
      </c>
      <c r="W508" s="1213">
        <f>'LiLAC valuation'!AI239</f>
        <v>130.5</v>
      </c>
      <c r="X508" s="1213">
        <f>'LiLAC valuation'!AJ239</f>
        <v>125.40000000000009</v>
      </c>
      <c r="Y508" s="1213">
        <f>'LiLAC valuation'!AK239</f>
        <v>51.700000000000273</v>
      </c>
      <c r="Z508" s="1213">
        <f>'LiLAC valuation'!AL239</f>
        <v>65</v>
      </c>
      <c r="AA508" s="1213">
        <f>'LiLAC valuation'!AM239</f>
        <v>31.199999999999818</v>
      </c>
      <c r="AB508" s="1213">
        <f>'LiLAC valuation'!AN239</f>
        <v>21</v>
      </c>
      <c r="AC508" s="1207"/>
      <c r="AD508" s="1207"/>
      <c r="AE508" s="1207"/>
      <c r="AF508" s="1207"/>
      <c r="AG508" s="1509"/>
      <c r="AH508" s="1509"/>
    </row>
    <row r="509" spans="2:66">
      <c r="B509" s="1207" t="str">
        <f t="shared" si="394"/>
        <v>Customer relationships</v>
      </c>
      <c r="C509" s="1207">
        <f>U489</f>
        <v>0</v>
      </c>
      <c r="D509" s="1207">
        <f>V489</f>
        <v>0</v>
      </c>
      <c r="E509" s="1207">
        <f>X489</f>
        <v>0</v>
      </c>
      <c r="F509" s="1207" t="e">
        <f>#REF!</f>
        <v>#REF!</v>
      </c>
      <c r="G509" s="1207" t="e">
        <f>#REF!</f>
        <v>#REF!</v>
      </c>
      <c r="H509" s="1207" t="e">
        <f>#REF!</f>
        <v>#REF!</v>
      </c>
      <c r="I509" s="1213">
        <f>'LiLAC valuation'!U240</f>
        <v>11.600000000000136</v>
      </c>
      <c r="J509" s="1213">
        <f>'LiLAC valuation'!V240</f>
        <v>20.799999999999955</v>
      </c>
      <c r="K509" s="1213">
        <f>'LiLAC valuation'!W240</f>
        <v>22.099999999999909</v>
      </c>
      <c r="L509" s="1213">
        <f>'LiLAC valuation'!X240</f>
        <v>12.900000000000091</v>
      </c>
      <c r="M509" s="1213">
        <f>'LiLAC valuation'!Y240</f>
        <v>5.7999999999999545</v>
      </c>
      <c r="N509" s="1213">
        <f>'LiLAC valuation'!Z240</f>
        <v>8.2999999999999545</v>
      </c>
      <c r="O509" s="1213">
        <f>'LiLAC valuation'!AA240</f>
        <v>16.100000000000136</v>
      </c>
      <c r="P509" s="1213">
        <f>'LiLAC valuation'!AB240</f>
        <v>9.8999999999998636</v>
      </c>
      <c r="Q509" s="1213">
        <f>'LiLAC valuation'!AC240</f>
        <v>8.9000000000000909</v>
      </c>
      <c r="R509" s="1213">
        <f>'LiLAC valuation'!AD240</f>
        <v>13</v>
      </c>
      <c r="S509" s="1213">
        <f>'LiLAC valuation'!AE240</f>
        <v>12.099999999999909</v>
      </c>
      <c r="T509" s="1213">
        <f>'LiLAC valuation'!AF240</f>
        <v>-42.099999999999909</v>
      </c>
      <c r="U509" s="1213">
        <f>'LiLAC valuation'!AG240</f>
        <v>-28.900000000000091</v>
      </c>
      <c r="V509" s="1213">
        <f>'LiLAC valuation'!AH240</f>
        <v>-10.5</v>
      </c>
      <c r="W509" s="1213">
        <f>'LiLAC valuation'!AI240</f>
        <v>-13.700000000000045</v>
      </c>
      <c r="X509" s="1213">
        <f>'LiLAC valuation'!AJ240</f>
        <v>-18.299999999999955</v>
      </c>
      <c r="Y509" s="1213">
        <f>'LiLAC valuation'!AK240</f>
        <v>-34.5</v>
      </c>
      <c r="Z509" s="1213">
        <f>'LiLAC valuation'!AL240</f>
        <v>-15.700000000000045</v>
      </c>
      <c r="AA509" s="1213">
        <f>'LiLAC valuation'!AM240</f>
        <v>-30.899999999999864</v>
      </c>
      <c r="AB509" s="1213">
        <f>'LiLAC valuation'!AN240</f>
        <v>-30.700000000000045</v>
      </c>
      <c r="AC509" s="1207"/>
      <c r="AD509" s="1207"/>
      <c r="AE509" s="1207"/>
      <c r="AF509" s="1207"/>
      <c r="AG509" s="1509"/>
      <c r="AH509" s="1509"/>
    </row>
    <row r="510" spans="2:66">
      <c r="B510" s="1207" t="str">
        <f t="shared" si="394"/>
        <v>Video</v>
      </c>
      <c r="C510" s="1207">
        <f t="shared" ref="C510:D512" si="395">W492</f>
        <v>2869.2000000000007</v>
      </c>
      <c r="D510" s="1207">
        <f t="shared" si="395"/>
        <v>2932.9000000000005</v>
      </c>
      <c r="E510" s="1207" t="e">
        <f>#REF!</f>
        <v>#REF!</v>
      </c>
      <c r="F510" s="1207" t="e">
        <f>#REF!</f>
        <v>#REF!</v>
      </c>
      <c r="G510" s="1207" t="e">
        <f>#REF!</f>
        <v>#REF!</v>
      </c>
      <c r="H510" s="1207" t="e">
        <f>#REF!</f>
        <v>#REF!</v>
      </c>
      <c r="I510" s="1213">
        <f>'LiLAC valuation'!U241</f>
        <v>-1.2999999999999545</v>
      </c>
      <c r="J510" s="1213">
        <f>'LiLAC valuation'!V241</f>
        <v>8.8999999999998636</v>
      </c>
      <c r="K510" s="1213">
        <f>'LiLAC valuation'!W241</f>
        <v>8</v>
      </c>
      <c r="L510" s="1213">
        <f>'LiLAC valuation'!X241</f>
        <v>3.9000000000000909</v>
      </c>
      <c r="M510" s="1213">
        <f>'LiLAC valuation'!Y241</f>
        <v>-8.7999999999999545</v>
      </c>
      <c r="N510" s="1213">
        <f>'LiLAC valuation'!Z241</f>
        <v>4.2999999999999545</v>
      </c>
      <c r="O510" s="1213">
        <f>'LiLAC valuation'!AA241</f>
        <v>8.5999999999999091</v>
      </c>
      <c r="P510" s="1213">
        <f>'LiLAC valuation'!AB241</f>
        <v>6</v>
      </c>
      <c r="Q510" s="1213">
        <f>'LiLAC valuation'!AC241</f>
        <v>1.4000000000000909</v>
      </c>
      <c r="R510" s="1213">
        <f>'LiLAC valuation'!AD241</f>
        <v>-0.60000000000013642</v>
      </c>
      <c r="S510" s="1213">
        <f>'LiLAC valuation'!AE241</f>
        <v>-2.5999999999999091</v>
      </c>
      <c r="T510" s="1213">
        <f>'LiLAC valuation'!AF241</f>
        <v>-23</v>
      </c>
      <c r="U510" s="1213">
        <f>'LiLAC valuation'!AG241</f>
        <v>-8</v>
      </c>
      <c r="V510" s="1213">
        <f>'LiLAC valuation'!AH241</f>
        <v>1.7000000000000455</v>
      </c>
      <c r="W510" s="1213">
        <f>'LiLAC valuation'!AI241</f>
        <v>1.7000000000000455</v>
      </c>
      <c r="X510" s="1213">
        <f>'LiLAC valuation'!AJ241</f>
        <v>1.5999999999999091</v>
      </c>
      <c r="Y510" s="1213">
        <f>'LiLAC valuation'!AK241</f>
        <v>-10</v>
      </c>
      <c r="Z510" s="1213">
        <f>'LiLAC valuation'!AL241</f>
        <v>-22.900000000000091</v>
      </c>
      <c r="AA510" s="1213">
        <f>'LiLAC valuation'!AM241</f>
        <v>-39.699999999999932</v>
      </c>
      <c r="AB510" s="1213">
        <f>'LiLAC valuation'!AN241</f>
        <v>-30</v>
      </c>
      <c r="AC510" s="1207"/>
      <c r="AD510" s="1207"/>
      <c r="AE510" s="1207"/>
      <c r="AF510" s="1207"/>
      <c r="AG510" s="1509"/>
      <c r="AH510" s="1509"/>
    </row>
    <row r="511" spans="2:66">
      <c r="B511" s="1207" t="str">
        <f t="shared" si="394"/>
        <v>BB</v>
      </c>
      <c r="C511" s="1207">
        <f t="shared" si="395"/>
        <v>1269.8</v>
      </c>
      <c r="D511" s="1207">
        <f t="shared" si="395"/>
        <v>1283.4000000000001</v>
      </c>
      <c r="E511" s="1207" t="e">
        <f>#REF!</f>
        <v>#REF!</v>
      </c>
      <c r="F511" s="1207" t="e">
        <f>#REF!</f>
        <v>#REF!</v>
      </c>
      <c r="G511" s="1207" t="e">
        <f>#REF!</f>
        <v>#REF!</v>
      </c>
      <c r="H511" s="1207" t="e">
        <f>#REF!</f>
        <v>#REF!</v>
      </c>
      <c r="I511" s="1213">
        <f>'LiLAC valuation'!U242</f>
        <v>17.099999999999909</v>
      </c>
      <c r="J511" s="1213">
        <f>'LiLAC valuation'!V242</f>
        <v>25.800000000000182</v>
      </c>
      <c r="K511" s="1213">
        <f>'LiLAC valuation'!W242</f>
        <v>26.899999999999864</v>
      </c>
      <c r="L511" s="1213">
        <f>'LiLAC valuation'!X242</f>
        <v>17.600000000000136</v>
      </c>
      <c r="M511" s="1213">
        <f>'LiLAC valuation'!Y242</f>
        <v>7.0999999999999091</v>
      </c>
      <c r="N511" s="1213">
        <f>'LiLAC valuation'!Z242</f>
        <v>13.099999999999909</v>
      </c>
      <c r="O511" s="1213">
        <f>'LiLAC valuation'!AA242</f>
        <v>18.400000000000091</v>
      </c>
      <c r="P511" s="1213">
        <f>'LiLAC valuation'!AB242</f>
        <v>13.799999999999955</v>
      </c>
      <c r="Q511" s="1213">
        <f>'LiLAC valuation'!AC242</f>
        <v>12.799999999999955</v>
      </c>
      <c r="R511" s="1213">
        <f>'LiLAC valuation'!AD242</f>
        <v>14.300000000000182</v>
      </c>
      <c r="S511" s="1213">
        <f>'LiLAC valuation'!AE242</f>
        <v>18.599999999999909</v>
      </c>
      <c r="T511" s="1213">
        <f>'LiLAC valuation'!AF242</f>
        <v>-34</v>
      </c>
      <c r="U511" s="1213">
        <f>'LiLAC valuation'!AG242</f>
        <v>-29.900000000000091</v>
      </c>
      <c r="V511" s="1213">
        <f>'LiLAC valuation'!AH242</f>
        <v>-8.1999999999998181</v>
      </c>
      <c r="W511" s="1213">
        <f>'LiLAC valuation'!AI242</f>
        <v>-11.600000000000136</v>
      </c>
      <c r="X511" s="1213">
        <f>'LiLAC valuation'!AJ242</f>
        <v>-16.700000000000045</v>
      </c>
      <c r="Y511" s="1213">
        <f>'LiLAC valuation'!AK242</f>
        <v>-30.699999999999818</v>
      </c>
      <c r="Z511" s="1213">
        <f>'LiLAC valuation'!AL242</f>
        <v>-9.2000000000000455</v>
      </c>
      <c r="AA511" s="1213">
        <f>'LiLAC valuation'!AM242</f>
        <v>-17.700000000000045</v>
      </c>
      <c r="AB511" s="1213">
        <f>'LiLAC valuation'!AN242</f>
        <v>-20.200000000000045</v>
      </c>
      <c r="AC511" s="1207"/>
      <c r="AD511" s="1207"/>
      <c r="AE511" s="1207"/>
      <c r="AF511" s="1207"/>
      <c r="AG511" s="1509"/>
      <c r="AH511" s="1509"/>
    </row>
    <row r="512" spans="2:66">
      <c r="B512" s="1207" t="str">
        <f t="shared" si="394"/>
        <v>Telephony</v>
      </c>
      <c r="C512" s="1207">
        <f t="shared" si="395"/>
        <v>1311.4465149848902</v>
      </c>
      <c r="D512" s="1207">
        <f t="shared" si="395"/>
        <v>1334.2571371349009</v>
      </c>
      <c r="E512" s="1207" t="e">
        <f>#REF!</f>
        <v>#REF!</v>
      </c>
      <c r="F512" s="1207" t="e">
        <f>#REF!</f>
        <v>#REF!</v>
      </c>
      <c r="G512" s="1207" t="e">
        <f>#REF!</f>
        <v>#REF!</v>
      </c>
      <c r="H512" s="1207" t="e">
        <f>#REF!</f>
        <v>#REF!</v>
      </c>
      <c r="I512" s="1213">
        <f>'LiLAC valuation'!U243</f>
        <v>-12.100000000000023</v>
      </c>
      <c r="J512" s="1213">
        <f>'LiLAC valuation'!V243</f>
        <v>-11.100000000000023</v>
      </c>
      <c r="K512" s="1213">
        <f>'LiLAC valuation'!W243</f>
        <v>-13.299999999999955</v>
      </c>
      <c r="L512" s="1213">
        <f>'LiLAC valuation'!X243</f>
        <v>-18.299999999999955</v>
      </c>
      <c r="M512" s="1213">
        <f>'LiLAC valuation'!Y243</f>
        <v>-12.800000000000068</v>
      </c>
      <c r="N512" s="1213">
        <f>'LiLAC valuation'!Z243</f>
        <v>-10.5</v>
      </c>
      <c r="O512" s="1213">
        <f>'LiLAC valuation'!AA243</f>
        <v>-4.6999999999999318</v>
      </c>
      <c r="P512" s="1213">
        <f>'LiLAC valuation'!AB243</f>
        <v>-5.1000000000000227</v>
      </c>
      <c r="Q512" s="1213">
        <f>'LiLAC valuation'!AC243</f>
        <v>-4.8999999999999773</v>
      </c>
      <c r="R512" s="1213">
        <f>'LiLAC valuation'!AD243</f>
        <v>-7.7000000000000455</v>
      </c>
      <c r="S512" s="1213">
        <f>'LiLAC valuation'!AE243</f>
        <v>-10.899999999999977</v>
      </c>
      <c r="T512" s="1213">
        <f>'LiLAC valuation'!AF243</f>
        <v>-30.300000000000011</v>
      </c>
      <c r="U512" s="1213">
        <f>'LiLAC valuation'!AG243</f>
        <v>-1.6000000000000227</v>
      </c>
      <c r="V512" s="1213">
        <f>'LiLAC valuation'!AH243</f>
        <v>13</v>
      </c>
      <c r="W512" s="1213">
        <f>'LiLAC valuation'!AI243</f>
        <v>7.0999999999999659</v>
      </c>
      <c r="X512" s="1213">
        <f>'LiLAC valuation'!AJ243</f>
        <v>19.5</v>
      </c>
      <c r="Y512" s="1213">
        <f>'LiLAC valuation'!AK243</f>
        <v>8.1000000000000227</v>
      </c>
      <c r="Z512" s="1213">
        <f>'LiLAC valuation'!AL243</f>
        <v>-12.600000000000023</v>
      </c>
      <c r="AA512" s="1213">
        <f>'LiLAC valuation'!AM243</f>
        <v>-29.299999999999955</v>
      </c>
      <c r="AB512" s="1213">
        <f>'LiLAC valuation'!AN243</f>
        <v>-16.899999999999977</v>
      </c>
      <c r="AC512" s="1207"/>
      <c r="AD512" s="1207"/>
      <c r="AE512" s="1207"/>
      <c r="AF512" s="1207"/>
      <c r="AG512" s="1509"/>
      <c r="AH512" s="1509"/>
    </row>
    <row r="513" spans="2:34">
      <c r="B513" s="1207" t="str">
        <f t="shared" si="394"/>
        <v>Fixed RGUs</v>
      </c>
      <c r="C513" s="1207">
        <f t="shared" ref="C513:Y513" si="396">SUM(C510:C512)</f>
        <v>5450.4465149848911</v>
      </c>
      <c r="D513" s="1207">
        <f t="shared" si="396"/>
        <v>5550.5571371349015</v>
      </c>
      <c r="E513" s="1207" t="e">
        <f t="shared" si="396"/>
        <v>#REF!</v>
      </c>
      <c r="F513" s="1207" t="e">
        <f t="shared" si="396"/>
        <v>#REF!</v>
      </c>
      <c r="G513" s="1207" t="e">
        <f t="shared" si="396"/>
        <v>#REF!</v>
      </c>
      <c r="H513" s="1207" t="e">
        <f t="shared" si="396"/>
        <v>#REF!</v>
      </c>
      <c r="I513" s="1213">
        <f t="shared" si="396"/>
        <v>3.6999999999999318</v>
      </c>
      <c r="J513" s="1213">
        <f t="shared" si="396"/>
        <v>23.600000000000023</v>
      </c>
      <c r="K513" s="1213">
        <f t="shared" si="396"/>
        <v>21.599999999999909</v>
      </c>
      <c r="L513" s="1213">
        <f t="shared" si="396"/>
        <v>3.2000000000002728</v>
      </c>
      <c r="M513" s="1213">
        <f t="shared" si="396"/>
        <v>-14.500000000000114</v>
      </c>
      <c r="N513" s="1213">
        <f t="shared" si="396"/>
        <v>6.8999999999998636</v>
      </c>
      <c r="O513" s="1213">
        <f t="shared" si="396"/>
        <v>22.300000000000068</v>
      </c>
      <c r="P513" s="1213">
        <f t="shared" si="396"/>
        <v>14.699999999999932</v>
      </c>
      <c r="Q513" s="1213">
        <f t="shared" si="396"/>
        <v>9.3000000000000682</v>
      </c>
      <c r="R513" s="1213">
        <f t="shared" si="396"/>
        <v>6</v>
      </c>
      <c r="S513" s="1213">
        <f t="shared" si="396"/>
        <v>5.1000000000000227</v>
      </c>
      <c r="T513" s="1213">
        <f t="shared" si="396"/>
        <v>-87.300000000000011</v>
      </c>
      <c r="U513" s="1213">
        <f t="shared" si="396"/>
        <v>-39.500000000000114</v>
      </c>
      <c r="V513" s="1213">
        <f t="shared" si="396"/>
        <v>6.5000000000002274</v>
      </c>
      <c r="W513" s="1213">
        <f t="shared" si="396"/>
        <v>-2.8000000000001251</v>
      </c>
      <c r="X513" s="1213">
        <f t="shared" si="396"/>
        <v>4.3999999999998636</v>
      </c>
      <c r="Y513" s="1213">
        <f t="shared" si="396"/>
        <v>-32.599999999999795</v>
      </c>
      <c r="Z513" s="1213">
        <f>SUM(Z510:Z512)</f>
        <v>-44.700000000000159</v>
      </c>
      <c r="AA513" s="1213">
        <f>SUM(AA510:AA512)</f>
        <v>-86.699999999999932</v>
      </c>
      <c r="AB513" s="1213">
        <f>SUM(AB510:AB512)</f>
        <v>-67.100000000000023</v>
      </c>
      <c r="AC513" s="1207"/>
      <c r="AD513" s="1207"/>
      <c r="AE513" s="1207"/>
      <c r="AF513" s="1207"/>
      <c r="AG513" s="1509"/>
      <c r="AH513" s="1509"/>
    </row>
    <row r="514" spans="2:34">
      <c r="B514" s="1207" t="s">
        <v>5</v>
      </c>
      <c r="C514" s="1207"/>
      <c r="D514" s="1207"/>
      <c r="E514" s="1207" t="e">
        <f>#REF!</f>
        <v>#REF!</v>
      </c>
      <c r="F514" s="1207" t="e">
        <f>#REF!</f>
        <v>#REF!</v>
      </c>
      <c r="G514" s="1207" t="e">
        <f>#REF!</f>
        <v>#REF!</v>
      </c>
      <c r="H514" s="1207" t="e">
        <f>#REF!</f>
        <v>#REF!</v>
      </c>
      <c r="I514" s="1213">
        <f>'LiLAC valuation'!U244</f>
        <v>8.7000000000000171</v>
      </c>
      <c r="J514" s="1213">
        <f>'LiLAC valuation'!V244</f>
        <v>8.7999999999999829</v>
      </c>
      <c r="K514" s="1213">
        <f>'LiLAC valuation'!W244</f>
        <v>12.600000000000023</v>
      </c>
      <c r="L514" s="1213">
        <f>'LiLAC valuation'!X244</f>
        <v>9.5</v>
      </c>
      <c r="M514" s="1213">
        <f>'LiLAC valuation'!Y244</f>
        <v>10.5</v>
      </c>
      <c r="N514" s="1213">
        <f>'LiLAC valuation'!Z244</f>
        <v>10</v>
      </c>
      <c r="O514" s="1213">
        <f>'LiLAC valuation'!AA244</f>
        <v>9.8000000000000114</v>
      </c>
      <c r="P514" s="1213">
        <f>'LiLAC valuation'!AB244</f>
        <v>13.299999999999955</v>
      </c>
      <c r="Q514" s="1213">
        <f>'LiLAC valuation'!AC244</f>
        <v>11.400000000000034</v>
      </c>
      <c r="R514" s="1213">
        <f>'LiLAC valuation'!AD244</f>
        <v>4.0999999999999659</v>
      </c>
      <c r="S514" s="1213">
        <f>'LiLAC valuation'!AE244</f>
        <v>-3.2999999999999545</v>
      </c>
      <c r="T514" s="1213">
        <f>'LiLAC valuation'!AF244</f>
        <v>-10.700000000000045</v>
      </c>
      <c r="U514" s="1213">
        <f>'LiLAC valuation'!AG244</f>
        <v>-10.599999999999966</v>
      </c>
      <c r="V514" s="1213">
        <f>'LiLAC valuation'!AH244</f>
        <v>-6.4000000000000341</v>
      </c>
      <c r="W514" s="1213">
        <f>'LiLAC valuation'!AI244</f>
        <v>-6.5</v>
      </c>
      <c r="X514" s="1213">
        <f>'LiLAC valuation'!AJ244</f>
        <v>-6.6999999999999886</v>
      </c>
      <c r="Y514" s="1213">
        <f>'LiLAC valuation'!AK244</f>
        <v>-8.6999999999999886</v>
      </c>
      <c r="Z514" s="1213">
        <f>'LiLAC valuation'!AL244</f>
        <v>-6.4000000000000057</v>
      </c>
      <c r="AA514" s="1213">
        <f>'LiLAC valuation'!AM244</f>
        <v>8</v>
      </c>
      <c r="AB514" s="1213">
        <f>'LiLAC valuation'!AN244</f>
        <v>10.599999999999994</v>
      </c>
      <c r="AC514" s="1207"/>
      <c r="AD514" s="1207"/>
      <c r="AE514" s="1207"/>
      <c r="AF514" s="1207"/>
      <c r="AG514" s="1509"/>
      <c r="AH514" s="1509"/>
    </row>
    <row r="515" spans="2:34">
      <c r="B515" s="1207"/>
      <c r="C515" s="1207"/>
      <c r="D515" s="1207"/>
      <c r="E515" s="1207"/>
      <c r="F515" s="1207"/>
      <c r="G515" s="1203"/>
      <c r="H515" s="1207"/>
      <c r="I515" s="1213"/>
      <c r="J515" s="1213"/>
      <c r="K515" s="1213"/>
      <c r="L515" s="1213"/>
      <c r="M515" s="1213"/>
      <c r="N515" s="1213"/>
      <c r="O515" s="1213"/>
      <c r="P515" s="1213"/>
      <c r="Q515" s="1213"/>
      <c r="R515" s="1203"/>
      <c r="S515" s="1203"/>
      <c r="T515" s="1203"/>
      <c r="U515" s="1203"/>
      <c r="V515" s="1203"/>
      <c r="W515" s="1203"/>
      <c r="X515" s="1203"/>
      <c r="Y515" s="1203"/>
      <c r="Z515" s="1203"/>
      <c r="AA515" s="1203"/>
      <c r="AB515" s="1203"/>
      <c r="AC515" s="1207"/>
      <c r="AD515" s="1207"/>
      <c r="AE515" s="1207"/>
      <c r="AF515" s="1207"/>
      <c r="AG515" s="1509"/>
      <c r="AH515" s="1509"/>
    </row>
    <row r="516" spans="2:34">
      <c r="B516" s="1210" t="s">
        <v>469</v>
      </c>
      <c r="C516" s="1207"/>
      <c r="D516" s="1207"/>
      <c r="E516" s="1207"/>
      <c r="F516" s="1207"/>
      <c r="G516" s="1203"/>
      <c r="H516" s="1207"/>
      <c r="I516" s="1206" t="str">
        <f t="shared" ref="I516:T516" si="397">I507</f>
        <v>Q4 17</v>
      </c>
      <c r="J516" s="1206" t="str">
        <f t="shared" si="397"/>
        <v>Q1 18</v>
      </c>
      <c r="K516" s="1206" t="str">
        <f t="shared" si="397"/>
        <v>Q2 18</v>
      </c>
      <c r="L516" s="1206" t="str">
        <f t="shared" si="397"/>
        <v>Q3 18</v>
      </c>
      <c r="M516" s="1206" t="str">
        <f t="shared" si="397"/>
        <v>Q4 18</v>
      </c>
      <c r="N516" s="1206" t="str">
        <f t="shared" si="397"/>
        <v>Q1 19</v>
      </c>
      <c r="O516" s="1206" t="str">
        <f t="shared" si="397"/>
        <v>Q2 19</v>
      </c>
      <c r="P516" s="1206" t="str">
        <f t="shared" si="397"/>
        <v>Q3 19</v>
      </c>
      <c r="Q516" s="1206" t="str">
        <f t="shared" si="397"/>
        <v>Q4 19</v>
      </c>
      <c r="R516" s="1206" t="str">
        <f t="shared" si="397"/>
        <v>Q1 20</v>
      </c>
      <c r="S516" s="1206" t="str">
        <f t="shared" si="397"/>
        <v>Q2 20</v>
      </c>
      <c r="T516" s="1206" t="str">
        <f t="shared" si="397"/>
        <v>Q3 20</v>
      </c>
      <c r="U516" s="1206" t="s">
        <v>5371</v>
      </c>
      <c r="V516" s="1206" t="str">
        <f t="shared" ref="V516:AA516" si="398">V507</f>
        <v>Q1 21</v>
      </c>
      <c r="W516" s="1206" t="str">
        <f t="shared" si="398"/>
        <v>Q2 21</v>
      </c>
      <c r="X516" s="1206" t="str">
        <f t="shared" si="398"/>
        <v>Q3 21</v>
      </c>
      <c r="Y516" s="1206" t="str">
        <f t="shared" si="398"/>
        <v>Q4 21</v>
      </c>
      <c r="Z516" s="1206" t="str">
        <f t="shared" si="398"/>
        <v>Q1 22</v>
      </c>
      <c r="AA516" s="1206" t="str">
        <f t="shared" si="398"/>
        <v>Q2 22</v>
      </c>
      <c r="AB516" s="1206" t="str">
        <f>AB507</f>
        <v>Q3 22</v>
      </c>
      <c r="AC516" s="1206" t="str">
        <f t="shared" ref="AC516" si="399">AC507</f>
        <v>Q4 22</v>
      </c>
      <c r="AD516" s="1206" t="str">
        <f t="shared" ref="AD516:AE516" si="400">AD507</f>
        <v>Q1 23</v>
      </c>
      <c r="AE516" s="1206" t="str">
        <f t="shared" si="400"/>
        <v>Q2 23</v>
      </c>
      <c r="AF516" s="1206" t="str">
        <f t="shared" ref="AF516:AH516" si="401">AF507</f>
        <v>Q3 23</v>
      </c>
      <c r="AG516" s="1206" t="str">
        <f t="shared" si="401"/>
        <v>Q4 23</v>
      </c>
      <c r="AH516" s="1206" t="str">
        <f t="shared" si="401"/>
        <v>Q1 24</v>
      </c>
    </row>
    <row r="517" spans="2:34">
      <c r="B517" s="1207" t="str">
        <f t="shared" ref="B517:B522" si="402">B582</f>
        <v>Two-way homes passed</v>
      </c>
      <c r="C517" s="1214"/>
      <c r="D517" s="1207">
        <f>V499</f>
        <v>0</v>
      </c>
      <c r="E517" s="1207">
        <f>X499</f>
        <v>0</v>
      </c>
      <c r="F517" s="1207" t="e">
        <f>#REF!</f>
        <v>#REF!</v>
      </c>
      <c r="G517" s="1207" t="e">
        <f>#REF!</f>
        <v>#REF!</v>
      </c>
      <c r="H517" s="1207">
        <f>AN499</f>
        <v>0</v>
      </c>
      <c r="I517" s="1213">
        <f>'LiLAC valuation'!U343</f>
        <v>-30</v>
      </c>
      <c r="J517" s="1213">
        <f>'LiLAC valuation'!V343</f>
        <v>0</v>
      </c>
      <c r="K517" s="1213">
        <f>'LiLAC valuation'!W343</f>
        <v>0</v>
      </c>
      <c r="L517" s="1213">
        <f>'LiLAC valuation'!X343</f>
        <v>0</v>
      </c>
      <c r="M517" s="1213">
        <f>'LiLAC valuation'!Y343</f>
        <v>11.5</v>
      </c>
      <c r="N517" s="1213">
        <f>'LiLAC valuation'!Z343</f>
        <v>5.3999999999998636</v>
      </c>
      <c r="O517" s="1213">
        <f>'LiLAC valuation'!AA343</f>
        <v>5.1000000000001364</v>
      </c>
      <c r="P517" s="1213">
        <f>'LiLAC valuation'!AB343</f>
        <v>3.5</v>
      </c>
      <c r="Q517" s="1213">
        <f>'LiLAC valuation'!AC343</f>
        <v>8.5999999999999091</v>
      </c>
      <c r="R517" s="1213">
        <f>'LiLAC valuation'!AD343</f>
        <v>7.4000000000000909</v>
      </c>
      <c r="S517" s="1213">
        <f>'LiLAC valuation'!AE343</f>
        <v>6.1999999999998181</v>
      </c>
      <c r="T517" s="1213">
        <f>'LiLAC valuation'!AF343</f>
        <v>5.2000000000000455</v>
      </c>
      <c r="U517" s="1213">
        <f>'LiLAC valuation'!AG343</f>
        <v>7.9000000000000909</v>
      </c>
      <c r="V517" s="1213">
        <f>'LiLAC valuation'!AH343</f>
        <v>2.2999999999999545</v>
      </c>
      <c r="W517" s="1213">
        <f>'LiLAC valuation'!AI343</f>
        <v>6.4000000000000909</v>
      </c>
      <c r="X517" s="1213">
        <f>'LiLAC valuation'!AJ343</f>
        <v>4.3999999999998636</v>
      </c>
      <c r="Y517" s="1213">
        <f>'LiLAC valuation'!AK343</f>
        <v>9.4000000000000909</v>
      </c>
      <c r="Z517" s="1213">
        <f>'LiLAC valuation'!AL343</f>
        <v>3.2000000000000455</v>
      </c>
      <c r="AA517" s="1213">
        <f>'LiLAC valuation'!AM343</f>
        <v>3.0999999999999091</v>
      </c>
      <c r="AB517" s="1213">
        <f>'LiLAC valuation'!AN343</f>
        <v>3</v>
      </c>
      <c r="AC517" s="1213">
        <f>'LiLAC valuation'!AO343</f>
        <v>4.0999999999999091</v>
      </c>
      <c r="AD517" s="1213">
        <f>'LiLAC valuation'!AP343</f>
        <v>1.6000000000001364</v>
      </c>
      <c r="AE517" s="1213">
        <f>'LiLAC valuation'!AQ343</f>
        <v>0.79999999999995453</v>
      </c>
      <c r="AF517" s="1213">
        <f>'LiLAC valuation'!AR343</f>
        <v>1.7000000000000455</v>
      </c>
      <c r="AG517" s="1213">
        <f>'LiLAC valuation'!AS343</f>
        <v>1</v>
      </c>
      <c r="AH517" s="1213">
        <f>'LiLAC valuation'!AT343</f>
        <v>1</v>
      </c>
    </row>
    <row r="518" spans="2:34">
      <c r="B518" s="1207" t="str">
        <f t="shared" si="402"/>
        <v>Customer relationships</v>
      </c>
      <c r="C518" s="1207" t="str">
        <f>S537</f>
        <v>Q2 20</v>
      </c>
      <c r="D518" s="1207" t="str">
        <f>T537</f>
        <v>Q3 20</v>
      </c>
      <c r="E518" s="1207" t="str">
        <f>V537</f>
        <v>Q1 21</v>
      </c>
      <c r="F518" s="1207" t="e">
        <f>#REF!</f>
        <v>#REF!</v>
      </c>
      <c r="G518" s="1207" t="str">
        <f>AD537</f>
        <v>Q1 23</v>
      </c>
      <c r="H518" s="1207" t="e">
        <f>#REF!</f>
        <v>#REF!</v>
      </c>
      <c r="I518" s="1213">
        <f>'LiLAC valuation'!U344</f>
        <v>-30.5</v>
      </c>
      <c r="J518" s="1213">
        <f>'LiLAC valuation'!V344</f>
        <v>-7.3999999999999773</v>
      </c>
      <c r="K518" s="1213">
        <f>'LiLAC valuation'!W344</f>
        <v>-8.1999999999999886</v>
      </c>
      <c r="L518" s="1213">
        <f>'LiLAC valuation'!X344</f>
        <v>-3.9000000000000341</v>
      </c>
      <c r="M518" s="1213">
        <f>'LiLAC valuation'!Y344</f>
        <v>17.900000000000034</v>
      </c>
      <c r="N518" s="1213">
        <f>'LiLAC valuation'!Z344</f>
        <v>11.199999999999989</v>
      </c>
      <c r="O518" s="1213">
        <f>'LiLAC valuation'!AA344</f>
        <v>4.6999999999999886</v>
      </c>
      <c r="P518" s="1213">
        <f>'LiLAC valuation'!AB344</f>
        <v>5.5</v>
      </c>
      <c r="Q518" s="1213">
        <f>'LiLAC valuation'!AC344</f>
        <v>7.1000000000000227</v>
      </c>
      <c r="R518" s="1213">
        <f>'LiLAC valuation'!AD344</f>
        <v>5.1999999999999886</v>
      </c>
      <c r="S518" s="1213">
        <f>'LiLAC valuation'!AE344</f>
        <v>20.300000000000011</v>
      </c>
      <c r="T518" s="1213">
        <f>'LiLAC valuation'!AF344</f>
        <v>26.199999999999989</v>
      </c>
      <c r="U518" s="1213">
        <f>'LiLAC valuation'!AG344</f>
        <v>24.199999999999989</v>
      </c>
      <c r="V518" s="1213">
        <f>'LiLAC valuation'!AH344</f>
        <v>11.800000000000011</v>
      </c>
      <c r="W518" s="1213">
        <f>'LiLAC valuation'!AI344</f>
        <v>16.300000000000011</v>
      </c>
      <c r="X518" s="1213">
        <f>'LiLAC valuation'!AJ344</f>
        <v>8</v>
      </c>
      <c r="Y518" s="1213">
        <f>'LiLAC valuation'!AK344</f>
        <v>3.8999999999999773</v>
      </c>
      <c r="Z518" s="1213">
        <f>'LiLAC valuation'!AL344</f>
        <v>14.399999999999977</v>
      </c>
      <c r="AA518" s="1213">
        <f>'LiLAC valuation'!AM344</f>
        <v>10.200000000000045</v>
      </c>
      <c r="AB518" s="1213">
        <f>'LiLAC valuation'!AN344</f>
        <v>9.1000000000000227</v>
      </c>
      <c r="AC518" s="1213">
        <f>'LiLAC valuation'!AO344</f>
        <v>-3.1000000000000227</v>
      </c>
      <c r="AD518" s="1213">
        <f>'LiLAC valuation'!AP344</f>
        <v>17.100000000000023</v>
      </c>
      <c r="AE518" s="1213">
        <f>'LiLAC valuation'!AQ344</f>
        <v>-16.300000000000068</v>
      </c>
      <c r="AF518" s="1213">
        <f>'LiLAC valuation'!AR344</f>
        <v>25.899999999999977</v>
      </c>
      <c r="AG518" s="1213">
        <f>'LiLAC valuation'!AS344</f>
        <v>3</v>
      </c>
      <c r="AH518" s="1213">
        <f>'LiLAC valuation'!AT344</f>
        <v>2.4000000000000909</v>
      </c>
    </row>
    <row r="519" spans="2:34">
      <c r="B519" s="1207" t="str">
        <f t="shared" si="402"/>
        <v>Video</v>
      </c>
      <c r="C519" s="1207">
        <f t="shared" ref="C519:D521" si="403">S540</f>
        <v>-18</v>
      </c>
      <c r="D519" s="1207">
        <f t="shared" si="403"/>
        <v>7.5</v>
      </c>
      <c r="E519" s="1207">
        <f>V540</f>
        <v>1.3999999999999915</v>
      </c>
      <c r="F519" s="1207" t="e">
        <f>#REF!</f>
        <v>#REF!</v>
      </c>
      <c r="G519" s="1207">
        <f>AD540</f>
        <v>2.8999999999999888</v>
      </c>
      <c r="H519" s="1207" t="e">
        <f>#REF!</f>
        <v>#REF!</v>
      </c>
      <c r="I519" s="1213">
        <f>'LiLAC valuation'!U345</f>
        <v>-22.900000000000006</v>
      </c>
      <c r="J519" s="1213">
        <f>'LiLAC valuation'!V345</f>
        <v>-9.9000000000000057</v>
      </c>
      <c r="K519" s="1213">
        <f>'LiLAC valuation'!W345</f>
        <v>-7.6999999999999886</v>
      </c>
      <c r="L519" s="1213">
        <f>'LiLAC valuation'!X345</f>
        <v>-6.4000000000000057</v>
      </c>
      <c r="M519" s="1213">
        <f>'LiLAC valuation'!Y345</f>
        <v>9</v>
      </c>
      <c r="N519" s="1213">
        <f>'LiLAC valuation'!Z345</f>
        <v>4.5999999999999943</v>
      </c>
      <c r="O519" s="1213">
        <f>'LiLAC valuation'!AA345</f>
        <v>-1.6999999999999886</v>
      </c>
      <c r="P519" s="1213">
        <f>'LiLAC valuation'!AB345</f>
        <v>-1</v>
      </c>
      <c r="Q519" s="1213">
        <f>'LiLAC valuation'!AC345</f>
        <v>2.6999999999999886</v>
      </c>
      <c r="R519" s="1213">
        <f>'LiLAC valuation'!AD345</f>
        <v>-9.9999999999994316E-2</v>
      </c>
      <c r="S519" s="1213">
        <f>'LiLAC valuation'!AE345</f>
        <v>3.7000000000000171</v>
      </c>
      <c r="T519" s="1213">
        <f>'LiLAC valuation'!AF345</f>
        <v>5.7999999999999829</v>
      </c>
      <c r="U519" s="1213">
        <f>'LiLAC valuation'!AG345</f>
        <v>4.0999999999999943</v>
      </c>
      <c r="V519" s="1213">
        <f>'LiLAC valuation'!AH345</f>
        <v>3.2000000000000171</v>
      </c>
      <c r="W519" s="1213">
        <f>'LiLAC valuation'!AI345</f>
        <v>3.7999999999999829</v>
      </c>
      <c r="X519" s="1213">
        <f>'LiLAC valuation'!AJ345</f>
        <v>1.7000000000000171</v>
      </c>
      <c r="Y519" s="1213">
        <f>'LiLAC valuation'!AK345</f>
        <v>1.7999999999999829</v>
      </c>
      <c r="Z519" s="1213">
        <f>'LiLAC valuation'!AL345</f>
        <v>1.3000000000000114</v>
      </c>
      <c r="AA519" s="1213">
        <f>'LiLAC valuation'!AM345</f>
        <v>0.30000000000001137</v>
      </c>
      <c r="AB519" s="1213">
        <f>'LiLAC valuation'!AN345</f>
        <v>0.19999999999998863</v>
      </c>
      <c r="AC519" s="1213">
        <f>'LiLAC valuation'!AO345</f>
        <v>-4.6999999999999886</v>
      </c>
      <c r="AD519" s="1213">
        <f>'LiLAC valuation'!AP345</f>
        <v>-0.10000000000002274</v>
      </c>
      <c r="AE519" s="1213">
        <f>'LiLAC valuation'!AQ345</f>
        <v>-1.2999999999999829</v>
      </c>
      <c r="AF519" s="1213">
        <f>'LiLAC valuation'!AR345</f>
        <v>-2.5</v>
      </c>
      <c r="AG519" s="1213">
        <f>'LiLAC valuation'!AS345</f>
        <v>-1.8000000000000114</v>
      </c>
      <c r="AH519" s="1213">
        <f>'LiLAC valuation'!AT345</f>
        <v>-2.0999999999999943</v>
      </c>
    </row>
    <row r="520" spans="2:34">
      <c r="B520" s="1207" t="str">
        <f t="shared" si="402"/>
        <v>BB</v>
      </c>
      <c r="C520" s="1207">
        <f t="shared" si="403"/>
        <v>-11.800000000000011</v>
      </c>
      <c r="D520" s="1207">
        <f t="shared" si="403"/>
        <v>19</v>
      </c>
      <c r="E520" s="1207">
        <f>V541</f>
        <v>5.0999999999999943</v>
      </c>
      <c r="F520" s="1207" t="e">
        <f>#REF!</f>
        <v>#REF!</v>
      </c>
      <c r="G520" s="1207">
        <f>AD541</f>
        <v>8.9999999999999947</v>
      </c>
      <c r="H520" s="1207" t="e">
        <f>#REF!</f>
        <v>#REF!</v>
      </c>
      <c r="I520" s="1213">
        <f>'LiLAC valuation'!U346</f>
        <v>-24.699999999999989</v>
      </c>
      <c r="J520" s="1213">
        <f>'LiLAC valuation'!V346</f>
        <v>-2.6000000000000227</v>
      </c>
      <c r="K520" s="1213">
        <f>'LiLAC valuation'!W346</f>
        <v>-2.8000000000000114</v>
      </c>
      <c r="L520" s="1213">
        <f>'LiLAC valuation'!X346</f>
        <v>-2.8000000000000114</v>
      </c>
      <c r="M520" s="1213">
        <f>'LiLAC valuation'!Y346</f>
        <v>19.100000000000023</v>
      </c>
      <c r="N520" s="1213">
        <f>'LiLAC valuation'!Z346</f>
        <v>11.5</v>
      </c>
      <c r="O520" s="1213">
        <f>'LiLAC valuation'!AA346</f>
        <v>4.8999999999999773</v>
      </c>
      <c r="P520" s="1213">
        <f>'LiLAC valuation'!AB346</f>
        <v>6.3000000000000114</v>
      </c>
      <c r="Q520" s="1213">
        <f>'LiLAC valuation'!AC346</f>
        <v>7</v>
      </c>
      <c r="R520" s="1213">
        <f>'LiLAC valuation'!AD346</f>
        <v>6.4000000000000341</v>
      </c>
      <c r="S520" s="1213">
        <f>'LiLAC valuation'!AE346</f>
        <v>21.5</v>
      </c>
      <c r="T520" s="1213">
        <f>'LiLAC valuation'!AF346</f>
        <v>27.299999999999955</v>
      </c>
      <c r="U520" s="1213">
        <f>'LiLAC valuation'!AG346</f>
        <v>25.400000000000034</v>
      </c>
      <c r="V520" s="1213">
        <f>'LiLAC valuation'!AH346</f>
        <v>15.199999999999989</v>
      </c>
      <c r="W520" s="1213">
        <f>'LiLAC valuation'!AI346</f>
        <v>12.600000000000023</v>
      </c>
      <c r="X520" s="1213">
        <f>'LiLAC valuation'!AJ346</f>
        <v>9.0999999999999659</v>
      </c>
      <c r="Y520" s="1213">
        <f>'LiLAC valuation'!AK346</f>
        <v>7.6999999999999886</v>
      </c>
      <c r="Z520" s="1213">
        <f>'LiLAC valuation'!AL346</f>
        <v>17.100000000000023</v>
      </c>
      <c r="AA520" s="1213">
        <f>'LiLAC valuation'!AM346</f>
        <v>7</v>
      </c>
      <c r="AB520" s="1213">
        <f>'LiLAC valuation'!AN346</f>
        <v>10.600000000000023</v>
      </c>
      <c r="AC520" s="1213">
        <f>'LiLAC valuation'!AO346</f>
        <v>10.399999999999977</v>
      </c>
      <c r="AD520" s="1213">
        <f>'LiLAC valuation'!AP346</f>
        <v>7.5</v>
      </c>
      <c r="AE520" s="1213">
        <f>'LiLAC valuation'!AQ346</f>
        <v>5.7999999999999545</v>
      </c>
      <c r="AF520" s="1213">
        <f>'LiLAC valuation'!AR346</f>
        <v>5.6000000000000227</v>
      </c>
      <c r="AG520" s="1213">
        <f>'LiLAC valuation'!AS346</f>
        <v>4.2000000000000455</v>
      </c>
      <c r="AH520" s="1213">
        <f>'LiLAC valuation'!AT346</f>
        <v>3.3999999999999773</v>
      </c>
    </row>
    <row r="521" spans="2:34">
      <c r="B521" s="1207" t="str">
        <f t="shared" si="402"/>
        <v>Telephony</v>
      </c>
      <c r="C521" s="1207">
        <f t="shared" si="403"/>
        <v>-15.299999999999983</v>
      </c>
      <c r="D521" s="1207">
        <f t="shared" si="403"/>
        <v>18.099999999999994</v>
      </c>
      <c r="E521" s="1207">
        <f>V542</f>
        <v>3.5</v>
      </c>
      <c r="F521" s="1207" t="e">
        <f>#REF!</f>
        <v>#REF!</v>
      </c>
      <c r="G521" s="1207">
        <f>AD542</f>
        <v>6.6999999999999833</v>
      </c>
      <c r="H521" s="1207" t="e">
        <f>#REF!</f>
        <v>#REF!</v>
      </c>
      <c r="I521" s="1213">
        <f>'LiLAC valuation'!U347</f>
        <v>-17.399999999999977</v>
      </c>
      <c r="J521" s="1213">
        <f>'LiLAC valuation'!V347</f>
        <v>-2.9000000000000057</v>
      </c>
      <c r="K521" s="1213">
        <f>'LiLAC valuation'!W347</f>
        <v>-1.4000000000000057</v>
      </c>
      <c r="L521" s="1213">
        <f>'LiLAC valuation'!X347</f>
        <v>-3.4000000000000057</v>
      </c>
      <c r="M521" s="1213">
        <f>'LiLAC valuation'!Y347</f>
        <v>11.900000000000006</v>
      </c>
      <c r="N521" s="1213">
        <f>'LiLAC valuation'!Z347</f>
        <v>6.1999999999999886</v>
      </c>
      <c r="O521" s="1213">
        <f>'LiLAC valuation'!AA347</f>
        <v>1.3000000000000114</v>
      </c>
      <c r="P521" s="1213">
        <f>'LiLAC valuation'!AB347</f>
        <v>1</v>
      </c>
      <c r="Q521" s="1213">
        <f>'LiLAC valuation'!AC347</f>
        <v>3.6999999999999886</v>
      </c>
      <c r="R521" s="1213">
        <f>'LiLAC valuation'!AD347</f>
        <v>2.7000000000000171</v>
      </c>
      <c r="S521" s="1213">
        <f>'LiLAC valuation'!AE347</f>
        <v>8.2999999999999829</v>
      </c>
      <c r="T521" s="1213">
        <f>'LiLAC valuation'!AF347</f>
        <v>9.6000000000000227</v>
      </c>
      <c r="U521" s="1213">
        <f>'LiLAC valuation'!AG347</f>
        <v>5.7999999999999829</v>
      </c>
      <c r="V521" s="1213">
        <f>'LiLAC valuation'!AH347</f>
        <v>6.2000000000000171</v>
      </c>
      <c r="W521" s="1213">
        <f>'LiLAC valuation'!AI347</f>
        <v>5.3999999999999773</v>
      </c>
      <c r="X521" s="1213">
        <f>'LiLAC valuation'!AJ347</f>
        <v>2.4000000000000057</v>
      </c>
      <c r="Y521" s="1213">
        <f>'LiLAC valuation'!AK347</f>
        <v>2.4000000000000057</v>
      </c>
      <c r="Z521" s="1213">
        <f>'LiLAC valuation'!AL347</f>
        <v>3.0999999999999943</v>
      </c>
      <c r="AA521" s="1213">
        <f>'LiLAC valuation'!AM347</f>
        <v>2.4000000000000057</v>
      </c>
      <c r="AB521" s="1213">
        <f>'LiLAC valuation'!AN347</f>
        <v>2.6999999999999886</v>
      </c>
      <c r="AC521" s="1213">
        <f>'LiLAC valuation'!AO347</f>
        <v>-3.3000000000000114</v>
      </c>
      <c r="AD521" s="1213">
        <f>'LiLAC valuation'!AP347</f>
        <v>2.7000000000000455</v>
      </c>
      <c r="AE521" s="1213">
        <f>'LiLAC valuation'!AQ347</f>
        <v>2.2999999999999545</v>
      </c>
      <c r="AF521" s="1213">
        <f>'LiLAC valuation'!AR347</f>
        <v>0.90000000000003411</v>
      </c>
      <c r="AG521" s="1213">
        <f>'LiLAC valuation'!AS347</f>
        <v>5.5</v>
      </c>
      <c r="AH521" s="1213">
        <f>'LiLAC valuation'!AT347</f>
        <v>5.3999999999999773</v>
      </c>
    </row>
    <row r="522" spans="2:34">
      <c r="B522" s="1207" t="str">
        <f t="shared" si="402"/>
        <v>Fixed RGUs</v>
      </c>
      <c r="C522" s="1207">
        <f t="shared" ref="C522:Y522" si="404">SUM(C519:C521)</f>
        <v>-45.099999999999994</v>
      </c>
      <c r="D522" s="1207">
        <f t="shared" si="404"/>
        <v>44.599999999999994</v>
      </c>
      <c r="E522" s="1207">
        <f t="shared" si="404"/>
        <v>9.9999999999999858</v>
      </c>
      <c r="F522" s="1207" t="e">
        <f t="shared" si="404"/>
        <v>#REF!</v>
      </c>
      <c r="G522" s="1207">
        <f t="shared" si="404"/>
        <v>18.599999999999966</v>
      </c>
      <c r="H522" s="1207" t="e">
        <f t="shared" si="404"/>
        <v>#REF!</v>
      </c>
      <c r="I522" s="1213">
        <f t="shared" si="404"/>
        <v>-64.999999999999972</v>
      </c>
      <c r="J522" s="1213">
        <f t="shared" si="404"/>
        <v>-15.400000000000034</v>
      </c>
      <c r="K522" s="1213">
        <f t="shared" si="404"/>
        <v>-11.900000000000006</v>
      </c>
      <c r="L522" s="1213">
        <f t="shared" si="404"/>
        <v>-12.600000000000023</v>
      </c>
      <c r="M522" s="1213">
        <f t="shared" si="404"/>
        <v>40.000000000000028</v>
      </c>
      <c r="N522" s="1213">
        <f t="shared" si="404"/>
        <v>22.299999999999983</v>
      </c>
      <c r="O522" s="1213">
        <f t="shared" si="404"/>
        <v>4.5</v>
      </c>
      <c r="P522" s="1213">
        <f t="shared" si="404"/>
        <v>6.3000000000000114</v>
      </c>
      <c r="Q522" s="1213">
        <f t="shared" si="404"/>
        <v>13.399999999999977</v>
      </c>
      <c r="R522" s="1213">
        <f t="shared" si="404"/>
        <v>9.0000000000000568</v>
      </c>
      <c r="S522" s="1213">
        <f t="shared" si="404"/>
        <v>33.5</v>
      </c>
      <c r="T522" s="1213">
        <f t="shared" si="404"/>
        <v>42.69999999999996</v>
      </c>
      <c r="U522" s="1213">
        <f t="shared" si="404"/>
        <v>35.300000000000011</v>
      </c>
      <c r="V522" s="1213">
        <f t="shared" si="404"/>
        <v>24.600000000000023</v>
      </c>
      <c r="W522" s="1213">
        <f t="shared" si="404"/>
        <v>21.799999999999983</v>
      </c>
      <c r="X522" s="1213">
        <f t="shared" si="404"/>
        <v>13.199999999999989</v>
      </c>
      <c r="Y522" s="1213">
        <f t="shared" si="404"/>
        <v>11.899999999999977</v>
      </c>
      <c r="Z522" s="1213">
        <f t="shared" ref="Z522:AF522" si="405">SUM(Z519:Z521)</f>
        <v>21.500000000000028</v>
      </c>
      <c r="AA522" s="1213">
        <f t="shared" si="405"/>
        <v>9.7000000000000171</v>
      </c>
      <c r="AB522" s="1213">
        <f t="shared" si="405"/>
        <v>13.5</v>
      </c>
      <c r="AC522" s="1213">
        <f t="shared" si="405"/>
        <v>2.3999999999999773</v>
      </c>
      <c r="AD522" s="1213">
        <f t="shared" si="405"/>
        <v>10.100000000000023</v>
      </c>
      <c r="AE522" s="1213">
        <f t="shared" si="405"/>
        <v>6.7999999999999261</v>
      </c>
      <c r="AF522" s="1213">
        <f t="shared" si="405"/>
        <v>4.0000000000000568</v>
      </c>
      <c r="AG522" s="1213">
        <f t="shared" ref="AG522" si="406">SUM(AG519:AG521)</f>
        <v>7.9000000000000341</v>
      </c>
      <c r="AH522" s="1213">
        <f t="shared" ref="AH522" si="407">SUM(AH519:AH521)</f>
        <v>6.6999999999999602</v>
      </c>
    </row>
    <row r="523" spans="2:34">
      <c r="B523" s="1207"/>
      <c r="C523" s="1207"/>
      <c r="D523" s="1207"/>
      <c r="E523" s="1207"/>
      <c r="F523" s="1207"/>
      <c r="G523" s="1207"/>
      <c r="H523" s="1207"/>
      <c r="I523" s="1213"/>
      <c r="J523" s="1213"/>
      <c r="K523" s="1213"/>
      <c r="L523" s="1213"/>
      <c r="M523" s="1213"/>
      <c r="N523" s="1213"/>
      <c r="O523" s="1213"/>
      <c r="P523" s="1213"/>
      <c r="Q523" s="1213"/>
      <c r="R523" s="1213"/>
      <c r="S523" s="1213"/>
      <c r="T523" s="1213"/>
      <c r="U523" s="1213"/>
      <c r="V523" s="1213"/>
      <c r="W523" s="1213"/>
      <c r="X523" s="1213"/>
      <c r="Y523" s="1213"/>
      <c r="Z523" s="1213"/>
      <c r="AA523" s="1213"/>
      <c r="AB523" s="1213"/>
      <c r="AC523" s="1213"/>
      <c r="AD523" s="1213"/>
      <c r="AE523" s="1213"/>
      <c r="AF523" s="1213"/>
      <c r="AG523" s="1213"/>
      <c r="AH523" s="1213"/>
    </row>
    <row r="524" spans="2:34">
      <c r="B524" s="1207" t="s">
        <v>5</v>
      </c>
      <c r="C524" s="1207"/>
      <c r="D524" s="1207"/>
      <c r="E524" s="1207"/>
      <c r="F524" s="1207"/>
      <c r="G524" s="1207"/>
      <c r="H524" s="1207"/>
      <c r="I524" s="1213"/>
      <c r="J524" s="1213"/>
      <c r="K524" s="1213"/>
      <c r="L524" s="1213"/>
      <c r="M524" s="1213"/>
      <c r="N524" s="1213"/>
      <c r="O524" s="1203"/>
      <c r="P524" s="1203"/>
      <c r="Q524" s="1203"/>
      <c r="R524" s="1203"/>
      <c r="S524" s="1203"/>
      <c r="T524" s="1203"/>
      <c r="U524" s="1203"/>
      <c r="V524" s="1203"/>
      <c r="W524" s="1213">
        <f>'LiLAC valuation'!AI336-'LiLAC valuation'!AH336</f>
        <v>6</v>
      </c>
      <c r="X524" s="1213">
        <f>'LiLAC valuation'!AJ336-'LiLAC valuation'!AI336</f>
        <v>-3</v>
      </c>
      <c r="Y524" s="1213">
        <f>'LiLAC valuation'!AK336-'LiLAC valuation'!AJ336</f>
        <v>-1.3000000000000682</v>
      </c>
      <c r="Z524" s="1213">
        <f>'LiLAC valuation'!AL336-'LiLAC valuation'!AK336</f>
        <v>30.199999999999932</v>
      </c>
      <c r="AA524" s="1213">
        <f>'LiLAC valuation'!AM336-'LiLAC valuation'!AL336</f>
        <v>-15.599999999999909</v>
      </c>
      <c r="AB524" s="1213">
        <f>'LiLAC valuation'!AN336-'LiLAC valuation'!AM336</f>
        <v>36.899999999999864</v>
      </c>
      <c r="AC524" s="1213">
        <f>'LiLAC valuation'!AO336-'LiLAC valuation'!AN336</f>
        <v>11.700000000000045</v>
      </c>
      <c r="AD524" s="1213">
        <f>'LiLAC valuation'!AP336-'LiLAC valuation'!AO336</f>
        <v>-14.299999999999955</v>
      </c>
      <c r="AE524" s="1213">
        <f>'LiLAC valuation'!AQ336-'LiLAC valuation'!AP336</f>
        <v>-19</v>
      </c>
      <c r="AF524" s="1213">
        <f>'LiLAC valuation'!AR336-'LiLAC valuation'!AQ336</f>
        <v>-24.5</v>
      </c>
      <c r="AG524" s="1213">
        <f>'LiLAC valuation'!AS336-'LiLAC valuation'!AR336</f>
        <v>-48.499999999999886</v>
      </c>
      <c r="AH524" s="1213">
        <f>'LiLAC valuation'!AT336-'LiLAC valuation'!AS336</f>
        <v>-61.000000000000114</v>
      </c>
    </row>
    <row r="525" spans="2:34">
      <c r="B525" s="1372" t="s">
        <v>6469</v>
      </c>
      <c r="C525" s="1207"/>
      <c r="D525" s="1207"/>
      <c r="E525" s="1207"/>
      <c r="F525" s="1207"/>
      <c r="G525" s="1207"/>
      <c r="H525" s="1207"/>
      <c r="I525" s="1213"/>
      <c r="J525" s="1213"/>
      <c r="K525" s="1213"/>
      <c r="L525" s="1213"/>
      <c r="M525" s="1213"/>
      <c r="N525" s="1213"/>
      <c r="O525" s="1203"/>
      <c r="P525" s="1203"/>
      <c r="Q525" s="1203"/>
      <c r="R525" s="1203"/>
      <c r="S525" s="1203"/>
      <c r="T525" s="1203"/>
      <c r="U525" s="1203"/>
      <c r="V525" s="1203"/>
      <c r="W525" s="1213"/>
      <c r="X525" s="1213">
        <f>'LiLAC valuation'!AJ334-'LiLAC valuation'!AI334</f>
        <v>14</v>
      </c>
      <c r="Y525" s="1213">
        <f>'LiLAC valuation'!AK334-'LiLAC valuation'!AJ334</f>
        <v>11</v>
      </c>
      <c r="Z525" s="1213">
        <f>'LiLAC valuation'!AL334-'LiLAC valuation'!AK334</f>
        <v>38.600000000000023</v>
      </c>
      <c r="AA525" s="1213">
        <f>'LiLAC valuation'!AM334-'LiLAC valuation'!AL334</f>
        <v>16.399999999999977</v>
      </c>
      <c r="AB525" s="1213">
        <f>'LiLAC valuation'!AN334-'LiLAC valuation'!AM334</f>
        <v>8.7999999999999545</v>
      </c>
      <c r="AC525" s="1213">
        <f>'LiLAC valuation'!AO334-'LiLAC valuation'!AN334</f>
        <v>17</v>
      </c>
      <c r="AD525" s="1213">
        <f>'LiLAC valuation'!AP334-'LiLAC valuation'!AO334</f>
        <v>1.4000000000000909</v>
      </c>
      <c r="AE525" s="1213">
        <f>'LiLAC valuation'!AQ334-'LiLAC valuation'!AP334</f>
        <v>-3.4000000000000909</v>
      </c>
      <c r="AF525" s="1213">
        <f>'LiLAC valuation'!AR334-'LiLAC valuation'!AQ334</f>
        <v>-6.7999999999999545</v>
      </c>
      <c r="AG525" s="1213">
        <f>'LiLAC valuation'!AS334-'LiLAC valuation'!AR334</f>
        <v>-30.399999999999977</v>
      </c>
      <c r="AH525" s="1213">
        <f>'LiLAC valuation'!AT334-'LiLAC valuation'!AS334</f>
        <v>-38.900000000000091</v>
      </c>
    </row>
    <row r="526" spans="2:34">
      <c r="B526" s="1372" t="s">
        <v>6470</v>
      </c>
      <c r="C526" s="1207"/>
      <c r="D526" s="1207"/>
      <c r="E526" s="1207"/>
      <c r="F526" s="1207"/>
      <c r="G526" s="1207"/>
      <c r="H526" s="1207"/>
      <c r="I526" s="1213"/>
      <c r="J526" s="1213"/>
      <c r="K526" s="1213"/>
      <c r="L526" s="1213"/>
      <c r="M526" s="1213"/>
      <c r="N526" s="1213"/>
      <c r="O526" s="1203"/>
      <c r="P526" s="1203"/>
      <c r="Q526" s="1203"/>
      <c r="R526" s="1203"/>
      <c r="S526" s="1203"/>
      <c r="T526" s="1203"/>
      <c r="U526" s="1203"/>
      <c r="V526" s="1203"/>
      <c r="W526" s="1213"/>
      <c r="X526" s="1213">
        <f>'LiLAC valuation'!AJ335-'LiLAC valuation'!AI335</f>
        <v>-17</v>
      </c>
      <c r="Y526" s="1213">
        <f>'LiLAC valuation'!AK335-'LiLAC valuation'!AJ335</f>
        <v>-12.299999999999983</v>
      </c>
      <c r="Z526" s="1213">
        <f>'LiLAC valuation'!AL335-'LiLAC valuation'!AK335</f>
        <v>-8.4000000000000057</v>
      </c>
      <c r="AA526" s="1213">
        <f>'LiLAC valuation'!AM335-'LiLAC valuation'!AL335</f>
        <v>-32</v>
      </c>
      <c r="AB526" s="1213">
        <f>'LiLAC valuation'!AN335-'LiLAC valuation'!AM335</f>
        <v>28.099999999999994</v>
      </c>
      <c r="AC526" s="1213">
        <f>'LiLAC valuation'!AO335-'LiLAC valuation'!AN335</f>
        <v>-5.2999999999999829</v>
      </c>
      <c r="AD526" s="1213">
        <f>'LiLAC valuation'!AP335-'LiLAC valuation'!AO335</f>
        <v>-15.700000000000017</v>
      </c>
      <c r="AE526" s="1213">
        <f>'LiLAC valuation'!AQ335-'LiLAC valuation'!AP335</f>
        <v>-15.599999999999994</v>
      </c>
      <c r="AF526" s="1213">
        <f>'LiLAC valuation'!AR335-'LiLAC valuation'!AQ335</f>
        <v>-17.699999999999989</v>
      </c>
      <c r="AG526" s="1213">
        <f>'LiLAC valuation'!AS335-'LiLAC valuation'!AR335</f>
        <v>-18.100000000000009</v>
      </c>
      <c r="AH526" s="1213">
        <f>'LiLAC valuation'!AT335-'LiLAC valuation'!AS335</f>
        <v>-22.100000000000009</v>
      </c>
    </row>
    <row r="527" spans="2:34">
      <c r="B527" s="1207"/>
      <c r="C527" s="1207"/>
      <c r="D527" s="1207"/>
      <c r="E527" s="1207"/>
      <c r="F527" s="1207"/>
      <c r="G527" s="1207"/>
      <c r="H527" s="1207"/>
      <c r="I527" s="1213"/>
      <c r="J527" s="1213"/>
      <c r="K527" s="1213"/>
      <c r="L527" s="1213"/>
      <c r="M527" s="1213"/>
      <c r="N527" s="1213"/>
      <c r="O527" s="1203"/>
      <c r="P527" s="1203"/>
      <c r="Q527" s="1203"/>
      <c r="R527" s="1203"/>
      <c r="S527" s="1203"/>
      <c r="T527" s="1203"/>
      <c r="U527" s="1203"/>
      <c r="V527" s="1203"/>
      <c r="W527" s="1203"/>
      <c r="X527" s="1203"/>
      <c r="Y527" s="1203"/>
      <c r="Z527" s="1203"/>
      <c r="AA527" s="1203"/>
      <c r="AB527" s="1203"/>
      <c r="AC527" s="1207"/>
      <c r="AD527" s="1207"/>
      <c r="AE527" s="1207"/>
      <c r="AF527" s="1207"/>
      <c r="AG527" s="1509"/>
      <c r="AH527" s="1509"/>
    </row>
    <row r="528" spans="2:34">
      <c r="B528" s="1210" t="s">
        <v>3411</v>
      </c>
      <c r="C528" s="1206" t="s">
        <v>2092</v>
      </c>
      <c r="D528" s="1206" t="s">
        <v>1559</v>
      </c>
      <c r="E528" s="1206" t="s">
        <v>1560</v>
      </c>
      <c r="F528" s="1206" t="s">
        <v>2570</v>
      </c>
      <c r="G528" s="1206" t="s">
        <v>2866</v>
      </c>
      <c r="H528" s="1206" t="s">
        <v>3156</v>
      </c>
      <c r="I528" s="1206" t="str">
        <f t="shared" ref="I528:T528" si="408">I516</f>
        <v>Q4 17</v>
      </c>
      <c r="J528" s="1206" t="str">
        <f t="shared" si="408"/>
        <v>Q1 18</v>
      </c>
      <c r="K528" s="1206" t="str">
        <f t="shared" si="408"/>
        <v>Q2 18</v>
      </c>
      <c r="L528" s="1206" t="str">
        <f t="shared" si="408"/>
        <v>Q3 18</v>
      </c>
      <c r="M528" s="1206" t="str">
        <f t="shared" si="408"/>
        <v>Q4 18</v>
      </c>
      <c r="N528" s="1206" t="str">
        <f t="shared" si="408"/>
        <v>Q1 19</v>
      </c>
      <c r="O528" s="1206" t="str">
        <f t="shared" si="408"/>
        <v>Q2 19</v>
      </c>
      <c r="P528" s="1206" t="str">
        <f t="shared" si="408"/>
        <v>Q3 19</v>
      </c>
      <c r="Q528" s="1206" t="str">
        <f t="shared" si="408"/>
        <v>Q4 19</v>
      </c>
      <c r="R528" s="1206" t="str">
        <f t="shared" si="408"/>
        <v>Q1 20</v>
      </c>
      <c r="S528" s="1206" t="str">
        <f t="shared" si="408"/>
        <v>Q2 20</v>
      </c>
      <c r="T528" s="1206" t="str">
        <f t="shared" si="408"/>
        <v>Q3 20</v>
      </c>
      <c r="U528" s="1206" t="s">
        <v>5371</v>
      </c>
      <c r="V528" s="1206" t="str">
        <f t="shared" ref="V528:AA528" si="409">V516</f>
        <v>Q1 21</v>
      </c>
      <c r="W528" s="1206" t="str">
        <f t="shared" si="409"/>
        <v>Q2 21</v>
      </c>
      <c r="X528" s="1206" t="str">
        <f t="shared" si="409"/>
        <v>Q3 21</v>
      </c>
      <c r="Y528" s="1206" t="str">
        <f t="shared" si="409"/>
        <v>Q4 21</v>
      </c>
      <c r="Z528" s="1206" t="str">
        <f t="shared" si="409"/>
        <v>Q1 22</v>
      </c>
      <c r="AA528" s="1206" t="str">
        <f t="shared" si="409"/>
        <v>Q2 22</v>
      </c>
      <c r="AB528" s="1206" t="str">
        <f t="shared" ref="AB528:AH528" si="410">AB516</f>
        <v>Q3 22</v>
      </c>
      <c r="AC528" s="1206" t="str">
        <f t="shared" si="410"/>
        <v>Q4 22</v>
      </c>
      <c r="AD528" s="1206" t="str">
        <f t="shared" si="410"/>
        <v>Q1 23</v>
      </c>
      <c r="AE528" s="1206" t="str">
        <f t="shared" si="410"/>
        <v>Q2 23</v>
      </c>
      <c r="AF528" s="1206" t="str">
        <f t="shared" si="410"/>
        <v>Q3 23</v>
      </c>
      <c r="AG528" s="1206" t="str">
        <f t="shared" si="410"/>
        <v>Q4 23</v>
      </c>
      <c r="AH528" s="1206" t="str">
        <f t="shared" si="410"/>
        <v>Q1 24</v>
      </c>
    </row>
    <row r="529" spans="2:62">
      <c r="B529" s="1207" t="str">
        <f t="shared" ref="B529:B534" si="411">B517</f>
        <v>Two-way homes passed</v>
      </c>
      <c r="C529" s="1207"/>
      <c r="D529" s="1207"/>
      <c r="E529" s="1207"/>
      <c r="F529" s="1207"/>
      <c r="G529" s="1207"/>
      <c r="H529" s="1207"/>
      <c r="I529" s="1213"/>
      <c r="J529" s="1213"/>
      <c r="K529" s="1213"/>
      <c r="L529" s="1213"/>
      <c r="M529" s="1213"/>
      <c r="N529" s="1213">
        <f t="shared" ref="N529:AC529" si="412">O470-N470</f>
        <v>1.0999999999999091</v>
      </c>
      <c r="O529" s="1213">
        <f t="shared" si="412"/>
        <v>6.2000000000000455</v>
      </c>
      <c r="P529" s="1213">
        <f t="shared" si="412"/>
        <v>7</v>
      </c>
      <c r="Q529" s="1213">
        <f t="shared" si="412"/>
        <v>4</v>
      </c>
      <c r="R529" s="1213">
        <f t="shared" si="412"/>
        <v>1.5</v>
      </c>
      <c r="S529" s="1213">
        <f t="shared" si="412"/>
        <v>7.1000000000000227</v>
      </c>
      <c r="T529" s="1213">
        <f t="shared" si="412"/>
        <v>15.299999999999955</v>
      </c>
      <c r="U529" s="1213">
        <f t="shared" si="412"/>
        <v>5.7000000000000455</v>
      </c>
      <c r="V529" s="1213">
        <f t="shared" si="412"/>
        <v>6.6000000000000227</v>
      </c>
      <c r="W529" s="1213">
        <f t="shared" si="412"/>
        <v>7.7999999999999545</v>
      </c>
      <c r="X529" s="1213">
        <f t="shared" si="412"/>
        <v>10.200000000000045</v>
      </c>
      <c r="Y529" s="1213">
        <f t="shared" si="412"/>
        <v>5.5</v>
      </c>
      <c r="Z529" s="1213">
        <f t="shared" si="412"/>
        <v>10.199999999999932</v>
      </c>
      <c r="AA529" s="1213">
        <f t="shared" si="412"/>
        <v>7.8000000000000682</v>
      </c>
      <c r="AB529" s="1213">
        <f t="shared" si="412"/>
        <v>10.599999999999909</v>
      </c>
      <c r="AC529" s="1213">
        <f t="shared" si="412"/>
        <v>8.6000000000000227</v>
      </c>
      <c r="AD529" s="1213">
        <f>AE470-AD470-14</f>
        <v>7.8000000000000682</v>
      </c>
      <c r="AE529" s="1213">
        <f>AF470-AE470-14</f>
        <v>-2.5</v>
      </c>
      <c r="AF529" s="1213">
        <f t="shared" ref="AF529:AH530" si="413">AG470-AF470</f>
        <v>8.2999999999999545</v>
      </c>
      <c r="AG529" s="1213">
        <f t="shared" si="413"/>
        <v>13.5</v>
      </c>
      <c r="AH529" s="1213">
        <f t="shared" si="413"/>
        <v>-749.5</v>
      </c>
    </row>
    <row r="530" spans="2:62">
      <c r="B530" s="1207" t="str">
        <f t="shared" si="411"/>
        <v>Customer relationships</v>
      </c>
      <c r="C530" s="1207"/>
      <c r="D530" s="1207"/>
      <c r="E530" s="1207"/>
      <c r="F530" s="1207"/>
      <c r="G530" s="1207"/>
      <c r="H530" s="1207"/>
      <c r="I530" s="1213"/>
      <c r="J530" s="1213"/>
      <c r="K530" s="1213"/>
      <c r="L530" s="1213"/>
      <c r="M530" s="1213"/>
      <c r="N530" s="1213">
        <f t="shared" ref="N530:AC530" si="414">O471-N471</f>
        <v>7.8000000000000114</v>
      </c>
      <c r="O530" s="1213">
        <f t="shared" si="414"/>
        <v>4.6999999999999886</v>
      </c>
      <c r="P530" s="1213">
        <f t="shared" si="414"/>
        <v>5.5</v>
      </c>
      <c r="Q530" s="1213">
        <f t="shared" si="414"/>
        <v>5.8000000000000114</v>
      </c>
      <c r="R530" s="1213">
        <f t="shared" si="414"/>
        <v>2.5</v>
      </c>
      <c r="S530" s="1213">
        <f t="shared" si="414"/>
        <v>4.6999999999999886</v>
      </c>
      <c r="T530" s="1213">
        <f t="shared" si="414"/>
        <v>2</v>
      </c>
      <c r="U530" s="1213">
        <f t="shared" si="414"/>
        <v>2.6000000000000227</v>
      </c>
      <c r="V530" s="1213">
        <f t="shared" si="414"/>
        <v>3</v>
      </c>
      <c r="W530" s="1213">
        <f t="shared" si="414"/>
        <v>4.3000000000000114</v>
      </c>
      <c r="X530" s="1213">
        <f t="shared" si="414"/>
        <v>9.3999999999999773</v>
      </c>
      <c r="Y530" s="1213">
        <f t="shared" si="414"/>
        <v>-1.8000000000000114</v>
      </c>
      <c r="Z530" s="1213">
        <f t="shared" si="414"/>
        <v>6.6999999999999886</v>
      </c>
      <c r="AA530" s="1213">
        <f t="shared" si="414"/>
        <v>7.4000000000000341</v>
      </c>
      <c r="AB530" s="1213">
        <f t="shared" si="414"/>
        <v>-0.30000000000001137</v>
      </c>
      <c r="AC530" s="1213">
        <f t="shared" si="414"/>
        <v>2.1999999999999886</v>
      </c>
      <c r="AD530" s="1213">
        <f>AE471-AD471+8.1</f>
        <v>1.7999999999999883</v>
      </c>
      <c r="AE530" s="1213">
        <f>AF471-AE471+11.2</f>
        <v>-1.5999999999999552</v>
      </c>
      <c r="AF530" s="1213">
        <f t="shared" si="413"/>
        <v>-1.2000000000000455</v>
      </c>
      <c r="AG530" s="1213">
        <f t="shared" si="413"/>
        <v>-1.3999999999999773</v>
      </c>
      <c r="AH530" s="1213">
        <f t="shared" si="413"/>
        <v>-277.5</v>
      </c>
    </row>
    <row r="531" spans="2:62">
      <c r="B531" s="1207" t="str">
        <f t="shared" si="411"/>
        <v>Video</v>
      </c>
      <c r="C531" s="1207"/>
      <c r="D531" s="1207"/>
      <c r="E531" s="1207"/>
      <c r="F531" s="1207"/>
      <c r="G531" s="1207"/>
      <c r="H531" s="1207"/>
      <c r="I531" s="1213"/>
      <c r="J531" s="1213"/>
      <c r="K531" s="1213"/>
      <c r="L531" s="1213"/>
      <c r="M531" s="1213"/>
      <c r="N531" s="1213">
        <f t="shared" ref="N531:AC531" si="415">O474-N474</f>
        <v>3.9000000000000057</v>
      </c>
      <c r="O531" s="1213">
        <f t="shared" si="415"/>
        <v>2.5999999999999943</v>
      </c>
      <c r="P531" s="1213">
        <f t="shared" si="415"/>
        <v>3</v>
      </c>
      <c r="Q531" s="1213">
        <f t="shared" si="415"/>
        <v>2.7000000000000171</v>
      </c>
      <c r="R531" s="1213">
        <f t="shared" si="415"/>
        <v>9.9999999999994316E-2</v>
      </c>
      <c r="S531" s="1213">
        <f t="shared" si="415"/>
        <v>2.4000000000000057</v>
      </c>
      <c r="T531" s="1213">
        <f t="shared" si="415"/>
        <v>-2</v>
      </c>
      <c r="U531" s="1213">
        <f t="shared" si="415"/>
        <v>-0.90000000000000568</v>
      </c>
      <c r="V531" s="1213">
        <f t="shared" si="415"/>
        <v>-0.40000000000000568</v>
      </c>
      <c r="W531" s="1213">
        <f t="shared" si="415"/>
        <v>1</v>
      </c>
      <c r="X531" s="1213">
        <f t="shared" si="415"/>
        <v>1.5999999999999943</v>
      </c>
      <c r="Y531" s="1213">
        <f t="shared" si="415"/>
        <v>-8.2999999999999829</v>
      </c>
      <c r="Z531" s="1213">
        <f t="shared" si="415"/>
        <v>1.7999999999999829</v>
      </c>
      <c r="AA531" s="1213">
        <f t="shared" si="415"/>
        <v>1.3000000000000114</v>
      </c>
      <c r="AB531" s="1213">
        <f t="shared" si="415"/>
        <v>0.90000000000000568</v>
      </c>
      <c r="AC531" s="1213">
        <f t="shared" si="415"/>
        <v>0</v>
      </c>
      <c r="AD531" s="1213">
        <f>AE474-AD474+5.4</f>
        <v>-0.40000000000001101</v>
      </c>
      <c r="AE531" s="1213">
        <f>AF474-AE474+10.9</f>
        <v>-3.199999999999994</v>
      </c>
      <c r="AF531" s="1213">
        <f t="shared" ref="AF531:AH533" si="416">AG474-AF474</f>
        <v>-1.3000000000000114</v>
      </c>
      <c r="AG531" s="1213">
        <f t="shared" si="416"/>
        <v>-0.5</v>
      </c>
      <c r="AH531" s="1213">
        <f t="shared" si="416"/>
        <v>-183.1</v>
      </c>
    </row>
    <row r="532" spans="2:62">
      <c r="B532" s="1207" t="str">
        <f t="shared" si="411"/>
        <v>BB</v>
      </c>
      <c r="C532" s="1207"/>
      <c r="D532" s="1207"/>
      <c r="E532" s="1207"/>
      <c r="F532" s="1207"/>
      <c r="G532" s="1207"/>
      <c r="H532" s="1207"/>
      <c r="I532" s="1213"/>
      <c r="J532" s="1213"/>
      <c r="K532" s="1213"/>
      <c r="L532" s="1213"/>
      <c r="M532" s="1213"/>
      <c r="N532" s="1213">
        <f t="shared" ref="N532:AC532" si="417">O475-N475</f>
        <v>9.1000000000000227</v>
      </c>
      <c r="O532" s="1213">
        <f t="shared" si="417"/>
        <v>6.2999999999999829</v>
      </c>
      <c r="P532" s="1213">
        <f t="shared" si="417"/>
        <v>6.5999999999999943</v>
      </c>
      <c r="Q532" s="1213">
        <f t="shared" si="417"/>
        <v>7.1000000000000227</v>
      </c>
      <c r="R532" s="1213">
        <f t="shared" si="417"/>
        <v>6.5</v>
      </c>
      <c r="S532" s="1213">
        <f t="shared" si="417"/>
        <v>4.8999999999999773</v>
      </c>
      <c r="T532" s="1213">
        <f t="shared" si="417"/>
        <v>5.4000000000000057</v>
      </c>
      <c r="U532" s="1213">
        <f t="shared" si="417"/>
        <v>3.7000000000000171</v>
      </c>
      <c r="V532" s="1213">
        <f t="shared" si="417"/>
        <v>5.8999999999999773</v>
      </c>
      <c r="W532" s="1213">
        <f t="shared" si="417"/>
        <v>6.6000000000000227</v>
      </c>
      <c r="X532" s="1213">
        <f t="shared" si="417"/>
        <v>10.199999999999989</v>
      </c>
      <c r="Y532" s="1213">
        <f t="shared" si="417"/>
        <v>5.8000000000000114</v>
      </c>
      <c r="Z532" s="1213">
        <f t="shared" si="417"/>
        <v>8.5</v>
      </c>
      <c r="AA532" s="1213">
        <f t="shared" si="417"/>
        <v>11.300000000000011</v>
      </c>
      <c r="AB532" s="1213">
        <f t="shared" si="417"/>
        <v>3.8999999999999773</v>
      </c>
      <c r="AC532" s="1213">
        <f t="shared" si="417"/>
        <v>1.1999999999999886</v>
      </c>
      <c r="AD532" s="1213">
        <f>AE475-AD475+6.5</f>
        <v>2.4000000000000341</v>
      </c>
      <c r="AE532" s="1213">
        <f>AF475-AE475+2.1</f>
        <v>-1.300000000000034</v>
      </c>
      <c r="AF532" s="1213">
        <f t="shared" si="416"/>
        <v>1.5</v>
      </c>
      <c r="AG532" s="1213">
        <f t="shared" si="416"/>
        <v>0.10000000000002274</v>
      </c>
      <c r="AH532" s="1213">
        <f t="shared" si="416"/>
        <v>-262.3</v>
      </c>
    </row>
    <row r="533" spans="2:62">
      <c r="B533" s="1207" t="str">
        <f t="shared" si="411"/>
        <v>Telephony</v>
      </c>
      <c r="C533" s="1207"/>
      <c r="D533" s="1207"/>
      <c r="E533" s="1207"/>
      <c r="F533" s="1207"/>
      <c r="G533" s="1207"/>
      <c r="H533" s="1207"/>
      <c r="I533" s="1213"/>
      <c r="J533" s="1213"/>
      <c r="K533" s="1213"/>
      <c r="L533" s="1213"/>
      <c r="M533" s="1213"/>
      <c r="N533" s="1213">
        <f t="shared" ref="N533:AC533" si="418">O476-N476</f>
        <v>0</v>
      </c>
      <c r="O533" s="1213">
        <f t="shared" si="418"/>
        <v>-0.10000000000000142</v>
      </c>
      <c r="P533" s="1213">
        <f t="shared" si="418"/>
        <v>1.4000000000000021</v>
      </c>
      <c r="Q533" s="1213">
        <f t="shared" si="418"/>
        <v>1.0999999999999979</v>
      </c>
      <c r="R533" s="1213">
        <f t="shared" si="418"/>
        <v>0</v>
      </c>
      <c r="S533" s="1213">
        <f t="shared" si="418"/>
        <v>-0.89999999999999858</v>
      </c>
      <c r="T533" s="1213">
        <f t="shared" si="418"/>
        <v>-0.60000000000000142</v>
      </c>
      <c r="U533" s="1213">
        <f t="shared" si="418"/>
        <v>-0.39999999999999858</v>
      </c>
      <c r="V533" s="1213">
        <f t="shared" si="418"/>
        <v>1.6999999999999993</v>
      </c>
      <c r="W533" s="1213">
        <f t="shared" si="418"/>
        <v>3.3000000000000007</v>
      </c>
      <c r="X533" s="1213">
        <f t="shared" si="418"/>
        <v>2.3000000000000007</v>
      </c>
      <c r="Y533" s="1213">
        <f t="shared" si="418"/>
        <v>3.8000000000000007</v>
      </c>
      <c r="Z533" s="1213">
        <f t="shared" si="418"/>
        <v>5.3999999999999986</v>
      </c>
      <c r="AA533" s="1213">
        <f t="shared" si="418"/>
        <v>7.8999999999999986</v>
      </c>
      <c r="AB533" s="1213">
        <f t="shared" si="418"/>
        <v>4.8000000000000043</v>
      </c>
      <c r="AC533" s="1213">
        <f t="shared" si="418"/>
        <v>4.6999999999999957</v>
      </c>
      <c r="AD533" s="1213">
        <f>AE476-AD476+1.9</f>
        <v>5.2000000000000046</v>
      </c>
      <c r="AE533" s="1213">
        <f>AF476-AE476+1.2</f>
        <v>6.5999999999999917</v>
      </c>
      <c r="AF533" s="1213">
        <f t="shared" si="416"/>
        <v>6.3000000000000114</v>
      </c>
      <c r="AG533" s="1213">
        <f t="shared" si="416"/>
        <v>5.0999999999999943</v>
      </c>
      <c r="AH533" s="1213">
        <f t="shared" si="416"/>
        <v>-75.5</v>
      </c>
    </row>
    <row r="534" spans="2:62">
      <c r="B534" s="1207" t="str">
        <f t="shared" si="411"/>
        <v>Fixed RGUs</v>
      </c>
      <c r="C534" s="1207"/>
      <c r="D534" s="1207"/>
      <c r="E534" s="1207"/>
      <c r="F534" s="1207"/>
      <c r="G534" s="1207"/>
      <c r="H534" s="1207"/>
      <c r="I534" s="1213"/>
      <c r="J534" s="1213"/>
      <c r="K534" s="1213"/>
      <c r="L534" s="1213"/>
      <c r="M534" s="1213"/>
      <c r="N534" s="1213">
        <f t="shared" ref="N534:W534" si="419">SUM(N531:N533)</f>
        <v>13.000000000000028</v>
      </c>
      <c r="O534" s="1213">
        <f t="shared" si="419"/>
        <v>8.7999999999999758</v>
      </c>
      <c r="P534" s="1213">
        <f t="shared" si="419"/>
        <v>10.999999999999996</v>
      </c>
      <c r="Q534" s="1213">
        <f t="shared" si="419"/>
        <v>10.900000000000038</v>
      </c>
      <c r="R534" s="1213">
        <f t="shared" si="419"/>
        <v>6.5999999999999943</v>
      </c>
      <c r="S534" s="1213">
        <f t="shared" si="419"/>
        <v>6.3999999999999844</v>
      </c>
      <c r="T534" s="1213">
        <f t="shared" si="419"/>
        <v>2.8000000000000043</v>
      </c>
      <c r="U534" s="1213">
        <f t="shared" si="419"/>
        <v>2.4000000000000128</v>
      </c>
      <c r="V534" s="1213">
        <f t="shared" si="419"/>
        <v>7.1999999999999709</v>
      </c>
      <c r="W534" s="1213">
        <f t="shared" si="419"/>
        <v>10.900000000000023</v>
      </c>
      <c r="X534" s="1213">
        <f t="shared" ref="X534:AD534" si="420">SUM(X531:X533)</f>
        <v>14.099999999999984</v>
      </c>
      <c r="Y534" s="1213">
        <f t="shared" si="420"/>
        <v>1.3000000000000291</v>
      </c>
      <c r="Z534" s="1213">
        <f t="shared" si="420"/>
        <v>15.699999999999982</v>
      </c>
      <c r="AA534" s="1213">
        <f t="shared" si="420"/>
        <v>20.500000000000021</v>
      </c>
      <c r="AB534" s="1213">
        <f t="shared" si="420"/>
        <v>9.5999999999999872</v>
      </c>
      <c r="AC534" s="1213">
        <f t="shared" si="420"/>
        <v>5.8999999999999844</v>
      </c>
      <c r="AD534" s="1213">
        <f t="shared" si="420"/>
        <v>7.2000000000000277</v>
      </c>
      <c r="AE534" s="1213">
        <f t="shared" ref="AE534:AF534" si="421">SUM(AE531:AE533)</f>
        <v>2.0999999999999632</v>
      </c>
      <c r="AF534" s="1213">
        <f t="shared" si="421"/>
        <v>6.5</v>
      </c>
      <c r="AG534" s="1213">
        <f t="shared" ref="AG534:AH534" si="422">SUM(AG531:AG533)</f>
        <v>4.7000000000000171</v>
      </c>
      <c r="AH534" s="1213">
        <f t="shared" si="422"/>
        <v>-520.9</v>
      </c>
    </row>
    <row r="535" spans="2:62">
      <c r="B535" s="1207" t="s">
        <v>5</v>
      </c>
      <c r="C535" s="1207"/>
      <c r="D535" s="1207"/>
      <c r="E535" s="1207"/>
      <c r="F535" s="1207"/>
      <c r="G535" s="1207"/>
      <c r="H535" s="1207"/>
      <c r="I535" s="1213"/>
      <c r="J535" s="1213"/>
      <c r="K535" s="1213"/>
      <c r="L535" s="1213"/>
      <c r="M535" s="1213"/>
      <c r="N535" s="1213"/>
      <c r="O535" s="1213"/>
      <c r="P535" s="1213"/>
      <c r="Q535" s="1213"/>
      <c r="R535" s="1213"/>
      <c r="S535" s="1213"/>
      <c r="T535" s="1213"/>
      <c r="U535" s="1213"/>
      <c r="V535" s="1213"/>
      <c r="W535" s="1213"/>
      <c r="X535" s="1213"/>
      <c r="Y535" s="1213">
        <f t="shared" ref="Y535:AB535" si="423">Z477-Y477</f>
        <v>100.90000000000009</v>
      </c>
      <c r="Z535" s="1213">
        <f t="shared" si="423"/>
        <v>100.30000000000018</v>
      </c>
      <c r="AA535" s="1213">
        <f t="shared" si="423"/>
        <v>36.699999999999818</v>
      </c>
      <c r="AB535" s="1213">
        <f t="shared" si="423"/>
        <v>52.099999999999909</v>
      </c>
      <c r="AC535" s="1213">
        <f t="shared" ref="AC535:AH535" si="424">AD477-AC477</f>
        <v>57.400000000000091</v>
      </c>
      <c r="AD535" s="1213">
        <f t="shared" si="424"/>
        <v>42.400000000000091</v>
      </c>
      <c r="AE535" s="1213">
        <f t="shared" si="424"/>
        <v>31.199999999999818</v>
      </c>
      <c r="AF535" s="1213">
        <f t="shared" si="424"/>
        <v>45.100000000000364</v>
      </c>
      <c r="AG535" s="1213">
        <f t="shared" si="424"/>
        <v>73.399999999999636</v>
      </c>
      <c r="AH535" s="1213">
        <f t="shared" si="424"/>
        <v>-3171.7</v>
      </c>
    </row>
    <row r="536" spans="2:62">
      <c r="B536" s="1207"/>
      <c r="C536" s="1207"/>
      <c r="D536" s="1207"/>
      <c r="E536" s="1207"/>
      <c r="F536" s="1207"/>
      <c r="G536" s="1207"/>
      <c r="H536" s="1207"/>
      <c r="I536" s="1213"/>
      <c r="J536" s="1213"/>
      <c r="K536" s="1213"/>
      <c r="L536" s="1213"/>
      <c r="M536" s="1213"/>
      <c r="N536" s="1213"/>
      <c r="O536" s="1203"/>
      <c r="P536" s="1203"/>
      <c r="Q536" s="1203"/>
      <c r="R536" s="1203"/>
      <c r="S536" s="1203"/>
      <c r="T536" s="1203"/>
      <c r="U536" s="1203"/>
      <c r="V536" s="1203"/>
      <c r="W536" s="1203"/>
      <c r="X536" s="1203"/>
      <c r="Y536" s="1203"/>
      <c r="Z536" s="1203"/>
      <c r="AA536" s="1203"/>
      <c r="AB536" s="1203"/>
      <c r="AC536" s="1203"/>
      <c r="AD536" s="1203"/>
      <c r="AE536" s="1203"/>
      <c r="AF536" s="1203"/>
      <c r="AG536" s="1509"/>
      <c r="AH536" s="1509"/>
    </row>
    <row r="537" spans="2:62" ht="15.75">
      <c r="B537" s="1210" t="s">
        <v>0</v>
      </c>
      <c r="C537" s="1206" t="s">
        <v>2092</v>
      </c>
      <c r="D537" s="1206" t="s">
        <v>1559</v>
      </c>
      <c r="E537" s="1206" t="s">
        <v>1560</v>
      </c>
      <c r="F537" s="1206" t="s">
        <v>2570</v>
      </c>
      <c r="G537" s="1206" t="s">
        <v>2866</v>
      </c>
      <c r="H537" s="1206" t="s">
        <v>3156</v>
      </c>
      <c r="I537" s="1206" t="str">
        <f t="shared" ref="I537:AB537" si="425">I507</f>
        <v>Q4 17</v>
      </c>
      <c r="J537" s="1206" t="str">
        <f t="shared" si="425"/>
        <v>Q1 18</v>
      </c>
      <c r="K537" s="1206" t="str">
        <f t="shared" si="425"/>
        <v>Q2 18</v>
      </c>
      <c r="L537" s="1206" t="str">
        <f t="shared" si="425"/>
        <v>Q3 18</v>
      </c>
      <c r="M537" s="1206" t="str">
        <f t="shared" si="425"/>
        <v>Q4 18</v>
      </c>
      <c r="N537" s="1206" t="str">
        <f t="shared" si="425"/>
        <v>Q1 19</v>
      </c>
      <c r="O537" s="1206" t="str">
        <f t="shared" si="425"/>
        <v>Q2 19</v>
      </c>
      <c r="P537" s="1206" t="str">
        <f t="shared" si="425"/>
        <v>Q3 19</v>
      </c>
      <c r="Q537" s="1206" t="str">
        <f t="shared" si="425"/>
        <v>Q4 19</v>
      </c>
      <c r="R537" s="1206" t="str">
        <f t="shared" si="425"/>
        <v>Q1 20</v>
      </c>
      <c r="S537" s="1206" t="str">
        <f t="shared" si="425"/>
        <v>Q2 20</v>
      </c>
      <c r="T537" s="1206" t="str">
        <f t="shared" si="425"/>
        <v>Q3 20</v>
      </c>
      <c r="U537" s="1206" t="str">
        <f t="shared" si="425"/>
        <v>Q4 20</v>
      </c>
      <c r="V537" s="1206" t="str">
        <f t="shared" si="425"/>
        <v>Q1 21</v>
      </c>
      <c r="W537" s="1206" t="str">
        <f t="shared" si="425"/>
        <v>Q2 21</v>
      </c>
      <c r="X537" s="1206" t="str">
        <f t="shared" si="425"/>
        <v>Q3 21</v>
      </c>
      <c r="Y537" s="1206" t="str">
        <f t="shared" si="425"/>
        <v>Q4 21</v>
      </c>
      <c r="Z537" s="1206" t="str">
        <f t="shared" si="425"/>
        <v>Q1 22</v>
      </c>
      <c r="AA537" s="1206" t="str">
        <f t="shared" si="425"/>
        <v>Q2 22</v>
      </c>
      <c r="AB537" s="1206" t="str">
        <f t="shared" si="425"/>
        <v>Q3 22</v>
      </c>
      <c r="AC537" s="1206" t="str">
        <f t="shared" ref="AC537:AD537" si="426">AC507</f>
        <v>Q4 22</v>
      </c>
      <c r="AD537" s="1206" t="str">
        <f t="shared" si="426"/>
        <v>Q1 23</v>
      </c>
      <c r="AE537" s="1206" t="str">
        <f t="shared" ref="AE537:AF537" si="427">AE507</f>
        <v>Q2 23</v>
      </c>
      <c r="AF537" s="1206" t="str">
        <f t="shared" si="427"/>
        <v>Q3 23</v>
      </c>
      <c r="AG537" s="1206" t="str">
        <f t="shared" ref="AG537:AH537" si="428">AG507</f>
        <v>Q4 23</v>
      </c>
      <c r="AH537" s="1206" t="str">
        <f t="shared" si="428"/>
        <v>Q1 24</v>
      </c>
      <c r="AI537" s="53"/>
      <c r="AJ537" s="53"/>
      <c r="AK537" s="53"/>
      <c r="AL537" s="53"/>
      <c r="AM537" s="53"/>
      <c r="AQ537" s="53"/>
      <c r="BJ537" s="53"/>
    </row>
    <row r="538" spans="2:62" ht="15.75">
      <c r="B538" s="1207" t="s">
        <v>2573</v>
      </c>
      <c r="C538" s="1215"/>
      <c r="D538" s="1207">
        <f>AO413</f>
        <v>0</v>
      </c>
      <c r="E538" s="1207" t="e">
        <f>#REF!</f>
        <v>#REF!</v>
      </c>
      <c r="F538" s="1207" t="e">
        <f>#REF!</f>
        <v>#REF!</v>
      </c>
      <c r="G538" s="1207">
        <f>BN413</f>
        <v>18.900000000000034</v>
      </c>
      <c r="H538" s="1207">
        <f>BO413</f>
        <v>38.099999999999966</v>
      </c>
      <c r="I538" s="1213">
        <f>BV413</f>
        <v>31.300000000000011</v>
      </c>
      <c r="J538" s="1213">
        <f>BX413</f>
        <v>4.3999999999999773</v>
      </c>
      <c r="K538" s="1213">
        <f>BZ413</f>
        <v>0</v>
      </c>
      <c r="L538" s="1213">
        <f>CB413</f>
        <v>0</v>
      </c>
      <c r="M538" s="1213">
        <f>CC413</f>
        <v>0.10000000000002274</v>
      </c>
      <c r="N538" s="1213">
        <f>CE413</f>
        <v>4.1000000000000227</v>
      </c>
      <c r="O538" s="1213">
        <f>CG413</f>
        <v>23.899999999999977</v>
      </c>
      <c r="P538" s="1213">
        <f>CJ413</f>
        <v>17.799999999999955</v>
      </c>
      <c r="Q538" s="1213">
        <f>CL413</f>
        <v>25.300000000000068</v>
      </c>
      <c r="R538" s="1213">
        <f>CN413</f>
        <v>25.199999999999932</v>
      </c>
      <c r="S538" s="1213">
        <f>CO413</f>
        <v>12.200000000000045</v>
      </c>
      <c r="T538" s="1213">
        <f>CQ413</f>
        <v>23.899999999999977</v>
      </c>
      <c r="U538" s="1213">
        <f t="shared" ref="U538:AA539" si="429">CS413</f>
        <v>9.5</v>
      </c>
      <c r="V538" s="1213">
        <f t="shared" si="429"/>
        <v>16.200000000000045</v>
      </c>
      <c r="W538" s="1213">
        <f t="shared" si="429"/>
        <v>26.799999999999955</v>
      </c>
      <c r="X538" s="1213">
        <f t="shared" si="429"/>
        <v>30.399999999999977</v>
      </c>
      <c r="Y538" s="1213">
        <f t="shared" si="429"/>
        <v>13</v>
      </c>
      <c r="Z538" s="1213">
        <f t="shared" si="429"/>
        <v>17.100000000000023</v>
      </c>
      <c r="AA538" s="1213">
        <f t="shared" si="429"/>
        <v>14.100000000000023</v>
      </c>
      <c r="AB538" s="1213">
        <f>DA413</f>
        <v>18.799999999999955</v>
      </c>
      <c r="AC538" s="1213">
        <f>DC413</f>
        <v>4.9000000000000909</v>
      </c>
      <c r="AD538" s="1213">
        <f>DE413</f>
        <v>9.2999999999999545</v>
      </c>
      <c r="AE538" s="1213">
        <f>DG413</f>
        <v>10.399999999999977</v>
      </c>
      <c r="AF538" s="1213">
        <f>DI413</f>
        <v>94.700000000000045</v>
      </c>
      <c r="AG538" s="1213" t="e">
        <f>#REF!</f>
        <v>#REF!</v>
      </c>
      <c r="AH538" s="1213" t="e">
        <f>#REF!</f>
        <v>#REF!</v>
      </c>
      <c r="AI538" s="53"/>
      <c r="AJ538" s="53"/>
      <c r="AK538" s="53"/>
      <c r="AL538" s="53"/>
      <c r="AM538" s="53"/>
      <c r="AQ538" s="53"/>
      <c r="BJ538" s="53"/>
    </row>
    <row r="539" spans="2:62" ht="15.75">
      <c r="B539" s="1207" t="str">
        <f>B493</f>
        <v>Customer relationships</v>
      </c>
      <c r="C539" s="1207">
        <f>AN414</f>
        <v>3.1</v>
      </c>
      <c r="D539" s="1207">
        <f>AO414</f>
        <v>4.3000000000000114</v>
      </c>
      <c r="E539" s="1207" t="e">
        <f>#REF!</f>
        <v>#REF!</v>
      </c>
      <c r="F539" s="1207" t="e">
        <f>#REF!</f>
        <v>#REF!</v>
      </c>
      <c r="G539" s="1213">
        <f>BN414</f>
        <v>5.1999999999999886</v>
      </c>
      <c r="H539" s="1213">
        <f>BO414</f>
        <v>-1</v>
      </c>
      <c r="I539" s="1213">
        <f>BV414</f>
        <v>-7.4000000000000057</v>
      </c>
      <c r="J539" s="1213">
        <f>BX414</f>
        <v>-3</v>
      </c>
      <c r="K539" s="1213">
        <f>BZ414</f>
        <v>0</v>
      </c>
      <c r="L539" s="1213">
        <f>CB414</f>
        <v>-0.79999999999998295</v>
      </c>
      <c r="M539" s="1213">
        <f>CC414</f>
        <v>0.40000000000000568</v>
      </c>
      <c r="N539" s="1213">
        <f>CE414</f>
        <v>4.0999999999999943</v>
      </c>
      <c r="O539" s="1213">
        <f>CG414</f>
        <v>2.9000000000000057</v>
      </c>
      <c r="P539" s="1213">
        <f>CJ414</f>
        <v>3.5999999999999943</v>
      </c>
      <c r="Q539" s="1213">
        <f>CL414</f>
        <v>3</v>
      </c>
      <c r="R539" s="1213">
        <f>CN414</f>
        <v>5.4000000000000057</v>
      </c>
      <c r="S539" s="1213">
        <f>CO414</f>
        <v>-21.400000000000006</v>
      </c>
      <c r="T539" s="1213">
        <f>CQ414</f>
        <v>17</v>
      </c>
      <c r="U539" s="1213">
        <f t="shared" si="429"/>
        <v>-5.7000000000000171</v>
      </c>
      <c r="V539" s="1213">
        <f t="shared" si="429"/>
        <v>3.9000000000000057</v>
      </c>
      <c r="W539" s="1213">
        <f t="shared" si="429"/>
        <v>-0.59999999999999432</v>
      </c>
      <c r="X539" s="1213">
        <f t="shared" si="429"/>
        <v>9.4000000000000057</v>
      </c>
      <c r="Y539" s="1213">
        <f t="shared" si="429"/>
        <v>2.7999999999999829</v>
      </c>
      <c r="Z539" s="1213">
        <f t="shared" si="429"/>
        <v>7.3000000000000114</v>
      </c>
      <c r="AA539" s="1213">
        <f t="shared" si="429"/>
        <v>2.0999999999999943</v>
      </c>
      <c r="AB539" s="1213">
        <f>DA414</f>
        <v>4.5</v>
      </c>
      <c r="AC539" s="1213">
        <f>DC414</f>
        <v>-0.40000000000000568</v>
      </c>
      <c r="AD539" s="1213">
        <f>DE414</f>
        <v>3.2000000000000113</v>
      </c>
      <c r="AE539" s="1213">
        <f>DG414</f>
        <v>5.8000000000000114</v>
      </c>
      <c r="AF539" s="1213">
        <f>DI414</f>
        <v>-1</v>
      </c>
      <c r="AG539" s="1213" t="e">
        <f>#REF!</f>
        <v>#REF!</v>
      </c>
      <c r="AH539" s="1213" t="e">
        <f>#REF!</f>
        <v>#REF!</v>
      </c>
      <c r="AI539" s="53"/>
      <c r="AJ539" s="53"/>
      <c r="AK539" s="53"/>
      <c r="AL539" s="53"/>
      <c r="AM539" s="53"/>
      <c r="AQ539" s="53"/>
      <c r="BJ539" s="53"/>
    </row>
    <row r="540" spans="2:62" ht="15.75">
      <c r="B540" s="1207" t="str">
        <f>B495</f>
        <v>Video</v>
      </c>
      <c r="C540" s="1207">
        <f t="shared" ref="C540:D542" si="430">AN417</f>
        <v>2.9</v>
      </c>
      <c r="D540" s="1207">
        <f t="shared" si="430"/>
        <v>3.5</v>
      </c>
      <c r="E540" s="1207" t="e">
        <f>#REF!</f>
        <v>#REF!</v>
      </c>
      <c r="F540" s="1207" t="e">
        <f>#REF!</f>
        <v>#REF!</v>
      </c>
      <c r="G540" s="1207">
        <f t="shared" ref="G540:H542" si="431">BN417</f>
        <v>5.600000000000005</v>
      </c>
      <c r="H540" s="1207">
        <f t="shared" si="431"/>
        <v>-1.8000000000000114</v>
      </c>
      <c r="I540" s="1213">
        <f>BV417</f>
        <v>-2</v>
      </c>
      <c r="J540" s="1213">
        <f>BX417</f>
        <v>0.20000000000000284</v>
      </c>
      <c r="K540" s="1213">
        <f>BZ417</f>
        <v>1.5</v>
      </c>
      <c r="L540" s="1213">
        <f t="shared" ref="L540:M542" si="432">CB417</f>
        <v>2.4000000000000057</v>
      </c>
      <c r="M540" s="1213">
        <f t="shared" si="432"/>
        <v>4.7000000000000028</v>
      </c>
      <c r="N540" s="1213">
        <f>CE417</f>
        <v>4.5999999999999943</v>
      </c>
      <c r="O540" s="1213">
        <f>CG417</f>
        <v>3.5999999999999943</v>
      </c>
      <c r="P540" s="1213">
        <f>CJ417</f>
        <v>7</v>
      </c>
      <c r="Q540" s="1213">
        <f>CL417</f>
        <v>5.3000000000000114</v>
      </c>
      <c r="R540" s="1213">
        <f t="shared" ref="R540:S542" si="433">CN417</f>
        <v>2</v>
      </c>
      <c r="S540" s="1213">
        <f t="shared" si="433"/>
        <v>-18</v>
      </c>
      <c r="T540" s="1213">
        <f>CQ417</f>
        <v>7.5</v>
      </c>
      <c r="U540" s="1213">
        <f t="shared" ref="U540:AA542" si="434">CS417</f>
        <v>-8.5</v>
      </c>
      <c r="V540" s="1213">
        <f t="shared" si="434"/>
        <v>1.3999999999999915</v>
      </c>
      <c r="W540" s="1213">
        <f t="shared" si="434"/>
        <v>2.2000000000000028</v>
      </c>
      <c r="X540" s="1213">
        <f t="shared" si="434"/>
        <v>9.7000000000000028</v>
      </c>
      <c r="Y540" s="1213">
        <f t="shared" si="434"/>
        <v>5</v>
      </c>
      <c r="Z540" s="1213">
        <f t="shared" si="434"/>
        <v>7.2000000000000028</v>
      </c>
      <c r="AA540" s="1213">
        <f t="shared" si="434"/>
        <v>5.5</v>
      </c>
      <c r="AB540" s="1213">
        <f>DA417</f>
        <v>2.6999999999999815</v>
      </c>
      <c r="AC540" s="1213">
        <f>DC417</f>
        <v>0.60000000000002274</v>
      </c>
      <c r="AD540" s="1213">
        <f>DE417</f>
        <v>2.8999999999999888</v>
      </c>
      <c r="AE540" s="1213">
        <f>DG417</f>
        <v>2.4000000000000057</v>
      </c>
      <c r="AF540" s="1213">
        <f>DI417</f>
        <v>1.9000000000000057</v>
      </c>
      <c r="AG540" s="1213" t="e">
        <f>#REF!</f>
        <v>#REF!</v>
      </c>
      <c r="AH540" s="1213" t="e">
        <f>#REF!</f>
        <v>#REF!</v>
      </c>
      <c r="AI540" s="53"/>
      <c r="AJ540" s="53"/>
      <c r="AK540" s="53"/>
      <c r="AL540" s="53"/>
      <c r="AM540" s="53"/>
      <c r="AQ540" s="53"/>
      <c r="BJ540" s="53"/>
    </row>
    <row r="541" spans="2:62" ht="15.75">
      <c r="B541" s="1207" t="str">
        <f>B496</f>
        <v>BB</v>
      </c>
      <c r="C541" s="1207">
        <f t="shared" si="430"/>
        <v>1</v>
      </c>
      <c r="D541" s="1207">
        <f t="shared" si="430"/>
        <v>-0.20000000000000284</v>
      </c>
      <c r="E541" s="1207" t="e">
        <f>#REF!</f>
        <v>#REF!</v>
      </c>
      <c r="F541" s="1213" t="e">
        <f>#REF!</f>
        <v>#REF!</v>
      </c>
      <c r="G541" s="1213">
        <f t="shared" si="431"/>
        <v>3.5999999999999943</v>
      </c>
      <c r="H541" s="1213">
        <f t="shared" si="431"/>
        <v>3.7999999999999972</v>
      </c>
      <c r="I541" s="1213">
        <f>BV418</f>
        <v>-0.59999999999999432</v>
      </c>
      <c r="J541" s="1213">
        <f>BX418</f>
        <v>1.5999999999999943</v>
      </c>
      <c r="K541" s="1213">
        <f>BZ418</f>
        <v>3.6000000000000085</v>
      </c>
      <c r="L541" s="1213">
        <f t="shared" si="432"/>
        <v>1.5999999999999943</v>
      </c>
      <c r="M541" s="1213">
        <f t="shared" si="432"/>
        <v>0.70000000000000284</v>
      </c>
      <c r="N541" s="1213">
        <f>CE418</f>
        <v>5.9000000000000057</v>
      </c>
      <c r="O541" s="1213">
        <f>CG418</f>
        <v>5.2999999999999972</v>
      </c>
      <c r="P541" s="1213">
        <f>CJ418</f>
        <v>7.7000000000000028</v>
      </c>
      <c r="Q541" s="1213">
        <f>CL418</f>
        <v>4.0999999999999943</v>
      </c>
      <c r="R541" s="1213">
        <f t="shared" si="433"/>
        <v>6.3000000000000114</v>
      </c>
      <c r="S541" s="1213">
        <f t="shared" si="433"/>
        <v>-11.800000000000011</v>
      </c>
      <c r="T541" s="1213">
        <f>CQ418</f>
        <v>19</v>
      </c>
      <c r="U541" s="1213">
        <f t="shared" si="434"/>
        <v>7.4000000000000057</v>
      </c>
      <c r="V541" s="1213">
        <f t="shared" si="434"/>
        <v>5.0999999999999943</v>
      </c>
      <c r="W541" s="1213">
        <f t="shared" si="434"/>
        <v>3.8000000000000114</v>
      </c>
      <c r="X541" s="1213">
        <f t="shared" si="434"/>
        <v>10.5</v>
      </c>
      <c r="Y541" s="1213">
        <f t="shared" si="434"/>
        <v>4</v>
      </c>
      <c r="Z541" s="1213">
        <f t="shared" si="434"/>
        <v>9.1999999999999886</v>
      </c>
      <c r="AA541" s="1213">
        <f t="shared" si="434"/>
        <v>4.4000000000000057</v>
      </c>
      <c r="AB541" s="1213">
        <f>DA418</f>
        <v>6.6999999999999833</v>
      </c>
      <c r="AC541" s="1213">
        <f>DC418</f>
        <v>5.2000000000000171</v>
      </c>
      <c r="AD541" s="1213">
        <f>DE418</f>
        <v>8.9999999999999947</v>
      </c>
      <c r="AE541" s="1213">
        <f>DG418</f>
        <v>7.6999999999999886</v>
      </c>
      <c r="AF541" s="1213">
        <f>DI418</f>
        <v>5.2000000000000171</v>
      </c>
      <c r="AG541" s="1213" t="e">
        <f>#REF!</f>
        <v>#REF!</v>
      </c>
      <c r="AH541" s="1213" t="e">
        <f>#REF!</f>
        <v>#REF!</v>
      </c>
      <c r="AI541" s="53"/>
      <c r="AJ541" s="53"/>
      <c r="AK541" s="53"/>
      <c r="AL541" s="53"/>
      <c r="AM541" s="53"/>
      <c r="AQ541" s="53"/>
      <c r="BJ541" s="53"/>
    </row>
    <row r="542" spans="2:62" ht="15.75">
      <c r="B542" s="1207" t="str">
        <f>B497</f>
        <v>Telephony</v>
      </c>
      <c r="C542" s="1207">
        <f t="shared" si="430"/>
        <v>0.4</v>
      </c>
      <c r="D542" s="1207">
        <f t="shared" si="430"/>
        <v>-0.89999999999997726</v>
      </c>
      <c r="E542" s="1207" t="e">
        <f>#REF!</f>
        <v>#REF!</v>
      </c>
      <c r="F542" s="1207" t="e">
        <f>#REF!</f>
        <v>#REF!</v>
      </c>
      <c r="G542" s="1207">
        <f t="shared" si="431"/>
        <v>0.30000000000001137</v>
      </c>
      <c r="H542" s="1207">
        <f t="shared" si="431"/>
        <v>2.5999999999999943</v>
      </c>
      <c r="I542" s="1213">
        <f>BV419</f>
        <v>-1.8999999999999915</v>
      </c>
      <c r="J542" s="1213">
        <f>BX419</f>
        <v>-0.5</v>
      </c>
      <c r="K542" s="1213">
        <f>BZ419</f>
        <v>0.59999999999999432</v>
      </c>
      <c r="L542" s="1213">
        <f t="shared" si="432"/>
        <v>-1.5999999999999943</v>
      </c>
      <c r="M542" s="1213">
        <f t="shared" si="432"/>
        <v>0.20000000000000284</v>
      </c>
      <c r="N542" s="1213">
        <f>CE419</f>
        <v>4.6999999999999886</v>
      </c>
      <c r="O542" s="1213">
        <f>CG419</f>
        <v>4.9000000000000057</v>
      </c>
      <c r="P542" s="1213">
        <f>CJ419</f>
        <v>7.3000000000000114</v>
      </c>
      <c r="Q542" s="1213">
        <f>CL419</f>
        <v>3.8999999999999773</v>
      </c>
      <c r="R542" s="1213">
        <f t="shared" si="433"/>
        <v>5.4000000000000057</v>
      </c>
      <c r="S542" s="1213">
        <f t="shared" si="433"/>
        <v>-15.299999999999983</v>
      </c>
      <c r="T542" s="1213">
        <f>CQ419</f>
        <v>18.099999999999994</v>
      </c>
      <c r="U542" s="1213">
        <f t="shared" si="434"/>
        <v>6.7999999999999829</v>
      </c>
      <c r="V542" s="1213">
        <f t="shared" si="434"/>
        <v>3.5</v>
      </c>
      <c r="W542" s="1213">
        <f t="shared" si="434"/>
        <v>2.8000000000000114</v>
      </c>
      <c r="X542" s="1213">
        <f t="shared" si="434"/>
        <v>9.6999999999999886</v>
      </c>
      <c r="Y542" s="1213">
        <f t="shared" si="434"/>
        <v>-0.29999999999998295</v>
      </c>
      <c r="Z542" s="1213">
        <f t="shared" si="434"/>
        <v>11.400000000000006</v>
      </c>
      <c r="AA542" s="1213">
        <f t="shared" si="434"/>
        <v>2.8999999999999773</v>
      </c>
      <c r="AB542" s="1213">
        <f>DA419</f>
        <v>4.8000000000000229</v>
      </c>
      <c r="AC542" s="1213">
        <f>DC419</f>
        <v>5.0999999999999943</v>
      </c>
      <c r="AD542" s="1213">
        <f>DE419</f>
        <v>6.6999999999999833</v>
      </c>
      <c r="AE542" s="1213">
        <f>DG419</f>
        <v>6.4000000000000057</v>
      </c>
      <c r="AF542" s="1213">
        <f>DI419</f>
        <v>5.2000000000000171</v>
      </c>
      <c r="AG542" s="1213" t="e">
        <f>#REF!</f>
        <v>#REF!</v>
      </c>
      <c r="AH542" s="1213" t="e">
        <f>#REF!</f>
        <v>#REF!</v>
      </c>
      <c r="AI542" s="53"/>
      <c r="AJ542" s="53"/>
      <c r="AK542" s="53"/>
      <c r="AL542" s="53"/>
      <c r="AM542" s="53"/>
      <c r="AQ542" s="53"/>
      <c r="BJ542" s="53"/>
    </row>
    <row r="543" spans="2:62" ht="15.75">
      <c r="B543" s="1207" t="str">
        <f>B494</f>
        <v>Fixed RGUs</v>
      </c>
      <c r="C543" s="1207">
        <f t="shared" ref="C543:AB543" si="435">SUM(C540:C542)</f>
        <v>4.3</v>
      </c>
      <c r="D543" s="1207">
        <f t="shared" si="435"/>
        <v>2.4000000000000199</v>
      </c>
      <c r="E543" s="1207" t="e">
        <f t="shared" si="435"/>
        <v>#REF!</v>
      </c>
      <c r="F543" s="1207" t="e">
        <f t="shared" si="435"/>
        <v>#REF!</v>
      </c>
      <c r="G543" s="1207">
        <f t="shared" si="435"/>
        <v>9.5000000000000107</v>
      </c>
      <c r="H543" s="1207">
        <f t="shared" si="435"/>
        <v>4.5999999999999801</v>
      </c>
      <c r="I543" s="1213">
        <f t="shared" si="435"/>
        <v>-4.4999999999999858</v>
      </c>
      <c r="J543" s="1213">
        <f t="shared" si="435"/>
        <v>1.2999999999999972</v>
      </c>
      <c r="K543" s="1213">
        <f t="shared" si="435"/>
        <v>5.7000000000000028</v>
      </c>
      <c r="L543" s="1213">
        <f t="shared" si="435"/>
        <v>2.4000000000000057</v>
      </c>
      <c r="M543" s="1213">
        <f t="shared" si="435"/>
        <v>5.6000000000000085</v>
      </c>
      <c r="N543" s="1213">
        <f t="shared" si="435"/>
        <v>15.199999999999989</v>
      </c>
      <c r="O543" s="1213">
        <f t="shared" si="435"/>
        <v>13.799999999999997</v>
      </c>
      <c r="P543" s="1213">
        <f t="shared" si="435"/>
        <v>22.000000000000014</v>
      </c>
      <c r="Q543" s="1213">
        <f t="shared" si="435"/>
        <v>13.299999999999983</v>
      </c>
      <c r="R543" s="1213">
        <f t="shared" si="435"/>
        <v>13.700000000000017</v>
      </c>
      <c r="S543" s="1213">
        <f t="shared" si="435"/>
        <v>-45.099999999999994</v>
      </c>
      <c r="T543" s="1213">
        <f t="shared" si="435"/>
        <v>44.599999999999994</v>
      </c>
      <c r="U543" s="1213">
        <f t="shared" si="435"/>
        <v>5.6999999999999886</v>
      </c>
      <c r="V543" s="1213">
        <f t="shared" si="435"/>
        <v>9.9999999999999858</v>
      </c>
      <c r="W543" s="1213">
        <f t="shared" si="435"/>
        <v>8.8000000000000256</v>
      </c>
      <c r="X543" s="1213">
        <f t="shared" si="435"/>
        <v>29.899999999999991</v>
      </c>
      <c r="Y543" s="1213">
        <f t="shared" si="435"/>
        <v>8.7000000000000171</v>
      </c>
      <c r="Z543" s="1213">
        <f t="shared" si="435"/>
        <v>27.799999999999997</v>
      </c>
      <c r="AA543" s="1213">
        <f t="shared" si="435"/>
        <v>12.799999999999983</v>
      </c>
      <c r="AB543" s="1213">
        <f t="shared" si="435"/>
        <v>14.199999999999989</v>
      </c>
      <c r="AC543" s="1213">
        <f t="shared" ref="AC543:AD543" si="436">SUM(AC540:AC542)</f>
        <v>10.900000000000034</v>
      </c>
      <c r="AD543" s="1213">
        <f t="shared" si="436"/>
        <v>18.599999999999966</v>
      </c>
      <c r="AE543" s="1213">
        <f t="shared" ref="AE543" si="437">SUM(AE540:AE542)</f>
        <v>16.5</v>
      </c>
      <c r="AF543" s="1213">
        <f>SUM(AF540:AF542)</f>
        <v>12.30000000000004</v>
      </c>
      <c r="AG543" s="1213" t="e">
        <f>SUM(AG540:AG542)</f>
        <v>#REF!</v>
      </c>
      <c r="AH543" s="1213" t="e">
        <f>SUM(AH540:AH542)</f>
        <v>#REF!</v>
      </c>
      <c r="AI543" s="53"/>
      <c r="AJ543" s="53"/>
      <c r="AK543" s="53"/>
      <c r="AL543" s="53"/>
      <c r="AM543" s="53"/>
      <c r="AQ543" s="53"/>
      <c r="BJ543" s="53"/>
    </row>
    <row r="544" spans="2:62" ht="15.75">
      <c r="B544" s="1207" t="s">
        <v>5</v>
      </c>
      <c r="C544" s="1207"/>
      <c r="D544" s="1207"/>
      <c r="E544" s="1207" t="e">
        <f>#REF!</f>
        <v>#REF!</v>
      </c>
      <c r="F544" s="1207" t="e">
        <f>#REF!</f>
        <v>#REF!</v>
      </c>
      <c r="G544" s="1207">
        <f>BN420</f>
        <v>-17.900000000000091</v>
      </c>
      <c r="H544" s="1207">
        <f>BO420</f>
        <v>-22.099999999999909</v>
      </c>
      <c r="I544" s="1213">
        <f>BV420</f>
        <v>-60.900000000000091</v>
      </c>
      <c r="J544" s="1213">
        <f>BX420</f>
        <v>-1.3999999999998636</v>
      </c>
      <c r="K544" s="1213">
        <f>BZ420</f>
        <v>-53.900000000000091</v>
      </c>
      <c r="L544" s="1213">
        <f>CB420</f>
        <v>-25.700000000000045</v>
      </c>
      <c r="M544" s="1213">
        <f>CC420</f>
        <v>-31.399999999999864</v>
      </c>
      <c r="N544" s="1213">
        <f>CE420</f>
        <v>20.599999999999909</v>
      </c>
      <c r="O544" s="1213">
        <f>CG420</f>
        <v>-26.299999999999955</v>
      </c>
      <c r="P544" s="1213">
        <f>CJ420</f>
        <v>-18.299999999999955</v>
      </c>
      <c r="Q544" s="1213">
        <f>CL420</f>
        <v>-18.400000000000091</v>
      </c>
      <c r="R544" s="1213">
        <f>CN420</f>
        <v>-14.799999999999955</v>
      </c>
      <c r="S544" s="1213">
        <f>CO420</f>
        <v>-131.10000000000014</v>
      </c>
      <c r="T544" s="1213">
        <f>CQ420</f>
        <v>54.200000000000045</v>
      </c>
      <c r="U544" s="1213">
        <f t="shared" ref="U544:AA544" si="438">CS420</f>
        <v>26.100000000000136</v>
      </c>
      <c r="V544" s="1213">
        <f t="shared" si="438"/>
        <v>61.099999999999909</v>
      </c>
      <c r="W544" s="1213">
        <f t="shared" si="438"/>
        <v>60.099999999999909</v>
      </c>
      <c r="X544" s="1213">
        <f t="shared" si="438"/>
        <v>23.5</v>
      </c>
      <c r="Y544" s="1213">
        <f t="shared" si="438"/>
        <v>105.60000000000014</v>
      </c>
      <c r="Z544" s="1213">
        <f t="shared" si="438"/>
        <v>-83.700000000000045</v>
      </c>
      <c r="AA544" s="1213">
        <f t="shared" si="438"/>
        <v>-157</v>
      </c>
      <c r="AB544" s="1213">
        <f>DA420</f>
        <v>42.700000000000045</v>
      </c>
      <c r="AC544" s="1213">
        <f>DC420</f>
        <v>-38.5</v>
      </c>
      <c r="AD544" s="1213">
        <f>DE420</f>
        <v>-71</v>
      </c>
      <c r="AE544" s="1213">
        <f>DG420</f>
        <v>-57.100000000000136</v>
      </c>
      <c r="AF544" s="1213">
        <f>DI420</f>
        <v>32.400000000000091</v>
      </c>
      <c r="AG544" s="1213" t="e">
        <f>#REF!</f>
        <v>#REF!</v>
      </c>
      <c r="AH544" s="1213" t="e">
        <f>#REF!</f>
        <v>#REF!</v>
      </c>
      <c r="AI544" s="53"/>
      <c r="AJ544" s="53"/>
      <c r="AK544" s="53"/>
      <c r="AL544" s="53"/>
      <c r="AM544" s="53"/>
      <c r="AQ544" s="53"/>
      <c r="BJ544" s="53"/>
    </row>
    <row r="545" spans="2:62" ht="15.75">
      <c r="B545" s="1207"/>
      <c r="C545" s="1207"/>
      <c r="D545" s="1207"/>
      <c r="E545" s="1207"/>
      <c r="F545" s="1207"/>
      <c r="G545" s="1203"/>
      <c r="H545" s="1203"/>
      <c r="I545" s="1213"/>
      <c r="J545" s="1213"/>
      <c r="K545" s="1213"/>
      <c r="L545" s="1213"/>
      <c r="M545" s="1213"/>
      <c r="N545" s="1213"/>
      <c r="O545" s="1213"/>
      <c r="P545" s="1207"/>
      <c r="Q545" s="1207"/>
      <c r="R545" s="1207"/>
      <c r="S545" s="1207"/>
      <c r="T545" s="1207"/>
      <c r="U545" s="1207"/>
      <c r="V545" s="1207"/>
      <c r="W545" s="1207"/>
      <c r="X545" s="1207"/>
      <c r="Y545" s="1207"/>
      <c r="Z545" s="1207"/>
      <c r="AA545" s="1207"/>
      <c r="AB545" s="1207"/>
      <c r="AC545" s="1207"/>
      <c r="AD545" s="1207"/>
      <c r="AE545" s="1207"/>
      <c r="AF545" s="1207"/>
      <c r="AG545" s="1207"/>
      <c r="AH545" s="1207"/>
      <c r="AI545" s="53"/>
      <c r="AJ545" s="53"/>
      <c r="AK545" s="53"/>
      <c r="AL545" s="53"/>
      <c r="AM545" s="53"/>
      <c r="AQ545" s="53"/>
      <c r="BJ545" s="53"/>
    </row>
    <row r="546" spans="2:62" ht="15.75">
      <c r="B546" s="1210" t="str">
        <f>B422</f>
        <v>Jamaica</v>
      </c>
      <c r="C546" s="1211"/>
      <c r="D546" s="1211"/>
      <c r="E546" s="1211"/>
      <c r="F546" s="1211"/>
      <c r="G546" s="1308"/>
      <c r="H546" s="1308"/>
      <c r="I546" s="1284"/>
      <c r="J546" s="1284"/>
      <c r="K546" s="1284"/>
      <c r="L546" s="1284"/>
      <c r="M546" s="1284"/>
      <c r="N546" s="1284"/>
      <c r="O546" s="1284"/>
      <c r="P546" s="1211"/>
      <c r="Q546" s="1206" t="str">
        <f>Q537</f>
        <v>Q4 19</v>
      </c>
      <c r="R546" s="1206" t="str">
        <f t="shared" ref="R546:AD546" si="439">R537</f>
        <v>Q1 20</v>
      </c>
      <c r="S546" s="1206" t="str">
        <f t="shared" si="439"/>
        <v>Q2 20</v>
      </c>
      <c r="T546" s="1206" t="str">
        <f t="shared" si="439"/>
        <v>Q3 20</v>
      </c>
      <c r="U546" s="1206" t="str">
        <f t="shared" si="439"/>
        <v>Q4 20</v>
      </c>
      <c r="V546" s="1206" t="str">
        <f t="shared" si="439"/>
        <v>Q1 21</v>
      </c>
      <c r="W546" s="1206" t="str">
        <f t="shared" si="439"/>
        <v>Q2 21</v>
      </c>
      <c r="X546" s="1206" t="str">
        <f t="shared" si="439"/>
        <v>Q3 21</v>
      </c>
      <c r="Y546" s="1206" t="str">
        <f t="shared" si="439"/>
        <v>Q4 21</v>
      </c>
      <c r="Z546" s="1206" t="str">
        <f t="shared" si="439"/>
        <v>Q1 22</v>
      </c>
      <c r="AA546" s="1206" t="str">
        <f t="shared" si="439"/>
        <v>Q2 22</v>
      </c>
      <c r="AB546" s="1206" t="str">
        <f t="shared" si="439"/>
        <v>Q3 22</v>
      </c>
      <c r="AC546" s="1206" t="str">
        <f t="shared" si="439"/>
        <v>Q4 22</v>
      </c>
      <c r="AD546" s="1206" t="str">
        <f t="shared" si="439"/>
        <v>Q1 23</v>
      </c>
      <c r="AE546" s="1206" t="str">
        <f t="shared" ref="AE546" si="440">AE537</f>
        <v>Q2 23</v>
      </c>
      <c r="AF546" s="1206" t="str">
        <f>AF537</f>
        <v>Q3 23</v>
      </c>
      <c r="AG546" s="1206" t="str">
        <f>AG537</f>
        <v>Q4 23</v>
      </c>
      <c r="AH546" s="1206" t="str">
        <f>AH537</f>
        <v>Q1 24</v>
      </c>
      <c r="AI546" s="53"/>
      <c r="AJ546" s="53"/>
      <c r="AK546" s="53"/>
      <c r="AL546" s="53"/>
      <c r="AM546" s="53"/>
      <c r="BJ546" s="53"/>
    </row>
    <row r="547" spans="2:62" ht="15.75">
      <c r="B547" s="1207" t="str">
        <f t="shared" ref="B547:B552" si="441">B538</f>
        <v>Two-way homes passed</v>
      </c>
      <c r="C547" s="1207"/>
      <c r="D547" s="1207">
        <f>AO424</f>
        <v>0</v>
      </c>
      <c r="E547" s="1207" t="e">
        <f>#REF!</f>
        <v>#REF!</v>
      </c>
      <c r="F547" s="1207" t="e">
        <f>#REF!</f>
        <v>#REF!</v>
      </c>
      <c r="G547" s="1207">
        <f>BN424</f>
        <v>2.1999999999999886</v>
      </c>
      <c r="H547" s="1213">
        <f>BO424</f>
        <v>7</v>
      </c>
      <c r="I547" s="1213">
        <f>BW424</f>
        <v>24.800000000000011</v>
      </c>
      <c r="J547" s="1213">
        <f>BX424</f>
        <v>10.300000000000011</v>
      </c>
      <c r="K547" s="1213">
        <f t="shared" ref="K547:M548" si="442">CA424</f>
        <v>3.5999999999999659</v>
      </c>
      <c r="L547" s="1213">
        <f t="shared" si="442"/>
        <v>4.4000000000000341</v>
      </c>
      <c r="M547" s="1213">
        <f t="shared" si="442"/>
        <v>0</v>
      </c>
      <c r="N547" s="1213">
        <f>CF424</f>
        <v>5.2999999999999652</v>
      </c>
      <c r="O547" s="1213">
        <f>CH424</f>
        <v>2.7999999999999652</v>
      </c>
      <c r="P547" s="1213">
        <f>CJ424</f>
        <v>30.100000000000023</v>
      </c>
      <c r="Q547" s="1213">
        <f>CL424</f>
        <v>9</v>
      </c>
      <c r="R547" s="1213">
        <f>CN424</f>
        <v>12.200000000000045</v>
      </c>
      <c r="S547" s="1213">
        <f>CO424</f>
        <v>16</v>
      </c>
      <c r="T547" s="1213">
        <f>CQ424</f>
        <v>19.399999999999977</v>
      </c>
      <c r="U547" s="1213">
        <f t="shared" ref="U547:AA548" si="443">CS424</f>
        <v>13.200000000000045</v>
      </c>
      <c r="V547" s="1213">
        <f t="shared" si="443"/>
        <v>7.3999999999999773</v>
      </c>
      <c r="W547" s="1213">
        <f t="shared" si="443"/>
        <v>7.8999999999999773</v>
      </c>
      <c r="X547" s="1213">
        <f t="shared" si="443"/>
        <v>6.7999999999999545</v>
      </c>
      <c r="Y547" s="1213">
        <f t="shared" si="443"/>
        <v>10.600000000000023</v>
      </c>
      <c r="Z547" s="1213">
        <f t="shared" si="443"/>
        <v>8.8000000000000682</v>
      </c>
      <c r="AA547" s="1213">
        <f t="shared" si="443"/>
        <v>10.899999999999977</v>
      </c>
      <c r="AB547" s="1213">
        <f>DA424</f>
        <v>12.699999999999932</v>
      </c>
      <c r="AC547" s="1213">
        <f>DC424</f>
        <v>6.9000000000000909</v>
      </c>
      <c r="AD547" s="1213">
        <f>DE424</f>
        <v>6.6999999999999318</v>
      </c>
      <c r="AE547" s="1213">
        <f>DG424</f>
        <v>3.8000000000000682</v>
      </c>
      <c r="AF547" s="1213">
        <f>DI424</f>
        <v>4.7999999999999545</v>
      </c>
      <c r="AG547" s="1213" t="e">
        <f>#REF!</f>
        <v>#REF!</v>
      </c>
      <c r="AH547" s="1213" t="e">
        <f>#REF!</f>
        <v>#REF!</v>
      </c>
      <c r="AI547" s="53"/>
      <c r="AJ547" s="53"/>
      <c r="AK547" s="53"/>
      <c r="AL547" s="53"/>
      <c r="AM547" s="53"/>
      <c r="AQ547" s="53"/>
      <c r="BJ547" s="53"/>
    </row>
    <row r="548" spans="2:62" ht="15.75">
      <c r="B548" s="1207" t="str">
        <f t="shared" si="441"/>
        <v>Customer relationships</v>
      </c>
      <c r="C548" s="1207">
        <f>AN425</f>
        <v>-1.1000000000000001</v>
      </c>
      <c r="D548" s="1207">
        <f>AO425</f>
        <v>1.1000000000000227</v>
      </c>
      <c r="E548" s="1207">
        <f>AQ425</f>
        <v>-5.2000000000000455</v>
      </c>
      <c r="F548" s="1207" t="e">
        <f>#REF!</f>
        <v>#REF!</v>
      </c>
      <c r="G548" s="1207">
        <f>BN425</f>
        <v>-13.099999999999987</v>
      </c>
      <c r="H548" s="1207">
        <f>BO425</f>
        <v>1.3000000000000114</v>
      </c>
      <c r="I548" s="1213">
        <f>BW425</f>
        <v>9.9000000000000128</v>
      </c>
      <c r="J548" s="1213">
        <f>BX425</f>
        <v>5.5999999999999943</v>
      </c>
      <c r="K548" s="1213">
        <f t="shared" si="442"/>
        <v>2.0999999999999943</v>
      </c>
      <c r="L548" s="1213">
        <f t="shared" si="442"/>
        <v>2.3000000000000114</v>
      </c>
      <c r="M548" s="1213">
        <f t="shared" si="442"/>
        <v>2.6999999999999886</v>
      </c>
      <c r="N548" s="1213">
        <f>CF425</f>
        <v>3.5</v>
      </c>
      <c r="O548" s="1213">
        <f>CH425</f>
        <v>2.1999999999999886</v>
      </c>
      <c r="P548" s="1213">
        <f>CJ425</f>
        <v>1.7000000000000171</v>
      </c>
      <c r="Q548" s="1213">
        <f>CL425</f>
        <v>6.2999999999999829</v>
      </c>
      <c r="R548" s="1213">
        <f>CN425</f>
        <v>8.1999999999999886</v>
      </c>
      <c r="S548" s="1213">
        <f>CO425</f>
        <v>11.800000000000011</v>
      </c>
      <c r="T548" s="1213">
        <f>CQ425</f>
        <v>5.9000000000000341</v>
      </c>
      <c r="U548" s="1213">
        <f t="shared" si="443"/>
        <v>11.099999999999966</v>
      </c>
      <c r="V548" s="1213">
        <f t="shared" si="443"/>
        <v>6.6000000000000227</v>
      </c>
      <c r="W548" s="1213">
        <f t="shared" si="443"/>
        <v>9.6999999999999886</v>
      </c>
      <c r="X548" s="1213">
        <f t="shared" si="443"/>
        <v>8.3000000000000114</v>
      </c>
      <c r="Y548" s="1213">
        <f t="shared" si="443"/>
        <v>8.8999999999999773</v>
      </c>
      <c r="Z548" s="1213">
        <f t="shared" si="443"/>
        <v>-5.6999999999999886</v>
      </c>
      <c r="AA548" s="1213">
        <f t="shared" si="443"/>
        <v>2.1999999999999886</v>
      </c>
      <c r="AB548" s="1213">
        <f>DA425</f>
        <v>2.5</v>
      </c>
      <c r="AC548" s="1213">
        <f>DC425</f>
        <v>2.6000000000000227</v>
      </c>
      <c r="AD548" s="1213">
        <f>DE425</f>
        <v>5.5</v>
      </c>
      <c r="AE548" s="1213">
        <f>DG425</f>
        <v>4.3000000000000114</v>
      </c>
      <c r="AF548" s="1213">
        <f>DI425</f>
        <v>1.7999999999999545</v>
      </c>
      <c r="AG548" s="1213" t="e">
        <f>#REF!</f>
        <v>#REF!</v>
      </c>
      <c r="AH548" s="1213" t="e">
        <f>#REF!</f>
        <v>#REF!</v>
      </c>
      <c r="AI548" s="53"/>
      <c r="AJ548" s="53"/>
      <c r="AK548" s="53"/>
      <c r="AL548" s="53"/>
      <c r="AM548" s="53"/>
      <c r="AQ548" s="53"/>
      <c r="BJ548" s="53"/>
    </row>
    <row r="549" spans="2:62" ht="15.75">
      <c r="B549" s="1207" t="str">
        <f t="shared" si="441"/>
        <v>Video</v>
      </c>
      <c r="C549" s="1207">
        <f t="shared" ref="C549:D551" si="444">AN429</f>
        <v>2.2000000000000002</v>
      </c>
      <c r="D549" s="1207">
        <f t="shared" si="444"/>
        <v>0.70000000000000284</v>
      </c>
      <c r="E549" s="1207">
        <f>AQ429</f>
        <v>-3</v>
      </c>
      <c r="F549" s="1207" t="e">
        <f>#REF!</f>
        <v>#REF!</v>
      </c>
      <c r="G549" s="1207">
        <f t="shared" ref="G549:H551" si="445">BN429</f>
        <v>-2.7999999999999972</v>
      </c>
      <c r="H549" s="1213">
        <f t="shared" si="445"/>
        <v>2</v>
      </c>
      <c r="I549" s="1213">
        <f t="shared" ref="I549:J551" si="446">BW429</f>
        <v>5.2999999999999972</v>
      </c>
      <c r="J549" s="1213">
        <f t="shared" si="446"/>
        <v>3</v>
      </c>
      <c r="K549" s="1213">
        <f t="shared" ref="K549:M551" si="447">CA429</f>
        <v>5.0999999999999943</v>
      </c>
      <c r="L549" s="1213">
        <f t="shared" si="447"/>
        <v>4.8000000000000114</v>
      </c>
      <c r="M549" s="1213">
        <f t="shared" si="447"/>
        <v>2.6999999999999886</v>
      </c>
      <c r="N549" s="1213">
        <f>CF429</f>
        <v>-0.79999999999999716</v>
      </c>
      <c r="O549" s="1213">
        <f>CH429</f>
        <v>1.4000000000000057</v>
      </c>
      <c r="P549" s="1213">
        <f>CJ429</f>
        <v>1.5</v>
      </c>
      <c r="Q549" s="1213">
        <f>CL429</f>
        <v>-1</v>
      </c>
      <c r="R549" s="1213">
        <f t="shared" ref="R549:S551" si="448">CN429</f>
        <v>2</v>
      </c>
      <c r="S549" s="1213">
        <f t="shared" si="448"/>
        <v>2.5</v>
      </c>
      <c r="T549" s="1213">
        <f>CQ429</f>
        <v>2.7000000000000028</v>
      </c>
      <c r="U549" s="1213">
        <f t="shared" ref="U549:AA551" si="449">CS429</f>
        <v>2</v>
      </c>
      <c r="V549" s="1213">
        <f t="shared" si="449"/>
        <v>1.9000000000000057</v>
      </c>
      <c r="W549" s="1213">
        <f t="shared" si="449"/>
        <v>2.3999999999999773</v>
      </c>
      <c r="X549" s="1213">
        <f t="shared" si="449"/>
        <v>2.6000000000000227</v>
      </c>
      <c r="Y549" s="1213">
        <f t="shared" si="449"/>
        <v>3.5</v>
      </c>
      <c r="Z549" s="1213">
        <f t="shared" si="449"/>
        <v>-1.6000000000000227</v>
      </c>
      <c r="AA549" s="1213">
        <f t="shared" si="449"/>
        <v>-2.7999999999999829</v>
      </c>
      <c r="AB549" s="1213">
        <f>DA429</f>
        <v>-2</v>
      </c>
      <c r="AC549" s="1213">
        <f>DC429</f>
        <v>-0.40000000000000568</v>
      </c>
      <c r="AD549" s="1213">
        <f>DE429</f>
        <v>-0.69999999999998863</v>
      </c>
      <c r="AE549" s="1213">
        <f>DG429</f>
        <v>-0.90000000000000568</v>
      </c>
      <c r="AF549" s="1213">
        <f>DI429</f>
        <v>-0.70000000000001705</v>
      </c>
      <c r="AG549" s="1213" t="e">
        <f>#REF!</f>
        <v>#REF!</v>
      </c>
      <c r="AH549" s="1213" t="e">
        <f>#REF!</f>
        <v>#REF!</v>
      </c>
      <c r="AI549" s="53"/>
      <c r="AJ549" s="53"/>
      <c r="AK549" s="53"/>
      <c r="AL549" s="53"/>
      <c r="AM549" s="53"/>
      <c r="AQ549" s="53"/>
      <c r="BJ549" s="53"/>
    </row>
    <row r="550" spans="2:62" ht="15.75">
      <c r="B550" s="1207" t="str">
        <f t="shared" si="441"/>
        <v>BB</v>
      </c>
      <c r="C550" s="1207">
        <f t="shared" si="444"/>
        <v>0.9</v>
      </c>
      <c r="D550" s="1207">
        <f t="shared" si="444"/>
        <v>4.9000000000000057</v>
      </c>
      <c r="E550" s="1207">
        <f>AQ430</f>
        <v>-0.69999999999998863</v>
      </c>
      <c r="F550" s="1207" t="e">
        <f>#REF!</f>
        <v>#REF!</v>
      </c>
      <c r="G550" s="1207">
        <f t="shared" si="445"/>
        <v>-3.1000000000000156</v>
      </c>
      <c r="H550" s="1207">
        <f t="shared" si="445"/>
        <v>5.5</v>
      </c>
      <c r="I550" s="1213">
        <f t="shared" si="446"/>
        <v>14.800000000000011</v>
      </c>
      <c r="J550" s="1213">
        <f t="shared" si="446"/>
        <v>7.5</v>
      </c>
      <c r="K550" s="1213">
        <f t="shared" si="447"/>
        <v>4.1999999999999886</v>
      </c>
      <c r="L550" s="1213">
        <f t="shared" si="447"/>
        <v>3.4000000000000057</v>
      </c>
      <c r="M550" s="1213">
        <f t="shared" si="447"/>
        <v>7</v>
      </c>
      <c r="N550" s="1213">
        <f>CF430</f>
        <v>6.7000000000000171</v>
      </c>
      <c r="O550" s="1213">
        <f>CH430</f>
        <v>4.5</v>
      </c>
      <c r="P550" s="1213">
        <f>CJ430</f>
        <v>3.2999999999999829</v>
      </c>
      <c r="Q550" s="1213">
        <f>CL430</f>
        <v>6.7000000000000171</v>
      </c>
      <c r="R550" s="1213">
        <f t="shared" si="448"/>
        <v>15.899999999999977</v>
      </c>
      <c r="S550" s="1213">
        <f t="shared" si="448"/>
        <v>8.9000000000000057</v>
      </c>
      <c r="T550" s="1213">
        <f>CQ430</f>
        <v>9.9000000000000057</v>
      </c>
      <c r="U550" s="1213">
        <f t="shared" si="449"/>
        <v>13.100000000000023</v>
      </c>
      <c r="V550" s="1213">
        <f t="shared" si="449"/>
        <v>9.0999999999999659</v>
      </c>
      <c r="W550" s="1213">
        <f t="shared" si="449"/>
        <v>11.199999999999989</v>
      </c>
      <c r="X550" s="1213">
        <f t="shared" si="449"/>
        <v>10</v>
      </c>
      <c r="Y550" s="1213">
        <f t="shared" si="449"/>
        <v>10.300000000000011</v>
      </c>
      <c r="Z550" s="1213">
        <f t="shared" si="449"/>
        <v>-3.8000000000000114</v>
      </c>
      <c r="AA550" s="1213">
        <f t="shared" si="449"/>
        <v>3.8000000000000114</v>
      </c>
      <c r="AB550" s="1213">
        <f>DA430</f>
        <v>3.9000000000000341</v>
      </c>
      <c r="AC550" s="1213">
        <f>DC430</f>
        <v>4.0999999999999659</v>
      </c>
      <c r="AD550" s="1213">
        <f>DE430</f>
        <v>7.4000000000000341</v>
      </c>
      <c r="AE550" s="1213">
        <f>DG430</f>
        <v>5.7999999999999545</v>
      </c>
      <c r="AF550" s="1213">
        <f>DI430</f>
        <v>3.6000000000000227</v>
      </c>
      <c r="AG550" s="1213" t="e">
        <f>#REF!</f>
        <v>#REF!</v>
      </c>
      <c r="AH550" s="1213" t="e">
        <f>#REF!</f>
        <v>#REF!</v>
      </c>
      <c r="AI550" s="53"/>
      <c r="AJ550" s="53"/>
      <c r="AK550" s="53"/>
      <c r="AL550" s="53"/>
      <c r="AM550" s="53"/>
      <c r="AQ550" s="53"/>
      <c r="BJ550" s="53"/>
    </row>
    <row r="551" spans="2:62" ht="15.75">
      <c r="B551" s="1207" t="str">
        <f t="shared" si="441"/>
        <v>Telephony</v>
      </c>
      <c r="C551" s="1207">
        <f t="shared" si="444"/>
        <v>4.8</v>
      </c>
      <c r="D551" s="1207">
        <f t="shared" si="444"/>
        <v>6.8000000000000114</v>
      </c>
      <c r="E551" s="1207">
        <f>AQ431</f>
        <v>2.8999999999999773</v>
      </c>
      <c r="F551" s="1207" t="e">
        <f>#REF!</f>
        <v>#REF!</v>
      </c>
      <c r="G551" s="1207">
        <f t="shared" si="445"/>
        <v>-6.5000000000000213</v>
      </c>
      <c r="H551" s="1207">
        <f t="shared" si="445"/>
        <v>10.400000000000006</v>
      </c>
      <c r="I551" s="1213">
        <f t="shared" si="446"/>
        <v>9.4000000000000128</v>
      </c>
      <c r="J551" s="1213">
        <f t="shared" si="446"/>
        <v>6</v>
      </c>
      <c r="K551" s="1213">
        <f t="shared" si="447"/>
        <v>5.4000000000000057</v>
      </c>
      <c r="L551" s="1213">
        <f t="shared" si="447"/>
        <v>4.5999999999999943</v>
      </c>
      <c r="M551" s="1213">
        <f t="shared" si="447"/>
        <v>3.7999999999999829</v>
      </c>
      <c r="N551" s="1213">
        <f>CF431</f>
        <v>3.6000000000000227</v>
      </c>
      <c r="O551" s="1213">
        <f>CH431</f>
        <v>1.1999999999999886</v>
      </c>
      <c r="P551" s="1213">
        <f>CJ431</f>
        <v>0.30000000000001137</v>
      </c>
      <c r="Q551" s="1213">
        <f>CL431</f>
        <v>9.2999999999999829</v>
      </c>
      <c r="R551" s="1213">
        <f t="shared" si="448"/>
        <v>6.8000000000000114</v>
      </c>
      <c r="S551" s="1213">
        <f t="shared" si="448"/>
        <v>9.5999999999999943</v>
      </c>
      <c r="T551" s="1213">
        <f>CQ431</f>
        <v>6.5</v>
      </c>
      <c r="U551" s="1213">
        <f t="shared" si="449"/>
        <v>12.199999999999989</v>
      </c>
      <c r="V551" s="1213">
        <f t="shared" si="449"/>
        <v>11</v>
      </c>
      <c r="W551" s="1213">
        <f t="shared" si="449"/>
        <v>12.699999999999989</v>
      </c>
      <c r="X551" s="1213">
        <f t="shared" si="449"/>
        <v>11.300000000000011</v>
      </c>
      <c r="Y551" s="1213">
        <f t="shared" si="449"/>
        <v>13.199999999999989</v>
      </c>
      <c r="Z551" s="1213">
        <f t="shared" si="449"/>
        <v>-2.6999999999999886</v>
      </c>
      <c r="AA551" s="1213">
        <f t="shared" si="449"/>
        <v>0.80000000000001137</v>
      </c>
      <c r="AB551" s="1213">
        <f>DA431</f>
        <v>3.8000000000000114</v>
      </c>
      <c r="AC551" s="1213">
        <f>DC431</f>
        <v>4.5999999999999659</v>
      </c>
      <c r="AD551" s="1213">
        <f>DE431</f>
        <v>9.1000000000000227</v>
      </c>
      <c r="AE551" s="1213">
        <f>DG431</f>
        <v>5.8000000000000114</v>
      </c>
      <c r="AF551" s="1213">
        <f>DI431</f>
        <v>4.5999999999999659</v>
      </c>
      <c r="AG551" s="1213" t="e">
        <f>#REF!</f>
        <v>#REF!</v>
      </c>
      <c r="AH551" s="1213" t="e">
        <f>#REF!</f>
        <v>#REF!</v>
      </c>
      <c r="AI551" s="53"/>
      <c r="AJ551" s="53"/>
      <c r="AK551" s="53"/>
      <c r="AL551" s="53"/>
      <c r="AM551" s="53"/>
      <c r="AQ551" s="53"/>
      <c r="BJ551" s="53"/>
    </row>
    <row r="552" spans="2:62" ht="15.75">
      <c r="B552" s="1207" t="str">
        <f t="shared" si="441"/>
        <v>Fixed RGUs</v>
      </c>
      <c r="C552" s="1207">
        <f t="shared" ref="C552:W552" si="450">SUM(C549:C551)</f>
        <v>7.9</v>
      </c>
      <c r="D552" s="1207">
        <f t="shared" si="450"/>
        <v>12.40000000000002</v>
      </c>
      <c r="E552" s="1207">
        <f t="shared" si="450"/>
        <v>-0.80000000000001137</v>
      </c>
      <c r="F552" s="1207" t="e">
        <f t="shared" si="450"/>
        <v>#REF!</v>
      </c>
      <c r="G552" s="1207">
        <f t="shared" si="450"/>
        <v>-12.400000000000034</v>
      </c>
      <c r="H552" s="1207">
        <f t="shared" si="450"/>
        <v>17.900000000000006</v>
      </c>
      <c r="I552" s="1213">
        <f t="shared" si="450"/>
        <v>29.500000000000021</v>
      </c>
      <c r="J552" s="1213">
        <f t="shared" si="450"/>
        <v>16.5</v>
      </c>
      <c r="K552" s="1213">
        <f t="shared" si="450"/>
        <v>14.699999999999989</v>
      </c>
      <c r="L552" s="1213">
        <f t="shared" si="450"/>
        <v>12.800000000000011</v>
      </c>
      <c r="M552" s="1213">
        <f t="shared" si="450"/>
        <v>13.499999999999972</v>
      </c>
      <c r="N552" s="1213">
        <f t="shared" si="450"/>
        <v>9.5000000000000426</v>
      </c>
      <c r="O552" s="1213">
        <f t="shared" si="450"/>
        <v>7.0999999999999943</v>
      </c>
      <c r="P552" s="1213">
        <f t="shared" si="450"/>
        <v>5.0999999999999943</v>
      </c>
      <c r="Q552" s="1213">
        <f t="shared" si="450"/>
        <v>15</v>
      </c>
      <c r="R552" s="1213">
        <f t="shared" si="450"/>
        <v>24.699999999999989</v>
      </c>
      <c r="S552" s="1213">
        <f t="shared" si="450"/>
        <v>21</v>
      </c>
      <c r="T552" s="1213">
        <f t="shared" si="450"/>
        <v>19.100000000000009</v>
      </c>
      <c r="U552" s="1213">
        <f t="shared" si="450"/>
        <v>27.300000000000011</v>
      </c>
      <c r="V552" s="1213">
        <f t="shared" si="450"/>
        <v>21.999999999999972</v>
      </c>
      <c r="W552" s="1213">
        <f t="shared" si="450"/>
        <v>26.299999999999955</v>
      </c>
      <c r="X552" s="1213">
        <f t="shared" ref="X552:AD552" si="451">SUM(X549:X551)</f>
        <v>23.900000000000034</v>
      </c>
      <c r="Y552" s="1213">
        <f t="shared" si="451"/>
        <v>27</v>
      </c>
      <c r="Z552" s="1213">
        <f t="shared" si="451"/>
        <v>-8.1000000000000227</v>
      </c>
      <c r="AA552" s="1213">
        <f t="shared" si="451"/>
        <v>1.8000000000000398</v>
      </c>
      <c r="AB552" s="1213">
        <f t="shared" si="451"/>
        <v>5.7000000000000455</v>
      </c>
      <c r="AC552" s="1213">
        <f t="shared" si="451"/>
        <v>8.2999999999999261</v>
      </c>
      <c r="AD552" s="1213">
        <f t="shared" si="451"/>
        <v>15.800000000000068</v>
      </c>
      <c r="AE552" s="1213">
        <f t="shared" ref="AE552" si="452">SUM(AE549:AE551)</f>
        <v>10.69999999999996</v>
      </c>
      <c r="AF552" s="1213">
        <f>SUM(AF549:AF551)</f>
        <v>7.4999999999999716</v>
      </c>
      <c r="AG552" s="1213" t="e">
        <f>SUM(AG549:AG551)</f>
        <v>#REF!</v>
      </c>
      <c r="AH552" s="1213" t="e">
        <f>SUM(AH549:AH551)</f>
        <v>#REF!</v>
      </c>
      <c r="AI552" s="53"/>
      <c r="AJ552" s="53"/>
      <c r="AK552" s="53"/>
      <c r="AL552" s="53"/>
      <c r="AM552" s="53"/>
      <c r="AQ552" s="53"/>
      <c r="BJ552" s="53"/>
    </row>
    <row r="553" spans="2:62" ht="15.75">
      <c r="B553" s="1207" t="s">
        <v>5</v>
      </c>
      <c r="C553" s="1207"/>
      <c r="D553" s="1207"/>
      <c r="E553" s="1207">
        <f>AQ432</f>
        <v>56</v>
      </c>
      <c r="F553" s="1207" t="e">
        <f>#REF!</f>
        <v>#REF!</v>
      </c>
      <c r="G553" s="1207">
        <f>BN432</f>
        <v>2.9</v>
      </c>
      <c r="H553" s="1207">
        <f>BO432</f>
        <v>-3.3999999999999773</v>
      </c>
      <c r="I553" s="1213">
        <f>BW432</f>
        <v>23.200000000000045</v>
      </c>
      <c r="J553" s="1213">
        <f>BX432</f>
        <v>-12.200000000000045</v>
      </c>
      <c r="K553" s="1213">
        <f>CA432</f>
        <v>-15.799999999999955</v>
      </c>
      <c r="L553" s="1213">
        <f>CB432</f>
        <v>-6.4000000000000909</v>
      </c>
      <c r="M553" s="1213">
        <f>CC432</f>
        <v>16.600000000000023</v>
      </c>
      <c r="N553" s="1213">
        <f>CF432</f>
        <v>-13.899999999999977</v>
      </c>
      <c r="O553" s="1213">
        <f>CH432</f>
        <v>75.700000000000045</v>
      </c>
      <c r="P553" s="1213">
        <f>CJ432</f>
        <v>23.099999999999909</v>
      </c>
      <c r="Q553" s="1213">
        <f>CL432</f>
        <v>52.299999999999955</v>
      </c>
      <c r="R553" s="1213">
        <f>CN432</f>
        <v>-19.099999999999909</v>
      </c>
      <c r="S553" s="1213">
        <f>CO432</f>
        <v>-107.29999999999995</v>
      </c>
      <c r="T553" s="1213">
        <f>CQ432</f>
        <v>19.099999999999909</v>
      </c>
      <c r="U553" s="1213">
        <f t="shared" ref="U553:AA553" si="453">CS432</f>
        <v>26.5</v>
      </c>
      <c r="V553" s="1213">
        <f t="shared" si="453"/>
        <v>10.100000000000023</v>
      </c>
      <c r="W553" s="1213">
        <f t="shared" si="453"/>
        <v>54.899999999999977</v>
      </c>
      <c r="X553" s="1213">
        <f t="shared" si="453"/>
        <v>23.700000000000045</v>
      </c>
      <c r="Y553" s="1213">
        <f t="shared" si="453"/>
        <v>30.5</v>
      </c>
      <c r="Z553" s="1213">
        <f t="shared" si="453"/>
        <v>3.4000000000000909</v>
      </c>
      <c r="AA553" s="1213">
        <f t="shared" si="453"/>
        <v>31.599999999999909</v>
      </c>
      <c r="AB553" s="1213">
        <f>DA432</f>
        <v>23.30000000000009</v>
      </c>
      <c r="AC553" s="1213">
        <f>DC432</f>
        <v>13.299999999999955</v>
      </c>
      <c r="AD553" s="1213">
        <f>DE432</f>
        <v>22.7</v>
      </c>
      <c r="AE553" s="1213">
        <f>DG432</f>
        <v>7.9000000000000448</v>
      </c>
      <c r="AF553" s="1213">
        <f>DI432</f>
        <v>1.5999999999999091</v>
      </c>
      <c r="AG553" s="1213" t="e">
        <f>#REF!</f>
        <v>#REF!</v>
      </c>
      <c r="AH553" s="1213" t="e">
        <f>#REF!</f>
        <v>#REF!</v>
      </c>
      <c r="AI553" s="53"/>
      <c r="AJ553" s="53"/>
      <c r="AK553" s="53"/>
      <c r="AL553" s="53"/>
      <c r="AM553" s="53"/>
      <c r="AQ553" s="53"/>
      <c r="BJ553" s="53"/>
    </row>
    <row r="554" spans="2:62" ht="15.75">
      <c r="B554" s="1207"/>
      <c r="C554" s="1207"/>
      <c r="D554" s="1207"/>
      <c r="E554" s="1207"/>
      <c r="F554" s="1207"/>
      <c r="G554" s="1203"/>
      <c r="H554" s="1207"/>
      <c r="I554" s="1213"/>
      <c r="J554" s="1213"/>
      <c r="K554" s="1213"/>
      <c r="L554" s="1213"/>
      <c r="M554" s="1213"/>
      <c r="N554" s="1213"/>
      <c r="O554" s="1213"/>
      <c r="P554" s="1207"/>
      <c r="Q554" s="1207"/>
      <c r="R554" s="1207"/>
      <c r="S554" s="1207"/>
      <c r="T554" s="1207"/>
      <c r="U554" s="1207"/>
      <c r="V554" s="1207"/>
      <c r="W554" s="1207"/>
      <c r="X554" s="1207"/>
      <c r="Y554" s="1207"/>
      <c r="Z554" s="1207"/>
      <c r="AA554" s="1207"/>
      <c r="AB554" s="1207"/>
      <c r="AC554" s="1207"/>
      <c r="AD554" s="1207"/>
      <c r="AE554" s="1207"/>
      <c r="AF554" s="1207"/>
      <c r="AG554" s="1207"/>
      <c r="AH554" s="1207"/>
      <c r="AI554" s="53"/>
      <c r="AJ554" s="53"/>
      <c r="AK554" s="53"/>
      <c r="AL554" s="53"/>
      <c r="AM554" s="53"/>
      <c r="AQ554" s="53"/>
      <c r="BJ554" s="53"/>
    </row>
    <row r="555" spans="2:62" ht="15.75">
      <c r="B555" s="1210" t="s">
        <v>1479</v>
      </c>
      <c r="C555" s="1210"/>
      <c r="D555" s="1210"/>
      <c r="E555" s="1210"/>
      <c r="F555" s="1210"/>
      <c r="G555" s="1205"/>
      <c r="H555" s="1210"/>
      <c r="I555" s="1216" t="str">
        <f t="shared" ref="I555:AB555" si="454">I537</f>
        <v>Q4 17</v>
      </c>
      <c r="J555" s="1216" t="str">
        <f t="shared" si="454"/>
        <v>Q1 18</v>
      </c>
      <c r="K555" s="1216" t="str">
        <f t="shared" si="454"/>
        <v>Q2 18</v>
      </c>
      <c r="L555" s="1216" t="str">
        <f t="shared" si="454"/>
        <v>Q3 18</v>
      </c>
      <c r="M555" s="1216" t="str">
        <f t="shared" si="454"/>
        <v>Q4 18</v>
      </c>
      <c r="N555" s="1216" t="str">
        <f t="shared" si="454"/>
        <v>Q1 19</v>
      </c>
      <c r="O555" s="1216" t="str">
        <f t="shared" si="454"/>
        <v>Q2 19</v>
      </c>
      <c r="P555" s="1216" t="str">
        <f t="shared" si="454"/>
        <v>Q3 19</v>
      </c>
      <c r="Q555" s="1216" t="str">
        <f t="shared" si="454"/>
        <v>Q4 19</v>
      </c>
      <c r="R555" s="1216" t="str">
        <f t="shared" si="454"/>
        <v>Q1 20</v>
      </c>
      <c r="S555" s="1216" t="str">
        <f t="shared" si="454"/>
        <v>Q2 20</v>
      </c>
      <c r="T555" s="1216" t="str">
        <f t="shared" si="454"/>
        <v>Q3 20</v>
      </c>
      <c r="U555" s="1216" t="str">
        <f t="shared" si="454"/>
        <v>Q4 20</v>
      </c>
      <c r="V555" s="1216" t="str">
        <f t="shared" si="454"/>
        <v>Q1 21</v>
      </c>
      <c r="W555" s="1216" t="str">
        <f t="shared" si="454"/>
        <v>Q2 21</v>
      </c>
      <c r="X555" s="1216" t="str">
        <f t="shared" si="454"/>
        <v>Q3 21</v>
      </c>
      <c r="Y555" s="1216" t="str">
        <f t="shared" si="454"/>
        <v>Q4 21</v>
      </c>
      <c r="Z555" s="1216" t="str">
        <f t="shared" si="454"/>
        <v>Q1 22</v>
      </c>
      <c r="AA555" s="1216" t="str">
        <f t="shared" si="454"/>
        <v>Q2 22</v>
      </c>
      <c r="AB555" s="1216" t="str">
        <f t="shared" si="454"/>
        <v>Q3 22</v>
      </c>
      <c r="AC555" s="1216" t="str">
        <f t="shared" ref="AC555:AD555" si="455">AC537</f>
        <v>Q4 22</v>
      </c>
      <c r="AD555" s="1216" t="str">
        <f t="shared" si="455"/>
        <v>Q1 23</v>
      </c>
      <c r="AE555" s="1216" t="str">
        <f t="shared" ref="AE555" si="456">AE537</f>
        <v>Q2 23</v>
      </c>
      <c r="AF555" s="1216" t="str">
        <f>AF537</f>
        <v>Q3 23</v>
      </c>
      <c r="AG555" s="1216" t="str">
        <f>AG537</f>
        <v>Q4 23</v>
      </c>
      <c r="AH555" s="1216" t="str">
        <f>AH537</f>
        <v>Q1 24</v>
      </c>
      <c r="AI555" s="53"/>
      <c r="AJ555" s="53"/>
      <c r="AK555" s="53"/>
      <c r="AL555" s="53"/>
      <c r="AM555" s="53"/>
      <c r="AQ555" s="53"/>
      <c r="BJ555" s="53"/>
    </row>
    <row r="556" spans="2:62" ht="15.75">
      <c r="B556" s="1207" t="str">
        <f t="shared" ref="B556:B561" si="457">B547</f>
        <v>Two-way homes passed</v>
      </c>
      <c r="C556" s="1207"/>
      <c r="D556" s="1207">
        <f>AO436</f>
        <v>0</v>
      </c>
      <c r="E556" s="1207">
        <f>AQ436</f>
        <v>0</v>
      </c>
      <c r="F556" s="1207" t="e">
        <f>#REF!</f>
        <v>#REF!</v>
      </c>
      <c r="G556" s="1207">
        <f>BM436</f>
        <v>1.1999999999999886</v>
      </c>
      <c r="H556" s="1207">
        <f>BO436</f>
        <v>3</v>
      </c>
      <c r="I556" s="1213">
        <f>BV436</f>
        <v>0.10000000000002274</v>
      </c>
      <c r="J556" s="1213">
        <f>BX436</f>
        <v>2.1999999999999886</v>
      </c>
      <c r="K556" s="1213">
        <f>BZ436</f>
        <v>3.1000000000000227</v>
      </c>
      <c r="L556" s="1213">
        <f>CB436</f>
        <v>1.5</v>
      </c>
      <c r="M556" s="1213">
        <f>CC436</f>
        <v>1.6999999999999886</v>
      </c>
      <c r="N556" s="1213">
        <f>CE436</f>
        <v>2.1000000000000227</v>
      </c>
      <c r="O556" s="1213">
        <f>CG436</f>
        <v>1.1999999999999886</v>
      </c>
      <c r="P556" s="1213">
        <f>CJ436</f>
        <v>1.5</v>
      </c>
      <c r="Q556" s="1213">
        <f>CL436</f>
        <v>0.30000000000001137</v>
      </c>
      <c r="R556" s="1213">
        <f>CN436</f>
        <v>0.59999999999996589</v>
      </c>
      <c r="S556" s="1213">
        <f>CO436</f>
        <v>1.5</v>
      </c>
      <c r="T556" s="1213">
        <f>CQ436</f>
        <v>1.4000000000000341</v>
      </c>
      <c r="U556" s="1213">
        <f t="shared" ref="U556:AA557" si="458">CS436</f>
        <v>1.5</v>
      </c>
      <c r="V556" s="1213">
        <f t="shared" si="458"/>
        <v>0.59999999999996589</v>
      </c>
      <c r="W556" s="1213">
        <f t="shared" si="458"/>
        <v>1</v>
      </c>
      <c r="X556" s="1213">
        <f t="shared" si="458"/>
        <v>0.19999999999998863</v>
      </c>
      <c r="Y556" s="1213">
        <f t="shared" si="458"/>
        <v>1.2000000000000455</v>
      </c>
      <c r="Z556" s="1213">
        <f t="shared" si="458"/>
        <v>0.19999999999998863</v>
      </c>
      <c r="AA556" s="1213">
        <f t="shared" si="458"/>
        <v>1.0999999999999659</v>
      </c>
      <c r="AB556" s="1213">
        <f>DA436</f>
        <v>2</v>
      </c>
      <c r="AC556" s="1213">
        <f>DC436</f>
        <v>0</v>
      </c>
      <c r="AD556" s="1213">
        <f>DE436</f>
        <v>0</v>
      </c>
      <c r="AE556" s="1213">
        <f>DG436</f>
        <v>0</v>
      </c>
      <c r="AF556" s="1213">
        <f>DI436</f>
        <v>0</v>
      </c>
      <c r="AG556" s="1213" t="e">
        <f>#REF!</f>
        <v>#REF!</v>
      </c>
      <c r="AH556" s="1213" t="e">
        <f>#REF!</f>
        <v>#REF!</v>
      </c>
      <c r="AI556" s="53"/>
      <c r="AJ556" s="53"/>
      <c r="AK556" s="53"/>
      <c r="AL556" s="53"/>
      <c r="AM556" s="53"/>
      <c r="AQ556" s="53"/>
      <c r="BJ556" s="53"/>
    </row>
    <row r="557" spans="2:62" ht="15.75">
      <c r="B557" s="1207" t="str">
        <f t="shared" si="457"/>
        <v>Customer relationships</v>
      </c>
      <c r="C557" s="1207">
        <f>AN437</f>
        <v>-1.8</v>
      </c>
      <c r="D557" s="1207">
        <f>AO437</f>
        <v>-15.300000000000011</v>
      </c>
      <c r="E557" s="1207">
        <f>AQ437</f>
        <v>-3.0999999999999943</v>
      </c>
      <c r="F557" s="1207" t="e">
        <f>#REF!</f>
        <v>#REF!</v>
      </c>
      <c r="G557" s="1207">
        <f>BM437</f>
        <v>-2.3000000000000114</v>
      </c>
      <c r="H557" s="1207">
        <f>BO437</f>
        <v>-3.9000000000000057</v>
      </c>
      <c r="I557" s="1213">
        <f>BV437</f>
        <v>-0.89999999999997726</v>
      </c>
      <c r="J557" s="1213">
        <f>BX437</f>
        <v>-0.5</v>
      </c>
      <c r="K557" s="1213">
        <f>BZ437</f>
        <v>-0.60000000000002274</v>
      </c>
      <c r="L557" s="1213">
        <f>CB437</f>
        <v>-0.29999999999998295</v>
      </c>
      <c r="M557" s="1213">
        <f>CC437</f>
        <v>1.1999999999999886</v>
      </c>
      <c r="N557" s="1213">
        <f>CE437</f>
        <v>9.9999999999994316E-2</v>
      </c>
      <c r="O557" s="1213">
        <f>CG437</f>
        <v>0</v>
      </c>
      <c r="P557" s="1213">
        <f>CJ437</f>
        <v>0.60000000000002274</v>
      </c>
      <c r="Q557" s="1213">
        <f>CL437</f>
        <v>2.0999999999999943</v>
      </c>
      <c r="R557" s="1213">
        <f>CN437</f>
        <v>-0.30000000000001137</v>
      </c>
      <c r="S557" s="1213">
        <f>CO437</f>
        <v>-0.29999999999998295</v>
      </c>
      <c r="T557" s="1213">
        <f>CQ437</f>
        <v>-0.90000000000000568</v>
      </c>
      <c r="U557" s="1213">
        <f t="shared" si="458"/>
        <v>-0.40000000000000568</v>
      </c>
      <c r="V557" s="1213">
        <f t="shared" si="458"/>
        <v>0.5</v>
      </c>
      <c r="W557" s="1213">
        <f t="shared" si="458"/>
        <v>0.19999999999998863</v>
      </c>
      <c r="X557" s="1213">
        <f t="shared" si="458"/>
        <v>0.30000000000001137</v>
      </c>
      <c r="Y557" s="1213">
        <f t="shared" si="458"/>
        <v>1.5999999999999943</v>
      </c>
      <c r="Z557" s="1213">
        <f t="shared" si="458"/>
        <v>0.20000000000001705</v>
      </c>
      <c r="AA557" s="1213">
        <f t="shared" si="458"/>
        <v>-1.8000000000000114</v>
      </c>
      <c r="AB557" s="1213">
        <f>DA437</f>
        <v>-1.5999999999999943</v>
      </c>
      <c r="AC557" s="1213">
        <f>DC437</f>
        <v>-0.80000000000001137</v>
      </c>
      <c r="AD557" s="1213">
        <f>DE437</f>
        <v>-2.7999999999999829</v>
      </c>
      <c r="AE557" s="1213">
        <f>DG437</f>
        <v>-2.6000000000000227</v>
      </c>
      <c r="AF557" s="1213">
        <f>DI437</f>
        <v>-1.1999999999999886</v>
      </c>
      <c r="AG557" s="1213" t="e">
        <f>#REF!</f>
        <v>#REF!</v>
      </c>
      <c r="AH557" s="1213" t="e">
        <f>#REF!</f>
        <v>#REF!</v>
      </c>
      <c r="AI557" s="53"/>
      <c r="AJ557" s="53"/>
      <c r="AK557" s="53"/>
      <c r="AL557" s="53"/>
      <c r="AM557" s="53"/>
      <c r="AQ557" s="53"/>
      <c r="BJ557" s="53"/>
    </row>
    <row r="558" spans="2:62" ht="15.75">
      <c r="B558" s="1207" t="str">
        <f t="shared" si="457"/>
        <v>Video</v>
      </c>
      <c r="C558" s="1207">
        <f t="shared" ref="C558:D560" si="459">AN441</f>
        <v>-2.5</v>
      </c>
      <c r="D558" s="1207">
        <f t="shared" si="459"/>
        <v>-13.900000000000006</v>
      </c>
      <c r="E558" s="1207">
        <f>AQ441</f>
        <v>-4.3999999999999915</v>
      </c>
      <c r="F558" s="1207" t="e">
        <f>#REF!</f>
        <v>#REF!</v>
      </c>
      <c r="G558" s="1207">
        <f>BM441</f>
        <v>-2.5</v>
      </c>
      <c r="H558" s="1207">
        <f>BO441</f>
        <v>-3.2999999999999972</v>
      </c>
      <c r="I558" s="1213">
        <f>BV441</f>
        <v>-0.89999999999999147</v>
      </c>
      <c r="J558" s="1213">
        <f>BX441</f>
        <v>-0.10000000000000853</v>
      </c>
      <c r="K558" s="1213">
        <f>BZ441</f>
        <v>0.40000000000000568</v>
      </c>
      <c r="L558" s="1213">
        <f t="shared" ref="L558:M560" si="460">CB441</f>
        <v>-0.29999999999999716</v>
      </c>
      <c r="M558" s="1213">
        <f t="shared" si="460"/>
        <v>0.39999999999999147</v>
      </c>
      <c r="N558" s="1213">
        <f>CE441</f>
        <v>-9.9999999999994316E-2</v>
      </c>
      <c r="O558" s="1213">
        <f>CG441</f>
        <v>0.89999999999999147</v>
      </c>
      <c r="P558" s="1213">
        <f>CJ441</f>
        <v>-9.9999999999994316E-2</v>
      </c>
      <c r="Q558" s="1213">
        <f>CL441</f>
        <v>1</v>
      </c>
      <c r="R558" s="1213">
        <f t="shared" ref="R558:S560" si="461">CN441</f>
        <v>-0.70000000000000284</v>
      </c>
      <c r="S558" s="1213">
        <f t="shared" si="461"/>
        <v>-1.3999999999999915</v>
      </c>
      <c r="T558" s="1213">
        <f>CQ441</f>
        <v>-1.4000000000000057</v>
      </c>
      <c r="U558" s="1213">
        <f t="shared" ref="U558:AA560" si="462">CS441</f>
        <v>0.20000000000000284</v>
      </c>
      <c r="V558" s="1213">
        <f t="shared" si="462"/>
        <v>0</v>
      </c>
      <c r="W558" s="1213">
        <f t="shared" si="462"/>
        <v>-0.90000000000000568</v>
      </c>
      <c r="X558" s="1213">
        <f t="shared" si="462"/>
        <v>-0.59999999999999432</v>
      </c>
      <c r="Y558" s="1213">
        <f t="shared" si="462"/>
        <v>-0.20000000000000284</v>
      </c>
      <c r="Z558" s="1213">
        <f t="shared" si="462"/>
        <v>0.79999999999999716</v>
      </c>
      <c r="AA558" s="1213">
        <f t="shared" si="462"/>
        <v>-2.3999999999999915</v>
      </c>
      <c r="AB558" s="1213">
        <f>DA441</f>
        <v>-0.5</v>
      </c>
      <c r="AC558" s="1213">
        <f>DC441</f>
        <v>-0.60000000000000853</v>
      </c>
      <c r="AD558" s="1213">
        <f>DE441</f>
        <v>-0.29999999999999716</v>
      </c>
      <c r="AE558" s="1213">
        <f>DG441</f>
        <v>-0.79999999999999716</v>
      </c>
      <c r="AF558" s="1213">
        <f>DI441</f>
        <v>-2.2999999999999972</v>
      </c>
      <c r="AG558" s="1213" t="e">
        <f>#REF!</f>
        <v>#REF!</v>
      </c>
      <c r="AH558" s="1213" t="e">
        <f>#REF!</f>
        <v>#REF!</v>
      </c>
      <c r="AI558" s="53"/>
      <c r="AJ558" s="53"/>
      <c r="AK558" s="53"/>
      <c r="AL558" s="53"/>
      <c r="AM558" s="53"/>
      <c r="AQ558" s="53"/>
      <c r="BJ558" s="53"/>
    </row>
    <row r="559" spans="2:62" ht="15.75">
      <c r="B559" s="1207" t="str">
        <f t="shared" si="457"/>
        <v>BB</v>
      </c>
      <c r="C559" s="1207">
        <f t="shared" si="459"/>
        <v>0.8</v>
      </c>
      <c r="D559" s="1207">
        <f t="shared" si="459"/>
        <v>-8.5999999999999943</v>
      </c>
      <c r="E559" s="1207">
        <f>AQ442</f>
        <v>9.9999999999994316E-2</v>
      </c>
      <c r="F559" s="1213" t="e">
        <f>#REF!</f>
        <v>#REF!</v>
      </c>
      <c r="G559" s="1213">
        <f>BM442</f>
        <v>-9.9999999999994316E-2</v>
      </c>
      <c r="H559" s="1213">
        <f>BO442</f>
        <v>0</v>
      </c>
      <c r="I559" s="1213">
        <f>BV442</f>
        <v>0.89999999999999147</v>
      </c>
      <c r="J559" s="1213">
        <f>BX442</f>
        <v>1.4000000000000057</v>
      </c>
      <c r="K559" s="1213">
        <f>BZ442</f>
        <v>1</v>
      </c>
      <c r="L559" s="1213">
        <f t="shared" si="460"/>
        <v>1</v>
      </c>
      <c r="M559" s="1213">
        <f t="shared" si="460"/>
        <v>1.9999999999999858</v>
      </c>
      <c r="N559" s="1213">
        <f>CE442</f>
        <v>1.5</v>
      </c>
      <c r="O559" s="1213">
        <f>CG442</f>
        <v>1.8000000000000114</v>
      </c>
      <c r="P559" s="1213">
        <f>CJ442</f>
        <v>1.9000000000000057</v>
      </c>
      <c r="Q559" s="1213">
        <f>CL442</f>
        <v>2.7999999999999829</v>
      </c>
      <c r="R559" s="1213">
        <f t="shared" si="461"/>
        <v>0.70000000000001705</v>
      </c>
      <c r="S559" s="1213">
        <f t="shared" si="461"/>
        <v>-0.20000000000001705</v>
      </c>
      <c r="T559" s="1213">
        <f>CQ442</f>
        <v>0.10000000000002274</v>
      </c>
      <c r="U559" s="1213">
        <f t="shared" si="462"/>
        <v>1.7999999999999829</v>
      </c>
      <c r="V559" s="1213">
        <f t="shared" si="462"/>
        <v>1.4000000000000057</v>
      </c>
      <c r="W559" s="1213">
        <f t="shared" si="462"/>
        <v>0</v>
      </c>
      <c r="X559" s="1213">
        <f t="shared" si="462"/>
        <v>0.40000000000000568</v>
      </c>
      <c r="Y559" s="1213">
        <f t="shared" si="462"/>
        <v>1.4000000000000057</v>
      </c>
      <c r="Z559" s="1213">
        <f t="shared" si="462"/>
        <v>0.19999999999998863</v>
      </c>
      <c r="AA559" s="1213">
        <f t="shared" si="462"/>
        <v>-1.5999999999999943</v>
      </c>
      <c r="AB559" s="1213">
        <f>DA442</f>
        <v>-0.5</v>
      </c>
      <c r="AC559" s="1213">
        <f>DC442</f>
        <v>-1.0999999999999943</v>
      </c>
      <c r="AD559" s="1213">
        <f>DE442</f>
        <v>-2.1000000000000227</v>
      </c>
      <c r="AE559" s="1213">
        <f>DG442</f>
        <v>-2.3999999999999773</v>
      </c>
      <c r="AF559" s="1213">
        <f>DI442</f>
        <v>-2.7000000000000171</v>
      </c>
      <c r="AG559" s="1213" t="e">
        <f>#REF!</f>
        <v>#REF!</v>
      </c>
      <c r="AH559" s="1213" t="e">
        <f>#REF!</f>
        <v>#REF!</v>
      </c>
      <c r="AI559" s="53"/>
      <c r="AJ559" s="53"/>
      <c r="AK559" s="53"/>
      <c r="AL559" s="53"/>
      <c r="AM559" s="53"/>
      <c r="AQ559" s="53"/>
      <c r="BJ559" s="53"/>
    </row>
    <row r="560" spans="2:62" ht="15.75">
      <c r="B560" s="1207" t="str">
        <f t="shared" si="457"/>
        <v>Telephony</v>
      </c>
      <c r="C560" s="1207">
        <f t="shared" si="459"/>
        <v>1.4</v>
      </c>
      <c r="D560" s="1207">
        <f t="shared" si="459"/>
        <v>2.5</v>
      </c>
      <c r="E560" s="1207">
        <f>AQ443</f>
        <v>3.5999999999999979</v>
      </c>
      <c r="F560" s="1207" t="e">
        <f>#REF!</f>
        <v>#REF!</v>
      </c>
      <c r="G560" s="1207">
        <f>BM443</f>
        <v>4.6000000000000014</v>
      </c>
      <c r="H560" s="1207">
        <f>BO443</f>
        <v>8.6000000000000014</v>
      </c>
      <c r="I560" s="1213">
        <f>BV443</f>
        <v>2.8999999999999986</v>
      </c>
      <c r="J560" s="1213">
        <f>BX443</f>
        <v>4.3999999999999986</v>
      </c>
      <c r="K560" s="1213">
        <f>BZ443</f>
        <v>4.3999999999999986</v>
      </c>
      <c r="L560" s="1213">
        <f t="shared" si="460"/>
        <v>3.2000000000000028</v>
      </c>
      <c r="M560" s="1213">
        <f t="shared" si="460"/>
        <v>2.5</v>
      </c>
      <c r="N560" s="1213">
        <f>CE443</f>
        <v>4</v>
      </c>
      <c r="O560" s="1213">
        <f>CG443</f>
        <v>5.5999999999999943</v>
      </c>
      <c r="P560" s="1213">
        <f>CJ443</f>
        <v>3.3000000000000114</v>
      </c>
      <c r="Q560" s="1213">
        <f>CL443</f>
        <v>4.6999999999999886</v>
      </c>
      <c r="R560" s="1213">
        <f t="shared" si="461"/>
        <v>2.7000000000000028</v>
      </c>
      <c r="S560" s="1213">
        <f t="shared" si="461"/>
        <v>0.5</v>
      </c>
      <c r="T560" s="1213">
        <f>CQ443</f>
        <v>0.5</v>
      </c>
      <c r="U560" s="1213">
        <f t="shared" si="462"/>
        <v>0.90000000000000568</v>
      </c>
      <c r="V560" s="1213">
        <f t="shared" si="462"/>
        <v>1.0999999999999943</v>
      </c>
      <c r="W560" s="1213">
        <f t="shared" si="462"/>
        <v>1</v>
      </c>
      <c r="X560" s="1213">
        <f t="shared" si="462"/>
        <v>-0.59999999999999432</v>
      </c>
      <c r="Y560" s="1213">
        <f t="shared" si="462"/>
        <v>-0.5</v>
      </c>
      <c r="Z560" s="1213">
        <f t="shared" si="462"/>
        <v>2.5999999999999943</v>
      </c>
      <c r="AA560" s="1213">
        <f t="shared" si="462"/>
        <v>2.2000000000000028</v>
      </c>
      <c r="AB560" s="1213">
        <f>DA443</f>
        <v>1.5999999999999943</v>
      </c>
      <c r="AC560" s="1213">
        <f>DC443</f>
        <v>0.60000000000000853</v>
      </c>
      <c r="AD560" s="1213">
        <f>DE443</f>
        <v>1.2000000000000028</v>
      </c>
      <c r="AE560" s="1213">
        <f>DG443</f>
        <v>-0.80000000000001137</v>
      </c>
      <c r="AF560" s="1213">
        <f>DI443</f>
        <v>-2.0999999999999943</v>
      </c>
      <c r="AG560" s="1213" t="e">
        <f>#REF!</f>
        <v>#REF!</v>
      </c>
      <c r="AH560" s="1213" t="e">
        <f>#REF!</f>
        <v>#REF!</v>
      </c>
      <c r="AI560" s="53"/>
      <c r="AJ560" s="53"/>
      <c r="AK560" s="53"/>
      <c r="AL560" s="53"/>
      <c r="AM560" s="53"/>
      <c r="AQ560" s="53"/>
      <c r="BJ560" s="53"/>
    </row>
    <row r="561" spans="2:62" ht="15.75">
      <c r="B561" s="1207" t="str">
        <f t="shared" si="457"/>
        <v>Fixed RGUs</v>
      </c>
      <c r="C561" s="1207">
        <f t="shared" ref="C561:W561" si="463">SUM(C558:C560)</f>
        <v>-0.30000000000000004</v>
      </c>
      <c r="D561" s="1207">
        <f t="shared" si="463"/>
        <v>-20</v>
      </c>
      <c r="E561" s="1207">
        <f t="shared" si="463"/>
        <v>-0.69999999999999929</v>
      </c>
      <c r="F561" s="1207" t="e">
        <f t="shared" si="463"/>
        <v>#REF!</v>
      </c>
      <c r="G561" s="1207">
        <f t="shared" si="463"/>
        <v>2.0000000000000071</v>
      </c>
      <c r="H561" s="1207">
        <f t="shared" si="463"/>
        <v>5.3000000000000043</v>
      </c>
      <c r="I561" s="1213">
        <f t="shared" si="463"/>
        <v>2.8999999999999986</v>
      </c>
      <c r="J561" s="1213">
        <f t="shared" si="463"/>
        <v>5.6999999999999957</v>
      </c>
      <c r="K561" s="1213">
        <f t="shared" si="463"/>
        <v>5.8000000000000043</v>
      </c>
      <c r="L561" s="1213">
        <f t="shared" si="463"/>
        <v>3.9000000000000057</v>
      </c>
      <c r="M561" s="1213">
        <f t="shared" si="463"/>
        <v>4.8999999999999773</v>
      </c>
      <c r="N561" s="1213">
        <f t="shared" si="463"/>
        <v>5.4000000000000057</v>
      </c>
      <c r="O561" s="1213">
        <f t="shared" si="463"/>
        <v>8.2999999999999972</v>
      </c>
      <c r="P561" s="1213">
        <f t="shared" si="463"/>
        <v>5.1000000000000227</v>
      </c>
      <c r="Q561" s="1213">
        <f t="shared" si="463"/>
        <v>8.4999999999999716</v>
      </c>
      <c r="R561" s="1213">
        <f t="shared" si="463"/>
        <v>2.7000000000000171</v>
      </c>
      <c r="S561" s="1213">
        <f t="shared" si="463"/>
        <v>-1.1000000000000085</v>
      </c>
      <c r="T561" s="1213">
        <f t="shared" si="463"/>
        <v>-0.79999999999998295</v>
      </c>
      <c r="U561" s="1213">
        <f t="shared" si="463"/>
        <v>2.8999999999999915</v>
      </c>
      <c r="V561" s="1213">
        <f t="shared" si="463"/>
        <v>2.5</v>
      </c>
      <c r="W561" s="1213">
        <f t="shared" si="463"/>
        <v>9.9999999999994316E-2</v>
      </c>
      <c r="X561" s="1213">
        <f t="shared" ref="X561:AD561" si="464">SUM(X558:X560)</f>
        <v>-0.79999999999998295</v>
      </c>
      <c r="Y561" s="1213">
        <f t="shared" si="464"/>
        <v>0.70000000000000284</v>
      </c>
      <c r="Z561" s="1213">
        <f t="shared" si="464"/>
        <v>3.5999999999999801</v>
      </c>
      <c r="AA561" s="1213">
        <f t="shared" si="464"/>
        <v>-1.7999999999999829</v>
      </c>
      <c r="AB561" s="1213">
        <f t="shared" si="464"/>
        <v>0.59999999999999432</v>
      </c>
      <c r="AC561" s="1213">
        <f t="shared" si="464"/>
        <v>-1.0999999999999943</v>
      </c>
      <c r="AD561" s="1213">
        <f t="shared" si="464"/>
        <v>-1.2000000000000171</v>
      </c>
      <c r="AE561" s="1213">
        <f t="shared" ref="AE561" si="465">SUM(AE558:AE560)</f>
        <v>-3.9999999999999858</v>
      </c>
      <c r="AF561" s="1213">
        <f>SUM(AF558:AF560)</f>
        <v>-7.1000000000000085</v>
      </c>
      <c r="AG561" s="1213" t="e">
        <f>SUM(AG558:AG560)</f>
        <v>#REF!</v>
      </c>
      <c r="AH561" s="1213" t="e">
        <f>SUM(AH558:AH560)</f>
        <v>#REF!</v>
      </c>
      <c r="AI561" s="53"/>
      <c r="AJ561" s="53"/>
      <c r="AK561" s="53"/>
      <c r="AL561" s="53"/>
      <c r="AM561" s="53"/>
      <c r="AQ561" s="53"/>
      <c r="BJ561" s="53"/>
    </row>
    <row r="562" spans="2:62" ht="15.75">
      <c r="B562" s="1207"/>
      <c r="C562" s="1207"/>
      <c r="D562" s="1207"/>
      <c r="E562" s="1207"/>
      <c r="F562" s="1207"/>
      <c r="G562" s="1203"/>
      <c r="H562" s="1203"/>
      <c r="I562" s="1217"/>
      <c r="J562" s="1213"/>
      <c r="K562" s="1213"/>
      <c r="L562" s="1213"/>
      <c r="M562" s="1213"/>
      <c r="N562" s="1213"/>
      <c r="O562" s="1213"/>
      <c r="P562" s="1207"/>
      <c r="Q562" s="1207"/>
      <c r="R562" s="1207"/>
      <c r="S562" s="1207"/>
      <c r="T562" s="1207"/>
      <c r="U562" s="1207"/>
      <c r="V562" s="1207"/>
      <c r="W562" s="1207"/>
      <c r="X562" s="1207"/>
      <c r="Y562" s="1207"/>
      <c r="Z562" s="1207"/>
      <c r="AA562" s="1207"/>
      <c r="AB562" s="1207"/>
      <c r="AC562" s="1207"/>
      <c r="AD562" s="1207"/>
      <c r="AE562" s="1207"/>
      <c r="AF562" s="1207"/>
      <c r="AG562" s="1207"/>
      <c r="AH562" s="1207"/>
      <c r="AI562" s="53"/>
      <c r="AJ562" s="53"/>
      <c r="AK562" s="53"/>
      <c r="AL562" s="53"/>
      <c r="AM562" s="53"/>
      <c r="AQ562" s="53"/>
      <c r="BJ562" s="53"/>
    </row>
    <row r="563" spans="2:62" ht="15.75">
      <c r="B563" s="1210" t="s">
        <v>33</v>
      </c>
      <c r="C563" s="1211"/>
      <c r="D563" s="1211"/>
      <c r="E563" s="1211"/>
      <c r="F563" s="1211"/>
      <c r="G563" s="1308"/>
      <c r="H563" s="1308"/>
      <c r="I563" s="1414"/>
      <c r="J563" s="1284"/>
      <c r="K563" s="1284"/>
      <c r="L563" s="1284"/>
      <c r="M563" s="1284"/>
      <c r="N563" s="1284"/>
      <c r="O563" s="1284"/>
      <c r="P563" s="1211"/>
      <c r="Q563" s="1216" t="str">
        <f>Q555</f>
        <v>Q4 19</v>
      </c>
      <c r="R563" s="1216" t="str">
        <f t="shared" ref="R563:AD563" si="466">R555</f>
        <v>Q1 20</v>
      </c>
      <c r="S563" s="1216" t="str">
        <f t="shared" si="466"/>
        <v>Q2 20</v>
      </c>
      <c r="T563" s="1216" t="str">
        <f t="shared" si="466"/>
        <v>Q3 20</v>
      </c>
      <c r="U563" s="1216" t="str">
        <f t="shared" si="466"/>
        <v>Q4 20</v>
      </c>
      <c r="V563" s="1216" t="str">
        <f t="shared" si="466"/>
        <v>Q1 21</v>
      </c>
      <c r="W563" s="1216" t="str">
        <f t="shared" si="466"/>
        <v>Q2 21</v>
      </c>
      <c r="X563" s="1216" t="str">
        <f t="shared" si="466"/>
        <v>Q3 21</v>
      </c>
      <c r="Y563" s="1216" t="str">
        <f t="shared" si="466"/>
        <v>Q4 21</v>
      </c>
      <c r="Z563" s="1216" t="str">
        <f t="shared" si="466"/>
        <v>Q1 22</v>
      </c>
      <c r="AA563" s="1216" t="str">
        <f t="shared" si="466"/>
        <v>Q2 22</v>
      </c>
      <c r="AB563" s="1216" t="str">
        <f t="shared" si="466"/>
        <v>Q3 22</v>
      </c>
      <c r="AC563" s="1216" t="str">
        <f t="shared" si="466"/>
        <v>Q4 22</v>
      </c>
      <c r="AD563" s="1216" t="str">
        <f t="shared" si="466"/>
        <v>Q1 23</v>
      </c>
      <c r="AE563" s="1216" t="str">
        <f t="shared" ref="AE563" si="467">AE555</f>
        <v>Q2 23</v>
      </c>
      <c r="AF563" s="1216" t="str">
        <f>AF555</f>
        <v>Q3 23</v>
      </c>
      <c r="AG563" s="1216" t="str">
        <f>AG555</f>
        <v>Q4 23</v>
      </c>
      <c r="AH563" s="1216" t="str">
        <f>AH555</f>
        <v>Q1 24</v>
      </c>
      <c r="AI563" s="53"/>
      <c r="AJ563" s="53"/>
      <c r="AK563" s="53"/>
      <c r="AL563" s="53"/>
      <c r="AM563" s="53"/>
      <c r="AQ563" s="53"/>
      <c r="BJ563" s="53"/>
    </row>
    <row r="564" spans="2:62" ht="15.75">
      <c r="B564" s="1207" t="str">
        <f t="shared" ref="B564:B569" si="468">B556</f>
        <v>Two-way homes passed</v>
      </c>
      <c r="C564" s="1207"/>
      <c r="D564" s="1207">
        <f>AO447</f>
        <v>0</v>
      </c>
      <c r="E564" s="1207">
        <f>AQ447</f>
        <v>0</v>
      </c>
      <c r="F564" s="1207" t="e">
        <f>#REF!</f>
        <v>#REF!</v>
      </c>
      <c r="G564" s="1207">
        <f>BM447</f>
        <v>0.59999999999999432</v>
      </c>
      <c r="H564" s="1207">
        <f>BO447</f>
        <v>0.60000000000000853</v>
      </c>
      <c r="I564" s="1213">
        <f>BV447</f>
        <v>0.79999999999999716</v>
      </c>
      <c r="J564" s="1213">
        <f>BX447</f>
        <v>0</v>
      </c>
      <c r="K564" s="1213">
        <f>BZ447</f>
        <v>0</v>
      </c>
      <c r="L564" s="1213">
        <f>CB447</f>
        <v>0.20000000000000284</v>
      </c>
      <c r="M564" s="1213">
        <f>CC447</f>
        <v>0</v>
      </c>
      <c r="N564" s="1213">
        <f>CE447</f>
        <v>0.5</v>
      </c>
      <c r="O564" s="1213">
        <f>CG447</f>
        <v>0</v>
      </c>
      <c r="P564" s="1213">
        <f>CJ447</f>
        <v>0</v>
      </c>
      <c r="Q564" s="1213">
        <f>CL447</f>
        <v>15.200000000000003</v>
      </c>
      <c r="R564" s="1213">
        <f>CN447</f>
        <v>0</v>
      </c>
      <c r="S564" s="1213">
        <f>CO447</f>
        <v>0</v>
      </c>
      <c r="T564" s="1213">
        <f>CQ447</f>
        <v>0</v>
      </c>
      <c r="U564" s="1213">
        <f t="shared" ref="U564:AA565" si="469">CS447</f>
        <v>0</v>
      </c>
      <c r="V564" s="1213">
        <f t="shared" si="469"/>
        <v>0</v>
      </c>
      <c r="W564" s="1213">
        <f t="shared" si="469"/>
        <v>0</v>
      </c>
      <c r="X564" s="1213">
        <f t="shared" si="469"/>
        <v>0</v>
      </c>
      <c r="Y564" s="1213">
        <f t="shared" si="469"/>
        <v>0</v>
      </c>
      <c r="Z564" s="1213">
        <f t="shared" si="469"/>
        <v>0</v>
      </c>
      <c r="AA564" s="1213">
        <f t="shared" si="469"/>
        <v>0</v>
      </c>
      <c r="AB564" s="1213">
        <f>DA447</f>
        <v>0</v>
      </c>
      <c r="AC564" s="1213">
        <f>DC447</f>
        <v>0</v>
      </c>
      <c r="AD564" s="1213">
        <f>DE447</f>
        <v>0</v>
      </c>
      <c r="AE564" s="1213">
        <f>DG447</f>
        <v>0</v>
      </c>
      <c r="AF564" s="1213">
        <f>DI447</f>
        <v>0</v>
      </c>
      <c r="AG564" s="1213" t="e">
        <f>#REF!</f>
        <v>#REF!</v>
      </c>
      <c r="AH564" s="1213" t="e">
        <f>#REF!</f>
        <v>#REF!</v>
      </c>
      <c r="AI564" s="53"/>
      <c r="AJ564" s="53"/>
      <c r="AK564" s="53"/>
      <c r="AL564" s="53"/>
      <c r="AM564" s="53"/>
      <c r="AQ564" s="53"/>
      <c r="BJ564" s="53"/>
    </row>
    <row r="565" spans="2:62">
      <c r="B565" s="1207" t="str">
        <f t="shared" si="468"/>
        <v>Customer relationships</v>
      </c>
      <c r="C565" s="1207">
        <f>AN448</f>
        <v>-1</v>
      </c>
      <c r="D565" s="1207">
        <f>AO448</f>
        <v>-1.7999999999999972</v>
      </c>
      <c r="E565" s="1207">
        <f>AQ448</f>
        <v>-2.2999999999999972</v>
      </c>
      <c r="F565" s="1207" t="e">
        <f>#REF!</f>
        <v>#REF!</v>
      </c>
      <c r="G565" s="1207">
        <f>BM448</f>
        <v>7.9000000000000057</v>
      </c>
      <c r="H565" s="1207">
        <f>BO448</f>
        <v>-12.400000000000006</v>
      </c>
      <c r="I565" s="1213">
        <f>BV448</f>
        <v>0.5</v>
      </c>
      <c r="J565" s="1213">
        <f>BX448</f>
        <v>-0.59999999999999432</v>
      </c>
      <c r="K565" s="1213">
        <f>BZ448</f>
        <v>-0.10000000000000853</v>
      </c>
      <c r="L565" s="1213">
        <f>CB448</f>
        <v>-0.79999999999999716</v>
      </c>
      <c r="M565" s="1213">
        <f>CC448</f>
        <v>-9.9999999999994316E-2</v>
      </c>
      <c r="N565" s="1213">
        <f>CE448</f>
        <v>-0.60000000000000853</v>
      </c>
      <c r="O565" s="1213">
        <f>CG448</f>
        <v>-0.89999999999999147</v>
      </c>
      <c r="P565" s="1213">
        <f>CJ448</f>
        <v>-0.10000000000000853</v>
      </c>
      <c r="Q565" s="1213">
        <f>CL448</f>
        <v>0.20000000000000284</v>
      </c>
      <c r="R565" s="1213">
        <f>CN448</f>
        <v>9.9999999999994316E-2</v>
      </c>
      <c r="S565" s="1213">
        <f>CO448</f>
        <v>-0.59999999999999432</v>
      </c>
      <c r="T565" s="1213">
        <f>CQ448</f>
        <v>-9.9999999999994316E-2</v>
      </c>
      <c r="U565" s="1213">
        <f t="shared" si="469"/>
        <v>0.5</v>
      </c>
      <c r="V565" s="1213">
        <f t="shared" si="469"/>
        <v>0.19999999999998863</v>
      </c>
      <c r="W565" s="1213">
        <f t="shared" si="469"/>
        <v>0.30000000000001137</v>
      </c>
      <c r="X565" s="1213">
        <f t="shared" si="469"/>
        <v>0.19999999999998863</v>
      </c>
      <c r="Y565" s="1213">
        <f t="shared" si="469"/>
        <v>0.60000000000000853</v>
      </c>
      <c r="Z565" s="1213">
        <f t="shared" si="469"/>
        <v>0.29999999999999716</v>
      </c>
      <c r="AA565" s="1213">
        <f t="shared" si="469"/>
        <v>-0.20000000000000284</v>
      </c>
      <c r="AB565" s="1213">
        <f>DA448</f>
        <v>0.10000000000000853</v>
      </c>
      <c r="AC565" s="1213">
        <f>DC448</f>
        <v>0.39999999999999147</v>
      </c>
      <c r="AD565" s="1213">
        <f>DE448</f>
        <v>0.29999999999999716</v>
      </c>
      <c r="AE565" s="1213">
        <f>DG448</f>
        <v>0</v>
      </c>
      <c r="AF565" s="1213">
        <f>DI448</f>
        <v>0.10000000000000853</v>
      </c>
      <c r="AG565" s="1213" t="e">
        <f>#REF!</f>
        <v>#REF!</v>
      </c>
      <c r="AH565" s="1213" t="e">
        <f>#REF!</f>
        <v>#REF!</v>
      </c>
    </row>
    <row r="566" spans="2:62">
      <c r="B566" s="1207" t="str">
        <f t="shared" si="468"/>
        <v>Video</v>
      </c>
      <c r="C566" s="1207">
        <f t="shared" ref="C566:D568" si="470">AN452</f>
        <v>-0.1</v>
      </c>
      <c r="D566" s="1207">
        <f t="shared" si="470"/>
        <v>-0.5</v>
      </c>
      <c r="E566" s="1207">
        <f>AQ452</f>
        <v>-1.5</v>
      </c>
      <c r="F566" s="1207" t="e">
        <f>#REF!</f>
        <v>#REF!</v>
      </c>
      <c r="G566" s="1207">
        <f>BM452</f>
        <v>-0.70000000000000284</v>
      </c>
      <c r="H566" s="1207">
        <f>BO452</f>
        <v>-0.59999999999999787</v>
      </c>
      <c r="I566" s="1213">
        <f>BV452</f>
        <v>0.89999999999999858</v>
      </c>
      <c r="J566" s="1213">
        <f>BX452</f>
        <v>0.80000000000000071</v>
      </c>
      <c r="K566" s="1213">
        <f>BZ452</f>
        <v>0.80000000000000071</v>
      </c>
      <c r="L566" s="1213">
        <f t="shared" ref="L566:M568" si="471">CB452</f>
        <v>0.69999999999999929</v>
      </c>
      <c r="M566" s="1213">
        <f t="shared" si="471"/>
        <v>0.60000000000000142</v>
      </c>
      <c r="N566" s="1213">
        <f>CE452</f>
        <v>0.5</v>
      </c>
      <c r="O566" s="1213">
        <f>CG452</f>
        <v>3</v>
      </c>
      <c r="P566" s="1213">
        <f>CJ452</f>
        <v>3.5</v>
      </c>
      <c r="Q566" s="1213">
        <f>CL452</f>
        <v>1.7999999999999972</v>
      </c>
      <c r="R566" s="1213">
        <f t="shared" ref="R566:S568" si="472">CN452</f>
        <v>2.1000000000000014</v>
      </c>
      <c r="S566" s="1213">
        <f t="shared" si="472"/>
        <v>0.39999999999999858</v>
      </c>
      <c r="T566" s="1213">
        <f>CQ452</f>
        <v>1</v>
      </c>
      <c r="U566" s="1213">
        <f t="shared" ref="U566:AA568" si="473">CS452</f>
        <v>0.80000000000000426</v>
      </c>
      <c r="V566" s="1213">
        <f t="shared" si="473"/>
        <v>0.69999999999999574</v>
      </c>
      <c r="W566" s="1213">
        <f t="shared" si="473"/>
        <v>1</v>
      </c>
      <c r="X566" s="1213">
        <f t="shared" si="473"/>
        <v>0.5</v>
      </c>
      <c r="Y566" s="1213">
        <f t="shared" si="473"/>
        <v>0.70000000000000284</v>
      </c>
      <c r="Z566" s="1213">
        <f t="shared" si="473"/>
        <v>0.5</v>
      </c>
      <c r="AA566" s="1213">
        <f t="shared" si="473"/>
        <v>0.29999999999999716</v>
      </c>
      <c r="AB566" s="1213">
        <f>DA452</f>
        <v>0.30000000000000426</v>
      </c>
      <c r="AC566" s="1213">
        <f>DC452</f>
        <v>0.29999999999999716</v>
      </c>
      <c r="AD566" s="1213">
        <f>DE452</f>
        <v>0.20000000000000284</v>
      </c>
      <c r="AE566" s="1213">
        <f>DG452</f>
        <v>0.19999999999999574</v>
      </c>
      <c r="AF566" s="1213">
        <f>DI452</f>
        <v>0.10000000000000142</v>
      </c>
      <c r="AG566" s="1213" t="e">
        <f>#REF!</f>
        <v>#REF!</v>
      </c>
      <c r="AH566" s="1213" t="e">
        <f>#REF!</f>
        <v>#REF!</v>
      </c>
    </row>
    <row r="567" spans="2:62">
      <c r="B567" s="1207" t="str">
        <f t="shared" si="468"/>
        <v>BB</v>
      </c>
      <c r="C567" s="1207">
        <f t="shared" si="470"/>
        <v>-0.5</v>
      </c>
      <c r="D567" s="1207">
        <f t="shared" si="470"/>
        <v>-1.3000000000000114</v>
      </c>
      <c r="E567" s="1207">
        <f>AQ453</f>
        <v>-3.5999999999999943</v>
      </c>
      <c r="F567" s="1207" t="e">
        <f>#REF!</f>
        <v>#REF!</v>
      </c>
      <c r="G567" s="1207">
        <f>BM453</f>
        <v>-1.1000000000000014</v>
      </c>
      <c r="H567" s="1207">
        <f>BO453</f>
        <v>-1.1000000000000014</v>
      </c>
      <c r="I567" s="1213">
        <f>BV453</f>
        <v>1.2000000000000028</v>
      </c>
      <c r="J567" s="1213">
        <f>BX453</f>
        <v>0.29999999999999716</v>
      </c>
      <c r="K567" s="1213">
        <f>BZ453</f>
        <v>1.2000000000000028</v>
      </c>
      <c r="L567" s="1213">
        <f t="shared" si="471"/>
        <v>-0.29999999999999716</v>
      </c>
      <c r="M567" s="1213">
        <f t="shared" si="471"/>
        <v>0.79999999999999716</v>
      </c>
      <c r="N567" s="1213">
        <f>CE453</f>
        <v>0.90000000000000568</v>
      </c>
      <c r="O567" s="1213">
        <f>CG453</f>
        <v>-0.10000000000000853</v>
      </c>
      <c r="P567" s="1213">
        <f>CJ453</f>
        <v>0.79999999999999716</v>
      </c>
      <c r="Q567" s="1213">
        <f>CL453</f>
        <v>1.1000000000000085</v>
      </c>
      <c r="R567" s="1213">
        <f t="shared" si="472"/>
        <v>0.79999999999999716</v>
      </c>
      <c r="S567" s="1213">
        <f t="shared" si="472"/>
        <v>-9.9999999999994316E-2</v>
      </c>
      <c r="T567" s="1213">
        <f>CQ453</f>
        <v>0.69999999999998863</v>
      </c>
      <c r="U567" s="1213">
        <f t="shared" si="473"/>
        <v>1.3000000000000114</v>
      </c>
      <c r="V567" s="1213">
        <f t="shared" si="473"/>
        <v>0.89999999999999147</v>
      </c>
      <c r="W567" s="1213">
        <f t="shared" si="473"/>
        <v>0.90000000000000568</v>
      </c>
      <c r="X567" s="1213">
        <f t="shared" si="473"/>
        <v>0.70000000000000284</v>
      </c>
      <c r="Y567" s="1213">
        <f t="shared" si="473"/>
        <v>1.0999999999999943</v>
      </c>
      <c r="Z567" s="1213">
        <f t="shared" si="473"/>
        <v>0.79999999999999716</v>
      </c>
      <c r="AA567" s="1213">
        <f t="shared" si="473"/>
        <v>0.5</v>
      </c>
      <c r="AB567" s="1213">
        <f>DA453</f>
        <v>0.5</v>
      </c>
      <c r="AC567" s="1213">
        <f>DC453</f>
        <v>0.90000000000000568</v>
      </c>
      <c r="AD567" s="1213">
        <f>DE453</f>
        <v>0.70000000000000284</v>
      </c>
      <c r="AE567" s="1213">
        <f>DG453</f>
        <v>0.19999999999998863</v>
      </c>
      <c r="AF567" s="1213">
        <f>DI453</f>
        <v>0.5</v>
      </c>
      <c r="AG567" s="1213" t="e">
        <f>#REF!</f>
        <v>#REF!</v>
      </c>
      <c r="AH567" s="1213" t="e">
        <f>#REF!</f>
        <v>#REF!</v>
      </c>
    </row>
    <row r="568" spans="2:62">
      <c r="B568" s="1207" t="str">
        <f t="shared" si="468"/>
        <v>Telephony</v>
      </c>
      <c r="C568" s="1207">
        <f t="shared" si="470"/>
        <v>-0.6</v>
      </c>
      <c r="D568" s="1207">
        <f t="shared" si="470"/>
        <v>-2.0999999999999943</v>
      </c>
      <c r="E568" s="1207">
        <f>AQ454</f>
        <v>-2.3000000000000114</v>
      </c>
      <c r="F568" s="1207" t="e">
        <f>#REF!</f>
        <v>#REF!</v>
      </c>
      <c r="G568" s="1207">
        <f>BM454</f>
        <v>-1.9000000000000057</v>
      </c>
      <c r="H568" s="1207">
        <f>BO454</f>
        <v>-3.0999999999999943</v>
      </c>
      <c r="I568" s="1213">
        <f>BV454</f>
        <v>0.59999999999999432</v>
      </c>
      <c r="J568" s="1213">
        <f>BX454</f>
        <v>-0.39999999999999147</v>
      </c>
      <c r="K568" s="1213">
        <f>BZ454</f>
        <v>0</v>
      </c>
      <c r="L568" s="1213">
        <f t="shared" si="471"/>
        <v>-0.60000000000000853</v>
      </c>
      <c r="M568" s="1213">
        <f t="shared" si="471"/>
        <v>-0.19999999999998863</v>
      </c>
      <c r="N568" s="1213">
        <f>CE454</f>
        <v>-0.80000000000001137</v>
      </c>
      <c r="O568" s="1213">
        <f>CG454</f>
        <v>-0.59999999999999432</v>
      </c>
      <c r="P568" s="1213">
        <f>CJ454</f>
        <v>0.20000000000000284</v>
      </c>
      <c r="Q568" s="1213">
        <f>CL454</f>
        <v>0</v>
      </c>
      <c r="R568" s="1213">
        <f t="shared" si="472"/>
        <v>-0.40000000000000568</v>
      </c>
      <c r="S568" s="1213">
        <f t="shared" si="472"/>
        <v>-0.89999999999999147</v>
      </c>
      <c r="T568" s="1213">
        <f>CQ454</f>
        <v>-0.40000000000000568</v>
      </c>
      <c r="U568" s="1213">
        <f t="shared" si="473"/>
        <v>9.9999999999994316E-2</v>
      </c>
      <c r="V568" s="1213">
        <f t="shared" si="473"/>
        <v>-9.9999999999994316E-2</v>
      </c>
      <c r="W568" s="1213">
        <f t="shared" si="473"/>
        <v>0.29999999999999716</v>
      </c>
      <c r="X568" s="1213">
        <f t="shared" si="473"/>
        <v>-9.9999999999994316E-2</v>
      </c>
      <c r="Y568" s="1213">
        <f t="shared" si="473"/>
        <v>9.9999999999994316E-2</v>
      </c>
      <c r="Z568" s="1213">
        <f t="shared" si="473"/>
        <v>0</v>
      </c>
      <c r="AA568" s="1213">
        <f t="shared" si="473"/>
        <v>-0.70000000000000284</v>
      </c>
      <c r="AB568" s="1213">
        <f>DA454</f>
        <v>-0.19999999999998863</v>
      </c>
      <c r="AC568" s="1213">
        <f>DC454</f>
        <v>-0.10000000000000853</v>
      </c>
      <c r="AD568" s="1213">
        <f>DE454</f>
        <v>-0.20000000000000284</v>
      </c>
      <c r="AE568" s="1213">
        <f>DG454</f>
        <v>-0.39999999999999147</v>
      </c>
      <c r="AF568" s="1213">
        <f>DI454</f>
        <v>-0.29999999999999716</v>
      </c>
      <c r="AG568" s="1213" t="e">
        <f>#REF!</f>
        <v>#REF!</v>
      </c>
      <c r="AH568" s="1213" t="e">
        <f>#REF!</f>
        <v>#REF!</v>
      </c>
    </row>
    <row r="569" spans="2:62">
      <c r="B569" s="1207" t="str">
        <f t="shared" si="468"/>
        <v>Fixed RGUs</v>
      </c>
      <c r="C569" s="1207">
        <f t="shared" ref="C569:W569" si="474">SUM(C566:C568)</f>
        <v>-1.2</v>
      </c>
      <c r="D569" s="1207">
        <f t="shared" si="474"/>
        <v>-3.9000000000000057</v>
      </c>
      <c r="E569" s="1207">
        <f t="shared" si="474"/>
        <v>-7.4000000000000057</v>
      </c>
      <c r="F569" s="1207" t="e">
        <f t="shared" si="474"/>
        <v>#REF!</v>
      </c>
      <c r="G569" s="1207">
        <f t="shared" si="474"/>
        <v>-3.7000000000000099</v>
      </c>
      <c r="H569" s="1207">
        <f t="shared" si="474"/>
        <v>-4.7999999999999936</v>
      </c>
      <c r="I569" s="1213">
        <f t="shared" si="474"/>
        <v>2.6999999999999957</v>
      </c>
      <c r="J569" s="1213">
        <f t="shared" si="474"/>
        <v>0.70000000000000639</v>
      </c>
      <c r="K569" s="1213">
        <f t="shared" si="474"/>
        <v>2.0000000000000036</v>
      </c>
      <c r="L569" s="1213">
        <f t="shared" si="474"/>
        <v>-0.20000000000000639</v>
      </c>
      <c r="M569" s="1213">
        <f t="shared" si="474"/>
        <v>1.2000000000000099</v>
      </c>
      <c r="N569" s="1213">
        <f t="shared" si="474"/>
        <v>0.59999999999999432</v>
      </c>
      <c r="O569" s="1213">
        <f t="shared" si="474"/>
        <v>2.2999999999999972</v>
      </c>
      <c r="P569" s="1213">
        <f t="shared" si="474"/>
        <v>4.5</v>
      </c>
      <c r="Q569" s="1213">
        <f t="shared" si="474"/>
        <v>2.9000000000000057</v>
      </c>
      <c r="R569" s="1213">
        <f t="shared" si="474"/>
        <v>2.4999999999999929</v>
      </c>
      <c r="S569" s="1213">
        <f t="shared" si="474"/>
        <v>-0.59999999999998721</v>
      </c>
      <c r="T569" s="1213">
        <f t="shared" si="474"/>
        <v>1.2999999999999829</v>
      </c>
      <c r="U569" s="1213">
        <f t="shared" si="474"/>
        <v>2.2000000000000099</v>
      </c>
      <c r="V569" s="1213">
        <f t="shared" si="474"/>
        <v>1.4999999999999929</v>
      </c>
      <c r="W569" s="1213">
        <f t="shared" si="474"/>
        <v>2.2000000000000028</v>
      </c>
      <c r="X569" s="1213">
        <f t="shared" ref="X569:AD569" si="475">SUM(X566:X568)</f>
        <v>1.1000000000000085</v>
      </c>
      <c r="Y569" s="1213">
        <f t="shared" si="475"/>
        <v>1.8999999999999915</v>
      </c>
      <c r="Z569" s="1213">
        <f t="shared" si="475"/>
        <v>1.2999999999999972</v>
      </c>
      <c r="AA569" s="1213">
        <f t="shared" si="475"/>
        <v>9.9999999999994316E-2</v>
      </c>
      <c r="AB569" s="1213">
        <f t="shared" si="475"/>
        <v>0.60000000000001563</v>
      </c>
      <c r="AC569" s="1213">
        <f t="shared" si="475"/>
        <v>1.0999999999999943</v>
      </c>
      <c r="AD569" s="1213">
        <f t="shared" si="475"/>
        <v>0.70000000000000284</v>
      </c>
      <c r="AE569" s="1213">
        <f t="shared" ref="AE569" si="476">SUM(AE566:AE568)</f>
        <v>-7.1054273576010019E-15</v>
      </c>
      <c r="AF569" s="1213">
        <f>SUM(AF566:AF568)</f>
        <v>0.30000000000000426</v>
      </c>
      <c r="AG569" s="1213" t="e">
        <f>SUM(AG566:AG568)</f>
        <v>#REF!</v>
      </c>
      <c r="AH569" s="1213" t="e">
        <f>SUM(AH566:AH568)</f>
        <v>#REF!</v>
      </c>
    </row>
    <row r="570" spans="2:62">
      <c r="B570" s="1207" t="s">
        <v>5</v>
      </c>
      <c r="C570" s="1207"/>
      <c r="D570" s="1207"/>
      <c r="E570" s="1207">
        <f>AQ455</f>
        <v>2.5</v>
      </c>
      <c r="F570" s="1207" t="e">
        <f>#REF!</f>
        <v>#REF!</v>
      </c>
      <c r="G570" s="1207">
        <f>BM455</f>
        <v>-3</v>
      </c>
      <c r="H570" s="1207">
        <f>BO455</f>
        <v>-1.2999999999999972</v>
      </c>
      <c r="I570" s="1213">
        <f>BV455</f>
        <v>0</v>
      </c>
      <c r="J570" s="1213">
        <f>BX455</f>
        <v>-1.5999999999999943</v>
      </c>
      <c r="K570" s="1213">
        <f>BZ455</f>
        <v>-2.6000000000000085</v>
      </c>
      <c r="L570" s="1213">
        <f>CB455</f>
        <v>0.90000000000000568</v>
      </c>
      <c r="M570" s="1213">
        <f>CC455</f>
        <v>1.0999999999999943</v>
      </c>
      <c r="N570" s="1213">
        <f>CE455</f>
        <v>11</v>
      </c>
      <c r="O570" s="1213">
        <f>CG455</f>
        <v>-13.399999999999991</v>
      </c>
      <c r="P570" s="1213">
        <f>CJ455</f>
        <v>0</v>
      </c>
      <c r="Q570" s="1213">
        <f>CL455</f>
        <v>3.5</v>
      </c>
      <c r="R570" s="1213">
        <f>CN455</f>
        <v>-0.10000000000000853</v>
      </c>
      <c r="S570" s="1213">
        <f>CO455</f>
        <v>-9.7999999999999972</v>
      </c>
      <c r="T570" s="1213">
        <f>CQ455</f>
        <v>3.2000000000000028</v>
      </c>
      <c r="U570" s="1213">
        <f t="shared" ref="U570:AA570" si="477">CS455</f>
        <v>2.0999999999999943</v>
      </c>
      <c r="V570" s="1213">
        <f t="shared" si="477"/>
        <v>-3.6999999999999886</v>
      </c>
      <c r="W570" s="1213">
        <f t="shared" si="477"/>
        <v>2.8999999999999915</v>
      </c>
      <c r="X570" s="1213">
        <f t="shared" si="477"/>
        <v>2.5</v>
      </c>
      <c r="Y570" s="1213">
        <f t="shared" si="477"/>
        <v>2.1000000000000085</v>
      </c>
      <c r="Z570" s="1213">
        <f t="shared" si="477"/>
        <v>1.6999999999999886</v>
      </c>
      <c r="AA570" s="1213">
        <f t="shared" si="477"/>
        <v>-0.79999999999999716</v>
      </c>
      <c r="AB570" s="1213">
        <f>DA455</f>
        <v>0.90000000000000568</v>
      </c>
      <c r="AC570" s="1213">
        <f>DC455</f>
        <v>3.7999999999999972</v>
      </c>
      <c r="AD570" s="1213">
        <f>DE455</f>
        <v>0.5</v>
      </c>
      <c r="AE570" s="1213">
        <f>DG455</f>
        <v>-2</v>
      </c>
      <c r="AF570" s="1213">
        <f>DI455</f>
        <v>2.6999999999999886</v>
      </c>
      <c r="AG570" s="1213" t="e">
        <f>#REF!</f>
        <v>#REF!</v>
      </c>
      <c r="AH570" s="1213" t="e">
        <f>#REF!</f>
        <v>#REF!</v>
      </c>
    </row>
    <row r="571" spans="2:62">
      <c r="B571" s="1207"/>
      <c r="C571" s="1207"/>
      <c r="D571" s="1207"/>
      <c r="E571" s="1207"/>
      <c r="F571" s="1207"/>
      <c r="G571" s="1203"/>
      <c r="H571" s="1207"/>
      <c r="I571" s="1213"/>
      <c r="J571" s="1213"/>
      <c r="K571" s="1213"/>
      <c r="L571" s="1213"/>
      <c r="M571" s="1213"/>
      <c r="N571" s="1213"/>
      <c r="O571" s="1213"/>
      <c r="P571" s="1203"/>
      <c r="Q571" s="1203"/>
      <c r="R571" s="1203"/>
      <c r="S571" s="1203"/>
      <c r="T571" s="1203"/>
      <c r="U571" s="1203"/>
      <c r="V571" s="1203"/>
      <c r="W571" s="1203"/>
      <c r="X571" s="1203"/>
      <c r="Y571" s="1203"/>
      <c r="Z571" s="1203"/>
      <c r="AA571" s="1203"/>
      <c r="AB571" s="1203"/>
      <c r="AC571" s="1207"/>
      <c r="AD571" s="1207"/>
      <c r="AE571" s="1207"/>
      <c r="AF571" s="1207"/>
      <c r="AG571" s="1207"/>
      <c r="AH571" s="1207"/>
    </row>
    <row r="572" spans="2:62">
      <c r="B572" s="1210" t="s">
        <v>31</v>
      </c>
      <c r="C572" s="1210"/>
      <c r="D572" s="1210"/>
      <c r="E572" s="1210"/>
      <c r="F572" s="1210"/>
      <c r="G572" s="1205"/>
      <c r="H572" s="1210"/>
      <c r="I572" s="1216" t="str">
        <f t="shared" ref="I572:Y572" si="478">I555</f>
        <v>Q4 17</v>
      </c>
      <c r="J572" s="1216" t="str">
        <f t="shared" si="478"/>
        <v>Q1 18</v>
      </c>
      <c r="K572" s="1216" t="str">
        <f t="shared" si="478"/>
        <v>Q2 18</v>
      </c>
      <c r="L572" s="1216" t="str">
        <f t="shared" si="478"/>
        <v>Q3 18</v>
      </c>
      <c r="M572" s="1216" t="str">
        <f t="shared" si="478"/>
        <v>Q4 18</v>
      </c>
      <c r="N572" s="1216" t="str">
        <f t="shared" si="478"/>
        <v>Q1 19</v>
      </c>
      <c r="O572" s="1216" t="str">
        <f t="shared" si="478"/>
        <v>Q2 19</v>
      </c>
      <c r="P572" s="1216" t="str">
        <f t="shared" si="478"/>
        <v>Q3 19</v>
      </c>
      <c r="Q572" s="1216" t="str">
        <f t="shared" si="478"/>
        <v>Q4 19</v>
      </c>
      <c r="R572" s="1216" t="str">
        <f t="shared" si="478"/>
        <v>Q1 20</v>
      </c>
      <c r="S572" s="1216" t="str">
        <f t="shared" si="478"/>
        <v>Q2 20</v>
      </c>
      <c r="T572" s="1216" t="str">
        <f t="shared" si="478"/>
        <v>Q3 20</v>
      </c>
      <c r="U572" s="1216" t="str">
        <f t="shared" si="478"/>
        <v>Q4 20</v>
      </c>
      <c r="V572" s="1216" t="str">
        <f t="shared" si="478"/>
        <v>Q1 21</v>
      </c>
      <c r="W572" s="1216" t="str">
        <f t="shared" si="478"/>
        <v>Q2 21</v>
      </c>
      <c r="X572" s="1216" t="str">
        <f t="shared" si="478"/>
        <v>Q3 21</v>
      </c>
      <c r="Y572" s="1216" t="str">
        <f t="shared" si="478"/>
        <v>Q4 21</v>
      </c>
      <c r="Z572" s="1216" t="str">
        <f t="shared" ref="Z572:AF572" si="479">Z555</f>
        <v>Q1 22</v>
      </c>
      <c r="AA572" s="1216" t="str">
        <f t="shared" si="479"/>
        <v>Q2 22</v>
      </c>
      <c r="AB572" s="1216" t="str">
        <f t="shared" si="479"/>
        <v>Q3 22</v>
      </c>
      <c r="AC572" s="1216" t="str">
        <f t="shared" si="479"/>
        <v>Q4 22</v>
      </c>
      <c r="AD572" s="1216" t="str">
        <f t="shared" si="479"/>
        <v>Q1 23</v>
      </c>
      <c r="AE572" s="1216" t="str">
        <f t="shared" si="479"/>
        <v>Q2 23</v>
      </c>
      <c r="AF572" s="1216" t="str">
        <f t="shared" si="479"/>
        <v>Q3 23</v>
      </c>
      <c r="AG572" s="1216" t="str">
        <f t="shared" ref="AG572:AH572" si="480">AG555</f>
        <v>Q4 23</v>
      </c>
      <c r="AH572" s="1216" t="str">
        <f t="shared" si="480"/>
        <v>Q1 24</v>
      </c>
    </row>
    <row r="573" spans="2:62">
      <c r="B573" s="1207" t="str">
        <f t="shared" ref="B573:B578" si="481">B564</f>
        <v>Two-way homes passed</v>
      </c>
      <c r="C573" s="1207"/>
      <c r="D573" s="1207">
        <f>AO459</f>
        <v>0</v>
      </c>
      <c r="E573" s="1207">
        <f>AQ459</f>
        <v>14.400000000000006</v>
      </c>
      <c r="F573" s="1207" t="e">
        <f>#REF!</f>
        <v>#REF!</v>
      </c>
      <c r="G573" s="1207">
        <f>BM459</f>
        <v>0</v>
      </c>
      <c r="H573" s="1207">
        <f>BO459</f>
        <v>0</v>
      </c>
      <c r="I573" s="1213">
        <f>BV459</f>
        <v>0</v>
      </c>
      <c r="J573" s="1213">
        <f>BX459</f>
        <v>0</v>
      </c>
      <c r="K573" s="1213">
        <f>BZ459</f>
        <v>0</v>
      </c>
      <c r="L573" s="1213">
        <f>CB459</f>
        <v>0</v>
      </c>
      <c r="M573" s="1213">
        <f>CC459</f>
        <v>0</v>
      </c>
      <c r="N573" s="1213">
        <f>CE459</f>
        <v>0</v>
      </c>
      <c r="O573" s="1213">
        <f>CG459</f>
        <v>0</v>
      </c>
      <c r="P573" s="1213">
        <f>CJ459</f>
        <v>0</v>
      </c>
      <c r="Q573" s="1213">
        <f>CL459</f>
        <v>0</v>
      </c>
      <c r="R573" s="1213">
        <f>CN459</f>
        <v>-8</v>
      </c>
      <c r="S573" s="1213">
        <f>CO459</f>
        <v>0</v>
      </c>
      <c r="T573" s="1213">
        <f>CQ459</f>
        <v>0</v>
      </c>
      <c r="U573" s="1213">
        <f t="shared" ref="U573:AA574" si="482">CS459</f>
        <v>0</v>
      </c>
      <c r="V573" s="1213">
        <f t="shared" si="482"/>
        <v>0</v>
      </c>
      <c r="W573" s="1213">
        <f t="shared" si="482"/>
        <v>0</v>
      </c>
      <c r="X573" s="1213">
        <f t="shared" si="482"/>
        <v>0</v>
      </c>
      <c r="Y573" s="1213">
        <f t="shared" si="482"/>
        <v>0</v>
      </c>
      <c r="Z573" s="1213">
        <f t="shared" si="482"/>
        <v>0</v>
      </c>
      <c r="AA573" s="1213">
        <f t="shared" si="482"/>
        <v>0</v>
      </c>
      <c r="AB573" s="1213">
        <f>DA459</f>
        <v>0</v>
      </c>
      <c r="AC573" s="1213">
        <f>DC459</f>
        <v>0</v>
      </c>
      <c r="AD573" s="1213">
        <f>DE459</f>
        <v>0</v>
      </c>
      <c r="AE573" s="1213">
        <f>DG459</f>
        <v>0</v>
      </c>
      <c r="AF573" s="1213">
        <f>DI459</f>
        <v>0</v>
      </c>
      <c r="AG573" s="1213" t="e">
        <f>#REF!</f>
        <v>#REF!</v>
      </c>
      <c r="AH573" s="1213" t="e">
        <f>#REF!</f>
        <v>#REF!</v>
      </c>
    </row>
    <row r="574" spans="2:62">
      <c r="B574" s="1207" t="str">
        <f t="shared" si="481"/>
        <v>Customer relationships</v>
      </c>
      <c r="C574" s="1207">
        <f>AN460</f>
        <v>0</v>
      </c>
      <c r="D574" s="1207">
        <f>AO460</f>
        <v>-6.5</v>
      </c>
      <c r="E574" s="1207">
        <f>AQ460</f>
        <v>0.20000000000000284</v>
      </c>
      <c r="F574" s="1207" t="e">
        <f>#REF!</f>
        <v>#REF!</v>
      </c>
      <c r="G574" s="1207">
        <f>BM460</f>
        <v>-2.7000000000000028</v>
      </c>
      <c r="H574" s="1207">
        <f>BO460</f>
        <v>-2.5</v>
      </c>
      <c r="I574" s="1213">
        <f>BV460</f>
        <v>-2.1000000000000014</v>
      </c>
      <c r="J574" s="1213">
        <f>BX460</f>
        <v>-0.10000000000000142</v>
      </c>
      <c r="K574" s="1213">
        <f>BZ460</f>
        <v>1.5</v>
      </c>
      <c r="L574" s="1213">
        <f>CB460</f>
        <v>-0.19999999999999574</v>
      </c>
      <c r="M574" s="1213">
        <f>CC460</f>
        <v>-1.3000000000000043</v>
      </c>
      <c r="N574" s="1213">
        <f>CE460</f>
        <v>0.90000000000000568</v>
      </c>
      <c r="O574" s="1213">
        <f>CG460</f>
        <v>-1.1000000000000014</v>
      </c>
      <c r="P574" s="1213">
        <f>CJ460</f>
        <v>-1.3000000000000043</v>
      </c>
      <c r="Q574" s="1213">
        <f>CL460</f>
        <v>-0.39999999999999858</v>
      </c>
      <c r="R574" s="1213">
        <f>CN460</f>
        <v>-6.3999999999999986</v>
      </c>
      <c r="S574" s="1213">
        <f>CO460</f>
        <v>-2.6000000000000014</v>
      </c>
      <c r="T574" s="1213">
        <f>CQ460</f>
        <v>-1.1000000000000014</v>
      </c>
      <c r="U574" s="1213">
        <f t="shared" si="482"/>
        <v>0</v>
      </c>
      <c r="V574" s="1213">
        <f t="shared" si="482"/>
        <v>-0.5</v>
      </c>
      <c r="W574" s="1213">
        <f t="shared" si="482"/>
        <v>2.3000000000000043</v>
      </c>
      <c r="X574" s="1213">
        <f t="shared" si="482"/>
        <v>2.8999999999999986</v>
      </c>
      <c r="Y574" s="1213">
        <f t="shared" si="482"/>
        <v>-1.1000000000000014</v>
      </c>
      <c r="Z574" s="1213">
        <f t="shared" si="482"/>
        <v>-1.3999999999999986</v>
      </c>
      <c r="AA574" s="1213">
        <f t="shared" si="482"/>
        <v>-0.20000000000000284</v>
      </c>
      <c r="AB574" s="1213">
        <f>DA460</f>
        <v>5.2000000000000028</v>
      </c>
      <c r="AC574" s="1213">
        <f>DC460</f>
        <v>-7.9000000000000012</v>
      </c>
      <c r="AD574" s="1213">
        <f>DE460</f>
        <v>-1.1000000000000014</v>
      </c>
      <c r="AE574" s="1213">
        <f>DG460</f>
        <v>-0.19999999999999574</v>
      </c>
      <c r="AF574" s="1213">
        <f>DI460</f>
        <v>1.1000000000000014</v>
      </c>
      <c r="AG574" s="1213" t="e">
        <f>#REF!</f>
        <v>#REF!</v>
      </c>
      <c r="AH574" s="1213" t="e">
        <f>#REF!</f>
        <v>#REF!</v>
      </c>
    </row>
    <row r="575" spans="2:62">
      <c r="B575" s="1207" t="str">
        <f t="shared" si="481"/>
        <v>Video</v>
      </c>
      <c r="C575" s="1207">
        <f t="shared" ref="C575:D577" si="483">AN463</f>
        <v>0.3</v>
      </c>
      <c r="D575" s="1207">
        <f t="shared" si="483"/>
        <v>0.30000000000000004</v>
      </c>
      <c r="E575" s="1207">
        <f>AQ463</f>
        <v>0.70000000000000007</v>
      </c>
      <c r="F575" s="1207" t="e">
        <f>#REF!</f>
        <v>#REF!</v>
      </c>
      <c r="G575" s="1207">
        <f>BM463</f>
        <v>1.7999999999999998</v>
      </c>
      <c r="H575" s="1207">
        <f>BO463</f>
        <v>0.40000000000000036</v>
      </c>
      <c r="I575" s="1213">
        <f>BV463</f>
        <v>0.29999999999999982</v>
      </c>
      <c r="J575" s="1213">
        <f>BX463</f>
        <v>0.79999999999999982</v>
      </c>
      <c r="K575" s="1213">
        <f>BZ463</f>
        <v>-0.29999999999999982</v>
      </c>
      <c r="L575" s="1213">
        <f t="shared" ref="L575:M577" si="484">CB463</f>
        <v>9.9999999999999645E-2</v>
      </c>
      <c r="M575" s="1213">
        <f t="shared" si="484"/>
        <v>0.10000000000000053</v>
      </c>
      <c r="N575" s="1213">
        <f>CE463</f>
        <v>-0.30000000000000071</v>
      </c>
      <c r="O575" s="1213">
        <f>CG463</f>
        <v>-0.5</v>
      </c>
      <c r="P575" s="1213">
        <f>CJ463</f>
        <v>0.40000000000000036</v>
      </c>
      <c r="Q575" s="1213">
        <f>CL463</f>
        <v>0.5</v>
      </c>
      <c r="R575" s="1213">
        <f t="shared" ref="R575:S577" si="485">CN463</f>
        <v>-0.79999999999999982</v>
      </c>
      <c r="S575" s="1213">
        <f t="shared" si="485"/>
        <v>9.9999999999999645E-2</v>
      </c>
      <c r="T575" s="1213">
        <f>CQ463</f>
        <v>0.60000000000000053</v>
      </c>
      <c r="U575" s="1213">
        <f t="shared" ref="U575:AA577" si="486">CS463</f>
        <v>0.5</v>
      </c>
      <c r="V575" s="1213">
        <f t="shared" si="486"/>
        <v>0.59999999999999964</v>
      </c>
      <c r="W575" s="1213">
        <f t="shared" si="486"/>
        <v>0.69999999999999929</v>
      </c>
      <c r="X575" s="1213">
        <f t="shared" si="486"/>
        <v>0.80000000000000071</v>
      </c>
      <c r="Y575" s="1213">
        <f t="shared" si="486"/>
        <v>-9.9999999999999645E-2</v>
      </c>
      <c r="Z575" s="1213">
        <f t="shared" si="486"/>
        <v>0.19999999999999929</v>
      </c>
      <c r="AA575" s="1213">
        <f t="shared" si="486"/>
        <v>0</v>
      </c>
      <c r="AB575" s="1213">
        <f>DA463</f>
        <v>0</v>
      </c>
      <c r="AC575" s="1213">
        <f>DC463</f>
        <v>-0.20000000000000018</v>
      </c>
      <c r="AD575" s="1213">
        <f>DE463</f>
        <v>0.70000000000000018</v>
      </c>
      <c r="AE575" s="1213">
        <f>DG463</f>
        <v>1.1000000000000005</v>
      </c>
      <c r="AF575" s="1213">
        <f>DI463</f>
        <v>0.39999999999999947</v>
      </c>
      <c r="AG575" s="1213" t="e">
        <f>#REF!</f>
        <v>#REF!</v>
      </c>
      <c r="AH575" s="1213" t="e">
        <f>#REF!</f>
        <v>#REF!</v>
      </c>
    </row>
    <row r="576" spans="2:62">
      <c r="B576" s="1207" t="str">
        <f t="shared" si="481"/>
        <v>BB</v>
      </c>
      <c r="C576" s="1207">
        <f t="shared" si="483"/>
        <v>0.1</v>
      </c>
      <c r="D576" s="1207">
        <f t="shared" si="483"/>
        <v>9.9999999999997868E-2</v>
      </c>
      <c r="E576" s="1207">
        <f>AQ464</f>
        <v>1.5</v>
      </c>
      <c r="F576" s="1207" t="e">
        <f>#REF!</f>
        <v>#REF!</v>
      </c>
      <c r="G576" s="1207">
        <f>BM464</f>
        <v>0.39999999999999858</v>
      </c>
      <c r="H576" s="1207">
        <f>BO464</f>
        <v>-1</v>
      </c>
      <c r="I576" s="1213">
        <f>BV464</f>
        <v>0.40000000000000213</v>
      </c>
      <c r="J576" s="1213">
        <f>BX464</f>
        <v>0.5</v>
      </c>
      <c r="K576" s="1213">
        <f>BZ464</f>
        <v>-0.70000000000000284</v>
      </c>
      <c r="L576" s="1213">
        <f t="shared" si="484"/>
        <v>0</v>
      </c>
      <c r="M576" s="1213">
        <f t="shared" si="484"/>
        <v>0.20000000000000284</v>
      </c>
      <c r="N576" s="1213">
        <f>CE464</f>
        <v>-0.40000000000000213</v>
      </c>
      <c r="O576" s="1213">
        <f>CG464</f>
        <v>-0.5</v>
      </c>
      <c r="P576" s="1213">
        <f>CJ464</f>
        <v>-9.9999999999997868E-2</v>
      </c>
      <c r="Q576" s="1213">
        <f>CL464</f>
        <v>0.59999999999999787</v>
      </c>
      <c r="R576" s="1213">
        <f t="shared" si="485"/>
        <v>-3</v>
      </c>
      <c r="S576" s="1213">
        <f t="shared" si="485"/>
        <v>0.30000000000000071</v>
      </c>
      <c r="T576" s="1213">
        <f>CQ464</f>
        <v>1.5</v>
      </c>
      <c r="U576" s="1213">
        <f t="shared" si="486"/>
        <v>1.3999999999999986</v>
      </c>
      <c r="V576" s="1213">
        <f t="shared" si="486"/>
        <v>1.4000000000000021</v>
      </c>
      <c r="W576" s="1213">
        <f t="shared" si="486"/>
        <v>1.3000000000000007</v>
      </c>
      <c r="X576" s="1213">
        <f t="shared" si="486"/>
        <v>2.0999999999999979</v>
      </c>
      <c r="Y576" s="1213">
        <f t="shared" si="486"/>
        <v>-1.1999999999999993</v>
      </c>
      <c r="Z576" s="1213">
        <f t="shared" si="486"/>
        <v>0.69999999999999929</v>
      </c>
      <c r="AA576" s="1213">
        <f t="shared" si="486"/>
        <v>0.80000000000000071</v>
      </c>
      <c r="AB576" s="1213">
        <f>DA464</f>
        <v>0.10000000000000142</v>
      </c>
      <c r="AC576" s="1213">
        <f>DC464</f>
        <v>-9.9999999999999645E-2</v>
      </c>
      <c r="AD576" s="1213">
        <f>DE464</f>
        <v>1.5999999999999979</v>
      </c>
      <c r="AE576" s="1213">
        <f>DG464</f>
        <v>1.8000000000000007</v>
      </c>
      <c r="AF576" s="1213">
        <f>DI464</f>
        <v>1</v>
      </c>
      <c r="AG576" s="1213" t="e">
        <f>#REF!</f>
        <v>#REF!</v>
      </c>
      <c r="AH576" s="1213" t="e">
        <f>#REF!</f>
        <v>#REF!</v>
      </c>
    </row>
    <row r="577" spans="2:34">
      <c r="B577" s="1207" t="str">
        <f t="shared" si="481"/>
        <v>Telephony</v>
      </c>
      <c r="C577" s="1207">
        <f t="shared" si="483"/>
        <v>-0.1</v>
      </c>
      <c r="D577" s="1207">
        <f t="shared" si="483"/>
        <v>-6.5</v>
      </c>
      <c r="E577" s="1207">
        <f>AQ465</f>
        <v>0.10000000000000142</v>
      </c>
      <c r="F577" s="1207" t="e">
        <f>#REF!</f>
        <v>#REF!</v>
      </c>
      <c r="G577" s="1207">
        <f>BM465</f>
        <v>-2.7000000000000028</v>
      </c>
      <c r="H577" s="1207">
        <f>BO465</f>
        <v>-2.5</v>
      </c>
      <c r="I577" s="1213">
        <f>BV465</f>
        <v>-2.1000000000000014</v>
      </c>
      <c r="J577" s="1213">
        <f>BX465</f>
        <v>-0.10000000000000142</v>
      </c>
      <c r="K577" s="1213">
        <f>BZ465</f>
        <v>0</v>
      </c>
      <c r="L577" s="1213">
        <f t="shared" si="484"/>
        <v>-0.29999999999999716</v>
      </c>
      <c r="M577" s="1213">
        <f t="shared" si="484"/>
        <v>-1.3999999999999986</v>
      </c>
      <c r="N577" s="1213">
        <f>CE465</f>
        <v>0.69999999999999574</v>
      </c>
      <c r="O577" s="1213">
        <f>CG465</f>
        <v>-1.8999999999999986</v>
      </c>
      <c r="P577" s="1213">
        <f>CJ465</f>
        <v>-1.1999999999999957</v>
      </c>
      <c r="Q577" s="1213">
        <f>CL465</f>
        <v>-0.5</v>
      </c>
      <c r="R577" s="1213">
        <f t="shared" si="485"/>
        <v>-6</v>
      </c>
      <c r="S577" s="1213">
        <f t="shared" si="485"/>
        <v>-1.2000000000000028</v>
      </c>
      <c r="T577" s="1213">
        <f>CQ465</f>
        <v>-1.1000000000000014</v>
      </c>
      <c r="U577" s="1213">
        <f t="shared" si="486"/>
        <v>0</v>
      </c>
      <c r="V577" s="1213">
        <f t="shared" si="486"/>
        <v>-0.69999999999999574</v>
      </c>
      <c r="W577" s="1213">
        <f t="shared" si="486"/>
        <v>0.89999999999999858</v>
      </c>
      <c r="X577" s="1213">
        <f t="shared" si="486"/>
        <v>0</v>
      </c>
      <c r="Y577" s="1213">
        <f t="shared" si="486"/>
        <v>-1.6000000000000014</v>
      </c>
      <c r="Z577" s="1213">
        <f t="shared" si="486"/>
        <v>-0.70000000000000284</v>
      </c>
      <c r="AA577" s="1213">
        <f t="shared" si="486"/>
        <v>-0.39999999999999858</v>
      </c>
      <c r="AB577" s="1213">
        <f>DA465</f>
        <v>-0.79999999999999716</v>
      </c>
      <c r="AC577" s="1213">
        <f>DC465</f>
        <v>-0.89999999999999991</v>
      </c>
      <c r="AD577" s="1213">
        <f>DE465</f>
        <v>0.19999999999999574</v>
      </c>
      <c r="AE577" s="1213">
        <f>DG465</f>
        <v>0.40000000000000568</v>
      </c>
      <c r="AF577" s="1213">
        <f>DI465</f>
        <v>0.39999999999999858</v>
      </c>
      <c r="AG577" s="1213" t="e">
        <f>#REF!</f>
        <v>#REF!</v>
      </c>
      <c r="AH577" s="1213" t="e">
        <f>#REF!</f>
        <v>#REF!</v>
      </c>
    </row>
    <row r="578" spans="2:34">
      <c r="B578" s="1207" t="str">
        <f t="shared" si="481"/>
        <v>Fixed RGUs</v>
      </c>
      <c r="C578" s="1207">
        <f t="shared" ref="C578:W578" si="487">SUM(C575:C577)</f>
        <v>0.30000000000000004</v>
      </c>
      <c r="D578" s="1207">
        <f t="shared" si="487"/>
        <v>-6.1000000000000023</v>
      </c>
      <c r="E578" s="1207">
        <f t="shared" si="487"/>
        <v>2.3000000000000016</v>
      </c>
      <c r="F578" s="1207" t="e">
        <f t="shared" si="487"/>
        <v>#REF!</v>
      </c>
      <c r="G578" s="1207">
        <f t="shared" si="487"/>
        <v>-0.50000000000000444</v>
      </c>
      <c r="H578" s="1207">
        <f t="shared" si="487"/>
        <v>-3.0999999999999996</v>
      </c>
      <c r="I578" s="1213">
        <f t="shared" si="487"/>
        <v>-1.3999999999999995</v>
      </c>
      <c r="J578" s="1213">
        <f t="shared" si="487"/>
        <v>1.1999999999999984</v>
      </c>
      <c r="K578" s="1213">
        <f t="shared" si="487"/>
        <v>-1.0000000000000027</v>
      </c>
      <c r="L578" s="1213">
        <f t="shared" si="487"/>
        <v>-0.19999999999999751</v>
      </c>
      <c r="M578" s="1213">
        <f t="shared" si="487"/>
        <v>-1.0999999999999952</v>
      </c>
      <c r="N578" s="1213">
        <f t="shared" si="487"/>
        <v>-7.1054273576010019E-15</v>
      </c>
      <c r="O578" s="1213">
        <f t="shared" si="487"/>
        <v>-2.8999999999999986</v>
      </c>
      <c r="P578" s="1213">
        <f t="shared" si="487"/>
        <v>-0.89999999999999325</v>
      </c>
      <c r="Q578" s="1213">
        <f t="shared" si="487"/>
        <v>0.59999999999999787</v>
      </c>
      <c r="R578" s="1213">
        <f t="shared" si="487"/>
        <v>-9.8000000000000007</v>
      </c>
      <c r="S578" s="1213">
        <f t="shared" si="487"/>
        <v>-0.80000000000000249</v>
      </c>
      <c r="T578" s="1213">
        <f t="shared" si="487"/>
        <v>0.99999999999999911</v>
      </c>
      <c r="U578" s="1213">
        <f t="shared" si="487"/>
        <v>1.8999999999999986</v>
      </c>
      <c r="V578" s="1213">
        <f t="shared" si="487"/>
        <v>1.300000000000006</v>
      </c>
      <c r="W578" s="1213">
        <f t="shared" si="487"/>
        <v>2.8999999999999986</v>
      </c>
      <c r="X578" s="1213">
        <f t="shared" ref="X578:AD578" si="488">SUM(X575:X577)</f>
        <v>2.8999999999999986</v>
      </c>
      <c r="Y578" s="1213">
        <f t="shared" si="488"/>
        <v>-2.9000000000000004</v>
      </c>
      <c r="Z578" s="1213">
        <f t="shared" si="488"/>
        <v>0.19999999999999574</v>
      </c>
      <c r="AA578" s="1213">
        <f t="shared" si="488"/>
        <v>0.40000000000000213</v>
      </c>
      <c r="AB578" s="1213">
        <f t="shared" si="488"/>
        <v>-0.69999999999999574</v>
      </c>
      <c r="AC578" s="1213">
        <f t="shared" si="488"/>
        <v>-1.1999999999999997</v>
      </c>
      <c r="AD578" s="1213">
        <f t="shared" si="488"/>
        <v>2.4999999999999938</v>
      </c>
      <c r="AE578" s="1213">
        <f t="shared" ref="AE578" si="489">SUM(AE575:AE577)</f>
        <v>3.3000000000000069</v>
      </c>
      <c r="AF578" s="1213">
        <f>SUM(AF575:AF577)</f>
        <v>1.799999999999998</v>
      </c>
      <c r="AG578" s="1213" t="e">
        <f>SUM(AG575:AG577)</f>
        <v>#REF!</v>
      </c>
      <c r="AH578" s="1213" t="e">
        <f>SUM(AH575:AH577)</f>
        <v>#REF!</v>
      </c>
    </row>
    <row r="579" spans="2:34">
      <c r="B579" s="1207" t="s">
        <v>5</v>
      </c>
      <c r="C579" s="1207"/>
      <c r="D579" s="1207"/>
      <c r="E579" s="1207">
        <f>AQ466</f>
        <v>6</v>
      </c>
      <c r="F579" s="1207" t="e">
        <f>#REF!</f>
        <v>#REF!</v>
      </c>
      <c r="G579" s="1207">
        <f>BM466</f>
        <v>-24.199999999999989</v>
      </c>
      <c r="H579" s="1207">
        <f>BO466</f>
        <v>-19.099999999999966</v>
      </c>
      <c r="I579" s="1213">
        <f>BV466</f>
        <v>-11.200000000000017</v>
      </c>
      <c r="J579" s="1213">
        <f>BX466</f>
        <v>-3.8000000000000114</v>
      </c>
      <c r="K579" s="1213">
        <f>BZ466</f>
        <v>-10.400000000000006</v>
      </c>
      <c r="L579" s="1213">
        <f>CB466</f>
        <v>-12.399999999999977</v>
      </c>
      <c r="M579" s="1213">
        <f>CC466</f>
        <v>-4</v>
      </c>
      <c r="N579" s="1213">
        <f>CE466</f>
        <v>-1.5</v>
      </c>
      <c r="O579" s="1213">
        <f>CG466</f>
        <v>-9.3000000000000114</v>
      </c>
      <c r="P579" s="1213">
        <f>CJ466</f>
        <v>-4.1999999999999886</v>
      </c>
      <c r="Q579" s="1213">
        <f>CL466</f>
        <v>-8.2000000000000171</v>
      </c>
      <c r="R579" s="1213">
        <f>CN466</f>
        <v>-1.6999999999999886</v>
      </c>
      <c r="S579" s="1213">
        <f>CO466</f>
        <v>-19.099999999999994</v>
      </c>
      <c r="T579" s="1213">
        <f>CQ466</f>
        <v>-1.2000000000000171</v>
      </c>
      <c r="U579" s="1213">
        <f t="shared" ref="U579:AA579" si="490">CS466</f>
        <v>2</v>
      </c>
      <c r="V579" s="1213">
        <f t="shared" si="490"/>
        <v>-1</v>
      </c>
      <c r="W579" s="1213">
        <f t="shared" si="490"/>
        <v>-2.4000000000000057</v>
      </c>
      <c r="X579" s="1213">
        <f t="shared" si="490"/>
        <v>-2.5999999999999943</v>
      </c>
      <c r="Y579" s="1213">
        <f t="shared" si="490"/>
        <v>1.3000000000000114</v>
      </c>
      <c r="Z579" s="1213">
        <f t="shared" si="490"/>
        <v>-2.9000000000000057</v>
      </c>
      <c r="AA579" s="1213">
        <f t="shared" si="490"/>
        <v>-0.30000000000001137</v>
      </c>
      <c r="AB579" s="1213">
        <f>DA466</f>
        <v>-0.19999999999998863</v>
      </c>
      <c r="AC579" s="1213">
        <f>DC466</f>
        <v>3.9000000000000057</v>
      </c>
      <c r="AD579" s="1213">
        <f>DE466</f>
        <v>-2.0999999999999943</v>
      </c>
      <c r="AE579" s="1213">
        <f>DG466</f>
        <v>-0.40000000000000568</v>
      </c>
      <c r="AF579" s="1213">
        <f>DI466</f>
        <v>-4.3000000000000114</v>
      </c>
      <c r="AG579" s="1213" t="e">
        <f>#REF!</f>
        <v>#REF!</v>
      </c>
      <c r="AH579" s="1213" t="e">
        <f>#REF!</f>
        <v>#REF!</v>
      </c>
    </row>
    <row r="580" spans="2:34">
      <c r="B580" s="1207"/>
      <c r="C580" s="1207"/>
      <c r="D580" s="1207"/>
      <c r="E580" s="1207"/>
      <c r="F580" s="1207"/>
      <c r="G580" s="1203"/>
      <c r="H580" s="1207"/>
      <c r="I580" s="1213"/>
      <c r="J580" s="1213"/>
      <c r="K580" s="1213"/>
      <c r="L580" s="1213"/>
      <c r="M580" s="1213"/>
      <c r="N580" s="1213"/>
      <c r="O580" s="1213"/>
      <c r="P580" s="1203"/>
      <c r="Q580" s="1203"/>
      <c r="R580" s="1203"/>
      <c r="S580" s="1203"/>
      <c r="T580" s="1203"/>
      <c r="U580" s="1203"/>
      <c r="V580" s="1203"/>
      <c r="W580" s="1203"/>
      <c r="X580" s="1203"/>
      <c r="Y580" s="1203"/>
      <c r="Z580" s="1203"/>
      <c r="AA580" s="1203"/>
      <c r="AB580" s="1203"/>
      <c r="AC580" s="1207"/>
      <c r="AD580" s="1207"/>
      <c r="AE580" s="1207"/>
      <c r="AF580" s="1207"/>
      <c r="AG580" s="1207"/>
      <c r="AH580" s="1207"/>
    </row>
    <row r="581" spans="2:34">
      <c r="B581" s="1210" t="s">
        <v>4</v>
      </c>
      <c r="C581" s="1206"/>
      <c r="D581" s="1206"/>
      <c r="E581" s="1206"/>
      <c r="F581" s="1206"/>
      <c r="G581" s="1205"/>
      <c r="H581" s="1210"/>
      <c r="I581" s="1216" t="str">
        <f t="shared" ref="I581:Y581" si="491">I572</f>
        <v>Q4 17</v>
      </c>
      <c r="J581" s="1216" t="str">
        <f t="shared" si="491"/>
        <v>Q1 18</v>
      </c>
      <c r="K581" s="1216" t="str">
        <f t="shared" si="491"/>
        <v>Q2 18</v>
      </c>
      <c r="L581" s="1216" t="str">
        <f t="shared" si="491"/>
        <v>Q3 18</v>
      </c>
      <c r="M581" s="1216" t="str">
        <f t="shared" si="491"/>
        <v>Q4 18</v>
      </c>
      <c r="N581" s="1216" t="str">
        <f t="shared" si="491"/>
        <v>Q1 19</v>
      </c>
      <c r="O581" s="1216" t="str">
        <f t="shared" si="491"/>
        <v>Q2 19</v>
      </c>
      <c r="P581" s="1216" t="str">
        <f t="shared" si="491"/>
        <v>Q3 19</v>
      </c>
      <c r="Q581" s="1216" t="str">
        <f t="shared" si="491"/>
        <v>Q4 19</v>
      </c>
      <c r="R581" s="1216" t="str">
        <f t="shared" si="491"/>
        <v>Q1 20</v>
      </c>
      <c r="S581" s="1216" t="str">
        <f t="shared" si="491"/>
        <v>Q2 20</v>
      </c>
      <c r="T581" s="1216" t="str">
        <f t="shared" si="491"/>
        <v>Q3 20</v>
      </c>
      <c r="U581" s="1216" t="str">
        <f t="shared" si="491"/>
        <v>Q4 20</v>
      </c>
      <c r="V581" s="1216" t="str">
        <f t="shared" si="491"/>
        <v>Q1 21</v>
      </c>
      <c r="W581" s="1216" t="str">
        <f t="shared" si="491"/>
        <v>Q2 21</v>
      </c>
      <c r="X581" s="1216" t="str">
        <f t="shared" si="491"/>
        <v>Q3 21</v>
      </c>
      <c r="Y581" s="1216" t="str">
        <f t="shared" si="491"/>
        <v>Q4 21</v>
      </c>
      <c r="Z581" s="1216" t="str">
        <f t="shared" ref="Z581:AF581" si="492">Z572</f>
        <v>Q1 22</v>
      </c>
      <c r="AA581" s="1216" t="str">
        <f t="shared" si="492"/>
        <v>Q2 22</v>
      </c>
      <c r="AB581" s="1216" t="str">
        <f t="shared" si="492"/>
        <v>Q3 22</v>
      </c>
      <c r="AC581" s="1216" t="str">
        <f t="shared" si="492"/>
        <v>Q4 22</v>
      </c>
      <c r="AD581" s="1216" t="str">
        <f t="shared" si="492"/>
        <v>Q1 23</v>
      </c>
      <c r="AE581" s="1216" t="str">
        <f t="shared" si="492"/>
        <v>Q2 23</v>
      </c>
      <c r="AF581" s="1216" t="str">
        <f t="shared" si="492"/>
        <v>Q3 23</v>
      </c>
      <c r="AG581" s="1216" t="str">
        <f t="shared" ref="AG581:AH581" si="493">AG572</f>
        <v>Q4 23</v>
      </c>
      <c r="AH581" s="1216" t="str">
        <f t="shared" si="493"/>
        <v>Q1 24</v>
      </c>
    </row>
    <row r="582" spans="2:34">
      <c r="B582" s="1207" t="str">
        <f t="shared" ref="B582:B587" si="494">B564</f>
        <v>Two-way homes passed</v>
      </c>
      <c r="C582" s="1214"/>
      <c r="D582" s="1207">
        <f>AO481</f>
        <v>0.10000000000002274</v>
      </c>
      <c r="E582" s="1207">
        <f>AQ481</f>
        <v>0</v>
      </c>
      <c r="F582" s="1207" t="e">
        <f>#REF!</f>
        <v>#REF!</v>
      </c>
      <c r="G582" s="1207">
        <f>BN481</f>
        <v>0</v>
      </c>
      <c r="H582" s="1207">
        <f>BU481</f>
        <v>2.6999999999999886</v>
      </c>
      <c r="I582" s="1213">
        <f>BW481</f>
        <v>3.4000000000000341</v>
      </c>
      <c r="J582" s="1213">
        <f>BX481</f>
        <v>0</v>
      </c>
      <c r="K582" s="1213">
        <f>CA481</f>
        <v>0.39999999999997726</v>
      </c>
      <c r="L582" s="1213">
        <f>CB481</f>
        <v>0</v>
      </c>
      <c r="M582" s="1213">
        <f>CD481</f>
        <v>-0.10000000000002274</v>
      </c>
      <c r="N582" s="1213">
        <f>CE481</f>
        <v>0.20000000000004547</v>
      </c>
      <c r="O582" s="1213">
        <f>CH481</f>
        <v>0</v>
      </c>
      <c r="P582" s="1213">
        <f>CJ481</f>
        <v>9.9999999999965894E-2</v>
      </c>
      <c r="Q582" s="1213">
        <f t="shared" ref="Q582:S583" si="495">CM481</f>
        <v>0</v>
      </c>
      <c r="R582" s="1213">
        <f t="shared" si="495"/>
        <v>0</v>
      </c>
      <c r="S582" s="1213">
        <f t="shared" si="495"/>
        <v>0</v>
      </c>
      <c r="T582" s="1213">
        <f>CQ481</f>
        <v>0</v>
      </c>
      <c r="U582" s="1213">
        <f t="shared" ref="U582:AA583" si="496">CS481</f>
        <v>0</v>
      </c>
      <c r="V582" s="1213">
        <f t="shared" si="496"/>
        <v>1.9000000000000341</v>
      </c>
      <c r="W582" s="1213">
        <f t="shared" si="496"/>
        <v>20.199999999999989</v>
      </c>
      <c r="X582" s="1213">
        <f t="shared" si="496"/>
        <v>-19.800000000000011</v>
      </c>
      <c r="Y582" s="1213">
        <f t="shared" si="496"/>
        <v>2</v>
      </c>
      <c r="Z582" s="1213">
        <f t="shared" si="496"/>
        <v>5.1000000000000227</v>
      </c>
      <c r="AA582" s="1213">
        <f t="shared" si="496"/>
        <v>9.8000000000000114</v>
      </c>
      <c r="AB582" s="1213">
        <f>DA481</f>
        <v>9.9999999999965894E-2</v>
      </c>
      <c r="AC582" s="1213">
        <f>DC481</f>
        <v>5.9000000000000341</v>
      </c>
      <c r="AD582" s="1213">
        <f>DE481</f>
        <v>6.7999999999999545</v>
      </c>
      <c r="AE582" s="1213">
        <f>DG481</f>
        <v>-9.9999999999954348E-2</v>
      </c>
      <c r="AF582" s="1213">
        <f>DI481</f>
        <v>7.5999999999999659</v>
      </c>
      <c r="AG582" s="1213" t="e">
        <f>#REF!</f>
        <v>#REF!</v>
      </c>
      <c r="AH582" s="1213" t="e">
        <f>#REF!</f>
        <v>#REF!</v>
      </c>
    </row>
    <row r="583" spans="2:34">
      <c r="B583" s="1207" t="str">
        <f t="shared" si="494"/>
        <v>Customer relationships</v>
      </c>
      <c r="C583" s="1207">
        <f>AN482</f>
        <v>-2.2999999999999998</v>
      </c>
      <c r="D583" s="1207">
        <f>AO482</f>
        <v>-5.8000000000000114</v>
      </c>
      <c r="E583" s="1207">
        <f>AQ482</f>
        <v>-0.69999999999998863</v>
      </c>
      <c r="F583" s="1207" t="e">
        <f>#REF!</f>
        <v>#REF!</v>
      </c>
      <c r="G583" s="1207">
        <f>BN482</f>
        <v>-8.9000000000000057</v>
      </c>
      <c r="H583" s="1207">
        <f>BU482</f>
        <v>0.20000000000001705</v>
      </c>
      <c r="I583" s="1213">
        <f>BW482</f>
        <v>1</v>
      </c>
      <c r="J583" s="1213">
        <f>BX482</f>
        <v>-0.80000000000001137</v>
      </c>
      <c r="K583" s="1213">
        <f>CA482</f>
        <v>0.50000000000001688</v>
      </c>
      <c r="L583" s="1213">
        <f>CB482</f>
        <v>0.5</v>
      </c>
      <c r="M583" s="1213">
        <f>CD482</f>
        <v>9.9999999999999645E-2</v>
      </c>
      <c r="N583" s="1213">
        <f>CE482</f>
        <v>0.29999999999998295</v>
      </c>
      <c r="O583" s="1213">
        <f>CH482</f>
        <v>1.9999999999999929</v>
      </c>
      <c r="P583" s="1213">
        <f>CJ482</f>
        <v>0.60000000000002274</v>
      </c>
      <c r="Q583" s="1213">
        <f t="shared" si="495"/>
        <v>0.19999999999999396</v>
      </c>
      <c r="R583" s="1213">
        <f t="shared" si="495"/>
        <v>9.9999999999994316E-2</v>
      </c>
      <c r="S583" s="1213">
        <f t="shared" si="495"/>
        <v>-3.4000000000000057</v>
      </c>
      <c r="T583" s="1213">
        <f>CQ482</f>
        <v>-3.6999999999999886</v>
      </c>
      <c r="U583" s="1213">
        <f t="shared" si="496"/>
        <v>-0.5</v>
      </c>
      <c r="V583" s="1213">
        <f t="shared" si="496"/>
        <v>-2.2000000000000171</v>
      </c>
      <c r="W583" s="1213">
        <f t="shared" si="496"/>
        <v>-2.5999999999999943</v>
      </c>
      <c r="X583" s="1213">
        <f t="shared" si="496"/>
        <v>-7.0999999999999943</v>
      </c>
      <c r="Y583" s="1213">
        <f t="shared" si="496"/>
        <v>0</v>
      </c>
      <c r="Z583" s="1213">
        <f t="shared" si="496"/>
        <v>-5.5999999999999943</v>
      </c>
      <c r="AA583" s="1213">
        <f t="shared" si="496"/>
        <v>-2.5999999999999943</v>
      </c>
      <c r="AB583" s="1213">
        <f>DA482</f>
        <v>-0.3000000000000056</v>
      </c>
      <c r="AC583" s="1213">
        <f>DC482</f>
        <v>2.6999999999999886</v>
      </c>
      <c r="AD583" s="1213">
        <f>DE482</f>
        <v>-9.9999999999994316E-2</v>
      </c>
      <c r="AE583" s="1213">
        <f>DG482</f>
        <v>1.6999999999999886</v>
      </c>
      <c r="AF583" s="1213">
        <f>DI482</f>
        <v>-0.19999999999998863</v>
      </c>
      <c r="AG583" s="1213" t="e">
        <f>#REF!</f>
        <v>#REF!</v>
      </c>
      <c r="AH583" s="1213" t="e">
        <f>#REF!</f>
        <v>#REF!</v>
      </c>
    </row>
    <row r="584" spans="2:34">
      <c r="B584" s="1207" t="str">
        <f t="shared" si="494"/>
        <v>Video</v>
      </c>
      <c r="C584" s="1207">
        <f t="shared" ref="C584:D586" si="497">AN485</f>
        <v>-1.8</v>
      </c>
      <c r="D584" s="1207">
        <f t="shared" si="497"/>
        <v>0.80000000000001137</v>
      </c>
      <c r="E584" s="1207">
        <f>AQ485</f>
        <v>-2.4000000000000057</v>
      </c>
      <c r="F584" s="1207" t="e">
        <f>#REF!</f>
        <v>#REF!</v>
      </c>
      <c r="G584" s="1207">
        <f>BN485</f>
        <v>-5.1000000000000085</v>
      </c>
      <c r="H584" s="1207">
        <f>BU485</f>
        <v>-0.5</v>
      </c>
      <c r="I584" s="1213">
        <f t="shared" ref="I584:J586" si="498">BW485</f>
        <v>-0.39999999999999147</v>
      </c>
      <c r="J584" s="1213">
        <f t="shared" si="498"/>
        <v>-1.3000000000000114</v>
      </c>
      <c r="K584" s="1213">
        <f t="shared" ref="K584:L586" si="499">CA485</f>
        <v>0.29999999999999982</v>
      </c>
      <c r="L584" s="1213">
        <f t="shared" si="499"/>
        <v>-1.5</v>
      </c>
      <c r="M584" s="1213">
        <f t="shared" ref="M584:N586" si="500">CD485</f>
        <v>0</v>
      </c>
      <c r="N584" s="1213">
        <f t="shared" si="500"/>
        <v>-1.2000000000000028</v>
      </c>
      <c r="O584" s="1213">
        <f>CH485</f>
        <v>-0.80000000000000249</v>
      </c>
      <c r="P584" s="1213">
        <f>CJ485</f>
        <v>-0.70000000000000284</v>
      </c>
      <c r="Q584" s="1213">
        <f t="shared" ref="Q584:R586" si="501">CM485</f>
        <v>0.3999999999999968</v>
      </c>
      <c r="R584" s="1213">
        <f t="shared" si="501"/>
        <v>0.10000000000000853</v>
      </c>
      <c r="S584" s="1213">
        <f>CO485</f>
        <v>-2.9000000000000057</v>
      </c>
      <c r="T584" s="1213">
        <f>CQ485</f>
        <v>-0.59999999999999432</v>
      </c>
      <c r="U584" s="1213">
        <f t="shared" ref="U584:AA586" si="502">CS485</f>
        <v>0.59999999999999432</v>
      </c>
      <c r="V584" s="1213">
        <f t="shared" si="502"/>
        <v>-3</v>
      </c>
      <c r="W584" s="1213">
        <f t="shared" si="502"/>
        <v>-9.9999999999994316E-2</v>
      </c>
      <c r="X584" s="1213">
        <f t="shared" si="502"/>
        <v>0.70000000000000284</v>
      </c>
      <c r="Y584" s="1213">
        <f t="shared" si="502"/>
        <v>-0.70000000000000284</v>
      </c>
      <c r="Z584" s="1213">
        <f t="shared" si="502"/>
        <v>9.9999999999994316E-2</v>
      </c>
      <c r="AA584" s="1213">
        <f t="shared" si="502"/>
        <v>-9.9999999999994316E-2</v>
      </c>
      <c r="AB584" s="1213">
        <f>DA485</f>
        <v>-0.79999999999999716</v>
      </c>
      <c r="AC584" s="1213">
        <f>DC485</f>
        <v>0.5</v>
      </c>
      <c r="AD584" s="1213">
        <f>DE485</f>
        <v>-0.40000000000000568</v>
      </c>
      <c r="AE584" s="1213">
        <f>DG485</f>
        <v>-0.20000000000000284</v>
      </c>
      <c r="AF584" s="1213">
        <f>DI485</f>
        <v>-0.79999999999999716</v>
      </c>
      <c r="AG584" s="1213" t="e">
        <f>#REF!</f>
        <v>#REF!</v>
      </c>
      <c r="AH584" s="1213" t="e">
        <f>#REF!</f>
        <v>#REF!</v>
      </c>
    </row>
    <row r="585" spans="2:34">
      <c r="B585" s="1207" t="str">
        <f t="shared" si="494"/>
        <v>BB</v>
      </c>
      <c r="C585" s="1207">
        <f t="shared" si="497"/>
        <v>0.2</v>
      </c>
      <c r="D585" s="1207">
        <f t="shared" si="497"/>
        <v>0.40000000000000568</v>
      </c>
      <c r="E585" s="1207">
        <f>AQ486</f>
        <v>2.7999999999999972</v>
      </c>
      <c r="F585" s="1207" t="e">
        <f>#REF!</f>
        <v>#REF!</v>
      </c>
      <c r="G585" s="1207">
        <f>BN486</f>
        <v>-2.4000000000000057</v>
      </c>
      <c r="H585" s="1207">
        <f>BU486</f>
        <v>2.7999999999999972</v>
      </c>
      <c r="I585" s="1213">
        <f t="shared" si="498"/>
        <v>4.3999999999999915</v>
      </c>
      <c r="J585" s="1213">
        <f t="shared" si="498"/>
        <v>2.5</v>
      </c>
      <c r="K585" s="1213">
        <f t="shared" si="499"/>
        <v>1.6000000000000227</v>
      </c>
      <c r="L585" s="1213">
        <f t="shared" si="499"/>
        <v>0.5</v>
      </c>
      <c r="M585" s="1213">
        <f t="shared" si="500"/>
        <v>2.1999999999999833</v>
      </c>
      <c r="N585" s="1213">
        <f t="shared" si="500"/>
        <v>2</v>
      </c>
      <c r="O585" s="1213">
        <f>CH486</f>
        <v>3.8000000000000114</v>
      </c>
      <c r="P585" s="1213">
        <f>CJ486</f>
        <v>1.2999999999999829</v>
      </c>
      <c r="Q585" s="1213">
        <f t="shared" si="501"/>
        <v>4.3000000000000229</v>
      </c>
      <c r="R585" s="1213">
        <f t="shared" si="501"/>
        <v>3.6999999999999886</v>
      </c>
      <c r="S585" s="1213">
        <f>CO486</f>
        <v>-0.40000000000000568</v>
      </c>
      <c r="T585" s="1213">
        <f>CQ486</f>
        <v>2.0999999999999943</v>
      </c>
      <c r="U585" s="1213">
        <f t="shared" si="502"/>
        <v>4.1000000000000227</v>
      </c>
      <c r="V585" s="1213">
        <f t="shared" si="502"/>
        <v>3.1999999999999886</v>
      </c>
      <c r="W585" s="1213">
        <f t="shared" si="502"/>
        <v>-0.40000000000000568</v>
      </c>
      <c r="X585" s="1213">
        <f t="shared" si="502"/>
        <v>0.20000000000001705</v>
      </c>
      <c r="Y585" s="1213">
        <f t="shared" si="502"/>
        <v>2.8999999999999773</v>
      </c>
      <c r="Z585" s="1213">
        <f t="shared" si="502"/>
        <v>-0.59999999999999432</v>
      </c>
      <c r="AA585" s="1213">
        <f t="shared" si="502"/>
        <v>0.40000000000000568</v>
      </c>
      <c r="AB585" s="1213">
        <f>DA486</f>
        <v>2.1000000000000112</v>
      </c>
      <c r="AC585" s="1213">
        <f>DC486</f>
        <v>3.8999999999999773</v>
      </c>
      <c r="AD585" s="1213">
        <f>DE486</f>
        <v>2.9000000000000057</v>
      </c>
      <c r="AE585" s="1213">
        <f>DG486</f>
        <v>1.0999999999999943</v>
      </c>
      <c r="AF585" s="1213">
        <f>DI486</f>
        <v>0.60000000000002274</v>
      </c>
      <c r="AG585" s="1213" t="e">
        <f>#REF!</f>
        <v>#REF!</v>
      </c>
      <c r="AH585" s="1213" t="e">
        <f>#REF!</f>
        <v>#REF!</v>
      </c>
    </row>
    <row r="586" spans="2:34">
      <c r="B586" s="1207" t="str">
        <f t="shared" si="494"/>
        <v>Telephony</v>
      </c>
      <c r="C586" s="1207">
        <f t="shared" si="497"/>
        <v>-1.3</v>
      </c>
      <c r="D586" s="1207">
        <f t="shared" si="497"/>
        <v>-9.9000000000000057</v>
      </c>
      <c r="E586" s="1207">
        <f>AQ487</f>
        <v>-1.2000000000000028</v>
      </c>
      <c r="F586" s="1207" t="e">
        <f>#REF!</f>
        <v>#REF!</v>
      </c>
      <c r="G586" s="1207">
        <f>BN487</f>
        <v>-3</v>
      </c>
      <c r="H586" s="1207">
        <f>BU487</f>
        <v>-1.8000000000000114</v>
      </c>
      <c r="I586" s="1213">
        <f t="shared" si="498"/>
        <v>-3.2999999999999972</v>
      </c>
      <c r="J586" s="1213">
        <f t="shared" si="498"/>
        <v>-1.5</v>
      </c>
      <c r="K586" s="1213">
        <f t="shared" si="499"/>
        <v>-0.5</v>
      </c>
      <c r="L586" s="1213">
        <f t="shared" si="499"/>
        <v>-1.2999999999999972</v>
      </c>
      <c r="M586" s="1213">
        <f t="shared" si="500"/>
        <v>-0.30000000000000604</v>
      </c>
      <c r="N586" s="1213">
        <f t="shared" si="500"/>
        <v>0.5</v>
      </c>
      <c r="O586" s="1213">
        <f>CH487</f>
        <v>-1.1999999999999957</v>
      </c>
      <c r="P586" s="1213">
        <f>CJ487</f>
        <v>-0.69999999999998863</v>
      </c>
      <c r="Q586" s="1213">
        <f t="shared" si="501"/>
        <v>0</v>
      </c>
      <c r="R586" s="1213">
        <f t="shared" si="501"/>
        <v>0.20000000000000284</v>
      </c>
      <c r="S586" s="1213">
        <f>CO487</f>
        <v>-1.4000000000000057</v>
      </c>
      <c r="T586" s="1213">
        <f>CQ487</f>
        <v>-1</v>
      </c>
      <c r="U586" s="1213">
        <f t="shared" si="502"/>
        <v>-0.79999999999999716</v>
      </c>
      <c r="V586" s="1213">
        <f t="shared" si="502"/>
        <v>0.20000000000000284</v>
      </c>
      <c r="W586" s="1213">
        <f t="shared" si="502"/>
        <v>0.70000000000000284</v>
      </c>
      <c r="X586" s="1213">
        <f t="shared" si="502"/>
        <v>-3.5</v>
      </c>
      <c r="Y586" s="1213">
        <f t="shared" si="502"/>
        <v>-0.20000000000000284</v>
      </c>
      <c r="Z586" s="1213">
        <f t="shared" si="502"/>
        <v>-0.29999999999999716</v>
      </c>
      <c r="AA586" s="1213">
        <f t="shared" si="502"/>
        <v>-0.70000000000000284</v>
      </c>
      <c r="AB586" s="1213">
        <f>DA487</f>
        <v>-0.60000000000000853</v>
      </c>
      <c r="AC586" s="1213">
        <f>DC487</f>
        <v>0.40000000000000568</v>
      </c>
      <c r="AD586" s="1213">
        <f>DE487</f>
        <v>9.9999999999994316E-2</v>
      </c>
      <c r="AE586" s="1213">
        <f>DG487</f>
        <v>-1.3999999999999915</v>
      </c>
      <c r="AF586" s="1213">
        <f>DI487</f>
        <v>-1.2999999999999972</v>
      </c>
      <c r="AG586" s="1213" t="e">
        <f>#REF!</f>
        <v>#REF!</v>
      </c>
      <c r="AH586" s="1213" t="e">
        <f>#REF!</f>
        <v>#REF!</v>
      </c>
    </row>
    <row r="587" spans="2:34">
      <c r="B587" s="1207" t="str">
        <f t="shared" si="494"/>
        <v>Fixed RGUs</v>
      </c>
      <c r="C587" s="1207">
        <f t="shared" ref="C587:W587" si="503">SUM(C584:C586)</f>
        <v>-2.9000000000000004</v>
      </c>
      <c r="D587" s="1207">
        <f t="shared" si="503"/>
        <v>-8.6999999999999886</v>
      </c>
      <c r="E587" s="1207">
        <f t="shared" si="503"/>
        <v>-0.80000000000001137</v>
      </c>
      <c r="F587" s="1207" t="e">
        <f t="shared" si="503"/>
        <v>#REF!</v>
      </c>
      <c r="G587" s="1207">
        <f t="shared" si="503"/>
        <v>-10.500000000000014</v>
      </c>
      <c r="H587" s="1207">
        <f t="shared" si="503"/>
        <v>0.49999999999998579</v>
      </c>
      <c r="I587" s="1213">
        <f t="shared" si="503"/>
        <v>0.70000000000000284</v>
      </c>
      <c r="J587" s="1213">
        <f t="shared" si="503"/>
        <v>-0.30000000000001137</v>
      </c>
      <c r="K587" s="1213">
        <f t="shared" si="503"/>
        <v>1.4000000000000226</v>
      </c>
      <c r="L587" s="1213">
        <f t="shared" si="503"/>
        <v>-2.2999999999999972</v>
      </c>
      <c r="M587" s="1213">
        <f t="shared" si="503"/>
        <v>1.8999999999999773</v>
      </c>
      <c r="N587" s="1213">
        <f t="shared" si="503"/>
        <v>1.2999999999999972</v>
      </c>
      <c r="O587" s="1213">
        <f t="shared" si="503"/>
        <v>1.8000000000000131</v>
      </c>
      <c r="P587" s="1213">
        <f t="shared" si="503"/>
        <v>-0.10000000000000853</v>
      </c>
      <c r="Q587" s="1213">
        <f t="shared" si="503"/>
        <v>4.7000000000000197</v>
      </c>
      <c r="R587" s="1213">
        <f t="shared" si="503"/>
        <v>4</v>
      </c>
      <c r="S587" s="1213">
        <f t="shared" si="503"/>
        <v>-4.7000000000000171</v>
      </c>
      <c r="T587" s="1213">
        <f t="shared" si="503"/>
        <v>0.5</v>
      </c>
      <c r="U587" s="1213">
        <f t="shared" si="503"/>
        <v>3.9000000000000199</v>
      </c>
      <c r="V587" s="1213">
        <f t="shared" si="503"/>
        <v>0.39999999999999147</v>
      </c>
      <c r="W587" s="1213">
        <f t="shared" si="503"/>
        <v>0.20000000000000284</v>
      </c>
      <c r="X587" s="1213">
        <f t="shared" ref="X587:AD587" si="504">SUM(X584:X586)</f>
        <v>-2.5999999999999801</v>
      </c>
      <c r="Y587" s="1213">
        <f t="shared" si="504"/>
        <v>1.9999999999999716</v>
      </c>
      <c r="Z587" s="1213">
        <f t="shared" si="504"/>
        <v>-0.79999999999999716</v>
      </c>
      <c r="AA587" s="1213">
        <f t="shared" si="504"/>
        <v>-0.39999999999999147</v>
      </c>
      <c r="AB587" s="1213">
        <f t="shared" si="504"/>
        <v>0.70000000000000551</v>
      </c>
      <c r="AC587" s="1213">
        <f t="shared" si="504"/>
        <v>4.7999999999999829</v>
      </c>
      <c r="AD587" s="1213">
        <f t="shared" si="504"/>
        <v>2.5999999999999943</v>
      </c>
      <c r="AE587" s="1213">
        <f t="shared" ref="AE587" si="505">SUM(AE584:AE586)</f>
        <v>-0.5</v>
      </c>
      <c r="AF587" s="1213">
        <f>SUM(AF584:AF586)</f>
        <v>-1.4999999999999716</v>
      </c>
      <c r="AG587" s="1213" t="e">
        <f>SUM(AG584:AG586)</f>
        <v>#REF!</v>
      </c>
      <c r="AH587" s="1213" t="e">
        <f>SUM(AH584:AH586)</f>
        <v>#REF!</v>
      </c>
    </row>
    <row r="588" spans="2:34">
      <c r="B588" s="1207" t="s">
        <v>5</v>
      </c>
      <c r="C588" s="1207"/>
      <c r="D588" s="1207">
        <f>AP488</f>
        <v>0</v>
      </c>
      <c r="E588" s="1207">
        <f>AQ488</f>
        <v>19.899999999999977</v>
      </c>
      <c r="F588" s="1207" t="e">
        <f>#REF!</f>
        <v>#REF!</v>
      </c>
      <c r="G588" s="1207">
        <f>BN488</f>
        <v>-6</v>
      </c>
      <c r="H588" s="1207">
        <f>BU488</f>
        <v>3</v>
      </c>
      <c r="I588" s="1213">
        <f>BW488</f>
        <v>7</v>
      </c>
      <c r="J588" s="1213">
        <f>BX488</f>
        <v>-0.80000000000001137</v>
      </c>
      <c r="K588" s="1213">
        <f>CA488</f>
        <v>-2.8000000000000114</v>
      </c>
      <c r="L588" s="1213">
        <f>CB488</f>
        <v>-3.1999999999999886</v>
      </c>
      <c r="M588" s="1213">
        <f>CD488</f>
        <v>0</v>
      </c>
      <c r="N588" s="1213">
        <f>CE488</f>
        <v>-4.3999999999999773</v>
      </c>
      <c r="O588" s="1213">
        <f>CH488</f>
        <v>-3.4000000000000341</v>
      </c>
      <c r="P588" s="1213">
        <f>CJ488</f>
        <v>-2.5</v>
      </c>
      <c r="Q588" s="1213">
        <f>CM488</f>
        <v>15.700000000000031</v>
      </c>
      <c r="R588" s="1213">
        <f>CN488</f>
        <v>-7.1000000000000227</v>
      </c>
      <c r="S588" s="1213">
        <f>CO488</f>
        <v>-39.5</v>
      </c>
      <c r="T588" s="1213">
        <f>CQ488</f>
        <v>4.1000000000000227</v>
      </c>
      <c r="U588" s="1213">
        <f t="shared" ref="U588:AA588" si="506">CS488</f>
        <v>4.1999999999999886</v>
      </c>
      <c r="V588" s="1213">
        <f t="shared" si="506"/>
        <v>-3.3000000000000114</v>
      </c>
      <c r="W588" s="1213">
        <f t="shared" si="506"/>
        <v>2.6999999999999886</v>
      </c>
      <c r="X588" s="1213">
        <f t="shared" si="506"/>
        <v>0.40000000000003411</v>
      </c>
      <c r="Y588" s="1213">
        <f t="shared" si="506"/>
        <v>16.800000000000011</v>
      </c>
      <c r="Z588" s="1213">
        <f t="shared" si="506"/>
        <v>6.2999999999999545</v>
      </c>
      <c r="AA588" s="1213">
        <f t="shared" si="506"/>
        <v>-0.29999999999995453</v>
      </c>
      <c r="AB588" s="1213">
        <f>DA488</f>
        <v>0</v>
      </c>
      <c r="AC588" s="1213">
        <f>DC488</f>
        <v>11.699999999999989</v>
      </c>
      <c r="AD588" s="1213">
        <f>DE488</f>
        <v>5.6999999999999886</v>
      </c>
      <c r="AE588" s="1213">
        <f>DG488</f>
        <v>-3</v>
      </c>
      <c r="AF588" s="1213">
        <f>DI488</f>
        <v>2.8999999999999773</v>
      </c>
      <c r="AG588" s="1213" t="e">
        <f>#REF!</f>
        <v>#REF!</v>
      </c>
      <c r="AH588" s="1213" t="e">
        <f>#REF!</f>
        <v>#REF!</v>
      </c>
    </row>
    <row r="589" spans="2:34">
      <c r="B589" s="1207"/>
      <c r="C589" s="1207"/>
      <c r="D589" s="1207"/>
      <c r="E589" s="1207"/>
      <c r="F589" s="1207"/>
      <c r="G589" s="1207"/>
      <c r="H589" s="1207"/>
      <c r="I589" s="1207"/>
      <c r="J589" s="1207"/>
      <c r="K589" s="1207"/>
      <c r="L589" s="1207"/>
      <c r="M589" s="1207"/>
      <c r="N589" s="1207"/>
      <c r="O589" s="1203"/>
      <c r="P589" s="1203"/>
      <c r="Q589" s="1203"/>
      <c r="R589" s="1203"/>
      <c r="S589" s="1203"/>
      <c r="T589" s="1203"/>
      <c r="U589" s="1203"/>
      <c r="V589" s="1203"/>
      <c r="W589" s="1203"/>
      <c r="X589" s="1203"/>
      <c r="Y589" s="1203"/>
      <c r="Z589" s="1203"/>
      <c r="AA589" s="1203"/>
      <c r="AB589" s="1203"/>
      <c r="AC589" s="1207"/>
      <c r="AD589" s="1207"/>
      <c r="AE589" s="1207"/>
      <c r="AF589" s="1207"/>
      <c r="AG589" s="1207"/>
      <c r="AH589" s="1207"/>
    </row>
    <row r="590" spans="2:34">
      <c r="B590" s="1210" t="s">
        <v>6732</v>
      </c>
      <c r="C590" s="1206" t="str">
        <f t="shared" ref="C590:AB590" si="507">C537</f>
        <v>Q2 16</v>
      </c>
      <c r="D590" s="1206" t="str">
        <f t="shared" si="507"/>
        <v>Q3 16</v>
      </c>
      <c r="E590" s="1206" t="str">
        <f t="shared" si="507"/>
        <v>Q4 16</v>
      </c>
      <c r="F590" s="1206" t="str">
        <f t="shared" si="507"/>
        <v>Q1 17</v>
      </c>
      <c r="G590" s="1206" t="str">
        <f t="shared" si="507"/>
        <v>Q2 17</v>
      </c>
      <c r="H590" s="1206" t="str">
        <f t="shared" si="507"/>
        <v>Q3 17</v>
      </c>
      <c r="I590" s="1206" t="str">
        <f t="shared" si="507"/>
        <v>Q4 17</v>
      </c>
      <c r="J590" s="1206" t="str">
        <f t="shared" si="507"/>
        <v>Q1 18</v>
      </c>
      <c r="K590" s="1206" t="str">
        <f t="shared" si="507"/>
        <v>Q2 18</v>
      </c>
      <c r="L590" s="1206" t="str">
        <f t="shared" si="507"/>
        <v>Q3 18</v>
      </c>
      <c r="M590" s="1206" t="str">
        <f t="shared" si="507"/>
        <v>Q4 18</v>
      </c>
      <c r="N590" s="1206" t="str">
        <f t="shared" si="507"/>
        <v>Q1 19</v>
      </c>
      <c r="O590" s="1206" t="str">
        <f t="shared" si="507"/>
        <v>Q2 19</v>
      </c>
      <c r="P590" s="1206" t="str">
        <f t="shared" si="507"/>
        <v>Q3 19</v>
      </c>
      <c r="Q590" s="1206" t="str">
        <f t="shared" si="507"/>
        <v>Q4 19</v>
      </c>
      <c r="R590" s="1206" t="str">
        <f t="shared" si="507"/>
        <v>Q1 20</v>
      </c>
      <c r="S590" s="1206" t="str">
        <f t="shared" si="507"/>
        <v>Q2 20</v>
      </c>
      <c r="T590" s="1206" t="str">
        <f t="shared" si="507"/>
        <v>Q3 20</v>
      </c>
      <c r="U590" s="1206" t="str">
        <f t="shared" si="507"/>
        <v>Q4 20</v>
      </c>
      <c r="V590" s="1206" t="str">
        <f t="shared" si="507"/>
        <v>Q1 21</v>
      </c>
      <c r="W590" s="1206" t="str">
        <f t="shared" si="507"/>
        <v>Q2 21</v>
      </c>
      <c r="X590" s="1206" t="str">
        <f t="shared" si="507"/>
        <v>Q3 21</v>
      </c>
      <c r="Y590" s="1206" t="str">
        <f t="shared" si="507"/>
        <v>Q4 21</v>
      </c>
      <c r="Z590" s="1206" t="str">
        <f t="shared" si="507"/>
        <v>Q1 22</v>
      </c>
      <c r="AA590" s="1206" t="str">
        <f t="shared" si="507"/>
        <v>Q2 22</v>
      </c>
      <c r="AB590" s="1206" t="str">
        <f t="shared" si="507"/>
        <v>Q3 22</v>
      </c>
      <c r="AC590" s="1206" t="str">
        <f t="shared" ref="AC590:AD590" si="508">AC537</f>
        <v>Q4 22</v>
      </c>
      <c r="AD590" s="1206" t="str">
        <f t="shared" si="508"/>
        <v>Q1 23</v>
      </c>
      <c r="AE590" s="1206" t="str">
        <f t="shared" ref="AE590:AF590" si="509">AE537</f>
        <v>Q2 23</v>
      </c>
      <c r="AF590" s="1206" t="str">
        <f t="shared" si="509"/>
        <v>Q3 23</v>
      </c>
      <c r="AG590" s="1206" t="str">
        <f t="shared" ref="AG590:AH590" si="510">AG537</f>
        <v>Q4 23</v>
      </c>
      <c r="AH590" s="1206" t="str">
        <f t="shared" si="510"/>
        <v>Q1 24</v>
      </c>
    </row>
    <row r="591" spans="2:34">
      <c r="B591" s="1207" t="str">
        <f>B582</f>
        <v>Two-way homes passed</v>
      </c>
      <c r="C591" s="1218">
        <f t="shared" ref="C591:Q591" si="511">C556+C564+C573+C582</f>
        <v>0</v>
      </c>
      <c r="D591" s="1218">
        <f t="shared" si="511"/>
        <v>0.10000000000002274</v>
      </c>
      <c r="E591" s="1218">
        <f t="shared" si="511"/>
        <v>14.400000000000006</v>
      </c>
      <c r="F591" s="1218" t="e">
        <f t="shared" si="511"/>
        <v>#REF!</v>
      </c>
      <c r="G591" s="1218">
        <f t="shared" si="511"/>
        <v>1.7999999999999829</v>
      </c>
      <c r="H591" s="1218">
        <f t="shared" si="511"/>
        <v>6.2999999999999972</v>
      </c>
      <c r="I591" s="1218">
        <f t="shared" si="511"/>
        <v>4.300000000000054</v>
      </c>
      <c r="J591" s="1218">
        <f t="shared" si="511"/>
        <v>2.1999999999999886</v>
      </c>
      <c r="K591" s="1218">
        <f t="shared" si="511"/>
        <v>3.5</v>
      </c>
      <c r="L591" s="1218">
        <f t="shared" si="511"/>
        <v>1.7000000000000028</v>
      </c>
      <c r="M591" s="1218">
        <f t="shared" si="511"/>
        <v>1.5999999999999659</v>
      </c>
      <c r="N591" s="1218">
        <f t="shared" si="511"/>
        <v>2.8000000000000682</v>
      </c>
      <c r="O591" s="1218">
        <f t="shared" si="511"/>
        <v>1.1999999999999886</v>
      </c>
      <c r="P591" s="1218">
        <f t="shared" si="511"/>
        <v>1.5999999999999659</v>
      </c>
      <c r="Q591" s="1218">
        <f t="shared" si="511"/>
        <v>15.500000000000014</v>
      </c>
      <c r="R591" s="1218">
        <f t="shared" ref="R591:AD591" si="512">R556+R564+R573+R582</f>
        <v>-7.4000000000000341</v>
      </c>
      <c r="S591" s="1218">
        <f t="shared" si="512"/>
        <v>1.5</v>
      </c>
      <c r="T591" s="1218">
        <f t="shared" si="512"/>
        <v>1.4000000000000341</v>
      </c>
      <c r="U591" s="1218">
        <f t="shared" si="512"/>
        <v>1.5</v>
      </c>
      <c r="V591" s="1218">
        <f t="shared" si="512"/>
        <v>2.5</v>
      </c>
      <c r="W591" s="1218">
        <f t="shared" si="512"/>
        <v>21.199999999999989</v>
      </c>
      <c r="X591" s="1218">
        <f t="shared" si="512"/>
        <v>-19.600000000000023</v>
      </c>
      <c r="Y591" s="1218">
        <f t="shared" si="512"/>
        <v>3.2000000000000455</v>
      </c>
      <c r="Z591" s="1218">
        <f t="shared" si="512"/>
        <v>5.3000000000000114</v>
      </c>
      <c r="AA591" s="1218">
        <f t="shared" si="512"/>
        <v>10.899999999999977</v>
      </c>
      <c r="AB591" s="1218">
        <f t="shared" si="512"/>
        <v>2.0999999999999659</v>
      </c>
      <c r="AC591" s="1218">
        <f t="shared" si="512"/>
        <v>5.9000000000000341</v>
      </c>
      <c r="AD591" s="1218">
        <f t="shared" si="512"/>
        <v>6.7999999999999545</v>
      </c>
      <c r="AE591" s="1218">
        <f t="shared" ref="AE591:AF591" si="513">AE556+AE564+AE573+AE582</f>
        <v>-9.9999999999954348E-2</v>
      </c>
      <c r="AF591" s="1218">
        <f t="shared" si="513"/>
        <v>7.5999999999999659</v>
      </c>
      <c r="AG591" s="1218" t="e">
        <f t="shared" ref="AG591:AH591" si="514">AG556+AG564+AG573+AG582</f>
        <v>#REF!</v>
      </c>
      <c r="AH591" s="1218" t="e">
        <f t="shared" si="514"/>
        <v>#REF!</v>
      </c>
    </row>
    <row r="592" spans="2:34">
      <c r="B592" s="1207" t="str">
        <f>B583</f>
        <v>Customer relationships</v>
      </c>
      <c r="C592" s="1218">
        <f t="shared" ref="C592:Q592" si="515">C557+C565+C574+C583</f>
        <v>-5.0999999999999996</v>
      </c>
      <c r="D592" s="1218">
        <f t="shared" si="515"/>
        <v>-29.40000000000002</v>
      </c>
      <c r="E592" s="1218">
        <f t="shared" si="515"/>
        <v>-5.8999999999999773</v>
      </c>
      <c r="F592" s="1218" t="e">
        <f t="shared" si="515"/>
        <v>#REF!</v>
      </c>
      <c r="G592" s="1218">
        <f t="shared" si="515"/>
        <v>-6.0000000000000142</v>
      </c>
      <c r="H592" s="1218">
        <f t="shared" si="515"/>
        <v>-18.599999999999994</v>
      </c>
      <c r="I592" s="1218">
        <f t="shared" si="515"/>
        <v>-1.4999999999999787</v>
      </c>
      <c r="J592" s="1218">
        <f t="shared" si="515"/>
        <v>-2.0000000000000071</v>
      </c>
      <c r="K592" s="1218">
        <f t="shared" si="515"/>
        <v>1.2999999999999856</v>
      </c>
      <c r="L592" s="1218">
        <f t="shared" si="515"/>
        <v>-0.79999999999997584</v>
      </c>
      <c r="M592" s="1218">
        <f t="shared" si="515"/>
        <v>-0.1000000000000103</v>
      </c>
      <c r="N592" s="1218">
        <f t="shared" si="515"/>
        <v>0.69999999999997442</v>
      </c>
      <c r="O592" s="1218">
        <f t="shared" si="515"/>
        <v>0</v>
      </c>
      <c r="P592" s="1218">
        <f t="shared" si="515"/>
        <v>-0.19999999999996732</v>
      </c>
      <c r="Q592" s="1218">
        <f t="shared" si="515"/>
        <v>2.0999999999999925</v>
      </c>
      <c r="R592" s="1218">
        <f t="shared" ref="R592:AD592" si="516">R557+R565+R574+R583</f>
        <v>-6.5000000000000213</v>
      </c>
      <c r="S592" s="1218">
        <f t="shared" si="516"/>
        <v>-6.8999999999999844</v>
      </c>
      <c r="T592" s="1218">
        <f t="shared" si="516"/>
        <v>-5.7999999999999901</v>
      </c>
      <c r="U592" s="1218">
        <f t="shared" si="516"/>
        <v>-0.40000000000000568</v>
      </c>
      <c r="V592" s="1218">
        <f t="shared" si="516"/>
        <v>-2.0000000000000284</v>
      </c>
      <c r="W592" s="1218">
        <f t="shared" si="516"/>
        <v>0.20000000000000995</v>
      </c>
      <c r="X592" s="1218">
        <f t="shared" si="516"/>
        <v>-3.6999999999999957</v>
      </c>
      <c r="Y592" s="1218">
        <f t="shared" si="516"/>
        <v>1.1000000000000014</v>
      </c>
      <c r="Z592" s="1218">
        <f t="shared" si="516"/>
        <v>-6.4999999999999787</v>
      </c>
      <c r="AA592" s="1218">
        <f t="shared" si="516"/>
        <v>-4.8000000000000114</v>
      </c>
      <c r="AB592" s="1218">
        <f t="shared" si="516"/>
        <v>3.4000000000000115</v>
      </c>
      <c r="AC592" s="1218">
        <f t="shared" si="516"/>
        <v>-5.6000000000000334</v>
      </c>
      <c r="AD592" s="1218">
        <f t="shared" si="516"/>
        <v>-3.6999999999999815</v>
      </c>
      <c r="AE592" s="1218">
        <f t="shared" ref="AE592:AF592" si="517">AE557+AE565+AE574+AE583</f>
        <v>-1.1000000000000298</v>
      </c>
      <c r="AF592" s="1218">
        <f t="shared" si="517"/>
        <v>-0.19999999999996732</v>
      </c>
      <c r="AG592" s="1218" t="e">
        <f t="shared" ref="AG592:AH592" si="518">AG557+AG565+AG574+AG583</f>
        <v>#REF!</v>
      </c>
      <c r="AH592" s="1218" t="e">
        <f t="shared" si="518"/>
        <v>#REF!</v>
      </c>
    </row>
    <row r="593" spans="2:34">
      <c r="B593" s="1207"/>
      <c r="C593" s="1218"/>
      <c r="D593" s="1218"/>
      <c r="E593" s="1218"/>
      <c r="F593" s="1218"/>
      <c r="G593" s="1218"/>
      <c r="H593" s="1218"/>
      <c r="I593" s="1218"/>
      <c r="J593" s="1218"/>
      <c r="K593" s="1218"/>
      <c r="L593" s="1218"/>
      <c r="M593" s="1218"/>
      <c r="N593" s="1218"/>
      <c r="O593" s="1218"/>
      <c r="P593" s="1218"/>
      <c r="Q593" s="1218"/>
      <c r="R593" s="1218"/>
      <c r="S593" s="1218"/>
      <c r="T593" s="1218"/>
      <c r="U593" s="1218"/>
      <c r="V593" s="1218"/>
      <c r="W593" s="1218"/>
      <c r="X593" s="1218"/>
      <c r="Y593" s="1218"/>
      <c r="Z593" s="1218"/>
      <c r="AA593" s="1218"/>
      <c r="AB593" s="1218"/>
      <c r="AC593" s="1218"/>
      <c r="AD593" s="1218"/>
      <c r="AE593" s="1218"/>
      <c r="AF593" s="1218"/>
      <c r="AG593" s="1218"/>
      <c r="AH593" s="1218"/>
    </row>
    <row r="594" spans="2:34">
      <c r="B594" s="1207" t="str">
        <f>B584</f>
        <v>Video</v>
      </c>
      <c r="C594" s="1218">
        <f t="shared" ref="C594:Q594" si="519">C558+C566+C575+C584</f>
        <v>-4.1000000000000005</v>
      </c>
      <c r="D594" s="1218">
        <f t="shared" si="519"/>
        <v>-13.299999999999994</v>
      </c>
      <c r="E594" s="1218">
        <f t="shared" si="519"/>
        <v>-7.599999999999997</v>
      </c>
      <c r="F594" s="1218" t="e">
        <f t="shared" si="519"/>
        <v>#REF!</v>
      </c>
      <c r="G594" s="1218">
        <f t="shared" si="519"/>
        <v>-6.5000000000000115</v>
      </c>
      <c r="H594" s="1218">
        <f t="shared" si="519"/>
        <v>-3.9999999999999947</v>
      </c>
      <c r="I594" s="1218">
        <f t="shared" si="519"/>
        <v>-9.9999999999984546E-2</v>
      </c>
      <c r="J594" s="1218">
        <f t="shared" si="519"/>
        <v>0.19999999999998064</v>
      </c>
      <c r="K594" s="1218">
        <f t="shared" si="519"/>
        <v>1.2000000000000064</v>
      </c>
      <c r="L594" s="1218">
        <f t="shared" si="519"/>
        <v>-0.99999999999999822</v>
      </c>
      <c r="M594" s="1218">
        <f t="shared" si="519"/>
        <v>1.0999999999999934</v>
      </c>
      <c r="N594" s="1218">
        <f t="shared" si="519"/>
        <v>-1.0999999999999979</v>
      </c>
      <c r="O594" s="1218">
        <f t="shared" si="519"/>
        <v>2.599999999999989</v>
      </c>
      <c r="P594" s="1218">
        <f t="shared" si="519"/>
        <v>3.1000000000000032</v>
      </c>
      <c r="Q594" s="1218">
        <f t="shared" si="519"/>
        <v>3.699999999999994</v>
      </c>
      <c r="R594" s="1218">
        <f t="shared" ref="R594:AD594" si="520">R558+R566+R575+R584</f>
        <v>0.70000000000000728</v>
      </c>
      <c r="S594" s="1218">
        <f t="shared" si="520"/>
        <v>-3.7999999999999989</v>
      </c>
      <c r="T594" s="1218">
        <f t="shared" si="520"/>
        <v>-0.39999999999999947</v>
      </c>
      <c r="U594" s="1218">
        <f t="shared" si="520"/>
        <v>2.1000000000000014</v>
      </c>
      <c r="V594" s="1218">
        <f t="shared" si="520"/>
        <v>-1.7000000000000046</v>
      </c>
      <c r="W594" s="1218">
        <f t="shared" si="520"/>
        <v>0.69999999999999929</v>
      </c>
      <c r="X594" s="1218">
        <f t="shared" si="520"/>
        <v>1.4000000000000092</v>
      </c>
      <c r="Y594" s="1218">
        <f t="shared" si="520"/>
        <v>-0.30000000000000249</v>
      </c>
      <c r="Z594" s="1218">
        <f t="shared" si="520"/>
        <v>1.5999999999999908</v>
      </c>
      <c r="AA594" s="1218">
        <f t="shared" si="520"/>
        <v>-2.1999999999999886</v>
      </c>
      <c r="AB594" s="1218">
        <f t="shared" si="520"/>
        <v>-0.99999999999999289</v>
      </c>
      <c r="AC594" s="1218">
        <f t="shared" si="520"/>
        <v>-1.1546319456101628E-14</v>
      </c>
      <c r="AD594" s="1218">
        <f t="shared" si="520"/>
        <v>0.20000000000000018</v>
      </c>
      <c r="AE594" s="1218">
        <f t="shared" ref="AE594:AF594" si="521">AE558+AE566+AE575+AE584</f>
        <v>0.29999999999999627</v>
      </c>
      <c r="AF594" s="1218">
        <f t="shared" si="521"/>
        <v>-2.5999999999999934</v>
      </c>
      <c r="AG594" s="1218" t="e">
        <f t="shared" ref="AG594:AH594" si="522">AG558+AG566+AG575+AG584</f>
        <v>#REF!</v>
      </c>
      <c r="AH594" s="1218" t="e">
        <f t="shared" si="522"/>
        <v>#REF!</v>
      </c>
    </row>
    <row r="595" spans="2:34">
      <c r="B595" s="1207" t="str">
        <f>B585</f>
        <v>BB</v>
      </c>
      <c r="C595" s="1218">
        <f t="shared" ref="C595:Q595" si="523">C559+C567+C576+C585</f>
        <v>0.60000000000000009</v>
      </c>
      <c r="D595" s="1218">
        <f t="shared" si="523"/>
        <v>-9.4000000000000021</v>
      </c>
      <c r="E595" s="1218">
        <f t="shared" si="523"/>
        <v>0.79999999999999716</v>
      </c>
      <c r="F595" s="1218" t="e">
        <f t="shared" si="523"/>
        <v>#REF!</v>
      </c>
      <c r="G595" s="1218">
        <f t="shared" si="523"/>
        <v>-3.2000000000000028</v>
      </c>
      <c r="H595" s="1218">
        <f t="shared" si="523"/>
        <v>0.69999999999999574</v>
      </c>
      <c r="I595" s="1218">
        <f t="shared" si="523"/>
        <v>6.8999999999999879</v>
      </c>
      <c r="J595" s="1218">
        <f t="shared" si="523"/>
        <v>4.7000000000000028</v>
      </c>
      <c r="K595" s="1218">
        <f t="shared" si="523"/>
        <v>3.1000000000000227</v>
      </c>
      <c r="L595" s="1218">
        <f t="shared" si="523"/>
        <v>1.2000000000000028</v>
      </c>
      <c r="M595" s="1218">
        <f t="shared" si="523"/>
        <v>5.1999999999999691</v>
      </c>
      <c r="N595" s="1218">
        <f t="shared" si="523"/>
        <v>4.0000000000000036</v>
      </c>
      <c r="O595" s="1218">
        <f t="shared" si="523"/>
        <v>5.0000000000000142</v>
      </c>
      <c r="P595" s="1218">
        <f t="shared" si="523"/>
        <v>3.8999999999999879</v>
      </c>
      <c r="Q595" s="1218">
        <f t="shared" si="523"/>
        <v>8.8000000000000114</v>
      </c>
      <c r="R595" s="1218">
        <f t="shared" ref="R595:AD595" si="524">R559+R567+R576+R585</f>
        <v>2.2000000000000028</v>
      </c>
      <c r="S595" s="1218">
        <f t="shared" si="524"/>
        <v>-0.40000000000001634</v>
      </c>
      <c r="T595" s="1218">
        <f t="shared" si="524"/>
        <v>4.4000000000000057</v>
      </c>
      <c r="U595" s="1218">
        <f t="shared" si="524"/>
        <v>8.6000000000000156</v>
      </c>
      <c r="V595" s="1218">
        <f t="shared" si="524"/>
        <v>6.8999999999999879</v>
      </c>
      <c r="W595" s="1218">
        <f t="shared" si="524"/>
        <v>1.8000000000000007</v>
      </c>
      <c r="X595" s="1218">
        <f t="shared" si="524"/>
        <v>3.4000000000000234</v>
      </c>
      <c r="Y595" s="1218">
        <f t="shared" si="524"/>
        <v>4.199999999999978</v>
      </c>
      <c r="Z595" s="1218">
        <f t="shared" si="524"/>
        <v>1.0999999999999908</v>
      </c>
      <c r="AA595" s="1218">
        <f t="shared" si="524"/>
        <v>0.10000000000001208</v>
      </c>
      <c r="AB595" s="1218">
        <f t="shared" si="524"/>
        <v>2.2000000000000126</v>
      </c>
      <c r="AC595" s="1218">
        <f t="shared" si="524"/>
        <v>3.599999999999989</v>
      </c>
      <c r="AD595" s="1218">
        <f t="shared" si="524"/>
        <v>3.0999999999999837</v>
      </c>
      <c r="AE595" s="1218">
        <f t="shared" ref="AE595:AF595" si="525">AE559+AE567+AE576+AE585</f>
        <v>0.70000000000000639</v>
      </c>
      <c r="AF595" s="1218">
        <f t="shared" si="525"/>
        <v>-0.59999999999999432</v>
      </c>
      <c r="AG595" s="1218" t="e">
        <f t="shared" ref="AG595:AH595" si="526">AG559+AG567+AG576+AG585</f>
        <v>#REF!</v>
      </c>
      <c r="AH595" s="1218" t="e">
        <f t="shared" si="526"/>
        <v>#REF!</v>
      </c>
    </row>
    <row r="596" spans="2:34">
      <c r="B596" s="1211" t="str">
        <f>B586</f>
        <v>Telephony</v>
      </c>
      <c r="C596" s="1209">
        <f t="shared" ref="C596:Q596" si="527">C560+C568+C577+C586</f>
        <v>-0.60000000000000009</v>
      </c>
      <c r="D596" s="1209">
        <f t="shared" si="527"/>
        <v>-16</v>
      </c>
      <c r="E596" s="1209">
        <f t="shared" si="527"/>
        <v>0.19999999999998508</v>
      </c>
      <c r="F596" s="1209" t="e">
        <f t="shared" si="527"/>
        <v>#REF!</v>
      </c>
      <c r="G596" s="1209">
        <f t="shared" si="527"/>
        <v>-3.0000000000000071</v>
      </c>
      <c r="H596" s="1209">
        <f t="shared" si="527"/>
        <v>1.1999999999999957</v>
      </c>
      <c r="I596" s="1209">
        <f t="shared" si="527"/>
        <v>-1.9000000000000057</v>
      </c>
      <c r="J596" s="1209">
        <f t="shared" si="527"/>
        <v>2.4000000000000057</v>
      </c>
      <c r="K596" s="1209">
        <f t="shared" si="527"/>
        <v>3.8999999999999986</v>
      </c>
      <c r="L596" s="1209">
        <f t="shared" si="527"/>
        <v>1</v>
      </c>
      <c r="M596" s="1209">
        <f t="shared" si="527"/>
        <v>0.60000000000000675</v>
      </c>
      <c r="N596" s="1209">
        <f t="shared" si="527"/>
        <v>4.3999999999999844</v>
      </c>
      <c r="O596" s="1209">
        <f t="shared" si="527"/>
        <v>1.9000000000000057</v>
      </c>
      <c r="P596" s="1209">
        <f t="shared" si="527"/>
        <v>1.6000000000000298</v>
      </c>
      <c r="Q596" s="1209">
        <f t="shared" si="527"/>
        <v>4.1999999999999886</v>
      </c>
      <c r="R596" s="1209">
        <f t="shared" ref="R596:AD596" si="528">R560+R568+R577+R586</f>
        <v>-3.5</v>
      </c>
      <c r="S596" s="1209">
        <f t="shared" si="528"/>
        <v>-3</v>
      </c>
      <c r="T596" s="1209">
        <f t="shared" si="528"/>
        <v>-2.0000000000000071</v>
      </c>
      <c r="U596" s="1209">
        <f t="shared" si="528"/>
        <v>0.20000000000000284</v>
      </c>
      <c r="V596" s="1209">
        <f t="shared" si="528"/>
        <v>0.50000000000000711</v>
      </c>
      <c r="W596" s="1209">
        <f t="shared" si="528"/>
        <v>2.8999999999999986</v>
      </c>
      <c r="X596" s="1209">
        <f t="shared" si="528"/>
        <v>-4.1999999999999886</v>
      </c>
      <c r="Y596" s="1209">
        <f t="shared" si="528"/>
        <v>-2.2000000000000099</v>
      </c>
      <c r="Z596" s="1209">
        <f t="shared" si="528"/>
        <v>1.5999999999999943</v>
      </c>
      <c r="AA596" s="1209">
        <f t="shared" si="528"/>
        <v>0.39999999999999858</v>
      </c>
      <c r="AB596" s="1209">
        <f t="shared" si="528"/>
        <v>0</v>
      </c>
      <c r="AC596" s="1209">
        <f t="shared" si="528"/>
        <v>5.773159728050814E-15</v>
      </c>
      <c r="AD596" s="1209">
        <f t="shared" si="528"/>
        <v>1.2999999999999901</v>
      </c>
      <c r="AE596" s="1209">
        <f t="shared" ref="AE596:AF596" si="529">AE560+AE568+AE577+AE586</f>
        <v>-2.1999999999999886</v>
      </c>
      <c r="AF596" s="1209">
        <f t="shared" si="529"/>
        <v>-3.2999999999999901</v>
      </c>
      <c r="AG596" s="1209" t="e">
        <f t="shared" ref="AG596:AH596" si="530">AG560+AG568+AG577+AG586</f>
        <v>#REF!</v>
      </c>
      <c r="AH596" s="1209" t="e">
        <f t="shared" si="530"/>
        <v>#REF!</v>
      </c>
    </row>
    <row r="597" spans="2:34">
      <c r="B597" s="1207" t="s">
        <v>2574</v>
      </c>
      <c r="C597" s="1218">
        <f t="shared" ref="C597:Q597" si="531">C561+C569+C578+C587</f>
        <v>-4.1000000000000005</v>
      </c>
      <c r="D597" s="1218">
        <f t="shared" si="531"/>
        <v>-38.699999999999996</v>
      </c>
      <c r="E597" s="1218">
        <f t="shared" si="531"/>
        <v>-6.6000000000000147</v>
      </c>
      <c r="F597" s="1218" t="e">
        <f t="shared" si="531"/>
        <v>#REF!</v>
      </c>
      <c r="G597" s="1218">
        <f t="shared" si="531"/>
        <v>-12.700000000000021</v>
      </c>
      <c r="H597" s="1218">
        <f t="shared" si="531"/>
        <v>-2.1000000000000032</v>
      </c>
      <c r="I597" s="1218">
        <f t="shared" si="531"/>
        <v>4.8999999999999977</v>
      </c>
      <c r="J597" s="1218">
        <f t="shared" si="531"/>
        <v>7.2999999999999892</v>
      </c>
      <c r="K597" s="1218">
        <f t="shared" si="531"/>
        <v>8.2000000000000277</v>
      </c>
      <c r="L597" s="1218">
        <f t="shared" si="531"/>
        <v>1.2000000000000046</v>
      </c>
      <c r="M597" s="1218">
        <f t="shared" si="531"/>
        <v>6.8999999999999693</v>
      </c>
      <c r="N597" s="1218">
        <f t="shared" si="531"/>
        <v>7.2999999999999901</v>
      </c>
      <c r="O597" s="1218">
        <f t="shared" si="531"/>
        <v>9.5000000000000089</v>
      </c>
      <c r="P597" s="1218">
        <f t="shared" si="531"/>
        <v>8.600000000000021</v>
      </c>
      <c r="Q597" s="1218">
        <f t="shared" si="531"/>
        <v>16.699999999999996</v>
      </c>
      <c r="R597" s="1218">
        <f t="shared" ref="R597:AD597" si="532">R561+R569+R578+R587</f>
        <v>-0.59999999999999076</v>
      </c>
      <c r="S597" s="1218">
        <f t="shared" si="532"/>
        <v>-7.2000000000000153</v>
      </c>
      <c r="T597" s="1218">
        <f t="shared" si="532"/>
        <v>1.9999999999999991</v>
      </c>
      <c r="U597" s="1218">
        <f t="shared" si="532"/>
        <v>10.90000000000002</v>
      </c>
      <c r="V597" s="1218">
        <f t="shared" si="532"/>
        <v>5.6999999999999904</v>
      </c>
      <c r="W597" s="1218">
        <f t="shared" si="532"/>
        <v>5.3999999999999986</v>
      </c>
      <c r="X597" s="1218">
        <f t="shared" si="532"/>
        <v>0.60000000000004405</v>
      </c>
      <c r="Y597" s="1218">
        <f t="shared" si="532"/>
        <v>1.6999999999999655</v>
      </c>
      <c r="Z597" s="1218">
        <f t="shared" si="532"/>
        <v>4.2999999999999758</v>
      </c>
      <c r="AA597" s="1218">
        <f t="shared" si="532"/>
        <v>-1.699999999999978</v>
      </c>
      <c r="AB597" s="1218">
        <f t="shared" si="532"/>
        <v>1.2000000000000197</v>
      </c>
      <c r="AC597" s="1218">
        <f t="shared" si="532"/>
        <v>3.5999999999999832</v>
      </c>
      <c r="AD597" s="1218">
        <f t="shared" si="532"/>
        <v>4.5999999999999739</v>
      </c>
      <c r="AE597" s="1218">
        <f t="shared" ref="AE597:AF597" si="533">AE561+AE569+AE578+AE587</f>
        <v>-1.199999999999986</v>
      </c>
      <c r="AF597" s="1218">
        <f t="shared" si="533"/>
        <v>-6.4999999999999778</v>
      </c>
      <c r="AG597" s="1218" t="e">
        <f t="shared" ref="AG597:AH597" si="534">AG561+AG569+AG578+AG587</f>
        <v>#REF!</v>
      </c>
      <c r="AH597" s="1218" t="e">
        <f t="shared" si="534"/>
        <v>#REF!</v>
      </c>
    </row>
    <row r="598" spans="2:34">
      <c r="B598" s="1207"/>
      <c r="C598" s="1207"/>
      <c r="D598" s="1207"/>
      <c r="E598" s="1207"/>
      <c r="F598" s="1207"/>
      <c r="G598" s="1207"/>
      <c r="H598" s="1207"/>
      <c r="I598" s="1207"/>
      <c r="J598" s="1207"/>
      <c r="K598" s="1207"/>
      <c r="L598" s="1207"/>
      <c r="M598" s="1207"/>
      <c r="N598" s="1207"/>
      <c r="O598" s="1207"/>
      <c r="P598" s="1203"/>
      <c r="Q598" s="1203"/>
      <c r="R598" s="1203"/>
      <c r="S598" s="1203"/>
      <c r="T598" s="1203"/>
      <c r="U598" s="1203"/>
      <c r="V598" s="1203"/>
      <c r="W598" s="1203"/>
      <c r="X598" s="1203"/>
      <c r="Y598" s="1203"/>
      <c r="Z598" s="1203"/>
      <c r="AA598" s="1203"/>
      <c r="AB598" s="1203"/>
      <c r="AC598" s="1207">
        <f t="shared" ref="AC598" si="535">AC589</f>
        <v>0</v>
      </c>
      <c r="AD598" s="1207">
        <f t="shared" ref="AD598:AE598" si="536">AD589</f>
        <v>0</v>
      </c>
      <c r="AE598" s="1207">
        <f t="shared" si="536"/>
        <v>0</v>
      </c>
      <c r="AF598" s="1207">
        <f t="shared" ref="AF598:AG598" si="537">AF589</f>
        <v>0</v>
      </c>
      <c r="AG598" s="1207">
        <f t="shared" si="537"/>
        <v>0</v>
      </c>
      <c r="AH598" s="1207">
        <f t="shared" ref="AH598" si="538">AH589</f>
        <v>0</v>
      </c>
    </row>
    <row r="599" spans="2:34">
      <c r="B599" s="1207" t="s">
        <v>5</v>
      </c>
      <c r="C599" s="1207"/>
      <c r="D599" s="1207">
        <f t="shared" ref="D599:P599" si="539">D544+D553+D570+D579+D588</f>
        <v>0</v>
      </c>
      <c r="E599" s="1207" t="e">
        <f t="shared" si="539"/>
        <v>#REF!</v>
      </c>
      <c r="F599" s="1207" t="e">
        <f t="shared" si="539"/>
        <v>#REF!</v>
      </c>
      <c r="G599" s="1207">
        <f t="shared" si="539"/>
        <v>-48.200000000000081</v>
      </c>
      <c r="H599" s="1207">
        <f t="shared" si="539"/>
        <v>-42.899999999999849</v>
      </c>
      <c r="I599" s="1207">
        <f t="shared" si="539"/>
        <v>-41.900000000000063</v>
      </c>
      <c r="J599" s="1207">
        <f t="shared" si="539"/>
        <v>-19.799999999999926</v>
      </c>
      <c r="K599" s="1207">
        <f t="shared" si="539"/>
        <v>-85.500000000000071</v>
      </c>
      <c r="L599" s="1207">
        <f t="shared" si="539"/>
        <v>-46.800000000000097</v>
      </c>
      <c r="M599" s="1207">
        <f t="shared" si="539"/>
        <v>-17.699999999999847</v>
      </c>
      <c r="N599" s="1207">
        <f t="shared" si="539"/>
        <v>11.799999999999955</v>
      </c>
      <c r="O599" s="1207">
        <f t="shared" si="539"/>
        <v>23.300000000000054</v>
      </c>
      <c r="P599" s="1207">
        <f t="shared" si="539"/>
        <v>-1.9000000000000341</v>
      </c>
      <c r="Q599" s="1213">
        <f>Q553+Q570+Q579+Q588</f>
        <v>63.299999999999969</v>
      </c>
      <c r="R599" s="1207">
        <f t="shared" ref="R599:Y599" si="540">R544+R553+R570+R579+R588</f>
        <v>-42.799999999999883</v>
      </c>
      <c r="S599" s="1213">
        <f t="shared" si="540"/>
        <v>-306.80000000000007</v>
      </c>
      <c r="T599" s="1207">
        <f t="shared" si="540"/>
        <v>79.399999999999963</v>
      </c>
      <c r="U599" s="1207">
        <f t="shared" si="540"/>
        <v>60.900000000000119</v>
      </c>
      <c r="V599" s="1207">
        <f t="shared" si="540"/>
        <v>63.199999999999932</v>
      </c>
      <c r="W599" s="1213">
        <f t="shared" si="540"/>
        <v>118.19999999999986</v>
      </c>
      <c r="X599" s="1213">
        <f t="shared" si="540"/>
        <v>47.500000000000085</v>
      </c>
      <c r="Y599" s="1213">
        <f t="shared" si="540"/>
        <v>156.30000000000018</v>
      </c>
      <c r="Z599" s="1213">
        <f t="shared" ref="Z599:AF599" si="541">Z544+Z553+Z570+Z579+Z588</f>
        <v>-75.200000000000017</v>
      </c>
      <c r="AA599" s="1213">
        <f t="shared" si="541"/>
        <v>-126.80000000000005</v>
      </c>
      <c r="AB599" s="1213">
        <f t="shared" si="541"/>
        <v>66.700000000000159</v>
      </c>
      <c r="AC599" s="1213">
        <f t="shared" si="541"/>
        <v>-5.800000000000054</v>
      </c>
      <c r="AD599" s="1213">
        <f t="shared" si="541"/>
        <v>-44.2</v>
      </c>
      <c r="AE599" s="1213">
        <f t="shared" si="541"/>
        <v>-54.600000000000094</v>
      </c>
      <c r="AF599" s="1213">
        <f t="shared" si="541"/>
        <v>35.299999999999955</v>
      </c>
      <c r="AG599" s="1213" t="e">
        <f t="shared" ref="AG599:AH599" si="542">AG544+AG553+AG570+AG579+AG588</f>
        <v>#REF!</v>
      </c>
      <c r="AH599" s="1213" t="e">
        <f t="shared" si="542"/>
        <v>#REF!</v>
      </c>
    </row>
    <row r="600" spans="2:34" ht="15.75">
      <c r="B600" s="53"/>
      <c r="C600" s="53"/>
      <c r="D600" s="53"/>
      <c r="E600" s="53"/>
      <c r="F600" s="53"/>
      <c r="G600" s="53"/>
      <c r="H600" s="53"/>
      <c r="I600" s="53"/>
      <c r="J600" s="53"/>
      <c r="K600" s="53"/>
      <c r="L600" s="53"/>
      <c r="M600" s="53"/>
      <c r="N600" s="53"/>
      <c r="O600" s="53"/>
    </row>
    <row r="601" spans="2:34" ht="15.75">
      <c r="B601" s="53" t="s">
        <v>3895</v>
      </c>
      <c r="C601" s="481"/>
      <c r="D601" s="481"/>
      <c r="E601" s="481"/>
      <c r="F601" s="56" t="e">
        <f t="shared" ref="F601:X601" si="543">F552/F597</f>
        <v>#REF!</v>
      </c>
      <c r="G601" s="56">
        <f t="shared" si="543"/>
        <v>0.97637795275590666</v>
      </c>
      <c r="H601" s="56">
        <f t="shared" si="543"/>
        <v>-8.5238095238095131</v>
      </c>
      <c r="I601" s="56">
        <f t="shared" si="543"/>
        <v>6.020408163265313</v>
      </c>
      <c r="J601" s="56">
        <f t="shared" si="543"/>
        <v>2.260273972602743</v>
      </c>
      <c r="K601" s="56">
        <f t="shared" si="543"/>
        <v>1.7926829268292608</v>
      </c>
      <c r="L601" s="56">
        <f t="shared" si="543"/>
        <v>10.666666666666636</v>
      </c>
      <c r="M601" s="56">
        <f t="shared" si="543"/>
        <v>1.9565217391304395</v>
      </c>
      <c r="N601" s="56">
        <f t="shared" si="543"/>
        <v>1.3013698630137063</v>
      </c>
      <c r="O601" s="56">
        <f t="shared" si="543"/>
        <v>0.74736842105263024</v>
      </c>
      <c r="P601" s="56">
        <f t="shared" si="543"/>
        <v>0.59302325581395143</v>
      </c>
      <c r="Q601" s="56">
        <f t="shared" si="543"/>
        <v>0.89820359281437145</v>
      </c>
      <c r="R601" s="56">
        <f t="shared" si="543"/>
        <v>-41.166666666667282</v>
      </c>
      <c r="S601" s="56">
        <f t="shared" si="543"/>
        <v>-2.9166666666666603</v>
      </c>
      <c r="T601" s="56">
        <f t="shared" si="543"/>
        <v>9.5500000000000078</v>
      </c>
      <c r="U601" s="56">
        <f t="shared" si="543"/>
        <v>2.5045871559632991</v>
      </c>
      <c r="V601" s="56">
        <f t="shared" si="543"/>
        <v>3.8596491228070189</v>
      </c>
      <c r="W601" s="56">
        <f t="shared" si="543"/>
        <v>4.8703703703703631</v>
      </c>
      <c r="X601" s="56">
        <f t="shared" si="543"/>
        <v>39.833333333330465</v>
      </c>
    </row>
    <row r="603" spans="2:34" ht="15.75">
      <c r="B603" s="636" t="s">
        <v>4589</v>
      </c>
      <c r="C603" s="3"/>
      <c r="D603" s="3"/>
      <c r="E603" s="3"/>
      <c r="F603" s="3"/>
      <c r="G603" s="3"/>
      <c r="H603" s="3"/>
      <c r="I603" s="3"/>
      <c r="J603" s="3"/>
      <c r="K603" s="3"/>
      <c r="L603" s="3"/>
      <c r="M603" s="3"/>
      <c r="N603" s="642" t="str">
        <f>N590</f>
        <v>Q1 19</v>
      </c>
      <c r="O603" s="642" t="str">
        <f>O590</f>
        <v>Q2 19</v>
      </c>
      <c r="P603" s="642" t="str">
        <f>P590</f>
        <v>Q3 19</v>
      </c>
      <c r="Q603" s="642" t="str">
        <f>Q590</f>
        <v>Q4 19</v>
      </c>
    </row>
    <row r="604" spans="2:34" ht="15.75">
      <c r="B604" s="53" t="s">
        <v>4588</v>
      </c>
      <c r="N604" s="481">
        <f>K511+L511+M511+N511</f>
        <v>64.699999999999818</v>
      </c>
      <c r="O604" s="481">
        <f>L511+M511+N511+O511</f>
        <v>56.200000000000045</v>
      </c>
      <c r="P604" s="481">
        <f>M511+N511+O511+P511</f>
        <v>52.399999999999864</v>
      </c>
      <c r="Q604" s="481">
        <f>N511+O511+P511+Q511</f>
        <v>58.099999999999909</v>
      </c>
      <c r="R604" s="56">
        <f t="shared" ref="R604:R612" si="544">Q604/Q$613</f>
        <v>0.31783369803063416</v>
      </c>
    </row>
    <row r="605" spans="2:34" ht="15.75">
      <c r="B605" s="53" t="s">
        <v>469</v>
      </c>
      <c r="N605" s="481">
        <f>K520+L520+M520+N520</f>
        <v>25</v>
      </c>
      <c r="O605" s="481">
        <f>L520+M520+N520+O520</f>
        <v>32.699999999999989</v>
      </c>
      <c r="P605" s="481">
        <f>M520+N520+O520+P520</f>
        <v>41.800000000000011</v>
      </c>
      <c r="Q605" s="481">
        <f>N520+O520+P520+Q520</f>
        <v>29.699999999999989</v>
      </c>
      <c r="R605" s="56">
        <f t="shared" si="544"/>
        <v>0.16247264770240699</v>
      </c>
    </row>
    <row r="606" spans="2:34" ht="15.75">
      <c r="B606" s="53" t="s">
        <v>3411</v>
      </c>
      <c r="N606" s="481">
        <f>K532+L532+M532+N532</f>
        <v>9.1000000000000227</v>
      </c>
      <c r="O606" s="481">
        <f>L532+M532+N532+O532</f>
        <v>15.400000000000006</v>
      </c>
      <c r="P606" s="481">
        <f>M532+N532+O532+P532</f>
        <v>22</v>
      </c>
      <c r="Q606" s="481">
        <f>N532+O532+P532+Q532</f>
        <v>29.100000000000023</v>
      </c>
      <c r="R606" s="56">
        <f t="shared" si="544"/>
        <v>0.15919037199124744</v>
      </c>
    </row>
    <row r="607" spans="2:34" ht="15.75">
      <c r="B607" s="53" t="s">
        <v>0</v>
      </c>
      <c r="N607" s="481">
        <f>K541+L541+M541+N541</f>
        <v>11.800000000000011</v>
      </c>
      <c r="O607" s="481">
        <f>L541+M541+N541+O541</f>
        <v>13.5</v>
      </c>
      <c r="P607" s="481">
        <f>M541+N541+O541+P541</f>
        <v>19.600000000000009</v>
      </c>
      <c r="Q607" s="481">
        <f>N541+O541+P541+Q541</f>
        <v>23</v>
      </c>
      <c r="R607" s="56">
        <f t="shared" si="544"/>
        <v>0.12582056892778998</v>
      </c>
    </row>
    <row r="608" spans="2:34" ht="15.75">
      <c r="B608" s="53" t="s">
        <v>32</v>
      </c>
      <c r="N608" s="481">
        <f>K550+L550+M550+N550</f>
        <v>21.300000000000011</v>
      </c>
      <c r="O608" s="481">
        <f>L550+M550+N550+O550</f>
        <v>21.600000000000023</v>
      </c>
      <c r="P608" s="481">
        <f>M550+N550+O550+P550</f>
        <v>21.5</v>
      </c>
      <c r="Q608" s="481">
        <f>N550+O550+P550+Q550</f>
        <v>21.200000000000017</v>
      </c>
      <c r="R608" s="56">
        <f t="shared" si="544"/>
        <v>0.11597374179431084</v>
      </c>
    </row>
    <row r="609" spans="2:18" ht="15.75">
      <c r="B609" s="53" t="s">
        <v>1479</v>
      </c>
      <c r="C609" s="53"/>
      <c r="D609" s="53"/>
      <c r="E609" s="53"/>
      <c r="F609" s="53"/>
      <c r="G609" s="53"/>
      <c r="H609" s="53"/>
      <c r="I609" s="53"/>
      <c r="J609" s="53"/>
      <c r="K609" s="53"/>
      <c r="L609" s="53"/>
      <c r="N609" s="481">
        <f>K559+L559+M559+N559</f>
        <v>5.4999999999999858</v>
      </c>
      <c r="O609" s="481">
        <f>L559+M559+N559+O559</f>
        <v>6.2999999999999972</v>
      </c>
      <c r="P609" s="481">
        <f>M559+N559+O559+P559</f>
        <v>7.2000000000000028</v>
      </c>
      <c r="Q609" s="481">
        <f>N559+O559+P559+Q559</f>
        <v>8</v>
      </c>
      <c r="R609" s="56">
        <f t="shared" si="544"/>
        <v>4.3763676148796511E-2</v>
      </c>
    </row>
    <row r="610" spans="2:18" ht="15.75">
      <c r="B610" s="53" t="s">
        <v>33</v>
      </c>
      <c r="C610" s="53"/>
      <c r="D610" s="53"/>
      <c r="E610" s="53"/>
      <c r="F610" s="53"/>
      <c r="G610" s="53"/>
      <c r="H610" s="53"/>
      <c r="I610" s="53"/>
      <c r="J610" s="53"/>
      <c r="K610" s="53"/>
      <c r="L610" s="53"/>
      <c r="N610" s="481">
        <f>K567+L567+M567+N567</f>
        <v>2.6000000000000085</v>
      </c>
      <c r="O610" s="481">
        <f>L567+M567+N567+O567</f>
        <v>1.2999999999999972</v>
      </c>
      <c r="P610" s="481">
        <f>M567+N567+O567+P567</f>
        <v>2.3999999999999915</v>
      </c>
      <c r="Q610" s="481">
        <f>N567+O567+P567+Q567</f>
        <v>2.7000000000000028</v>
      </c>
      <c r="R610" s="56">
        <f t="shared" si="544"/>
        <v>1.4770240700218838E-2</v>
      </c>
    </row>
    <row r="611" spans="2:18" ht="15.75">
      <c r="B611" s="53" t="s">
        <v>31</v>
      </c>
      <c r="C611" s="53"/>
      <c r="D611" s="53"/>
      <c r="E611" s="53"/>
      <c r="F611" s="53"/>
      <c r="G611" s="53"/>
      <c r="H611" s="53"/>
      <c r="I611" s="53"/>
      <c r="J611" s="53"/>
      <c r="K611" s="53"/>
      <c r="L611" s="53"/>
      <c r="N611" s="481">
        <f>K576+L576+M576+N576</f>
        <v>-0.90000000000000213</v>
      </c>
      <c r="O611" s="481">
        <f>L576+M576+N576+O576</f>
        <v>-0.69999999999999929</v>
      </c>
      <c r="P611" s="481">
        <f>M576+N576+O576+P576</f>
        <v>-0.79999999999999716</v>
      </c>
      <c r="Q611" s="481">
        <f>N576+O576+P576+Q576</f>
        <v>-0.40000000000000213</v>
      </c>
      <c r="R611" s="56">
        <f t="shared" si="544"/>
        <v>-2.188183807439837E-3</v>
      </c>
    </row>
    <row r="612" spans="2:18" ht="15.75">
      <c r="B612" s="53" t="s">
        <v>4</v>
      </c>
      <c r="C612" s="53"/>
      <c r="D612" s="53"/>
      <c r="E612" s="53"/>
      <c r="F612" s="53"/>
      <c r="G612" s="53"/>
      <c r="H612" s="53"/>
      <c r="I612" s="53"/>
      <c r="J612" s="53"/>
      <c r="K612" s="53"/>
      <c r="L612" s="53"/>
      <c r="N612" s="638">
        <f>K585+L585+M585+N585</f>
        <v>6.300000000000006</v>
      </c>
      <c r="O612" s="638">
        <f>L585+M585+N585+O585</f>
        <v>8.4999999999999947</v>
      </c>
      <c r="P612" s="638">
        <f>M585+N585+O585+P585</f>
        <v>9.2999999999999776</v>
      </c>
      <c r="Q612" s="638">
        <f>N585+O585+P585+Q585</f>
        <v>11.400000000000016</v>
      </c>
      <c r="R612" s="56">
        <f t="shared" si="544"/>
        <v>6.2363238512035117E-2</v>
      </c>
    </row>
    <row r="613" spans="2:18" ht="15.75">
      <c r="B613" s="53" t="s">
        <v>16</v>
      </c>
      <c r="C613" s="53"/>
      <c r="D613" s="53"/>
      <c r="E613" s="53"/>
      <c r="F613" s="53"/>
      <c r="G613" s="53"/>
      <c r="H613" s="53"/>
      <c r="I613" s="53"/>
      <c r="J613" s="53"/>
      <c r="K613" s="53"/>
      <c r="L613" s="53"/>
      <c r="N613" s="481">
        <f>SUM(N604:N612)</f>
        <v>145.39999999999989</v>
      </c>
      <c r="O613" s="481">
        <f>SUM(O604:O612)</f>
        <v>154.80000000000007</v>
      </c>
      <c r="P613" s="481">
        <f>SUM(P604:P612)</f>
        <v>175.39999999999984</v>
      </c>
      <c r="Q613" s="481">
        <f>SUM(Q604:Q612)</f>
        <v>182.79999999999995</v>
      </c>
    </row>
    <row r="614" spans="2:18" ht="15.75">
      <c r="B614" s="53"/>
      <c r="C614" s="53"/>
      <c r="D614" s="53"/>
      <c r="E614" s="53"/>
      <c r="F614" s="53"/>
      <c r="G614" s="53"/>
      <c r="H614" s="53"/>
      <c r="I614" s="53"/>
      <c r="J614" s="53"/>
      <c r="K614" s="53"/>
      <c r="L614" s="53"/>
    </row>
    <row r="615" spans="2:18" ht="15.75">
      <c r="B615" s="636" t="s">
        <v>4590</v>
      </c>
      <c r="C615" s="3"/>
      <c r="D615" s="3"/>
      <c r="E615" s="3"/>
      <c r="F615" s="3"/>
      <c r="G615" s="3"/>
      <c r="H615" s="3"/>
      <c r="I615" s="3"/>
      <c r="J615" s="3"/>
      <c r="K615" s="3"/>
      <c r="L615" s="3"/>
      <c r="M615" s="3"/>
      <c r="N615" s="642" t="str">
        <f>N603</f>
        <v>Q1 19</v>
      </c>
      <c r="O615" s="642" t="str">
        <f>O603</f>
        <v>Q2 19</v>
      </c>
      <c r="P615" s="642" t="str">
        <f>P603</f>
        <v>Q3 19</v>
      </c>
      <c r="Q615" s="642" t="str">
        <f>Q603</f>
        <v>Q4 19</v>
      </c>
    </row>
    <row r="616" spans="2:18" ht="15.75">
      <c r="B616" s="53" t="s">
        <v>4588</v>
      </c>
      <c r="N616" s="481">
        <f>K510+L510+M510+N510</f>
        <v>7.4000000000000909</v>
      </c>
      <c r="O616" s="481">
        <f>L510+M510+N510+O510</f>
        <v>8</v>
      </c>
      <c r="P616" s="481">
        <f>M510+N510+O510+P510</f>
        <v>10.099999999999909</v>
      </c>
      <c r="Q616" s="481">
        <f>N510+O510+P510+Q510</f>
        <v>20.299999999999955</v>
      </c>
      <c r="R616" s="56">
        <f t="shared" ref="R616:R624" si="545">Q616/Q$625</f>
        <v>0.30298507462686519</v>
      </c>
    </row>
    <row r="617" spans="2:18" ht="15.75">
      <c r="B617" s="53" t="s">
        <v>469</v>
      </c>
      <c r="N617" s="481">
        <f>K519+L519+M519+N519</f>
        <v>-0.5</v>
      </c>
      <c r="O617" s="481">
        <f>L519+M519+N519+O519</f>
        <v>5.5</v>
      </c>
      <c r="P617" s="481">
        <f>M519+N519+O519+P519</f>
        <v>10.900000000000006</v>
      </c>
      <c r="Q617" s="481">
        <f>N519+O519+P519+Q519</f>
        <v>4.5999999999999943</v>
      </c>
      <c r="R617" s="56">
        <f t="shared" si="545"/>
        <v>6.8656716417910407E-2</v>
      </c>
    </row>
    <row r="618" spans="2:18" ht="15.75">
      <c r="B618" s="53" t="s">
        <v>3411</v>
      </c>
      <c r="N618" s="481">
        <f>K531+L531+M531+N531</f>
        <v>3.9000000000000057</v>
      </c>
      <c r="O618" s="481">
        <f>L531+M531+N531+O531</f>
        <v>6.5</v>
      </c>
      <c r="P618" s="481">
        <f>M531+N531+O531+P531</f>
        <v>9.5</v>
      </c>
      <c r="Q618" s="481">
        <f>N531+O531+P531+Q531</f>
        <v>12.200000000000017</v>
      </c>
      <c r="R618" s="56">
        <f t="shared" si="545"/>
        <v>0.18208955223880635</v>
      </c>
    </row>
    <row r="619" spans="2:18" ht="15.75">
      <c r="B619" s="53" t="s">
        <v>0</v>
      </c>
      <c r="N619" s="481">
        <f>K540+L540+M540+N540</f>
        <v>13.200000000000003</v>
      </c>
      <c r="O619" s="481">
        <f>L540+M540+N540+O540</f>
        <v>15.299999999999997</v>
      </c>
      <c r="P619" s="481">
        <f>M540+N540+O540+P540</f>
        <v>19.899999999999991</v>
      </c>
      <c r="Q619" s="481">
        <f>N540+O540+P540+Q540</f>
        <v>20.5</v>
      </c>
      <c r="R619" s="56">
        <f t="shared" si="545"/>
        <v>0.30597014925373156</v>
      </c>
    </row>
    <row r="620" spans="2:18" ht="15.75">
      <c r="B620" s="53" t="s">
        <v>32</v>
      </c>
      <c r="N620" s="481">
        <f>K549+L549+M549+N549</f>
        <v>11.799999999999997</v>
      </c>
      <c r="O620" s="481">
        <f>L549+M549+N549+O549</f>
        <v>8.1000000000000085</v>
      </c>
      <c r="P620" s="481">
        <f>M549+N549+O549+P549</f>
        <v>4.7999999999999972</v>
      </c>
      <c r="Q620" s="481">
        <f>N549+O549+P549+Q549</f>
        <v>1.1000000000000085</v>
      </c>
      <c r="R620" s="56">
        <f t="shared" si="545"/>
        <v>1.6417910447761332E-2</v>
      </c>
    </row>
    <row r="621" spans="2:18" ht="15.75">
      <c r="B621" s="53" t="s">
        <v>1479</v>
      </c>
      <c r="C621" s="53"/>
      <c r="D621" s="53"/>
      <c r="E621" s="53"/>
      <c r="F621" s="53"/>
      <c r="G621" s="53"/>
      <c r="H621" s="53"/>
      <c r="I621" s="53"/>
      <c r="J621" s="53"/>
      <c r="K621" s="53"/>
      <c r="L621" s="53"/>
      <c r="N621" s="481">
        <f>K558+L558+M558+N558</f>
        <v>0.40000000000000568</v>
      </c>
      <c r="O621" s="481">
        <f>L558+M558+N558+O558</f>
        <v>0.89999999999999147</v>
      </c>
      <c r="P621" s="481">
        <f>M558+N558+O558+P558</f>
        <v>1.0999999999999943</v>
      </c>
      <c r="Q621" s="481">
        <f>N558+O558+P558+Q558</f>
        <v>1.7000000000000028</v>
      </c>
      <c r="R621" s="56">
        <f t="shared" si="545"/>
        <v>2.5373134328358266E-2</v>
      </c>
    </row>
    <row r="622" spans="2:18" ht="15.75">
      <c r="B622" s="53" t="s">
        <v>33</v>
      </c>
      <c r="C622" s="53"/>
      <c r="D622" s="53"/>
      <c r="E622" s="53"/>
      <c r="F622" s="53"/>
      <c r="G622" s="53"/>
      <c r="H622" s="53"/>
      <c r="I622" s="53"/>
      <c r="J622" s="53"/>
      <c r="K622" s="53"/>
      <c r="L622" s="53"/>
      <c r="N622" s="481">
        <f>K566+L566+M566+N566</f>
        <v>2.6000000000000014</v>
      </c>
      <c r="O622" s="481">
        <f>L566+M566+N566+O566</f>
        <v>4.8000000000000007</v>
      </c>
      <c r="P622" s="481">
        <f>M566+N566+O566+P566</f>
        <v>7.6000000000000014</v>
      </c>
      <c r="Q622" s="481">
        <f>N566+O566+P566+Q566</f>
        <v>8.7999999999999972</v>
      </c>
      <c r="R622" s="56">
        <f t="shared" si="545"/>
        <v>0.1313432835820896</v>
      </c>
    </row>
    <row r="623" spans="2:18" ht="15.75">
      <c r="B623" s="53" t="s">
        <v>31</v>
      </c>
      <c r="C623" s="53"/>
      <c r="D623" s="53"/>
      <c r="E623" s="53"/>
      <c r="F623" s="53"/>
      <c r="G623" s="53"/>
      <c r="H623" s="53"/>
      <c r="I623" s="53"/>
      <c r="J623" s="53"/>
      <c r="K623" s="53"/>
      <c r="L623" s="53"/>
      <c r="N623" s="481">
        <f>K575+L575+M575+N575</f>
        <v>-0.40000000000000036</v>
      </c>
      <c r="O623" s="481">
        <f>L575+M575+N575+O575</f>
        <v>-0.60000000000000053</v>
      </c>
      <c r="P623" s="481">
        <f>M575+N575+O575+P575</f>
        <v>-0.29999999999999982</v>
      </c>
      <c r="Q623" s="481">
        <f>N575+O575+P575+Q575</f>
        <v>9.9999999999999645E-2</v>
      </c>
      <c r="R623" s="56">
        <f t="shared" si="545"/>
        <v>1.4925373134328315E-3</v>
      </c>
    </row>
    <row r="624" spans="2:18" ht="15.75">
      <c r="B624" s="53" t="s">
        <v>4</v>
      </c>
      <c r="C624" s="53"/>
      <c r="D624" s="53"/>
      <c r="E624" s="53"/>
      <c r="F624" s="53"/>
      <c r="G624" s="53"/>
      <c r="H624" s="53"/>
      <c r="I624" s="53"/>
      <c r="J624" s="53"/>
      <c r="K624" s="53"/>
      <c r="L624" s="53"/>
      <c r="N624" s="638">
        <f>K584+L584+M584+N584</f>
        <v>-2.400000000000003</v>
      </c>
      <c r="O624" s="638">
        <f>L584+M584+N584+O584</f>
        <v>-3.5000000000000053</v>
      </c>
      <c r="P624" s="638">
        <f>M584+N584+O584+P584</f>
        <v>-2.7000000000000082</v>
      </c>
      <c r="Q624" s="638">
        <f>N584+O584+P584+Q584</f>
        <v>-2.3000000000000114</v>
      </c>
      <c r="R624" s="56">
        <f t="shared" si="545"/>
        <v>-3.4328358208955419E-2</v>
      </c>
    </row>
    <row r="625" spans="2:18" ht="15.75">
      <c r="B625" s="53" t="s">
        <v>16</v>
      </c>
      <c r="C625" s="53"/>
      <c r="D625" s="53"/>
      <c r="E625" s="53"/>
      <c r="F625" s="53"/>
      <c r="G625" s="53"/>
      <c r="H625" s="53"/>
      <c r="I625" s="53"/>
      <c r="J625" s="53"/>
      <c r="K625" s="53"/>
      <c r="L625" s="53"/>
      <c r="N625" s="481">
        <f>SUM(N616:N624)</f>
        <v>36.000000000000099</v>
      </c>
      <c r="O625" s="481">
        <f>SUM(O616:O624)</f>
        <v>44.999999999999986</v>
      </c>
      <c r="P625" s="481">
        <f>SUM(P616:P624)</f>
        <v>60.899999999999892</v>
      </c>
      <c r="Q625" s="481">
        <f>SUM(Q616:Q624)</f>
        <v>66.999999999999957</v>
      </c>
    </row>
    <row r="626" spans="2:18" ht="15.75">
      <c r="B626" s="53"/>
      <c r="C626" s="53"/>
      <c r="D626" s="53"/>
      <c r="E626" s="53"/>
      <c r="F626" s="53"/>
      <c r="G626" s="53"/>
      <c r="H626" s="53"/>
      <c r="I626" s="53"/>
      <c r="J626" s="53"/>
      <c r="K626" s="53"/>
      <c r="L626" s="53"/>
      <c r="N626" s="481"/>
      <c r="O626" s="481"/>
      <c r="P626" s="481"/>
      <c r="Q626" s="481"/>
    </row>
    <row r="627" spans="2:18" ht="15.75">
      <c r="B627" s="636" t="s">
        <v>4591</v>
      </c>
      <c r="C627" s="3"/>
      <c r="D627" s="3"/>
      <c r="E627" s="3"/>
      <c r="F627" s="3"/>
      <c r="G627" s="3"/>
      <c r="H627" s="3"/>
      <c r="I627" s="3"/>
      <c r="J627" s="3"/>
      <c r="K627" s="3"/>
      <c r="L627" s="3"/>
      <c r="M627" s="3"/>
      <c r="N627" s="642" t="str">
        <f>N615</f>
        <v>Q1 19</v>
      </c>
      <c r="O627" s="642" t="str">
        <f>O615</f>
        <v>Q2 19</v>
      </c>
      <c r="P627" s="642" t="str">
        <f>P615</f>
        <v>Q3 19</v>
      </c>
      <c r="Q627" s="642" t="str">
        <f>Q615</f>
        <v>Q4 19</v>
      </c>
    </row>
    <row r="628" spans="2:18" ht="15.75">
      <c r="B628" s="53" t="s">
        <v>4588</v>
      </c>
      <c r="N628" s="481">
        <f>K514+L514+M514+N514</f>
        <v>42.600000000000023</v>
      </c>
      <c r="O628" s="481">
        <f>L514+M514+N514+O514</f>
        <v>39.800000000000011</v>
      </c>
      <c r="P628" s="481">
        <f>M514+N514+O514+P514</f>
        <v>43.599999999999966</v>
      </c>
      <c r="Q628" s="481">
        <f>N514+O514+P514+Q514</f>
        <v>44.5</v>
      </c>
      <c r="R628" s="56">
        <f t="shared" ref="R628:R636" si="546">Q628/Q$625</f>
        <v>0.66417910447761241</v>
      </c>
    </row>
    <row r="629" spans="2:18" ht="15.75">
      <c r="B629" s="53" t="s">
        <v>469</v>
      </c>
      <c r="N629" s="481">
        <v>0</v>
      </c>
      <c r="O629" s="481">
        <v>0</v>
      </c>
      <c r="P629" s="481">
        <v>0</v>
      </c>
      <c r="Q629" s="481">
        <v>0</v>
      </c>
      <c r="R629" s="56">
        <f t="shared" si="546"/>
        <v>0</v>
      </c>
    </row>
    <row r="630" spans="2:18" ht="15.75">
      <c r="B630" s="53" t="s">
        <v>3411</v>
      </c>
      <c r="N630" s="481">
        <v>0</v>
      </c>
      <c r="O630" s="481">
        <v>0</v>
      </c>
      <c r="P630" s="481">
        <v>0</v>
      </c>
      <c r="Q630" s="481">
        <v>0</v>
      </c>
      <c r="R630" s="56">
        <f t="shared" si="546"/>
        <v>0</v>
      </c>
    </row>
    <row r="631" spans="2:18" ht="15.75">
      <c r="B631" s="53" t="s">
        <v>0</v>
      </c>
      <c r="N631" s="481">
        <f>K544+L544+M544+N544</f>
        <v>-90.400000000000091</v>
      </c>
      <c r="O631" s="481">
        <f>L544+M544+N544+O544</f>
        <v>-62.799999999999955</v>
      </c>
      <c r="P631" s="481">
        <f>M544+N544+O544+P544</f>
        <v>-55.399999999999864</v>
      </c>
      <c r="Q631" s="481">
        <f>N544+O544+P544+Q544</f>
        <v>-42.400000000000091</v>
      </c>
      <c r="R631" s="56">
        <f t="shared" si="546"/>
        <v>-0.63283582089552415</v>
      </c>
    </row>
    <row r="632" spans="2:18" ht="15.75">
      <c r="B632" s="53" t="s">
        <v>32</v>
      </c>
      <c r="N632" s="481">
        <f>K553+L553+M553+N553</f>
        <v>-19.5</v>
      </c>
      <c r="O632" s="481">
        <f>L553+M553+N553+O553</f>
        <v>72</v>
      </c>
      <c r="P632" s="481">
        <f>M553+N553+O553+P553</f>
        <v>101.5</v>
      </c>
      <c r="Q632" s="481">
        <f>N553+O553+P553+Q553</f>
        <v>137.19999999999993</v>
      </c>
      <c r="R632" s="56">
        <f t="shared" si="546"/>
        <v>2.0477611940298512</v>
      </c>
    </row>
    <row r="633" spans="2:18" ht="15.75">
      <c r="B633" s="53" t="s">
        <v>1479</v>
      </c>
      <c r="C633" s="53"/>
      <c r="D633" s="53"/>
      <c r="E633" s="53"/>
      <c r="F633" s="53"/>
      <c r="G633" s="53"/>
      <c r="H633" s="53"/>
      <c r="I633" s="53"/>
      <c r="J633" s="53"/>
      <c r="K633" s="53"/>
      <c r="L633" s="53"/>
      <c r="N633" s="481">
        <v>0</v>
      </c>
      <c r="O633" s="481">
        <v>0</v>
      </c>
      <c r="P633" s="481">
        <v>0</v>
      </c>
      <c r="Q633" s="481">
        <v>0</v>
      </c>
      <c r="R633" s="56">
        <f t="shared" si="546"/>
        <v>0</v>
      </c>
    </row>
    <row r="634" spans="2:18" ht="15.75">
      <c r="B634" s="53" t="s">
        <v>33</v>
      </c>
      <c r="C634" s="53"/>
      <c r="D634" s="53"/>
      <c r="E634" s="53"/>
      <c r="F634" s="53"/>
      <c r="G634" s="53"/>
      <c r="H634" s="53"/>
      <c r="I634" s="53"/>
      <c r="J634" s="53"/>
      <c r="K634" s="53"/>
      <c r="L634" s="53"/>
      <c r="N634" s="481">
        <f>K570+L570+M570+N570</f>
        <v>10.399999999999991</v>
      </c>
      <c r="O634" s="481">
        <f>L570+M570+N570+O570</f>
        <v>-0.39999999999999147</v>
      </c>
      <c r="P634" s="481">
        <f>M570+N570+O570+P570</f>
        <v>-1.2999999999999972</v>
      </c>
      <c r="Q634" s="481">
        <f>N570+O570+P570+Q570</f>
        <v>1.1000000000000085</v>
      </c>
      <c r="R634" s="56">
        <f t="shared" si="546"/>
        <v>1.6417910447761332E-2</v>
      </c>
    </row>
    <row r="635" spans="2:18" ht="15.75">
      <c r="B635" s="53" t="s">
        <v>31</v>
      </c>
      <c r="C635" s="53"/>
      <c r="D635" s="53"/>
      <c r="E635" s="53"/>
      <c r="F635" s="53"/>
      <c r="G635" s="53"/>
      <c r="H635" s="53"/>
      <c r="I635" s="53"/>
      <c r="J635" s="53"/>
      <c r="K635" s="53"/>
      <c r="L635" s="53"/>
      <c r="N635" s="481">
        <f>K579+L579+M579+N579</f>
        <v>-28.299999999999983</v>
      </c>
      <c r="O635" s="481">
        <f>L579+M579+N579+O579</f>
        <v>-27.199999999999989</v>
      </c>
      <c r="P635" s="481">
        <f>M579+N579+O579+P579</f>
        <v>-19</v>
      </c>
      <c r="Q635" s="481">
        <f>N579+O579+P579+Q579</f>
        <v>-23.200000000000017</v>
      </c>
      <c r="R635" s="56">
        <f t="shared" si="546"/>
        <v>-0.34626865671641838</v>
      </c>
    </row>
    <row r="636" spans="2:18" ht="15.75">
      <c r="B636" s="53" t="s">
        <v>4</v>
      </c>
      <c r="C636" s="53"/>
      <c r="D636" s="53"/>
      <c r="E636" s="53"/>
      <c r="F636" s="53"/>
      <c r="G636" s="53"/>
      <c r="H636" s="53"/>
      <c r="I636" s="53"/>
      <c r="J636" s="53"/>
      <c r="K636" s="53"/>
      <c r="L636" s="53"/>
      <c r="N636" s="638">
        <f>K588+L588+M588+N588</f>
        <v>-10.399999999999977</v>
      </c>
      <c r="O636" s="638">
        <f>L588+M588+N588+O588</f>
        <v>-11</v>
      </c>
      <c r="P636" s="638">
        <f>M588+N588+O588+P588</f>
        <v>-10.300000000000011</v>
      </c>
      <c r="Q636" s="638">
        <f>N588+O588+P588+Q588</f>
        <v>5.4000000000000199</v>
      </c>
      <c r="R636" s="56">
        <f t="shared" si="546"/>
        <v>8.0597014925373481E-2</v>
      </c>
    </row>
    <row r="637" spans="2:18" ht="15.75">
      <c r="B637" s="53" t="s">
        <v>16</v>
      </c>
      <c r="C637" s="53"/>
      <c r="D637" s="53"/>
      <c r="E637" s="53"/>
      <c r="F637" s="53"/>
      <c r="G637" s="53"/>
      <c r="H637" s="53"/>
      <c r="I637" s="53"/>
      <c r="J637" s="53"/>
      <c r="K637" s="53"/>
      <c r="L637" s="53"/>
      <c r="N637" s="481">
        <f>SUM(N628:N636)</f>
        <v>-95.600000000000037</v>
      </c>
      <c r="O637" s="481">
        <f>SUM(O628:O636)</f>
        <v>10.400000000000077</v>
      </c>
      <c r="P637" s="481">
        <f>SUM(P628:P636)</f>
        <v>59.100000000000094</v>
      </c>
      <c r="Q637" s="481">
        <f>SUM(Q628:Q636)</f>
        <v>122.59999999999987</v>
      </c>
    </row>
    <row r="638" spans="2:18" ht="15.75">
      <c r="B638" s="53"/>
      <c r="C638" s="53"/>
      <c r="D638" s="53"/>
      <c r="E638" s="53"/>
      <c r="F638" s="53"/>
      <c r="G638" s="53"/>
      <c r="H638" s="53"/>
      <c r="I638" s="53"/>
      <c r="J638" s="53"/>
      <c r="K638" s="53"/>
      <c r="L638" s="53"/>
      <c r="N638" s="481"/>
      <c r="O638" s="481"/>
      <c r="P638" s="481"/>
      <c r="Q638" s="481"/>
    </row>
    <row r="639" spans="2:18" ht="15.75">
      <c r="B639" s="53"/>
      <c r="C639" s="53"/>
      <c r="D639" s="53"/>
      <c r="E639" s="53"/>
      <c r="F639" s="53"/>
      <c r="G639" s="53"/>
      <c r="H639" s="53"/>
      <c r="I639" s="53"/>
      <c r="J639" s="53"/>
      <c r="K639" s="53"/>
      <c r="L639" s="53"/>
      <c r="N639" s="481"/>
      <c r="O639" s="481"/>
      <c r="P639" s="481"/>
      <c r="Q639" s="481"/>
    </row>
    <row r="640" spans="2:18" ht="15.75">
      <c r="B640" s="53"/>
      <c r="C640" s="53"/>
      <c r="D640" s="53"/>
      <c r="E640" s="53"/>
      <c r="F640" s="53"/>
      <c r="G640" s="53"/>
      <c r="H640" s="53"/>
      <c r="I640" s="53"/>
      <c r="J640" s="53"/>
      <c r="K640" s="53"/>
      <c r="L640" s="53"/>
      <c r="N640" s="481"/>
      <c r="O640" s="481"/>
      <c r="P640" s="481"/>
      <c r="Q640" s="481"/>
    </row>
    <row r="641" spans="2:62" ht="15.75">
      <c r="B641" s="58" t="s">
        <v>2487</v>
      </c>
      <c r="C641" s="53"/>
      <c r="D641" s="53"/>
      <c r="E641" s="53"/>
      <c r="F641" s="53"/>
      <c r="G641" s="53"/>
      <c r="H641" s="53"/>
      <c r="I641" s="53"/>
      <c r="J641" s="53"/>
      <c r="K641" s="53"/>
      <c r="L641" s="53"/>
    </row>
    <row r="642" spans="2:62" ht="15.75">
      <c r="B642" s="50" t="s">
        <v>2334</v>
      </c>
      <c r="C642" s="50"/>
      <c r="D642" s="51" t="s">
        <v>2482</v>
      </c>
      <c r="E642" s="51" t="s">
        <v>1784</v>
      </c>
      <c r="F642" s="51" t="s">
        <v>2481</v>
      </c>
      <c r="G642" s="51" t="s">
        <v>2479</v>
      </c>
      <c r="H642" s="51" t="s">
        <v>2480</v>
      </c>
      <c r="I642" s="51" t="s">
        <v>2485</v>
      </c>
      <c r="J642" s="51" t="s">
        <v>2491</v>
      </c>
      <c r="K642" s="51" t="s">
        <v>2483</v>
      </c>
      <c r="L642" s="51" t="s">
        <v>2484</v>
      </c>
      <c r="M642" s="80"/>
    </row>
    <row r="643" spans="2:62" ht="16.5" thickBot="1">
      <c r="B643" s="648" t="s">
        <v>0</v>
      </c>
      <c r="C643" s="648"/>
      <c r="D643" s="649">
        <f>Notes!K353</f>
        <v>926.82926829268297</v>
      </c>
      <c r="E643" s="649">
        <f>G412</f>
        <v>527.79999999999995</v>
      </c>
      <c r="F643" s="649">
        <v>0</v>
      </c>
      <c r="G643" s="649">
        <f>G413</f>
        <v>453.2</v>
      </c>
      <c r="H643" s="649">
        <f>E643-G643</f>
        <v>74.599999999999966</v>
      </c>
      <c r="I643" s="649">
        <f t="shared" ref="I643:I648" si="547">E643-F643-G643-H643</f>
        <v>0</v>
      </c>
      <c r="J643" s="649">
        <f t="shared" ref="J643:J648" si="548">F643+G643</f>
        <v>453.2</v>
      </c>
      <c r="K643" s="651">
        <f>E643/D643</f>
        <v>0.56946842105263151</v>
      </c>
      <c r="L643" s="651">
        <f>(F643+G643)/D643</f>
        <v>0.48897894736842101</v>
      </c>
    </row>
    <row r="644" spans="2:62" ht="15.75">
      <c r="B644" s="652" t="s">
        <v>32</v>
      </c>
      <c r="C644" s="653"/>
      <c r="D644" s="654">
        <f>Notes!K355</f>
        <v>725</v>
      </c>
      <c r="E644" s="654">
        <f>G423</f>
        <v>424.3</v>
      </c>
      <c r="F644" s="654">
        <v>0</v>
      </c>
      <c r="G644" s="654">
        <v>225</v>
      </c>
      <c r="H644" s="654">
        <v>10</v>
      </c>
      <c r="I644" s="654">
        <f t="shared" si="547"/>
        <v>189.3</v>
      </c>
      <c r="J644" s="654">
        <f t="shared" si="548"/>
        <v>225</v>
      </c>
      <c r="K644" s="655">
        <f>E644/D644</f>
        <v>0.58524137931034481</v>
      </c>
      <c r="L644" s="656">
        <f>(F644+G644)/D644</f>
        <v>0.31034482758620691</v>
      </c>
    </row>
    <row r="645" spans="2:62" ht="15.75">
      <c r="B645" s="657" t="s">
        <v>1479</v>
      </c>
      <c r="C645" s="648"/>
      <c r="D645" s="649">
        <f>Notes!K357</f>
        <v>340</v>
      </c>
      <c r="E645" s="649">
        <f>G435</f>
        <v>311.7</v>
      </c>
      <c r="F645" s="649">
        <v>0</v>
      </c>
      <c r="G645" s="649">
        <v>310.5</v>
      </c>
      <c r="H645" s="649">
        <v>0</v>
      </c>
      <c r="I645" s="649">
        <f t="shared" si="547"/>
        <v>1.1999999999999886</v>
      </c>
      <c r="J645" s="649">
        <f t="shared" si="548"/>
        <v>310.5</v>
      </c>
      <c r="K645" s="651">
        <f>E645/D645</f>
        <v>0.91676470588235293</v>
      </c>
      <c r="L645" s="658">
        <f>(F645+G645)/D645</f>
        <v>0.91323529411764703</v>
      </c>
    </row>
    <row r="646" spans="2:62" ht="16.5" thickBot="1">
      <c r="B646" s="659" t="s">
        <v>33</v>
      </c>
      <c r="C646" s="660"/>
      <c r="D646" s="661">
        <f>E646</f>
        <v>122.5</v>
      </c>
      <c r="E646" s="661">
        <f>G446</f>
        <v>122.5</v>
      </c>
      <c r="F646" s="661">
        <f>E646</f>
        <v>122.5</v>
      </c>
      <c r="G646" s="661">
        <v>0</v>
      </c>
      <c r="H646" s="661">
        <v>0</v>
      </c>
      <c r="I646" s="661">
        <f t="shared" si="547"/>
        <v>0</v>
      </c>
      <c r="J646" s="661">
        <f t="shared" si="548"/>
        <v>122.5</v>
      </c>
      <c r="K646" s="662">
        <f>E646/D646</f>
        <v>1</v>
      </c>
      <c r="L646" s="663">
        <f>(F646+G646)/D646</f>
        <v>1</v>
      </c>
    </row>
    <row r="647" spans="2:62" ht="15.75">
      <c r="B647" s="648" t="s">
        <v>31</v>
      </c>
      <c r="C647" s="648"/>
      <c r="D647" s="649">
        <f>Notes!K354+35.6</f>
        <v>140.6</v>
      </c>
      <c r="E647" s="649">
        <f>E458</f>
        <v>140.6</v>
      </c>
      <c r="F647" s="649">
        <v>15</v>
      </c>
      <c r="G647" s="649">
        <v>0</v>
      </c>
      <c r="H647" s="649">
        <v>0</v>
      </c>
      <c r="I647" s="649">
        <f t="shared" si="547"/>
        <v>125.6</v>
      </c>
      <c r="J647" s="649">
        <f t="shared" si="548"/>
        <v>15</v>
      </c>
      <c r="K647" s="651">
        <f>E647/D647</f>
        <v>1</v>
      </c>
      <c r="L647" s="651">
        <f>(F647+G647)/D647</f>
        <v>0.10668563300142248</v>
      </c>
    </row>
    <row r="648" spans="2:62" ht="15.75">
      <c r="B648" s="50" t="s">
        <v>4</v>
      </c>
      <c r="C648" s="50"/>
      <c r="D648" s="632"/>
      <c r="E648" s="632">
        <f>E480</f>
        <v>354.3</v>
      </c>
      <c r="F648" s="632">
        <v>15</v>
      </c>
      <c r="G648" s="632">
        <v>180</v>
      </c>
      <c r="H648" s="632">
        <v>20</v>
      </c>
      <c r="I648" s="632">
        <f t="shared" si="547"/>
        <v>139.30000000000001</v>
      </c>
      <c r="J648" s="632">
        <f t="shared" si="548"/>
        <v>195</v>
      </c>
      <c r="K648" s="50"/>
      <c r="L648" s="50"/>
    </row>
    <row r="649" spans="2:62" ht="15.75">
      <c r="B649" s="664" t="s">
        <v>16</v>
      </c>
      <c r="C649" s="664"/>
      <c r="D649" s="665"/>
      <c r="E649" s="665">
        <f t="shared" ref="E649:J649" si="549">SUM(E643:E648)</f>
        <v>1881.1999999999998</v>
      </c>
      <c r="F649" s="665">
        <f t="shared" si="549"/>
        <v>152.5</v>
      </c>
      <c r="G649" s="665">
        <f t="shared" si="549"/>
        <v>1168.7</v>
      </c>
      <c r="H649" s="665">
        <f t="shared" si="549"/>
        <v>104.59999999999997</v>
      </c>
      <c r="I649" s="665">
        <f t="shared" si="549"/>
        <v>455.40000000000003</v>
      </c>
      <c r="J649" s="665">
        <f t="shared" si="549"/>
        <v>1321.2</v>
      </c>
      <c r="K649" s="664"/>
      <c r="L649" s="664"/>
    </row>
    <row r="650" spans="2:62" ht="15.75">
      <c r="B650" s="53"/>
      <c r="C650" s="53"/>
      <c r="D650" s="630"/>
      <c r="E650" s="630"/>
      <c r="F650" s="630"/>
      <c r="G650" s="630"/>
      <c r="H650" s="630"/>
      <c r="I650" s="630"/>
      <c r="J650" s="630"/>
      <c r="K650" s="53"/>
      <c r="L650" s="53"/>
    </row>
    <row r="651" spans="2:62" ht="15.75">
      <c r="B651" s="664" t="s">
        <v>2509</v>
      </c>
      <c r="C651" s="664"/>
      <c r="D651" s="665">
        <f t="shared" ref="D651:J651" si="550">D644+D645+D646</f>
        <v>1187.5</v>
      </c>
      <c r="E651" s="665">
        <f t="shared" si="550"/>
        <v>858.5</v>
      </c>
      <c r="F651" s="665">
        <f t="shared" si="550"/>
        <v>122.5</v>
      </c>
      <c r="G651" s="665">
        <f t="shared" si="550"/>
        <v>535.5</v>
      </c>
      <c r="H651" s="665">
        <f t="shared" si="550"/>
        <v>10</v>
      </c>
      <c r="I651" s="665">
        <f t="shared" si="550"/>
        <v>190.5</v>
      </c>
      <c r="J651" s="665">
        <f t="shared" si="550"/>
        <v>658</v>
      </c>
      <c r="K651" s="664"/>
      <c r="L651" s="664"/>
    </row>
    <row r="652" spans="2:62" ht="15.75">
      <c r="B652" s="53"/>
      <c r="C652" s="53"/>
      <c r="D652" s="630"/>
      <c r="E652" s="630"/>
      <c r="F652" s="630"/>
      <c r="G652" s="630"/>
      <c r="H652" s="630"/>
      <c r="I652" s="630"/>
      <c r="J652" s="630"/>
      <c r="K652" s="53"/>
      <c r="L652" s="53"/>
    </row>
    <row r="653" spans="2:62" ht="15.75">
      <c r="B653" s="666" t="s">
        <v>1365</v>
      </c>
      <c r="C653" s="666"/>
      <c r="D653" s="667"/>
      <c r="E653" s="668"/>
      <c r="F653" s="667"/>
      <c r="G653" s="667"/>
      <c r="H653" s="667"/>
      <c r="I653" s="667"/>
      <c r="J653" s="667"/>
      <c r="K653" s="667"/>
      <c r="L653" s="666"/>
      <c r="N653" s="80" t="s">
        <v>1374</v>
      </c>
      <c r="O653" s="80" t="s">
        <v>1569</v>
      </c>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L653" s="80"/>
      <c r="AM653" s="80"/>
      <c r="BJ653" s="80"/>
    </row>
    <row r="654" spans="2:62" ht="15.75">
      <c r="B654" s="53" t="s">
        <v>32</v>
      </c>
      <c r="C654" s="53"/>
      <c r="D654" s="630">
        <f>D644</f>
        <v>725</v>
      </c>
      <c r="E654" s="630">
        <f>G686</f>
        <v>146</v>
      </c>
      <c r="F654" s="630">
        <f>E654</f>
        <v>146</v>
      </c>
      <c r="G654" s="630"/>
      <c r="H654" s="630"/>
      <c r="I654" s="630"/>
      <c r="J654" s="630">
        <f>E654</f>
        <v>146</v>
      </c>
      <c r="K654" s="54">
        <f>E654/D654</f>
        <v>0.20137931034482759</v>
      </c>
      <c r="L654" s="53"/>
      <c r="N654" s="5">
        <v>0.34</v>
      </c>
      <c r="O654" s="16">
        <f>N654*E654</f>
        <v>49.64</v>
      </c>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BJ654" s="16"/>
    </row>
    <row r="655" spans="2:62" ht="15.75">
      <c r="B655" s="648" t="s">
        <v>1479</v>
      </c>
      <c r="C655" s="648"/>
      <c r="D655" s="649">
        <f>D645</f>
        <v>340</v>
      </c>
      <c r="E655" s="649">
        <f>G687</f>
        <v>235</v>
      </c>
      <c r="F655" s="649">
        <f>E655</f>
        <v>235</v>
      </c>
      <c r="G655" s="649"/>
      <c r="H655" s="649"/>
      <c r="I655" s="649"/>
      <c r="J655" s="649">
        <f>E655</f>
        <v>235</v>
      </c>
      <c r="K655" s="651">
        <f>E655/D655</f>
        <v>0.69117647058823528</v>
      </c>
      <c r="L655" s="648"/>
      <c r="N655" s="5">
        <f>O655/E655</f>
        <v>0.14893617021276595</v>
      </c>
      <c r="O655">
        <v>35</v>
      </c>
    </row>
    <row r="656" spans="2:62" ht="15.75">
      <c r="B656" s="50" t="s">
        <v>33</v>
      </c>
      <c r="C656" s="50"/>
      <c r="D656" s="632">
        <f>D646</f>
        <v>122.5</v>
      </c>
      <c r="E656" s="632">
        <f>G688</f>
        <v>90</v>
      </c>
      <c r="F656" s="632">
        <f>E656</f>
        <v>90</v>
      </c>
      <c r="G656" s="632"/>
      <c r="H656" s="632"/>
      <c r="I656" s="632"/>
      <c r="J656" s="632">
        <f>E656</f>
        <v>90</v>
      </c>
      <c r="K656" s="57">
        <f>E656/D656</f>
        <v>0.73469387755102045</v>
      </c>
      <c r="L656" s="50"/>
      <c r="N656" s="5">
        <f>O656/E656</f>
        <v>0.104</v>
      </c>
      <c r="O656" s="64">
        <f>O657-O654-O655</f>
        <v>9.36</v>
      </c>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BJ656" s="16"/>
    </row>
    <row r="657" spans="2:15" ht="15.75">
      <c r="B657" s="669" t="s">
        <v>16</v>
      </c>
      <c r="C657" s="669"/>
      <c r="D657" s="670">
        <f>SUM(D654:D656)</f>
        <v>1187.5</v>
      </c>
      <c r="E657" s="670">
        <f>SUM(E654:E656)</f>
        <v>471</v>
      </c>
      <c r="F657" s="670">
        <f>E657</f>
        <v>471</v>
      </c>
      <c r="G657" s="670"/>
      <c r="H657" s="670"/>
      <c r="I657" s="670"/>
      <c r="J657" s="670">
        <f>SUM(J654:J656)</f>
        <v>471</v>
      </c>
      <c r="K657" s="669"/>
      <c r="L657" s="669"/>
      <c r="O657">
        <v>94</v>
      </c>
    </row>
    <row r="658" spans="2:15" ht="15.75">
      <c r="B658" s="53"/>
      <c r="C658" s="53"/>
      <c r="D658" s="630"/>
      <c r="E658" s="630"/>
      <c r="F658" s="630"/>
      <c r="G658" s="630"/>
      <c r="H658" s="630"/>
      <c r="I658" s="630"/>
      <c r="J658" s="630"/>
      <c r="K658" s="53"/>
      <c r="L658" s="53"/>
    </row>
    <row r="659" spans="2:15" ht="15.75">
      <c r="B659" s="53" t="s">
        <v>2486</v>
      </c>
      <c r="C659" s="53"/>
      <c r="D659" s="53"/>
      <c r="E659" s="53"/>
      <c r="F659" s="53"/>
      <c r="G659" s="53"/>
      <c r="H659" s="53"/>
      <c r="I659" s="53"/>
      <c r="J659" s="53"/>
      <c r="K659" s="53"/>
      <c r="L659" s="53"/>
    </row>
    <row r="660" spans="2:15" ht="15.75">
      <c r="B660" s="53" t="s">
        <v>2492</v>
      </c>
      <c r="C660" s="53"/>
      <c r="D660" s="53"/>
      <c r="E660" s="53"/>
      <c r="F660" s="53"/>
      <c r="G660" s="53"/>
      <c r="H660" s="53"/>
      <c r="I660" s="53"/>
      <c r="J660" s="53"/>
      <c r="K660" s="53"/>
      <c r="L660" s="53"/>
    </row>
    <row r="662" spans="2:15" ht="16.5">
      <c r="B662" s="645"/>
      <c r="C662" s="646" t="s">
        <v>1569</v>
      </c>
      <c r="D662" s="646" t="s">
        <v>54</v>
      </c>
      <c r="E662" s="646" t="s">
        <v>1853</v>
      </c>
      <c r="F662" s="646" t="s">
        <v>1374</v>
      </c>
    </row>
    <row r="663" spans="2:15" ht="16.5">
      <c r="B663" s="671" t="str">
        <f>B644</f>
        <v>Jamaica</v>
      </c>
      <c r="C663" s="672">
        <f>E425</f>
        <v>301.10000000000002</v>
      </c>
      <c r="D663" s="671">
        <f>E427</f>
        <v>496.8</v>
      </c>
      <c r="E663" s="673">
        <f>D663/C663</f>
        <v>1.6499501826635667</v>
      </c>
      <c r="F663" s="679">
        <f>C663/E644</f>
        <v>0.70963940608060339</v>
      </c>
    </row>
    <row r="664" spans="2:15" ht="16.5">
      <c r="B664" s="624" t="str">
        <f>B645</f>
        <v>T&amp;T</v>
      </c>
      <c r="C664" s="626">
        <f>E437</f>
        <v>169.5</v>
      </c>
      <c r="D664" s="624">
        <f>E439</f>
        <v>272.10000000000002</v>
      </c>
      <c r="E664" s="674">
        <f>D664/C664</f>
        <v>1.6053097345132745</v>
      </c>
      <c r="F664" s="625">
        <f>C664/E645</f>
        <v>0.54379210779595766</v>
      </c>
    </row>
    <row r="665" spans="2:15" ht="16.5">
      <c r="B665" s="675" t="str">
        <f>B646</f>
        <v>Barbados</v>
      </c>
      <c r="C665" s="676">
        <f>E448</f>
        <v>94.5</v>
      </c>
      <c r="D665" s="675">
        <f>E450</f>
        <v>169.9</v>
      </c>
      <c r="E665" s="677">
        <f>D665/C665</f>
        <v>1.7978835978835979</v>
      </c>
      <c r="F665" s="680">
        <f>C665/E646</f>
        <v>0.77142857142857146</v>
      </c>
    </row>
    <row r="666" spans="2:15" ht="16.5">
      <c r="B666" s="624" t="s">
        <v>2513</v>
      </c>
      <c r="C666" s="626">
        <f>SUM(C663:C665)</f>
        <v>565.1</v>
      </c>
      <c r="D666" s="624">
        <f>SUM(D663:D665)</f>
        <v>938.80000000000007</v>
      </c>
      <c r="E666" s="674">
        <f>D666/C666</f>
        <v>1.6612988851530703</v>
      </c>
      <c r="F666" s="625">
        <f>C666/E651</f>
        <v>0.65824111822947007</v>
      </c>
    </row>
    <row r="667" spans="2:15" ht="16.5">
      <c r="B667" s="671"/>
      <c r="C667" s="671"/>
      <c r="D667" s="671"/>
      <c r="E667" s="671"/>
      <c r="F667" s="679"/>
    </row>
    <row r="668" spans="2:15" ht="16.5">
      <c r="B668" s="623" t="s">
        <v>2512</v>
      </c>
      <c r="C668" s="623">
        <v>94</v>
      </c>
      <c r="D668" s="623">
        <v>255</v>
      </c>
      <c r="E668" s="678">
        <f>D668/C668</f>
        <v>2.7127659574468086</v>
      </c>
      <c r="F668" s="628">
        <f>C668/E657</f>
        <v>0.19957537154989385</v>
      </c>
    </row>
    <row r="671" spans="2:15" ht="15.75">
      <c r="B671" s="50" t="s">
        <v>468</v>
      </c>
      <c r="C671" s="51" t="str">
        <f>'LiLAC valuation'!J223</f>
        <v>Q1 15</v>
      </c>
      <c r="D671" s="51" t="str">
        <f>'LiLAC valuation'!K223</f>
        <v>Q2 15</v>
      </c>
      <c r="E671" s="51" t="str">
        <f>'LiLAC valuation'!L223</f>
        <v>Q3 15</v>
      </c>
      <c r="F671" s="51" t="str">
        <f>'LiLAC valuation'!M223</f>
        <v>Q4 15</v>
      </c>
      <c r="G671" s="51" t="str">
        <f>'LiLAC valuation'!N223</f>
        <v>Q1 16</v>
      </c>
      <c r="H671" s="51" t="str">
        <f>'LiLAC valuation'!O223</f>
        <v>Q2 16</v>
      </c>
      <c r="I671" s="51" t="str">
        <f>'LiLAC valuation'!P223</f>
        <v>Q3 16</v>
      </c>
      <c r="J671" s="51" t="str">
        <f>'LiLAC valuation'!Q223</f>
        <v>Q4 16</v>
      </c>
      <c r="K671" s="51" t="str">
        <f>'LiLAC valuation'!R223</f>
        <v>Q1 17</v>
      </c>
      <c r="L671" s="51" t="str">
        <f>'LiLAC valuation'!S223</f>
        <v>Q2 17</v>
      </c>
    </row>
    <row r="672" spans="2:15" ht="15.75">
      <c r="B672" s="53" t="str">
        <f>'LiLAC valuation'!A238</f>
        <v>Homes passed</v>
      </c>
      <c r="C672" s="621">
        <f>'LiLAC valuation'!J238</f>
        <v>7</v>
      </c>
      <c r="D672" s="621">
        <f>'LiLAC valuation'!K238</f>
        <v>13.5</v>
      </c>
      <c r="E672" s="621">
        <f>'LiLAC valuation'!L238</f>
        <v>35.599999999999909</v>
      </c>
      <c r="F672" s="621">
        <f>'LiLAC valuation'!M238</f>
        <v>26.599999999999909</v>
      </c>
      <c r="G672" s="621">
        <f>'LiLAC valuation'!N238</f>
        <v>19.5</v>
      </c>
      <c r="H672" s="621">
        <f>'LiLAC valuation'!O238</f>
        <v>69.599999999999909</v>
      </c>
      <c r="I672" s="621">
        <f>'LiLAC valuation'!P238</f>
        <v>47.800000000000182</v>
      </c>
      <c r="J672" s="621">
        <f>'LiLAC valuation'!Q238</f>
        <v>18.199999999999818</v>
      </c>
      <c r="K672" s="621">
        <f>'LiLAC valuation'!R238</f>
        <v>54.900000000000091</v>
      </c>
      <c r="L672" s="621">
        <f>'LiLAC valuation'!S238</f>
        <v>47.800000000000182</v>
      </c>
    </row>
    <row r="673" spans="2:12" ht="15.75">
      <c r="B673" s="53" t="str">
        <f>'LiLAC valuation'!A239</f>
        <v>Homes upgraded</v>
      </c>
      <c r="C673" s="621">
        <f>'LiLAC valuation'!J239</f>
        <v>7.3000000000001819</v>
      </c>
      <c r="D673" s="621">
        <f>'LiLAC valuation'!K239</f>
        <v>14.199999999999818</v>
      </c>
      <c r="E673" s="621">
        <f>'LiLAC valuation'!L239</f>
        <v>36.800000000000182</v>
      </c>
      <c r="F673" s="621">
        <f>'LiLAC valuation'!M239</f>
        <v>27.099999999999909</v>
      </c>
      <c r="G673" s="621">
        <f>'LiLAC valuation'!N239</f>
        <v>23.200000000000273</v>
      </c>
      <c r="H673" s="621">
        <f>'LiLAC valuation'!O239</f>
        <v>70.299999999999727</v>
      </c>
      <c r="I673" s="621">
        <f>'LiLAC valuation'!P239</f>
        <v>59.700000000000273</v>
      </c>
      <c r="J673" s="621">
        <f>'LiLAC valuation'!Q239</f>
        <v>12.199999999999818</v>
      </c>
      <c r="K673" s="621">
        <f>'LiLAC valuation'!R239</f>
        <v>48.099999999999909</v>
      </c>
      <c r="L673" s="621">
        <f>'LiLAC valuation'!S239</f>
        <v>58.599999999999909</v>
      </c>
    </row>
    <row r="674" spans="2:12" ht="15.75">
      <c r="B674" s="53" t="str">
        <f>'LiLAC valuation'!A240</f>
        <v>Customers</v>
      </c>
      <c r="C674" s="621">
        <f>'LiLAC valuation'!J240</f>
        <v>12.600000000000136</v>
      </c>
      <c r="D674" s="621">
        <f>'LiLAC valuation'!K240</f>
        <v>12.699999999999818</v>
      </c>
      <c r="E674" s="621">
        <f>'LiLAC valuation'!L240</f>
        <v>9.2000000000000455</v>
      </c>
      <c r="F674" s="621">
        <f>'LiLAC valuation'!M240</f>
        <v>3.6000000000001364</v>
      </c>
      <c r="G674" s="621">
        <f>'LiLAC valuation'!N240</f>
        <v>16.299999999999955</v>
      </c>
      <c r="H674" s="621">
        <f>'LiLAC valuation'!O240</f>
        <v>24.099999999999909</v>
      </c>
      <c r="I674" s="621">
        <f>'LiLAC valuation'!P240</f>
        <v>14</v>
      </c>
      <c r="J674" s="621">
        <f>'LiLAC valuation'!Q240</f>
        <v>11.100000000000136</v>
      </c>
      <c r="K674" s="621">
        <f>'LiLAC valuation'!R240</f>
        <v>23.899999999999864</v>
      </c>
      <c r="L674" s="621">
        <f>'LiLAC valuation'!S240</f>
        <v>22.700000000000045</v>
      </c>
    </row>
    <row r="675" spans="2:12" ht="15.75">
      <c r="B675" s="53" t="str">
        <f>'LiLAC valuation'!A241</f>
        <v>TV</v>
      </c>
      <c r="C675" s="621">
        <f>'LiLAC valuation'!J241</f>
        <v>-5.1000000000000227</v>
      </c>
      <c r="D675" s="621">
        <f>'LiLAC valuation'!K241</f>
        <v>14.5</v>
      </c>
      <c r="E675" s="621">
        <f>'LiLAC valuation'!L241</f>
        <v>3.3000000000000682</v>
      </c>
      <c r="F675" s="621">
        <f>'LiLAC valuation'!M241</f>
        <v>-0.20000000000004547</v>
      </c>
      <c r="G675" s="621">
        <f>'LiLAC valuation'!N241</f>
        <v>4.4000000000000909</v>
      </c>
      <c r="H675" s="621">
        <f>'LiLAC valuation'!O241</f>
        <v>10.299999999999955</v>
      </c>
      <c r="I675" s="621">
        <f>'LiLAC valuation'!P241</f>
        <v>4.0999999999999091</v>
      </c>
      <c r="J675" s="621">
        <f>'LiLAC valuation'!Q241</f>
        <v>2.5</v>
      </c>
      <c r="K675" s="621">
        <f>'LiLAC valuation'!R241</f>
        <v>5</v>
      </c>
      <c r="L675" s="621">
        <f>'LiLAC valuation'!S241</f>
        <v>12.799999999999955</v>
      </c>
    </row>
    <row r="676" spans="2:12" ht="15.75">
      <c r="B676" s="53" t="str">
        <f>'LiLAC valuation'!A242</f>
        <v>Broadband</v>
      </c>
      <c r="C676" s="621">
        <f>'LiLAC valuation'!J242</f>
        <v>22.899999999999977</v>
      </c>
      <c r="D676" s="621">
        <f>'LiLAC valuation'!K242</f>
        <v>22.800000000000068</v>
      </c>
      <c r="E676" s="621">
        <f>'LiLAC valuation'!L242</f>
        <v>15.899999999999977</v>
      </c>
      <c r="F676" s="621">
        <f>'LiLAC valuation'!M242</f>
        <v>9.5</v>
      </c>
      <c r="G676" s="621">
        <f>'LiLAC valuation'!N242</f>
        <v>23.300000000000068</v>
      </c>
      <c r="H676" s="621">
        <f>'LiLAC valuation'!O242</f>
        <v>29.799999999999955</v>
      </c>
      <c r="I676" s="621">
        <f>'LiLAC valuation'!P242</f>
        <v>20.599999999999909</v>
      </c>
      <c r="J676" s="621">
        <f>'LiLAC valuation'!Q242</f>
        <v>14.400000000000091</v>
      </c>
      <c r="K676" s="621">
        <f>'LiLAC valuation'!R242</f>
        <v>26.599999999999909</v>
      </c>
      <c r="L676" s="621">
        <f>'LiLAC valuation'!S242</f>
        <v>25.600000000000136</v>
      </c>
    </row>
    <row r="677" spans="2:12" ht="15.75">
      <c r="B677" s="53" t="str">
        <f>'LiLAC valuation'!A243</f>
        <v>Telephony</v>
      </c>
      <c r="C677" s="621">
        <f>'LiLAC valuation'!J243</f>
        <v>7.8000000000000682</v>
      </c>
      <c r="D677" s="621">
        <f>'LiLAC valuation'!K243</f>
        <v>-0.70000000000004547</v>
      </c>
      <c r="E677" s="621">
        <f>'LiLAC valuation'!L243</f>
        <v>-1.8999999999999773</v>
      </c>
      <c r="F677" s="621">
        <f>'LiLAC valuation'!M243</f>
        <v>-9.1000000000000227</v>
      </c>
      <c r="G677" s="621">
        <f>'LiLAC valuation'!N243</f>
        <v>-11.5</v>
      </c>
      <c r="H677" s="621">
        <f>'LiLAC valuation'!O243</f>
        <v>-3.2999999999999545</v>
      </c>
      <c r="I677" s="621">
        <f>'LiLAC valuation'!P243</f>
        <v>-11.5</v>
      </c>
      <c r="J677" s="621">
        <f>'LiLAC valuation'!Q243</f>
        <v>-6.6000000000000227</v>
      </c>
      <c r="K677" s="621">
        <f>'LiLAC valuation'!R243</f>
        <v>-6.7999999999999545</v>
      </c>
      <c r="L677" s="621">
        <f>'LiLAC valuation'!S243</f>
        <v>-4</v>
      </c>
    </row>
    <row r="678" spans="2:12" ht="15.75">
      <c r="B678" s="53" t="s">
        <v>571</v>
      </c>
      <c r="C678" s="621">
        <f t="shared" ref="C678:L678" si="551">C675+C676+C677</f>
        <v>25.600000000000023</v>
      </c>
      <c r="D678" s="621">
        <f t="shared" si="551"/>
        <v>36.600000000000023</v>
      </c>
      <c r="E678" s="621">
        <f t="shared" si="551"/>
        <v>17.300000000000068</v>
      </c>
      <c r="F678" s="621">
        <f t="shared" si="551"/>
        <v>0.19999999999993179</v>
      </c>
      <c r="G678" s="621">
        <f t="shared" si="551"/>
        <v>16.200000000000159</v>
      </c>
      <c r="H678" s="621">
        <f t="shared" si="551"/>
        <v>36.799999999999955</v>
      </c>
      <c r="I678" s="753">
        <f t="shared" si="551"/>
        <v>13.199999999999818</v>
      </c>
      <c r="J678" s="754">
        <f t="shared" si="551"/>
        <v>10.300000000000068</v>
      </c>
      <c r="K678" s="754">
        <f t="shared" si="551"/>
        <v>24.799999999999955</v>
      </c>
      <c r="L678" s="755">
        <f t="shared" si="551"/>
        <v>34.400000000000091</v>
      </c>
    </row>
    <row r="679" spans="2:12" ht="15.75">
      <c r="B679" s="53" t="str">
        <f>'LiLAC valuation'!A244</f>
        <v>Mobile</v>
      </c>
      <c r="C679" s="621">
        <f>'LiLAC valuation'!J244</f>
        <v>7</v>
      </c>
      <c r="D679" s="621">
        <f>'LiLAC valuation'!K244</f>
        <v>11.699999999999989</v>
      </c>
      <c r="E679" s="621">
        <f>'LiLAC valuation'!L244</f>
        <v>4.8000000000000114</v>
      </c>
      <c r="F679" s="621">
        <f>'LiLAC valuation'!M244</f>
        <v>-2</v>
      </c>
      <c r="G679" s="621">
        <f>'LiLAC valuation'!N244</f>
        <v>0</v>
      </c>
      <c r="H679" s="621">
        <f>'LiLAC valuation'!O244</f>
        <v>7</v>
      </c>
      <c r="I679" s="621">
        <f>'LiLAC valuation'!P244</f>
        <v>11</v>
      </c>
      <c r="J679" s="621">
        <f>'LiLAC valuation'!Q244</f>
        <v>15</v>
      </c>
      <c r="K679" s="621">
        <f>'LiLAC valuation'!R244</f>
        <v>13.699999999999989</v>
      </c>
      <c r="L679" s="621">
        <f>'LiLAC valuation'!S244</f>
        <v>14.300000000000011</v>
      </c>
    </row>
    <row r="681" spans="2:12">
      <c r="B681" s="12" t="s">
        <v>2670</v>
      </c>
    </row>
    <row r="683" spans="2:12" ht="15.75">
      <c r="B683" s="58" t="s">
        <v>2669</v>
      </c>
      <c r="C683" s="53"/>
      <c r="D683" s="53"/>
      <c r="E683" s="53"/>
      <c r="F683" s="53"/>
      <c r="G683" s="53"/>
    </row>
    <row r="684" spans="2:12" ht="15.75">
      <c r="B684" s="58"/>
      <c r="C684" s="53"/>
      <c r="D684" s="53"/>
      <c r="E684" s="53"/>
      <c r="F684" s="53"/>
      <c r="G684" s="53"/>
    </row>
    <row r="685" spans="2:12" ht="15.75">
      <c r="B685" s="636" t="s">
        <v>557</v>
      </c>
      <c r="C685" s="50"/>
      <c r="D685" s="642" t="s">
        <v>1636</v>
      </c>
      <c r="E685" s="642" t="s">
        <v>2092</v>
      </c>
      <c r="F685" s="642" t="s">
        <v>1559</v>
      </c>
      <c r="G685" s="642" t="s">
        <v>1560</v>
      </c>
      <c r="H685" s="642" t="s">
        <v>2570</v>
      </c>
    </row>
    <row r="686" spans="2:12" ht="15.75">
      <c r="B686" s="648" t="s">
        <v>32</v>
      </c>
      <c r="C686" s="648"/>
      <c r="D686" s="648"/>
      <c r="E686" s="648"/>
      <c r="F686" s="648">
        <v>135</v>
      </c>
      <c r="G686" s="648">
        <v>146</v>
      </c>
      <c r="H686" s="648"/>
    </row>
    <row r="687" spans="2:12" ht="15.75">
      <c r="B687" s="53" t="s">
        <v>1479</v>
      </c>
      <c r="C687" s="53"/>
      <c r="D687" s="53"/>
      <c r="E687" s="53"/>
      <c r="F687" s="53">
        <f>G687</f>
        <v>235</v>
      </c>
      <c r="G687" s="53">
        <v>235</v>
      </c>
      <c r="H687" s="53"/>
    </row>
    <row r="688" spans="2:12" ht="15.75">
      <c r="B688" s="666" t="s">
        <v>33</v>
      </c>
      <c r="C688" s="666"/>
      <c r="D688" s="666"/>
      <c r="E688" s="666"/>
      <c r="F688" s="666">
        <f>G688</f>
        <v>90</v>
      </c>
      <c r="G688" s="666">
        <v>90</v>
      </c>
      <c r="H688" s="666"/>
    </row>
    <row r="689" spans="2:8" ht="15.75">
      <c r="B689" s="53" t="s">
        <v>16</v>
      </c>
      <c r="C689" s="53"/>
      <c r="D689" s="53"/>
      <c r="E689" s="53"/>
      <c r="F689" s="53">
        <f>SUM(F686:F688)</f>
        <v>460</v>
      </c>
      <c r="G689" s="53">
        <f>SUM(G686:G688)</f>
        <v>471</v>
      </c>
      <c r="H689" s="53"/>
    </row>
    <row r="690" spans="2:8" ht="15.75">
      <c r="B690" s="648"/>
      <c r="C690" s="648"/>
      <c r="D690" s="648"/>
      <c r="E690" s="648"/>
      <c r="F690" s="648"/>
      <c r="G690" s="648"/>
      <c r="H690" s="648"/>
    </row>
    <row r="691" spans="2:8" ht="15.75">
      <c r="B691" s="58" t="s">
        <v>2718</v>
      </c>
      <c r="C691" s="53"/>
      <c r="D691" s="53"/>
      <c r="E691" s="53"/>
      <c r="F691" s="53"/>
      <c r="G691" s="53"/>
      <c r="H691" s="53"/>
    </row>
    <row r="692" spans="2:8" ht="15.75">
      <c r="B692" s="648" t="s">
        <v>32</v>
      </c>
      <c r="C692" s="648"/>
      <c r="D692" s="648">
        <v>20</v>
      </c>
      <c r="E692" s="648">
        <v>38</v>
      </c>
      <c r="F692" s="648">
        <v>47</v>
      </c>
      <c r="G692" s="648">
        <v>53</v>
      </c>
      <c r="H692" s="648"/>
    </row>
    <row r="693" spans="2:8" ht="15.75">
      <c r="B693" s="53" t="s">
        <v>1479</v>
      </c>
      <c r="C693" s="53"/>
      <c r="D693" s="53"/>
      <c r="E693" s="53">
        <v>21</v>
      </c>
      <c r="F693" s="481">
        <v>36</v>
      </c>
      <c r="G693" s="53">
        <v>51</v>
      </c>
      <c r="H693" s="53"/>
    </row>
    <row r="694" spans="2:8" ht="15.75">
      <c r="B694" s="666" t="s">
        <v>33</v>
      </c>
      <c r="C694" s="666"/>
      <c r="D694" s="666"/>
      <c r="E694" s="666">
        <v>7</v>
      </c>
      <c r="F694" s="696">
        <v>11</v>
      </c>
      <c r="G694" s="666">
        <v>15</v>
      </c>
      <c r="H694" s="666"/>
    </row>
    <row r="695" spans="2:8" ht="15.75">
      <c r="B695" s="53" t="s">
        <v>16</v>
      </c>
      <c r="C695" s="53"/>
      <c r="D695" s="53">
        <v>33</v>
      </c>
      <c r="E695" s="53">
        <f>SUM(E692:E694)</f>
        <v>66</v>
      </c>
      <c r="F695" s="53">
        <f>SUM(F692:F694)</f>
        <v>94</v>
      </c>
      <c r="G695" s="53">
        <f>SUM(G692:G694)</f>
        <v>119</v>
      </c>
      <c r="H695" s="53">
        <f>SUM(H692:H694)</f>
        <v>0</v>
      </c>
    </row>
    <row r="696" spans="2:8" ht="15.75">
      <c r="B696" s="648"/>
      <c r="C696" s="648"/>
      <c r="D696" s="648"/>
      <c r="E696" s="648"/>
      <c r="F696" s="648"/>
      <c r="G696" s="648"/>
      <c r="H696" s="648"/>
    </row>
    <row r="697" spans="2:8" ht="15.75">
      <c r="B697" s="53" t="s">
        <v>54</v>
      </c>
      <c r="C697" s="53"/>
      <c r="D697" s="53"/>
      <c r="E697" s="53"/>
      <c r="F697" s="53">
        <v>255</v>
      </c>
      <c r="G697" s="481">
        <f>G698*G695</f>
        <v>321.3</v>
      </c>
      <c r="H697" s="481"/>
    </row>
    <row r="698" spans="2:8" ht="15.75">
      <c r="B698" s="648" t="s">
        <v>1853</v>
      </c>
      <c r="C698" s="648"/>
      <c r="D698" s="648"/>
      <c r="E698" s="648"/>
      <c r="F698" s="697">
        <f>F697/F695</f>
        <v>2.7127659574468086</v>
      </c>
      <c r="G698" s="697">
        <v>2.7</v>
      </c>
      <c r="H698" s="697"/>
    </row>
    <row r="699" spans="2:8" ht="15.75">
      <c r="B699" s="53"/>
      <c r="C699" s="53"/>
      <c r="D699" s="53"/>
      <c r="E699" s="53"/>
      <c r="F699" s="53"/>
      <c r="G699" s="53"/>
      <c r="H699" s="53"/>
    </row>
    <row r="700" spans="2:8" ht="15.75">
      <c r="B700" s="664" t="s">
        <v>2478</v>
      </c>
      <c r="C700" s="648"/>
      <c r="D700" s="648"/>
      <c r="E700" s="648"/>
      <c r="F700" s="648"/>
      <c r="G700" s="648"/>
      <c r="H700" s="648"/>
    </row>
    <row r="701" spans="2:8" ht="15.75">
      <c r="B701" s="53" t="str">
        <f>B692</f>
        <v>Jamaica</v>
      </c>
      <c r="C701" s="53"/>
      <c r="D701" s="53"/>
      <c r="E701" s="53"/>
      <c r="F701" s="54">
        <f t="shared" ref="F701:G703" si="552">F692/F686</f>
        <v>0.34814814814814815</v>
      </c>
      <c r="G701" s="54">
        <f t="shared" si="552"/>
        <v>0.36301369863013699</v>
      </c>
      <c r="H701" s="54"/>
    </row>
    <row r="702" spans="2:8" ht="15.75">
      <c r="B702" s="648" t="str">
        <f>B693</f>
        <v>T&amp;T</v>
      </c>
      <c r="C702" s="648"/>
      <c r="D702" s="648"/>
      <c r="E702" s="648"/>
      <c r="F702" s="651">
        <f t="shared" si="552"/>
        <v>0.15319148936170213</v>
      </c>
      <c r="G702" s="651">
        <f t="shared" si="552"/>
        <v>0.21702127659574469</v>
      </c>
      <c r="H702" s="651"/>
    </row>
    <row r="703" spans="2:8" ht="15.75">
      <c r="B703" s="50" t="str">
        <f>B694</f>
        <v>Barbados</v>
      </c>
      <c r="C703" s="50"/>
      <c r="D703" s="50"/>
      <c r="E703" s="50"/>
      <c r="F703" s="57">
        <f t="shared" si="552"/>
        <v>0.12222222222222222</v>
      </c>
      <c r="G703" s="57">
        <f t="shared" si="552"/>
        <v>0.16666666666666666</v>
      </c>
      <c r="H703" s="57"/>
    </row>
    <row r="705" spans="2:8" ht="15.75">
      <c r="B705" s="58" t="s">
        <v>29</v>
      </c>
      <c r="C705" s="53"/>
      <c r="D705" s="53"/>
      <c r="E705" s="53"/>
      <c r="F705" s="53"/>
      <c r="G705" s="53"/>
      <c r="H705" s="53"/>
    </row>
    <row r="706" spans="2:8" ht="15.75">
      <c r="B706" s="50" t="s">
        <v>2718</v>
      </c>
      <c r="C706" s="51" t="str">
        <f>D685</f>
        <v>Q1 16</v>
      </c>
      <c r="D706" s="51" t="str">
        <f>E685</f>
        <v>Q2 16</v>
      </c>
      <c r="E706" s="51" t="str">
        <f>F685</f>
        <v>Q3 16</v>
      </c>
      <c r="F706" s="51" t="str">
        <f>G685</f>
        <v>Q4 16</v>
      </c>
      <c r="G706" s="51" t="str">
        <f>H685</f>
        <v>Q1 17</v>
      </c>
      <c r="H706" s="53"/>
    </row>
    <row r="707" spans="2:8" ht="15.75">
      <c r="B707" s="53" t="s">
        <v>32</v>
      </c>
      <c r="C707" s="481" t="e">
        <f t="shared" ref="C707:F709" si="553">D707-D716</f>
        <v>#REF!</v>
      </c>
      <c r="D707" s="481" t="e">
        <f t="shared" si="553"/>
        <v>#REF!</v>
      </c>
      <c r="E707" s="481" t="e">
        <f t="shared" si="553"/>
        <v>#REF!</v>
      </c>
      <c r="F707" s="481" t="e">
        <f t="shared" si="553"/>
        <v>#REF!</v>
      </c>
      <c r="G707" s="481">
        <f>G425</f>
        <v>294.89999999999998</v>
      </c>
      <c r="H707" s="53"/>
    </row>
    <row r="708" spans="2:8" ht="15.75">
      <c r="B708" s="53" t="s">
        <v>1479</v>
      </c>
      <c r="C708" s="481" t="e">
        <f t="shared" si="553"/>
        <v>#REF!</v>
      </c>
      <c r="D708" s="481" t="e">
        <f t="shared" si="553"/>
        <v>#REF!</v>
      </c>
      <c r="E708" s="481" t="e">
        <f t="shared" si="553"/>
        <v>#REF!</v>
      </c>
      <c r="F708" s="481" t="e">
        <f t="shared" si="553"/>
        <v>#REF!</v>
      </c>
      <c r="G708" s="481">
        <f>G437</f>
        <v>163.4</v>
      </c>
      <c r="H708" s="53"/>
    </row>
    <row r="709" spans="2:8" ht="15.75">
      <c r="B709" s="50" t="s">
        <v>33</v>
      </c>
      <c r="C709" s="638" t="e">
        <f t="shared" si="553"/>
        <v>#REF!</v>
      </c>
      <c r="D709" s="638" t="e">
        <f t="shared" si="553"/>
        <v>#REF!</v>
      </c>
      <c r="E709" s="638" t="e">
        <f t="shared" si="553"/>
        <v>#REF!</v>
      </c>
      <c r="F709" s="638" t="e">
        <f t="shared" si="553"/>
        <v>#REF!</v>
      </c>
      <c r="G709" s="638">
        <f>G448</f>
        <v>89.5</v>
      </c>
      <c r="H709" s="53"/>
    </row>
    <row r="710" spans="2:8" ht="15.75">
      <c r="B710" s="53" t="s">
        <v>16</v>
      </c>
      <c r="C710" s="481" t="e">
        <f>SUM(C707:C709)</f>
        <v>#REF!</v>
      </c>
      <c r="D710" s="481" t="e">
        <f>SUM(D707:D709)</f>
        <v>#REF!</v>
      </c>
      <c r="E710" s="481" t="e">
        <f>SUM(E707:E709)</f>
        <v>#REF!</v>
      </c>
      <c r="F710" s="481" t="e">
        <f>SUM(F707:F709)</f>
        <v>#REF!</v>
      </c>
      <c r="G710" s="481">
        <f>SUM(G707:G709)</f>
        <v>547.79999999999995</v>
      </c>
      <c r="H710" s="53"/>
    </row>
    <row r="711" spans="2:8" ht="15.75">
      <c r="B711" s="53"/>
      <c r="C711" s="481"/>
      <c r="D711" s="481"/>
      <c r="E711" s="481"/>
      <c r="F711" s="481"/>
      <c r="G711" s="481"/>
      <c r="H711" s="53"/>
    </row>
    <row r="712" spans="2:8" ht="15.75">
      <c r="B712" s="53" t="s">
        <v>54</v>
      </c>
      <c r="C712" s="481" t="e">
        <f>D712-D721</f>
        <v>#REF!</v>
      </c>
      <c r="D712" s="481" t="e">
        <f>E712-E721</f>
        <v>#REF!</v>
      </c>
      <c r="E712" s="481" t="e">
        <f>F712-F721</f>
        <v>#REF!</v>
      </c>
      <c r="F712" s="481" t="e">
        <f>G712-G721</f>
        <v>#REF!</v>
      </c>
      <c r="G712" s="481">
        <f>G427+G439+G450</f>
        <v>927.80000000000007</v>
      </c>
      <c r="H712" s="53"/>
    </row>
    <row r="713" spans="2:8" ht="15.75">
      <c r="B713" s="53" t="s">
        <v>2242</v>
      </c>
      <c r="C713" s="713" t="e">
        <f>C712/C710</f>
        <v>#REF!</v>
      </c>
      <c r="D713" s="713" t="e">
        <f>D712/D710</f>
        <v>#REF!</v>
      </c>
      <c r="E713" s="713" t="e">
        <f>E712/E710</f>
        <v>#REF!</v>
      </c>
      <c r="F713" s="713" t="e">
        <f>F712/F710</f>
        <v>#REF!</v>
      </c>
      <c r="G713" s="713">
        <f>G712/G710</f>
        <v>1.6936838262139469</v>
      </c>
      <c r="H713" s="53"/>
    </row>
    <row r="714" spans="2:8" ht="15.75">
      <c r="B714" s="53" t="s">
        <v>72</v>
      </c>
      <c r="C714" s="53"/>
      <c r="D714" s="53"/>
      <c r="E714" s="53"/>
      <c r="F714" s="53"/>
      <c r="G714" s="53"/>
      <c r="H714" s="53"/>
    </row>
    <row r="715" spans="2:8" ht="15.75">
      <c r="B715" s="50" t="s">
        <v>2806</v>
      </c>
      <c r="C715" s="51"/>
      <c r="D715" s="51" t="str">
        <f>D706</f>
        <v>Q2 16</v>
      </c>
      <c r="E715" s="51" t="str">
        <f>E706</f>
        <v>Q3 16</v>
      </c>
      <c r="F715" s="51" t="str">
        <f>F706</f>
        <v>Q4 16</v>
      </c>
      <c r="G715" s="51" t="str">
        <f>G706</f>
        <v>Q1 17</v>
      </c>
      <c r="H715" s="53"/>
    </row>
    <row r="716" spans="2:8" ht="15.75">
      <c r="B716" s="53" t="s">
        <v>32</v>
      </c>
      <c r="C716" s="53"/>
      <c r="D716" s="481">
        <f>AN425</f>
        <v>-1.1000000000000001</v>
      </c>
      <c r="E716" s="481">
        <f>AO425</f>
        <v>1.1000000000000227</v>
      </c>
      <c r="F716" s="481" t="e">
        <f>#REF!</f>
        <v>#REF!</v>
      </c>
      <c r="G716" s="481" t="e">
        <f>#REF!</f>
        <v>#REF!</v>
      </c>
      <c r="H716" s="53"/>
    </row>
    <row r="717" spans="2:8" ht="15.75">
      <c r="B717" s="53" t="s">
        <v>1479</v>
      </c>
      <c r="C717" s="53"/>
      <c r="D717" s="481">
        <f>AN437</f>
        <v>-1.8</v>
      </c>
      <c r="E717" s="481">
        <f>AP437</f>
        <v>0</v>
      </c>
      <c r="F717" s="481">
        <f>AQ437</f>
        <v>-3.0999999999999943</v>
      </c>
      <c r="G717" s="481" t="e">
        <f>#REF!</f>
        <v>#REF!</v>
      </c>
    </row>
    <row r="718" spans="2:8" ht="15.75">
      <c r="B718" s="50" t="s">
        <v>33</v>
      </c>
      <c r="C718" s="50"/>
      <c r="D718" s="638">
        <f>AN448</f>
        <v>-1</v>
      </c>
      <c r="E718" s="638">
        <f>AO448</f>
        <v>-1.7999999999999972</v>
      </c>
      <c r="F718" s="638">
        <f>AQ448</f>
        <v>-2.2999999999999972</v>
      </c>
      <c r="G718" s="638" t="e">
        <f>#REF!</f>
        <v>#REF!</v>
      </c>
    </row>
    <row r="719" spans="2:8" ht="15.75">
      <c r="B719" s="53" t="s">
        <v>16</v>
      </c>
      <c r="C719" s="53"/>
      <c r="D719" s="481">
        <f>SUM(D716:D718)</f>
        <v>-3.9000000000000004</v>
      </c>
      <c r="E719" s="481">
        <f>SUM(E716:E718)</f>
        <v>-0.69999999999997442</v>
      </c>
      <c r="F719" s="481" t="e">
        <f>SUM(F716:F718)</f>
        <v>#REF!</v>
      </c>
      <c r="G719" s="481" t="e">
        <f>SUM(G716:G718)</f>
        <v>#REF!</v>
      </c>
    </row>
    <row r="720" spans="2:8" ht="15.75">
      <c r="B720" s="53"/>
      <c r="C720" s="53"/>
      <c r="D720" s="53"/>
      <c r="E720" s="53"/>
      <c r="F720" s="53"/>
      <c r="G720" s="53"/>
    </row>
    <row r="721" spans="2:7" ht="15.75">
      <c r="B721" s="53" t="s">
        <v>2807</v>
      </c>
      <c r="C721" s="53"/>
      <c r="D721" s="53">
        <f>AN427+AN439+AN450</f>
        <v>6.4</v>
      </c>
      <c r="E721" s="53">
        <f>AO427+AP439+AO450</f>
        <v>11.900000000000029</v>
      </c>
      <c r="F721" s="53" t="e">
        <f>#REF!+AQ439+AQ450</f>
        <v>#REF!</v>
      </c>
      <c r="G721" s="53" t="e">
        <f>#REF!+#REF!+#REF!</f>
        <v>#REF!</v>
      </c>
    </row>
    <row r="723" spans="2:7" ht="15.75">
      <c r="B723" s="53" t="s">
        <v>1365</v>
      </c>
    </row>
    <row r="724" spans="2:7" ht="15.75">
      <c r="B724" s="50" t="s">
        <v>2718</v>
      </c>
      <c r="C724" s="51" t="str">
        <f>C706</f>
        <v>Q1 16</v>
      </c>
      <c r="D724" s="51" t="str">
        <f>D706</f>
        <v>Q2 16</v>
      </c>
      <c r="E724" s="51" t="str">
        <f>E706</f>
        <v>Q3 16</v>
      </c>
      <c r="F724" s="51" t="str">
        <f>F706</f>
        <v>Q4 16</v>
      </c>
      <c r="G724" s="51" t="str">
        <f>G706</f>
        <v>Q1 17</v>
      </c>
    </row>
    <row r="725" spans="2:7" ht="15.75">
      <c r="B725" s="53" t="str">
        <f>B707</f>
        <v>Jamaica</v>
      </c>
      <c r="C725" s="53">
        <f>D692</f>
        <v>20</v>
      </c>
      <c r="D725" s="53">
        <f>E692</f>
        <v>38</v>
      </c>
      <c r="E725" s="53">
        <f>F692</f>
        <v>47</v>
      </c>
      <c r="F725" s="53">
        <f>G692</f>
        <v>53</v>
      </c>
    </row>
    <row r="726" spans="2:7" ht="15.75">
      <c r="B726" s="53" t="str">
        <f>B708</f>
        <v>T&amp;T</v>
      </c>
      <c r="C726" s="714">
        <v>5</v>
      </c>
      <c r="D726" s="53">
        <f t="shared" ref="D726:F727" si="554">E693</f>
        <v>21</v>
      </c>
      <c r="E726" s="53">
        <f t="shared" si="554"/>
        <v>36</v>
      </c>
      <c r="F726" s="53">
        <f t="shared" si="554"/>
        <v>51</v>
      </c>
    </row>
    <row r="727" spans="2:7" ht="15.75">
      <c r="B727" s="50" t="str">
        <f>B709</f>
        <v>Barbados</v>
      </c>
      <c r="C727" s="715">
        <v>0</v>
      </c>
      <c r="D727" s="50">
        <f t="shared" si="554"/>
        <v>7</v>
      </c>
      <c r="E727" s="50">
        <f t="shared" si="554"/>
        <v>11</v>
      </c>
      <c r="F727" s="50">
        <f t="shared" si="554"/>
        <v>15</v>
      </c>
      <c r="G727" s="3"/>
    </row>
    <row r="728" spans="2:7" ht="15.75">
      <c r="B728" s="53" t="s">
        <v>16</v>
      </c>
      <c r="C728" s="53">
        <f>SUM(C725:C727)</f>
        <v>25</v>
      </c>
      <c r="D728" s="53">
        <f>SUM(D725:D727)</f>
        <v>66</v>
      </c>
      <c r="E728" s="53">
        <f>SUM(E725:E727)</f>
        <v>94</v>
      </c>
      <c r="F728" s="53">
        <f>SUM(F725:F727)</f>
        <v>119</v>
      </c>
      <c r="G728" s="53">
        <v>123</v>
      </c>
    </row>
    <row r="729" spans="2:7" ht="15.75">
      <c r="B729" s="53"/>
      <c r="C729" s="53"/>
      <c r="D729" s="53"/>
      <c r="E729" s="53"/>
      <c r="F729" s="53"/>
    </row>
    <row r="730" spans="2:7" ht="15.75">
      <c r="B730" s="53" t="s">
        <v>54</v>
      </c>
      <c r="C730" s="621"/>
      <c r="D730" s="621"/>
      <c r="E730" s="481">
        <f>F697</f>
        <v>255</v>
      </c>
      <c r="F730" s="481">
        <f>G697</f>
        <v>321.3</v>
      </c>
      <c r="G730" s="481">
        <v>324</v>
      </c>
    </row>
    <row r="731" spans="2:7" ht="15.75">
      <c r="B731" s="53" t="s">
        <v>2242</v>
      </c>
      <c r="C731" s="713"/>
      <c r="D731" s="713"/>
      <c r="E731" s="713">
        <f>E730/E728</f>
        <v>2.7127659574468086</v>
      </c>
      <c r="F731" s="713">
        <f>F730/F728</f>
        <v>2.7</v>
      </c>
      <c r="G731" s="713">
        <f>G730/G728</f>
        <v>2.6341463414634148</v>
      </c>
    </row>
    <row r="732" spans="2:7" ht="15.75">
      <c r="B732" s="53"/>
      <c r="C732" s="53"/>
      <c r="D732" s="53"/>
      <c r="E732" s="53"/>
      <c r="F732" s="53"/>
    </row>
    <row r="733" spans="2:7" ht="15.75">
      <c r="B733" s="50" t="s">
        <v>2806</v>
      </c>
      <c r="C733" s="51"/>
      <c r="D733" s="51"/>
      <c r="E733" s="51"/>
      <c r="F733" s="51"/>
      <c r="G733" s="3"/>
    </row>
    <row r="734" spans="2:7" ht="15.75">
      <c r="B734" s="53" t="str">
        <f>B716</f>
        <v>Jamaica</v>
      </c>
      <c r="C734" s="53"/>
      <c r="D734" s="53">
        <f>D725-C725</f>
        <v>18</v>
      </c>
      <c r="E734" s="53">
        <f>E725-D725</f>
        <v>9</v>
      </c>
      <c r="F734" s="53">
        <f>F725-E725</f>
        <v>6</v>
      </c>
    </row>
    <row r="735" spans="2:7" ht="15.75">
      <c r="B735" s="53" t="str">
        <f>B717</f>
        <v>T&amp;T</v>
      </c>
      <c r="C735" s="53"/>
      <c r="D735" s="53"/>
      <c r="E735" s="53">
        <f>E726-D726</f>
        <v>15</v>
      </c>
      <c r="F735" s="53">
        <f>F726-E726</f>
        <v>15</v>
      </c>
    </row>
    <row r="736" spans="2:7" ht="15.75">
      <c r="B736" s="50" t="str">
        <f>B718</f>
        <v>Barbados</v>
      </c>
      <c r="C736" s="50"/>
      <c r="D736" s="50"/>
      <c r="E736" s="50">
        <f>E727-D727</f>
        <v>4</v>
      </c>
      <c r="F736" s="50">
        <f>F727-E727</f>
        <v>4</v>
      </c>
      <c r="G736" s="3"/>
    </row>
    <row r="737" spans="2:7" ht="15.75">
      <c r="B737" s="53" t="s">
        <v>2810</v>
      </c>
      <c r="C737" s="53">
        <f>C728</f>
        <v>25</v>
      </c>
      <c r="D737" s="53">
        <f>D728-C728</f>
        <v>41</v>
      </c>
      <c r="E737" s="53">
        <f>E728-D728</f>
        <v>28</v>
      </c>
      <c r="F737" s="53">
        <f>SUM(F734:F736)</f>
        <v>25</v>
      </c>
      <c r="G737" s="53">
        <v>13</v>
      </c>
    </row>
    <row r="738" spans="2:7" ht="15.75">
      <c r="B738" s="53"/>
      <c r="C738" s="53"/>
      <c r="D738" s="53"/>
      <c r="E738" s="53"/>
      <c r="F738" s="53"/>
    </row>
    <row r="739" spans="2:7" ht="15.75">
      <c r="B739" s="53" t="s">
        <v>2807</v>
      </c>
      <c r="C739" s="53"/>
      <c r="D739" s="53"/>
      <c r="E739" s="53"/>
      <c r="F739" s="481">
        <f>F730-E730</f>
        <v>66.300000000000011</v>
      </c>
      <c r="G739" s="481">
        <f>G730-F730</f>
        <v>2.6999999999999886</v>
      </c>
    </row>
    <row r="742" spans="2:7">
      <c r="B742" t="s">
        <v>2808</v>
      </c>
    </row>
    <row r="743" spans="2:7">
      <c r="B743" t="s">
        <v>2809</v>
      </c>
    </row>
    <row r="745" spans="2:7">
      <c r="B745" s="3" t="s">
        <v>1569</v>
      </c>
      <c r="C745" s="4" t="str">
        <f>C706</f>
        <v>Q1 16</v>
      </c>
      <c r="D745" s="4" t="str">
        <f>D706</f>
        <v>Q2 16</v>
      </c>
      <c r="E745" s="4" t="str">
        <f>E706</f>
        <v>Q3 16</v>
      </c>
      <c r="F745" s="4" t="str">
        <f>F706</f>
        <v>Q4 16</v>
      </c>
      <c r="G745" s="4" t="str">
        <f>G706</f>
        <v>Q1 17</v>
      </c>
    </row>
    <row r="746" spans="2:7">
      <c r="B746" t="s">
        <v>29</v>
      </c>
      <c r="C746" s="16" t="e">
        <f>C710</f>
        <v>#REF!</v>
      </c>
      <c r="D746" s="16" t="e">
        <f>D710</f>
        <v>#REF!</v>
      </c>
      <c r="E746" s="16" t="e">
        <f>E710</f>
        <v>#REF!</v>
      </c>
      <c r="F746" s="16" t="e">
        <f>F710</f>
        <v>#REF!</v>
      </c>
      <c r="G746" s="16">
        <f>G710</f>
        <v>547.79999999999995</v>
      </c>
    </row>
    <row r="747" spans="2:7">
      <c r="B747" t="s">
        <v>1365</v>
      </c>
      <c r="C747">
        <f>C728</f>
        <v>25</v>
      </c>
      <c r="D747">
        <f>D728</f>
        <v>66</v>
      </c>
      <c r="E747">
        <f>E728</f>
        <v>94</v>
      </c>
      <c r="F747">
        <f>F728</f>
        <v>119</v>
      </c>
      <c r="G747">
        <f>G728</f>
        <v>123</v>
      </c>
    </row>
    <row r="749" spans="2:7">
      <c r="B749" t="s">
        <v>2811</v>
      </c>
    </row>
    <row r="750" spans="2:7">
      <c r="B750" t="str">
        <f>B746</f>
        <v>CWC</v>
      </c>
      <c r="D750" s="16">
        <f>D719</f>
        <v>-3.9000000000000004</v>
      </c>
      <c r="E750" s="16">
        <f>E719</f>
        <v>-0.69999999999997442</v>
      </c>
      <c r="F750" s="16" t="e">
        <f>F719</f>
        <v>#REF!</v>
      </c>
      <c r="G750" s="16" t="e">
        <f>G719</f>
        <v>#REF!</v>
      </c>
    </row>
    <row r="751" spans="2:7">
      <c r="B751" t="s">
        <v>1365</v>
      </c>
      <c r="C751">
        <f>C737</f>
        <v>25</v>
      </c>
      <c r="D751">
        <f>D737</f>
        <v>41</v>
      </c>
      <c r="E751">
        <f>E737</f>
        <v>28</v>
      </c>
      <c r="F751">
        <f>F737</f>
        <v>25</v>
      </c>
      <c r="G751">
        <f>G737</f>
        <v>13</v>
      </c>
    </row>
    <row r="758" spans="2:7" ht="15.75">
      <c r="B758" s="303" t="s">
        <v>933</v>
      </c>
      <c r="C758" s="92"/>
      <c r="D758" s="92"/>
      <c r="E758" s="92"/>
      <c r="F758" s="92"/>
      <c r="G758" s="236"/>
    </row>
    <row r="759" spans="2:7" ht="15.75">
      <c r="B759" s="130"/>
      <c r="C759" s="12"/>
      <c r="D759" s="841" t="s">
        <v>5080</v>
      </c>
      <c r="E759" s="130"/>
      <c r="F759" s="841" t="s">
        <v>5081</v>
      </c>
      <c r="G759" s="130"/>
    </row>
    <row r="760" spans="2:7" ht="15.75">
      <c r="B760" s="795" t="s">
        <v>2353</v>
      </c>
      <c r="C760" s="796" t="s">
        <v>5878</v>
      </c>
      <c r="D760" s="796" t="s">
        <v>5879</v>
      </c>
      <c r="E760" s="796" t="s">
        <v>3163</v>
      </c>
      <c r="F760" s="796" t="s">
        <v>5879</v>
      </c>
      <c r="G760" s="796" t="s">
        <v>3163</v>
      </c>
    </row>
    <row r="761" spans="2:7" ht="15.75">
      <c r="B761" s="1117" t="s">
        <v>936</v>
      </c>
      <c r="C761" s="1118">
        <f>'New quarts'!AJ194</f>
        <v>1192</v>
      </c>
      <c r="D761" s="1118" t="e">
        <f>'New quarts'!#REF!</f>
        <v>#REF!</v>
      </c>
      <c r="E761" s="1119" t="e">
        <f>C761/D761-1</f>
        <v>#REF!</v>
      </c>
      <c r="F761" s="1118" t="e">
        <f>'New quarts'!#REF!</f>
        <v>#REF!</v>
      </c>
      <c r="G761" s="1119" t="e">
        <f>C761/F761-1</f>
        <v>#REF!</v>
      </c>
    </row>
    <row r="762" spans="2:7" ht="15.75" hidden="1" outlineLevel="2">
      <c r="B762" s="344" t="s">
        <v>4431</v>
      </c>
      <c r="C762" s="1107">
        <f>C761+3</f>
        <v>1195</v>
      </c>
      <c r="D762" s="1107" t="e">
        <f>D761+3</f>
        <v>#REF!</v>
      </c>
      <c r="E762" s="124" t="e">
        <f>#REF!/#REF!-1</f>
        <v>#REF!</v>
      </c>
      <c r="F762" s="92"/>
      <c r="G762" s="92"/>
    </row>
    <row r="763" spans="2:7" ht="15.75" collapsed="1">
      <c r="B763" s="130" t="s">
        <v>5880</v>
      </c>
      <c r="C763" s="1106">
        <f>C761-C767</f>
        <v>1115.0999999999999</v>
      </c>
      <c r="D763" s="1106" t="e">
        <f>D761-D767</f>
        <v>#REF!</v>
      </c>
      <c r="E763" s="991" t="e">
        <f>C763/D763-1</f>
        <v>#REF!</v>
      </c>
      <c r="F763" s="1106"/>
      <c r="G763" s="991"/>
    </row>
    <row r="764" spans="2:7" ht="15.75">
      <c r="B764" s="1120" t="s">
        <v>4952</v>
      </c>
      <c r="C764" s="1118"/>
      <c r="D764" s="1118"/>
      <c r="E764" s="1119"/>
      <c r="F764" s="1121"/>
      <c r="G764" s="1119"/>
    </row>
    <row r="765" spans="2:7" ht="15.75">
      <c r="B765" s="359" t="s">
        <v>2915</v>
      </c>
      <c r="C765" s="345">
        <f>'New quarts'!AJ190</f>
        <v>563.4</v>
      </c>
      <c r="D765" s="345" t="e">
        <f>'New quarts'!#REF!</f>
        <v>#REF!</v>
      </c>
      <c r="E765" s="124" t="e">
        <f t="shared" ref="E765:E770" si="555">C765/D765-1</f>
        <v>#REF!</v>
      </c>
      <c r="F765" s="92"/>
      <c r="G765" s="92"/>
    </row>
    <row r="766" spans="2:7" ht="15.75" hidden="1" outlineLevel="3">
      <c r="B766" s="361" t="s">
        <v>4432</v>
      </c>
      <c r="C766" s="1107">
        <f>C765+3</f>
        <v>566.4</v>
      </c>
      <c r="D766" s="1107" t="e">
        <f>D765+3</f>
        <v>#REF!</v>
      </c>
      <c r="E766" s="124" t="e">
        <f t="shared" si="555"/>
        <v>#REF!</v>
      </c>
      <c r="F766" s="92"/>
      <c r="G766" s="92"/>
    </row>
    <row r="767" spans="2:7" ht="15.75" collapsed="1">
      <c r="B767" s="1122" t="s">
        <v>4357</v>
      </c>
      <c r="C767" s="1123">
        <f>'New quarts'!AJ192</f>
        <v>76.900000000000006</v>
      </c>
      <c r="D767" s="1123" t="e">
        <f>'New quarts'!#REF!</f>
        <v>#REF!</v>
      </c>
      <c r="E767" s="895" t="e">
        <f t="shared" si="555"/>
        <v>#REF!</v>
      </c>
      <c r="F767" s="890"/>
      <c r="G767" s="890"/>
    </row>
    <row r="768" spans="2:7" ht="15.75">
      <c r="B768" s="359" t="s">
        <v>2916</v>
      </c>
      <c r="C768" s="345">
        <f>'LiLAC valuation'!AG316</f>
        <v>207.7016824059636</v>
      </c>
      <c r="D768" s="345">
        <f>'LiLAC valuation'!AH316</f>
        <v>210.3</v>
      </c>
      <c r="E768" s="124">
        <f t="shared" si="555"/>
        <v>-1.2355290508970107E-2</v>
      </c>
      <c r="F768" s="92"/>
      <c r="G768" s="92"/>
    </row>
    <row r="769" spans="2:9" ht="15.75">
      <c r="B769" s="1122" t="s">
        <v>5372</v>
      </c>
      <c r="C769" s="1123">
        <f>'LiLAC valuation'!AG351</f>
        <v>123</v>
      </c>
      <c r="D769" s="1123">
        <f>'LiLAC valuation'!AH351</f>
        <v>121</v>
      </c>
      <c r="E769" s="895">
        <f t="shared" si="555"/>
        <v>1.6528925619834656E-2</v>
      </c>
      <c r="F769" s="890"/>
      <c r="G769" s="890"/>
    </row>
    <row r="770" spans="2:9" ht="15.75">
      <c r="B770" s="359" t="s">
        <v>5373</v>
      </c>
      <c r="C770" s="345">
        <f>AJ55</f>
        <v>177.3</v>
      </c>
      <c r="D770" s="345" t="e">
        <f>#REF!</f>
        <v>#REF!</v>
      </c>
      <c r="E770" s="124" t="e">
        <f t="shared" si="555"/>
        <v>#REF!</v>
      </c>
      <c r="F770" s="92"/>
      <c r="G770" s="92"/>
    </row>
    <row r="771" spans="2:9" ht="15.75">
      <c r="B771" s="890"/>
      <c r="C771" s="1123"/>
      <c r="D771" s="1123"/>
      <c r="E771" s="895"/>
      <c r="F771" s="890"/>
      <c r="G771" s="890"/>
    </row>
    <row r="772" spans="2:9" ht="15.75">
      <c r="B772" s="130" t="s">
        <v>2917</v>
      </c>
      <c r="C772" s="1106">
        <f>'New quarts'!AJ236</f>
        <v>446</v>
      </c>
      <c r="D772" s="1106" t="e">
        <f>'New quarts'!#REF!</f>
        <v>#REF!</v>
      </c>
      <c r="E772" s="991" t="e">
        <f>C772/D772-1</f>
        <v>#REF!</v>
      </c>
      <c r="F772" s="1106" t="e">
        <f>'New quarts'!#REF!</f>
        <v>#REF!</v>
      </c>
      <c r="G772" s="991" t="e">
        <f>C772/F772-1</f>
        <v>#REF!</v>
      </c>
    </row>
    <row r="773" spans="2:9" ht="15.75" outlineLevel="3">
      <c r="B773" s="344" t="s">
        <v>4431</v>
      </c>
      <c r="C773" s="1107">
        <f>C772</f>
        <v>446</v>
      </c>
      <c r="D773" s="1107" t="e">
        <f>D772</f>
        <v>#REF!</v>
      </c>
      <c r="E773" s="124" t="e">
        <f>#REF!/#REF!-1</f>
        <v>#REF!</v>
      </c>
      <c r="F773" s="92"/>
      <c r="G773" s="92"/>
    </row>
    <row r="774" spans="2:9" ht="15.75">
      <c r="B774" s="1117" t="str">
        <f>B763</f>
        <v>ex-Costa Rica</v>
      </c>
      <c r="C774" s="1118">
        <f>C772-C778</f>
        <v>422</v>
      </c>
      <c r="D774" s="1118" t="e">
        <f>D772-D778</f>
        <v>#REF!</v>
      </c>
      <c r="E774" s="1119" t="e">
        <f>C774/D774-1</f>
        <v>#REF!</v>
      </c>
      <c r="F774" s="1121"/>
      <c r="G774" s="1119"/>
    </row>
    <row r="775" spans="2:9" ht="15.75">
      <c r="B775" s="335" t="s">
        <v>4952</v>
      </c>
      <c r="C775" s="345"/>
      <c r="D775" s="345"/>
      <c r="E775" s="124"/>
      <c r="F775" s="92"/>
      <c r="G775" s="92"/>
    </row>
    <row r="776" spans="2:9" ht="15.75">
      <c r="B776" s="1122" t="str">
        <f>B765</f>
        <v>- of which CWC</v>
      </c>
      <c r="C776" s="1123">
        <f>'New quarts'!AJ211</f>
        <v>229.5</v>
      </c>
      <c r="D776" s="1123" t="e">
        <f>'New quarts'!#REF!</f>
        <v>#REF!</v>
      </c>
      <c r="E776" s="895" t="e">
        <f t="shared" ref="E776:E782" si="556">C776/D776-1</f>
        <v>#REF!</v>
      </c>
      <c r="F776" s="890"/>
      <c r="G776" s="890"/>
    </row>
    <row r="777" spans="2:9" ht="15.75" outlineLevel="3">
      <c r="B777" s="361" t="s">
        <v>4432</v>
      </c>
      <c r="C777" s="1107">
        <f>C776</f>
        <v>229.5</v>
      </c>
      <c r="D777" s="1107" t="e">
        <f>D776</f>
        <v>#REF!</v>
      </c>
      <c r="E777" s="124" t="e">
        <f t="shared" si="556"/>
        <v>#REF!</v>
      </c>
      <c r="F777" s="92"/>
      <c r="G777" s="92"/>
    </row>
    <row r="778" spans="2:9" ht="15.75">
      <c r="B778" s="359" t="str">
        <f>B767</f>
        <v>- of which Costa Rica</v>
      </c>
      <c r="C778" s="345">
        <f>'New quarts'!AJ233</f>
        <v>24</v>
      </c>
      <c r="D778" s="345" t="e">
        <f>'New quarts'!#REF!</f>
        <v>#REF!</v>
      </c>
      <c r="E778" s="124" t="e">
        <f t="shared" si="556"/>
        <v>#REF!</v>
      </c>
      <c r="F778" s="92"/>
      <c r="G778" s="92"/>
    </row>
    <row r="779" spans="2:9" ht="15.75">
      <c r="B779" s="1122" t="str">
        <f>B768</f>
        <v xml:space="preserve">- of which Chile </v>
      </c>
      <c r="C779" s="1123">
        <f>'LiLAC valuation'!AJ317</f>
        <v>65.099999999999994</v>
      </c>
      <c r="D779" s="1123" t="e">
        <f>'LiLAC valuation'!#REF!</f>
        <v>#REF!</v>
      </c>
      <c r="E779" s="895" t="e">
        <f t="shared" si="556"/>
        <v>#REF!</v>
      </c>
      <c r="F779" s="890"/>
      <c r="G779" s="890"/>
    </row>
    <row r="780" spans="2:9" ht="15.75">
      <c r="B780" s="359" t="str">
        <f>B769</f>
        <v>- of which PR (legacy)</v>
      </c>
      <c r="C780" s="345">
        <f>AJ242-C781</f>
        <v>86.300000000000011</v>
      </c>
      <c r="D780" s="345" t="e">
        <f>#REF!-D781</f>
        <v>#REF!</v>
      </c>
      <c r="E780" s="124" t="e">
        <f t="shared" si="556"/>
        <v>#REF!</v>
      </c>
      <c r="F780" s="92"/>
      <c r="G780" s="92"/>
      <c r="H780" s="313">
        <f>C780/C769</f>
        <v>0.70162601626016274</v>
      </c>
      <c r="I780" s="313" t="e">
        <f>D780/D769</f>
        <v>#REF!</v>
      </c>
    </row>
    <row r="781" spans="2:9" ht="15.75">
      <c r="B781" s="1122" t="str">
        <f>B770</f>
        <v>- of which PR (AT&amp;T)</v>
      </c>
      <c r="C781" s="1123">
        <f>AJ259</f>
        <v>53</v>
      </c>
      <c r="D781" s="1123" t="e">
        <f>#REF!</f>
        <v>#REF!</v>
      </c>
      <c r="E781" s="895" t="e">
        <f t="shared" si="556"/>
        <v>#REF!</v>
      </c>
      <c r="F781" s="890"/>
      <c r="G781" s="890"/>
      <c r="H781" s="313">
        <f>C781/C770</f>
        <v>0.29892836999435984</v>
      </c>
      <c r="I781" s="313" t="e">
        <f>D781/D770</f>
        <v>#REF!</v>
      </c>
    </row>
    <row r="782" spans="2:9" ht="15.75">
      <c r="B782" s="359" t="s">
        <v>3390</v>
      </c>
      <c r="C782" s="345">
        <f>C772-C776-C779-C780-C778-C781</f>
        <v>-11.900000000000006</v>
      </c>
      <c r="D782" s="345" t="e">
        <f>D772-D776-D779-D780-D778-D781</f>
        <v>#REF!</v>
      </c>
      <c r="E782" s="124" t="e">
        <f t="shared" si="556"/>
        <v>#REF!</v>
      </c>
      <c r="F782" s="92"/>
      <c r="G782" s="92"/>
    </row>
    <row r="783" spans="2:9" ht="15.75">
      <c r="B783" s="1122"/>
      <c r="C783" s="1124"/>
      <c r="D783" s="1124"/>
      <c r="E783" s="895"/>
      <c r="F783" s="555"/>
      <c r="G783" s="555"/>
    </row>
    <row r="784" spans="2:9" ht="15.75" outlineLevel="1">
      <c r="B784" s="359" t="s">
        <v>3364</v>
      </c>
      <c r="C784" s="345">
        <f>P810</f>
        <v>975</v>
      </c>
      <c r="D784" s="345">
        <f>Q810</f>
        <v>931</v>
      </c>
      <c r="E784" s="124" t="e">
        <f>#REF!/#REF!-1</f>
        <v>#REF!</v>
      </c>
      <c r="F784" s="92"/>
      <c r="G784" s="92"/>
    </row>
    <row r="785" spans="2:7" ht="15.75" outlineLevel="1">
      <c r="B785" s="359" t="str">
        <f>B765</f>
        <v>- of which CWC</v>
      </c>
      <c r="C785" s="345">
        <f>P805</f>
        <v>617.20000000000005</v>
      </c>
      <c r="D785" s="345">
        <f>Q805</f>
        <v>588.6</v>
      </c>
      <c r="E785" s="124" t="e">
        <f>#REF!/#REF!-1</f>
        <v>#REF!</v>
      </c>
      <c r="F785" s="92"/>
      <c r="G785" s="92"/>
    </row>
    <row r="786" spans="2:7" ht="15.75" outlineLevel="1">
      <c r="B786" s="359" t="str">
        <f>B768</f>
        <v xml:space="preserve">- of which Chile </v>
      </c>
      <c r="C786" s="345">
        <f>P807</f>
        <v>221.4</v>
      </c>
      <c r="D786" s="345">
        <f>Q807</f>
        <v>206.05608406391843</v>
      </c>
      <c r="E786" s="124" t="e">
        <f>#REF!/#REF!-1</f>
        <v>#REF!</v>
      </c>
      <c r="F786" s="92"/>
      <c r="G786" s="92"/>
    </row>
    <row r="787" spans="2:7" ht="15.75" outlineLevel="1">
      <c r="B787" s="359" t="str">
        <f>B769</f>
        <v>- of which PR (legacy)</v>
      </c>
      <c r="C787" s="345">
        <f>P808</f>
        <v>105.4</v>
      </c>
      <c r="D787" s="345">
        <f>Q808</f>
        <v>104.6</v>
      </c>
      <c r="E787" s="124" t="e">
        <f>#REF!/#REF!-1</f>
        <v>#REF!</v>
      </c>
      <c r="F787" s="92"/>
      <c r="G787" s="92"/>
    </row>
    <row r="788" spans="2:7" ht="15.75" outlineLevel="1">
      <c r="B788" s="359"/>
      <c r="C788" s="345"/>
      <c r="D788" s="345"/>
      <c r="E788" s="124"/>
      <c r="F788" s="92"/>
      <c r="G788" s="92"/>
    </row>
    <row r="789" spans="2:7" ht="15.75" outlineLevel="1">
      <c r="B789" s="359" t="s">
        <v>3363</v>
      </c>
      <c r="C789" s="345">
        <f>Snaps!F127</f>
        <v>391</v>
      </c>
      <c r="D789" s="345">
        <f>Snaps!G127</f>
        <v>363.9</v>
      </c>
      <c r="E789" s="124" t="e">
        <f>#REF!/#REF!-1</f>
        <v>#REF!</v>
      </c>
      <c r="F789" s="92"/>
      <c r="G789" s="92"/>
    </row>
    <row r="790" spans="2:7" ht="15.75" outlineLevel="1">
      <c r="B790" s="359" t="str">
        <f>B776</f>
        <v>- of which CWC</v>
      </c>
      <c r="C790" s="345">
        <f>Snaps!F121</f>
        <v>248.10000000000002</v>
      </c>
      <c r="D790" s="345">
        <f>Snaps!G121</f>
        <v>232.8</v>
      </c>
      <c r="E790" s="124" t="e">
        <f>#REF!/#REF!-1</f>
        <v>#REF!</v>
      </c>
      <c r="F790" s="92"/>
      <c r="G790" s="92"/>
    </row>
    <row r="791" spans="2:7" ht="15.75" outlineLevel="1">
      <c r="B791" s="359" t="str">
        <f>B779</f>
        <v xml:space="preserve">- of which Chile </v>
      </c>
      <c r="C791" s="345">
        <f>Snaps!F123</f>
        <v>95.5</v>
      </c>
      <c r="D791" s="345">
        <f>Snaps!G123</f>
        <v>79.711496611328727</v>
      </c>
      <c r="E791" s="124" t="e">
        <f>#REF!/#REF!-1</f>
        <v>#REF!</v>
      </c>
      <c r="F791" s="92"/>
      <c r="G791" s="92"/>
    </row>
    <row r="792" spans="2:7" ht="15.75" outlineLevel="1">
      <c r="B792" s="359" t="str">
        <f>B780</f>
        <v>- of which PR (legacy)</v>
      </c>
      <c r="C792" s="345">
        <f>Snaps!F124</f>
        <v>52.9</v>
      </c>
      <c r="D792" s="345">
        <f>Snaps!G124</f>
        <v>50.5</v>
      </c>
      <c r="E792" s="124" t="e">
        <f>#REF!/#REF!-1</f>
        <v>#REF!</v>
      </c>
      <c r="F792" s="92"/>
      <c r="G792" s="92"/>
    </row>
    <row r="793" spans="2:7" ht="15.75" outlineLevel="1">
      <c r="B793" s="359" t="str">
        <f>B782</f>
        <v>- of which other</v>
      </c>
      <c r="C793" s="345">
        <f>C789-C790-C791-C792</f>
        <v>-5.5000000000000213</v>
      </c>
      <c r="D793" s="345">
        <f>D789-D790-D791-D792</f>
        <v>0.88850338867123924</v>
      </c>
      <c r="E793" s="124" t="e">
        <f>#REF!/#REF!-1</f>
        <v>#REF!</v>
      </c>
      <c r="F793" s="92"/>
      <c r="G793" s="92"/>
    </row>
    <row r="794" spans="2:7" ht="15.75" outlineLevel="1">
      <c r="B794" s="359"/>
      <c r="C794" s="345"/>
      <c r="D794" s="345"/>
      <c r="E794" s="124"/>
      <c r="F794" s="92"/>
      <c r="G794" s="92"/>
    </row>
    <row r="795" spans="2:7" ht="15.75">
      <c r="B795" s="92" t="s">
        <v>83</v>
      </c>
      <c r="C795" s="345">
        <f>'New quarts'!AJ314</f>
        <v>138.9</v>
      </c>
      <c r="D795" s="345" t="e">
        <f>'New quarts'!#REF!</f>
        <v>#REF!</v>
      </c>
      <c r="E795" s="124" t="e">
        <f>C795/D795-1</f>
        <v>#REF!</v>
      </c>
      <c r="F795" s="92"/>
      <c r="G795" s="92"/>
    </row>
    <row r="796" spans="2:7" ht="15.75" hidden="1">
      <c r="B796" s="92" t="s">
        <v>66</v>
      </c>
      <c r="C796" s="345">
        <f>'New quarts'!AJ321</f>
        <v>114.80000000000001</v>
      </c>
      <c r="D796" s="345" t="e">
        <f>'New quarts'!#REF!</f>
        <v>#REF!</v>
      </c>
      <c r="E796" s="124" t="e">
        <f>#REF!/#REF!-1</f>
        <v>#REF!</v>
      </c>
      <c r="F796" s="92"/>
      <c r="G796" s="92"/>
    </row>
    <row r="797" spans="2:7" ht="15.75" hidden="1">
      <c r="B797" s="92" t="s">
        <v>69</v>
      </c>
      <c r="C797" s="345">
        <f>'New quarts'!AJ324</f>
        <v>75.700000000000017</v>
      </c>
      <c r="D797" s="345" t="e">
        <f>'New quarts'!#REF!</f>
        <v>#REF!</v>
      </c>
      <c r="E797" s="124" t="e">
        <f>#REF!/#REF!-1</f>
        <v>#REF!</v>
      </c>
      <c r="F797" s="92"/>
      <c r="G797" s="92"/>
    </row>
    <row r="798" spans="2:7" ht="15.75">
      <c r="B798" s="890" t="s">
        <v>2918</v>
      </c>
      <c r="C798" s="1123">
        <f>AJ334</f>
        <v>231.9</v>
      </c>
      <c r="D798" s="1123" t="e">
        <f>#REF!</f>
        <v>#REF!</v>
      </c>
      <c r="E798" s="895" t="e">
        <f>C798/D798-1</f>
        <v>#REF!</v>
      </c>
      <c r="F798" s="890"/>
      <c r="G798" s="890"/>
    </row>
    <row r="799" spans="2:7" ht="15.75">
      <c r="B799" s="175" t="s">
        <v>2737</v>
      </c>
      <c r="C799" s="355">
        <f>'New quarts'!AJ371</f>
        <v>56.79999999999994</v>
      </c>
      <c r="D799" s="355" t="e">
        <f>'New quarts'!#REF!</f>
        <v>#REF!</v>
      </c>
      <c r="E799" s="360" t="e">
        <f>C799/D799-1</f>
        <v>#REF!</v>
      </c>
      <c r="F799" s="175"/>
      <c r="G799" s="175"/>
    </row>
    <row r="800" spans="2:7" ht="15.75">
      <c r="B800" s="92"/>
      <c r="C800" s="236"/>
      <c r="D800" s="236"/>
      <c r="E800" s="124"/>
      <c r="F800" s="236"/>
      <c r="G800" s="124"/>
    </row>
    <row r="802" spans="2:23">
      <c r="B802" s="303" t="s">
        <v>3161</v>
      </c>
    </row>
    <row r="803" spans="2:23">
      <c r="G803" s="12"/>
      <c r="H803" s="12"/>
    </row>
    <row r="804" spans="2:23" ht="15.75" hidden="1" outlineLevel="1">
      <c r="B804" s="795" t="s">
        <v>3357</v>
      </c>
      <c r="C804" s="642" t="s">
        <v>2570</v>
      </c>
      <c r="D804" s="642" t="s">
        <v>2866</v>
      </c>
      <c r="E804" s="642" t="s">
        <v>3174</v>
      </c>
      <c r="F804" s="642" t="s">
        <v>3156</v>
      </c>
      <c r="G804" s="642" t="s">
        <v>3175</v>
      </c>
      <c r="H804" s="642" t="s">
        <v>3873</v>
      </c>
      <c r="I804" s="642" t="s">
        <v>3482</v>
      </c>
      <c r="J804" s="642" t="s">
        <v>3779</v>
      </c>
      <c r="K804" s="642" t="s">
        <v>3859</v>
      </c>
      <c r="L804" s="642" t="s">
        <v>3860</v>
      </c>
      <c r="M804" s="642" t="s">
        <v>4078</v>
      </c>
      <c r="N804" s="642" t="s">
        <v>4356</v>
      </c>
      <c r="O804" s="642" t="s">
        <v>4427</v>
      </c>
      <c r="P804" s="642" t="s">
        <v>4535</v>
      </c>
      <c r="Q804" s="642" t="s">
        <v>4755</v>
      </c>
      <c r="R804" s="642" t="s">
        <v>4922</v>
      </c>
      <c r="S804" s="642" t="s">
        <v>5188</v>
      </c>
      <c r="T804" s="642" t="s">
        <v>5371</v>
      </c>
      <c r="U804" s="642" t="s">
        <v>5556</v>
      </c>
      <c r="V804" s="642" t="s">
        <v>5696</v>
      </c>
      <c r="W804" s="642" t="s">
        <v>5878</v>
      </c>
    </row>
    <row r="805" spans="2:23" ht="15.75" hidden="1" outlineLevel="1">
      <c r="B805" s="53" t="str">
        <f>Snaps!B104</f>
        <v>CWC</v>
      </c>
      <c r="C805" s="481">
        <f>O190</f>
        <v>575.6</v>
      </c>
      <c r="D805" s="737">
        <f>P190</f>
        <v>579.70000000000005</v>
      </c>
      <c r="E805" s="481">
        <f>F805+3</f>
        <v>581.9</v>
      </c>
      <c r="F805" s="737">
        <f>Q190</f>
        <v>578.9</v>
      </c>
      <c r="G805" s="481">
        <f>H805+7</f>
        <v>591.9</v>
      </c>
      <c r="H805" s="481">
        <f>R190</f>
        <v>584.9</v>
      </c>
      <c r="I805" s="481">
        <f>S190</f>
        <v>585.5</v>
      </c>
      <c r="J805" s="481">
        <f>T190</f>
        <v>583.70000000000005</v>
      </c>
      <c r="K805" s="481">
        <f>U190</f>
        <v>581.1</v>
      </c>
      <c r="L805" s="481">
        <f>V190</f>
        <v>582.79999999999995</v>
      </c>
      <c r="M805" s="481">
        <f>X190</f>
        <v>569.79999999999995</v>
      </c>
      <c r="N805" s="481">
        <f>Y190</f>
        <v>606.6</v>
      </c>
      <c r="O805" s="481">
        <f>Z190</f>
        <v>595.9</v>
      </c>
      <c r="P805" s="481">
        <f>AA190</f>
        <v>617.20000000000005</v>
      </c>
      <c r="Q805" s="481">
        <f>AC190</f>
        <v>588.6</v>
      </c>
      <c r="R805" s="481">
        <f>AD190</f>
        <v>515.29999999999995</v>
      </c>
      <c r="S805" s="481">
        <f>AE190</f>
        <v>538.9</v>
      </c>
      <c r="T805" s="481">
        <f>AF190</f>
        <v>557</v>
      </c>
      <c r="U805" s="481">
        <f>AH190</f>
        <v>551.79999999999995</v>
      </c>
      <c r="V805" s="481">
        <f>AI190</f>
        <v>561.79999999999995</v>
      </c>
      <c r="W805" s="481">
        <f>AJ190</f>
        <v>563.4</v>
      </c>
    </row>
    <row r="806" spans="2:23" ht="15.75" hidden="1" outlineLevel="1">
      <c r="B806" s="992" t="s">
        <v>4432</v>
      </c>
      <c r="C806" s="481"/>
      <c r="D806" s="737"/>
      <c r="E806" s="481"/>
      <c r="F806" s="737"/>
      <c r="G806" s="481"/>
      <c r="H806" s="481"/>
      <c r="I806" s="481"/>
      <c r="J806" s="481"/>
      <c r="K806" s="481"/>
      <c r="L806" s="481"/>
      <c r="M806" s="481"/>
      <c r="N806" s="481"/>
      <c r="O806" s="481">
        <f>O805+5</f>
        <v>600.9</v>
      </c>
      <c r="P806" s="481">
        <f>P805+5</f>
        <v>622.20000000000005</v>
      </c>
      <c r="Q806" s="481">
        <f t="shared" ref="Q806:W806" si="557">Q805</f>
        <v>588.6</v>
      </c>
      <c r="R806" s="481">
        <f t="shared" si="557"/>
        <v>515.29999999999995</v>
      </c>
      <c r="S806" s="481">
        <f t="shared" si="557"/>
        <v>538.9</v>
      </c>
      <c r="T806" s="481">
        <f t="shared" si="557"/>
        <v>557</v>
      </c>
      <c r="U806" s="481">
        <f t="shared" si="557"/>
        <v>551.79999999999995</v>
      </c>
      <c r="V806" s="481">
        <f t="shared" si="557"/>
        <v>561.79999999999995</v>
      </c>
      <c r="W806" s="481">
        <f t="shared" si="557"/>
        <v>563.4</v>
      </c>
    </row>
    <row r="807" spans="2:23" ht="15.75" hidden="1" outlineLevel="1">
      <c r="B807" s="53" t="str">
        <f>Snaps!B109</f>
        <v>Chile USD headwind in constant FX</v>
      </c>
      <c r="C807" s="481">
        <f>'LiLAC valuation'!R316</f>
        <v>229.3</v>
      </c>
      <c r="D807" s="737">
        <f>'LiLAC valuation'!S316</f>
        <v>231.1</v>
      </c>
      <c r="E807" s="481">
        <f>F807</f>
        <v>242.2</v>
      </c>
      <c r="F807" s="737">
        <f>'LiLAC valuation'!T316</f>
        <v>242.2</v>
      </c>
      <c r="G807" s="481">
        <f>H807</f>
        <v>250.3</v>
      </c>
      <c r="H807" s="481">
        <f>'LiLAC valuation'!U316</f>
        <v>250.3</v>
      </c>
      <c r="I807" s="481">
        <f>'LiLAC valuation'!V316</f>
        <v>263.8</v>
      </c>
      <c r="J807" s="481">
        <f>'LiLAC valuation'!W316</f>
        <v>260.2</v>
      </c>
      <c r="K807" s="481">
        <f>'LiLAC valuation'!X316</f>
        <v>245.9</v>
      </c>
      <c r="L807" s="481">
        <f>'LiLAC valuation'!Y316</f>
        <v>241.20000000000002</v>
      </c>
      <c r="M807" s="481">
        <f>'LiLAC valuation'!Z316</f>
        <v>243.5</v>
      </c>
      <c r="N807" s="481">
        <f>'LiLAC valuation'!AA316</f>
        <v>241.5</v>
      </c>
      <c r="O807" s="481">
        <f>'LiLAC valuation'!AB316</f>
        <v>235.39999999999998</v>
      </c>
      <c r="P807" s="481">
        <f>'LiLAC valuation'!AC316</f>
        <v>221.4</v>
      </c>
      <c r="Q807" s="481">
        <f>'LiLAC valuation'!AD316</f>
        <v>206.05608406391843</v>
      </c>
      <c r="R807" s="481">
        <f>'LiLAC valuation'!AE316</f>
        <v>192.83110571081409</v>
      </c>
      <c r="S807" s="481">
        <f>'LiLAC valuation'!AF316</f>
        <v>199.49367088607596</v>
      </c>
      <c r="T807" s="481">
        <f>'LiLAC valuation'!AG316</f>
        <v>207.7016824059636</v>
      </c>
      <c r="U807" s="481">
        <f>'LiLAC valuation'!AH316</f>
        <v>210.3</v>
      </c>
      <c r="V807" s="481">
        <f>'LiLAC valuation'!AI316</f>
        <v>209.3</v>
      </c>
      <c r="W807" s="481">
        <f>'LiLAC valuation'!AJ316</f>
        <v>193.1</v>
      </c>
    </row>
    <row r="808" spans="2:23" ht="15.75" hidden="1" outlineLevel="1">
      <c r="B808" s="53" t="str">
        <f>Snaps!B110</f>
        <v>Puerto Rico</v>
      </c>
      <c r="C808" s="481">
        <f>'LiLAC valuation'!R351</f>
        <v>106.7</v>
      </c>
      <c r="D808" s="481">
        <f>'LiLAC valuation'!S351</f>
        <v>108.3</v>
      </c>
      <c r="E808" s="481">
        <f>F808+19</f>
        <v>107.6</v>
      </c>
      <c r="F808" s="481">
        <f>'LiLAC valuation'!T351</f>
        <v>88.6</v>
      </c>
      <c r="G808" s="481">
        <f>H808+90</f>
        <v>106.9</v>
      </c>
      <c r="H808" s="481">
        <f>'LiLAC valuation'!U351</f>
        <v>16.899999999999999</v>
      </c>
      <c r="I808" s="481">
        <f>'LiLAC valuation'!V351</f>
        <v>61.8</v>
      </c>
      <c r="J808" s="481">
        <f>'LiLAC valuation'!W351</f>
        <v>99.6</v>
      </c>
      <c r="K808" s="481">
        <f>'LiLAC valuation'!X351</f>
        <v>88.6</v>
      </c>
      <c r="L808" s="481">
        <f>'LiLAC valuation'!Y351</f>
        <v>93.9</v>
      </c>
      <c r="M808" s="481">
        <f>'LiLAC valuation'!Z351</f>
        <v>98.6</v>
      </c>
      <c r="N808" s="481">
        <f>'LiLAC valuation'!AA351</f>
        <v>103.8</v>
      </c>
      <c r="O808" s="481">
        <f>'LiLAC valuation'!AB351</f>
        <v>104.3</v>
      </c>
      <c r="P808" s="481">
        <f>'LiLAC valuation'!AC351</f>
        <v>105.4</v>
      </c>
      <c r="Q808" s="481">
        <f>'LiLAC valuation'!AD351</f>
        <v>104.6</v>
      </c>
      <c r="R808" s="481">
        <f>'LiLAC valuation'!AE351</f>
        <v>109.1</v>
      </c>
      <c r="S808" s="481">
        <f>'LiLAC valuation'!AF351</f>
        <v>114.4</v>
      </c>
      <c r="T808" s="481">
        <f>'LiLAC valuation'!AG351</f>
        <v>123</v>
      </c>
      <c r="U808" s="481">
        <f>AH19</f>
        <v>361.3</v>
      </c>
      <c r="V808" s="481">
        <f>AI19</f>
        <v>360.4</v>
      </c>
      <c r="W808" s="481">
        <f>AJ19</f>
        <v>359</v>
      </c>
    </row>
    <row r="809" spans="2:23" ht="15.75" hidden="1" outlineLevel="1">
      <c r="B809" s="817" t="s">
        <v>4357</v>
      </c>
      <c r="C809" s="638"/>
      <c r="D809" s="739"/>
      <c r="E809" s="638"/>
      <c r="F809" s="739"/>
      <c r="G809" s="638"/>
      <c r="H809" s="638"/>
      <c r="I809" s="638"/>
      <c r="J809" s="638"/>
      <c r="K809" s="638"/>
      <c r="L809" s="638">
        <f>V192</f>
        <v>32.6</v>
      </c>
      <c r="M809" s="638">
        <f>X192</f>
        <v>32.5</v>
      </c>
      <c r="N809" s="638">
        <f>Y192</f>
        <v>32.5</v>
      </c>
      <c r="O809" s="638">
        <f>Z192</f>
        <v>33.299999999999997</v>
      </c>
      <c r="P809" s="638">
        <f>AA192</f>
        <v>34.399999999999991</v>
      </c>
      <c r="Q809" s="638">
        <f>AC192</f>
        <v>34.043915936081561</v>
      </c>
      <c r="R809" s="638">
        <f>AD192</f>
        <v>34.868894289185903</v>
      </c>
      <c r="S809" s="638">
        <f>AE192</f>
        <v>37.406329113924045</v>
      </c>
      <c r="T809" s="638">
        <f>AF192</f>
        <v>36.598317594036416</v>
      </c>
      <c r="U809" s="638">
        <f>AH192</f>
        <v>36.200000000000003</v>
      </c>
      <c r="V809" s="638">
        <f>AI192</f>
        <v>36.299999999999997</v>
      </c>
      <c r="W809" s="638">
        <f>AJ192</f>
        <v>76.900000000000006</v>
      </c>
    </row>
    <row r="810" spans="2:23" ht="15.75" hidden="1" outlineLevel="1">
      <c r="B810" s="58" t="s">
        <v>90</v>
      </c>
      <c r="C810" s="712">
        <f>O194</f>
        <v>910.9</v>
      </c>
      <c r="D810" s="799">
        <f>P194</f>
        <v>918</v>
      </c>
      <c r="E810" s="712">
        <f>F810+19+3</f>
        <v>930</v>
      </c>
      <c r="F810" s="799">
        <f>Q194</f>
        <v>908</v>
      </c>
      <c r="G810" s="712">
        <f>H810+7+90</f>
        <v>947.1</v>
      </c>
      <c r="H810" s="712">
        <f>R194</f>
        <v>850.1</v>
      </c>
      <c r="I810" s="712">
        <f>S194</f>
        <v>910</v>
      </c>
      <c r="J810" s="712">
        <f>T194</f>
        <v>922</v>
      </c>
      <c r="K810" s="712">
        <f>U194</f>
        <v>914</v>
      </c>
      <c r="L810" s="712">
        <f>V194</f>
        <v>949</v>
      </c>
      <c r="M810" s="712">
        <f>X194</f>
        <v>943</v>
      </c>
      <c r="N810" s="712">
        <f>Y194</f>
        <v>983.00000000000011</v>
      </c>
      <c r="O810" s="712">
        <f>Z194</f>
        <v>966.8</v>
      </c>
      <c r="P810" s="712">
        <f>AA194</f>
        <v>975</v>
      </c>
      <c r="Q810" s="712">
        <f>AC194</f>
        <v>931</v>
      </c>
      <c r="R810" s="712">
        <f>AD194</f>
        <v>849</v>
      </c>
      <c r="S810" s="712">
        <f>AE194</f>
        <v>888</v>
      </c>
      <c r="T810" s="712">
        <f>AF194</f>
        <v>1097</v>
      </c>
      <c r="U810" s="712">
        <f>AH194</f>
        <v>1159.9000000000003</v>
      </c>
      <c r="V810" s="712">
        <f>AI194</f>
        <v>1168</v>
      </c>
      <c r="W810" s="712">
        <f>AJ194</f>
        <v>1192</v>
      </c>
    </row>
    <row r="811" spans="2:23" ht="15.75" hidden="1" outlineLevel="1">
      <c r="B811" s="951" t="s">
        <v>4431</v>
      </c>
      <c r="C811" s="712"/>
      <c r="D811" s="712"/>
      <c r="E811" s="712"/>
      <c r="F811" s="712"/>
      <c r="G811" s="712"/>
      <c r="H811" s="712"/>
      <c r="I811" s="712"/>
      <c r="J811" s="712"/>
      <c r="K811" s="712"/>
      <c r="L811" s="712"/>
      <c r="M811" s="712"/>
      <c r="N811" s="712"/>
      <c r="O811" s="993">
        <f>O810+5</f>
        <v>971.8</v>
      </c>
      <c r="P811" s="993">
        <f>P810+5</f>
        <v>980</v>
      </c>
    </row>
    <row r="812" spans="2:23" hidden="1" outlineLevel="1">
      <c r="E812" s="505"/>
      <c r="G812" s="505"/>
    </row>
    <row r="813" spans="2:23" collapsed="1"/>
    <row r="815" spans="2:23" hidden="1" outlineLevel="1"/>
    <row r="816" spans="2:23" collapsed="1"/>
    <row r="820" hidden="1" outlineLevel="1"/>
    <row r="821" collapsed="1"/>
    <row r="822" hidden="1" outlineLevel="1"/>
    <row r="823" hidden="1" outlineLevel="1"/>
    <row r="824" hidden="1" outlineLevel="1"/>
    <row r="825" hidden="1" outlineLevel="1"/>
    <row r="826" hidden="1" outlineLevel="1"/>
    <row r="827" hidden="1" outlineLevel="1"/>
    <row r="828" hidden="1" outlineLevel="1"/>
    <row r="829" hidden="1" outlineLevel="1"/>
    <row r="830" hidden="1" outlineLevel="1"/>
    <row r="831" hidden="1" outlineLevel="1"/>
    <row r="832" collapsed="1"/>
    <row r="834" spans="2:17" hidden="1"/>
    <row r="839" spans="2:17" hidden="1"/>
    <row r="843" spans="2:17" hidden="1"/>
    <row r="848" spans="2:17" ht="15.75" hidden="1" outlineLevel="1">
      <c r="B848" s="951" t="str">
        <f>Snaps!B128</f>
        <v>Hurricane adj</v>
      </c>
      <c r="C848" s="950"/>
      <c r="D848" s="950"/>
      <c r="E848" s="950"/>
      <c r="F848" s="994"/>
      <c r="G848" s="950"/>
      <c r="H848" s="950"/>
      <c r="I848" s="950"/>
      <c r="J848" s="950"/>
      <c r="K848" s="950"/>
      <c r="L848" s="950"/>
      <c r="M848" s="950"/>
      <c r="N848" s="950"/>
      <c r="O848" s="950">
        <f>Snaps!E128/O811</f>
        <v>0.39895040131714343</v>
      </c>
      <c r="P848" s="950">
        <f>Snaps!F128/P811</f>
        <v>0.40714285714285714</v>
      </c>
      <c r="Q848" s="950" t="e">
        <f>Snaps!G128/Q811</f>
        <v>#DIV/0!</v>
      </c>
    </row>
    <row r="849" spans="2:10" ht="15.75" collapsed="1">
      <c r="B849" s="53"/>
      <c r="C849" s="53"/>
      <c r="D849" s="53"/>
      <c r="E849" s="797"/>
      <c r="F849" s="798"/>
    </row>
    <row r="856" spans="2:10">
      <c r="B856" s="303" t="s">
        <v>8</v>
      </c>
    </row>
    <row r="858" spans="2:10" ht="15.75">
      <c r="B858" s="50" t="s">
        <v>8</v>
      </c>
      <c r="C858" s="51" t="str">
        <f t="shared" ref="C858:H858" si="558">K208</f>
        <v>Q1 16</v>
      </c>
      <c r="D858" s="51" t="str">
        <f t="shared" si="558"/>
        <v>Q2 16</v>
      </c>
      <c r="E858" s="51" t="str">
        <f t="shared" si="558"/>
        <v>Q3 16</v>
      </c>
      <c r="F858" s="51" t="str">
        <f t="shared" si="558"/>
        <v>Q4 16</v>
      </c>
      <c r="G858" s="51" t="str">
        <f t="shared" si="558"/>
        <v>Q1 17</v>
      </c>
      <c r="H858" s="51" t="str">
        <f t="shared" si="558"/>
        <v>Q2 17</v>
      </c>
      <c r="I858" s="51" t="s">
        <v>2575</v>
      </c>
    </row>
    <row r="859" spans="2:10" ht="15.75">
      <c r="B859" s="53" t="s">
        <v>29</v>
      </c>
      <c r="C859" s="481">
        <f t="shared" ref="C859:H859" si="559">K211</f>
        <v>268.10000000000002</v>
      </c>
      <c r="D859" s="481">
        <f t="shared" si="559"/>
        <v>201.4</v>
      </c>
      <c r="E859" s="481">
        <f t="shared" si="559"/>
        <v>215</v>
      </c>
      <c r="F859" s="481">
        <f t="shared" si="559"/>
        <v>226</v>
      </c>
      <c r="G859" s="481">
        <f t="shared" si="559"/>
        <v>213</v>
      </c>
      <c r="H859" s="481">
        <f t="shared" si="559"/>
        <v>217.1</v>
      </c>
      <c r="I859" s="762" t="s">
        <v>2921</v>
      </c>
      <c r="J859" s="16"/>
    </row>
    <row r="860" spans="2:10" ht="15.75">
      <c r="B860" s="53" t="s">
        <v>468</v>
      </c>
      <c r="C860" s="481">
        <f t="shared" ref="C860:H860" si="560">K239</f>
        <v>76.3</v>
      </c>
      <c r="D860" s="481">
        <f t="shared" si="560"/>
        <v>81.8</v>
      </c>
      <c r="E860" s="481">
        <f t="shared" si="560"/>
        <v>86.9</v>
      </c>
      <c r="F860" s="481">
        <f t="shared" si="560"/>
        <v>94.3</v>
      </c>
      <c r="G860" s="481">
        <f t="shared" si="560"/>
        <v>91.6</v>
      </c>
      <c r="H860" s="481">
        <f t="shared" si="560"/>
        <v>92.3</v>
      </c>
      <c r="I860" s="762" t="s">
        <v>2922</v>
      </c>
      <c r="J860" s="16"/>
    </row>
    <row r="861" spans="2:10" ht="15.75">
      <c r="B861" s="53" t="s">
        <v>984</v>
      </c>
      <c r="C861" s="481">
        <f t="shared" ref="C861:H861" si="561">K242</f>
        <v>46.8</v>
      </c>
      <c r="D861" s="481">
        <f t="shared" si="561"/>
        <v>50</v>
      </c>
      <c r="E861" s="481">
        <f t="shared" si="561"/>
        <v>51.1</v>
      </c>
      <c r="F861" s="481">
        <f t="shared" si="561"/>
        <v>50.9</v>
      </c>
      <c r="G861" s="481">
        <f t="shared" si="561"/>
        <v>51.3</v>
      </c>
      <c r="H861" s="481">
        <f t="shared" si="561"/>
        <v>53.8</v>
      </c>
      <c r="I861" s="762"/>
      <c r="J861" s="16"/>
    </row>
    <row r="862" spans="2:10" ht="15.75">
      <c r="B862" s="50" t="s">
        <v>1417</v>
      </c>
      <c r="C862" s="638">
        <f t="shared" ref="C862:H862" si="562">C863-C859-C860-C861</f>
        <v>-1.2000000000000171</v>
      </c>
      <c r="D862" s="638">
        <f t="shared" si="562"/>
        <v>-3.3999999999999915</v>
      </c>
      <c r="E862" s="638">
        <f t="shared" si="562"/>
        <v>-3.0000000000000071</v>
      </c>
      <c r="F862" s="638">
        <f t="shared" si="562"/>
        <v>-2.6999999999999957</v>
      </c>
      <c r="G862" s="638">
        <f t="shared" si="562"/>
        <v>-2.0000000000000142</v>
      </c>
      <c r="H862" s="638">
        <f t="shared" si="562"/>
        <v>-2.1999999999999886</v>
      </c>
      <c r="I862" s="763"/>
    </row>
    <row r="863" spans="2:10" ht="15.75">
      <c r="B863" s="53" t="s">
        <v>90</v>
      </c>
      <c r="C863" s="481">
        <f t="shared" ref="C863:H863" si="563">K236</f>
        <v>390</v>
      </c>
      <c r="D863" s="481">
        <f t="shared" si="563"/>
        <v>329.8</v>
      </c>
      <c r="E863" s="481">
        <f t="shared" si="563"/>
        <v>350</v>
      </c>
      <c r="F863" s="481">
        <f t="shared" si="563"/>
        <v>368.5</v>
      </c>
      <c r="G863" s="481">
        <f t="shared" si="563"/>
        <v>353.9</v>
      </c>
      <c r="H863" s="481">
        <f t="shared" si="563"/>
        <v>361</v>
      </c>
      <c r="I863" s="762"/>
      <c r="J863" s="16"/>
    </row>
    <row r="864" spans="2:10">
      <c r="B864" s="756"/>
      <c r="C864" s="756"/>
      <c r="D864" s="756"/>
      <c r="E864" s="756"/>
      <c r="F864" s="756"/>
      <c r="G864" s="756"/>
      <c r="H864" s="756"/>
      <c r="I864" s="763"/>
    </row>
    <row r="865" spans="2:9" ht="15.75">
      <c r="B865" s="53" t="s">
        <v>18</v>
      </c>
      <c r="C865" s="756"/>
      <c r="D865" s="756"/>
      <c r="E865" s="756"/>
      <c r="F865" s="756"/>
      <c r="G865" s="756"/>
      <c r="H865" s="756"/>
      <c r="I865" s="763"/>
    </row>
    <row r="866" spans="2:9">
      <c r="B866" s="756" t="str">
        <f>B859</f>
        <v>CWC</v>
      </c>
      <c r="C866" s="757">
        <f t="shared" ref="C866:H866" si="564">K285</f>
        <v>0.44314049586776866</v>
      </c>
      <c r="D866" s="757">
        <f t="shared" si="564"/>
        <v>0.35056570931244563</v>
      </c>
      <c r="E866" s="757">
        <f t="shared" si="564"/>
        <v>0.3781882145998241</v>
      </c>
      <c r="F866" s="757">
        <f t="shared" si="564"/>
        <v>0.38259691890976805</v>
      </c>
      <c r="G866" s="757">
        <f t="shared" si="564"/>
        <v>0.37004864489228628</v>
      </c>
      <c r="H866" s="757">
        <f t="shared" si="564"/>
        <v>0.37450405382094182</v>
      </c>
      <c r="I866" s="763"/>
    </row>
    <row r="867" spans="2:9">
      <c r="B867" s="756" t="str">
        <f>B860</f>
        <v>Chile</v>
      </c>
      <c r="C867" s="757">
        <f>'LiLAC valuation'!N273</f>
        <v>0.38150000000000001</v>
      </c>
      <c r="D867" s="757">
        <f>'LiLAC valuation'!O273</f>
        <v>0.3884140550807218</v>
      </c>
      <c r="E867" s="757">
        <f>'LiLAC valuation'!P273</f>
        <v>0.39267962042476273</v>
      </c>
      <c r="F867" s="757">
        <f>'LiLAC valuation'!Q273</f>
        <v>0.41432337434094901</v>
      </c>
      <c r="G867" s="757">
        <f>'LiLAC valuation'!R273</f>
        <v>0.39947666812036631</v>
      </c>
      <c r="H867" s="757">
        <f>'LiLAC valuation'!S273</f>
        <v>0.39939420164430983</v>
      </c>
      <c r="I867" s="763"/>
    </row>
    <row r="868" spans="2:9">
      <c r="B868" s="758" t="str">
        <f>B861</f>
        <v>PR</v>
      </c>
      <c r="C868" s="759">
        <f>'LiLAC valuation'!N383</f>
        <v>0.45043310875842152</v>
      </c>
      <c r="D868" s="759">
        <f>'LiLAC valuation'!O383</f>
        <v>0.46772684752104771</v>
      </c>
      <c r="E868" s="759">
        <f>'LiLAC valuation'!P383</f>
        <v>0.48759541984732829</v>
      </c>
      <c r="F868" s="759">
        <f>'LiLAC valuation'!Q383</f>
        <v>0.48384030418250951</v>
      </c>
      <c r="G868" s="759">
        <f>'LiLAC valuation'!R383</f>
        <v>0.48078725398313021</v>
      </c>
      <c r="H868" s="759">
        <f>'LiLAC valuation'!S383</f>
        <v>0.49676823638042472</v>
      </c>
      <c r="I868" s="763" t="s">
        <v>2920</v>
      </c>
    </row>
    <row r="869" spans="2:9">
      <c r="B869" s="756" t="s">
        <v>90</v>
      </c>
      <c r="C869" s="757">
        <f t="shared" ref="C869:H869" si="565">K288</f>
        <v>0.42909010892287375</v>
      </c>
      <c r="D869" s="757">
        <f t="shared" si="565"/>
        <v>0.36981385960977803</v>
      </c>
      <c r="E869" s="757">
        <f t="shared" si="565"/>
        <v>0.39145509450844418</v>
      </c>
      <c r="F869" s="757">
        <f t="shared" si="565"/>
        <v>0.399284862932062</v>
      </c>
      <c r="G869" s="757">
        <f t="shared" si="565"/>
        <v>0.38851685146558346</v>
      </c>
      <c r="H869" s="757">
        <f t="shared" si="565"/>
        <v>0.39324618736383443</v>
      </c>
      <c r="I869" s="763"/>
    </row>
    <row r="870" spans="2:9">
      <c r="B870" s="756"/>
      <c r="C870" s="756"/>
      <c r="D870" s="756"/>
      <c r="E870" s="756"/>
      <c r="F870" s="756"/>
      <c r="G870" s="756"/>
      <c r="H870" s="756"/>
      <c r="I870" s="763"/>
    </row>
    <row r="871" spans="2:9">
      <c r="B871" s="756" t="s">
        <v>19</v>
      </c>
      <c r="C871" s="756"/>
      <c r="D871" s="756"/>
      <c r="E871" s="756"/>
      <c r="F871" s="756"/>
      <c r="G871" s="756"/>
      <c r="H871" s="756"/>
      <c r="I871" s="763"/>
    </row>
    <row r="872" spans="2:9">
      <c r="B872" s="756" t="str">
        <f>B866</f>
        <v>CWC</v>
      </c>
      <c r="C872" s="760">
        <f t="shared" ref="C872:H874" si="566">K332</f>
        <v>134.5</v>
      </c>
      <c r="D872" s="760">
        <f t="shared" si="566"/>
        <v>117.4</v>
      </c>
      <c r="E872" s="760">
        <f t="shared" si="566"/>
        <v>91.3</v>
      </c>
      <c r="F872" s="760">
        <f t="shared" si="566"/>
        <v>137.80000000000001</v>
      </c>
      <c r="G872" s="760">
        <f t="shared" si="566"/>
        <v>60.499999999999986</v>
      </c>
      <c r="H872" s="760">
        <f t="shared" si="566"/>
        <v>100.7</v>
      </c>
      <c r="I872" s="763" t="s">
        <v>2923</v>
      </c>
    </row>
    <row r="873" spans="2:9">
      <c r="B873" s="758" t="s">
        <v>2919</v>
      </c>
      <c r="C873" s="761">
        <f t="shared" si="566"/>
        <v>50</v>
      </c>
      <c r="D873" s="761">
        <f t="shared" si="566"/>
        <v>74.628325041459334</v>
      </c>
      <c r="E873" s="761">
        <f t="shared" si="566"/>
        <v>69.600000000000009</v>
      </c>
      <c r="F873" s="761">
        <f t="shared" si="566"/>
        <v>65.399999999999977</v>
      </c>
      <c r="G873" s="761">
        <f t="shared" si="566"/>
        <v>78.7</v>
      </c>
      <c r="H873" s="761">
        <f t="shared" si="566"/>
        <v>70.2</v>
      </c>
      <c r="I873" s="763" t="s">
        <v>2924</v>
      </c>
    </row>
    <row r="874" spans="2:9">
      <c r="B874" s="756" t="s">
        <v>90</v>
      </c>
      <c r="C874" s="760">
        <f t="shared" si="566"/>
        <v>179</v>
      </c>
      <c r="D874" s="760">
        <f t="shared" si="566"/>
        <v>194.62832504145933</v>
      </c>
      <c r="E874" s="760">
        <f t="shared" si="566"/>
        <v>160.9</v>
      </c>
      <c r="F874" s="760">
        <f t="shared" si="566"/>
        <v>203.2</v>
      </c>
      <c r="G874" s="760">
        <f t="shared" si="566"/>
        <v>139.19999999999999</v>
      </c>
      <c r="H874" s="760">
        <f t="shared" si="566"/>
        <v>170.9</v>
      </c>
      <c r="I874" s="756"/>
    </row>
    <row r="875" spans="2:9">
      <c r="B875" s="756"/>
      <c r="C875" s="756"/>
      <c r="D875" s="756"/>
      <c r="E875" s="756"/>
      <c r="F875" s="756"/>
      <c r="G875" s="756"/>
      <c r="H875" s="756"/>
      <c r="I875" s="756"/>
    </row>
    <row r="876" spans="2:9">
      <c r="B876" s="756" t="s">
        <v>20</v>
      </c>
      <c r="C876" s="756"/>
      <c r="D876" s="756"/>
      <c r="E876" s="756"/>
      <c r="F876" s="756"/>
      <c r="G876" s="756"/>
      <c r="H876" s="756"/>
      <c r="I876" s="756"/>
    </row>
    <row r="877" spans="2:9">
      <c r="B877" s="756" t="str">
        <f>B872</f>
        <v>CWC</v>
      </c>
      <c r="C877" s="757">
        <f t="shared" ref="C877:H879" si="567">K345</f>
        <v>0.22231404958677686</v>
      </c>
      <c r="D877" s="757">
        <f t="shared" si="567"/>
        <v>0.20435161009573544</v>
      </c>
      <c r="E877" s="757">
        <f t="shared" si="567"/>
        <v>0.1605980650835532</v>
      </c>
      <c r="F877" s="757">
        <f t="shared" si="567"/>
        <v>0.23328254613170815</v>
      </c>
      <c r="G877" s="757">
        <f t="shared" si="567"/>
        <v>0.10510771369006251</v>
      </c>
      <c r="H877" s="757">
        <f t="shared" si="567"/>
        <v>0.17371053993444885</v>
      </c>
      <c r="I877" s="756"/>
    </row>
    <row r="878" spans="2:9">
      <c r="B878" s="758" t="str">
        <f>B873</f>
        <v>Chile/Puerto Rico</v>
      </c>
      <c r="C878" s="759">
        <f t="shared" si="567"/>
        <v>0.16447368421052633</v>
      </c>
      <c r="D878" s="759">
        <f t="shared" si="567"/>
        <v>0.23519799887002629</v>
      </c>
      <c r="E878" s="759">
        <f t="shared" si="567"/>
        <v>0.2137592137592137</v>
      </c>
      <c r="F878" s="759">
        <f t="shared" si="567"/>
        <v>0.19686935580975312</v>
      </c>
      <c r="G878" s="759">
        <f t="shared" si="567"/>
        <v>0.23471518043543099</v>
      </c>
      <c r="H878" s="759">
        <f t="shared" si="567"/>
        <v>0.20750812887969261</v>
      </c>
      <c r="I878" s="756"/>
    </row>
    <row r="879" spans="2:9">
      <c r="B879" s="756" t="str">
        <f>B874</f>
        <v>Group</v>
      </c>
      <c r="C879" s="757">
        <f t="shared" si="567"/>
        <v>0.19694135768511387</v>
      </c>
      <c r="D879" s="757">
        <f t="shared" si="567"/>
        <v>0.21824212271973464</v>
      </c>
      <c r="E879" s="757">
        <f t="shared" si="567"/>
        <v>0.17995749916116763</v>
      </c>
      <c r="F879" s="757">
        <f t="shared" si="567"/>
        <v>0.22017553364394843</v>
      </c>
      <c r="G879" s="757">
        <f t="shared" si="567"/>
        <v>0.15281589636623119</v>
      </c>
      <c r="H879" s="757">
        <f t="shared" si="567"/>
        <v>0.18616557734204794</v>
      </c>
      <c r="I879" s="756"/>
    </row>
    <row r="881" spans="2:10">
      <c r="B881" s="303" t="s">
        <v>20</v>
      </c>
    </row>
    <row r="883" spans="2:10">
      <c r="B883" s="3" t="s">
        <v>20</v>
      </c>
      <c r="C883" s="3" t="s">
        <v>2930</v>
      </c>
      <c r="D883" s="3" t="s">
        <v>2925</v>
      </c>
    </row>
    <row r="884" spans="2:10">
      <c r="B884" t="s">
        <v>29</v>
      </c>
      <c r="C884" t="s">
        <v>2926</v>
      </c>
      <c r="D884" t="s">
        <v>2928</v>
      </c>
    </row>
    <row r="885" spans="2:10">
      <c r="B885" t="s">
        <v>468</v>
      </c>
      <c r="C885" t="s">
        <v>2926</v>
      </c>
      <c r="D885" t="s">
        <v>2926</v>
      </c>
    </row>
    <row r="886" spans="2:10">
      <c r="B886" s="3" t="s">
        <v>469</v>
      </c>
      <c r="C886" s="3" t="s">
        <v>2926</v>
      </c>
      <c r="D886" s="3" t="s">
        <v>2929</v>
      </c>
    </row>
    <row r="887" spans="2:10">
      <c r="B887" t="s">
        <v>90</v>
      </c>
      <c r="C887" t="s">
        <v>2926</v>
      </c>
      <c r="D887" t="s">
        <v>2927</v>
      </c>
    </row>
    <row r="889" spans="2:10">
      <c r="B889" s="303" t="s">
        <v>784</v>
      </c>
    </row>
    <row r="891" spans="2:10" ht="15.75">
      <c r="B891" s="53"/>
      <c r="C891" s="51" t="str">
        <f t="shared" ref="C891:H891" si="568">M331</f>
        <v>Q3 16</v>
      </c>
      <c r="D891" s="51" t="str">
        <f t="shared" si="568"/>
        <v>Q4 16</v>
      </c>
      <c r="E891" s="51" t="str">
        <f t="shared" si="568"/>
        <v>Q1 17</v>
      </c>
      <c r="F891" s="51" t="str">
        <f t="shared" si="568"/>
        <v>Q2 17</v>
      </c>
      <c r="G891" s="51" t="str">
        <f t="shared" si="568"/>
        <v>Q3 17</v>
      </c>
      <c r="H891" s="51" t="str">
        <f t="shared" si="568"/>
        <v>Q4 17</v>
      </c>
      <c r="J891" s="53" t="s">
        <v>2575</v>
      </c>
    </row>
    <row r="892" spans="2:10" ht="15.75">
      <c r="B892" s="53" t="s">
        <v>2742</v>
      </c>
      <c r="C892" s="621">
        <f t="shared" ref="C892:H892" si="569">M358</f>
        <v>194.70000000000005</v>
      </c>
      <c r="D892" s="621">
        <f t="shared" si="569"/>
        <v>233.59999999999994</v>
      </c>
      <c r="E892" s="621">
        <f t="shared" si="569"/>
        <v>75.899999999999963</v>
      </c>
      <c r="F892" s="621">
        <f t="shared" si="569"/>
        <v>223.5</v>
      </c>
      <c r="G892" s="621">
        <f t="shared" si="569"/>
        <v>93.300000000000026</v>
      </c>
      <c r="H892" s="621">
        <f t="shared" si="569"/>
        <v>181</v>
      </c>
      <c r="J892" s="53" t="s">
        <v>2934</v>
      </c>
    </row>
    <row r="893" spans="2:10" ht="15.75">
      <c r="B893" s="53" t="s">
        <v>377</v>
      </c>
      <c r="C893" s="621">
        <f t="shared" ref="C893:H893" si="570">M368</f>
        <v>33.700000000000031</v>
      </c>
      <c r="D893" s="621">
        <f t="shared" si="570"/>
        <v>109.19999999999989</v>
      </c>
      <c r="E893" s="621">
        <f t="shared" si="570"/>
        <v>-58.000000000000036</v>
      </c>
      <c r="F893" s="621">
        <f t="shared" si="570"/>
        <v>113.99999999999999</v>
      </c>
      <c r="G893" s="621">
        <f t="shared" si="570"/>
        <v>-109.89999999999996</v>
      </c>
      <c r="H893" s="621">
        <f t="shared" si="570"/>
        <v>6.7999999999999989</v>
      </c>
      <c r="J893" s="53" t="s">
        <v>2937</v>
      </c>
    </row>
    <row r="894" spans="2:10" ht="15.75">
      <c r="B894" s="53" t="s">
        <v>2933</v>
      </c>
      <c r="C894" s="621">
        <f t="shared" ref="C894:H894" si="571">M382</f>
        <v>0</v>
      </c>
      <c r="D894" s="621">
        <f t="shared" si="571"/>
        <v>20</v>
      </c>
      <c r="E894" s="621">
        <f t="shared" si="571"/>
        <v>18.899999999999999</v>
      </c>
      <c r="F894" s="621">
        <f t="shared" si="571"/>
        <v>22</v>
      </c>
      <c r="G894" s="621">
        <f t="shared" si="571"/>
        <v>13.399999999999999</v>
      </c>
      <c r="H894" s="621">
        <f t="shared" si="571"/>
        <v>0</v>
      </c>
      <c r="J894" s="53" t="s">
        <v>2935</v>
      </c>
    </row>
    <row r="895" spans="2:10" ht="15.75">
      <c r="B895" s="53" t="s">
        <v>2936</v>
      </c>
      <c r="C895" s="481">
        <f t="shared" ref="C895:H895" si="572">M387</f>
        <v>0</v>
      </c>
      <c r="D895" s="481">
        <f t="shared" si="572"/>
        <v>89.199999999999889</v>
      </c>
      <c r="E895" s="481">
        <f t="shared" si="572"/>
        <v>-91.80000000000004</v>
      </c>
      <c r="F895" s="481">
        <f t="shared" si="572"/>
        <v>73.599999999999994</v>
      </c>
      <c r="G895" s="481">
        <f t="shared" si="572"/>
        <v>-161.29999999999995</v>
      </c>
      <c r="H895" s="481">
        <f t="shared" si="572"/>
        <v>-6.2000000000000011</v>
      </c>
      <c r="J895" s="53"/>
    </row>
    <row r="898" spans="2:11">
      <c r="B898" s="303" t="s">
        <v>3557</v>
      </c>
    </row>
    <row r="900" spans="2:11" ht="15.75">
      <c r="B900" s="50" t="s">
        <v>2353</v>
      </c>
      <c r="C900" s="51" t="str">
        <f t="shared" ref="C900:K901" si="573">K4</f>
        <v>Q1 16</v>
      </c>
      <c r="D900" s="51" t="str">
        <f t="shared" si="573"/>
        <v>Q2 16</v>
      </c>
      <c r="E900" s="51" t="str">
        <f t="shared" si="573"/>
        <v>Q3 16</v>
      </c>
      <c r="F900" s="51" t="str">
        <f t="shared" si="573"/>
        <v>Q4 16</v>
      </c>
      <c r="G900" s="51" t="str">
        <f t="shared" si="573"/>
        <v>Q1 17</v>
      </c>
      <c r="H900" s="51" t="str">
        <f t="shared" si="573"/>
        <v>Q2 17</v>
      </c>
      <c r="I900" s="51" t="str">
        <f t="shared" si="573"/>
        <v>Q3 17</v>
      </c>
      <c r="J900" s="51" t="str">
        <f t="shared" si="573"/>
        <v>Q4 17</v>
      </c>
      <c r="K900" s="51" t="str">
        <f t="shared" si="573"/>
        <v>Q1 18</v>
      </c>
    </row>
    <row r="901" spans="2:11" ht="15.75">
      <c r="B901" s="53" t="str">
        <f>B5</f>
        <v>Jamaica</v>
      </c>
      <c r="C901" s="481">
        <f t="shared" si="573"/>
        <v>82.1</v>
      </c>
      <c r="D901" s="481">
        <f t="shared" si="573"/>
        <v>80.5</v>
      </c>
      <c r="E901" s="481">
        <f t="shared" si="573"/>
        <v>81</v>
      </c>
      <c r="F901" s="481">
        <f t="shared" si="573"/>
        <v>85</v>
      </c>
      <c r="G901" s="481">
        <f t="shared" si="573"/>
        <v>83.6</v>
      </c>
      <c r="H901" s="481">
        <f t="shared" si="573"/>
        <v>87.9</v>
      </c>
      <c r="I901" s="481">
        <f t="shared" si="573"/>
        <v>89</v>
      </c>
      <c r="J901" s="481">
        <f t="shared" si="573"/>
        <v>91.9</v>
      </c>
      <c r="K901" s="481">
        <f t="shared" si="573"/>
        <v>88.5</v>
      </c>
    </row>
    <row r="902" spans="2:11" ht="15.75">
      <c r="B902" s="53" t="str">
        <f>B12</f>
        <v>Trinidad &amp; Tobago</v>
      </c>
      <c r="C902" s="481">
        <f t="shared" ref="C902:K905" si="574">K12</f>
        <v>43.5</v>
      </c>
      <c r="D902" s="481">
        <f t="shared" si="574"/>
        <v>42.7</v>
      </c>
      <c r="E902" s="481">
        <f t="shared" si="574"/>
        <v>40.700000000000003</v>
      </c>
      <c r="F902" s="481">
        <f t="shared" si="574"/>
        <v>41.5</v>
      </c>
      <c r="G902" s="481">
        <f t="shared" si="574"/>
        <v>42.8</v>
      </c>
      <c r="H902" s="481">
        <f t="shared" si="574"/>
        <v>41.4</v>
      </c>
      <c r="I902" s="481">
        <f t="shared" si="574"/>
        <v>38.6</v>
      </c>
      <c r="J902" s="481">
        <f t="shared" si="574"/>
        <v>38.799999999999997</v>
      </c>
      <c r="K902" s="481">
        <f t="shared" si="574"/>
        <v>38.700000000000003</v>
      </c>
    </row>
    <row r="903" spans="2:11" ht="15.75">
      <c r="B903" s="53" t="str">
        <f>B13</f>
        <v>Panama</v>
      </c>
      <c r="C903" s="481">
        <f t="shared" si="574"/>
        <v>165.7</v>
      </c>
      <c r="D903" s="481">
        <f t="shared" si="574"/>
        <v>157.6</v>
      </c>
      <c r="E903" s="481">
        <f t="shared" si="574"/>
        <v>154.1</v>
      </c>
      <c r="F903" s="481">
        <f t="shared" si="574"/>
        <v>166.8</v>
      </c>
      <c r="G903" s="481">
        <f t="shared" si="574"/>
        <v>153.69999999999999</v>
      </c>
      <c r="H903" s="481">
        <f t="shared" si="574"/>
        <v>154.1</v>
      </c>
      <c r="I903" s="481">
        <f t="shared" si="574"/>
        <v>155</v>
      </c>
      <c r="J903" s="481">
        <f t="shared" si="574"/>
        <v>162</v>
      </c>
      <c r="K903" s="481">
        <f t="shared" si="574"/>
        <v>148.30000000000001</v>
      </c>
    </row>
    <row r="904" spans="2:11" ht="15.75">
      <c r="B904" s="53" t="str">
        <f>B14</f>
        <v>Bahamas</v>
      </c>
      <c r="C904" s="481">
        <f t="shared" si="574"/>
        <v>86.2</v>
      </c>
      <c r="D904" s="481">
        <f t="shared" si="574"/>
        <v>75.400000000000006</v>
      </c>
      <c r="E904" s="481">
        <f t="shared" si="574"/>
        <v>72.2</v>
      </c>
      <c r="F904" s="481">
        <f t="shared" si="574"/>
        <v>72.8</v>
      </c>
      <c r="G904" s="481">
        <f t="shared" si="574"/>
        <v>72</v>
      </c>
      <c r="H904" s="481">
        <f t="shared" si="574"/>
        <v>66.2</v>
      </c>
      <c r="I904" s="481">
        <f t="shared" si="574"/>
        <v>62.8</v>
      </c>
      <c r="J904" s="481">
        <f t="shared" si="574"/>
        <v>60.3</v>
      </c>
      <c r="K904" s="481">
        <f t="shared" si="574"/>
        <v>63</v>
      </c>
    </row>
    <row r="905" spans="2:11" ht="15.75">
      <c r="B905" s="50" t="str">
        <f>B15</f>
        <v>Barbados</v>
      </c>
      <c r="C905" s="638">
        <f t="shared" si="574"/>
        <v>45.7</v>
      </c>
      <c r="D905" s="638">
        <f t="shared" si="574"/>
        <v>41.6</v>
      </c>
      <c r="E905" s="638">
        <f t="shared" si="574"/>
        <v>42.6</v>
      </c>
      <c r="F905" s="638">
        <f t="shared" si="574"/>
        <v>41.5</v>
      </c>
      <c r="G905" s="638">
        <f t="shared" si="574"/>
        <v>40.200000000000003</v>
      </c>
      <c r="H905" s="638">
        <f t="shared" si="574"/>
        <v>41.4</v>
      </c>
      <c r="I905" s="638">
        <f t="shared" si="574"/>
        <v>41.1</v>
      </c>
      <c r="J905" s="638">
        <f t="shared" si="574"/>
        <v>40.4</v>
      </c>
      <c r="K905" s="638">
        <f t="shared" si="574"/>
        <v>38.5</v>
      </c>
    </row>
    <row r="906" spans="2:11" ht="15.75">
      <c r="B906" s="53" t="s">
        <v>3693</v>
      </c>
      <c r="C906" s="481">
        <f>SUM(C901:C905)</f>
        <v>423.19999999999993</v>
      </c>
      <c r="D906" s="481">
        <f t="shared" ref="D906:K906" si="575">SUM(D901:D905)</f>
        <v>397.80000000000007</v>
      </c>
      <c r="E906" s="481">
        <f t="shared" si="575"/>
        <v>390.6</v>
      </c>
      <c r="F906" s="481">
        <f t="shared" si="575"/>
        <v>407.6</v>
      </c>
      <c r="G906" s="481">
        <f t="shared" si="575"/>
        <v>392.29999999999995</v>
      </c>
      <c r="H906" s="481">
        <f t="shared" si="575"/>
        <v>390.99999999999994</v>
      </c>
      <c r="I906" s="481">
        <f t="shared" si="575"/>
        <v>386.50000000000006</v>
      </c>
      <c r="J906" s="481">
        <f t="shared" si="575"/>
        <v>393.4</v>
      </c>
      <c r="K906" s="481">
        <f t="shared" si="575"/>
        <v>377</v>
      </c>
    </row>
    <row r="907" spans="2:11" ht="15.75">
      <c r="B907" s="53"/>
      <c r="C907" s="53"/>
      <c r="D907" s="53"/>
      <c r="E907" s="53"/>
      <c r="F907" s="53"/>
      <c r="G907" s="53"/>
      <c r="H907" s="53"/>
      <c r="I907" s="53"/>
      <c r="J907" s="53"/>
      <c r="K907" s="53"/>
    </row>
    <row r="908" spans="2:11" ht="15.75">
      <c r="B908" s="53" t="s">
        <v>3694</v>
      </c>
      <c r="C908" s="53"/>
      <c r="D908" s="53"/>
      <c r="E908" s="53"/>
      <c r="F908" s="53"/>
      <c r="G908" s="53"/>
      <c r="H908" s="53"/>
      <c r="I908" s="53"/>
      <c r="J908" s="53"/>
      <c r="K908" s="53"/>
    </row>
    <row r="909" spans="2:11" ht="15.75">
      <c r="B909" s="53" t="str">
        <f t="shared" ref="B909:B914" si="576">B901</f>
        <v>Jamaica</v>
      </c>
      <c r="C909" s="53"/>
      <c r="D909" s="621"/>
      <c r="E909" s="621"/>
      <c r="F909" s="621"/>
      <c r="G909" s="54">
        <f t="shared" ref="G909:I914" si="577">G901/C901-1</f>
        <v>1.8270401948842885E-2</v>
      </c>
      <c r="H909" s="54">
        <f t="shared" si="577"/>
        <v>9.1925465838509357E-2</v>
      </c>
      <c r="I909" s="54">
        <f t="shared" si="577"/>
        <v>9.8765432098765427E-2</v>
      </c>
      <c r="J909" s="54">
        <f t="shared" ref="J909:J914" si="578">J901/F901-1</f>
        <v>8.1176470588235405E-2</v>
      </c>
      <c r="K909" s="54">
        <f t="shared" ref="K909:K914" si="579">K901/G901-1</f>
        <v>5.8612440191387671E-2</v>
      </c>
    </row>
    <row r="910" spans="2:11" ht="15.75">
      <c r="B910" s="53" t="str">
        <f t="shared" si="576"/>
        <v>Trinidad &amp; Tobago</v>
      </c>
      <c r="C910" s="53"/>
      <c r="D910" s="621"/>
      <c r="E910" s="621"/>
      <c r="F910" s="621"/>
      <c r="G910" s="54">
        <f t="shared" si="577"/>
        <v>-1.6091954022988575E-2</v>
      </c>
      <c r="H910" s="54">
        <f t="shared" si="577"/>
        <v>-3.0444964871194524E-2</v>
      </c>
      <c r="I910" s="54">
        <f t="shared" si="577"/>
        <v>-5.1597051597051635E-2</v>
      </c>
      <c r="J910" s="54">
        <f t="shared" si="578"/>
        <v>-6.5060240963855542E-2</v>
      </c>
      <c r="K910" s="54">
        <f t="shared" si="579"/>
        <v>-9.5794392523364413E-2</v>
      </c>
    </row>
    <row r="911" spans="2:11" ht="15.75">
      <c r="B911" s="53" t="str">
        <f t="shared" si="576"/>
        <v>Panama</v>
      </c>
      <c r="C911" s="53"/>
      <c r="D911" s="621"/>
      <c r="E911" s="621"/>
      <c r="F911" s="621"/>
      <c r="G911" s="54">
        <f t="shared" si="577"/>
        <v>-7.2420036210018135E-2</v>
      </c>
      <c r="H911" s="54">
        <f t="shared" si="577"/>
        <v>-2.2208121827411165E-2</v>
      </c>
      <c r="I911" s="54">
        <f t="shared" si="577"/>
        <v>5.8403634003894034E-3</v>
      </c>
      <c r="J911" s="54">
        <f t="shared" si="578"/>
        <v>-2.877697841726623E-2</v>
      </c>
      <c r="K911" s="54">
        <f t="shared" si="579"/>
        <v>-3.513337670787231E-2</v>
      </c>
    </row>
    <row r="912" spans="2:11" ht="15.75">
      <c r="B912" s="53" t="str">
        <f t="shared" si="576"/>
        <v>Bahamas</v>
      </c>
      <c r="C912" s="53"/>
      <c r="D912" s="621"/>
      <c r="E912" s="621"/>
      <c r="F912" s="621"/>
      <c r="G912" s="54">
        <f t="shared" si="577"/>
        <v>-0.16473317865429238</v>
      </c>
      <c r="H912" s="54">
        <f t="shared" si="577"/>
        <v>-0.12201591511936338</v>
      </c>
      <c r="I912" s="54">
        <f t="shared" si="577"/>
        <v>-0.1301939058171746</v>
      </c>
      <c r="J912" s="54">
        <f t="shared" si="578"/>
        <v>-0.17170329670329676</v>
      </c>
      <c r="K912" s="54">
        <f t="shared" si="579"/>
        <v>-0.125</v>
      </c>
    </row>
    <row r="913" spans="2:11" ht="15.75">
      <c r="B913" s="50" t="str">
        <f t="shared" si="576"/>
        <v>Barbados</v>
      </c>
      <c r="C913" s="50"/>
      <c r="D913" s="622"/>
      <c r="E913" s="622"/>
      <c r="F913" s="622"/>
      <c r="G913" s="57">
        <f t="shared" si="577"/>
        <v>-0.12035010940919033</v>
      </c>
      <c r="H913" s="57">
        <f t="shared" si="577"/>
        <v>-4.8076923076924016E-3</v>
      </c>
      <c r="I913" s="57">
        <f t="shared" si="577"/>
        <v>-3.5211267605633756E-2</v>
      </c>
      <c r="J913" s="57">
        <f t="shared" si="578"/>
        <v>-2.6506024096385583E-2</v>
      </c>
      <c r="K913" s="57">
        <f t="shared" si="579"/>
        <v>-4.2288557213930433E-2</v>
      </c>
    </row>
    <row r="914" spans="2:11" ht="15.75">
      <c r="B914" s="53" t="str">
        <f t="shared" si="576"/>
        <v>Total key markets</v>
      </c>
      <c r="D914" s="621"/>
      <c r="E914" s="621"/>
      <c r="F914" s="621"/>
      <c r="G914" s="54">
        <f t="shared" si="577"/>
        <v>-7.3015122873345883E-2</v>
      </c>
      <c r="H914" s="54">
        <f t="shared" si="577"/>
        <v>-1.7094017094017366E-2</v>
      </c>
      <c r="I914" s="54">
        <f t="shared" si="577"/>
        <v>-1.0496671786994316E-2</v>
      </c>
      <c r="J914" s="54">
        <f t="shared" si="578"/>
        <v>-3.483807654563309E-2</v>
      </c>
      <c r="K914" s="54">
        <f t="shared" si="579"/>
        <v>-3.9000764720876768E-2</v>
      </c>
    </row>
    <row r="915" spans="2:11" ht="15.75">
      <c r="B915" s="53"/>
      <c r="D915" s="621"/>
      <c r="E915" s="621"/>
      <c r="F915" s="621"/>
      <c r="G915" s="621"/>
      <c r="H915" s="621"/>
      <c r="I915" s="54"/>
      <c r="J915" s="54"/>
      <c r="K915" s="54"/>
    </row>
    <row r="916" spans="2:11" ht="15.75">
      <c r="B916" s="53" t="s">
        <v>54</v>
      </c>
      <c r="C916" s="53"/>
      <c r="D916" s="53"/>
      <c r="E916" s="53"/>
      <c r="F916" s="53"/>
      <c r="G916" s="53"/>
      <c r="H916" s="53"/>
      <c r="I916" s="53"/>
      <c r="J916" s="53"/>
      <c r="K916" s="53"/>
    </row>
    <row r="917" spans="2:11" ht="15.75">
      <c r="B917" s="53" t="str">
        <f>B901</f>
        <v>Jamaica</v>
      </c>
      <c r="C917" s="53"/>
      <c r="D917" s="481"/>
      <c r="E917" s="481">
        <f t="shared" ref="E917:K917" si="580">E427+E432</f>
        <v>1385.6</v>
      </c>
      <c r="F917" s="481">
        <f t="shared" si="580"/>
        <v>1440.8</v>
      </c>
      <c r="G917" s="481">
        <f t="shared" si="580"/>
        <v>1431.1</v>
      </c>
      <c r="H917" s="481">
        <f t="shared" si="580"/>
        <v>1373.5</v>
      </c>
      <c r="I917" s="481">
        <f t="shared" si="580"/>
        <v>1388</v>
      </c>
      <c r="J917" s="481">
        <f t="shared" si="580"/>
        <v>1401.6</v>
      </c>
      <c r="K917" s="481">
        <f t="shared" si="580"/>
        <v>1405.9</v>
      </c>
    </row>
    <row r="918" spans="2:11" ht="15.75">
      <c r="B918" s="53" t="str">
        <f>B902</f>
        <v>Trinidad &amp; Tobago</v>
      </c>
      <c r="C918" s="53"/>
      <c r="D918" s="481"/>
      <c r="E918" s="481">
        <f t="shared" ref="E918:K918" si="581">E439</f>
        <v>272.10000000000002</v>
      </c>
      <c r="F918" s="481">
        <f t="shared" si="581"/>
        <v>271.39999999999998</v>
      </c>
      <c r="G918" s="481">
        <f t="shared" si="581"/>
        <v>271</v>
      </c>
      <c r="H918" s="481">
        <f t="shared" si="581"/>
        <v>273</v>
      </c>
      <c r="I918" s="481">
        <f t="shared" si="581"/>
        <v>278.3</v>
      </c>
      <c r="J918" s="481">
        <f t="shared" si="581"/>
        <v>281.2</v>
      </c>
      <c r="K918" s="481">
        <f t="shared" si="581"/>
        <v>286.89999999999998</v>
      </c>
    </row>
    <row r="919" spans="2:11" ht="15.75">
      <c r="B919" s="53" t="str">
        <f>B903</f>
        <v>Panama</v>
      </c>
      <c r="C919" s="53"/>
      <c r="D919" s="481"/>
      <c r="E919" s="481">
        <f t="shared" ref="E919:K919" si="582">E415+E420</f>
        <v>2280.8000000000002</v>
      </c>
      <c r="F919" s="481">
        <f t="shared" si="582"/>
        <v>2189.6999999999998</v>
      </c>
      <c r="G919" s="481">
        <f t="shared" si="582"/>
        <v>2241.8000000000002</v>
      </c>
      <c r="H919" s="481">
        <f t="shared" si="582"/>
        <v>2072.5</v>
      </c>
      <c r="I919" s="481">
        <f t="shared" si="582"/>
        <v>2055</v>
      </c>
      <c r="J919" s="481">
        <f t="shared" si="582"/>
        <v>1989.6</v>
      </c>
      <c r="K919" s="481">
        <f t="shared" si="582"/>
        <v>1989.5</v>
      </c>
    </row>
    <row r="920" spans="2:11" ht="15.75">
      <c r="B920" s="53" t="str">
        <f>B904</f>
        <v>Bahamas</v>
      </c>
      <c r="C920" s="53"/>
      <c r="D920" s="481"/>
      <c r="E920" s="481">
        <f t="shared" ref="E920:K920" si="583">E461+E466</f>
        <v>390</v>
      </c>
      <c r="F920" s="481">
        <f t="shared" si="583"/>
        <v>398.29999999999995</v>
      </c>
      <c r="G920" s="481">
        <f t="shared" si="583"/>
        <v>394.59999999999997</v>
      </c>
      <c r="H920" s="481">
        <f t="shared" si="583"/>
        <v>369.9</v>
      </c>
      <c r="I920" s="481">
        <f t="shared" si="583"/>
        <v>347.70000000000005</v>
      </c>
      <c r="J920" s="481">
        <f t="shared" si="583"/>
        <v>335.1</v>
      </c>
      <c r="K920" s="481">
        <f t="shared" si="583"/>
        <v>332.5</v>
      </c>
    </row>
    <row r="921" spans="2:11" ht="15.75">
      <c r="B921" s="50" t="str">
        <f>B905</f>
        <v>Barbados</v>
      </c>
      <c r="C921" s="50"/>
      <c r="D921" s="638"/>
      <c r="E921" s="638">
        <f t="shared" ref="E921:K921" si="584">E450+E455</f>
        <v>298.89999999999998</v>
      </c>
      <c r="F921" s="638">
        <f t="shared" si="584"/>
        <v>294</v>
      </c>
      <c r="G921" s="638">
        <f t="shared" si="584"/>
        <v>289.2</v>
      </c>
      <c r="H921" s="638">
        <f t="shared" si="584"/>
        <v>282.5</v>
      </c>
      <c r="I921" s="638">
        <f t="shared" si="584"/>
        <v>276.39999999999998</v>
      </c>
      <c r="J921" s="638">
        <f t="shared" si="584"/>
        <v>279.10000000000002</v>
      </c>
      <c r="K921" s="638">
        <f t="shared" si="584"/>
        <v>278.2</v>
      </c>
    </row>
    <row r="922" spans="2:11" ht="15.75">
      <c r="B922" s="53" t="s">
        <v>3693</v>
      </c>
      <c r="C922" s="53"/>
      <c r="D922" s="481"/>
      <c r="E922" s="481">
        <f t="shared" ref="E922:K922" si="585">SUM(E917:E921)</f>
        <v>4627.3999999999996</v>
      </c>
      <c r="F922" s="481">
        <f t="shared" si="585"/>
        <v>4594.2</v>
      </c>
      <c r="G922" s="481">
        <f t="shared" si="585"/>
        <v>4627.7</v>
      </c>
      <c r="H922" s="481">
        <f t="shared" si="585"/>
        <v>4371.3999999999996</v>
      </c>
      <c r="I922" s="481">
        <f t="shared" si="585"/>
        <v>4345.3999999999996</v>
      </c>
      <c r="J922" s="481">
        <f t="shared" si="585"/>
        <v>4286.5999999999995</v>
      </c>
      <c r="K922" s="481">
        <f t="shared" si="585"/>
        <v>4293</v>
      </c>
    </row>
    <row r="923" spans="2:11" ht="15.75">
      <c r="B923" s="53"/>
      <c r="C923" s="53"/>
      <c r="D923" s="53"/>
      <c r="E923" s="53"/>
      <c r="F923" s="53"/>
      <c r="G923" s="53"/>
      <c r="H923" s="53"/>
      <c r="I923" s="53"/>
      <c r="J923" s="53"/>
      <c r="K923" s="53"/>
    </row>
    <row r="924" spans="2:11" ht="15.75">
      <c r="B924" s="53" t="s">
        <v>3692</v>
      </c>
      <c r="C924" s="53"/>
      <c r="D924" s="53"/>
      <c r="E924" s="53"/>
      <c r="F924" s="53"/>
      <c r="G924" s="53"/>
      <c r="H924" s="53"/>
      <c r="I924" s="53"/>
      <c r="J924" s="53"/>
      <c r="K924" s="53"/>
    </row>
    <row r="925" spans="2:11" ht="15.75">
      <c r="B925" s="53" t="str">
        <f>B901</f>
        <v>Jamaica</v>
      </c>
      <c r="C925" s="53"/>
      <c r="D925" s="621"/>
      <c r="E925" s="621">
        <f t="shared" ref="E925:K930" si="586">E901/AVERAGE(D917,E917)/3*1000</f>
        <v>19.486143187066975</v>
      </c>
      <c r="F925" s="621">
        <f t="shared" si="586"/>
        <v>20.049061232191722</v>
      </c>
      <c r="G925" s="621">
        <f t="shared" si="586"/>
        <v>19.406432443098065</v>
      </c>
      <c r="H925" s="621">
        <f t="shared" si="586"/>
        <v>20.894245168651501</v>
      </c>
      <c r="I925" s="621">
        <f t="shared" si="586"/>
        <v>21.48590741746635</v>
      </c>
      <c r="J925" s="621">
        <f t="shared" si="586"/>
        <v>21.962527483032218</v>
      </c>
      <c r="K925" s="621">
        <f t="shared" si="586"/>
        <v>21.015138023152272</v>
      </c>
    </row>
    <row r="926" spans="2:11" ht="15.75">
      <c r="B926" s="53" t="str">
        <f>B902</f>
        <v>Trinidad &amp; Tobago</v>
      </c>
      <c r="C926" s="53"/>
      <c r="D926" s="621"/>
      <c r="E926" s="621">
        <f t="shared" si="586"/>
        <v>49.859120421413692</v>
      </c>
      <c r="F926" s="621">
        <f t="shared" si="586"/>
        <v>50.904630481447406</v>
      </c>
      <c r="G926" s="621">
        <f t="shared" si="586"/>
        <v>52.605703048180928</v>
      </c>
      <c r="H926" s="621">
        <f t="shared" si="586"/>
        <v>50.735294117647051</v>
      </c>
      <c r="I926" s="621">
        <f t="shared" si="586"/>
        <v>46.67755003325474</v>
      </c>
      <c r="J926" s="621">
        <f t="shared" si="586"/>
        <v>46.231754542746501</v>
      </c>
      <c r="K926" s="621">
        <f t="shared" si="586"/>
        <v>45.414539693715902</v>
      </c>
    </row>
    <row r="927" spans="2:11" ht="15.75">
      <c r="B927" s="53" t="str">
        <f>B903</f>
        <v>Panama</v>
      </c>
      <c r="C927" s="53"/>
      <c r="D927" s="621"/>
      <c r="E927" s="621">
        <f t="shared" si="586"/>
        <v>22.521337542382792</v>
      </c>
      <c r="F927" s="621">
        <f t="shared" si="586"/>
        <v>24.874175148193714</v>
      </c>
      <c r="G927" s="621">
        <f t="shared" si="586"/>
        <v>23.122343826394374</v>
      </c>
      <c r="H927" s="621">
        <f t="shared" si="586"/>
        <v>23.812283182285263</v>
      </c>
      <c r="I927" s="621">
        <f t="shared" si="586"/>
        <v>25.035332121946293</v>
      </c>
      <c r="J927" s="621">
        <f t="shared" si="586"/>
        <v>26.702269692923899</v>
      </c>
      <c r="K927" s="621">
        <f t="shared" si="586"/>
        <v>24.846489574694449</v>
      </c>
    </row>
    <row r="928" spans="2:11" ht="15.75">
      <c r="B928" s="53" t="str">
        <f>B904</f>
        <v>Bahamas</v>
      </c>
      <c r="C928" s="53"/>
      <c r="D928" s="621"/>
      <c r="E928" s="621">
        <f t="shared" si="586"/>
        <v>61.70940170940171</v>
      </c>
      <c r="F928" s="621">
        <f t="shared" si="586"/>
        <v>61.567085289018557</v>
      </c>
      <c r="G928" s="621">
        <f t="shared" si="586"/>
        <v>60.537268255769966</v>
      </c>
      <c r="H928" s="621">
        <f t="shared" si="586"/>
        <v>57.728362764333987</v>
      </c>
      <c r="I928" s="621">
        <f t="shared" si="586"/>
        <v>58.342623560014857</v>
      </c>
      <c r="J928" s="621">
        <f t="shared" si="586"/>
        <v>58.87521968365553</v>
      </c>
      <c r="K928" s="621">
        <f t="shared" si="586"/>
        <v>62.911923307369683</v>
      </c>
    </row>
    <row r="929" spans="2:11" ht="15.75">
      <c r="B929" s="50" t="str">
        <f>B905</f>
        <v>Barbados</v>
      </c>
      <c r="C929" s="50"/>
      <c r="D929" s="622"/>
      <c r="E929" s="622">
        <f t="shared" si="586"/>
        <v>47.507527601204423</v>
      </c>
      <c r="F929" s="622">
        <f t="shared" si="586"/>
        <v>46.663293416540164</v>
      </c>
      <c r="G929" s="622">
        <f t="shared" si="586"/>
        <v>45.953360768175585</v>
      </c>
      <c r="H929" s="622">
        <f t="shared" si="586"/>
        <v>48.277068392513549</v>
      </c>
      <c r="I929" s="622">
        <f t="shared" si="586"/>
        <v>49.024870280908935</v>
      </c>
      <c r="J929" s="622">
        <f t="shared" si="586"/>
        <v>48.484848484848484</v>
      </c>
      <c r="K929" s="622">
        <f t="shared" si="586"/>
        <v>46.055386087684674</v>
      </c>
    </row>
    <row r="930" spans="2:11" ht="15.75">
      <c r="B930" s="53" t="s">
        <v>16</v>
      </c>
      <c r="D930" s="621"/>
      <c r="E930" s="621">
        <f t="shared" si="586"/>
        <v>28.136750659117432</v>
      </c>
      <c r="F930" s="621">
        <f t="shared" si="586"/>
        <v>29.46704837916776</v>
      </c>
      <c r="G930" s="621">
        <f t="shared" si="586"/>
        <v>28.360027037089246</v>
      </c>
      <c r="H930" s="621">
        <f t="shared" si="586"/>
        <v>28.965859548917855</v>
      </c>
      <c r="I930" s="621">
        <f t="shared" si="586"/>
        <v>29.559777288301529</v>
      </c>
      <c r="J930" s="621">
        <f t="shared" si="586"/>
        <v>30.383070744516527</v>
      </c>
      <c r="K930" s="621">
        <f t="shared" si="586"/>
        <v>29.294294994327633</v>
      </c>
    </row>
    <row r="932" spans="2:11" ht="15.75">
      <c r="B932" s="53" t="s">
        <v>78</v>
      </c>
      <c r="C932" s="53"/>
      <c r="D932" s="53"/>
      <c r="E932" s="53"/>
      <c r="F932" s="53"/>
      <c r="G932" s="53"/>
      <c r="H932" s="53"/>
      <c r="I932" s="53"/>
      <c r="J932" s="53"/>
      <c r="K932" s="53"/>
    </row>
    <row r="933" spans="2:11" ht="15.75">
      <c r="B933" s="53" t="str">
        <f>B917</f>
        <v>Jamaica</v>
      </c>
      <c r="C933" s="53"/>
      <c r="D933" s="621"/>
      <c r="E933" s="621"/>
      <c r="F933" s="621"/>
      <c r="G933" s="621"/>
      <c r="H933" s="621"/>
      <c r="I933" s="54">
        <f t="shared" ref="I933:K938" si="587">I925/E925-1</f>
        <v>0.10262493769042136</v>
      </c>
      <c r="J933" s="54">
        <f t="shared" si="587"/>
        <v>9.543919431839254E-2</v>
      </c>
      <c r="K933" s="54">
        <f t="shared" si="587"/>
        <v>8.2895482452589819E-2</v>
      </c>
    </row>
    <row r="934" spans="2:11" ht="15.75">
      <c r="B934" s="53" t="str">
        <f>B918</f>
        <v>Trinidad &amp; Tobago</v>
      </c>
      <c r="C934" s="53"/>
      <c r="D934" s="621"/>
      <c r="E934" s="621"/>
      <c r="F934" s="621"/>
      <c r="G934" s="621"/>
      <c r="H934" s="621"/>
      <c r="I934" s="54">
        <f t="shared" si="587"/>
        <v>-6.3811201667178241E-2</v>
      </c>
      <c r="J934" s="54">
        <f t="shared" si="587"/>
        <v>-9.1796677325925669E-2</v>
      </c>
      <c r="K934" s="54">
        <f t="shared" si="587"/>
        <v>-0.13669931086898934</v>
      </c>
    </row>
    <row r="935" spans="2:11" ht="15.75">
      <c r="B935" s="53" t="str">
        <f>B919</f>
        <v>Panama</v>
      </c>
      <c r="C935" s="53"/>
      <c r="D935" s="621"/>
      <c r="E935" s="621"/>
      <c r="F935" s="621"/>
      <c r="G935" s="621"/>
      <c r="H935" s="621"/>
      <c r="I935" s="54">
        <f t="shared" si="587"/>
        <v>0.11162723238939187</v>
      </c>
      <c r="J935" s="54">
        <f t="shared" si="587"/>
        <v>7.3493675019930649E-2</v>
      </c>
      <c r="K935" s="54">
        <f t="shared" si="587"/>
        <v>7.4566218772853965E-2</v>
      </c>
    </row>
    <row r="936" spans="2:11" ht="15.75">
      <c r="B936" s="53" t="str">
        <f>B920</f>
        <v>Bahamas</v>
      </c>
      <c r="C936" s="53"/>
      <c r="D936" s="621"/>
      <c r="E936" s="621"/>
      <c r="F936" s="621"/>
      <c r="G936" s="621"/>
      <c r="H936" s="621"/>
      <c r="I936" s="54">
        <f t="shared" si="587"/>
        <v>-5.4558593279537604E-2</v>
      </c>
      <c r="J936" s="54">
        <f t="shared" si="587"/>
        <v>-4.3722479190405394E-2</v>
      </c>
      <c r="K936" s="54">
        <f t="shared" si="587"/>
        <v>3.9226333133612901E-2</v>
      </c>
    </row>
    <row r="937" spans="2:11" ht="15.75">
      <c r="B937" s="50" t="str">
        <f>B921</f>
        <v>Barbados</v>
      </c>
      <c r="C937" s="50"/>
      <c r="D937" s="622"/>
      <c r="E937" s="622"/>
      <c r="F937" s="622"/>
      <c r="G937" s="622"/>
      <c r="H937" s="622"/>
      <c r="I937" s="57">
        <f t="shared" si="587"/>
        <v>3.1938994856597125E-2</v>
      </c>
      <c r="J937" s="57">
        <f t="shared" si="587"/>
        <v>3.9036144578313392E-2</v>
      </c>
      <c r="K937" s="57">
        <f t="shared" si="587"/>
        <v>2.2201927737948157E-3</v>
      </c>
    </row>
    <row r="938" spans="2:11" ht="15.75">
      <c r="B938" s="53" t="s">
        <v>16</v>
      </c>
      <c r="D938" s="621"/>
      <c r="E938" s="621"/>
      <c r="F938" s="621"/>
      <c r="G938" s="621"/>
      <c r="H938" s="621"/>
      <c r="I938" s="54">
        <f t="shared" si="587"/>
        <v>5.0575371919250989E-2</v>
      </c>
      <c r="J938" s="54">
        <f t="shared" si="587"/>
        <v>3.1086329162046678E-2</v>
      </c>
      <c r="K938" s="54">
        <f t="shared" si="587"/>
        <v>3.294312646516695E-2</v>
      </c>
    </row>
    <row r="940" spans="2:11">
      <c r="B940" s="303" t="s">
        <v>3695</v>
      </c>
    </row>
    <row r="942" spans="2:11" ht="15.75">
      <c r="B942" s="52" t="s">
        <v>2000</v>
      </c>
      <c r="C942" s="51" t="str">
        <f>S4</f>
        <v>Q1 18</v>
      </c>
      <c r="D942" s="51" t="e">
        <f>#REF!</f>
        <v>#REF!</v>
      </c>
      <c r="E942" s="51" t="e">
        <f>#REF!</f>
        <v>#REF!</v>
      </c>
      <c r="F942" s="51" t="e">
        <f>#REF!</f>
        <v>#REF!</v>
      </c>
    </row>
    <row r="943" spans="2:11" ht="15.75">
      <c r="B943" s="53" t="str">
        <f>B5</f>
        <v>Jamaica</v>
      </c>
      <c r="C943" s="481">
        <f>S5</f>
        <v>88.5</v>
      </c>
      <c r="D943" s="481" t="e">
        <f>#REF!</f>
        <v>#REF!</v>
      </c>
      <c r="E943" s="481" t="e">
        <f>#REF!</f>
        <v>#REF!</v>
      </c>
      <c r="F943" s="481" t="e">
        <f>#REF!</f>
        <v>#REF!</v>
      </c>
    </row>
    <row r="944" spans="2:11" ht="15.75">
      <c r="B944" s="53" t="str">
        <f t="shared" ref="B944:B953" si="588">B7</f>
        <v>Seychelles</v>
      </c>
      <c r="C944" s="481">
        <f t="shared" ref="C944:C954" si="589">S7</f>
        <v>15</v>
      </c>
      <c r="D944" s="481" t="e">
        <f>#REF!</f>
        <v>#REF!</v>
      </c>
      <c r="E944" s="481" t="e">
        <f>#REF!</f>
        <v>#REF!</v>
      </c>
      <c r="F944" s="481" t="e">
        <f>#REF!</f>
        <v>#REF!</v>
      </c>
    </row>
    <row r="945" spans="2:11" ht="15.75">
      <c r="B945" s="53" t="str">
        <f t="shared" si="588"/>
        <v>Networks/LatAm</v>
      </c>
      <c r="C945" s="481">
        <f t="shared" si="589"/>
        <v>86.5</v>
      </c>
      <c r="D945" s="481" t="e">
        <f>#REF!</f>
        <v>#REF!</v>
      </c>
      <c r="E945" s="481" t="e">
        <f>#REF!</f>
        <v>#REF!</v>
      </c>
      <c r="F945" s="481" t="e">
        <f>#REF!</f>
        <v>#REF!</v>
      </c>
    </row>
    <row r="946" spans="2:11" ht="15.75">
      <c r="B946" s="53" t="str">
        <f t="shared" si="588"/>
        <v xml:space="preserve"> - of which Sub Sea</v>
      </c>
      <c r="C946" s="481">
        <f t="shared" si="589"/>
        <v>59.600000000000009</v>
      </c>
      <c r="D946" s="481" t="e">
        <f>#REF!</f>
        <v>#REF!</v>
      </c>
      <c r="E946" s="481" t="e">
        <f>#REF!</f>
        <v>#REF!</v>
      </c>
      <c r="F946" s="481" t="e">
        <f>#REF!</f>
        <v>#REF!</v>
      </c>
    </row>
    <row r="947" spans="2:11" ht="15.75">
      <c r="B947" s="53" t="str">
        <f t="shared" si="588"/>
        <v xml:space="preserve"> - of which Other Wholesale</v>
      </c>
      <c r="C947" s="481">
        <f t="shared" si="589"/>
        <v>26.899999999999991</v>
      </c>
      <c r="D947" s="481" t="e">
        <f>#REF!</f>
        <v>#REF!</v>
      </c>
      <c r="E947" s="481" t="e">
        <f>#REF!</f>
        <v>#REF!</v>
      </c>
      <c r="F947" s="481" t="e">
        <f>#REF!</f>
        <v>#REF!</v>
      </c>
    </row>
    <row r="948" spans="2:11" ht="15.75">
      <c r="B948" s="53" t="str">
        <f t="shared" si="588"/>
        <v>Ventures/other</v>
      </c>
      <c r="C948" s="481">
        <f t="shared" si="589"/>
        <v>106</v>
      </c>
      <c r="D948" s="481" t="e">
        <f>#REF!</f>
        <v>#REF!</v>
      </c>
      <c r="E948" s="481" t="e">
        <f>#REF!</f>
        <v>#REF!</v>
      </c>
      <c r="F948" s="481" t="e">
        <f>#REF!</f>
        <v>#REF!</v>
      </c>
    </row>
    <row r="949" spans="2:11" ht="15.75">
      <c r="B949" s="53" t="str">
        <f t="shared" si="588"/>
        <v>Trinidad &amp; Tobago</v>
      </c>
      <c r="C949" s="481">
        <f t="shared" si="589"/>
        <v>38.700000000000003</v>
      </c>
      <c r="D949" s="481" t="e">
        <f>#REF!</f>
        <v>#REF!</v>
      </c>
      <c r="E949" s="481" t="e">
        <f>#REF!</f>
        <v>#REF!</v>
      </c>
      <c r="F949" s="481" t="e">
        <f>#REF!</f>
        <v>#REF!</v>
      </c>
    </row>
    <row r="950" spans="2:11" ht="15.75">
      <c r="B950" s="53" t="str">
        <f t="shared" si="588"/>
        <v>Panama</v>
      </c>
      <c r="C950" s="481">
        <f t="shared" si="589"/>
        <v>148.30000000000001</v>
      </c>
      <c r="D950" s="481" t="e">
        <f>#REF!</f>
        <v>#REF!</v>
      </c>
      <c r="E950" s="481" t="e">
        <f>#REF!</f>
        <v>#REF!</v>
      </c>
      <c r="F950" s="481" t="e">
        <f>#REF!</f>
        <v>#REF!</v>
      </c>
    </row>
    <row r="951" spans="2:11" ht="15.75">
      <c r="B951" s="53" t="str">
        <f t="shared" si="588"/>
        <v>Bahamas</v>
      </c>
      <c r="C951" s="481">
        <f t="shared" si="589"/>
        <v>63</v>
      </c>
      <c r="D951" s="481" t="e">
        <f>#REF!</f>
        <v>#REF!</v>
      </c>
      <c r="E951" s="481" t="e">
        <f>#REF!</f>
        <v>#REF!</v>
      </c>
      <c r="F951" s="481" t="e">
        <f>#REF!</f>
        <v>#REF!</v>
      </c>
    </row>
    <row r="952" spans="2:11" ht="15.75">
      <c r="B952" s="50" t="str">
        <f t="shared" si="588"/>
        <v>Barbados</v>
      </c>
      <c r="C952" s="638">
        <f t="shared" si="589"/>
        <v>38.5</v>
      </c>
      <c r="D952" s="638" t="e">
        <f>#REF!</f>
        <v>#REF!</v>
      </c>
      <c r="E952" s="638" t="e">
        <f>#REF!</f>
        <v>#REF!</v>
      </c>
      <c r="F952" s="638" t="e">
        <f>#REF!</f>
        <v>#REF!</v>
      </c>
    </row>
    <row r="953" spans="2:11" ht="15.75" hidden="1" outlineLevel="1">
      <c r="B953" s="50" t="str">
        <f t="shared" si="588"/>
        <v>Elims</v>
      </c>
      <c r="C953" s="638">
        <f t="shared" si="589"/>
        <v>1</v>
      </c>
      <c r="D953" s="638" t="e">
        <f>#REF!</f>
        <v>#REF!</v>
      </c>
      <c r="E953" s="638" t="e">
        <f>#REF!</f>
        <v>#REF!</v>
      </c>
      <c r="F953" s="638" t="e">
        <f>#REF!</f>
        <v>#REF!</v>
      </c>
    </row>
    <row r="954" spans="2:11" ht="15.75" collapsed="1">
      <c r="B954" s="53" t="s">
        <v>1961</v>
      </c>
      <c r="C954" s="481">
        <f t="shared" si="589"/>
        <v>585.5</v>
      </c>
      <c r="D954" s="481" t="e">
        <f>#REF!</f>
        <v>#REF!</v>
      </c>
      <c r="E954" s="481" t="e">
        <f>#REF!</f>
        <v>#REF!</v>
      </c>
      <c r="F954" s="481" t="e">
        <f>#REF!</f>
        <v>#REF!</v>
      </c>
    </row>
    <row r="956" spans="2:11" ht="15.75">
      <c r="B956" s="53" t="s">
        <v>468</v>
      </c>
      <c r="C956" s="481">
        <f>'New quarts'!S18</f>
        <v>263.8</v>
      </c>
      <c r="D956" s="481" t="e">
        <f>'New quarts'!#REF!</f>
        <v>#REF!</v>
      </c>
      <c r="E956" s="481" t="e">
        <f>'New quarts'!#REF!</f>
        <v>#REF!</v>
      </c>
      <c r="F956" s="481" t="e">
        <f>'New quarts'!#REF!</f>
        <v>#REF!</v>
      </c>
      <c r="K956" s="481"/>
    </row>
    <row r="957" spans="2:11" ht="15.75">
      <c r="B957" s="50" t="s">
        <v>469</v>
      </c>
      <c r="C957" s="638">
        <f>'New quarts'!S19</f>
        <v>61.8</v>
      </c>
      <c r="D957" s="638" t="e">
        <f>'New quarts'!#REF!</f>
        <v>#REF!</v>
      </c>
      <c r="E957" s="638" t="e">
        <f>'New quarts'!#REF!</f>
        <v>#REF!</v>
      </c>
      <c r="F957" s="638" t="e">
        <f>'New quarts'!#REF!</f>
        <v>#REF!</v>
      </c>
      <c r="K957" s="481"/>
    </row>
    <row r="958" spans="2:11" ht="15.75">
      <c r="B958" s="53" t="s">
        <v>90</v>
      </c>
      <c r="C958" s="481">
        <f>'New quarts'!S22</f>
        <v>910</v>
      </c>
      <c r="D958" s="481" t="e">
        <f>'New quarts'!#REF!</f>
        <v>#REF!</v>
      </c>
      <c r="E958" s="481" t="e">
        <f>'New quarts'!#REF!</f>
        <v>#REF!</v>
      </c>
      <c r="F958" s="481" t="e">
        <f>'New quarts'!#REF!</f>
        <v>#REF!</v>
      </c>
      <c r="K958" s="481"/>
    </row>
    <row r="960" spans="2:11" ht="15.75">
      <c r="B960" s="53" t="s">
        <v>8</v>
      </c>
    </row>
    <row r="961" spans="2:6" ht="15.75">
      <c r="B961" s="53" t="s">
        <v>29</v>
      </c>
      <c r="C961" s="481">
        <f>'New quarts'!S211</f>
        <v>229.1</v>
      </c>
      <c r="D961" s="481" t="e">
        <f>'New quarts'!#REF!</f>
        <v>#REF!</v>
      </c>
      <c r="E961" s="481" t="e">
        <f>'New quarts'!#REF!</f>
        <v>#REF!</v>
      </c>
      <c r="F961" s="481" t="e">
        <f>'New quarts'!#REF!</f>
        <v>#REF!</v>
      </c>
    </row>
    <row r="962" spans="2:6" ht="15.75">
      <c r="B962" s="53" t="s">
        <v>468</v>
      </c>
      <c r="C962" s="481">
        <f>'LiLAC valuation'!V317</f>
        <v>105</v>
      </c>
      <c r="D962" s="481" t="e">
        <f>'LiLAC valuation'!#REF!</f>
        <v>#REF!</v>
      </c>
      <c r="E962" s="481" t="e">
        <f>'LiLAC valuation'!#REF!</f>
        <v>#REF!</v>
      </c>
      <c r="F962" s="481" t="e">
        <f>'LiLAC valuation'!#REF!</f>
        <v>#REF!</v>
      </c>
    </row>
    <row r="963" spans="2:6" ht="15.75">
      <c r="B963" s="53" t="s">
        <v>469</v>
      </c>
      <c r="C963" s="481">
        <f>'LiLAC valuation'!V382</f>
        <v>18</v>
      </c>
      <c r="D963" s="481" t="e">
        <f>'LiLAC valuation'!#REF!</f>
        <v>#REF!</v>
      </c>
      <c r="E963" s="481" t="e">
        <f>'LiLAC valuation'!#REF!</f>
        <v>#REF!</v>
      </c>
      <c r="F963" s="481" t="e">
        <f>'LiLAC valuation'!#REF!</f>
        <v>#REF!</v>
      </c>
    </row>
    <row r="964" spans="2:6" ht="15.75">
      <c r="B964" s="50" t="s">
        <v>1417</v>
      </c>
      <c r="C964" s="638">
        <f>'New quarts'!S234</f>
        <v>-11.3</v>
      </c>
      <c r="D964" s="638" t="e">
        <f>'New quarts'!#REF!</f>
        <v>#REF!</v>
      </c>
      <c r="E964" s="638" t="e">
        <f>'New quarts'!#REF!</f>
        <v>#REF!</v>
      </c>
      <c r="F964" s="638" t="e">
        <f>'New quarts'!#REF!</f>
        <v>#REF!</v>
      </c>
    </row>
    <row r="965" spans="2:6" ht="15.75">
      <c r="B965" s="53" t="s">
        <v>90</v>
      </c>
      <c r="C965" s="481">
        <f>'New quarts'!S236</f>
        <v>340.8</v>
      </c>
      <c r="D965" s="481" t="e">
        <f>'New quarts'!#REF!</f>
        <v>#REF!</v>
      </c>
      <c r="E965" s="481" t="e">
        <f>'New quarts'!#REF!</f>
        <v>#REF!</v>
      </c>
      <c r="F965" s="481" t="e">
        <f>'New quarts'!#REF!</f>
        <v>#REF!</v>
      </c>
    </row>
    <row r="967" spans="2:6" ht="15.75">
      <c r="B967" s="53" t="s">
        <v>3697</v>
      </c>
    </row>
    <row r="968" spans="2:6" ht="15.75">
      <c r="B968" s="53" t="str">
        <f>B961</f>
        <v>CWC</v>
      </c>
      <c r="C968" s="481">
        <f>'New quarts'!S332</f>
        <v>67.2</v>
      </c>
      <c r="D968" s="481" t="e">
        <f>'New quarts'!#REF!</f>
        <v>#REF!</v>
      </c>
      <c r="E968" s="481" t="e">
        <f>'New quarts'!#REF!</f>
        <v>#REF!</v>
      </c>
      <c r="F968" s="481" t="e">
        <f>'New quarts'!#REF!</f>
        <v>#REF!</v>
      </c>
    </row>
    <row r="969" spans="2:6" ht="15.75">
      <c r="B969" s="53" t="str">
        <f>B962</f>
        <v>Chile</v>
      </c>
      <c r="C969" s="481">
        <f>'LiLAC valuation'!V292</f>
        <v>57</v>
      </c>
      <c r="D969" s="481" t="e">
        <f>'LiLAC valuation'!#REF!</f>
        <v>#REF!</v>
      </c>
      <c r="E969" s="481" t="e">
        <f>'LiLAC valuation'!#REF!</f>
        <v>#REF!</v>
      </c>
      <c r="F969" s="481" t="e">
        <f>'LiLAC valuation'!#REF!</f>
        <v>#REF!</v>
      </c>
    </row>
    <row r="970" spans="2:6" ht="15.75">
      <c r="B970" s="50" t="str">
        <f>B963</f>
        <v>Puerto Rico</v>
      </c>
      <c r="C970" s="638">
        <f>'LiLAC valuation'!V399</f>
        <v>70</v>
      </c>
      <c r="D970" s="638" t="e">
        <f>'LiLAC valuation'!#REF!</f>
        <v>#REF!</v>
      </c>
      <c r="E970" s="638" t="e">
        <f>'LiLAC valuation'!#REF!</f>
        <v>#REF!</v>
      </c>
      <c r="F970" s="638" t="e">
        <f>'LiLAC valuation'!#REF!</f>
        <v>#REF!</v>
      </c>
    </row>
    <row r="971" spans="2:6" ht="15.75">
      <c r="B971" s="53" t="s">
        <v>90</v>
      </c>
      <c r="C971" s="481">
        <f>'New quarts'!S334</f>
        <v>194</v>
      </c>
      <c r="D971" s="481" t="e">
        <f>'New quarts'!#REF!</f>
        <v>#REF!</v>
      </c>
      <c r="E971" s="481" t="e">
        <f>'New quarts'!#REF!</f>
        <v>#REF!</v>
      </c>
      <c r="F971" s="481" t="e">
        <f>'New quarts'!#REF!</f>
        <v>#REF!</v>
      </c>
    </row>
    <row r="973" spans="2:6" ht="15.75">
      <c r="B973" s="53" t="s">
        <v>3698</v>
      </c>
      <c r="C973" s="481">
        <f>S358</f>
        <v>163.20000000000002</v>
      </c>
      <c r="D973" s="481" t="e">
        <f>#REF!</f>
        <v>#REF!</v>
      </c>
      <c r="E973" s="481" t="e">
        <f>#REF!</f>
        <v>#REF!</v>
      </c>
      <c r="F973" s="481" t="e">
        <f>#REF!</f>
        <v>#REF!</v>
      </c>
    </row>
    <row r="974" spans="2:6" ht="15.75">
      <c r="B974" s="53" t="s">
        <v>2737</v>
      </c>
      <c r="C974" s="481">
        <f>S371</f>
        <v>-45.699999999999967</v>
      </c>
      <c r="D974" s="481" t="e">
        <f>#REF!</f>
        <v>#REF!</v>
      </c>
      <c r="E974" s="481" t="e">
        <f>#REF!</f>
        <v>#REF!</v>
      </c>
      <c r="F974" s="481" t="e">
        <f>#REF!</f>
        <v>#REF!</v>
      </c>
    </row>
    <row r="977" spans="2:9">
      <c r="C977" t="s">
        <v>3156</v>
      </c>
      <c r="D977" t="s">
        <v>3165</v>
      </c>
      <c r="E977" t="s">
        <v>3482</v>
      </c>
      <c r="F977" t="s">
        <v>3779</v>
      </c>
      <c r="G977" s="1">
        <v>43313</v>
      </c>
      <c r="H977" t="s">
        <v>3859</v>
      </c>
    </row>
    <row r="978" spans="2:9">
      <c r="B978" t="s">
        <v>3627</v>
      </c>
      <c r="C978">
        <v>0</v>
      </c>
      <c r="D978">
        <v>340</v>
      </c>
      <c r="E978">
        <v>559</v>
      </c>
      <c r="F978">
        <v>647</v>
      </c>
      <c r="G978">
        <v>669</v>
      </c>
      <c r="H978">
        <v>698.6</v>
      </c>
    </row>
    <row r="979" spans="2:9">
      <c r="B979" t="s">
        <v>3874</v>
      </c>
      <c r="C979">
        <v>804</v>
      </c>
      <c r="D979">
        <v>399</v>
      </c>
      <c r="E979">
        <v>164</v>
      </c>
      <c r="F979">
        <v>64</v>
      </c>
      <c r="G979">
        <v>48</v>
      </c>
      <c r="H979">
        <v>0</v>
      </c>
    </row>
    <row r="982" spans="2:9" ht="15.75">
      <c r="B982" s="635" t="s">
        <v>3944</v>
      </c>
    </row>
    <row r="983" spans="2:9" ht="15.75">
      <c r="B983" s="53"/>
      <c r="C983" s="53"/>
      <c r="D983" s="53"/>
      <c r="E983" s="53"/>
      <c r="F983" s="53"/>
      <c r="G983" s="53"/>
      <c r="H983" s="53"/>
      <c r="I983" s="53"/>
    </row>
    <row r="984" spans="2:9" ht="15.75">
      <c r="B984" s="58" t="s">
        <v>29</v>
      </c>
      <c r="C984" s="53"/>
      <c r="D984" s="53" t="s">
        <v>3482</v>
      </c>
      <c r="E984" s="53" t="s">
        <v>3779</v>
      </c>
      <c r="F984" s="53" t="s">
        <v>3859</v>
      </c>
      <c r="G984" s="53" t="s">
        <v>3860</v>
      </c>
      <c r="H984" s="53" t="s">
        <v>4078</v>
      </c>
      <c r="I984" s="53"/>
    </row>
    <row r="985" spans="2:9" ht="15.75">
      <c r="B985" s="53" t="s">
        <v>4241</v>
      </c>
      <c r="C985" s="53"/>
      <c r="D985" s="481">
        <f>S95</f>
        <v>123.2</v>
      </c>
      <c r="E985" s="481">
        <f>T95</f>
        <v>125.5</v>
      </c>
      <c r="F985" s="481">
        <f>U95</f>
        <v>125.1</v>
      </c>
      <c r="G985" s="481">
        <f>V95</f>
        <v>124.50000000000003</v>
      </c>
      <c r="H985" s="481">
        <f>X95</f>
        <v>128.4</v>
      </c>
    </row>
    <row r="986" spans="2:9" ht="15.75">
      <c r="B986" s="53" t="s">
        <v>3699</v>
      </c>
      <c r="C986" s="53"/>
      <c r="D986" s="481">
        <f>S99</f>
        <v>155.1</v>
      </c>
      <c r="E986" s="481">
        <f>T99</f>
        <v>151.1</v>
      </c>
      <c r="F986" s="481">
        <f>U99</f>
        <v>148</v>
      </c>
      <c r="G986" s="481">
        <f>V99</f>
        <v>140</v>
      </c>
      <c r="H986" s="481">
        <f>X99</f>
        <v>135</v>
      </c>
    </row>
    <row r="987" spans="2:9" ht="15.75">
      <c r="B987" s="53" t="s">
        <v>4260</v>
      </c>
      <c r="C987" s="53"/>
      <c r="D987" s="481">
        <f>S105</f>
        <v>263.8</v>
      </c>
      <c r="E987" s="481">
        <f>T105</f>
        <v>268.89999999999998</v>
      </c>
      <c r="F987" s="481">
        <f>U105</f>
        <v>269.7</v>
      </c>
      <c r="G987" s="481">
        <f>V105</f>
        <v>280.2999999999999</v>
      </c>
      <c r="H987" s="481">
        <f>X105</f>
        <v>272.39999999999998</v>
      </c>
    </row>
    <row r="988" spans="2:9" ht="15.75">
      <c r="B988" s="53" t="s">
        <v>4</v>
      </c>
      <c r="C988" s="53"/>
      <c r="D988" s="481">
        <f>D989-D987-D986-D985</f>
        <v>43.399999999999991</v>
      </c>
      <c r="E988" s="481">
        <f>E989-E987-E986-E985</f>
        <v>38.200000000000074</v>
      </c>
      <c r="F988" s="481">
        <f>F989-F987-F986-F985</f>
        <v>38.30000000000004</v>
      </c>
      <c r="G988" s="481">
        <f>G989-G987-G986-G985</f>
        <v>38.000000000000028</v>
      </c>
      <c r="H988" s="481">
        <f>H989-H987-H986-H985</f>
        <v>33.999999999999972</v>
      </c>
    </row>
    <row r="989" spans="2:9" ht="15.75">
      <c r="B989" s="53" t="s">
        <v>16</v>
      </c>
      <c r="C989" s="53"/>
      <c r="D989" s="481">
        <f>S106</f>
        <v>585.5</v>
      </c>
      <c r="E989" s="481">
        <f>T106</f>
        <v>583.70000000000005</v>
      </c>
      <c r="F989" s="481">
        <f>U106</f>
        <v>581.1</v>
      </c>
      <c r="G989" s="481">
        <f>V106</f>
        <v>582.79999999999995</v>
      </c>
      <c r="H989" s="481">
        <f>X106</f>
        <v>569.79999999999995</v>
      </c>
    </row>
    <row r="990" spans="2:9" ht="15.75">
      <c r="B990" s="53"/>
      <c r="C990" s="53"/>
      <c r="D990" s="53"/>
      <c r="E990" s="53"/>
      <c r="F990" s="53"/>
      <c r="G990" s="53"/>
      <c r="H990" s="53"/>
    </row>
    <row r="991" spans="2:9" ht="15.75">
      <c r="B991" s="53" t="s">
        <v>4261</v>
      </c>
      <c r="C991" s="53"/>
      <c r="D991" s="53"/>
      <c r="E991" s="53"/>
      <c r="F991" s="53"/>
      <c r="G991" s="53"/>
      <c r="H991" s="53"/>
    </row>
    <row r="992" spans="2:9" ht="15.75">
      <c r="B992" s="53" t="str">
        <f>B985</f>
        <v>Res fixed</v>
      </c>
      <c r="C992" s="53"/>
      <c r="D992" s="56">
        <v>-0.01</v>
      </c>
      <c r="E992" s="56">
        <v>2.1999999999999999E-2</v>
      </c>
      <c r="F992" s="56">
        <v>3.2000000000000001E-2</v>
      </c>
      <c r="G992" s="56">
        <v>4.5999999999999999E-2</v>
      </c>
      <c r="H992" s="56">
        <v>4.9000000000000002E-2</v>
      </c>
    </row>
    <row r="993" spans="2:8" ht="15.75">
      <c r="B993" s="53" t="str">
        <f>B986</f>
        <v>Res wireless</v>
      </c>
      <c r="C993" s="53"/>
      <c r="D993" s="56">
        <v>-2.7E-2</v>
      </c>
      <c r="E993" s="56">
        <v>-0.05</v>
      </c>
      <c r="F993" s="56">
        <v>-7.8E-2</v>
      </c>
      <c r="G993" s="56">
        <v>-6.3E-2</v>
      </c>
      <c r="H993" s="56">
        <v>-0.128</v>
      </c>
    </row>
    <row r="994" spans="2:8" ht="15.75">
      <c r="B994" s="53" t="str">
        <f>B987</f>
        <v>Fixed B2B</v>
      </c>
      <c r="C994" s="53"/>
      <c r="D994" s="56">
        <v>0.02</v>
      </c>
      <c r="E994" s="56">
        <v>5.0000000000000001E-3</v>
      </c>
      <c r="F994" s="56">
        <v>5.5E-2</v>
      </c>
      <c r="G994" s="56">
        <v>2.9000000000000001E-2</v>
      </c>
      <c r="H994" s="56">
        <v>2.1999999999999999E-2</v>
      </c>
    </row>
    <row r="995" spans="2:8" ht="15.75">
      <c r="B995" s="53" t="str">
        <f>B989</f>
        <v>Total</v>
      </c>
      <c r="C995" s="53"/>
      <c r="D995" s="56">
        <f>S201</f>
        <v>-4.0000000000000001E-3</v>
      </c>
      <c r="E995" s="56">
        <f>T201</f>
        <v>-7.0000000000000001E-3</v>
      </c>
      <c r="F995" s="56">
        <f>U201</f>
        <v>7.0000000000000001E-3</v>
      </c>
      <c r="G995" s="56">
        <f>V201</f>
        <v>-4.0000000000000001E-3</v>
      </c>
      <c r="H995" s="56">
        <f>X201</f>
        <v>-1.7000000000000001E-2</v>
      </c>
    </row>
    <row r="996" spans="2:8" ht="15.75">
      <c r="B996" s="53"/>
      <c r="C996" s="53"/>
      <c r="D996" s="53"/>
      <c r="E996" s="53"/>
      <c r="F996" s="53"/>
      <c r="G996" s="53"/>
      <c r="H996" s="53"/>
    </row>
    <row r="997" spans="2:8" ht="15.75">
      <c r="B997" s="58" t="s">
        <v>899</v>
      </c>
      <c r="C997" s="53"/>
      <c r="D997" s="53"/>
      <c r="E997" s="53"/>
      <c r="F997" s="53"/>
      <c r="G997" s="53"/>
    </row>
    <row r="998" spans="2:8" ht="15.75">
      <c r="B998" s="53" t="str">
        <f>B985</f>
        <v>Res fixed</v>
      </c>
      <c r="C998" s="53"/>
      <c r="D998" s="621">
        <f>R132+R133+R134</f>
        <v>217.5355450236967</v>
      </c>
      <c r="E998" s="621">
        <f>S132+S133+S134</f>
        <v>230.83288644324972</v>
      </c>
      <c r="F998" s="621">
        <f>T132+T133+T134</f>
        <v>195.80993569131834</v>
      </c>
      <c r="G998" s="621">
        <f>U132+U133+U134</f>
        <v>215.38461538461539</v>
      </c>
      <c r="H998" s="621">
        <f>V132+V133+V134</f>
        <v>209.10425844346548</v>
      </c>
    </row>
    <row r="999" spans="2:8" ht="15.75">
      <c r="B999" s="53" t="str">
        <f>B986</f>
        <v>Res wireless</v>
      </c>
      <c r="C999" s="53"/>
      <c r="D999" s="621">
        <f t="shared" ref="D999:H1002" si="590">R135</f>
        <v>15.481832543443913</v>
      </c>
      <c r="E999" s="621">
        <f t="shared" si="590"/>
        <v>16.274548828373003</v>
      </c>
      <c r="F999" s="621">
        <f t="shared" si="590"/>
        <v>16.077170418006432</v>
      </c>
      <c r="G999" s="621">
        <f t="shared" si="590"/>
        <v>15.384615384615385</v>
      </c>
      <c r="H999" s="621">
        <f t="shared" si="590"/>
        <v>15.124816446402344</v>
      </c>
    </row>
    <row r="1000" spans="2:8" ht="15.75">
      <c r="B1000" s="53" t="str">
        <f>B987</f>
        <v>Fixed B2B</v>
      </c>
      <c r="C1000" s="53"/>
      <c r="D1000" s="621">
        <f t="shared" si="590"/>
        <v>4.7393364928909953</v>
      </c>
      <c r="E1000" s="621">
        <f t="shared" si="590"/>
        <v>5.6462720424967561</v>
      </c>
      <c r="F1000" s="621">
        <f t="shared" si="590"/>
        <v>6.109324758842444</v>
      </c>
      <c r="G1000" s="621">
        <f t="shared" si="590"/>
        <v>6.4856711915535445</v>
      </c>
      <c r="H1000" s="621">
        <f t="shared" si="590"/>
        <v>7.1953010279001459</v>
      </c>
    </row>
    <row r="1001" spans="2:8" ht="15.75">
      <c r="B1001" s="53" t="s">
        <v>4</v>
      </c>
      <c r="C1001" s="53"/>
      <c r="D1001" s="621">
        <f t="shared" si="590"/>
        <v>12.638230647709308</v>
      </c>
      <c r="E1001" s="621">
        <f t="shared" si="590"/>
        <v>11.126477260214198</v>
      </c>
      <c r="F1001" s="621">
        <f t="shared" si="590"/>
        <v>9.8070739549839221</v>
      </c>
      <c r="G1001" s="621">
        <f t="shared" si="590"/>
        <v>8.8989441930618298</v>
      </c>
      <c r="H1001" s="621">
        <f t="shared" si="590"/>
        <v>9.5447870778266832</v>
      </c>
    </row>
    <row r="1002" spans="2:8" ht="15.75">
      <c r="B1002" s="53" t="s">
        <v>16</v>
      </c>
      <c r="C1002" s="53"/>
      <c r="D1002" s="621">
        <f t="shared" si="590"/>
        <v>250.3949447077409</v>
      </c>
      <c r="E1002" s="621">
        <f t="shared" si="590"/>
        <v>263.88018457433367</v>
      </c>
      <c r="F1002" s="621">
        <f t="shared" si="590"/>
        <v>259.80707395498393</v>
      </c>
      <c r="G1002" s="621">
        <f t="shared" si="590"/>
        <v>246.15384615384616</v>
      </c>
      <c r="H1002" s="621">
        <f t="shared" si="590"/>
        <v>240.96916299559467</v>
      </c>
    </row>
    <row r="1003" spans="2:8" ht="15.75">
      <c r="B1003" s="53"/>
      <c r="C1003" s="53"/>
      <c r="D1003" s="53"/>
      <c r="E1003" s="53"/>
      <c r="F1003" s="53"/>
      <c r="G1003" s="53"/>
      <c r="H1003" s="53"/>
    </row>
    <row r="1004" spans="2:8" ht="15.75">
      <c r="B1004" s="53" t="s">
        <v>4261</v>
      </c>
      <c r="C1004" s="53"/>
      <c r="D1004" s="53"/>
      <c r="E1004" s="53"/>
      <c r="F1004" s="53"/>
      <c r="G1004" s="53"/>
      <c r="H1004" s="53"/>
    </row>
    <row r="1005" spans="2:8" ht="15.75">
      <c r="B1005" s="53" t="str">
        <f>B998</f>
        <v>Res fixed</v>
      </c>
      <c r="C1005" s="53"/>
      <c r="D1005" s="56">
        <f>'New quarts'!BS118</f>
        <v>3.9640987284966345E-2</v>
      </c>
      <c r="E1005" s="56">
        <f>'New quarts'!BT118</f>
        <v>4.114621601763413E-2</v>
      </c>
      <c r="F1005" s="56">
        <f>'New quarts'!BU118</f>
        <v>4.1575492341356712E-2</v>
      </c>
      <c r="G1005" s="56" t="e">
        <f>'New quarts'!#REF!</f>
        <v>#REF!</v>
      </c>
      <c r="H1005" s="56">
        <f>'New quarts'!BW118</f>
        <v>1.510791366906461E-2</v>
      </c>
    </row>
    <row r="1006" spans="2:8" ht="15.75">
      <c r="B1006" s="53" t="str">
        <f>B999</f>
        <v>Res wireless</v>
      </c>
      <c r="C1006" s="53"/>
      <c r="D1006" s="56">
        <f>'New quarts'!BS113</f>
        <v>0.18072289156626509</v>
      </c>
      <c r="E1006" s="56">
        <f>'New quarts'!BT113</f>
        <v>0.14942528735632199</v>
      </c>
      <c r="F1006" s="56">
        <f>'New quarts'!BU113</f>
        <v>7.3684210526315796E-2</v>
      </c>
      <c r="G1006" s="56" t="e">
        <f>'New quarts'!#REF!</f>
        <v>#REF!</v>
      </c>
      <c r="H1006" s="56">
        <f>'New quarts'!BW113</f>
        <v>7.1428571428571397E-2</v>
      </c>
    </row>
    <row r="1007" spans="2:8" ht="15.75">
      <c r="B1007" s="53" t="str">
        <f>B1000</f>
        <v>Fixed B2B</v>
      </c>
      <c r="C1007" s="53"/>
      <c r="D1007" s="56">
        <f>'New quarts'!BS114</f>
        <v>0.88888888888888906</v>
      </c>
      <c r="E1007" s="56">
        <f>'New quarts'!BT114</f>
        <v>0.65217391304347827</v>
      </c>
      <c r="F1007" s="56">
        <f>'New quarts'!BU114</f>
        <v>0.59259259259259234</v>
      </c>
      <c r="G1007" s="56" t="e">
        <f>'New quarts'!#REF!</f>
        <v>#REF!</v>
      </c>
      <c r="H1007" s="56">
        <f>'New quarts'!BW114</f>
        <v>0.4411764705882355</v>
      </c>
    </row>
    <row r="1008" spans="2:8" ht="15.75">
      <c r="B1008" s="53" t="str">
        <f>B1001</f>
        <v>Other</v>
      </c>
      <c r="C1008" s="53"/>
      <c r="D1008" s="53"/>
      <c r="E1008" s="53"/>
      <c r="F1008" s="53"/>
      <c r="G1008" s="53"/>
      <c r="H1008" s="53"/>
    </row>
    <row r="1009" spans="2:8" ht="15.75">
      <c r="B1009" s="53" t="s">
        <v>16</v>
      </c>
      <c r="C1009" s="53"/>
      <c r="D1009" s="56">
        <f>'New quarts'!BS116</f>
        <v>5.7922769640479377E-2</v>
      </c>
      <c r="E1009" s="56">
        <f>'New quarts'!BT116</f>
        <v>5.34550195567145E-2</v>
      </c>
      <c r="F1009" s="56">
        <f>'New quarts'!BU116</f>
        <v>4.9517684887459668E-2</v>
      </c>
      <c r="G1009" s="56" t="e">
        <f>'New quarts'!#REF!</f>
        <v>#REF!</v>
      </c>
      <c r="H1009" s="56">
        <f>'New quarts'!BW116</f>
        <v>2.4543738200125897E-2</v>
      </c>
    </row>
    <row r="1010" spans="2:8" ht="15.75">
      <c r="B1010" s="53"/>
      <c r="C1010" s="53"/>
      <c r="D1010" s="53"/>
      <c r="E1010" s="53"/>
      <c r="F1010" s="53"/>
      <c r="G1010" s="53"/>
      <c r="H1010" s="53"/>
    </row>
    <row r="1011" spans="2:8" ht="15.75">
      <c r="B1011" s="58" t="s">
        <v>984</v>
      </c>
      <c r="C1011" s="53"/>
      <c r="D1011" s="53"/>
      <c r="E1011" s="53"/>
      <c r="F1011" s="53"/>
      <c r="G1011" s="53"/>
      <c r="H1011" s="53"/>
    </row>
    <row r="1012" spans="2:8" ht="15.75">
      <c r="B1012" s="53" t="s">
        <v>16</v>
      </c>
      <c r="C1012" s="53"/>
      <c r="D1012" s="53">
        <f>E1012</f>
        <v>82.5</v>
      </c>
      <c r="E1012" s="53">
        <f>F1012</f>
        <v>82.5</v>
      </c>
      <c r="F1012" s="53">
        <f>G1012</f>
        <v>82.5</v>
      </c>
      <c r="G1012" s="53">
        <f>H1012</f>
        <v>82.5</v>
      </c>
      <c r="H1012" s="53">
        <f>'LiLAC valuation'!Z357</f>
        <v>82.5</v>
      </c>
    </row>
    <row r="1013" spans="2:8" ht="15.75">
      <c r="B1013" s="53"/>
      <c r="C1013" s="53"/>
      <c r="D1013" s="53"/>
      <c r="E1013" s="53"/>
      <c r="F1013" s="53"/>
      <c r="G1013" s="53"/>
      <c r="H1013" s="53"/>
    </row>
    <row r="1014" spans="2:8" ht="15.75">
      <c r="B1014" s="53" t="str">
        <f>B1004</f>
        <v>Growth</v>
      </c>
      <c r="C1014" s="53"/>
      <c r="D1014" s="53"/>
      <c r="E1014" s="53"/>
      <c r="F1014" s="53"/>
      <c r="G1014" s="53"/>
      <c r="H1014" s="53"/>
    </row>
    <row r="1015" spans="2:8" ht="15.75">
      <c r="B1015" s="53" t="s">
        <v>16</v>
      </c>
      <c r="C1015" s="53"/>
      <c r="D1015" s="54">
        <v>0.05</v>
      </c>
      <c r="E1015" s="54">
        <v>0.05</v>
      </c>
      <c r="F1015" s="54">
        <v>0.05</v>
      </c>
      <c r="G1015" s="54">
        <v>0.05</v>
      </c>
      <c r="H1015" s="54">
        <v>0.05</v>
      </c>
    </row>
    <row r="1016" spans="2:8" ht="15.75">
      <c r="B1016" s="53"/>
      <c r="C1016" s="53"/>
      <c r="D1016" s="53"/>
      <c r="E1016" s="53"/>
      <c r="F1016" s="53"/>
      <c r="G1016" s="53"/>
      <c r="H1016" s="53"/>
    </row>
    <row r="1017" spans="2:8" ht="15.75">
      <c r="B1017" s="58" t="s">
        <v>4262</v>
      </c>
      <c r="C1017" s="53"/>
      <c r="D1017" s="53"/>
      <c r="E1017" s="53"/>
      <c r="F1017" s="53"/>
      <c r="G1017" s="53"/>
      <c r="H1017" s="53"/>
    </row>
    <row r="1018" spans="2:8" ht="15.75">
      <c r="B1018" s="53" t="str">
        <f>B985</f>
        <v>Res fixed</v>
      </c>
      <c r="C1018" s="53"/>
      <c r="D1018" s="481">
        <f>D985+D998+D1012</f>
        <v>423.23554502369672</v>
      </c>
      <c r="E1018" s="481">
        <f>E985+E998+E1012</f>
        <v>438.83288644324972</v>
      </c>
      <c r="F1018" s="481">
        <f>F985+F998+F1012</f>
        <v>403.40993569131831</v>
      </c>
      <c r="G1018" s="481">
        <f>G985+G998+G1012</f>
        <v>422.38461538461542</v>
      </c>
      <c r="H1018" s="481">
        <f>H985+H998+H1012</f>
        <v>420.00425844346546</v>
      </c>
    </row>
    <row r="1019" spans="2:8" ht="15.75">
      <c r="B1019" s="53" t="str">
        <f>B986</f>
        <v>Res wireless</v>
      </c>
      <c r="C1019" s="53"/>
      <c r="D1019" s="481">
        <f t="shared" ref="D1019:H1021" si="591">D986+D999</f>
        <v>170.58183254344391</v>
      </c>
      <c r="E1019" s="481">
        <f t="shared" si="591"/>
        <v>167.37454882837301</v>
      </c>
      <c r="F1019" s="481">
        <f t="shared" si="591"/>
        <v>164.07717041800643</v>
      </c>
      <c r="G1019" s="481">
        <f t="shared" si="591"/>
        <v>155.38461538461539</v>
      </c>
      <c r="H1019" s="481">
        <f t="shared" si="591"/>
        <v>150.12481644640235</v>
      </c>
    </row>
    <row r="1020" spans="2:8" ht="15.75">
      <c r="B1020" s="53" t="str">
        <f>B987</f>
        <v>Fixed B2B</v>
      </c>
      <c r="C1020" s="53"/>
      <c r="D1020" s="481">
        <f t="shared" si="591"/>
        <v>268.53933649289098</v>
      </c>
      <c r="E1020" s="481">
        <f t="shared" si="591"/>
        <v>274.54627204249675</v>
      </c>
      <c r="F1020" s="481">
        <f t="shared" si="591"/>
        <v>275.80932475884242</v>
      </c>
      <c r="G1020" s="481">
        <f t="shared" si="591"/>
        <v>286.78567119155343</v>
      </c>
      <c r="H1020" s="481">
        <f t="shared" si="591"/>
        <v>279.59530102790012</v>
      </c>
    </row>
    <row r="1021" spans="2:8" ht="15.75">
      <c r="B1021" s="53" t="str">
        <f>B988</f>
        <v>Other</v>
      </c>
      <c r="C1021" s="53"/>
      <c r="D1021" s="481">
        <f t="shared" si="591"/>
        <v>56.038230647709298</v>
      </c>
      <c r="E1021" s="481">
        <f t="shared" si="591"/>
        <v>49.326477260214276</v>
      </c>
      <c r="F1021" s="481">
        <f t="shared" si="591"/>
        <v>48.10707395498396</v>
      </c>
      <c r="G1021" s="481">
        <f t="shared" si="591"/>
        <v>46.898944193061858</v>
      </c>
      <c r="H1021" s="481">
        <f t="shared" si="591"/>
        <v>43.544787077826655</v>
      </c>
    </row>
    <row r="1022" spans="2:8" ht="15.75">
      <c r="B1022" s="53" t="str">
        <f>B989</f>
        <v>Total</v>
      </c>
      <c r="D1022" s="481">
        <f>D989+D1002+D1012</f>
        <v>918.39494470774093</v>
      </c>
      <c r="E1022" s="481">
        <f>E989+E1002+E1012</f>
        <v>930.08018457433377</v>
      </c>
      <c r="F1022" s="481">
        <f>F989+F1002+F1012</f>
        <v>923.40707395498396</v>
      </c>
      <c r="G1022" s="481">
        <f>G989+G1002+G1012</f>
        <v>911.45384615384614</v>
      </c>
      <c r="H1022" s="481">
        <f>H989+H1002+H1012</f>
        <v>893.26916299559457</v>
      </c>
    </row>
    <row r="1024" spans="2:8" ht="15.75">
      <c r="B1024" s="53" t="s">
        <v>4261</v>
      </c>
    </row>
    <row r="1025" spans="2:8" ht="15.75">
      <c r="B1025" s="53" t="str">
        <f>B1018</f>
        <v>Res fixed</v>
      </c>
      <c r="D1025" s="56">
        <f>((D992*D985)+(D1005*D998)+(D1015*D1012))/D1018</f>
        <v>2.7210199875031274E-2</v>
      </c>
      <c r="E1025" s="56">
        <f>((E992*E985)+(E1005*E998)+(E1015*E1012))/E1018</f>
        <v>3.7335168615916257E-2</v>
      </c>
      <c r="F1025" s="56">
        <f>((F992*F985)+(F1005*F998)+(F1015*F1012))/F1018</f>
        <v>4.0328938487387084E-2</v>
      </c>
      <c r="G1025" s="56" t="e">
        <f>((G992*G985)+(G1005*G998)+(G1015*G1012))/G1018</f>
        <v>#REF!</v>
      </c>
      <c r="H1025" s="56">
        <f>((H992*H985)+(H1005*H998)+(H1015*H1012))/H1018</f>
        <v>3.2322836760534913E-2</v>
      </c>
    </row>
    <row r="1026" spans="2:8" ht="15.75">
      <c r="B1026" s="53" t="str">
        <f>B1019</f>
        <v>Res wireless</v>
      </c>
      <c r="D1026" s="56">
        <f t="shared" ref="D1026:H1027" si="592">((D993*D986)+(D1006*D999))/D1019</f>
        <v>-8.1472829508392186E-3</v>
      </c>
      <c r="E1026" s="56">
        <f t="shared" si="592"/>
        <v>-3.0609019714097657E-2</v>
      </c>
      <c r="F1026" s="56">
        <f t="shared" si="592"/>
        <v>-6.3137158959167924E-2</v>
      </c>
      <c r="G1026" s="56" t="e">
        <f t="shared" si="592"/>
        <v>#REF!</v>
      </c>
      <c r="H1026" s="56">
        <f t="shared" si="592"/>
        <v>-0.10790791523730342</v>
      </c>
    </row>
    <row r="1027" spans="2:8" ht="15.75">
      <c r="B1027" s="53" t="str">
        <f>B1020</f>
        <v>Fixed B2B</v>
      </c>
      <c r="D1027" s="56">
        <f t="shared" si="592"/>
        <v>3.5334650309183424E-2</v>
      </c>
      <c r="E1027" s="56">
        <f t="shared" si="592"/>
        <v>1.830966887536175E-2</v>
      </c>
      <c r="F1027" s="56">
        <f t="shared" si="592"/>
        <v>6.6907964819419796E-2</v>
      </c>
      <c r="G1027" s="56" t="e">
        <f t="shared" si="592"/>
        <v>#REF!</v>
      </c>
      <c r="H1027" s="56">
        <f t="shared" si="592"/>
        <v>3.2787380469581344E-2</v>
      </c>
    </row>
    <row r="1028" spans="2:8" ht="15.75">
      <c r="B1028" s="53" t="str">
        <f>B1021</f>
        <v>Other</v>
      </c>
      <c r="D1028" s="6"/>
      <c r="E1028" s="6"/>
      <c r="F1028" s="6"/>
      <c r="G1028" s="6"/>
      <c r="H1028" s="6"/>
    </row>
    <row r="1029" spans="2:8" ht="15.75">
      <c r="B1029" s="53" t="str">
        <f>B1022</f>
        <v>Total</v>
      </c>
      <c r="D1029" s="56">
        <f>((D995*D989)+(D1009*D1002)+(D1015*D1012))/D1022</f>
        <v>1.7733730782490194E-2</v>
      </c>
      <c r="E1029" s="56">
        <f>((E995*E989)+(E1009*E1002)+(E1015*E1012))/E1022</f>
        <v>1.5208173081898356E-2</v>
      </c>
      <c r="F1029" s="56">
        <f>((F995*F989)+(F1009*F1002)+(F1015*F1012))/F1022</f>
        <v>2.2804400587321454E-2</v>
      </c>
      <c r="G1029" s="56" t="e">
        <f>((G995*G989)+(G1009*G1002)+(G1015*G1012))/G1022</f>
        <v>#REF!</v>
      </c>
      <c r="H1029" s="56">
        <f>((H995*H989)+(H1009*H1002)+(H1015*H1012))/H1022</f>
        <v>3.9482394050703384E-4</v>
      </c>
    </row>
    <row r="1031" spans="2:8" ht="15.75">
      <c r="B1031" s="58" t="s">
        <v>4263</v>
      </c>
      <c r="C1031" s="53"/>
      <c r="D1031" s="53"/>
      <c r="E1031" s="53"/>
      <c r="F1031" s="53"/>
      <c r="G1031" s="53"/>
      <c r="H1031" s="53"/>
    </row>
    <row r="1032" spans="2:8" ht="15.75">
      <c r="B1032" s="53" t="str">
        <f>B1018</f>
        <v>Res fixed</v>
      </c>
      <c r="C1032" s="53"/>
      <c r="D1032" s="56">
        <v>7.5999999999999998E-2</v>
      </c>
      <c r="E1032" s="56">
        <v>0.126</v>
      </c>
      <c r="F1032" s="56">
        <v>0.125</v>
      </c>
      <c r="G1032" s="56">
        <v>0.115</v>
      </c>
      <c r="H1032" s="56">
        <v>0.104</v>
      </c>
    </row>
    <row r="1033" spans="2:8" ht="15.75">
      <c r="B1033" s="53" t="str">
        <f>B1019</f>
        <v>Res wireless</v>
      </c>
      <c r="C1033" s="53"/>
      <c r="D1033" s="56">
        <v>8.9999999999999993E-3</v>
      </c>
      <c r="E1033" s="56">
        <v>2.1000000000000001E-2</v>
      </c>
      <c r="F1033" s="56">
        <v>0.01</v>
      </c>
      <c r="G1033" s="56">
        <v>1.2999999999999999E-2</v>
      </c>
      <c r="H1033" s="56">
        <v>1.4E-2</v>
      </c>
    </row>
    <row r="1034" spans="2:8" ht="15.75">
      <c r="B1034" s="53" t="s">
        <v>2412</v>
      </c>
      <c r="C1034" s="53"/>
      <c r="D1034" s="56">
        <v>8.8999999999999996E-2</v>
      </c>
      <c r="E1034" s="56">
        <v>7.0999999999999994E-2</v>
      </c>
      <c r="F1034" s="56">
        <v>6.5000000000000002E-2</v>
      </c>
      <c r="G1034" s="56">
        <v>-0.17699999999999999</v>
      </c>
      <c r="H1034" s="56">
        <v>-7.4999999999999997E-2</v>
      </c>
    </row>
    <row r="1035" spans="2:8" ht="15.75">
      <c r="B1035" s="53" t="str">
        <f>B1021</f>
        <v>Other</v>
      </c>
      <c r="C1035" s="53"/>
      <c r="D1035" s="56"/>
      <c r="E1035" s="56"/>
      <c r="F1035" s="56"/>
      <c r="G1035" s="56"/>
      <c r="H1035" s="56"/>
    </row>
    <row r="1036" spans="2:8" ht="15.75">
      <c r="B1036" s="53" t="str">
        <f>B1022</f>
        <v>Total</v>
      </c>
      <c r="C1036" s="53"/>
      <c r="D1036" s="56">
        <v>3.4195947060475199E-2</v>
      </c>
      <c r="E1036" s="56">
        <v>5.5069080270862401E-2</v>
      </c>
      <c r="F1036" s="56">
        <v>4.6537565335077621E-2</v>
      </c>
      <c r="G1036" s="56">
        <v>3.6558842888669299E-2</v>
      </c>
      <c r="H1036" s="56">
        <v>3.6529037132681234E-2</v>
      </c>
    </row>
    <row r="1049" spans="2:9" ht="15.75">
      <c r="B1049" s="636" t="s">
        <v>4536</v>
      </c>
      <c r="C1049" s="642"/>
      <c r="D1049" s="642" t="str">
        <f t="shared" ref="D1049:I1055" si="593">BT91</f>
        <v>Q1 19</v>
      </c>
      <c r="E1049" s="642" t="str">
        <f t="shared" si="593"/>
        <v>Q2 19</v>
      </c>
      <c r="F1049" s="642" t="str">
        <f t="shared" si="593"/>
        <v>Q3 19</v>
      </c>
      <c r="G1049" s="642" t="str">
        <f t="shared" si="593"/>
        <v>Q4 19</v>
      </c>
      <c r="H1049" s="642" t="str">
        <f t="shared" si="593"/>
        <v>Q1 20</v>
      </c>
      <c r="I1049" s="642" t="str">
        <f t="shared" si="593"/>
        <v>Q2 20</v>
      </c>
    </row>
    <row r="1050" spans="2:9" ht="15.75">
      <c r="B1050" s="53" t="str">
        <f t="shared" ref="B1050:B1055" si="594">BN92</f>
        <v>Video</v>
      </c>
      <c r="C1050" s="56"/>
      <c r="D1050" s="56">
        <f t="shared" si="593"/>
        <v>2.8103044496486929E-2</v>
      </c>
      <c r="E1050" s="56">
        <f t="shared" si="593"/>
        <v>8.3333333333333259E-2</v>
      </c>
      <c r="F1050" s="56">
        <f t="shared" si="593"/>
        <v>5.3488372093023262E-2</v>
      </c>
      <c r="G1050" s="56">
        <f t="shared" si="593"/>
        <v>4.640371229698359E-2</v>
      </c>
      <c r="H1050" s="56">
        <f t="shared" si="593"/>
        <v>2.277904328018221E-2</v>
      </c>
      <c r="I1050" s="56">
        <f t="shared" si="593"/>
        <v>-8.7606837606837518E-2</v>
      </c>
    </row>
    <row r="1051" spans="2:9" ht="15.75">
      <c r="B1051" s="53" t="str">
        <f t="shared" si="594"/>
        <v>BB</v>
      </c>
      <c r="C1051" s="56"/>
      <c r="D1051" s="56">
        <f t="shared" si="593"/>
        <v>0.12104283054003728</v>
      </c>
      <c r="E1051" s="56">
        <f t="shared" si="593"/>
        <v>0.16134751773049638</v>
      </c>
      <c r="F1051" s="56">
        <f t="shared" si="593"/>
        <v>0.17162872154115583</v>
      </c>
      <c r="G1051" s="56">
        <f t="shared" si="593"/>
        <v>0.16006884681583444</v>
      </c>
      <c r="H1051" s="56">
        <f t="shared" si="593"/>
        <v>0.17940199335548157</v>
      </c>
      <c r="I1051" s="56">
        <f t="shared" si="593"/>
        <v>7.6335877862595325E-2</v>
      </c>
    </row>
    <row r="1052" spans="2:9" ht="15.75">
      <c r="B1052" s="50" t="str">
        <f t="shared" si="594"/>
        <v>Voice</v>
      </c>
      <c r="C1052" s="631"/>
      <c r="D1052" s="631">
        <f t="shared" si="593"/>
        <v>-9.3283582089552231E-2</v>
      </c>
      <c r="E1052" s="631">
        <f t="shared" si="593"/>
        <v>3.0888030888030826E-2</v>
      </c>
      <c r="F1052" s="631">
        <f t="shared" si="593"/>
        <v>4.0000000000000036E-2</v>
      </c>
      <c r="G1052" s="631">
        <f t="shared" si="593"/>
        <v>6.8669527896995541E-2</v>
      </c>
      <c r="H1052" s="631">
        <f t="shared" si="593"/>
        <v>0</v>
      </c>
      <c r="I1052" s="631">
        <f t="shared" si="593"/>
        <v>-9.3632958801498134E-2</v>
      </c>
    </row>
    <row r="1053" spans="2:9" ht="15.75">
      <c r="B1053" s="53" t="str">
        <f t="shared" si="594"/>
        <v>Total subscription</v>
      </c>
      <c r="C1053" s="56"/>
      <c r="D1053" s="56">
        <f t="shared" si="593"/>
        <v>4.2207792207792139E-2</v>
      </c>
      <c r="E1053" s="56">
        <f t="shared" si="593"/>
        <v>0.10756972111553775</v>
      </c>
      <c r="F1053" s="56">
        <f t="shared" si="593"/>
        <v>0.10471622701838523</v>
      </c>
      <c r="G1053" s="56">
        <f t="shared" si="593"/>
        <v>0.10361445783132517</v>
      </c>
      <c r="H1053" s="56">
        <f t="shared" si="593"/>
        <v>9.1900311526479816E-2</v>
      </c>
      <c r="I1053" s="56">
        <f t="shared" si="593"/>
        <v>-1.151079136690647E-2</v>
      </c>
    </row>
    <row r="1054" spans="2:9" ht="15.75">
      <c r="B1054" s="50" t="str">
        <f t="shared" si="594"/>
        <v>Non subs</v>
      </c>
      <c r="C1054" s="631"/>
      <c r="D1054" s="631">
        <f t="shared" si="593"/>
        <v>-0.30232558139534882</v>
      </c>
      <c r="E1054" s="631">
        <f t="shared" si="593"/>
        <v>-0.12426035502958566</v>
      </c>
      <c r="F1054" s="631">
        <f t="shared" si="593"/>
        <v>-7.2222222222222299E-2</v>
      </c>
      <c r="G1054" s="631">
        <f t="shared" si="593"/>
        <v>0.29411764705882382</v>
      </c>
      <c r="H1054" s="631">
        <f t="shared" si="593"/>
        <v>0.12666666666666648</v>
      </c>
      <c r="I1054" s="631">
        <f t="shared" si="593"/>
        <v>-0.23648648648648651</v>
      </c>
    </row>
    <row r="1055" spans="2:9" ht="15.75">
      <c r="B1055" s="58" t="str">
        <f t="shared" si="594"/>
        <v>Total res fixed</v>
      </c>
      <c r="C1055" s="946"/>
      <c r="D1055" s="946">
        <f t="shared" si="593"/>
        <v>-8.9841050449204207E-3</v>
      </c>
      <c r="E1055" s="946">
        <f t="shared" si="593"/>
        <v>8.0056179775281011E-2</v>
      </c>
      <c r="F1055" s="946">
        <f t="shared" si="593"/>
        <v>8.2459818308874722E-2</v>
      </c>
      <c r="G1055" s="946">
        <f t="shared" si="593"/>
        <v>0.12023460410557174</v>
      </c>
      <c r="H1055" s="946">
        <f t="shared" si="593"/>
        <v>9.5536959553696121E-2</v>
      </c>
      <c r="I1055" s="946">
        <f t="shared" si="593"/>
        <v>-3.3159947984395255E-2</v>
      </c>
    </row>
    <row r="1056" spans="2:9" ht="15.75">
      <c r="B1056" s="53"/>
      <c r="C1056" s="56"/>
      <c r="D1056" s="56"/>
      <c r="E1056" s="56"/>
      <c r="F1056" s="56"/>
      <c r="G1056" s="56"/>
      <c r="H1056" s="56"/>
      <c r="I1056" s="56"/>
    </row>
    <row r="1057" spans="2:14" ht="15.75">
      <c r="B1057" s="53" t="str">
        <f>BN99</f>
        <v>Subscription</v>
      </c>
      <c r="C1057" s="56"/>
      <c r="D1057" s="56">
        <f t="shared" ref="D1057:I1059" si="595">BT99</f>
        <v>-0.12959381044487428</v>
      </c>
      <c r="E1057" s="56">
        <f t="shared" si="595"/>
        <v>-5.956320317670416E-2</v>
      </c>
      <c r="F1057" s="56">
        <f t="shared" si="595"/>
        <v>-4.0540540540540571E-2</v>
      </c>
      <c r="G1057" s="56">
        <f t="shared" si="595"/>
        <v>8.5714285714284522E-3</v>
      </c>
      <c r="H1057" s="56">
        <f t="shared" si="595"/>
        <v>-3.0370370370370381E-2</v>
      </c>
      <c r="I1057" s="56">
        <f t="shared" si="595"/>
        <v>-0.25756509500351865</v>
      </c>
    </row>
    <row r="1058" spans="2:14" ht="15.75">
      <c r="B1058" s="50" t="str">
        <f>BN100</f>
        <v>Non subscription</v>
      </c>
      <c r="C1058" s="631"/>
      <c r="D1058" s="631">
        <f t="shared" si="595"/>
        <v>-0.14027149321266974</v>
      </c>
      <c r="E1058" s="631">
        <f t="shared" si="595"/>
        <v>2.7777777777777679E-2</v>
      </c>
      <c r="F1058" s="631">
        <f t="shared" si="595"/>
        <v>-6.7307692307692402E-2</v>
      </c>
      <c r="G1058" s="631">
        <f t="shared" si="595"/>
        <v>-7.9681274900398336E-3</v>
      </c>
      <c r="H1058" s="631">
        <f t="shared" si="595"/>
        <v>-7.3684210526315685E-2</v>
      </c>
      <c r="I1058" s="631">
        <f t="shared" si="595"/>
        <v>-0.22522522522522526</v>
      </c>
    </row>
    <row r="1059" spans="2:14" ht="15.75">
      <c r="B1059" s="58" t="str">
        <f>BN101</f>
        <v>Total mobile</v>
      </c>
      <c r="C1059" s="946"/>
      <c r="D1059" s="946">
        <f t="shared" si="595"/>
        <v>-0.13092550790067714</v>
      </c>
      <c r="E1059" s="946">
        <f t="shared" si="595"/>
        <v>-4.8639258830341703E-2</v>
      </c>
      <c r="F1059" s="946">
        <f t="shared" si="595"/>
        <v>-4.3838862559241742E-2</v>
      </c>
      <c r="G1059" s="946">
        <f t="shared" si="595"/>
        <v>6.0569351907935332E-3</v>
      </c>
      <c r="H1059" s="946">
        <f t="shared" si="595"/>
        <v>-3.5714285714285698E-2</v>
      </c>
      <c r="I1059" s="946">
        <f t="shared" si="595"/>
        <v>-0.25319537431527683</v>
      </c>
    </row>
    <row r="1060" spans="2:14" ht="15.75">
      <c r="B1060" s="53"/>
      <c r="C1060" s="56"/>
      <c r="D1060" s="56"/>
      <c r="E1060" s="56"/>
      <c r="F1060" s="56"/>
      <c r="G1060" s="56"/>
      <c r="H1060" s="56"/>
      <c r="I1060" s="56"/>
    </row>
    <row r="1061" spans="2:14" ht="15.75">
      <c r="B1061" s="53" t="str">
        <f>BN103</f>
        <v>Sub-sea</v>
      </c>
      <c r="C1061" s="56"/>
      <c r="D1061" s="56">
        <f t="shared" ref="D1061:I1064" si="596">BT103</f>
        <v>5.0335570469797197E-3</v>
      </c>
      <c r="E1061" s="56">
        <f t="shared" si="596"/>
        <v>-3.2362459546925182E-3</v>
      </c>
      <c r="F1061" s="56">
        <f t="shared" si="596"/>
        <v>0</v>
      </c>
      <c r="G1061" s="56">
        <f t="shared" si="596"/>
        <v>5.244755244755317E-2</v>
      </c>
      <c r="H1061" s="56">
        <f t="shared" si="596"/>
        <v>0.1619365609348915</v>
      </c>
      <c r="I1061" s="56">
        <f t="shared" si="596"/>
        <v>-1.9480519480519543E-2</v>
      </c>
    </row>
    <row r="1062" spans="2:14" ht="15.75">
      <c r="B1062" s="50" t="str">
        <f>BN104</f>
        <v>Other B2B</v>
      </c>
      <c r="C1062" s="631"/>
      <c r="D1062" s="631">
        <f t="shared" si="596"/>
        <v>4.0646425073457504E-2</v>
      </c>
      <c r="E1062" s="631">
        <f t="shared" si="596"/>
        <v>9.5123128923225497E-2</v>
      </c>
      <c r="F1062" s="631">
        <f t="shared" si="596"/>
        <v>5.1417587698222134E-2</v>
      </c>
      <c r="G1062" s="631">
        <f t="shared" si="596"/>
        <v>6.7234424025101047E-2</v>
      </c>
      <c r="H1062" s="631">
        <f t="shared" si="596"/>
        <v>4.2352941176471148E-3</v>
      </c>
      <c r="I1062" s="631">
        <f t="shared" si="596"/>
        <v>-0.19091710758377434</v>
      </c>
    </row>
    <row r="1063" spans="2:14" ht="15.75">
      <c r="B1063" s="58" t="str">
        <f>BN105</f>
        <v>Total B2B</v>
      </c>
      <c r="C1063" s="946"/>
      <c r="D1063" s="946">
        <f t="shared" si="596"/>
        <v>3.260045489006802E-2</v>
      </c>
      <c r="E1063" s="946">
        <f t="shared" si="596"/>
        <v>7.2517664559315964E-2</v>
      </c>
      <c r="F1063" s="946">
        <f t="shared" si="596"/>
        <v>3.9673711531331257E-2</v>
      </c>
      <c r="G1063" s="946">
        <f t="shared" si="596"/>
        <v>6.4216910453086307E-2</v>
      </c>
      <c r="H1063" s="946">
        <f t="shared" si="596"/>
        <v>3.8913362701909149E-2</v>
      </c>
      <c r="I1063" s="946">
        <f t="shared" si="596"/>
        <v>-0.15429958391123444</v>
      </c>
    </row>
    <row r="1064" spans="2:14" ht="15.75">
      <c r="B1064" s="58" t="str">
        <f>BN106</f>
        <v>CWC</v>
      </c>
      <c r="C1064" s="946"/>
      <c r="D1064" s="946">
        <f t="shared" si="596"/>
        <v>-2.6814688300597855E-2</v>
      </c>
      <c r="E1064" s="946">
        <f t="shared" si="596"/>
        <v>3.9061161555593582E-2</v>
      </c>
      <c r="F1064" s="946">
        <f t="shared" si="596"/>
        <v>2.6845637583892579E-2</v>
      </c>
      <c r="G1064" s="946">
        <f t="shared" si="596"/>
        <v>5.9025394646534224E-2</v>
      </c>
      <c r="H1064" s="946">
        <f t="shared" si="596"/>
        <v>3.2994032994033029E-2</v>
      </c>
      <c r="I1064" s="946">
        <f t="shared" si="596"/>
        <v>-0.1503709810387468</v>
      </c>
    </row>
    <row r="1066" spans="2:14" ht="15.75">
      <c r="B1066" s="1095" t="s">
        <v>4592</v>
      </c>
      <c r="C1066" s="1096" t="s">
        <v>3860</v>
      </c>
      <c r="D1066" s="1096" t="str">
        <f t="shared" ref="D1066:I1066" si="597">D1049</f>
        <v>Q1 19</v>
      </c>
      <c r="E1066" s="1096" t="str">
        <f t="shared" si="597"/>
        <v>Q2 19</v>
      </c>
      <c r="F1066" s="1096" t="str">
        <f t="shared" si="597"/>
        <v>Q3 19</v>
      </c>
      <c r="G1066" s="1096" t="str">
        <f t="shared" si="597"/>
        <v>Q4 19</v>
      </c>
      <c r="H1066" s="1096" t="str">
        <f t="shared" si="597"/>
        <v>Q1 20</v>
      </c>
      <c r="I1066" s="1096" t="str">
        <f t="shared" si="597"/>
        <v>Q2 20</v>
      </c>
      <c r="J1066" s="1096" t="s">
        <v>5188</v>
      </c>
      <c r="K1066" s="1096" t="s">
        <v>5371</v>
      </c>
      <c r="L1066" s="1096" t="s">
        <v>5556</v>
      </c>
      <c r="M1066" s="1096" t="s">
        <v>5696</v>
      </c>
      <c r="N1066" s="1096" t="s">
        <v>5878</v>
      </c>
    </row>
    <row r="1067" spans="2:14" ht="15.75">
      <c r="B1067" s="1126" t="str">
        <f>B1055</f>
        <v>Total res fixed</v>
      </c>
      <c r="C1067" s="853">
        <v>4.5999999999999999E-2</v>
      </c>
      <c r="D1067" s="853">
        <v>4.9000000000000002E-2</v>
      </c>
      <c r="E1067" s="853">
        <v>1.4E-2</v>
      </c>
      <c r="F1067" s="853">
        <v>8.9999999999999993E-3</v>
      </c>
      <c r="G1067" s="853">
        <v>1.4E-2</v>
      </c>
      <c r="H1067" s="853">
        <v>4.8000000000000001E-2</v>
      </c>
      <c r="I1067" s="853">
        <v>-5.0000000000000001E-3</v>
      </c>
      <c r="J1067" s="853">
        <v>-8.0000000000000002E-3</v>
      </c>
      <c r="K1067" s="853">
        <v>1.2E-2</v>
      </c>
      <c r="L1067" s="853">
        <v>-0.01</v>
      </c>
      <c r="M1067" s="853">
        <v>0.03</v>
      </c>
      <c r="N1067" s="853">
        <v>0.04</v>
      </c>
    </row>
    <row r="1068" spans="2:14" ht="15.75">
      <c r="B1068" s="797" t="str">
        <f>B1059</f>
        <v>Total mobile</v>
      </c>
      <c r="C1068" s="56">
        <v>-9.9000000000000005E-2</v>
      </c>
      <c r="D1068" s="56">
        <v>-0.128</v>
      </c>
      <c r="E1068" s="56">
        <v>-9.2999999999999999E-2</v>
      </c>
      <c r="F1068" s="56">
        <v>-0.10100000000000001</v>
      </c>
      <c r="G1068" s="56">
        <v>-1.7000000000000001E-2</v>
      </c>
      <c r="H1068" s="56">
        <v>-0.06</v>
      </c>
      <c r="I1068" s="56">
        <v>-0.217</v>
      </c>
      <c r="J1068" s="56">
        <v>-0.14099999999999999</v>
      </c>
      <c r="K1068" s="56">
        <v>-0.156</v>
      </c>
      <c r="L1068" s="56">
        <v>-0.09</v>
      </c>
      <c r="M1068" s="56">
        <v>0.14000000000000001</v>
      </c>
      <c r="N1068" s="56">
        <v>7.0000000000000007E-2</v>
      </c>
    </row>
    <row r="1069" spans="2:14" ht="15.75">
      <c r="B1069" s="1038" t="str">
        <f>B1063</f>
        <v>Total B2B</v>
      </c>
      <c r="C1069" s="1125">
        <v>4.2000000000000003E-2</v>
      </c>
      <c r="D1069" s="1125">
        <v>2.1999999999999999E-2</v>
      </c>
      <c r="E1069" s="1125">
        <v>4.2000000000000003E-2</v>
      </c>
      <c r="F1069" s="1125">
        <v>1.2E-2</v>
      </c>
      <c r="G1069" s="1125">
        <v>7.1999999999999995E-2</v>
      </c>
      <c r="H1069" s="1125">
        <v>4.2000000000000003E-2</v>
      </c>
      <c r="I1069" s="1125">
        <v>-0.11700000000000001</v>
      </c>
      <c r="J1069" s="1125">
        <v>-4.2999999999999997E-2</v>
      </c>
      <c r="K1069" s="1125">
        <v>-8.5999999999999993E-2</v>
      </c>
      <c r="L1069" s="1125">
        <v>-0.06</v>
      </c>
      <c r="M1069" s="1125">
        <v>0.09</v>
      </c>
      <c r="N1069" s="1125">
        <v>0.05</v>
      </c>
    </row>
    <row r="1070" spans="2:14" ht="15.75">
      <c r="B1070" s="963" t="s">
        <v>1961</v>
      </c>
      <c r="C1070" s="947">
        <f>V201</f>
        <v>-4.0000000000000001E-3</v>
      </c>
      <c r="D1070" s="947">
        <f>X201</f>
        <v>-1.7000000000000001E-2</v>
      </c>
      <c r="E1070" s="947">
        <f>Y201</f>
        <v>-5.0000000000000001E-3</v>
      </c>
      <c r="F1070" s="947">
        <f>Z201</f>
        <v>-2.1999999999999999E-2</v>
      </c>
      <c r="G1070" s="947">
        <f>AA201</f>
        <v>3.3000000000000002E-2</v>
      </c>
      <c r="H1070" s="947">
        <f>AC201</f>
        <v>1.6E-2</v>
      </c>
      <c r="I1070" s="947">
        <f>AD201</f>
        <v>-0.115</v>
      </c>
      <c r="J1070" s="947">
        <v>-0.06</v>
      </c>
      <c r="K1070" s="947">
        <v>-0.08</v>
      </c>
      <c r="L1070" s="947">
        <v>-0.06</v>
      </c>
      <c r="M1070" s="947">
        <v>0.09</v>
      </c>
      <c r="N1070" s="947">
        <v>0.05</v>
      </c>
    </row>
    <row r="1072" spans="2:14" ht="15.75">
      <c r="D1072" s="558">
        <v>56.8</v>
      </c>
      <c r="E1072" s="558">
        <v>59.2</v>
      </c>
      <c r="F1072" s="558">
        <v>52.8</v>
      </c>
      <c r="G1072" s="558">
        <v>58.8</v>
      </c>
      <c r="H1072" s="558">
        <v>45.8</v>
      </c>
      <c r="I1072" s="558">
        <v>36.9</v>
      </c>
      <c r="J1072" s="558">
        <v>43.1</v>
      </c>
      <c r="K1072" s="639">
        <v>51.4</v>
      </c>
      <c r="L1072" s="639">
        <v>44</v>
      </c>
      <c r="M1072" s="639">
        <v>45.6</v>
      </c>
      <c r="N1072" s="639">
        <v>45.6</v>
      </c>
    </row>
    <row r="1074" spans="2:14" ht="15.75">
      <c r="B1074" s="1095" t="s">
        <v>5374</v>
      </c>
      <c r="C1074" s="1096" t="s">
        <v>3860</v>
      </c>
      <c r="D1074" s="1096" t="str">
        <f t="shared" ref="D1074:I1074" si="598">D1066</f>
        <v>Q1 19</v>
      </c>
      <c r="E1074" s="1096" t="str">
        <f t="shared" si="598"/>
        <v>Q2 19</v>
      </c>
      <c r="F1074" s="1096" t="str">
        <f t="shared" si="598"/>
        <v>Q3 19</v>
      </c>
      <c r="G1074" s="1096" t="str">
        <f t="shared" si="598"/>
        <v>Q4 19</v>
      </c>
      <c r="H1074" s="1096" t="str">
        <f t="shared" si="598"/>
        <v>Q1 20</v>
      </c>
      <c r="I1074" s="1096" t="str">
        <f t="shared" si="598"/>
        <v>Q2 20</v>
      </c>
      <c r="J1074" s="1096" t="s">
        <v>5188</v>
      </c>
      <c r="K1074" s="1096" t="str">
        <f>K1066</f>
        <v>Q4 20</v>
      </c>
      <c r="L1074" s="1096" t="str">
        <f>L1066</f>
        <v>Q1 21</v>
      </c>
      <c r="M1074" s="1096" t="str">
        <f>M1066</f>
        <v>Q2 21</v>
      </c>
      <c r="N1074" s="1096" t="str">
        <f>N1066</f>
        <v>Q3 21</v>
      </c>
    </row>
    <row r="1075" spans="2:14" ht="15.75">
      <c r="B1075" s="648" t="s">
        <v>15</v>
      </c>
      <c r="C1075" s="555"/>
      <c r="D1075" s="853">
        <f t="shared" ref="D1075:J1075" si="599">D1092</f>
        <v>-5.3944706675657428E-2</v>
      </c>
      <c r="E1075" s="853">
        <f t="shared" si="599"/>
        <v>-6.0606060606060663E-2</v>
      </c>
      <c r="F1075" s="853">
        <f t="shared" si="599"/>
        <v>-7.6299797434166039E-2</v>
      </c>
      <c r="G1075" s="853">
        <f t="shared" si="599"/>
        <v>7.7077747989276357E-2</v>
      </c>
      <c r="H1075" s="853">
        <f t="shared" si="599"/>
        <v>-1.8531717747683696E-2</v>
      </c>
      <c r="I1075" s="853">
        <f t="shared" si="599"/>
        <v>-0.21739130434782605</v>
      </c>
      <c r="J1075" s="853">
        <f t="shared" si="599"/>
        <v>-0.13523391812865504</v>
      </c>
      <c r="K1075" s="853">
        <v>-0.189</v>
      </c>
      <c r="L1075" s="853">
        <v>-0.11</v>
      </c>
      <c r="M1075" s="853">
        <v>0.15</v>
      </c>
      <c r="N1075" s="853">
        <v>0.09</v>
      </c>
    </row>
    <row r="1076" spans="2:14" ht="15.75">
      <c r="B1076" s="605" t="s">
        <v>50</v>
      </c>
      <c r="D1076" s="56"/>
      <c r="E1076" s="56"/>
      <c r="F1076" s="56"/>
      <c r="G1076" s="56"/>
      <c r="H1076" s="56"/>
      <c r="I1076" s="56"/>
      <c r="J1076" s="56"/>
      <c r="K1076" s="56"/>
      <c r="L1076" s="56"/>
    </row>
    <row r="1077" spans="2:14" ht="15.75">
      <c r="B1077" s="648" t="s">
        <v>2412</v>
      </c>
      <c r="C1077" s="555"/>
      <c r="D1077" s="853"/>
      <c r="E1077" s="853"/>
      <c r="F1077" s="853"/>
      <c r="G1077" s="853"/>
      <c r="H1077" s="853"/>
      <c r="I1077" s="853"/>
      <c r="J1077" s="853"/>
      <c r="K1077" s="853">
        <v>-0.24</v>
      </c>
      <c r="L1077" s="853">
        <v>-0.13</v>
      </c>
      <c r="M1077" s="853">
        <v>0.28999999999999998</v>
      </c>
      <c r="N1077" s="853">
        <v>0.15</v>
      </c>
    </row>
    <row r="1078" spans="2:14" ht="15.75">
      <c r="B1078" s="53" t="s">
        <v>1919</v>
      </c>
      <c r="D1078" s="56"/>
      <c r="E1078" s="56"/>
      <c r="F1078" s="56"/>
      <c r="G1078" s="56"/>
      <c r="H1078" s="56"/>
      <c r="I1078" s="56"/>
      <c r="J1078" s="56"/>
      <c r="K1078" s="56">
        <v>-0.19</v>
      </c>
      <c r="L1078" s="56">
        <v>-0.11</v>
      </c>
      <c r="M1078" s="56">
        <v>0.1</v>
      </c>
      <c r="N1078" s="56">
        <v>0.03</v>
      </c>
    </row>
    <row r="1079" spans="2:14" ht="15.75">
      <c r="B1079" s="648" t="s">
        <v>3631</v>
      </c>
      <c r="C1079" s="555"/>
      <c r="D1079" s="853"/>
      <c r="E1079" s="853"/>
      <c r="F1079" s="853"/>
      <c r="G1079" s="853"/>
      <c r="H1079" s="853"/>
      <c r="I1079" s="853"/>
      <c r="J1079" s="853"/>
      <c r="K1079" s="853">
        <v>-0.04</v>
      </c>
      <c r="L1079" s="853">
        <v>-0.09</v>
      </c>
      <c r="M1079" s="853">
        <v>-0.02</v>
      </c>
      <c r="N1079" s="853">
        <v>0.1</v>
      </c>
    </row>
    <row r="1080" spans="2:14" ht="15.75">
      <c r="B1080" s="53"/>
      <c r="D1080" s="56"/>
      <c r="E1080" s="56"/>
      <c r="F1080" s="56"/>
      <c r="G1080" s="56"/>
      <c r="H1080" s="56"/>
      <c r="I1080" s="56"/>
      <c r="J1080" s="56"/>
      <c r="K1080" s="56"/>
      <c r="L1080" s="56"/>
    </row>
    <row r="1081" spans="2:14" ht="15.75">
      <c r="B1081" s="648" t="s">
        <v>8</v>
      </c>
      <c r="C1081" s="555"/>
      <c r="D1081" s="555"/>
      <c r="E1081" s="555"/>
      <c r="F1081" s="555"/>
      <c r="G1081" s="555"/>
      <c r="H1081" s="853">
        <v>-0.19400000000000001</v>
      </c>
      <c r="I1081" s="853">
        <v>-0.377</v>
      </c>
      <c r="J1081" s="853">
        <v>-0.184</v>
      </c>
      <c r="K1081" s="853">
        <v>-0.126</v>
      </c>
      <c r="L1081" s="853">
        <v>-0.03</v>
      </c>
      <c r="M1081" s="853">
        <v>0.24</v>
      </c>
      <c r="N1081" s="853">
        <v>0.11</v>
      </c>
    </row>
    <row r="1082" spans="2:14" ht="15.75">
      <c r="B1082" s="789" t="s">
        <v>651</v>
      </c>
      <c r="C1082" s="548"/>
      <c r="D1082" s="1097">
        <f>D1072/X13</f>
        <v>0.40484675694939409</v>
      </c>
      <c r="E1082" s="1097">
        <f>E1072/Y13</f>
        <v>0.41514726507713889</v>
      </c>
      <c r="F1082" s="1097">
        <f>F1072/Z13</f>
        <v>0.38596491228070168</v>
      </c>
      <c r="G1082" s="1097">
        <f>G1072/AA13</f>
        <v>0.36589919103920349</v>
      </c>
      <c r="H1082" s="1097">
        <f>H1072/AC13</f>
        <v>0.33260711692084244</v>
      </c>
      <c r="I1082" s="1097">
        <f>I1072/AD13</f>
        <v>0.33064516129032256</v>
      </c>
      <c r="J1082" s="1097">
        <f>J1072/AE13</f>
        <v>0.36432797971259512</v>
      </c>
      <c r="K1082" s="1097">
        <f>K1072/AF13</f>
        <v>0.39296636085626907</v>
      </c>
      <c r="L1082" s="1097">
        <f>L1072/AH13</f>
        <v>0.36065573770491804</v>
      </c>
      <c r="M1082" s="1097">
        <f>M1072/AI13</f>
        <v>0.35736677115987464</v>
      </c>
      <c r="N1082" s="1097">
        <f>N1072/AJ13</f>
        <v>0.3556942277691108</v>
      </c>
    </row>
    <row r="1085" spans="2:14" ht="15.75">
      <c r="B1085" s="636" t="s">
        <v>4536</v>
      </c>
      <c r="C1085" s="3"/>
      <c r="D1085" s="642" t="str">
        <f t="shared" ref="D1085:J1085" si="600">BT91</f>
        <v>Q1 19</v>
      </c>
      <c r="E1085" s="642" t="str">
        <f t="shared" si="600"/>
        <v>Q2 19</v>
      </c>
      <c r="F1085" s="642" t="str">
        <f t="shared" si="600"/>
        <v>Q3 19</v>
      </c>
      <c r="G1085" s="642" t="str">
        <f t="shared" si="600"/>
        <v>Q4 19</v>
      </c>
      <c r="H1085" s="642" t="str">
        <f t="shared" si="600"/>
        <v>Q1 20</v>
      </c>
      <c r="I1085" s="642" t="str">
        <f t="shared" si="600"/>
        <v>Q2 20</v>
      </c>
      <c r="J1085" s="642" t="str">
        <f t="shared" si="600"/>
        <v>Q3 20</v>
      </c>
    </row>
    <row r="1086" spans="2:14" ht="15.75">
      <c r="B1086" s="53" t="str">
        <f>B5</f>
        <v>Jamaica</v>
      </c>
      <c r="D1086" s="56">
        <f t="shared" ref="D1086:J1086" si="601">BQ5</f>
        <v>5.0847457627118731E-2</v>
      </c>
      <c r="E1086" s="56">
        <f t="shared" si="601"/>
        <v>0.15063731170336037</v>
      </c>
      <c r="F1086" s="56">
        <f t="shared" si="601"/>
        <v>5.420353982300874E-2</v>
      </c>
      <c r="G1086" s="56">
        <f t="shared" si="601"/>
        <v>-4.1493775933608701E-3</v>
      </c>
      <c r="H1086" s="56">
        <f t="shared" si="601"/>
        <v>3.3333333333333215E-2</v>
      </c>
      <c r="I1086" s="56">
        <f t="shared" si="601"/>
        <v>-0.1178247734138973</v>
      </c>
      <c r="J1086" s="56">
        <f t="shared" si="601"/>
        <v>-1.5739769150052485E-2</v>
      </c>
    </row>
    <row r="1087" spans="2:14" ht="15.75">
      <c r="B1087" s="53" t="str">
        <f t="shared" ref="B1087:B1094" si="602">B8</f>
        <v>Networks/LatAm</v>
      </c>
      <c r="D1087" s="56">
        <f t="shared" ref="D1087:J1094" si="603">BQ8</f>
        <v>2.5433526011560792E-2</v>
      </c>
      <c r="E1087" s="56">
        <f t="shared" si="603"/>
        <v>-4.8152295632698738E-2</v>
      </c>
      <c r="F1087" s="56">
        <f t="shared" si="603"/>
        <v>-2.6785714285714191E-2</v>
      </c>
      <c r="G1087" s="56">
        <f t="shared" si="603"/>
        <v>0</v>
      </c>
      <c r="H1087" s="56">
        <f t="shared" si="603"/>
        <v>7.1025930101465518E-2</v>
      </c>
      <c r="I1087" s="56">
        <f t="shared" si="603"/>
        <v>-1.764705882352946E-2</v>
      </c>
      <c r="J1087" s="56">
        <f t="shared" si="603"/>
        <v>-2.6376146788990806E-2</v>
      </c>
    </row>
    <row r="1088" spans="2:14" ht="15.75">
      <c r="B1088" s="53" t="str">
        <f t="shared" si="602"/>
        <v xml:space="preserve"> - of which Sub Sea</v>
      </c>
      <c r="D1088" s="56">
        <f t="shared" si="603"/>
        <v>5.0335570469797197E-3</v>
      </c>
      <c r="E1088" s="56">
        <f t="shared" si="603"/>
        <v>-3.2362459546925182E-3</v>
      </c>
      <c r="F1088" s="56">
        <f t="shared" si="603"/>
        <v>0</v>
      </c>
      <c r="G1088" s="56">
        <f t="shared" si="603"/>
        <v>5.244755244755317E-2</v>
      </c>
      <c r="H1088" s="56">
        <f t="shared" si="603"/>
        <v>0.1619365609348915</v>
      </c>
      <c r="I1088" s="56">
        <f t="shared" si="603"/>
        <v>-1.9480519480519543E-2</v>
      </c>
      <c r="J1088" s="56">
        <f t="shared" si="603"/>
        <v>-1.4610389610389629E-2</v>
      </c>
    </row>
    <row r="1089" spans="2:10" ht="15.75">
      <c r="B1089" s="53" t="str">
        <f t="shared" si="602"/>
        <v xml:space="preserve"> - of which Other Wholesale</v>
      </c>
      <c r="D1089" s="56">
        <f t="shared" si="603"/>
        <v>7.0631970260223609E-2</v>
      </c>
      <c r="E1089" s="56">
        <f t="shared" si="603"/>
        <v>-0.14909090909090916</v>
      </c>
      <c r="F1089" s="56">
        <f t="shared" si="603"/>
        <v>-8.571428571428541E-2</v>
      </c>
      <c r="G1089" s="56">
        <f t="shared" si="603"/>
        <v>-0.10600706713780994</v>
      </c>
      <c r="H1089" s="56">
        <f t="shared" si="603"/>
        <v>-0.11805555555555547</v>
      </c>
      <c r="I1089" s="56">
        <f t="shared" si="603"/>
        <v>-1.2820512820512664E-2</v>
      </c>
      <c r="J1089" s="56">
        <f t="shared" si="603"/>
        <v>-5.4687499999999889E-2</v>
      </c>
    </row>
    <row r="1090" spans="2:10" ht="15.75">
      <c r="B1090" s="53" t="str">
        <f t="shared" si="602"/>
        <v>Ventures/other</v>
      </c>
      <c r="D1090" s="56">
        <f t="shared" si="603"/>
        <v>-5.1886792452830233E-2</v>
      </c>
      <c r="E1090" s="56">
        <f t="shared" si="603"/>
        <v>0.24112149532710281</v>
      </c>
      <c r="F1090" s="56">
        <f t="shared" si="603"/>
        <v>0.27290260366441665</v>
      </c>
      <c r="G1090" s="56">
        <f t="shared" si="603"/>
        <v>-9.7719869706840767E-2</v>
      </c>
      <c r="H1090" s="56">
        <f t="shared" si="603"/>
        <v>0.30348258706467668</v>
      </c>
      <c r="I1090" s="56">
        <f t="shared" si="603"/>
        <v>-0.13177710843373502</v>
      </c>
      <c r="J1090" s="56">
        <f t="shared" si="603"/>
        <v>-9.0909090909090939E-2</v>
      </c>
    </row>
    <row r="1091" spans="2:10" ht="15.75">
      <c r="B1091" s="53" t="str">
        <f t="shared" si="602"/>
        <v>Trinidad &amp; Tobago</v>
      </c>
      <c r="D1091" s="56">
        <f t="shared" si="603"/>
        <v>2.3255813953488413E-2</v>
      </c>
      <c r="E1091" s="56">
        <f t="shared" si="603"/>
        <v>4.9222797927461093E-2</v>
      </c>
      <c r="F1091" s="56">
        <f t="shared" si="603"/>
        <v>-2.4630541871921707E-3</v>
      </c>
      <c r="G1091" s="56">
        <f t="shared" si="603"/>
        <v>3.0379746835443644E-2</v>
      </c>
      <c r="H1091" s="56">
        <f t="shared" si="603"/>
        <v>3.0303030303030276E-2</v>
      </c>
      <c r="I1091" s="56">
        <f t="shared" si="603"/>
        <v>-1.4814814814814836E-2</v>
      </c>
      <c r="J1091" s="56">
        <f t="shared" si="603"/>
        <v>-9.8765432098765205E-3</v>
      </c>
    </row>
    <row r="1092" spans="2:10" ht="15.75">
      <c r="B1092" s="53" t="str">
        <f t="shared" si="602"/>
        <v>Panama</v>
      </c>
      <c r="D1092" s="56">
        <f t="shared" si="603"/>
        <v>-5.3944706675657428E-2</v>
      </c>
      <c r="E1092" s="56">
        <f t="shared" si="603"/>
        <v>-6.0606060606060663E-2</v>
      </c>
      <c r="F1092" s="56">
        <f t="shared" si="603"/>
        <v>-7.6299797434166039E-2</v>
      </c>
      <c r="G1092" s="56">
        <f t="shared" si="603"/>
        <v>7.7077747989276357E-2</v>
      </c>
      <c r="H1092" s="56">
        <f t="shared" si="603"/>
        <v>-1.8531717747683696E-2</v>
      </c>
      <c r="I1092" s="56">
        <f t="shared" si="603"/>
        <v>-0.21739130434782605</v>
      </c>
      <c r="J1092" s="56">
        <f t="shared" si="603"/>
        <v>-0.13523391812865504</v>
      </c>
    </row>
    <row r="1093" spans="2:10" ht="15.75">
      <c r="B1093" s="53" t="str">
        <f t="shared" si="602"/>
        <v>Bahamas</v>
      </c>
      <c r="D1093" s="56">
        <f t="shared" si="603"/>
        <v>-0.14920634920634923</v>
      </c>
      <c r="E1093" s="56">
        <f t="shared" si="603"/>
        <v>-7.407407407407407E-2</v>
      </c>
      <c r="F1093" s="56">
        <f t="shared" si="603"/>
        <v>-8.2417582417582458E-2</v>
      </c>
      <c r="G1093" s="56">
        <f t="shared" si="603"/>
        <v>-7.4275362318840243E-2</v>
      </c>
      <c r="H1093" s="56">
        <f t="shared" si="603"/>
        <v>-8.0223880597015018E-2</v>
      </c>
      <c r="I1093" s="56">
        <f t="shared" si="603"/>
        <v>-0.21904761904761905</v>
      </c>
      <c r="J1093" s="56">
        <f t="shared" si="603"/>
        <v>-0.1097804391217565</v>
      </c>
    </row>
    <row r="1094" spans="2:10" ht="15.75">
      <c r="B1094" s="50" t="str">
        <f t="shared" si="602"/>
        <v>Barbados</v>
      </c>
      <c r="C1094" s="3"/>
      <c r="D1094" s="631">
        <f t="shared" si="603"/>
        <v>-2.5974025974025983E-2</v>
      </c>
      <c r="E1094" s="631">
        <f t="shared" si="603"/>
        <v>0</v>
      </c>
      <c r="F1094" s="631">
        <f t="shared" si="603"/>
        <v>-2.3498694516971286E-2</v>
      </c>
      <c r="G1094" s="631">
        <f t="shared" si="603"/>
        <v>2.1563342318058565E-2</v>
      </c>
      <c r="H1094" s="631">
        <f t="shared" si="603"/>
        <v>-2.1333333333333204E-2</v>
      </c>
      <c r="I1094" s="631">
        <f t="shared" si="603"/>
        <v>-0.10160427807486627</v>
      </c>
      <c r="J1094" s="631">
        <f t="shared" si="603"/>
        <v>-6.6844919786096302E-2</v>
      </c>
    </row>
    <row r="1095" spans="2:10" ht="15.75">
      <c r="B1095" s="58" t="str">
        <f>B17</f>
        <v xml:space="preserve">Total CWC </v>
      </c>
      <c r="D1095" s="946">
        <f t="shared" ref="D1095:J1095" si="604">BQ17</f>
        <v>-2.6814688300597855E-2</v>
      </c>
      <c r="E1095" s="946">
        <f t="shared" si="604"/>
        <v>3.9232482439609306E-2</v>
      </c>
      <c r="F1095" s="946">
        <f t="shared" si="604"/>
        <v>2.5468938220615911E-2</v>
      </c>
      <c r="G1095" s="946">
        <f t="shared" si="604"/>
        <v>5.9025394646534224E-2</v>
      </c>
      <c r="H1095" s="946">
        <f t="shared" si="604"/>
        <v>3.2994032994033029E-2</v>
      </c>
      <c r="I1095" s="946">
        <f t="shared" si="604"/>
        <v>-0.15051104516979896</v>
      </c>
      <c r="J1095" s="946">
        <f t="shared" si="604"/>
        <v>-9.5653633159926144E-2</v>
      </c>
    </row>
    <row r="1096" spans="2:10" ht="15.75">
      <c r="D1096" s="53"/>
      <c r="E1096" s="53"/>
      <c r="F1096" s="53"/>
      <c r="G1096" s="53"/>
      <c r="H1096" s="53"/>
      <c r="I1096" s="53"/>
      <c r="J1096" s="53"/>
    </row>
    <row r="1097" spans="2:10" ht="15.75">
      <c r="B1097" s="53"/>
      <c r="C1097" s="53"/>
      <c r="D1097" s="53"/>
      <c r="E1097" s="53"/>
      <c r="F1097" s="53"/>
      <c r="G1097" s="53"/>
      <c r="H1097" s="53"/>
      <c r="I1097" s="53"/>
      <c r="J1097" s="53"/>
    </row>
    <row r="1098" spans="2:10" ht="15.75">
      <c r="B1098" s="53"/>
      <c r="C1098" s="53"/>
      <c r="D1098" s="53"/>
      <c r="E1098" s="53"/>
      <c r="F1098" s="53"/>
      <c r="G1098" s="53"/>
      <c r="H1098" s="53"/>
      <c r="I1098" s="53"/>
      <c r="J1098" s="53"/>
    </row>
    <row r="1099" spans="2:10" ht="15.75">
      <c r="B1099" s="53"/>
      <c r="C1099" s="53"/>
      <c r="D1099" s="53"/>
      <c r="E1099" s="53"/>
      <c r="F1099" s="53"/>
      <c r="G1099" s="53"/>
      <c r="H1099" s="53"/>
      <c r="I1099" s="53"/>
      <c r="J1099" s="53"/>
    </row>
    <row r="1100" spans="2:10" ht="15.75">
      <c r="B1100" s="53"/>
      <c r="C1100" s="53"/>
      <c r="D1100" s="53"/>
      <c r="E1100" s="53"/>
      <c r="F1100" s="53"/>
      <c r="G1100" s="53"/>
      <c r="H1100" s="53"/>
      <c r="I1100" s="53"/>
      <c r="J1100" s="53"/>
    </row>
  </sheetData>
  <sortState xmlns:xlrd2="http://schemas.microsoft.com/office/spreadsheetml/2017/richdata2" ref="AV149:BI157">
    <sortCondition descending="1" ref="BI149:BI157"/>
  </sortState>
  <phoneticPr fontId="269" type="noConversion"/>
  <pageMargins left="0.70866141732283472" right="0.70866141732283472" top="0.74803149606299213" bottom="0.74803149606299213" header="0.31496062992125984" footer="0.31496062992125984"/>
  <pageSetup paperSize="9" scale="14" fitToHeight="4" orientation="portrait"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CCA7B-FD75-4A48-BB0B-3FF9AC4B7C9E}">
  <dimension ref="B2:AW344"/>
  <sheetViews>
    <sheetView showGridLines="0" zoomScale="81" zoomScaleNormal="205" workbookViewId="0">
      <selection activeCell="N26" sqref="N26"/>
    </sheetView>
  </sheetViews>
  <sheetFormatPr defaultRowHeight="15" outlineLevelRow="1" outlineLevelCol="1"/>
  <cols>
    <col min="2" max="2" width="21.5703125" customWidth="1"/>
    <col min="3" max="6" width="8" customWidth="1" outlineLevel="1"/>
    <col min="7" max="8" width="8.140625" customWidth="1" outlineLevel="1"/>
    <col min="9" max="9" width="7.42578125" customWidth="1"/>
    <col min="10" max="10" width="1" customWidth="1"/>
    <col min="11" max="24" width="7.42578125" customWidth="1"/>
    <col min="28" max="28" width="12.42578125" bestFit="1" customWidth="1"/>
    <col min="29" max="29" width="12.85546875" customWidth="1"/>
    <col min="30" max="30" width="9.140625" customWidth="1"/>
    <col min="31" max="31" width="10.42578125" customWidth="1"/>
    <col min="33" max="33" width="10.42578125" customWidth="1"/>
  </cols>
  <sheetData>
    <row r="2" spans="2:48">
      <c r="B2" s="1510" t="s">
        <v>6164</v>
      </c>
    </row>
    <row r="3" spans="2:48" ht="15.75" thickBot="1">
      <c r="B3" s="1650"/>
    </row>
    <row r="4" spans="2:48">
      <c r="B4" s="1231"/>
      <c r="C4" s="1207"/>
      <c r="D4" s="1231"/>
      <c r="E4" s="1207"/>
      <c r="F4" s="1830" t="s">
        <v>5080</v>
      </c>
      <c r="G4" s="1215" t="s">
        <v>934</v>
      </c>
      <c r="H4" s="1830" t="s">
        <v>5968</v>
      </c>
      <c r="I4" s="1215" t="s">
        <v>934</v>
      </c>
      <c r="L4" s="1637" t="s">
        <v>3163</v>
      </c>
      <c r="M4" s="1231" t="s">
        <v>3163</v>
      </c>
      <c r="N4" t="s">
        <v>7743</v>
      </c>
      <c r="O4" t="s">
        <v>7744</v>
      </c>
      <c r="R4" s="1231" t="s">
        <v>5080</v>
      </c>
      <c r="S4" s="1231" t="s">
        <v>5968</v>
      </c>
    </row>
    <row r="5" spans="2:48">
      <c r="B5" s="1230" t="s">
        <v>4963</v>
      </c>
      <c r="C5" s="1231" t="s">
        <v>7121</v>
      </c>
      <c r="D5" s="1231" t="s">
        <v>7451</v>
      </c>
      <c r="E5" s="1231" t="s">
        <v>7800</v>
      </c>
      <c r="F5" s="1831" t="s">
        <v>7019</v>
      </c>
      <c r="G5" s="1851" t="str">
        <f>F5</f>
        <v>Q3 24e</v>
      </c>
      <c r="H5" s="1831" t="s">
        <v>7019</v>
      </c>
      <c r="I5" s="1851" t="str">
        <f>H5</f>
        <v>Q3 24e</v>
      </c>
      <c r="L5" s="1638" t="str">
        <f>H5</f>
        <v>Q3 24e</v>
      </c>
      <c r="M5" s="1399" t="str">
        <f>S5</f>
        <v>Q4 24e</v>
      </c>
      <c r="R5" s="1231" t="s">
        <v>7018</v>
      </c>
      <c r="S5" s="1231" t="s">
        <v>7018</v>
      </c>
    </row>
    <row r="6" spans="2:48">
      <c r="B6" s="1219" t="s">
        <v>6727</v>
      </c>
      <c r="C6" s="1220">
        <f>C9-C7-C8</f>
        <v>364.2</v>
      </c>
      <c r="D6" s="1220">
        <f>D9-D7-D8</f>
        <v>368.3</v>
      </c>
      <c r="E6" s="1220">
        <f>E9-E7-E8</f>
        <v>359.9</v>
      </c>
      <c r="F6" s="1832" t="e">
        <f>F9-F7-F8</f>
        <v>#REF!</v>
      </c>
      <c r="G6" s="1838" t="e">
        <f t="shared" ref="G6:G24" si="0">E6/F6-1</f>
        <v>#REF!</v>
      </c>
      <c r="H6" s="1832">
        <f t="shared" ref="H6:H13" si="1">N6</f>
        <v>359.5</v>
      </c>
      <c r="I6" s="1838">
        <f t="shared" ref="I6:I13" si="2">E6/H6-1</f>
        <v>1.1126564673156203E-3</v>
      </c>
      <c r="L6" s="1639" t="e">
        <f t="shared" ref="L6:L13" si="3">F6/H6-1</f>
        <v>#REF!</v>
      </c>
      <c r="M6" s="1518">
        <f t="shared" ref="M6:M13" si="4">R6/S6-1</f>
        <v>2.4726590215299327E-2</v>
      </c>
      <c r="N6" s="16" cm="1">
        <f t="array" ref="N6">_xll.VAData("LILA_US", N4, "Revenue - C&amp;W- Caribbean", "Consensus", "CD", "","","")</f>
        <v>359.5</v>
      </c>
      <c r="O6" s="16" cm="1">
        <f t="array" ref="O6">_xll.VAData("LILA_US", O4, "Revenue - C&amp;W- Caribbean", "Consensus", "CD", "","","")</f>
        <v>369.74645761274974</v>
      </c>
      <c r="R6" s="1220">
        <f>R9-R7-R8</f>
        <v>378.88902675369872</v>
      </c>
      <c r="S6" s="1220">
        <f t="shared" ref="S6:S13" si="5">O6</f>
        <v>369.74645761274974</v>
      </c>
    </row>
    <row r="7" spans="2:48">
      <c r="B7" s="1221" t="s">
        <v>6728</v>
      </c>
      <c r="C7" s="1222">
        <f>'New quarts'!AW8</f>
        <v>108.5</v>
      </c>
      <c r="D7" s="1222">
        <f>'New quarts'!AX8</f>
        <v>119.1</v>
      </c>
      <c r="E7" s="1222">
        <f>'New quarts'!AY8</f>
        <v>109.9</v>
      </c>
      <c r="F7" s="1833" t="e">
        <f>'New quarts'!#REF!</f>
        <v>#REF!</v>
      </c>
      <c r="G7" s="1834" t="e">
        <f t="shared" si="0"/>
        <v>#REF!</v>
      </c>
      <c r="H7" s="1833">
        <f t="shared" si="1"/>
        <v>109.9</v>
      </c>
      <c r="I7" s="1834">
        <f t="shared" si="2"/>
        <v>0</v>
      </c>
      <c r="L7" s="1640" t="e">
        <f t="shared" si="3"/>
        <v>#REF!</v>
      </c>
      <c r="M7" s="1492">
        <f t="shared" si="4"/>
        <v>6.7854649824236724E-2</v>
      </c>
      <c r="N7" s="16" cm="1">
        <f t="array" ref="N7">_xll.VAData("LILA_US",N4, "Revenue C&amp;W - Networks Latam", "Consensus", "CD", "","","")</f>
        <v>109.9</v>
      </c>
      <c r="O7" s="16" cm="1">
        <f t="array" ref="O7">_xll.VAData("LILA_US",O4, "Revenue C&amp;W - Networks Latam", "Consensus", "CD", "","","")</f>
        <v>113.29191666666675</v>
      </c>
      <c r="R7" s="1222">
        <f>'New quarts'!AZ8</f>
        <v>120.97930000000002</v>
      </c>
      <c r="S7" s="1222">
        <f t="shared" si="5"/>
        <v>113.29191666666675</v>
      </c>
    </row>
    <row r="8" spans="2:48">
      <c r="B8" s="1505" t="s">
        <v>0</v>
      </c>
      <c r="C8" s="1506">
        <f>'New quarts'!AW13</f>
        <v>169.2</v>
      </c>
      <c r="D8" s="1506">
        <f>'New quarts'!AX13</f>
        <v>197.2</v>
      </c>
      <c r="E8" s="1506">
        <f>'New quarts'!AY13</f>
        <v>188</v>
      </c>
      <c r="F8" s="1835" t="e">
        <f>'New quarts'!#REF!</f>
        <v>#REF!</v>
      </c>
      <c r="G8" s="1836" t="e">
        <f t="shared" si="0"/>
        <v>#REF!</v>
      </c>
      <c r="H8" s="1835">
        <f t="shared" si="1"/>
        <v>188</v>
      </c>
      <c r="I8" s="1836">
        <f t="shared" si="2"/>
        <v>0</v>
      </c>
      <c r="L8" s="1641" t="e">
        <f t="shared" si="3"/>
        <v>#REF!</v>
      </c>
      <c r="M8" s="1519">
        <f t="shared" si="4"/>
        <v>-2.3184059474005037E-2</v>
      </c>
      <c r="N8" s="64" cm="1">
        <f t="array" ref="N8">_xll.VAData("LILA_US",N4, "Revenue C&amp;W - Panama", "Consensus", "CD", "","","")</f>
        <v>188</v>
      </c>
      <c r="O8" s="64" cm="1">
        <f t="array" ref="O8">_xll.VAData("LILA_US",O4, "Revenue C&amp;W - Panama", "Consensus", "CD", "","","")</f>
        <v>210.4558519377764</v>
      </c>
      <c r="R8" s="1506">
        <f>'New quarts'!AZ13</f>
        <v>205.57663094979858</v>
      </c>
      <c r="S8" s="1506">
        <f t="shared" si="5"/>
        <v>210.4558519377764</v>
      </c>
      <c r="AV8">
        <v>118.6</v>
      </c>
    </row>
    <row r="9" spans="2:48">
      <c r="B9" s="1221" t="s">
        <v>3526</v>
      </c>
      <c r="C9" s="1222">
        <f t="shared" ref="C9:E10" si="6">S30</f>
        <v>641.9</v>
      </c>
      <c r="D9" s="1222">
        <f t="shared" si="6"/>
        <v>684.6</v>
      </c>
      <c r="E9" s="1222">
        <f t="shared" si="6"/>
        <v>657.8</v>
      </c>
      <c r="F9" s="1833" t="e">
        <f>V30</f>
        <v>#REF!</v>
      </c>
      <c r="G9" s="1834" t="e">
        <f t="shared" si="0"/>
        <v>#REF!</v>
      </c>
      <c r="H9" s="1833">
        <f t="shared" si="1"/>
        <v>657.4</v>
      </c>
      <c r="I9" s="1834">
        <f t="shared" si="2"/>
        <v>6.0845756008509611E-4</v>
      </c>
      <c r="L9" s="1640" t="e">
        <f t="shared" si="3"/>
        <v>#REF!</v>
      </c>
      <c r="M9" s="1492">
        <f t="shared" si="4"/>
        <v>1.7232632997526309E-2</v>
      </c>
      <c r="N9" s="16">
        <f>SUM(N6:N8)</f>
        <v>657.4</v>
      </c>
      <c r="O9" s="16">
        <f>SUM(O6:O8)</f>
        <v>693.49422621719282</v>
      </c>
      <c r="R9" s="1222">
        <f>W30</f>
        <v>705.44495770349727</v>
      </c>
      <c r="S9" s="1222">
        <f t="shared" si="5"/>
        <v>693.49422621719282</v>
      </c>
    </row>
    <row r="10" spans="2:48">
      <c r="B10" s="1397" t="str">
        <f>B31</f>
        <v>Puerto Rico</v>
      </c>
      <c r="C10" s="1398">
        <f t="shared" si="6"/>
        <v>326.90000000000003</v>
      </c>
      <c r="D10" s="1398">
        <f t="shared" si="6"/>
        <v>308.60000000000002</v>
      </c>
      <c r="E10" s="1398">
        <f t="shared" si="6"/>
        <v>308.2</v>
      </c>
      <c r="F10" s="1837" t="e">
        <f>V31</f>
        <v>#REF!</v>
      </c>
      <c r="G10" s="1838" t="e">
        <f t="shared" si="0"/>
        <v>#REF!</v>
      </c>
      <c r="H10" s="1837">
        <f t="shared" si="1"/>
        <v>308.2</v>
      </c>
      <c r="I10" s="1838">
        <f t="shared" si="2"/>
        <v>0</v>
      </c>
      <c r="L10" s="1642" t="e">
        <f t="shared" si="3"/>
        <v>#REF!</v>
      </c>
      <c r="M10" s="1490">
        <f t="shared" si="4"/>
        <v>6.3115567192656652E-2</v>
      </c>
      <c r="N10" s="16" cm="1">
        <f t="array" ref="N10">_xll.VAData("LILA_US",N4, "Revenue - Puerto Rico", "Consensus", "CD", "","","")</f>
        <v>308.2</v>
      </c>
      <c r="O10" s="16" cm="1">
        <f t="array" ref="O10">_xll.VAData("LILA_US",O4, "Revenue - Puerto Rico", "Consensus", "CD", "","","")</f>
        <v>315.20825236798839</v>
      </c>
      <c r="R10" s="1398">
        <f>W31</f>
        <v>335.10280000000006</v>
      </c>
      <c r="S10" s="1398">
        <f t="shared" si="5"/>
        <v>315.20825236798839</v>
      </c>
    </row>
    <row r="11" spans="2:48">
      <c r="B11" s="1221" t="str">
        <f>B33</f>
        <v>Costa Rica</v>
      </c>
      <c r="C11" s="1222">
        <f t="shared" ref="C11:E13" si="7">S33</f>
        <v>152.30000000000001</v>
      </c>
      <c r="D11" s="1222">
        <f t="shared" si="7"/>
        <v>147.19999999999999</v>
      </c>
      <c r="E11" s="1222">
        <f t="shared" si="7"/>
        <v>145.5</v>
      </c>
      <c r="F11" s="1833" t="e">
        <f>V33</f>
        <v>#REF!</v>
      </c>
      <c r="G11" s="1839" t="e">
        <f t="shared" si="0"/>
        <v>#REF!</v>
      </c>
      <c r="H11" s="1833">
        <f t="shared" si="1"/>
        <v>145.5</v>
      </c>
      <c r="I11" s="1839">
        <f t="shared" si="2"/>
        <v>0</v>
      </c>
      <c r="L11" s="1643" t="e">
        <f t="shared" si="3"/>
        <v>#REF!</v>
      </c>
      <c r="M11" s="1487">
        <f t="shared" si="4"/>
        <v>-7.015113435439202E-2</v>
      </c>
      <c r="N11" s="16" cm="1">
        <f t="array" ref="N11">_xll.VAData("LILA_US",N4, "Revenue - Costa Rica", "Consensus", "CD", "","","")</f>
        <v>145.5</v>
      </c>
      <c r="O11" s="16" cm="1">
        <f t="array" ref="O11">_xll.VAData("LILA_US",O4, "Revenue - Costa Rica", "Consensus", "CD", "","","")</f>
        <v>152.74834285301421</v>
      </c>
      <c r="R11" s="1222">
        <f>W33</f>
        <v>142.03287333112166</v>
      </c>
      <c r="S11" s="1222">
        <f t="shared" si="5"/>
        <v>152.74834285301421</v>
      </c>
    </row>
    <row r="12" spans="2:48">
      <c r="B12" s="1223" t="str">
        <f>B34</f>
        <v>Corp / elims</v>
      </c>
      <c r="C12" s="1224">
        <f t="shared" si="7"/>
        <v>-22.399999999999977</v>
      </c>
      <c r="D12" s="1224">
        <f t="shared" si="7"/>
        <v>-22.400000000000034</v>
      </c>
      <c r="E12" s="1224">
        <f t="shared" si="7"/>
        <v>-21.9</v>
      </c>
      <c r="F12" s="1840" t="e">
        <f>V34</f>
        <v>#REF!</v>
      </c>
      <c r="G12" s="1841" t="e">
        <f t="shared" si="0"/>
        <v>#REF!</v>
      </c>
      <c r="H12" s="1840">
        <f t="shared" si="1"/>
        <v>-21.89999999999992</v>
      </c>
      <c r="I12" s="1841">
        <f t="shared" si="2"/>
        <v>3.5527136788005009E-15</v>
      </c>
      <c r="L12" s="1644" t="e">
        <f t="shared" si="3"/>
        <v>#REF!</v>
      </c>
      <c r="M12" s="1488">
        <f t="shared" si="4"/>
        <v>-0.13487618376054522</v>
      </c>
      <c r="N12" s="64">
        <f>N13-N9-N10-N11</f>
        <v>-21.89999999999992</v>
      </c>
      <c r="O12" s="64">
        <f>O13-O9-O10-O11</f>
        <v>-22.886897376223317</v>
      </c>
      <c r="R12" s="1224">
        <f>W34</f>
        <v>-19.799999999999081</v>
      </c>
      <c r="S12" s="1224">
        <f t="shared" si="5"/>
        <v>-22.886897376223317</v>
      </c>
    </row>
    <row r="13" spans="2:48">
      <c r="B13" s="1225" t="str">
        <f>B35</f>
        <v>Group</v>
      </c>
      <c r="C13" s="1226">
        <f t="shared" si="7"/>
        <v>1099</v>
      </c>
      <c r="D13" s="1226">
        <f t="shared" si="7"/>
        <v>1118</v>
      </c>
      <c r="E13" s="1226">
        <f t="shared" si="7"/>
        <v>1089</v>
      </c>
      <c r="F13" s="1842" t="e">
        <f>V35</f>
        <v>#REF!</v>
      </c>
      <c r="G13" s="1843" t="e">
        <f t="shared" si="0"/>
        <v>#REF!</v>
      </c>
      <c r="H13" s="1842">
        <f t="shared" si="1"/>
        <v>1089.2</v>
      </c>
      <c r="I13" s="1843">
        <f t="shared" si="2"/>
        <v>-1.8362100624313982E-4</v>
      </c>
      <c r="L13" s="1645" t="e">
        <f t="shared" si="3"/>
        <v>#REF!</v>
      </c>
      <c r="M13" s="1489">
        <f t="shared" si="4"/>
        <v>2.1269518962318434E-2</v>
      </c>
      <c r="N13" s="16" cm="1">
        <f t="array" ref="N13">_xll.VAData("LILA_US",N4, "Total revenue", "Consensus", "SD", "","","")</f>
        <v>1089.2</v>
      </c>
      <c r="O13" s="16" cm="1">
        <f t="array" ref="O13">_xll.VAData("LILA_US",O4, "Total revenue", "Consensus", "SD", "","","")</f>
        <v>1138.5639240619721</v>
      </c>
      <c r="R13" s="1226">
        <f>W35</f>
        <v>1162.78063103462</v>
      </c>
      <c r="S13" s="1226">
        <f t="shared" si="5"/>
        <v>1138.5639240619721</v>
      </c>
      <c r="AV13">
        <v>180.8</v>
      </c>
    </row>
    <row r="14" spans="2:48">
      <c r="B14" s="1227"/>
      <c r="C14" s="1224"/>
      <c r="D14" s="1224"/>
      <c r="E14" s="1224"/>
      <c r="F14" s="1840"/>
      <c r="G14" s="1841"/>
      <c r="H14" s="1840"/>
      <c r="I14" s="1841"/>
      <c r="L14" s="1644"/>
      <c r="M14" s="1488"/>
      <c r="N14" s="16"/>
      <c r="O14" s="16"/>
      <c r="R14" s="1224"/>
      <c r="S14" s="1224"/>
    </row>
    <row r="15" spans="2:48">
      <c r="B15" s="1221" t="str">
        <f>B6</f>
        <v>CWC Caribbean</v>
      </c>
      <c r="C15" s="1222">
        <f>'New quarts'!AW291</f>
        <v>150.6</v>
      </c>
      <c r="D15" s="1222">
        <f>'New quarts'!AX291</f>
        <v>157</v>
      </c>
      <c r="E15" s="1222">
        <f>'New quarts'!AY291</f>
        <v>157.69999999999999</v>
      </c>
      <c r="F15" s="1833" t="e">
        <f>'New quarts'!#REF!</f>
        <v>#REF!</v>
      </c>
      <c r="G15" s="1834" t="e">
        <f t="shared" si="0"/>
        <v>#REF!</v>
      </c>
      <c r="H15" s="1833">
        <f t="shared" ref="H15:H22" si="8">N15</f>
        <v>157.69999999999999</v>
      </c>
      <c r="I15" s="1834">
        <f t="shared" ref="I15:I22" si="9">E15/H15-1</f>
        <v>0</v>
      </c>
      <c r="L15" s="1640" t="e">
        <f t="shared" ref="L15:L22" si="10">F15/H15-1</f>
        <v>#REF!</v>
      </c>
      <c r="M15" s="1492">
        <f t="shared" ref="M15:M22" si="11">R15/S15-1</f>
        <v>-0.11721650917836457</v>
      </c>
      <c r="N15" s="16" cm="1">
        <f t="array" ref="N15">_xll.VAData("LILA_US",N4, "Adjusted OIBDA - C&amp;W - Caribbean", "Consensus", "CD", "","","")</f>
        <v>157.69999999999999</v>
      </c>
      <c r="O15" s="16" cm="1">
        <f t="array" ref="O15">_xll.VAData("LILA_US",O4, "Adjusted OIBDA - C&amp;W - Caribbean", "Consensus", "CD", "","","")</f>
        <v>162.27900011739024</v>
      </c>
      <c r="R15" s="1222">
        <f>'New quarts'!AZ291</f>
        <v>143.25722221067434</v>
      </c>
      <c r="S15" s="1222">
        <f t="shared" ref="S15:S22" si="12">O15</f>
        <v>162.27900011739024</v>
      </c>
    </row>
    <row r="16" spans="2:48">
      <c r="B16" s="1397" t="s">
        <v>6728</v>
      </c>
      <c r="C16" s="1398">
        <f>'New quarts'!AW292</f>
        <v>59.2</v>
      </c>
      <c r="D16" s="1398">
        <f>'New quarts'!AX292</f>
        <v>63.1</v>
      </c>
      <c r="E16" s="1398">
        <f>'New quarts'!AY292</f>
        <v>68.7</v>
      </c>
      <c r="F16" s="1837" t="e">
        <f>'New quarts'!#REF!</f>
        <v>#REF!</v>
      </c>
      <c r="G16" s="1838" t="e">
        <f t="shared" si="0"/>
        <v>#REF!</v>
      </c>
      <c r="H16" s="1837">
        <f t="shared" si="8"/>
        <v>59.3</v>
      </c>
      <c r="I16" s="1838">
        <f t="shared" si="9"/>
        <v>0.1585160202360878</v>
      </c>
      <c r="L16" s="1642" t="e">
        <f t="shared" si="10"/>
        <v>#REF!</v>
      </c>
      <c r="M16" s="1490">
        <f t="shared" si="11"/>
        <v>9.1670231488259146E-2</v>
      </c>
      <c r="N16" s="16">
        <f>N18-N15-N17</f>
        <v>59.3</v>
      </c>
      <c r="O16" s="16">
        <f>O18-O15-O17</f>
        <v>62.059407727587796</v>
      </c>
      <c r="R16" s="1398">
        <f>'New quarts'!AZ292</f>
        <v>67.748408000000026</v>
      </c>
      <c r="S16" s="1398">
        <f t="shared" si="12"/>
        <v>62.059407727587796</v>
      </c>
    </row>
    <row r="17" spans="2:48">
      <c r="B17" s="1507" t="str">
        <f>B8</f>
        <v>Panama</v>
      </c>
      <c r="C17" s="1508">
        <f>'New quarts'!AW293</f>
        <v>56.8</v>
      </c>
      <c r="D17" s="1508">
        <f>'New quarts'!AX293</f>
        <v>64.8</v>
      </c>
      <c r="E17" s="1508">
        <f>'New quarts'!AY293</f>
        <v>59.3</v>
      </c>
      <c r="F17" s="1844" t="e">
        <f>'New quarts'!#REF!</f>
        <v>#REF!</v>
      </c>
      <c r="G17" s="1845" t="e">
        <f t="shared" si="0"/>
        <v>#REF!</v>
      </c>
      <c r="H17" s="1844">
        <f t="shared" si="8"/>
        <v>68.7</v>
      </c>
      <c r="I17" s="1845">
        <f t="shared" si="9"/>
        <v>-0.13682678311499274</v>
      </c>
      <c r="L17" s="1646" t="e">
        <f t="shared" si="10"/>
        <v>#REF!</v>
      </c>
      <c r="M17" s="1636">
        <f t="shared" si="11"/>
        <v>-7.5897765810745144E-3</v>
      </c>
      <c r="N17" s="64" cm="1">
        <f t="array" ref="N17">_xll.VAData("LILA_US",N4, "Adjusted OIBDA - C&amp;W - Panama", "Consensus", "CD", "","","")</f>
        <v>68.7</v>
      </c>
      <c r="O17" s="64" cm="1">
        <f t="array" ref="O17">_xll.VAData("LILA_US",O4, "Adjusted OIBDA - C&amp;W - Panama", "Consensus", "CD", "","","")</f>
        <v>74.34281354867548</v>
      </c>
      <c r="R17" s="1508">
        <f>'New quarts'!AZ293</f>
        <v>73.778568203432556</v>
      </c>
      <c r="S17" s="1508">
        <f t="shared" si="12"/>
        <v>74.34281354867548</v>
      </c>
      <c r="AV17">
        <f>356.3+AV13+AV8</f>
        <v>655.7</v>
      </c>
    </row>
    <row r="18" spans="2:48">
      <c r="B18" s="1397" t="s">
        <v>29</v>
      </c>
      <c r="C18" s="1398">
        <f>SUM(C15:C17)</f>
        <v>266.60000000000002</v>
      </c>
      <c r="D18" s="1398">
        <f>SUM(D15:D17)</f>
        <v>284.89999999999998</v>
      </c>
      <c r="E18" s="1398">
        <f>SUM(E15:E17)</f>
        <v>285.7</v>
      </c>
      <c r="F18" s="1837" t="e">
        <f>SUM(F15:F17)</f>
        <v>#REF!</v>
      </c>
      <c r="G18" s="1838" t="e">
        <f t="shared" si="0"/>
        <v>#REF!</v>
      </c>
      <c r="H18" s="1837">
        <f t="shared" si="8"/>
        <v>285.7</v>
      </c>
      <c r="I18" s="1838">
        <f t="shared" si="9"/>
        <v>0</v>
      </c>
      <c r="L18" s="1642" t="e">
        <f t="shared" si="10"/>
        <v>#REF!</v>
      </c>
      <c r="M18" s="1490">
        <f t="shared" si="11"/>
        <v>-4.6527943453233411E-2</v>
      </c>
      <c r="N18" s="16" cm="1">
        <f t="array" ref="N18">_xll.VAData("LILA_US",N4, "Adjusted OIBDA - C&amp;W", "Consensus", "CD", "","","")</f>
        <v>285.7</v>
      </c>
      <c r="O18" s="16" cm="1">
        <f t="array" ref="O18">_xll.VAData("LILA_US",O4, "Adjusted OIBDA - C&amp;W", "Consensus", "CD", "","","")</f>
        <v>298.68122139365352</v>
      </c>
      <c r="R18" s="1398">
        <f>SUM(R15:R17)</f>
        <v>284.78419841410692</v>
      </c>
      <c r="S18" s="1398">
        <f t="shared" si="12"/>
        <v>298.68122139365352</v>
      </c>
    </row>
    <row r="19" spans="2:48">
      <c r="B19" s="1221" t="str">
        <f>B10</f>
        <v>Puerto Rico</v>
      </c>
      <c r="C19" s="1222">
        <f>S39</f>
        <v>69.099999999999994</v>
      </c>
      <c r="D19" s="1222">
        <f>T39</f>
        <v>71.099999999999994</v>
      </c>
      <c r="E19" s="1222">
        <f>U39</f>
        <v>88.2</v>
      </c>
      <c r="F19" s="1833" t="e">
        <f>V39</f>
        <v>#REF!</v>
      </c>
      <c r="G19" s="1834" t="e">
        <f t="shared" si="0"/>
        <v>#REF!</v>
      </c>
      <c r="H19" s="1833">
        <f t="shared" si="8"/>
        <v>88.2</v>
      </c>
      <c r="I19" s="1834">
        <f t="shared" si="9"/>
        <v>0</v>
      </c>
      <c r="L19" s="1640" t="e">
        <f t="shared" si="10"/>
        <v>#REF!</v>
      </c>
      <c r="M19" s="1492">
        <f t="shared" si="11"/>
        <v>1.947048092268977E-3</v>
      </c>
      <c r="N19" s="16" cm="1">
        <f t="array" ref="N19">_xll.VAData("LILA_US",N4, "Adjusted OIBDA - Puerto Rico", "Consensus", "CD", "","","")</f>
        <v>88.2</v>
      </c>
      <c r="O19" s="16" cm="1">
        <f t="array" ref="O19">_xll.VAData("LILA_US",O4, "Adjusted OIBDA - Puerto Rico", "Consensus", "CD", "","","")</f>
        <v>95.327065618745465</v>
      </c>
      <c r="R19" s="1222">
        <f>W39</f>
        <v>95.512672000000052</v>
      </c>
      <c r="S19" s="1222">
        <f t="shared" si="12"/>
        <v>95.327065618745465</v>
      </c>
    </row>
    <row r="20" spans="2:48">
      <c r="B20" s="1223" t="str">
        <f>B11</f>
        <v>Costa Rica</v>
      </c>
      <c r="C20" s="1224">
        <f t="shared" ref="C20:E22" si="13">S41</f>
        <v>58.3</v>
      </c>
      <c r="D20" s="1224">
        <f t="shared" si="13"/>
        <v>53.4</v>
      </c>
      <c r="E20" s="1224">
        <f t="shared" si="13"/>
        <v>50.8</v>
      </c>
      <c r="F20" s="1840" t="e">
        <f>V41</f>
        <v>#REF!</v>
      </c>
      <c r="G20" s="1838" t="e">
        <f t="shared" si="0"/>
        <v>#REF!</v>
      </c>
      <c r="H20" s="1840">
        <f t="shared" si="8"/>
        <v>50.8</v>
      </c>
      <c r="I20" s="1838">
        <f t="shared" si="9"/>
        <v>0</v>
      </c>
      <c r="L20" s="1642" t="e">
        <f t="shared" si="10"/>
        <v>#REF!</v>
      </c>
      <c r="M20" s="1490">
        <f t="shared" si="11"/>
        <v>-5.4070816475599415E-2</v>
      </c>
      <c r="N20" s="16" cm="1">
        <f t="array" ref="N20">_xll.VAData("LILA_US",N4, "Adjusted OIBDA - Costa Rica", "Consensus", "CD", "","","")</f>
        <v>50.8</v>
      </c>
      <c r="O20" s="16" cm="1">
        <f t="array" ref="O20">_xll.VAData("LILA_US",O4, "Adjusted OIBDA - Costa Rica", "Consensus", "CD", "","","")</f>
        <v>57.829025771995262</v>
      </c>
      <c r="R20" s="1224">
        <f>W41</f>
        <v>54.702163132514997</v>
      </c>
      <c r="S20" s="1224">
        <f t="shared" si="12"/>
        <v>57.829025771995262</v>
      </c>
      <c r="AV20">
        <v>135.19999999999999</v>
      </c>
    </row>
    <row r="21" spans="2:48">
      <c r="B21" s="1221" t="str">
        <f>B12</f>
        <v>Corp / elims</v>
      </c>
      <c r="C21" s="1222">
        <f t="shared" si="13"/>
        <v>-19.8</v>
      </c>
      <c r="D21" s="1222">
        <f t="shared" si="13"/>
        <v>-20.3</v>
      </c>
      <c r="E21" s="1222">
        <f t="shared" si="13"/>
        <v>-21.6</v>
      </c>
      <c r="F21" s="1833" t="e">
        <f>V42</f>
        <v>#REF!</v>
      </c>
      <c r="G21" s="1834" t="e">
        <f t="shared" si="0"/>
        <v>#REF!</v>
      </c>
      <c r="H21" s="1833">
        <f t="shared" si="8"/>
        <v>-21.599999999999966</v>
      </c>
      <c r="I21" s="1834">
        <f t="shared" si="9"/>
        <v>0</v>
      </c>
      <c r="L21" s="1640" t="e">
        <f t="shared" si="10"/>
        <v>#REF!</v>
      </c>
      <c r="M21" s="1492">
        <f t="shared" si="11"/>
        <v>0.10044538276825166</v>
      </c>
      <c r="N21" s="64">
        <f>N22-N18-N19-N20</f>
        <v>-21.599999999999966</v>
      </c>
      <c r="O21" s="64">
        <f>O22-O18-O19-O20</f>
        <v>-20.26452230087304</v>
      </c>
      <c r="R21" s="1222">
        <f>W42</f>
        <v>-22.300000000000004</v>
      </c>
      <c r="S21" s="1222">
        <f t="shared" si="12"/>
        <v>-20.26452230087304</v>
      </c>
    </row>
    <row r="22" spans="2:48">
      <c r="B22" s="1228" t="s">
        <v>8</v>
      </c>
      <c r="C22" s="1229">
        <f t="shared" si="13"/>
        <v>374.2</v>
      </c>
      <c r="D22" s="1229">
        <f t="shared" si="13"/>
        <v>389</v>
      </c>
      <c r="E22" s="1229">
        <f t="shared" si="13"/>
        <v>403.1</v>
      </c>
      <c r="F22" s="1846" t="e">
        <f>V43</f>
        <v>#REF!</v>
      </c>
      <c r="G22" s="1847" t="e">
        <f t="shared" si="0"/>
        <v>#REF!</v>
      </c>
      <c r="H22" s="1846">
        <f t="shared" si="8"/>
        <v>403.1</v>
      </c>
      <c r="I22" s="1847">
        <f t="shared" si="9"/>
        <v>0</v>
      </c>
      <c r="L22" s="1647" t="e">
        <f t="shared" si="10"/>
        <v>#REF!</v>
      </c>
      <c r="M22" s="1491">
        <f t="shared" si="11"/>
        <v>-4.3732499715178119E-2</v>
      </c>
      <c r="N22" s="16" cm="1">
        <f t="array" ref="N22">_xll.VAData("LILA_US",N4, "Adjusted OIBDA", "Consensus", "CD", "","","")</f>
        <v>403.1</v>
      </c>
      <c r="O22" s="16" cm="1">
        <f t="array" ref="O22">_xll.VAData("LILA_US",O4, "Adjusted OIBDA", "Consensus", "CD", "","","")</f>
        <v>431.5727904835212</v>
      </c>
      <c r="R22" s="1229">
        <f>W43</f>
        <v>412.69903354662199</v>
      </c>
      <c r="S22" s="1229">
        <f t="shared" si="12"/>
        <v>431.5727904835212</v>
      </c>
      <c r="AV22">
        <v>1123</v>
      </c>
    </row>
    <row r="23" spans="2:48">
      <c r="B23" s="1221"/>
      <c r="C23" s="1222"/>
      <c r="D23" s="1222"/>
      <c r="E23" s="1222"/>
      <c r="F23" s="1833"/>
      <c r="G23" s="1848"/>
      <c r="H23" s="1833"/>
      <c r="I23" s="1848"/>
      <c r="L23" s="1648"/>
      <c r="M23" s="1207"/>
      <c r="R23" s="1222"/>
      <c r="S23" s="1222"/>
    </row>
    <row r="24" spans="2:48" ht="15.75" thickBot="1">
      <c r="B24" s="1227" t="s">
        <v>377</v>
      </c>
      <c r="C24" s="1651">
        <f>'New quarts'!AW387</f>
        <v>-149.69999999999999</v>
      </c>
      <c r="D24" s="1651">
        <f>'New quarts'!AX387</f>
        <v>-17.800000000000026</v>
      </c>
      <c r="E24" s="1651">
        <f>'New quarts'!AY387</f>
        <v>65</v>
      </c>
      <c r="F24" s="1849" t="e">
        <f>'New quarts'!#REF!</f>
        <v>#REF!</v>
      </c>
      <c r="G24" s="1850" t="e">
        <f t="shared" si="0"/>
        <v>#REF!</v>
      </c>
      <c r="H24" s="1849"/>
      <c r="I24" s="1850"/>
      <c r="L24" s="1649"/>
      <c r="M24" s="1652"/>
      <c r="R24" s="1651">
        <f ca="1">'New quarts'!AZ387</f>
        <v>134.26468765283499</v>
      </c>
      <c r="S24" s="1651"/>
    </row>
    <row r="27" spans="2:48">
      <c r="B27" s="1275" t="s">
        <v>879</v>
      </c>
      <c r="C27" s="1207"/>
      <c r="D27" s="1207"/>
      <c r="E27" s="1207"/>
      <c r="F27" s="1207"/>
      <c r="G27" s="1207"/>
      <c r="H27" s="1207"/>
      <c r="I27" s="1207"/>
      <c r="J27" s="1207"/>
      <c r="K27" s="1207"/>
      <c r="L27" s="1207"/>
      <c r="M27" s="1207"/>
      <c r="N27" s="1207"/>
      <c r="O27" s="1207"/>
      <c r="P27" s="1207"/>
      <c r="Q27" s="1207"/>
      <c r="R27" s="1207"/>
    </row>
    <row r="28" spans="2:48">
      <c r="B28" s="1207"/>
      <c r="C28" s="1207"/>
      <c r="D28" s="1207"/>
      <c r="E28" s="1207"/>
      <c r="F28" s="1207"/>
      <c r="G28" s="1207"/>
      <c r="H28" s="1207"/>
      <c r="I28" s="1207"/>
      <c r="J28" s="1278"/>
      <c r="K28" s="1207"/>
      <c r="L28" s="1207"/>
      <c r="M28" s="1207"/>
      <c r="N28" s="1207"/>
      <c r="O28" s="1207"/>
      <c r="P28" s="1207"/>
      <c r="Q28" s="1207"/>
      <c r="R28" s="1207"/>
    </row>
    <row r="29" spans="2:48">
      <c r="B29" s="1210" t="s">
        <v>5962</v>
      </c>
      <c r="C29" s="1206" t="s">
        <v>4755</v>
      </c>
      <c r="D29" s="1206" t="s">
        <v>4922</v>
      </c>
      <c r="E29" s="1206" t="s">
        <v>5188</v>
      </c>
      <c r="F29" s="1206" t="s">
        <v>5371</v>
      </c>
      <c r="G29" s="1206" t="s">
        <v>5556</v>
      </c>
      <c r="H29" s="1206" t="s">
        <v>5696</v>
      </c>
      <c r="I29" s="1206" t="s">
        <v>5878</v>
      </c>
      <c r="J29" s="1206" t="s">
        <v>5920</v>
      </c>
      <c r="K29" s="1206" t="s">
        <v>5949</v>
      </c>
      <c r="L29" s="1206" t="s">
        <v>5950</v>
      </c>
      <c r="M29" s="1206" t="s">
        <v>5951</v>
      </c>
      <c r="N29" s="1206" t="s">
        <v>5952</v>
      </c>
      <c r="O29" s="1206" t="s">
        <v>6525</v>
      </c>
      <c r="P29" s="1206" t="s">
        <v>6526</v>
      </c>
      <c r="Q29" s="1206" t="s">
        <v>6527</v>
      </c>
      <c r="R29" s="1206" t="s">
        <v>6528</v>
      </c>
      <c r="S29" s="1206" t="s">
        <v>7121</v>
      </c>
      <c r="T29" s="1206" t="s">
        <v>7451</v>
      </c>
      <c r="U29" s="1206" t="s">
        <v>7800</v>
      </c>
      <c r="V29" s="1206" t="s">
        <v>7019</v>
      </c>
      <c r="W29" s="1206" t="s">
        <v>7018</v>
      </c>
    </row>
    <row r="30" spans="2:48">
      <c r="B30" s="1403" t="s">
        <v>29</v>
      </c>
      <c r="C30" s="1511">
        <f>'New quarts'!AC17</f>
        <v>588.6</v>
      </c>
      <c r="D30" s="1511">
        <f>'New quarts'!AD17</f>
        <v>515.29999999999995</v>
      </c>
      <c r="E30" s="1511">
        <f>'New quarts'!AE17</f>
        <v>538.9</v>
      </c>
      <c r="F30" s="1511">
        <f>'New quarts'!AF17</f>
        <v>557</v>
      </c>
      <c r="G30" s="1511">
        <f>'New quarts'!AH17</f>
        <v>551.79999999999995</v>
      </c>
      <c r="H30" s="1511">
        <f>'New quarts'!AI17</f>
        <v>561.79999999999995</v>
      </c>
      <c r="I30" s="1511">
        <f>'New quarts'!AJ17</f>
        <v>563.4</v>
      </c>
      <c r="J30" s="1511">
        <f>'New quarts'!AK17</f>
        <v>621.5</v>
      </c>
      <c r="K30" s="1511">
        <f>'New quarts'!AM17</f>
        <v>589.6</v>
      </c>
      <c r="L30" s="1511">
        <f>'New quarts'!AN17</f>
        <v>614.50000000000023</v>
      </c>
      <c r="M30" s="1511">
        <f>'New quarts'!AO17</f>
        <v>633.5</v>
      </c>
      <c r="N30" s="1511">
        <f>'New quarts'!AP17</f>
        <v>692.7</v>
      </c>
      <c r="O30" s="1511">
        <f>'New quarts'!AR17</f>
        <v>627.80000000000007</v>
      </c>
      <c r="P30" s="1511">
        <f>'New quarts'!AS17</f>
        <v>655.7</v>
      </c>
      <c r="Q30" s="1511">
        <f>'New quarts'!AT17</f>
        <v>663.4</v>
      </c>
      <c r="R30" s="1511">
        <f>'New quarts'!AU17</f>
        <v>686</v>
      </c>
      <c r="S30" s="1511">
        <f>'New quarts'!AW17</f>
        <v>641.9</v>
      </c>
      <c r="T30" s="1511">
        <f>'New quarts'!AX17</f>
        <v>684.6</v>
      </c>
      <c r="U30" s="1511">
        <f>'New quarts'!AY17</f>
        <v>657.8</v>
      </c>
      <c r="V30" s="1511" t="e">
        <f>'New quarts'!#REF!</f>
        <v>#REF!</v>
      </c>
      <c r="W30" s="1511">
        <f>'New quarts'!AZ17</f>
        <v>705.44495770349727</v>
      </c>
    </row>
    <row r="31" spans="2:48">
      <c r="B31" s="1207" t="s">
        <v>469</v>
      </c>
      <c r="C31" s="1271">
        <f>'New quarts'!AC57</f>
        <v>0</v>
      </c>
      <c r="D31" s="1271">
        <f>'New quarts'!AD57</f>
        <v>0</v>
      </c>
      <c r="E31" s="1271">
        <f>'New quarts'!AE57</f>
        <v>352.1</v>
      </c>
      <c r="F31" s="1271">
        <f>'New quarts'!AF57</f>
        <v>296</v>
      </c>
      <c r="G31" s="1271">
        <f>'New quarts'!AH57</f>
        <v>361.3</v>
      </c>
      <c r="H31" s="1271">
        <f>'New quarts'!AI57</f>
        <v>360.40000000000003</v>
      </c>
      <c r="I31" s="1271">
        <f>'New quarts'!AJ57</f>
        <v>357.29999999999995</v>
      </c>
      <c r="J31" s="1271">
        <f>'New quarts'!AK57</f>
        <v>376</v>
      </c>
      <c r="K31" s="1271">
        <f>'New quarts'!AM57</f>
        <v>369.40000000000003</v>
      </c>
      <c r="L31" s="1271">
        <f>'New quarts'!AN57</f>
        <v>364.1</v>
      </c>
      <c r="M31" s="1271">
        <f>'New quarts'!AO57</f>
        <v>366.9</v>
      </c>
      <c r="N31" s="1271">
        <f>'New quarts'!AP57</f>
        <v>369.69999999999993</v>
      </c>
      <c r="O31" s="1271">
        <f>'New quarts'!AR57</f>
        <v>365.8</v>
      </c>
      <c r="P31" s="1271">
        <f>'New quarts'!AS57</f>
        <v>352</v>
      </c>
      <c r="Q31" s="1271">
        <f>'New quarts'!AT57</f>
        <v>351.2</v>
      </c>
      <c r="R31" s="1271">
        <f>'New quarts'!AU57</f>
        <v>353.5</v>
      </c>
      <c r="S31" s="1271">
        <f>'New quarts'!AW57</f>
        <v>326.90000000000003</v>
      </c>
      <c r="T31" s="1271">
        <f>'New quarts'!AX57</f>
        <v>308.60000000000002</v>
      </c>
      <c r="U31" s="1271">
        <f>'New quarts'!AY57</f>
        <v>308.2</v>
      </c>
      <c r="V31" s="1271" t="e">
        <f>'New quarts'!#REF!</f>
        <v>#REF!</v>
      </c>
      <c r="W31" s="1271">
        <f>'New quarts'!AZ57</f>
        <v>335.10280000000006</v>
      </c>
    </row>
    <row r="32" spans="2:48">
      <c r="B32" s="1403" t="s">
        <v>899</v>
      </c>
      <c r="C32" s="1511">
        <f>'New quarts'!AC18</f>
        <v>206.05608406391843</v>
      </c>
      <c r="D32" s="1511">
        <f>'New quarts'!AD18</f>
        <v>192.83110571081409</v>
      </c>
      <c r="E32" s="1511">
        <f>'New quarts'!AE18</f>
        <v>199.49367088607596</v>
      </c>
      <c r="F32" s="1511">
        <f>'New quarts'!AF18</f>
        <v>207.7016824059636</v>
      </c>
      <c r="G32" s="1511">
        <f>'New quarts'!AH18</f>
        <v>210.3</v>
      </c>
      <c r="H32" s="1511">
        <f>'New quarts'!AI18</f>
        <v>209.3</v>
      </c>
      <c r="I32" s="1511">
        <f>'New quarts'!AJ18</f>
        <v>193.1</v>
      </c>
      <c r="J32" s="1511">
        <f>'New quarts'!AK18</f>
        <v>174.8</v>
      </c>
      <c r="K32" s="1511">
        <f>'New quarts'!AM18</f>
        <v>170.8</v>
      </c>
      <c r="L32" s="1511">
        <f>'New quarts'!AN18</f>
        <v>150</v>
      </c>
      <c r="M32" s="1511">
        <f>'New quarts'!AO18</f>
        <v>129.80000000000001</v>
      </c>
      <c r="N32" s="1511"/>
      <c r="O32" s="1511"/>
      <c r="P32" s="1511"/>
      <c r="Q32" s="1511"/>
      <c r="R32" s="1511"/>
      <c r="S32" s="1511"/>
      <c r="T32" s="1511"/>
      <c r="U32" s="1511"/>
      <c r="V32" s="1511"/>
      <c r="W32" s="1511"/>
      <c r="AV32" t="e">
        <f>#REF!</f>
        <v>#REF!</v>
      </c>
    </row>
    <row r="33" spans="2:48">
      <c r="B33" s="1207" t="s">
        <v>3411</v>
      </c>
      <c r="C33" s="1271">
        <f>'New quarts'!AC20</f>
        <v>34.043915936081561</v>
      </c>
      <c r="D33" s="1271">
        <f>'New quarts'!AD20</f>
        <v>34.868894289185903</v>
      </c>
      <c r="E33" s="1271">
        <f>'New quarts'!AE20</f>
        <v>37.406329113924045</v>
      </c>
      <c r="F33" s="1271">
        <f>'New quarts'!AF20</f>
        <v>36.598317594036416</v>
      </c>
      <c r="G33" s="1271">
        <f>'New quarts'!AH20</f>
        <v>36.200000000000003</v>
      </c>
      <c r="H33" s="1271">
        <f>'New quarts'!AI20</f>
        <v>36.299999999999997</v>
      </c>
      <c r="I33" s="1271">
        <f>'New quarts'!AJ20</f>
        <v>76.900000000000006</v>
      </c>
      <c r="J33" s="1271">
        <f>'New quarts'!AK20</f>
        <v>106.8</v>
      </c>
      <c r="K33" s="1271">
        <f>'New quarts'!AM20</f>
        <v>107.4</v>
      </c>
      <c r="L33" s="1271">
        <f>'New quarts'!AN20</f>
        <v>108</v>
      </c>
      <c r="M33" s="1271">
        <f>'New quarts'!AO20</f>
        <v>109.2</v>
      </c>
      <c r="N33" s="1271">
        <f>'New quarts'!AP20</f>
        <v>116.7</v>
      </c>
      <c r="O33" s="1271">
        <f>'New quarts'!AR20</f>
        <v>129.19999999999999</v>
      </c>
      <c r="P33" s="1271">
        <f>'New quarts'!AS20</f>
        <v>135.19999999999999</v>
      </c>
      <c r="Q33" s="1271">
        <f>'New quarts'!AT20</f>
        <v>134.6</v>
      </c>
      <c r="R33" s="1271">
        <f>'New quarts'!AU20</f>
        <v>148.9</v>
      </c>
      <c r="S33" s="1271">
        <f>'New quarts'!AW20</f>
        <v>152.30000000000001</v>
      </c>
      <c r="T33" s="1271">
        <f>'New quarts'!AX20</f>
        <v>147.19999999999999</v>
      </c>
      <c r="U33" s="1271">
        <f>'New quarts'!AY20</f>
        <v>145.5</v>
      </c>
      <c r="V33" s="1271" t="e">
        <f>'New quarts'!#REF!</f>
        <v>#REF!</v>
      </c>
      <c r="W33" s="1271">
        <f>'New quarts'!AZ20</f>
        <v>142.03287333112166</v>
      </c>
    </row>
    <row r="34" spans="2:48">
      <c r="B34" s="1404" t="s">
        <v>6932</v>
      </c>
      <c r="C34" s="1512">
        <f>'New quarts'!AC21</f>
        <v>-2.3000000000000114</v>
      </c>
      <c r="D34" s="1512">
        <f>'New quarts'!AD21</f>
        <v>-3.0999999999999375</v>
      </c>
      <c r="E34" s="1512">
        <f>'New quarts'!AE21</f>
        <v>-2.1999999999999886</v>
      </c>
      <c r="F34" s="1512">
        <f>'New quarts'!AF21</f>
        <v>-0.30000000000001137</v>
      </c>
      <c r="G34" s="1512"/>
      <c r="H34" s="1512"/>
      <c r="I34" s="1512"/>
      <c r="J34" s="1512"/>
      <c r="K34" s="1512">
        <f>'New quarts'!AM21</f>
        <v>-18.100000000000051</v>
      </c>
      <c r="L34" s="1512">
        <f>'New quarts'!AN21</f>
        <v>-18.60000000000025</v>
      </c>
      <c r="M34" s="1512">
        <f>'New quarts'!AO21</f>
        <v>-17.399999999999991</v>
      </c>
      <c r="N34" s="1512">
        <f>'New quarts'!AP21</f>
        <v>-22.399999999999991</v>
      </c>
      <c r="O34" s="1512">
        <f>'New quarts'!AR21</f>
        <v>-18.800000000000068</v>
      </c>
      <c r="P34" s="1512">
        <f>'New quarts'!AS21</f>
        <v>-19.900000000000034</v>
      </c>
      <c r="Q34" s="1512">
        <f>'New quarts'!AT21</f>
        <v>-23.400000000000006</v>
      </c>
      <c r="R34" s="1512">
        <f>'New quarts'!AU21</f>
        <v>-24.400000000000006</v>
      </c>
      <c r="S34" s="1512">
        <f>'New quarts'!AW21</f>
        <v>-22.399999999999977</v>
      </c>
      <c r="T34" s="1512">
        <f>'New quarts'!AX21</f>
        <v>-22.400000000000034</v>
      </c>
      <c r="U34" s="1512">
        <f>'New quarts'!AY21</f>
        <v>-21.9</v>
      </c>
      <c r="V34" s="1512" t="e">
        <f>'New quarts'!#REF!</f>
        <v>#REF!</v>
      </c>
      <c r="W34" s="1512">
        <f>'New quarts'!AZ21</f>
        <v>-19.799999999999081</v>
      </c>
    </row>
    <row r="35" spans="2:48">
      <c r="B35" s="1208" t="s">
        <v>90</v>
      </c>
      <c r="C35" s="1513">
        <f>'New quarts'!AC22</f>
        <v>931</v>
      </c>
      <c r="D35" s="1513">
        <f>'New quarts'!AD22</f>
        <v>849</v>
      </c>
      <c r="E35" s="1513">
        <f>'New quarts'!AE22</f>
        <v>888</v>
      </c>
      <c r="F35" s="1513">
        <f>'New quarts'!AF22</f>
        <v>1097</v>
      </c>
      <c r="G35" s="1513">
        <f>'New quarts'!AH22</f>
        <v>1159.9000000000001</v>
      </c>
      <c r="H35" s="1513">
        <f>'New quarts'!AI22</f>
        <v>1168</v>
      </c>
      <c r="I35" s="1513">
        <f>'New quarts'!AJ22</f>
        <v>1192</v>
      </c>
      <c r="J35" s="1513">
        <f>'New quarts'!AK22</f>
        <v>1279</v>
      </c>
      <c r="K35" s="1513">
        <f>'New quarts'!AM22</f>
        <v>1219</v>
      </c>
      <c r="L35" s="1513">
        <f>'New quarts'!AN22</f>
        <v>1218</v>
      </c>
      <c r="M35" s="1513">
        <f>'New quarts'!AO22</f>
        <v>1222</v>
      </c>
      <c r="N35" s="1513">
        <f>'New quarts'!AP22</f>
        <v>1160.7</v>
      </c>
      <c r="O35" s="1513">
        <f>'New quarts'!AR22</f>
        <v>1104</v>
      </c>
      <c r="P35" s="1513">
        <f>'New quarts'!AS22</f>
        <v>1123</v>
      </c>
      <c r="Q35" s="1513">
        <f>'New quarts'!AT22</f>
        <v>1125.8</v>
      </c>
      <c r="R35" s="1513">
        <f>'New quarts'!AU22</f>
        <v>1164</v>
      </c>
      <c r="S35" s="1513">
        <f>'New quarts'!AW22</f>
        <v>1099</v>
      </c>
      <c r="T35" s="1513">
        <f>'New quarts'!AX22</f>
        <v>1118</v>
      </c>
      <c r="U35" s="1513">
        <f>'New quarts'!AY22</f>
        <v>1089</v>
      </c>
      <c r="V35" s="1513" t="e">
        <f>'New quarts'!#REF!</f>
        <v>#REF!</v>
      </c>
      <c r="W35" s="1513">
        <f>'New quarts'!AZ22</f>
        <v>1162.78063103462</v>
      </c>
    </row>
    <row r="36" spans="2:48">
      <c r="B36" s="1403"/>
      <c r="C36" s="1511"/>
      <c r="D36" s="1511"/>
      <c r="E36" s="1511"/>
      <c r="F36" s="1511"/>
      <c r="G36" s="1511"/>
      <c r="H36" s="1511"/>
      <c r="I36" s="1511"/>
      <c r="J36" s="1514"/>
      <c r="K36" s="1511"/>
      <c r="L36" s="1511"/>
      <c r="M36" s="1511"/>
      <c r="N36" s="1511"/>
      <c r="O36" s="1511"/>
      <c r="P36" s="1511"/>
      <c r="Q36" s="1511"/>
      <c r="R36" s="1511"/>
      <c r="S36" s="1511"/>
      <c r="T36" s="1511"/>
      <c r="U36" s="1511"/>
      <c r="V36" s="1511"/>
      <c r="W36" s="1511"/>
    </row>
    <row r="37" spans="2:48">
      <c r="B37" s="1210" t="s">
        <v>5963</v>
      </c>
      <c r="C37" s="1515" t="s">
        <v>4755</v>
      </c>
      <c r="D37" s="1515" t="s">
        <v>4922</v>
      </c>
      <c r="E37" s="1515" t="s">
        <v>5188</v>
      </c>
      <c r="F37" s="1515" t="s">
        <v>5371</v>
      </c>
      <c r="G37" s="1515" t="s">
        <v>5556</v>
      </c>
      <c r="H37" s="1515" t="s">
        <v>5696</v>
      </c>
      <c r="I37" s="1515" t="s">
        <v>5878</v>
      </c>
      <c r="J37" s="1515" t="str">
        <f t="shared" ref="J37:O37" si="14">J29</f>
        <v>Q4 21</v>
      </c>
      <c r="K37" s="1515" t="str">
        <f t="shared" si="14"/>
        <v>Q1 22</v>
      </c>
      <c r="L37" s="1515" t="str">
        <f t="shared" si="14"/>
        <v>Q2 22</v>
      </c>
      <c r="M37" s="1515" t="str">
        <f t="shared" si="14"/>
        <v>Q3 22</v>
      </c>
      <c r="N37" s="1515" t="str">
        <f t="shared" si="14"/>
        <v>Q4 22</v>
      </c>
      <c r="O37" s="1515" t="str">
        <f t="shared" si="14"/>
        <v>Q1 23</v>
      </c>
      <c r="P37" s="1515" t="str">
        <f t="shared" ref="P37" si="15">P29</f>
        <v>Q2 23</v>
      </c>
      <c r="Q37" s="1515" t="str">
        <f t="shared" ref="Q37" si="16">Q29</f>
        <v>Q3 23</v>
      </c>
      <c r="R37" s="1515" t="str">
        <f t="shared" ref="R37" si="17">R29</f>
        <v>Q4 23</v>
      </c>
      <c r="S37" s="1515" t="str">
        <f>S29</f>
        <v>Q1 24</v>
      </c>
      <c r="T37" s="1515" t="str">
        <f>T29</f>
        <v>Q2 24</v>
      </c>
      <c r="U37" s="1515" t="str">
        <f>U29</f>
        <v>Q3 24</v>
      </c>
      <c r="V37" s="1515" t="str">
        <f>V29</f>
        <v>Q3 24e</v>
      </c>
      <c r="W37" s="1515" t="str">
        <f>W29</f>
        <v>Q4 24e</v>
      </c>
      <c r="AV37" t="e">
        <f>AV32</f>
        <v>#REF!</v>
      </c>
    </row>
    <row r="38" spans="2:48">
      <c r="B38" s="1403" t="s">
        <v>29</v>
      </c>
      <c r="C38" s="1511">
        <f>'New quarts'!AC211</f>
        <v>232.8</v>
      </c>
      <c r="D38" s="1511">
        <f>'New quarts'!AD211</f>
        <v>203.6</v>
      </c>
      <c r="E38" s="1511">
        <f>'New quarts'!AE211</f>
        <v>220.4</v>
      </c>
      <c r="F38" s="1511">
        <f>'New quarts'!AF211</f>
        <v>229.6</v>
      </c>
      <c r="G38" s="1511">
        <f>'New quarts'!AH211</f>
        <v>225.3</v>
      </c>
      <c r="H38" s="1511">
        <f>'New quarts'!AI211</f>
        <v>233.6</v>
      </c>
      <c r="I38" s="1511">
        <f>'New quarts'!AJ211</f>
        <v>229.5</v>
      </c>
      <c r="J38" s="1511">
        <f>'New quarts'!AK211</f>
        <v>258.8</v>
      </c>
      <c r="K38" s="1511">
        <f>'New quarts'!AM211</f>
        <v>233</v>
      </c>
      <c r="L38" s="1511">
        <f>'New quarts'!AN211</f>
        <v>254</v>
      </c>
      <c r="M38" s="1511">
        <f>'New quarts'!AO211</f>
        <v>238.3</v>
      </c>
      <c r="N38" s="1511">
        <f>'New quarts'!AP211</f>
        <v>275</v>
      </c>
      <c r="O38" s="1511">
        <f>'New quarts'!AR211</f>
        <v>247.29999999999998</v>
      </c>
      <c r="P38" s="1511">
        <f>'New quarts'!AS211</f>
        <v>277.5</v>
      </c>
      <c r="Q38" s="1511">
        <f>'New quarts'!AT211</f>
        <v>273.10000000000002</v>
      </c>
      <c r="R38" s="1511">
        <f>'New quarts'!AU211</f>
        <v>288.3</v>
      </c>
      <c r="S38" s="1511">
        <f>'New quarts'!AW211</f>
        <v>266.60000000000002</v>
      </c>
      <c r="T38" s="1511">
        <f>'New quarts'!AX211</f>
        <v>284.89999999999998</v>
      </c>
      <c r="U38" s="1511">
        <f>'New quarts'!AY211</f>
        <v>285.7</v>
      </c>
      <c r="V38" s="1511" t="e">
        <f>'New quarts'!#REF!</f>
        <v>#REF!</v>
      </c>
      <c r="W38" s="1511">
        <f>'New quarts'!AZ211</f>
        <v>284.78419841410692</v>
      </c>
    </row>
    <row r="39" spans="2:48">
      <c r="B39" s="1207" t="s">
        <v>469</v>
      </c>
      <c r="C39" s="1271">
        <f>'New quarts'!AC242</f>
        <v>50.5</v>
      </c>
      <c r="D39" s="1271">
        <f>'New quarts'!AD242</f>
        <v>52.4</v>
      </c>
      <c r="E39" s="1271">
        <f>'New quarts'!AE242</f>
        <v>58.1</v>
      </c>
      <c r="F39" s="1271">
        <f>'New quarts'!AF242</f>
        <v>115.9</v>
      </c>
      <c r="G39" s="1271">
        <f>'New quarts'!AH242</f>
        <v>149.9</v>
      </c>
      <c r="H39" s="1271">
        <f>'New quarts'!AI242</f>
        <v>161.4</v>
      </c>
      <c r="I39" s="1271">
        <f>'New quarts'!AJ242</f>
        <v>139.30000000000001</v>
      </c>
      <c r="J39" s="1271">
        <f>'New quarts'!AK242</f>
        <v>135.30000000000001</v>
      </c>
      <c r="K39" s="1271">
        <f>'New quarts'!AM242</f>
        <v>144.30000000000001</v>
      </c>
      <c r="L39" s="1271">
        <f>'New quarts'!AN242</f>
        <v>148.80000000000001</v>
      </c>
      <c r="M39" s="1271">
        <f>'New quarts'!AO242</f>
        <v>131.5</v>
      </c>
      <c r="N39" s="1271">
        <f>'New quarts'!AP242</f>
        <v>120.2</v>
      </c>
      <c r="O39" s="1271">
        <f>'New quarts'!AR242</f>
        <v>134.4</v>
      </c>
      <c r="P39" s="1271">
        <f>'New quarts'!AS242</f>
        <v>141.30000000000001</v>
      </c>
      <c r="Q39" s="1271">
        <f>'New quarts'!AT242</f>
        <v>116.4</v>
      </c>
      <c r="R39" s="1271">
        <f>'New quarts'!AU242</f>
        <v>103.9</v>
      </c>
      <c r="S39" s="1271">
        <f>'New quarts'!AW242</f>
        <v>69.099999999999994</v>
      </c>
      <c r="T39" s="1271">
        <f>'New quarts'!AX242</f>
        <v>71.099999999999994</v>
      </c>
      <c r="U39" s="1271">
        <f>'New quarts'!AY242</f>
        <v>88.2</v>
      </c>
      <c r="V39" s="1271" t="e">
        <f>'New quarts'!#REF!</f>
        <v>#REF!</v>
      </c>
      <c r="W39" s="1271">
        <f>'New quarts'!AZ242</f>
        <v>95.512672000000052</v>
      </c>
      <c r="X39" s="486"/>
    </row>
    <row r="40" spans="2:48">
      <c r="B40" s="1403" t="s">
        <v>899</v>
      </c>
      <c r="C40" s="1511">
        <f>'New quarts'!AC239</f>
        <v>79.711496611328727</v>
      </c>
      <c r="D40" s="1511">
        <f>'New quarts'!AD239</f>
        <v>73.147023086269741</v>
      </c>
      <c r="E40" s="1511">
        <f>'New quarts'!AE239</f>
        <v>78.101265822784811</v>
      </c>
      <c r="F40" s="1511">
        <f>'New quarts'!AF239</f>
        <v>74.630452423435571</v>
      </c>
      <c r="G40" s="1511">
        <f>'New quarts'!AH239</f>
        <v>70.5</v>
      </c>
      <c r="H40" s="1511">
        <f>'New quarts'!AI239</f>
        <v>68.7</v>
      </c>
      <c r="I40" s="1511">
        <f>'New quarts'!AJ239</f>
        <v>65.099999999999994</v>
      </c>
      <c r="J40" s="1511">
        <f>'New quarts'!AK239</f>
        <v>55.3</v>
      </c>
      <c r="K40" s="1511">
        <f>'New quarts'!AM239</f>
        <v>46.5</v>
      </c>
      <c r="L40" s="1511">
        <f>'New quarts'!AN239</f>
        <v>37.9</v>
      </c>
      <c r="M40" s="1511">
        <f>'New quarts'!AO239</f>
        <v>31.2</v>
      </c>
      <c r="N40" s="1511"/>
      <c r="O40" s="1511"/>
      <c r="P40" s="1511"/>
      <c r="Q40" s="1511"/>
      <c r="R40" s="1511"/>
      <c r="S40" s="1511"/>
      <c r="T40" s="1511"/>
      <c r="U40" s="1511"/>
      <c r="V40" s="1511"/>
      <c r="W40" s="1511"/>
    </row>
    <row r="41" spans="2:48">
      <c r="B41" s="1207" t="s">
        <v>3411</v>
      </c>
      <c r="C41" s="1271">
        <f>'New quarts'!AC233</f>
        <v>13.688503388671279</v>
      </c>
      <c r="D41" s="1271">
        <f>'New quarts'!AD233</f>
        <v>13.152976913730257</v>
      </c>
      <c r="E41" s="1271">
        <f>'New quarts'!AE233</f>
        <v>14.798734177215195</v>
      </c>
      <c r="F41" s="1271">
        <f>'New quarts'!AF233</f>
        <v>14.669547576564426</v>
      </c>
      <c r="G41" s="1271">
        <f>'New quarts'!AH233</f>
        <v>14.1</v>
      </c>
      <c r="H41" s="1271">
        <f>'New quarts'!AI233</f>
        <v>12.7</v>
      </c>
      <c r="I41" s="1271">
        <f>'New quarts'!AJ233</f>
        <v>24</v>
      </c>
      <c r="J41" s="1271">
        <f>'New quarts'!AK233</f>
        <v>29.4</v>
      </c>
      <c r="K41" s="1271">
        <f>'New quarts'!AM233</f>
        <v>30.2</v>
      </c>
      <c r="L41" s="1271">
        <f>'New quarts'!AN233</f>
        <v>35.6</v>
      </c>
      <c r="M41" s="1271">
        <f>'New quarts'!AO233</f>
        <v>32.799999999999997</v>
      </c>
      <c r="N41" s="1271">
        <f>'New quarts'!AP233</f>
        <v>36.1</v>
      </c>
      <c r="O41" s="1271">
        <f>'New quarts'!AR233</f>
        <v>45.2</v>
      </c>
      <c r="P41" s="1271">
        <f>'New quarts'!AS233</f>
        <v>50.1</v>
      </c>
      <c r="Q41" s="1271">
        <f>'New quarts'!AT233</f>
        <v>49.9</v>
      </c>
      <c r="R41" s="1271">
        <f>'New quarts'!AU233</f>
        <v>57.9</v>
      </c>
      <c r="S41" s="1271">
        <f>'New quarts'!AW233</f>
        <v>58.3</v>
      </c>
      <c r="T41" s="1271">
        <f>'New quarts'!AX233</f>
        <v>53.4</v>
      </c>
      <c r="U41" s="1271">
        <f>'New quarts'!AY233</f>
        <v>50.8</v>
      </c>
      <c r="V41" s="1271" t="e">
        <f>'New quarts'!#REF!</f>
        <v>#REF!</v>
      </c>
      <c r="W41" s="1271">
        <f>'New quarts'!AZ233</f>
        <v>54.702163132514997</v>
      </c>
    </row>
    <row r="42" spans="2:48">
      <c r="B42" s="1404" t="s">
        <v>5961</v>
      </c>
      <c r="C42" s="1512">
        <f>'New quarts'!AC234</f>
        <v>-12.8</v>
      </c>
      <c r="D42" s="1512">
        <f>'New quarts'!AD234</f>
        <v>-9.6999999999999993</v>
      </c>
      <c r="E42" s="1512">
        <f>'New quarts'!AE234</f>
        <v>-11.2</v>
      </c>
      <c r="F42" s="1512">
        <f>'New quarts'!AF234</f>
        <v>-10.8</v>
      </c>
      <c r="G42" s="1512">
        <f>'New quarts'!AH234</f>
        <v>-10.5</v>
      </c>
      <c r="H42" s="1512">
        <f>'New quarts'!AI234</f>
        <v>-12.5</v>
      </c>
      <c r="I42" s="1512">
        <f>'New quarts'!AJ234</f>
        <v>-14.7</v>
      </c>
      <c r="J42" s="1512">
        <f>'New quarts'!AK234</f>
        <v>-15.2</v>
      </c>
      <c r="K42" s="1512">
        <f>'New quarts'!AM234</f>
        <v>-13.8</v>
      </c>
      <c r="L42" s="1512">
        <f>'New quarts'!AN234</f>
        <v>-12.8</v>
      </c>
      <c r="M42" s="1512">
        <f>'New quarts'!AO234</f>
        <v>-18.8</v>
      </c>
      <c r="N42" s="1512">
        <f>'New quarts'!AP234</f>
        <v>-26.1</v>
      </c>
      <c r="O42" s="1512">
        <f>'New quarts'!AR234</f>
        <v>-20.399999999999999</v>
      </c>
      <c r="P42" s="1512">
        <f>'New quarts'!AS234</f>
        <v>-23.6</v>
      </c>
      <c r="Q42" s="1512">
        <f>'New quarts'!AT234</f>
        <v>-11</v>
      </c>
      <c r="R42" s="1512">
        <f>'New quarts'!AU234</f>
        <v>-18.100000000000001</v>
      </c>
      <c r="S42" s="1512">
        <f>'New quarts'!AW234</f>
        <v>-19.8</v>
      </c>
      <c r="T42" s="1512">
        <f>'New quarts'!AX234</f>
        <v>-20.3</v>
      </c>
      <c r="U42" s="1512">
        <f>'New quarts'!AY234</f>
        <v>-21.6</v>
      </c>
      <c r="V42" s="1512" t="e">
        <f>'New quarts'!#REF!</f>
        <v>#REF!</v>
      </c>
      <c r="W42" s="1512">
        <f>'New quarts'!AZ234</f>
        <v>-22.300000000000004</v>
      </c>
    </row>
    <row r="43" spans="2:48">
      <c r="B43" s="1208" t="s">
        <v>90</v>
      </c>
      <c r="C43" s="1513">
        <f>'New quarts'!AC236</f>
        <v>363.9</v>
      </c>
      <c r="D43" s="1513">
        <f>'New quarts'!AD236</f>
        <v>333</v>
      </c>
      <c r="E43" s="1513">
        <f>'New quarts'!AE236</f>
        <v>360.2</v>
      </c>
      <c r="F43" s="1513">
        <f>'New quarts'!AF236</f>
        <v>424</v>
      </c>
      <c r="G43" s="1513">
        <f>'New quarts'!AH236</f>
        <v>449.3</v>
      </c>
      <c r="H43" s="1513">
        <f>'New quarts'!AI236</f>
        <v>464</v>
      </c>
      <c r="I43" s="1513">
        <f>'New quarts'!AJ236</f>
        <v>446</v>
      </c>
      <c r="J43" s="1513">
        <f>'New quarts'!AK236</f>
        <v>469.6</v>
      </c>
      <c r="K43" s="1513">
        <f>'New quarts'!AM236</f>
        <v>440</v>
      </c>
      <c r="L43" s="1513">
        <f>'New quarts'!AN236</f>
        <v>463.6</v>
      </c>
      <c r="M43" s="1513">
        <f>'New quarts'!AO236</f>
        <v>415</v>
      </c>
      <c r="N43" s="1513">
        <f>'New quarts'!AP236</f>
        <v>405.2</v>
      </c>
      <c r="O43" s="1513">
        <f>'New quarts'!AR236</f>
        <v>406.5</v>
      </c>
      <c r="P43" s="1513">
        <f>'New quarts'!AS236</f>
        <v>445.3</v>
      </c>
      <c r="Q43" s="1513">
        <f>'New quarts'!AT236</f>
        <v>428.4</v>
      </c>
      <c r="R43" s="1513">
        <f>'New quarts'!AU236</f>
        <v>431.9</v>
      </c>
      <c r="S43" s="1513">
        <f>'New quarts'!AW236</f>
        <v>374.2</v>
      </c>
      <c r="T43" s="1513">
        <f>'New quarts'!AX236</f>
        <v>389</v>
      </c>
      <c r="U43" s="1513">
        <f>'New quarts'!AY236</f>
        <v>403.1</v>
      </c>
      <c r="V43" s="1513" t="e">
        <f>'New quarts'!#REF!</f>
        <v>#REF!</v>
      </c>
      <c r="W43" s="1513">
        <f>'New quarts'!AZ236</f>
        <v>412.69903354662199</v>
      </c>
    </row>
    <row r="44" spans="2:48">
      <c r="B44" s="1403"/>
      <c r="C44" s="1403"/>
      <c r="D44" s="1403"/>
      <c r="E44" s="1403"/>
      <c r="F44" s="1403"/>
      <c r="G44" s="1403"/>
      <c r="H44" s="1403"/>
      <c r="I44" s="1403"/>
      <c r="J44" s="1514"/>
      <c r="K44" s="1403"/>
      <c r="L44" s="1403"/>
      <c r="M44" s="1403"/>
      <c r="N44" s="1403"/>
      <c r="O44" s="1403"/>
      <c r="P44" s="1403"/>
      <c r="Q44" s="1403"/>
      <c r="R44" s="1403"/>
      <c r="S44" s="1403"/>
      <c r="T44" s="1403"/>
      <c r="U44" s="1403"/>
      <c r="V44" s="1403"/>
      <c r="W44" s="1403"/>
    </row>
    <row r="45" spans="2:48">
      <c r="B45" s="1210" t="s">
        <v>5964</v>
      </c>
      <c r="C45" s="1206" t="s">
        <v>4755</v>
      </c>
      <c r="D45" s="1206" t="s">
        <v>4922</v>
      </c>
      <c r="E45" s="1206" t="s">
        <v>5188</v>
      </c>
      <c r="F45" s="1206" t="s">
        <v>5371</v>
      </c>
      <c r="G45" s="1206" t="s">
        <v>5556</v>
      </c>
      <c r="H45" s="1206" t="s">
        <v>5696</v>
      </c>
      <c r="I45" s="1206" t="s">
        <v>5878</v>
      </c>
      <c r="J45" s="1515" t="str">
        <f t="shared" ref="J45:O45" si="18">J37</f>
        <v>Q4 21</v>
      </c>
      <c r="K45" s="1515" t="str">
        <f t="shared" si="18"/>
        <v>Q1 22</v>
      </c>
      <c r="L45" s="1515" t="str">
        <f t="shared" si="18"/>
        <v>Q2 22</v>
      </c>
      <c r="M45" s="1515" t="str">
        <f t="shared" si="18"/>
        <v>Q3 22</v>
      </c>
      <c r="N45" s="1515" t="str">
        <f t="shared" si="18"/>
        <v>Q4 22</v>
      </c>
      <c r="O45" s="1515" t="str">
        <f t="shared" si="18"/>
        <v>Q1 23</v>
      </c>
      <c r="P45" s="1515" t="str">
        <f t="shared" ref="P45" si="19">P37</f>
        <v>Q2 23</v>
      </c>
      <c r="Q45" s="1515" t="str">
        <f t="shared" ref="Q45" si="20">Q37</f>
        <v>Q3 23</v>
      </c>
      <c r="R45" s="1515" t="str">
        <f t="shared" ref="R45" si="21">R37</f>
        <v>Q4 23</v>
      </c>
      <c r="S45" s="1515" t="str">
        <f>S37</f>
        <v>Q1 24</v>
      </c>
      <c r="T45" s="1515" t="str">
        <f>T37</f>
        <v>Q2 24</v>
      </c>
      <c r="U45" s="1515" t="str">
        <f>U37</f>
        <v>Q3 24</v>
      </c>
      <c r="V45" s="1515" t="str">
        <f>V37</f>
        <v>Q3 24e</v>
      </c>
      <c r="W45" s="1515" t="str">
        <f>W37</f>
        <v>Q4 24e</v>
      </c>
    </row>
    <row r="46" spans="2:48">
      <c r="B46" s="1403" t="s">
        <v>29</v>
      </c>
      <c r="C46" s="1406">
        <f t="shared" ref="C46:K46" si="22">C38/C30</f>
        <v>0.39551478083588176</v>
      </c>
      <c r="D46" s="1406">
        <f t="shared" si="22"/>
        <v>0.39510964486706773</v>
      </c>
      <c r="E46" s="1406">
        <f t="shared" si="22"/>
        <v>0.40898125811838931</v>
      </c>
      <c r="F46" s="1406">
        <f t="shared" si="22"/>
        <v>0.41220825852782766</v>
      </c>
      <c r="G46" s="1406">
        <f t="shared" si="22"/>
        <v>0.40830010873504896</v>
      </c>
      <c r="H46" s="1406">
        <f t="shared" si="22"/>
        <v>0.41580633677465295</v>
      </c>
      <c r="I46" s="1406">
        <f t="shared" si="22"/>
        <v>0.40734824281150162</v>
      </c>
      <c r="J46" s="1406">
        <f t="shared" si="22"/>
        <v>0.41641190667739342</v>
      </c>
      <c r="K46" s="1406">
        <f t="shared" si="22"/>
        <v>0.39518317503392131</v>
      </c>
      <c r="L46" s="1406">
        <f t="shared" ref="L46:M49" si="23">L38/L30</f>
        <v>0.41334418226200148</v>
      </c>
      <c r="M46" s="1406">
        <f t="shared" si="23"/>
        <v>0.37616416732438834</v>
      </c>
      <c r="N46" s="1406">
        <f t="shared" ref="N46:O46" si="24">N38/N30</f>
        <v>0.39699725710985995</v>
      </c>
      <c r="O46" s="1406">
        <f t="shared" si="24"/>
        <v>0.39391525963682694</v>
      </c>
      <c r="P46" s="1406">
        <f t="shared" ref="P46" si="25">P38/P30</f>
        <v>0.42321183468049411</v>
      </c>
      <c r="Q46" s="1406">
        <f t="shared" ref="Q46" si="26">Q38/Q30</f>
        <v>0.4116671691287308</v>
      </c>
      <c r="R46" s="1406">
        <f t="shared" ref="R46" si="27">R38/R30</f>
        <v>0.42026239067055393</v>
      </c>
      <c r="S46" s="1406">
        <f t="shared" ref="S46:T47" si="28">S38/S30</f>
        <v>0.41532949057485596</v>
      </c>
      <c r="T46" s="1406">
        <f t="shared" si="28"/>
        <v>0.41615541922290383</v>
      </c>
      <c r="U46" s="1406">
        <f t="shared" ref="U46" si="29">U38/U30</f>
        <v>0.4343265430221952</v>
      </c>
      <c r="V46" s="1406" t="e">
        <f t="shared" ref="V46:W46" si="30">V38/V30</f>
        <v>#REF!</v>
      </c>
      <c r="W46" s="1406">
        <f t="shared" si="30"/>
        <v>0.40369442761514984</v>
      </c>
    </row>
    <row r="47" spans="2:48">
      <c r="B47" s="1207" t="s">
        <v>469</v>
      </c>
      <c r="C47" s="1236"/>
      <c r="D47" s="1236"/>
      <c r="E47" s="1236">
        <f t="shared" ref="E47:G49" si="31">E39/E31</f>
        <v>0.16500994035785288</v>
      </c>
      <c r="F47" s="1236">
        <f t="shared" si="31"/>
        <v>0.39155405405405408</v>
      </c>
      <c r="G47" s="1236">
        <f t="shared" si="31"/>
        <v>0.41489067257127044</v>
      </c>
      <c r="H47" s="1236">
        <f t="shared" ref="H47:K47" si="32">H39/H31</f>
        <v>0.44783573806881238</v>
      </c>
      <c r="I47" s="1236">
        <f t="shared" si="32"/>
        <v>0.38986845787853353</v>
      </c>
      <c r="J47" s="1236">
        <f t="shared" si="32"/>
        <v>0.35984042553191492</v>
      </c>
      <c r="K47" s="1236">
        <f t="shared" si="32"/>
        <v>0.3906334596643205</v>
      </c>
      <c r="L47" s="1236">
        <f t="shared" si="23"/>
        <v>0.40867893435869268</v>
      </c>
      <c r="M47" s="1236">
        <f t="shared" si="23"/>
        <v>0.35840828563641319</v>
      </c>
      <c r="N47" s="1236">
        <f t="shared" ref="N47:O47" si="33">N39/N31</f>
        <v>0.32512848255342175</v>
      </c>
      <c r="O47" s="1236">
        <f t="shared" si="33"/>
        <v>0.36741388737014763</v>
      </c>
      <c r="P47" s="1236">
        <f t="shared" ref="P47" si="34">P39/P31</f>
        <v>0.40142045454545455</v>
      </c>
      <c r="Q47" s="1236">
        <f t="shared" ref="Q47" si="35">Q39/Q31</f>
        <v>0.33143507972665148</v>
      </c>
      <c r="R47" s="1236">
        <f t="shared" ref="R47" si="36">R39/R31</f>
        <v>0.29391796322489394</v>
      </c>
      <c r="S47" s="1236">
        <f t="shared" si="28"/>
        <v>0.21137962679718564</v>
      </c>
      <c r="T47" s="1236">
        <f t="shared" si="28"/>
        <v>0.23039533376539206</v>
      </c>
      <c r="U47" s="1236">
        <f t="shared" ref="U47" si="37">U39/U31</f>
        <v>0.28617780661907855</v>
      </c>
      <c r="V47" s="1236" t="e">
        <f t="shared" ref="V47:W47" si="38">V39/V31</f>
        <v>#REF!</v>
      </c>
      <c r="W47" s="1236">
        <f t="shared" si="38"/>
        <v>0.28502498934655285</v>
      </c>
    </row>
    <row r="48" spans="2:48">
      <c r="B48" s="1403" t="s">
        <v>899</v>
      </c>
      <c r="C48" s="1406">
        <f>C40/C32</f>
        <v>0.38684369342184666</v>
      </c>
      <c r="D48" s="1406">
        <f>D40/D32</f>
        <v>0.37933207309388783</v>
      </c>
      <c r="E48" s="1406">
        <f t="shared" si="31"/>
        <v>0.39149746192893398</v>
      </c>
      <c r="F48" s="1406">
        <f t="shared" si="31"/>
        <v>0.35931558935361207</v>
      </c>
      <c r="G48" s="1406">
        <f t="shared" si="31"/>
        <v>0.3352353780313837</v>
      </c>
      <c r="H48" s="1406">
        <f t="shared" ref="H48:K49" si="39">H40/H32</f>
        <v>0.32823698041089344</v>
      </c>
      <c r="I48" s="1406">
        <f t="shared" si="39"/>
        <v>0.3371310201967892</v>
      </c>
      <c r="J48" s="1406">
        <f t="shared" si="39"/>
        <v>0.31636155606407318</v>
      </c>
      <c r="K48" s="1406">
        <f t="shared" si="39"/>
        <v>0.27224824355971894</v>
      </c>
      <c r="L48" s="1406">
        <f t="shared" si="23"/>
        <v>0.25266666666666665</v>
      </c>
      <c r="M48" s="1406">
        <f t="shared" si="23"/>
        <v>0.24036979969183356</v>
      </c>
      <c r="N48" s="1406"/>
      <c r="O48" s="1406"/>
      <c r="P48" s="1406"/>
      <c r="Q48" s="1406"/>
      <c r="R48" s="1406"/>
      <c r="S48" s="1406"/>
      <c r="T48" s="1406"/>
      <c r="U48" s="1406"/>
      <c r="V48" s="1406"/>
      <c r="W48" s="1406"/>
    </row>
    <row r="49" spans="2:23">
      <c r="B49" s="1211" t="s">
        <v>3411</v>
      </c>
      <c r="C49" s="1516">
        <f>C41/C33</f>
        <v>0.40208369138179761</v>
      </c>
      <c r="D49" s="1516">
        <f>D41/D33</f>
        <v>0.37721233155963502</v>
      </c>
      <c r="E49" s="1516">
        <f t="shared" si="31"/>
        <v>0.39562112957260348</v>
      </c>
      <c r="F49" s="1516">
        <f t="shared" si="31"/>
        <v>0.4008257357424207</v>
      </c>
      <c r="G49" s="1516">
        <f t="shared" si="31"/>
        <v>0.38950276243093918</v>
      </c>
      <c r="H49" s="1516">
        <f t="shared" si="39"/>
        <v>0.34986225895316803</v>
      </c>
      <c r="I49" s="1516">
        <f t="shared" si="39"/>
        <v>0.3120936280884265</v>
      </c>
      <c r="J49" s="1516">
        <f t="shared" si="39"/>
        <v>0.2752808988764045</v>
      </c>
      <c r="K49" s="1516">
        <f t="shared" si="39"/>
        <v>0.28119180633147112</v>
      </c>
      <c r="L49" s="1516">
        <f t="shared" si="23"/>
        <v>0.32962962962962966</v>
      </c>
      <c r="M49" s="1516">
        <f t="shared" si="23"/>
        <v>0.30036630036630035</v>
      </c>
      <c r="N49" s="1516">
        <f t="shared" ref="N49:O49" si="40">N41/N33</f>
        <v>0.30934018851756639</v>
      </c>
      <c r="O49" s="1516">
        <f t="shared" si="40"/>
        <v>0.34984520123839014</v>
      </c>
      <c r="P49" s="1516">
        <f t="shared" ref="P49" si="41">P41/P33</f>
        <v>0.37056213017751483</v>
      </c>
      <c r="Q49" s="1516">
        <f t="shared" ref="Q49" si="42">Q41/Q33</f>
        <v>0.37072808320950967</v>
      </c>
      <c r="R49" s="1516">
        <f t="shared" ref="R49" si="43">R41/R33</f>
        <v>0.38885157824042982</v>
      </c>
      <c r="S49" s="1516">
        <f>S41/S33</f>
        <v>0.38279711096520019</v>
      </c>
      <c r="T49" s="1516">
        <f>T41/T33</f>
        <v>0.36277173913043481</v>
      </c>
      <c r="U49" s="1516">
        <f>U41/U33</f>
        <v>0.34914089347079036</v>
      </c>
      <c r="V49" s="1516" t="e">
        <f>V41/V33</f>
        <v>#REF!</v>
      </c>
      <c r="W49" s="1516">
        <f>W41/W33</f>
        <v>0.38513734074074302</v>
      </c>
    </row>
    <row r="50" spans="2:23">
      <c r="B50" s="1517" t="s">
        <v>90</v>
      </c>
      <c r="C50" s="1258">
        <f t="shared" ref="C50:K50" si="44">C43/C35</f>
        <v>0.39087003222341565</v>
      </c>
      <c r="D50" s="1258">
        <f t="shared" si="44"/>
        <v>0.392226148409894</v>
      </c>
      <c r="E50" s="1258">
        <f t="shared" si="44"/>
        <v>0.4056306306306306</v>
      </c>
      <c r="F50" s="1258">
        <f t="shared" si="44"/>
        <v>0.38650865998176848</v>
      </c>
      <c r="G50" s="1258">
        <f t="shared" si="44"/>
        <v>0.38736097939477537</v>
      </c>
      <c r="H50" s="1258">
        <f t="shared" si="44"/>
        <v>0.39726027397260272</v>
      </c>
      <c r="I50" s="1258">
        <f t="shared" si="44"/>
        <v>0.37416107382550334</v>
      </c>
      <c r="J50" s="1258">
        <f t="shared" si="44"/>
        <v>0.36716184519155592</v>
      </c>
      <c r="K50" s="1258">
        <f t="shared" si="44"/>
        <v>0.36095159967186219</v>
      </c>
      <c r="L50" s="1258">
        <f t="shared" ref="L50:P50" si="45">L43/L35</f>
        <v>0.38062397372742202</v>
      </c>
      <c r="M50" s="1258">
        <f t="shared" si="45"/>
        <v>0.33960720130932898</v>
      </c>
      <c r="N50" s="1258">
        <f t="shared" si="45"/>
        <v>0.34909968122684587</v>
      </c>
      <c r="O50" s="1258">
        <f t="shared" si="45"/>
        <v>0.36820652173913043</v>
      </c>
      <c r="P50" s="1258">
        <f t="shared" si="45"/>
        <v>0.39652715939447908</v>
      </c>
      <c r="Q50" s="1258">
        <f t="shared" ref="Q50" si="46">Q43/Q35</f>
        <v>0.38052940131462071</v>
      </c>
      <c r="R50" s="1258">
        <f t="shared" ref="R50" si="47">R43/R35</f>
        <v>0.3710481099656357</v>
      </c>
      <c r="S50" s="1258">
        <f>S43/S35</f>
        <v>0.34049135577797995</v>
      </c>
      <c r="T50" s="1258">
        <f>T43/T35</f>
        <v>0.34794275491949911</v>
      </c>
      <c r="U50" s="1258">
        <f>U43/U35</f>
        <v>0.3701561065197429</v>
      </c>
      <c r="V50" s="1258" t="e">
        <f>V43/V35</f>
        <v>#REF!</v>
      </c>
      <c r="W50" s="1258">
        <f>W43/W35</f>
        <v>0.35492424153936092</v>
      </c>
    </row>
    <row r="51" spans="2:23">
      <c r="B51" s="1207"/>
      <c r="C51" s="1207"/>
      <c r="D51" s="1207"/>
      <c r="E51" s="1207"/>
      <c r="F51" s="1207"/>
      <c r="G51" s="1207"/>
      <c r="H51" s="1207"/>
      <c r="I51" s="1207"/>
      <c r="J51" s="1207"/>
      <c r="K51" s="1207"/>
      <c r="L51" s="1207"/>
      <c r="M51" s="1207"/>
      <c r="N51" s="1207"/>
      <c r="O51" s="1207"/>
      <c r="P51" s="1207"/>
      <c r="Q51" s="1207"/>
      <c r="R51" s="1207"/>
      <c r="S51" s="1207"/>
      <c r="T51" s="1207"/>
    </row>
    <row r="52" spans="2:23">
      <c r="B52" s="1210" t="s">
        <v>5397</v>
      </c>
      <c r="C52" s="1206" t="s">
        <v>4755</v>
      </c>
      <c r="D52" s="1206" t="s">
        <v>4922</v>
      </c>
      <c r="E52" s="1206" t="s">
        <v>5188</v>
      </c>
      <c r="F52" s="1206" t="s">
        <v>5371</v>
      </c>
      <c r="G52" s="1206" t="s">
        <v>5556</v>
      </c>
      <c r="H52" s="1206" t="s">
        <v>5696</v>
      </c>
      <c r="I52" s="1206" t="s">
        <v>5878</v>
      </c>
      <c r="J52" s="1206" t="str">
        <f t="shared" ref="J52:O52" si="48">J45</f>
        <v>Q4 21</v>
      </c>
      <c r="K52" s="1206" t="str">
        <f t="shared" si="48"/>
        <v>Q1 22</v>
      </c>
      <c r="L52" s="1206" t="str">
        <f t="shared" si="48"/>
        <v>Q2 22</v>
      </c>
      <c r="M52" s="1206" t="str">
        <f t="shared" si="48"/>
        <v>Q3 22</v>
      </c>
      <c r="N52" s="1206" t="str">
        <f t="shared" si="48"/>
        <v>Q4 22</v>
      </c>
      <c r="O52" s="1206" t="str">
        <f t="shared" si="48"/>
        <v>Q1 23</v>
      </c>
      <c r="P52" s="1206" t="str">
        <f t="shared" ref="P52" si="49">P45</f>
        <v>Q2 23</v>
      </c>
      <c r="Q52" s="1206" t="str">
        <f t="shared" ref="Q52" si="50">Q45</f>
        <v>Q3 23</v>
      </c>
      <c r="R52" s="1206" t="str">
        <f t="shared" ref="R52" si="51">R45</f>
        <v>Q4 23</v>
      </c>
      <c r="S52" s="1206" t="str">
        <f>S45</f>
        <v>Q1 24</v>
      </c>
      <c r="T52" s="1206" t="str">
        <f>T45</f>
        <v>Q2 24</v>
      </c>
    </row>
    <row r="53" spans="2:23">
      <c r="B53" s="1403" t="s">
        <v>29</v>
      </c>
      <c r="C53" s="1511"/>
      <c r="D53" s="1511"/>
      <c r="E53" s="1511"/>
      <c r="F53" s="1511"/>
      <c r="G53" s="1511"/>
      <c r="H53" s="1511"/>
      <c r="I53" s="1511"/>
      <c r="J53" s="1511"/>
      <c r="K53" s="1511"/>
      <c r="L53" s="1511"/>
      <c r="M53" s="1511"/>
      <c r="N53" s="1511"/>
      <c r="O53" s="1511"/>
      <c r="P53" s="1511"/>
      <c r="Q53" s="1511"/>
      <c r="R53" s="1511"/>
      <c r="S53" s="1511"/>
      <c r="T53" s="1511"/>
    </row>
    <row r="54" spans="2:23">
      <c r="B54" s="1207" t="s">
        <v>469</v>
      </c>
      <c r="C54" s="1271"/>
      <c r="D54" s="1271"/>
      <c r="E54" s="1271"/>
      <c r="F54" s="1271"/>
      <c r="G54" s="1271">
        <f>'New quarts'!AH262</f>
        <v>-2</v>
      </c>
      <c r="H54" s="1271">
        <f>'New quarts'!AI262</f>
        <v>-2</v>
      </c>
      <c r="I54" s="1271">
        <f>'New quarts'!AJ262</f>
        <v>-1</v>
      </c>
      <c r="J54" s="1271">
        <f>'New quarts'!AK262</f>
        <v>-7</v>
      </c>
      <c r="K54" s="1271">
        <f>'New quarts'!AM262</f>
        <v>-2</v>
      </c>
      <c r="L54" s="1271">
        <f>'New quarts'!AN262</f>
        <v>-2</v>
      </c>
      <c r="M54" s="1271">
        <f>'New quarts'!AO262</f>
        <v>-3</v>
      </c>
      <c r="N54" s="1271">
        <f>'New quarts'!AP262</f>
        <v>-3</v>
      </c>
      <c r="O54" s="1271">
        <f>'New quarts'!AR262</f>
        <v>-2</v>
      </c>
      <c r="P54" s="1271">
        <f>'New quarts'!AS262</f>
        <v>-4</v>
      </c>
      <c r="Q54" s="1271">
        <f>'New quarts'!AT262</f>
        <v>-7</v>
      </c>
      <c r="R54" s="1271">
        <f>'New quarts'!AU262</f>
        <v>-6</v>
      </c>
      <c r="S54" s="1271">
        <f>'New quarts'!AW262</f>
        <v>-23</v>
      </c>
      <c r="T54" s="1271">
        <f>'New quarts'!AX262</f>
        <v>0</v>
      </c>
    </row>
    <row r="55" spans="2:23">
      <c r="B55" s="1403" t="s">
        <v>899</v>
      </c>
      <c r="C55" s="1511"/>
      <c r="D55" s="1511"/>
      <c r="E55" s="1511"/>
      <c r="F55" s="1511"/>
      <c r="G55" s="1511"/>
      <c r="H55" s="1511"/>
      <c r="I55" s="1511"/>
      <c r="J55" s="1511"/>
      <c r="K55" s="1511"/>
      <c r="L55" s="1511"/>
      <c r="M55" s="1511"/>
      <c r="N55" s="1511"/>
      <c r="O55" s="1511"/>
      <c r="P55" s="1511"/>
      <c r="Q55" s="1511"/>
      <c r="R55" s="1511"/>
      <c r="S55" s="1511"/>
      <c r="T55" s="1511"/>
    </row>
    <row r="56" spans="2:23">
      <c r="B56" s="1207" t="s">
        <v>6165</v>
      </c>
      <c r="C56" s="1271"/>
      <c r="D56" s="1271"/>
      <c r="E56" s="1271"/>
      <c r="F56" s="1271"/>
      <c r="G56" s="1271"/>
      <c r="H56" s="1271"/>
      <c r="I56" s="1271"/>
      <c r="J56" s="1271">
        <f>'New quarts'!AK269</f>
        <v>-3.5</v>
      </c>
      <c r="K56" s="1271">
        <f>'New quarts'!AM269</f>
        <v>-3</v>
      </c>
      <c r="L56" s="1271">
        <f>'New quarts'!AN269</f>
        <v>-5</v>
      </c>
      <c r="M56" s="1271">
        <f>'New quarts'!AO269</f>
        <v>-5</v>
      </c>
      <c r="N56" s="1271">
        <f>'New quarts'!AP269</f>
        <v>-3</v>
      </c>
      <c r="O56" s="1271">
        <f>'New quarts'!AR269</f>
        <v>-3</v>
      </c>
      <c r="P56" s="1271">
        <f>'New quarts'!AS269</f>
        <v>-1</v>
      </c>
      <c r="Q56" s="1271">
        <f>'New quarts'!AT269</f>
        <v>-1</v>
      </c>
      <c r="R56" s="1271">
        <f>'New quarts'!AU269</f>
        <v>-1</v>
      </c>
      <c r="S56" s="1271">
        <f>'New quarts'!AW269</f>
        <v>-1</v>
      </c>
      <c r="T56" s="1271">
        <f>'New quarts'!AX269</f>
        <v>0</v>
      </c>
    </row>
    <row r="57" spans="2:23">
      <c r="B57" s="1404" t="s">
        <v>5961</v>
      </c>
      <c r="C57" s="1512"/>
      <c r="D57" s="1512"/>
      <c r="E57" s="1512"/>
      <c r="F57" s="1512"/>
      <c r="G57" s="1512"/>
      <c r="H57" s="1512"/>
      <c r="I57" s="1512"/>
      <c r="J57" s="1512"/>
      <c r="K57" s="1512"/>
      <c r="L57" s="1512"/>
      <c r="M57" s="1512"/>
      <c r="N57" s="1512"/>
      <c r="O57" s="1512"/>
      <c r="P57" s="1512"/>
      <c r="Q57" s="1512"/>
      <c r="R57" s="1512"/>
      <c r="S57" s="1512"/>
      <c r="T57" s="1512"/>
    </row>
    <row r="58" spans="2:23">
      <c r="B58" s="1208" t="s">
        <v>90</v>
      </c>
      <c r="C58" s="1513">
        <f t="shared" ref="C58:K58" si="52">SUM(C53:C57)</f>
        <v>0</v>
      </c>
      <c r="D58" s="1513">
        <f t="shared" si="52"/>
        <v>0</v>
      </c>
      <c r="E58" s="1513">
        <f t="shared" si="52"/>
        <v>0</v>
      </c>
      <c r="F58" s="1513">
        <f t="shared" si="52"/>
        <v>0</v>
      </c>
      <c r="G58" s="1513">
        <f t="shared" si="52"/>
        <v>-2</v>
      </c>
      <c r="H58" s="1513">
        <f t="shared" si="52"/>
        <v>-2</v>
      </c>
      <c r="I58" s="1513">
        <f t="shared" si="52"/>
        <v>-1</v>
      </c>
      <c r="J58" s="1513">
        <f t="shared" si="52"/>
        <v>-10.5</v>
      </c>
      <c r="K58" s="1513">
        <f t="shared" si="52"/>
        <v>-5</v>
      </c>
      <c r="L58" s="1513">
        <f t="shared" ref="L58:P58" si="53">SUM(L53:L57)</f>
        <v>-7</v>
      </c>
      <c r="M58" s="1513">
        <f t="shared" si="53"/>
        <v>-8</v>
      </c>
      <c r="N58" s="1513">
        <f t="shared" si="53"/>
        <v>-6</v>
      </c>
      <c r="O58" s="1513">
        <f t="shared" si="53"/>
        <v>-5</v>
      </c>
      <c r="P58" s="1513">
        <f t="shared" si="53"/>
        <v>-5</v>
      </c>
      <c r="Q58" s="1513">
        <f t="shared" ref="Q58" si="54">SUM(Q53:Q57)</f>
        <v>-8</v>
      </c>
      <c r="R58" s="1513">
        <f t="shared" ref="R58" si="55">SUM(R53:R57)</f>
        <v>-7</v>
      </c>
      <c r="S58" s="1513">
        <f>SUM(S53:S57)</f>
        <v>-24</v>
      </c>
      <c r="T58" s="1513">
        <f>SUM(T53:T57)</f>
        <v>0</v>
      </c>
    </row>
    <row r="59" spans="2:23">
      <c r="B59" s="1403"/>
      <c r="C59" s="1511"/>
      <c r="D59" s="1511"/>
      <c r="E59" s="1511"/>
      <c r="F59" s="1511"/>
      <c r="G59" s="1511"/>
      <c r="H59" s="1511"/>
      <c r="I59" s="1511"/>
      <c r="J59" s="1511"/>
      <c r="K59" s="1511"/>
      <c r="L59" s="1511"/>
      <c r="M59" s="1511"/>
      <c r="N59" s="1511"/>
      <c r="O59" s="1511"/>
      <c r="P59" s="1511"/>
      <c r="Q59" s="1511"/>
      <c r="R59" s="1511"/>
      <c r="S59" s="1511"/>
      <c r="T59" s="1511"/>
    </row>
    <row r="60" spans="2:23">
      <c r="B60" s="1210" t="s">
        <v>79</v>
      </c>
      <c r="C60" s="1515" t="s">
        <v>4755</v>
      </c>
      <c r="D60" s="1515" t="s">
        <v>4922</v>
      </c>
      <c r="E60" s="1515" t="s">
        <v>5188</v>
      </c>
      <c r="F60" s="1515" t="s">
        <v>5371</v>
      </c>
      <c r="G60" s="1515" t="s">
        <v>5556</v>
      </c>
      <c r="H60" s="1515" t="s">
        <v>5696</v>
      </c>
      <c r="I60" s="1515" t="s">
        <v>5878</v>
      </c>
      <c r="J60" s="1515" t="str">
        <f t="shared" ref="J60:O60" si="56">J52</f>
        <v>Q4 21</v>
      </c>
      <c r="K60" s="1515" t="str">
        <f t="shared" si="56"/>
        <v>Q1 22</v>
      </c>
      <c r="L60" s="1515" t="str">
        <f t="shared" si="56"/>
        <v>Q2 22</v>
      </c>
      <c r="M60" s="1515" t="str">
        <f t="shared" si="56"/>
        <v>Q3 22</v>
      </c>
      <c r="N60" s="1515" t="str">
        <f t="shared" si="56"/>
        <v>Q4 22</v>
      </c>
      <c r="O60" s="1515" t="str">
        <f t="shared" si="56"/>
        <v>Q1 23</v>
      </c>
      <c r="P60" s="1515" t="str">
        <f t="shared" ref="P60" si="57">P52</f>
        <v>Q2 23</v>
      </c>
      <c r="Q60" s="1515" t="str">
        <f t="shared" ref="Q60" si="58">Q52</f>
        <v>Q3 23</v>
      </c>
      <c r="R60" s="1515" t="str">
        <f t="shared" ref="R60" si="59">R52</f>
        <v>Q4 23</v>
      </c>
      <c r="S60" s="1515" t="str">
        <f>S52</f>
        <v>Q1 24</v>
      </c>
      <c r="T60" s="1515" t="str">
        <f>T52</f>
        <v>Q2 24</v>
      </c>
    </row>
    <row r="61" spans="2:23">
      <c r="B61" s="1403" t="s">
        <v>29</v>
      </c>
      <c r="C61" s="1511">
        <f t="shared" ref="C61:K61" si="60">C38-C53</f>
        <v>232.8</v>
      </c>
      <c r="D61" s="1511">
        <f t="shared" si="60"/>
        <v>203.6</v>
      </c>
      <c r="E61" s="1511">
        <f t="shared" si="60"/>
        <v>220.4</v>
      </c>
      <c r="F61" s="1511">
        <f t="shared" si="60"/>
        <v>229.6</v>
      </c>
      <c r="G61" s="1511">
        <f t="shared" si="60"/>
        <v>225.3</v>
      </c>
      <c r="H61" s="1511">
        <f t="shared" si="60"/>
        <v>233.6</v>
      </c>
      <c r="I61" s="1511">
        <f t="shared" si="60"/>
        <v>229.5</v>
      </c>
      <c r="J61" s="1511">
        <f t="shared" si="60"/>
        <v>258.8</v>
      </c>
      <c r="K61" s="1511">
        <f t="shared" si="60"/>
        <v>233</v>
      </c>
      <c r="L61" s="1511">
        <f t="shared" ref="L61:M66" si="61">L38-L53</f>
        <v>254</v>
      </c>
      <c r="M61" s="1511">
        <f t="shared" si="61"/>
        <v>238.3</v>
      </c>
      <c r="N61" s="1511">
        <f t="shared" ref="N61:O61" si="62">N38-N53</f>
        <v>275</v>
      </c>
      <c r="O61" s="1511">
        <f t="shared" si="62"/>
        <v>247.29999999999998</v>
      </c>
      <c r="P61" s="1511">
        <f t="shared" ref="P61" si="63">P38-P53</f>
        <v>277.5</v>
      </c>
      <c r="Q61" s="1511">
        <f t="shared" ref="Q61" si="64">Q38-Q53</f>
        <v>273.10000000000002</v>
      </c>
      <c r="R61" s="1511">
        <f t="shared" ref="R61" si="65">R38-R53</f>
        <v>288.3</v>
      </c>
      <c r="S61" s="1511">
        <f t="shared" ref="S61:S66" si="66">S38-S53</f>
        <v>266.60000000000002</v>
      </c>
      <c r="T61" s="1511">
        <f t="shared" ref="T61" si="67">T38-T53</f>
        <v>284.89999999999998</v>
      </c>
    </row>
    <row r="62" spans="2:23">
      <c r="B62" s="1207" t="s">
        <v>469</v>
      </c>
      <c r="C62" s="1271">
        <f t="shared" ref="C62:K62" si="68">C39-C54</f>
        <v>50.5</v>
      </c>
      <c r="D62" s="1271">
        <f t="shared" si="68"/>
        <v>52.4</v>
      </c>
      <c r="E62" s="1271">
        <f t="shared" si="68"/>
        <v>58.1</v>
      </c>
      <c r="F62" s="1271">
        <f t="shared" si="68"/>
        <v>115.9</v>
      </c>
      <c r="G62" s="1271">
        <f t="shared" si="68"/>
        <v>151.9</v>
      </c>
      <c r="H62" s="1271">
        <f t="shared" si="68"/>
        <v>163.4</v>
      </c>
      <c r="I62" s="1271">
        <f t="shared" si="68"/>
        <v>140.30000000000001</v>
      </c>
      <c r="J62" s="1271">
        <f t="shared" si="68"/>
        <v>142.30000000000001</v>
      </c>
      <c r="K62" s="1271">
        <f t="shared" si="68"/>
        <v>146.30000000000001</v>
      </c>
      <c r="L62" s="1271">
        <f t="shared" si="61"/>
        <v>150.80000000000001</v>
      </c>
      <c r="M62" s="1271">
        <f t="shared" si="61"/>
        <v>134.5</v>
      </c>
      <c r="N62" s="1271">
        <f t="shared" ref="N62:O62" si="69">N39-N54</f>
        <v>123.2</v>
      </c>
      <c r="O62" s="1271">
        <f t="shared" si="69"/>
        <v>136.4</v>
      </c>
      <c r="P62" s="1271">
        <f t="shared" ref="P62" si="70">P39-P54</f>
        <v>145.30000000000001</v>
      </c>
      <c r="Q62" s="1271">
        <f t="shared" ref="Q62" si="71">Q39-Q54</f>
        <v>123.4</v>
      </c>
      <c r="R62" s="1271">
        <f t="shared" ref="R62" si="72">R39-R54</f>
        <v>109.9</v>
      </c>
      <c r="S62" s="1271">
        <f t="shared" si="66"/>
        <v>92.1</v>
      </c>
      <c r="T62" s="1271">
        <f t="shared" ref="T62" si="73">T39-T54</f>
        <v>71.099999999999994</v>
      </c>
    </row>
    <row r="63" spans="2:23">
      <c r="B63" s="1403" t="s">
        <v>899</v>
      </c>
      <c r="C63" s="1511">
        <f t="shared" ref="C63:K63" si="74">C40-C55</f>
        <v>79.711496611328727</v>
      </c>
      <c r="D63" s="1511">
        <f t="shared" si="74"/>
        <v>73.147023086269741</v>
      </c>
      <c r="E63" s="1511">
        <f t="shared" si="74"/>
        <v>78.101265822784811</v>
      </c>
      <c r="F63" s="1511">
        <f t="shared" si="74"/>
        <v>74.630452423435571</v>
      </c>
      <c r="G63" s="1511">
        <f t="shared" si="74"/>
        <v>70.5</v>
      </c>
      <c r="H63" s="1511">
        <f t="shared" si="74"/>
        <v>68.7</v>
      </c>
      <c r="I63" s="1511">
        <f t="shared" si="74"/>
        <v>65.099999999999994</v>
      </c>
      <c r="J63" s="1511">
        <f t="shared" si="74"/>
        <v>55.3</v>
      </c>
      <c r="K63" s="1511">
        <f t="shared" si="74"/>
        <v>46.5</v>
      </c>
      <c r="L63" s="1511">
        <f t="shared" si="61"/>
        <v>37.9</v>
      </c>
      <c r="M63" s="1511">
        <f t="shared" si="61"/>
        <v>31.2</v>
      </c>
      <c r="N63" s="1511">
        <f t="shared" ref="N63:O63" si="75">N40-N55</f>
        <v>0</v>
      </c>
      <c r="O63" s="1511">
        <f t="shared" si="75"/>
        <v>0</v>
      </c>
      <c r="P63" s="1511">
        <f t="shared" ref="P63" si="76">P40-P55</f>
        <v>0</v>
      </c>
      <c r="Q63" s="1511">
        <f t="shared" ref="Q63" si="77">Q40-Q55</f>
        <v>0</v>
      </c>
      <c r="R63" s="1511">
        <f t="shared" ref="R63" si="78">R40-R55</f>
        <v>0</v>
      </c>
      <c r="S63" s="1511">
        <f t="shared" si="66"/>
        <v>0</v>
      </c>
      <c r="T63" s="1511">
        <f t="shared" ref="T63" si="79">T40-T55</f>
        <v>0</v>
      </c>
    </row>
    <row r="64" spans="2:23">
      <c r="B64" s="1207" t="s">
        <v>3411</v>
      </c>
      <c r="C64" s="1271">
        <f t="shared" ref="C64:K64" si="80">C41-C56</f>
        <v>13.688503388671279</v>
      </c>
      <c r="D64" s="1271">
        <f t="shared" si="80"/>
        <v>13.152976913730257</v>
      </c>
      <c r="E64" s="1271">
        <f t="shared" si="80"/>
        <v>14.798734177215195</v>
      </c>
      <c r="F64" s="1271">
        <f t="shared" si="80"/>
        <v>14.669547576564426</v>
      </c>
      <c r="G64" s="1271">
        <f t="shared" si="80"/>
        <v>14.1</v>
      </c>
      <c r="H64" s="1271">
        <f t="shared" si="80"/>
        <v>12.7</v>
      </c>
      <c r="I64" s="1271">
        <f t="shared" si="80"/>
        <v>24</v>
      </c>
      <c r="J64" s="1271">
        <f t="shared" si="80"/>
        <v>32.9</v>
      </c>
      <c r="K64" s="1271">
        <f t="shared" si="80"/>
        <v>33.200000000000003</v>
      </c>
      <c r="L64" s="1271">
        <f t="shared" si="61"/>
        <v>40.6</v>
      </c>
      <c r="M64" s="1271">
        <f t="shared" si="61"/>
        <v>37.799999999999997</v>
      </c>
      <c r="N64" s="1271">
        <f t="shared" ref="N64:O64" si="81">N41-N56</f>
        <v>39.1</v>
      </c>
      <c r="O64" s="1271">
        <f t="shared" si="81"/>
        <v>48.2</v>
      </c>
      <c r="P64" s="1271">
        <f t="shared" ref="P64" si="82">P41-P56</f>
        <v>51.1</v>
      </c>
      <c r="Q64" s="1271">
        <f t="shared" ref="Q64" si="83">Q41-Q56</f>
        <v>50.9</v>
      </c>
      <c r="R64" s="1271">
        <f t="shared" ref="R64" si="84">R41-R56</f>
        <v>58.9</v>
      </c>
      <c r="S64" s="1271">
        <f t="shared" si="66"/>
        <v>59.3</v>
      </c>
      <c r="T64" s="1271">
        <f t="shared" ref="T64" si="85">T41-T56</f>
        <v>53.4</v>
      </c>
    </row>
    <row r="65" spans="2:20">
      <c r="B65" s="1404" t="s">
        <v>5961</v>
      </c>
      <c r="C65" s="1512">
        <f t="shared" ref="C65:K65" si="86">C42-C57</f>
        <v>-12.8</v>
      </c>
      <c r="D65" s="1512">
        <f t="shared" si="86"/>
        <v>-9.6999999999999993</v>
      </c>
      <c r="E65" s="1512">
        <f t="shared" si="86"/>
        <v>-11.2</v>
      </c>
      <c r="F65" s="1512">
        <f t="shared" si="86"/>
        <v>-10.8</v>
      </c>
      <c r="G65" s="1512">
        <f t="shared" si="86"/>
        <v>-10.5</v>
      </c>
      <c r="H65" s="1512">
        <f t="shared" si="86"/>
        <v>-12.5</v>
      </c>
      <c r="I65" s="1512">
        <f t="shared" si="86"/>
        <v>-14.7</v>
      </c>
      <c r="J65" s="1512">
        <f t="shared" si="86"/>
        <v>-15.2</v>
      </c>
      <c r="K65" s="1512">
        <f t="shared" si="86"/>
        <v>-13.8</v>
      </c>
      <c r="L65" s="1512">
        <f t="shared" si="61"/>
        <v>-12.8</v>
      </c>
      <c r="M65" s="1512">
        <f t="shared" si="61"/>
        <v>-18.8</v>
      </c>
      <c r="N65" s="1512">
        <f t="shared" ref="N65:O65" si="87">N42-N57</f>
        <v>-26.1</v>
      </c>
      <c r="O65" s="1512">
        <f t="shared" si="87"/>
        <v>-20.399999999999999</v>
      </c>
      <c r="P65" s="1512">
        <f t="shared" ref="P65" si="88">P42-P57</f>
        <v>-23.6</v>
      </c>
      <c r="Q65" s="1512">
        <f t="shared" ref="Q65" si="89">Q42-Q57</f>
        <v>-11</v>
      </c>
      <c r="R65" s="1512">
        <f t="shared" ref="R65" si="90">R42-R57</f>
        <v>-18.100000000000001</v>
      </c>
      <c r="S65" s="1512">
        <f t="shared" si="66"/>
        <v>-19.8</v>
      </c>
      <c r="T65" s="1512">
        <f t="shared" ref="T65" si="91">T42-T57</f>
        <v>-20.3</v>
      </c>
    </row>
    <row r="66" spans="2:20">
      <c r="B66" s="1208" t="s">
        <v>90</v>
      </c>
      <c r="C66" s="1513">
        <f t="shared" ref="C66:K66" si="92">C43-C58</f>
        <v>363.9</v>
      </c>
      <c r="D66" s="1513">
        <f t="shared" si="92"/>
        <v>333</v>
      </c>
      <c r="E66" s="1513">
        <f t="shared" si="92"/>
        <v>360.2</v>
      </c>
      <c r="F66" s="1513">
        <f t="shared" si="92"/>
        <v>424</v>
      </c>
      <c r="G66" s="1513">
        <f t="shared" si="92"/>
        <v>451.3</v>
      </c>
      <c r="H66" s="1513">
        <f t="shared" si="92"/>
        <v>466</v>
      </c>
      <c r="I66" s="1513">
        <f t="shared" si="92"/>
        <v>447</v>
      </c>
      <c r="J66" s="1513">
        <f t="shared" si="92"/>
        <v>480.1</v>
      </c>
      <c r="K66" s="1513">
        <f t="shared" si="92"/>
        <v>445</v>
      </c>
      <c r="L66" s="1513">
        <f t="shared" si="61"/>
        <v>470.6</v>
      </c>
      <c r="M66" s="1513">
        <f t="shared" si="61"/>
        <v>423</v>
      </c>
      <c r="N66" s="1513">
        <f t="shared" ref="N66:O66" si="93">N43-N58</f>
        <v>411.2</v>
      </c>
      <c r="O66" s="1513">
        <f t="shared" si="93"/>
        <v>411.5</v>
      </c>
      <c r="P66" s="1513">
        <f t="shared" ref="P66" si="94">P43-P58</f>
        <v>450.3</v>
      </c>
      <c r="Q66" s="1513">
        <f t="shared" ref="Q66" si="95">Q43-Q58</f>
        <v>436.4</v>
      </c>
      <c r="R66" s="1513">
        <f t="shared" ref="R66" si="96">R43-R58</f>
        <v>438.9</v>
      </c>
      <c r="S66" s="1513">
        <f t="shared" si="66"/>
        <v>398.2</v>
      </c>
      <c r="T66" s="1513">
        <f t="shared" ref="T66" si="97">T43-T58</f>
        <v>389</v>
      </c>
    </row>
    <row r="67" spans="2:20">
      <c r="B67" s="1403"/>
      <c r="C67" s="1403"/>
      <c r="D67" s="1403"/>
      <c r="E67" s="1403"/>
      <c r="F67" s="1403"/>
      <c r="G67" s="1403"/>
      <c r="H67" s="1403"/>
      <c r="I67" s="1403"/>
      <c r="J67" s="1403"/>
      <c r="K67" s="1403"/>
      <c r="L67" s="1403"/>
      <c r="M67" s="1403"/>
      <c r="N67" s="1403"/>
      <c r="O67" s="1403"/>
      <c r="P67" s="1403"/>
      <c r="Q67" s="1403"/>
      <c r="R67" s="1403"/>
      <c r="S67" s="1403"/>
      <c r="T67" s="1403"/>
    </row>
    <row r="68" spans="2:20">
      <c r="B68" s="1210" t="s">
        <v>5965</v>
      </c>
      <c r="C68" s="1206" t="s">
        <v>4755</v>
      </c>
      <c r="D68" s="1206" t="s">
        <v>4922</v>
      </c>
      <c r="E68" s="1206" t="s">
        <v>5188</v>
      </c>
      <c r="F68" s="1206" t="s">
        <v>5371</v>
      </c>
      <c r="G68" s="1206" t="s">
        <v>5556</v>
      </c>
      <c r="H68" s="1206" t="s">
        <v>5696</v>
      </c>
      <c r="I68" s="1206" t="s">
        <v>5878</v>
      </c>
      <c r="J68" s="1515" t="str">
        <f t="shared" ref="J68:O68" si="98">J60</f>
        <v>Q4 21</v>
      </c>
      <c r="K68" s="1515" t="str">
        <f t="shared" si="98"/>
        <v>Q1 22</v>
      </c>
      <c r="L68" s="1515" t="str">
        <f t="shared" si="98"/>
        <v>Q2 22</v>
      </c>
      <c r="M68" s="1515" t="str">
        <f t="shared" si="98"/>
        <v>Q3 22</v>
      </c>
      <c r="N68" s="1515" t="str">
        <f t="shared" si="98"/>
        <v>Q4 22</v>
      </c>
      <c r="O68" s="1515" t="str">
        <f t="shared" si="98"/>
        <v>Q1 23</v>
      </c>
      <c r="P68" s="1515" t="str">
        <f t="shared" ref="P68" si="99">P60</f>
        <v>Q2 23</v>
      </c>
      <c r="Q68" s="1515" t="str">
        <f t="shared" ref="Q68" si="100">Q60</f>
        <v>Q3 23</v>
      </c>
      <c r="R68" s="1515" t="str">
        <f t="shared" ref="R68" si="101">R60</f>
        <v>Q4 23</v>
      </c>
      <c r="S68" s="1515" t="str">
        <f>S60</f>
        <v>Q1 24</v>
      </c>
      <c r="T68" s="1515" t="str">
        <f>T60</f>
        <v>Q2 24</v>
      </c>
    </row>
    <row r="69" spans="2:20">
      <c r="B69" s="1403" t="s">
        <v>29</v>
      </c>
      <c r="C69" s="1406">
        <f t="shared" ref="C69:K69" si="102">C61/C30</f>
        <v>0.39551478083588176</v>
      </c>
      <c r="D69" s="1406">
        <f t="shared" si="102"/>
        <v>0.39510964486706773</v>
      </c>
      <c r="E69" s="1406">
        <f t="shared" si="102"/>
        <v>0.40898125811838931</v>
      </c>
      <c r="F69" s="1406">
        <f t="shared" si="102"/>
        <v>0.41220825852782766</v>
      </c>
      <c r="G69" s="1406">
        <f t="shared" si="102"/>
        <v>0.40830010873504896</v>
      </c>
      <c r="H69" s="1406">
        <f t="shared" si="102"/>
        <v>0.41580633677465295</v>
      </c>
      <c r="I69" s="1406">
        <f t="shared" si="102"/>
        <v>0.40734824281150162</v>
      </c>
      <c r="J69" s="1406">
        <f t="shared" si="102"/>
        <v>0.41641190667739342</v>
      </c>
      <c r="K69" s="1406">
        <f t="shared" si="102"/>
        <v>0.39518317503392131</v>
      </c>
      <c r="L69" s="1406">
        <f t="shared" ref="L69:M72" si="103">L61/L30</f>
        <v>0.41334418226200148</v>
      </c>
      <c r="M69" s="1406">
        <f t="shared" si="103"/>
        <v>0.37616416732438834</v>
      </c>
      <c r="N69" s="1406">
        <f t="shared" ref="N69:O69" si="104">N61/N30</f>
        <v>0.39699725710985995</v>
      </c>
      <c r="O69" s="1406">
        <f t="shared" si="104"/>
        <v>0.39391525963682694</v>
      </c>
      <c r="P69" s="1406">
        <f t="shared" ref="P69" si="105">P61/P30</f>
        <v>0.42321183468049411</v>
      </c>
      <c r="Q69" s="1406">
        <f t="shared" ref="Q69" si="106">Q61/Q30</f>
        <v>0.4116671691287308</v>
      </c>
      <c r="R69" s="1406">
        <f t="shared" ref="R69" si="107">R61/R30</f>
        <v>0.42026239067055393</v>
      </c>
      <c r="S69" s="1406">
        <f>S61/S30</f>
        <v>0.41532949057485596</v>
      </c>
      <c r="T69" s="1406">
        <f>T61/T30</f>
        <v>0.41615541922290383</v>
      </c>
    </row>
    <row r="70" spans="2:20">
      <c r="B70" s="1207" t="s">
        <v>469</v>
      </c>
      <c r="C70" s="1236"/>
      <c r="D70" s="1236"/>
      <c r="E70" s="1236"/>
      <c r="F70" s="1236">
        <f>F62/F31</f>
        <v>0.39155405405405408</v>
      </c>
      <c r="G70" s="1236">
        <f t="shared" ref="G70:K70" si="108">G62/G31</f>
        <v>0.42042623858289513</v>
      </c>
      <c r="H70" s="1236">
        <f t="shared" si="108"/>
        <v>0.45338512763596001</v>
      </c>
      <c r="I70" s="1236">
        <f t="shared" si="108"/>
        <v>0.3926672264203751</v>
      </c>
      <c r="J70" s="1236">
        <f t="shared" si="108"/>
        <v>0.37845744680851068</v>
      </c>
      <c r="K70" s="1236">
        <f t="shared" si="108"/>
        <v>0.39604764482945315</v>
      </c>
      <c r="L70" s="1236">
        <f t="shared" si="103"/>
        <v>0.41417193078824499</v>
      </c>
      <c r="M70" s="1236">
        <f t="shared" si="103"/>
        <v>0.36658490051785231</v>
      </c>
      <c r="N70" s="1236">
        <f t="shared" ref="N70:O70" si="109">N62/N31</f>
        <v>0.33324317013794974</v>
      </c>
      <c r="O70" s="1236">
        <f t="shared" si="109"/>
        <v>0.3728813559322034</v>
      </c>
      <c r="P70" s="1236">
        <f t="shared" ref="P70" si="110">P62/P31</f>
        <v>0.41278409090909096</v>
      </c>
      <c r="Q70" s="1236">
        <f t="shared" ref="Q70" si="111">Q62/Q31</f>
        <v>0.35136674259681094</v>
      </c>
      <c r="R70" s="1236">
        <f t="shared" ref="R70" si="112">R62/R31</f>
        <v>0.31089108910891089</v>
      </c>
      <c r="S70" s="1236">
        <f>S62/S31</f>
        <v>0.28173753441419391</v>
      </c>
      <c r="T70" s="1236">
        <f>T62/T31</f>
        <v>0.23039533376539206</v>
      </c>
    </row>
    <row r="71" spans="2:20">
      <c r="B71" s="1403" t="s">
        <v>899</v>
      </c>
      <c r="C71" s="1406">
        <f t="shared" ref="C71:E72" si="113">C63/C32</f>
        <v>0.38684369342184666</v>
      </c>
      <c r="D71" s="1406">
        <f t="shared" si="113"/>
        <v>0.37933207309388783</v>
      </c>
      <c r="E71" s="1406">
        <f t="shared" si="113"/>
        <v>0.39149746192893398</v>
      </c>
      <c r="F71" s="1406">
        <f>F63/F32</f>
        <v>0.35931558935361207</v>
      </c>
      <c r="G71" s="1406">
        <f t="shared" ref="G71:K72" si="114">G63/G32</f>
        <v>0.3352353780313837</v>
      </c>
      <c r="H71" s="1406">
        <f t="shared" si="114"/>
        <v>0.32823698041089344</v>
      </c>
      <c r="I71" s="1406">
        <f t="shared" si="114"/>
        <v>0.3371310201967892</v>
      </c>
      <c r="J71" s="1406">
        <f t="shared" si="114"/>
        <v>0.31636155606407318</v>
      </c>
      <c r="K71" s="1406">
        <f t="shared" si="114"/>
        <v>0.27224824355971894</v>
      </c>
      <c r="L71" s="1406">
        <f t="shared" si="103"/>
        <v>0.25266666666666665</v>
      </c>
      <c r="M71" s="1406">
        <f t="shared" si="103"/>
        <v>0.24036979969183356</v>
      </c>
      <c r="N71" s="1406"/>
      <c r="O71" s="1406"/>
      <c r="P71" s="1406"/>
      <c r="Q71" s="1406"/>
      <c r="R71" s="1406"/>
      <c r="S71" s="1406"/>
      <c r="T71" s="1406"/>
    </row>
    <row r="72" spans="2:20">
      <c r="B72" s="1211" t="s">
        <v>3411</v>
      </c>
      <c r="C72" s="1516">
        <f t="shared" si="113"/>
        <v>0.40208369138179761</v>
      </c>
      <c r="D72" s="1516">
        <f t="shared" si="113"/>
        <v>0.37721233155963502</v>
      </c>
      <c r="E72" s="1516">
        <f t="shared" si="113"/>
        <v>0.39562112957260348</v>
      </c>
      <c r="F72" s="1516">
        <f>F64/F33</f>
        <v>0.4008257357424207</v>
      </c>
      <c r="G72" s="1516">
        <f t="shared" si="114"/>
        <v>0.38950276243093918</v>
      </c>
      <c r="H72" s="1516">
        <f t="shared" si="114"/>
        <v>0.34986225895316803</v>
      </c>
      <c r="I72" s="1516">
        <f t="shared" si="114"/>
        <v>0.3120936280884265</v>
      </c>
      <c r="J72" s="1516">
        <f t="shared" si="114"/>
        <v>0.30805243445692881</v>
      </c>
      <c r="K72" s="1516">
        <f t="shared" si="114"/>
        <v>0.30912476722532589</v>
      </c>
      <c r="L72" s="1516">
        <f t="shared" si="103"/>
        <v>0.37592592592592594</v>
      </c>
      <c r="M72" s="1516">
        <f t="shared" si="103"/>
        <v>0.34615384615384615</v>
      </c>
      <c r="N72" s="1516">
        <f t="shared" ref="N72:O72" si="115">N64/N33</f>
        <v>0.33504712939160242</v>
      </c>
      <c r="O72" s="1516">
        <f t="shared" si="115"/>
        <v>0.37306501547987619</v>
      </c>
      <c r="P72" s="1516">
        <f t="shared" ref="P72" si="116">P64/P33</f>
        <v>0.37795857988165682</v>
      </c>
      <c r="Q72" s="1516">
        <f t="shared" ref="Q72" si="117">Q64/Q33</f>
        <v>0.37815750371471024</v>
      </c>
      <c r="R72" s="1516">
        <f t="shared" ref="R72" si="118">R64/R33</f>
        <v>0.39556749496306243</v>
      </c>
      <c r="S72" s="1516">
        <f>S64/S33</f>
        <v>0.38936309914642148</v>
      </c>
      <c r="T72" s="1516">
        <f>T64/T33</f>
        <v>0.36277173913043481</v>
      </c>
    </row>
    <row r="73" spans="2:20">
      <c r="B73" s="1517" t="s">
        <v>90</v>
      </c>
      <c r="C73" s="1258">
        <f t="shared" ref="C73:K73" si="119">C66/C35</f>
        <v>0.39087003222341565</v>
      </c>
      <c r="D73" s="1258">
        <f t="shared" si="119"/>
        <v>0.392226148409894</v>
      </c>
      <c r="E73" s="1258">
        <f t="shared" si="119"/>
        <v>0.4056306306306306</v>
      </c>
      <c r="F73" s="1258">
        <f t="shared" si="119"/>
        <v>0.38650865998176848</v>
      </c>
      <c r="G73" s="1258">
        <f t="shared" si="119"/>
        <v>0.38908526597120441</v>
      </c>
      <c r="H73" s="1258">
        <f t="shared" si="119"/>
        <v>0.39897260273972601</v>
      </c>
      <c r="I73" s="1258">
        <f t="shared" si="119"/>
        <v>0.375</v>
      </c>
      <c r="J73" s="1258">
        <f t="shared" si="119"/>
        <v>0.37537138389366692</v>
      </c>
      <c r="K73" s="1258">
        <f t="shared" si="119"/>
        <v>0.36505332239540605</v>
      </c>
      <c r="L73" s="1258">
        <f t="shared" ref="L73:P73" si="120">L66/L35</f>
        <v>0.38637110016420362</v>
      </c>
      <c r="M73" s="1258">
        <f t="shared" si="120"/>
        <v>0.34615384615384615</v>
      </c>
      <c r="N73" s="1258">
        <f t="shared" si="120"/>
        <v>0.35426897561816145</v>
      </c>
      <c r="O73" s="1258">
        <f t="shared" si="120"/>
        <v>0.37273550724637683</v>
      </c>
      <c r="P73" s="1258">
        <f t="shared" si="120"/>
        <v>0.40097951914514696</v>
      </c>
      <c r="Q73" s="1258">
        <f t="shared" ref="Q73" si="121">Q66/Q35</f>
        <v>0.38763545922899273</v>
      </c>
      <c r="R73" s="1258">
        <f t="shared" ref="R73" si="122">R66/R35</f>
        <v>0.37706185567010309</v>
      </c>
      <c r="S73" s="1258">
        <f>S66/S35</f>
        <v>0.36232939035486805</v>
      </c>
      <c r="T73" s="1258">
        <f>T66/T35</f>
        <v>0.34794275491949911</v>
      </c>
    </row>
    <row r="74" spans="2:20">
      <c r="B74" s="1207"/>
      <c r="C74" s="1207"/>
      <c r="D74" s="1207"/>
      <c r="E74" s="1207"/>
      <c r="F74" s="1207"/>
      <c r="G74" s="1207"/>
      <c r="H74" s="1207"/>
      <c r="I74" s="1207"/>
      <c r="J74" s="1207"/>
      <c r="K74" s="1207"/>
      <c r="L74" s="1207"/>
      <c r="M74" s="1207"/>
      <c r="N74" s="1207"/>
      <c r="O74" s="1207"/>
      <c r="P74" s="1207"/>
      <c r="Q74" s="1207"/>
      <c r="R74" s="1207"/>
    </row>
    <row r="75" spans="2:20">
      <c r="B75" s="1210" t="s">
        <v>5966</v>
      </c>
      <c r="C75" s="1515" t="s">
        <v>4755</v>
      </c>
      <c r="D75" s="1515" t="s">
        <v>4922</v>
      </c>
      <c r="E75" s="1515" t="s">
        <v>5188</v>
      </c>
      <c r="F75" s="1515" t="s">
        <v>5371</v>
      </c>
      <c r="G75" s="1515" t="s">
        <v>5556</v>
      </c>
      <c r="H75" s="1515" t="s">
        <v>5696</v>
      </c>
      <c r="I75" s="1515" t="s">
        <v>5878</v>
      </c>
      <c r="J75" s="1515" t="str">
        <f t="shared" ref="J75:O75" si="123">J68</f>
        <v>Q4 21</v>
      </c>
      <c r="K75" s="1515" t="str">
        <f t="shared" si="123"/>
        <v>Q1 22</v>
      </c>
      <c r="L75" s="1515" t="str">
        <f t="shared" si="123"/>
        <v>Q2 22</v>
      </c>
      <c r="M75" s="1515" t="str">
        <f t="shared" si="123"/>
        <v>Q3 22</v>
      </c>
      <c r="N75" s="1515" t="str">
        <f t="shared" si="123"/>
        <v>Q4 22</v>
      </c>
      <c r="O75" s="1515" t="str">
        <f t="shared" si="123"/>
        <v>Q1 23</v>
      </c>
      <c r="P75" s="1515" t="str">
        <f t="shared" ref="P75:Q75" si="124">P68</f>
        <v>Q2 23</v>
      </c>
      <c r="Q75" s="1515" t="str">
        <f t="shared" si="124"/>
        <v>Q3 23</v>
      </c>
      <c r="R75" s="1515" t="str">
        <f t="shared" ref="R75:S75" si="125">R68</f>
        <v>Q4 23</v>
      </c>
      <c r="S75" s="1515" t="str">
        <f t="shared" si="125"/>
        <v>Q1 24</v>
      </c>
      <c r="T75" s="1515" t="str">
        <f t="shared" ref="T75" si="126">T68</f>
        <v>Q2 24</v>
      </c>
    </row>
    <row r="76" spans="2:20">
      <c r="B76" s="1207" t="s">
        <v>29</v>
      </c>
      <c r="C76" s="1271"/>
      <c r="D76" s="1271"/>
      <c r="E76" s="1271"/>
      <c r="F76" s="1271"/>
      <c r="G76" s="1271"/>
      <c r="H76" s="1271"/>
      <c r="I76" s="1271"/>
      <c r="J76" s="1271"/>
      <c r="K76" s="1271"/>
      <c r="L76" s="1271"/>
      <c r="M76" s="1271"/>
      <c r="N76" s="1271"/>
      <c r="O76" s="1271"/>
      <c r="P76" s="1271"/>
      <c r="Q76" s="1271"/>
      <c r="R76" s="1271"/>
      <c r="S76" s="1271"/>
      <c r="T76" s="1271"/>
    </row>
    <row r="77" spans="2:20">
      <c r="B77" s="1207" t="s">
        <v>469</v>
      </c>
      <c r="C77" s="1271"/>
      <c r="D77" s="1271"/>
      <c r="E77" s="1271"/>
      <c r="F77" s="1271"/>
      <c r="G77" s="1271"/>
      <c r="H77" s="1271"/>
      <c r="I77" s="1271"/>
      <c r="J77" s="1271"/>
      <c r="K77" s="1271">
        <f>'New quarts'!AM263</f>
        <v>0</v>
      </c>
      <c r="L77" s="1271">
        <f>'New quarts'!AN263</f>
        <v>0</v>
      </c>
      <c r="M77" s="1271">
        <f>'New quarts'!AO263</f>
        <v>0</v>
      </c>
      <c r="N77" s="1271">
        <f>'New quarts'!AP263</f>
        <v>0</v>
      </c>
      <c r="O77" s="1271">
        <f>'New quarts'!AR263</f>
        <v>0</v>
      </c>
      <c r="P77" s="1271">
        <f>'New quarts'!AS263</f>
        <v>0</v>
      </c>
      <c r="Q77" s="1271">
        <f>'New quarts'!AT263</f>
        <v>0</v>
      </c>
      <c r="R77" s="1271">
        <f>'New quarts'!AU263</f>
        <v>0</v>
      </c>
      <c r="S77" s="1271">
        <f>'New quarts'!AV263</f>
        <v>0</v>
      </c>
      <c r="T77" s="1271">
        <f>'New quarts'!AW263</f>
        <v>0</v>
      </c>
    </row>
    <row r="78" spans="2:20">
      <c r="B78" s="1207" t="s">
        <v>899</v>
      </c>
      <c r="C78" s="1271"/>
      <c r="D78" s="1271"/>
      <c r="E78" s="1271"/>
      <c r="F78" s="1271"/>
      <c r="G78" s="1271"/>
      <c r="H78" s="1271"/>
      <c r="I78" s="1271"/>
      <c r="J78" s="1271"/>
      <c r="K78" s="1271"/>
      <c r="L78" s="1271"/>
      <c r="M78" s="1271"/>
      <c r="N78" s="1271"/>
      <c r="O78" s="1271"/>
      <c r="P78" s="1271"/>
      <c r="Q78" s="1271"/>
      <c r="R78" s="1271"/>
      <c r="S78" s="1271"/>
      <c r="T78" s="1271"/>
    </row>
    <row r="79" spans="2:20">
      <c r="B79" s="1207" t="s">
        <v>3411</v>
      </c>
      <c r="C79" s="1271"/>
      <c r="D79" s="1271"/>
      <c r="E79" s="1271"/>
      <c r="F79" s="1271"/>
      <c r="G79" s="1271"/>
      <c r="H79" s="1271"/>
      <c r="I79" s="1271"/>
      <c r="J79" s="1271"/>
      <c r="K79" s="1271">
        <f>'New quarts'!AM270</f>
        <v>0</v>
      </c>
      <c r="L79" s="1271">
        <f>'New quarts'!AN270</f>
        <v>0</v>
      </c>
      <c r="M79" s="1271">
        <f>'New quarts'!AO270</f>
        <v>0</v>
      </c>
      <c r="N79" s="1271">
        <f>'New quarts'!AP270</f>
        <v>0</v>
      </c>
      <c r="O79" s="1271">
        <f>'New quarts'!AR270</f>
        <v>0</v>
      </c>
      <c r="P79" s="1271">
        <f>'New quarts'!AS270</f>
        <v>0</v>
      </c>
      <c r="Q79" s="1271">
        <f>'New quarts'!AT270</f>
        <v>0</v>
      </c>
      <c r="R79" s="1271">
        <f>'New quarts'!AU270</f>
        <v>0</v>
      </c>
      <c r="S79" s="1271">
        <f>'New quarts'!AV270</f>
        <v>0</v>
      </c>
      <c r="T79" s="1271">
        <f>'New quarts'!AW270</f>
        <v>0</v>
      </c>
    </row>
    <row r="80" spans="2:20">
      <c r="B80" s="1211" t="s">
        <v>5961</v>
      </c>
      <c r="C80" s="1272"/>
      <c r="D80" s="1272"/>
      <c r="E80" s="1272"/>
      <c r="F80" s="1272"/>
      <c r="G80" s="1272"/>
      <c r="H80" s="1272"/>
      <c r="I80" s="1272"/>
      <c r="J80" s="1272"/>
      <c r="K80" s="1272"/>
      <c r="L80" s="1272"/>
      <c r="M80" s="1272"/>
      <c r="N80" s="1272"/>
      <c r="O80" s="1272"/>
      <c r="P80" s="1272"/>
      <c r="Q80" s="1272"/>
      <c r="R80" s="1272"/>
      <c r="S80" s="1272"/>
      <c r="T80" s="1272"/>
    </row>
    <row r="81" spans="2:24">
      <c r="B81" s="1208" t="s">
        <v>90</v>
      </c>
      <c r="C81" s="1513">
        <f t="shared" ref="C81:K81" si="127">SUM(C76:C80)</f>
        <v>0</v>
      </c>
      <c r="D81" s="1513">
        <f t="shared" si="127"/>
        <v>0</v>
      </c>
      <c r="E81" s="1513">
        <f t="shared" si="127"/>
        <v>0</v>
      </c>
      <c r="F81" s="1513">
        <f t="shared" si="127"/>
        <v>0</v>
      </c>
      <c r="G81" s="1513">
        <f t="shared" si="127"/>
        <v>0</v>
      </c>
      <c r="H81" s="1513">
        <f t="shared" si="127"/>
        <v>0</v>
      </c>
      <c r="I81" s="1513">
        <f t="shared" si="127"/>
        <v>0</v>
      </c>
      <c r="J81" s="1513">
        <f t="shared" si="127"/>
        <v>0</v>
      </c>
      <c r="K81" s="1513">
        <f t="shared" si="127"/>
        <v>0</v>
      </c>
      <c r="L81" s="1513">
        <f t="shared" ref="L81:Q81" si="128">SUM(L76:L80)</f>
        <v>0</v>
      </c>
      <c r="M81" s="1513">
        <f t="shared" si="128"/>
        <v>0</v>
      </c>
      <c r="N81" s="1513">
        <f t="shared" si="128"/>
        <v>0</v>
      </c>
      <c r="O81" s="1513">
        <f t="shared" si="128"/>
        <v>0</v>
      </c>
      <c r="P81" s="1513">
        <f t="shared" si="128"/>
        <v>0</v>
      </c>
      <c r="Q81" s="1513">
        <f t="shared" si="128"/>
        <v>0</v>
      </c>
      <c r="R81" s="1513">
        <f t="shared" ref="R81:S81" si="129">SUM(R76:R80)</f>
        <v>0</v>
      </c>
      <c r="S81" s="1513">
        <f t="shared" si="129"/>
        <v>0</v>
      </c>
      <c r="T81" s="1513">
        <f t="shared" ref="T81" si="130">SUM(T76:T80)</f>
        <v>0</v>
      </c>
    </row>
    <row r="82" spans="2:24">
      <c r="B82" s="1207"/>
      <c r="C82" s="1271"/>
      <c r="D82" s="1271"/>
      <c r="E82" s="1271"/>
      <c r="F82" s="1271"/>
      <c r="G82" s="1271"/>
      <c r="H82" s="1271"/>
      <c r="I82" s="1271"/>
      <c r="J82" s="1271"/>
      <c r="K82" s="1271"/>
      <c r="L82" s="1271"/>
      <c r="M82" s="1271"/>
      <c r="N82" s="1271"/>
      <c r="O82" s="1271"/>
      <c r="P82" s="1271"/>
      <c r="Q82" s="1271"/>
      <c r="R82" s="1271"/>
      <c r="S82" s="1271"/>
      <c r="T82" s="1271"/>
    </row>
    <row r="83" spans="2:24">
      <c r="B83" s="1210" t="s">
        <v>5967</v>
      </c>
      <c r="C83" s="1515" t="s">
        <v>4755</v>
      </c>
      <c r="D83" s="1515" t="s">
        <v>4922</v>
      </c>
      <c r="E83" s="1515" t="s">
        <v>5188</v>
      </c>
      <c r="F83" s="1515" t="s">
        <v>5371</v>
      </c>
      <c r="G83" s="1515" t="s">
        <v>5556</v>
      </c>
      <c r="H83" s="1515" t="s">
        <v>5696</v>
      </c>
      <c r="I83" s="1515" t="s">
        <v>5878</v>
      </c>
      <c r="J83" s="1515" t="str">
        <f t="shared" ref="J83:O83" si="131">J75</f>
        <v>Q4 21</v>
      </c>
      <c r="K83" s="1515" t="str">
        <f t="shared" si="131"/>
        <v>Q1 22</v>
      </c>
      <c r="L83" s="1515" t="str">
        <f t="shared" si="131"/>
        <v>Q2 22</v>
      </c>
      <c r="M83" s="1515" t="str">
        <f t="shared" si="131"/>
        <v>Q3 22</v>
      </c>
      <c r="N83" s="1515" t="str">
        <f t="shared" si="131"/>
        <v>Q4 22</v>
      </c>
      <c r="O83" s="1515" t="str">
        <f t="shared" si="131"/>
        <v>Q1 23</v>
      </c>
      <c r="P83" s="1515" t="str">
        <f t="shared" ref="P83:Q83" si="132">P75</f>
        <v>Q2 23</v>
      </c>
      <c r="Q83" s="1515" t="str">
        <f t="shared" si="132"/>
        <v>Q3 23</v>
      </c>
      <c r="R83" s="1515" t="str">
        <f t="shared" ref="R83:S83" si="133">R75</f>
        <v>Q4 23</v>
      </c>
      <c r="S83" s="1515" t="str">
        <f t="shared" si="133"/>
        <v>Q1 24</v>
      </c>
      <c r="T83" s="1515" t="str">
        <f t="shared" ref="T83" si="134">T75</f>
        <v>Q2 24</v>
      </c>
    </row>
    <row r="84" spans="2:24">
      <c r="B84" s="1207" t="s">
        <v>29</v>
      </c>
      <c r="C84" s="1271">
        <f t="shared" ref="C84:K84" si="135">C61-C76</f>
        <v>232.8</v>
      </c>
      <c r="D84" s="1271">
        <f t="shared" si="135"/>
        <v>203.6</v>
      </c>
      <c r="E84" s="1271">
        <f t="shared" si="135"/>
        <v>220.4</v>
      </c>
      <c r="F84" s="1271">
        <f t="shared" si="135"/>
        <v>229.6</v>
      </c>
      <c r="G84" s="1271">
        <f t="shared" si="135"/>
        <v>225.3</v>
      </c>
      <c r="H84" s="1271">
        <f t="shared" si="135"/>
        <v>233.6</v>
      </c>
      <c r="I84" s="1271">
        <f t="shared" si="135"/>
        <v>229.5</v>
      </c>
      <c r="J84" s="1271">
        <f t="shared" si="135"/>
        <v>258.8</v>
      </c>
      <c r="K84" s="1271">
        <f t="shared" si="135"/>
        <v>233</v>
      </c>
      <c r="L84" s="1271">
        <f t="shared" ref="L84:M89" si="136">L61-L76</f>
        <v>254</v>
      </c>
      <c r="M84" s="1271">
        <f t="shared" si="136"/>
        <v>238.3</v>
      </c>
      <c r="N84" s="1271">
        <f t="shared" ref="N84:O84" si="137">N61-N76</f>
        <v>275</v>
      </c>
      <c r="O84" s="1271">
        <f t="shared" si="137"/>
        <v>247.29999999999998</v>
      </c>
      <c r="P84" s="1271">
        <f t="shared" ref="P84:Q84" si="138">P61-P76</f>
        <v>277.5</v>
      </c>
      <c r="Q84" s="1271">
        <f t="shared" si="138"/>
        <v>273.10000000000002</v>
      </c>
      <c r="R84" s="1271">
        <f t="shared" ref="R84:S84" si="139">R61-R76</f>
        <v>288.3</v>
      </c>
      <c r="S84" s="1271">
        <f t="shared" si="139"/>
        <v>266.60000000000002</v>
      </c>
      <c r="T84" s="1271">
        <f t="shared" ref="T84" si="140">T61-T76</f>
        <v>284.89999999999998</v>
      </c>
    </row>
    <row r="85" spans="2:24">
      <c r="B85" s="1207" t="s">
        <v>469</v>
      </c>
      <c r="C85" s="1271"/>
      <c r="D85" s="1271"/>
      <c r="E85" s="1271"/>
      <c r="F85" s="1271">
        <f t="shared" ref="F85:K85" si="141">F62-F77</f>
        <v>115.9</v>
      </c>
      <c r="G85" s="1271">
        <f t="shared" si="141"/>
        <v>151.9</v>
      </c>
      <c r="H85" s="1271">
        <f t="shared" si="141"/>
        <v>163.4</v>
      </c>
      <c r="I85" s="1271">
        <f t="shared" si="141"/>
        <v>140.30000000000001</v>
      </c>
      <c r="J85" s="1271">
        <f t="shared" si="141"/>
        <v>142.30000000000001</v>
      </c>
      <c r="K85" s="1271">
        <f t="shared" si="141"/>
        <v>146.30000000000001</v>
      </c>
      <c r="L85" s="1271">
        <f t="shared" si="136"/>
        <v>150.80000000000001</v>
      </c>
      <c r="M85" s="1271">
        <f t="shared" si="136"/>
        <v>134.5</v>
      </c>
      <c r="N85" s="1271">
        <f t="shared" ref="N85:O85" si="142">N62-N77</f>
        <v>123.2</v>
      </c>
      <c r="O85" s="1271">
        <f t="shared" si="142"/>
        <v>136.4</v>
      </c>
      <c r="P85" s="1271">
        <f t="shared" ref="P85:Q85" si="143">P62-P77</f>
        <v>145.30000000000001</v>
      </c>
      <c r="Q85" s="1271">
        <f t="shared" si="143"/>
        <v>123.4</v>
      </c>
      <c r="R85" s="1271">
        <f t="shared" ref="R85:S85" si="144">R62-R77</f>
        <v>109.9</v>
      </c>
      <c r="S85" s="1271">
        <f t="shared" si="144"/>
        <v>92.1</v>
      </c>
      <c r="T85" s="1271">
        <f t="shared" ref="T85" si="145">T62-T77</f>
        <v>71.099999999999994</v>
      </c>
    </row>
    <row r="86" spans="2:24">
      <c r="B86" s="1207" t="s">
        <v>899</v>
      </c>
      <c r="C86" s="1271">
        <f t="shared" ref="C86:E89" si="146">C63-C78</f>
        <v>79.711496611328727</v>
      </c>
      <c r="D86" s="1271">
        <f t="shared" si="146"/>
        <v>73.147023086269741</v>
      </c>
      <c r="E86" s="1271">
        <f t="shared" si="146"/>
        <v>78.101265822784811</v>
      </c>
      <c r="F86" s="1271">
        <f t="shared" ref="F86:K86" si="147">F63-F78</f>
        <v>74.630452423435571</v>
      </c>
      <c r="G86" s="1271">
        <f t="shared" si="147"/>
        <v>70.5</v>
      </c>
      <c r="H86" s="1271">
        <f t="shared" si="147"/>
        <v>68.7</v>
      </c>
      <c r="I86" s="1271">
        <f t="shared" si="147"/>
        <v>65.099999999999994</v>
      </c>
      <c r="J86" s="1271">
        <f t="shared" si="147"/>
        <v>55.3</v>
      </c>
      <c r="K86" s="1271">
        <f t="shared" si="147"/>
        <v>46.5</v>
      </c>
      <c r="L86" s="1271">
        <f t="shared" si="136"/>
        <v>37.9</v>
      </c>
      <c r="M86" s="1271">
        <f t="shared" si="136"/>
        <v>31.2</v>
      </c>
      <c r="N86" s="1271">
        <f t="shared" ref="N86:O86" si="148">N63-N78</f>
        <v>0</v>
      </c>
      <c r="O86" s="1271">
        <f t="shared" si="148"/>
        <v>0</v>
      </c>
      <c r="P86" s="1271">
        <f t="shared" ref="P86:Q86" si="149">P63-P78</f>
        <v>0</v>
      </c>
      <c r="Q86" s="1271">
        <f t="shared" si="149"/>
        <v>0</v>
      </c>
      <c r="R86" s="1271">
        <f t="shared" ref="R86:S86" si="150">R63-R78</f>
        <v>0</v>
      </c>
      <c r="S86" s="1271">
        <f t="shared" si="150"/>
        <v>0</v>
      </c>
      <c r="T86" s="1271">
        <f t="shared" ref="T86" si="151">T63-T78</f>
        <v>0</v>
      </c>
    </row>
    <row r="87" spans="2:24">
      <c r="B87" s="1207" t="s">
        <v>3411</v>
      </c>
      <c r="C87" s="1271">
        <f t="shared" si="146"/>
        <v>13.688503388671279</v>
      </c>
      <c r="D87" s="1271">
        <f t="shared" si="146"/>
        <v>13.152976913730257</v>
      </c>
      <c r="E87" s="1271">
        <f t="shared" si="146"/>
        <v>14.798734177215195</v>
      </c>
      <c r="F87" s="1271">
        <f t="shared" ref="F87:K87" si="152">F64-F79</f>
        <v>14.669547576564426</v>
      </c>
      <c r="G87" s="1271">
        <f t="shared" si="152"/>
        <v>14.1</v>
      </c>
      <c r="H87" s="1271">
        <f t="shared" si="152"/>
        <v>12.7</v>
      </c>
      <c r="I87" s="1271">
        <f t="shared" si="152"/>
        <v>24</v>
      </c>
      <c r="J87" s="1271">
        <f t="shared" si="152"/>
        <v>32.9</v>
      </c>
      <c r="K87" s="1271">
        <f t="shared" si="152"/>
        <v>33.200000000000003</v>
      </c>
      <c r="L87" s="1271">
        <f t="shared" si="136"/>
        <v>40.6</v>
      </c>
      <c r="M87" s="1271">
        <f t="shared" si="136"/>
        <v>37.799999999999997</v>
      </c>
      <c r="N87" s="1271">
        <f t="shared" ref="N87:O87" si="153">N64-N79</f>
        <v>39.1</v>
      </c>
      <c r="O87" s="1271">
        <f t="shared" si="153"/>
        <v>48.2</v>
      </c>
      <c r="P87" s="1271">
        <f t="shared" ref="P87:Q87" si="154">P64-P79</f>
        <v>51.1</v>
      </c>
      <c r="Q87" s="1271">
        <f t="shared" si="154"/>
        <v>50.9</v>
      </c>
      <c r="R87" s="1271">
        <f t="shared" ref="R87:S87" si="155">R64-R79</f>
        <v>58.9</v>
      </c>
      <c r="S87" s="1271">
        <f t="shared" si="155"/>
        <v>59.3</v>
      </c>
      <c r="T87" s="1271">
        <f t="shared" ref="T87" si="156">T64-T79</f>
        <v>53.4</v>
      </c>
    </row>
    <row r="88" spans="2:24">
      <c r="B88" s="1211" t="s">
        <v>5961</v>
      </c>
      <c r="C88" s="1272">
        <f t="shared" si="146"/>
        <v>-12.8</v>
      </c>
      <c r="D88" s="1272">
        <f t="shared" si="146"/>
        <v>-9.6999999999999993</v>
      </c>
      <c r="E88" s="1272">
        <f t="shared" si="146"/>
        <v>-11.2</v>
      </c>
      <c r="F88" s="1272">
        <f t="shared" ref="F88:K88" si="157">F65-F80</f>
        <v>-10.8</v>
      </c>
      <c r="G88" s="1272">
        <f t="shared" si="157"/>
        <v>-10.5</v>
      </c>
      <c r="H88" s="1272">
        <f t="shared" si="157"/>
        <v>-12.5</v>
      </c>
      <c r="I88" s="1272">
        <f t="shared" si="157"/>
        <v>-14.7</v>
      </c>
      <c r="J88" s="1272">
        <f t="shared" si="157"/>
        <v>-15.2</v>
      </c>
      <c r="K88" s="1272">
        <f t="shared" si="157"/>
        <v>-13.8</v>
      </c>
      <c r="L88" s="1272">
        <f t="shared" si="136"/>
        <v>-12.8</v>
      </c>
      <c r="M88" s="1272">
        <f t="shared" si="136"/>
        <v>-18.8</v>
      </c>
      <c r="N88" s="1272">
        <f t="shared" ref="N88:O88" si="158">N65-N80</f>
        <v>-26.1</v>
      </c>
      <c r="O88" s="1272">
        <f t="shared" si="158"/>
        <v>-20.399999999999999</v>
      </c>
      <c r="P88" s="1272">
        <f t="shared" ref="P88:Q88" si="159">P65-P80</f>
        <v>-23.6</v>
      </c>
      <c r="Q88" s="1272">
        <f t="shared" si="159"/>
        <v>-11</v>
      </c>
      <c r="R88" s="1272">
        <f t="shared" ref="R88:S88" si="160">R65-R80</f>
        <v>-18.100000000000001</v>
      </c>
      <c r="S88" s="1272">
        <f t="shared" si="160"/>
        <v>-19.8</v>
      </c>
      <c r="T88" s="1272">
        <f t="shared" ref="T88" si="161">T65-T80</f>
        <v>-20.3</v>
      </c>
    </row>
    <row r="89" spans="2:24">
      <c r="B89" s="1207" t="s">
        <v>90</v>
      </c>
      <c r="C89" s="1271">
        <f t="shared" si="146"/>
        <v>363.9</v>
      </c>
      <c r="D89" s="1271">
        <f t="shared" si="146"/>
        <v>333</v>
      </c>
      <c r="E89" s="1271">
        <f t="shared" si="146"/>
        <v>360.2</v>
      </c>
      <c r="F89" s="1271">
        <f t="shared" ref="F89:K89" si="162">F66-F81</f>
        <v>424</v>
      </c>
      <c r="G89" s="1271">
        <f t="shared" si="162"/>
        <v>451.3</v>
      </c>
      <c r="H89" s="1271">
        <f t="shared" si="162"/>
        <v>466</v>
      </c>
      <c r="I89" s="1271">
        <f t="shared" si="162"/>
        <v>447</v>
      </c>
      <c r="J89" s="1271">
        <f t="shared" si="162"/>
        <v>480.1</v>
      </c>
      <c r="K89" s="1271">
        <f t="shared" si="162"/>
        <v>445</v>
      </c>
      <c r="L89" s="1271">
        <f t="shared" si="136"/>
        <v>470.6</v>
      </c>
      <c r="M89" s="1271">
        <f t="shared" si="136"/>
        <v>423</v>
      </c>
      <c r="N89" s="1271">
        <f t="shared" ref="N89:O89" si="163">N66-N81</f>
        <v>411.2</v>
      </c>
      <c r="O89" s="1271">
        <f t="shared" si="163"/>
        <v>411.5</v>
      </c>
      <c r="P89" s="1271">
        <f t="shared" ref="P89:Q89" si="164">P66-P81</f>
        <v>450.3</v>
      </c>
      <c r="Q89" s="1271">
        <f t="shared" si="164"/>
        <v>436.4</v>
      </c>
      <c r="R89" s="1271">
        <f t="shared" ref="R89:S89" si="165">R66-R81</f>
        <v>438.9</v>
      </c>
      <c r="S89" s="1271">
        <f t="shared" si="165"/>
        <v>398.2</v>
      </c>
      <c r="T89" s="1271">
        <f t="shared" ref="T89" si="166">T66-T81</f>
        <v>389</v>
      </c>
    </row>
    <row r="93" spans="2:24">
      <c r="B93" s="1169"/>
      <c r="C93" s="1171"/>
      <c r="D93" s="1171"/>
      <c r="E93" s="1171"/>
      <c r="F93" s="1170"/>
      <c r="I93" s="1172"/>
      <c r="J93" s="1171"/>
    </row>
    <row r="94" spans="2:24">
      <c r="B94" s="1169" t="s">
        <v>984</v>
      </c>
      <c r="C94" s="1171"/>
      <c r="D94" s="1171"/>
      <c r="E94" s="1171"/>
      <c r="F94" s="1170"/>
      <c r="I94" s="1172"/>
      <c r="J94" s="1171"/>
    </row>
    <row r="95" spans="2:24">
      <c r="B95" s="1169" t="s">
        <v>6065</v>
      </c>
      <c r="C95" s="1171"/>
      <c r="D95" s="1171"/>
      <c r="E95" s="1171"/>
      <c r="F95" s="1170"/>
      <c r="I95" s="1172"/>
      <c r="J95" s="1171"/>
      <c r="K95">
        <v>189.5</v>
      </c>
      <c r="L95">
        <v>182.3</v>
      </c>
      <c r="M95">
        <v>177.3</v>
      </c>
      <c r="N95" s="62">
        <f>734.3-K95-L95-M95</f>
        <v>185.19999999999993</v>
      </c>
      <c r="O95" s="62">
        <v>180</v>
      </c>
      <c r="P95">
        <v>175.5</v>
      </c>
      <c r="Q95">
        <v>176.3</v>
      </c>
      <c r="R95" s="62">
        <f>716.4-O95-P95-Q95</f>
        <v>184.59999999999997</v>
      </c>
      <c r="S95" s="62">
        <f>'New quarts'!AR39</f>
        <v>175.10000000000002</v>
      </c>
      <c r="T95" s="62">
        <f>'New quarts'!AS39</f>
        <v>157.69999999999999</v>
      </c>
      <c r="U95" s="62">
        <f>'New quarts'!AT39</f>
        <v>158.1</v>
      </c>
      <c r="V95" s="62">
        <f>'New quarts'!AU39</f>
        <v>157.79999999999998</v>
      </c>
      <c r="W95" s="62">
        <f>'New quarts'!AW39</f>
        <v>138</v>
      </c>
      <c r="X95" s="62">
        <f>'New quarts'!AX39</f>
        <v>122.6</v>
      </c>
    </row>
    <row r="96" spans="2:24">
      <c r="B96" s="1169" t="s">
        <v>6068</v>
      </c>
      <c r="C96" s="1171"/>
      <c r="D96" s="1171"/>
      <c r="E96" s="1171"/>
      <c r="F96" s="1170"/>
      <c r="I96" s="1172"/>
      <c r="J96" s="1171"/>
      <c r="K96" s="62">
        <f t="shared" ref="K96:R96" si="167">K95-K97</f>
        <v>73</v>
      </c>
      <c r="L96" s="62">
        <f t="shared" si="167"/>
        <v>58.600000000000009</v>
      </c>
      <c r="M96" s="62">
        <f t="shared" si="167"/>
        <v>55.300000000000011</v>
      </c>
      <c r="N96" s="62">
        <f t="shared" si="167"/>
        <v>66.599999999999909</v>
      </c>
      <c r="O96" s="62">
        <f t="shared" si="167"/>
        <v>63.2</v>
      </c>
      <c r="P96" s="62">
        <f t="shared" si="167"/>
        <v>58.3</v>
      </c>
      <c r="Q96" s="62">
        <f t="shared" si="167"/>
        <v>65.100000000000009</v>
      </c>
      <c r="R96" s="62">
        <f t="shared" si="167"/>
        <v>81.799999999999969</v>
      </c>
      <c r="S96" s="62">
        <f>'New quarts'!AR38</f>
        <v>71.400000000000006</v>
      </c>
      <c r="T96" s="62">
        <f>'New quarts'!AS38</f>
        <v>54.9</v>
      </c>
      <c r="U96" s="62">
        <f>'New quarts'!AT38</f>
        <v>58.8</v>
      </c>
      <c r="V96" s="62">
        <f>'New quarts'!AU38</f>
        <v>64.899999999999991</v>
      </c>
      <c r="W96" s="62">
        <f>'New quarts'!AW38</f>
        <v>44.5</v>
      </c>
      <c r="X96" s="62">
        <f>'New quarts'!AX38</f>
        <v>43.9</v>
      </c>
    </row>
    <row r="97" spans="2:24" ht="15.75">
      <c r="B97" s="1169" t="s">
        <v>6066</v>
      </c>
      <c r="C97" s="313"/>
      <c r="D97" s="313"/>
      <c r="E97" s="124"/>
      <c r="K97">
        <v>116.5</v>
      </c>
      <c r="L97">
        <v>123.7</v>
      </c>
      <c r="M97" s="62">
        <v>122</v>
      </c>
      <c r="N97" s="62">
        <f>480.8-K97-L97-M97</f>
        <v>118.60000000000002</v>
      </c>
      <c r="O97">
        <v>116.8</v>
      </c>
      <c r="P97">
        <v>117.2</v>
      </c>
      <c r="Q97">
        <v>111.2</v>
      </c>
      <c r="R97">
        <f>448-O97-P97-Q97</f>
        <v>102.8</v>
      </c>
      <c r="S97" s="62">
        <f t="shared" ref="S97:X97" si="168">S95-S96</f>
        <v>103.70000000000002</v>
      </c>
      <c r="T97" s="62">
        <f t="shared" si="168"/>
        <v>102.79999999999998</v>
      </c>
      <c r="U97" s="62">
        <f t="shared" si="168"/>
        <v>99.3</v>
      </c>
      <c r="V97" s="62">
        <f t="shared" si="168"/>
        <v>92.899999999999991</v>
      </c>
      <c r="W97" s="62">
        <f t="shared" si="168"/>
        <v>93.5</v>
      </c>
      <c r="X97" s="62">
        <f t="shared" si="168"/>
        <v>78.699999999999989</v>
      </c>
    </row>
    <row r="98" spans="2:24" ht="15.75">
      <c r="B98" s="1169" t="s">
        <v>6067</v>
      </c>
      <c r="C98" s="313"/>
      <c r="D98" s="313"/>
      <c r="E98" s="124"/>
      <c r="K98">
        <v>107</v>
      </c>
      <c r="L98">
        <v>109.5</v>
      </c>
      <c r="M98">
        <v>115.6</v>
      </c>
      <c r="N98">
        <f>438.2-K98-L98-M98</f>
        <v>106.1</v>
      </c>
      <c r="O98">
        <v>115.8</v>
      </c>
      <c r="P98">
        <v>115.5</v>
      </c>
      <c r="Q98">
        <v>116.7</v>
      </c>
      <c r="R98">
        <f>457.3-O98-P98-Q98</f>
        <v>109.3</v>
      </c>
      <c r="S98" s="62">
        <f>'New quarts'!AR40</f>
        <v>122.7</v>
      </c>
      <c r="T98" s="62">
        <f>'New quarts'!AS40</f>
        <v>127.1</v>
      </c>
      <c r="U98" s="62">
        <f>'New quarts'!AT40</f>
        <v>128.19999999999999</v>
      </c>
      <c r="V98" s="62">
        <f>'New quarts'!AU40</f>
        <v>126.20000000000002</v>
      </c>
      <c r="W98" s="62">
        <f>'New quarts'!AW40</f>
        <v>125.1</v>
      </c>
      <c r="X98" s="62">
        <f>'New quarts'!AX40</f>
        <v>126.1</v>
      </c>
    </row>
    <row r="99" spans="2:24" ht="15.75">
      <c r="B99" s="1169" t="s">
        <v>2412</v>
      </c>
      <c r="C99" s="313"/>
      <c r="D99" s="313"/>
      <c r="E99" s="124"/>
      <c r="M99">
        <v>54.2</v>
      </c>
      <c r="Q99">
        <v>53</v>
      </c>
      <c r="W99" s="62">
        <v>55.7</v>
      </c>
      <c r="X99" s="62">
        <f>'New quarts'!AX41</f>
        <v>52.6</v>
      </c>
    </row>
    <row r="100" spans="2:24" ht="15.75">
      <c r="B100" s="1169"/>
      <c r="C100" s="313"/>
      <c r="D100" s="313"/>
      <c r="E100" s="124"/>
      <c r="K100">
        <f>K95+K98</f>
        <v>296.5</v>
      </c>
      <c r="L100">
        <f>L95+L98</f>
        <v>291.8</v>
      </c>
      <c r="M100">
        <f>M95+M98</f>
        <v>292.89999999999998</v>
      </c>
      <c r="O100">
        <f>O95+O98</f>
        <v>295.8</v>
      </c>
      <c r="P100">
        <f>P95+P98</f>
        <v>291</v>
      </c>
      <c r="Q100">
        <f>Q95+Q98</f>
        <v>293</v>
      </c>
    </row>
    <row r="101" spans="2:24" ht="15.75">
      <c r="B101" s="1169"/>
      <c r="C101" s="313"/>
      <c r="D101" s="313"/>
      <c r="E101" s="124"/>
    </row>
    <row r="103" spans="2:24">
      <c r="B103" s="1232" t="s">
        <v>3365</v>
      </c>
      <c r="C103" s="1233" t="s">
        <v>4078</v>
      </c>
      <c r="D103" s="1233" t="s">
        <v>4356</v>
      </c>
      <c r="E103" s="1233" t="s">
        <v>4427</v>
      </c>
      <c r="F103" s="1233" t="s">
        <v>4535</v>
      </c>
      <c r="G103" s="1233" t="s">
        <v>4755</v>
      </c>
      <c r="H103" s="1233" t="s">
        <v>4922</v>
      </c>
      <c r="I103" s="1233" t="s">
        <v>5188</v>
      </c>
      <c r="J103" s="1233" t="s">
        <v>5371</v>
      </c>
      <c r="K103" s="1233" t="s">
        <v>5556</v>
      </c>
      <c r="L103" s="1233" t="s">
        <v>5696</v>
      </c>
      <c r="M103" s="1233" t="s">
        <v>5878</v>
      </c>
      <c r="N103" s="1233" t="s">
        <v>5920</v>
      </c>
      <c r="O103" s="1233" t="s">
        <v>5949</v>
      </c>
      <c r="P103" s="1233" t="s">
        <v>5950</v>
      </c>
      <c r="Q103" s="1233" t="s">
        <v>5951</v>
      </c>
      <c r="R103" s="1233" t="s">
        <v>5952</v>
      </c>
      <c r="S103" s="1233" t="s">
        <v>6525</v>
      </c>
      <c r="T103" s="1233" t="s">
        <v>6526</v>
      </c>
      <c r="U103" s="1233" t="s">
        <v>6527</v>
      </c>
      <c r="V103" s="1617" t="s">
        <v>6528</v>
      </c>
      <c r="W103" s="1617" t="s">
        <v>7121</v>
      </c>
      <c r="X103" s="1617" t="s">
        <v>7451</v>
      </c>
    </row>
    <row r="104" spans="2:24">
      <c r="B104" s="1407" t="s">
        <v>29</v>
      </c>
      <c r="C104" s="1408">
        <f>'New quarts'!X201</f>
        <v>-1.7000000000000001E-2</v>
      </c>
      <c r="D104" s="1408">
        <f>'New quarts'!Y201</f>
        <v>-5.0000000000000001E-3</v>
      </c>
      <c r="E104" s="1408">
        <f>'New quarts'!Z201</f>
        <v>-2.1999999999999999E-2</v>
      </c>
      <c r="F104" s="1408">
        <f>'New quarts'!AA201</f>
        <v>3.3000000000000002E-2</v>
      </c>
      <c r="G104" s="1408">
        <f>'New quarts'!AC201</f>
        <v>1.6E-2</v>
      </c>
      <c r="H104" s="1408">
        <f>'New quarts'!AD201</f>
        <v>-0.115</v>
      </c>
      <c r="I104" s="1408">
        <f>'New quarts'!AE201</f>
        <v>-0.06</v>
      </c>
      <c r="J104" s="1408">
        <f>'New quarts'!AF201</f>
        <v>-0.08</v>
      </c>
      <c r="K104" s="1408">
        <f>'New quarts'!AH201</f>
        <v>-0.04</v>
      </c>
      <c r="L104" s="1408">
        <f>'New quarts'!AI201</f>
        <v>0.09</v>
      </c>
      <c r="M104" s="1408">
        <f>'New quarts'!AJ201</f>
        <v>0.05</v>
      </c>
      <c r="N104" s="1408">
        <f>'New quarts'!AK201</f>
        <v>0.13</v>
      </c>
      <c r="O104" s="1408">
        <f>'New quarts'!AM201</f>
        <v>0.04</v>
      </c>
      <c r="P104" s="1408">
        <f>'New quarts'!AN201</f>
        <v>0.06</v>
      </c>
      <c r="Q104" s="1408">
        <f>'New quarts'!AO201</f>
        <v>0.03</v>
      </c>
      <c r="R104" s="1408">
        <f>'New quarts'!AP201</f>
        <v>0.02</v>
      </c>
      <c r="S104" s="1408">
        <f>'New quarts'!AR201</f>
        <v>0.02</v>
      </c>
      <c r="T104" s="1408">
        <f>'New quarts'!AS201</f>
        <v>0.02</v>
      </c>
      <c r="U104" s="1408">
        <f>'New quarts'!AT201</f>
        <v>0.04</v>
      </c>
      <c r="V104" s="1242">
        <v>-0.01</v>
      </c>
      <c r="W104" s="1242">
        <v>0.02</v>
      </c>
      <c r="X104" s="1242">
        <v>0.04</v>
      </c>
    </row>
    <row r="105" spans="2:24" hidden="1" outlineLevel="1">
      <c r="B105" s="1234" t="s">
        <v>4432</v>
      </c>
      <c r="C105" s="1235"/>
      <c r="D105" s="1235"/>
      <c r="E105" s="1235">
        <f>E104+5/'New quarts'!K805</f>
        <v>-1.3395628979521595E-2</v>
      </c>
      <c r="F105" s="1235">
        <f>F104+3/'New quarts'!L805</f>
        <v>3.814756348661634E-2</v>
      </c>
      <c r="G105" s="1235">
        <f>G104</f>
        <v>1.6E-2</v>
      </c>
      <c r="H105" s="1235">
        <f>H104</f>
        <v>-0.115</v>
      </c>
      <c r="I105" s="1235">
        <f>I104</f>
        <v>-0.06</v>
      </c>
      <c r="J105" s="1235">
        <f>J104</f>
        <v>-0.08</v>
      </c>
      <c r="K105" s="1236"/>
      <c r="L105" s="1236"/>
      <c r="M105" s="6"/>
      <c r="N105" s="1236"/>
      <c r="O105" s="1236"/>
      <c r="P105" s="1236"/>
      <c r="Q105" s="1236"/>
      <c r="R105" s="1236"/>
      <c r="S105" s="1236"/>
      <c r="T105" s="1236"/>
      <c r="U105" s="1236"/>
      <c r="V105" s="1236"/>
      <c r="W105" s="1236"/>
      <c r="X105" s="1236"/>
    </row>
    <row r="106" spans="2:24" collapsed="1">
      <c r="B106" s="1372" t="s">
        <v>6729</v>
      </c>
      <c r="C106" s="1235"/>
      <c r="D106" s="1235"/>
      <c r="E106" s="1235"/>
      <c r="F106" s="1235"/>
      <c r="G106" s="1235"/>
      <c r="H106" s="1235"/>
      <c r="I106" s="1235"/>
      <c r="J106" s="1235"/>
      <c r="K106" s="1236"/>
      <c r="L106" s="1236"/>
      <c r="M106" s="6"/>
      <c r="N106" s="1236"/>
      <c r="O106" s="1236"/>
      <c r="P106" s="1236"/>
      <c r="Q106" s="1236">
        <v>0.03</v>
      </c>
      <c r="R106" s="1236">
        <v>0.03</v>
      </c>
      <c r="S106" s="1236">
        <v>-0.01</v>
      </c>
      <c r="T106" s="1236">
        <v>0</v>
      </c>
      <c r="U106" s="1236">
        <v>0.01</v>
      </c>
      <c r="V106" s="1236">
        <v>0</v>
      </c>
      <c r="W106" s="1236">
        <v>0.03</v>
      </c>
      <c r="X106" s="1236">
        <v>0.04</v>
      </c>
    </row>
    <row r="107" spans="2:24">
      <c r="B107" s="1402" t="s">
        <v>6730</v>
      </c>
      <c r="C107" s="1400"/>
      <c r="D107" s="1400"/>
      <c r="E107" s="1400"/>
      <c r="F107" s="1400"/>
      <c r="G107" s="1400"/>
      <c r="H107" s="1400"/>
      <c r="I107" s="1400"/>
      <c r="J107" s="1400"/>
      <c r="K107" s="1406"/>
      <c r="L107" s="1406"/>
      <c r="M107" s="1410"/>
      <c r="N107" s="1406"/>
      <c r="O107" s="1406"/>
      <c r="P107" s="1406"/>
      <c r="Q107" s="1406">
        <v>-0.01</v>
      </c>
      <c r="R107" s="1406">
        <v>0.14000000000000001</v>
      </c>
      <c r="S107" s="1406">
        <v>0.06</v>
      </c>
      <c r="T107" s="1406">
        <v>0.05</v>
      </c>
      <c r="U107" s="1406">
        <v>0.1</v>
      </c>
      <c r="V107" s="1406">
        <v>-0.09</v>
      </c>
      <c r="W107" s="1406">
        <v>-0.03</v>
      </c>
      <c r="X107" s="1406">
        <v>-0.01</v>
      </c>
    </row>
    <row r="108" spans="2:24">
      <c r="B108" s="1372" t="s">
        <v>6731</v>
      </c>
      <c r="C108" s="1235"/>
      <c r="D108" s="1235"/>
      <c r="E108" s="1235"/>
      <c r="F108" s="1235"/>
      <c r="G108" s="1235"/>
      <c r="H108" s="1235"/>
      <c r="I108" s="1235"/>
      <c r="J108" s="1235"/>
      <c r="K108" s="1236"/>
      <c r="L108" s="1236"/>
      <c r="M108" s="6"/>
      <c r="N108" s="1236"/>
      <c r="O108" s="1236">
        <v>0</v>
      </c>
      <c r="P108" s="1236">
        <v>0.06</v>
      </c>
      <c r="Q108" s="1236">
        <v>0.02</v>
      </c>
      <c r="R108" s="1236">
        <v>-0.03</v>
      </c>
      <c r="S108" s="1236">
        <v>0.04</v>
      </c>
      <c r="T108" s="1236">
        <v>0.04</v>
      </c>
      <c r="U108" s="1236">
        <v>0.1</v>
      </c>
      <c r="V108" s="1236">
        <v>0.02</v>
      </c>
      <c r="W108" s="1236">
        <v>0.02</v>
      </c>
      <c r="X108" s="1236">
        <v>0.09</v>
      </c>
    </row>
    <row r="109" spans="2:24" hidden="1" outlineLevel="1">
      <c r="B109" s="1207" t="s">
        <v>6215</v>
      </c>
      <c r="C109" s="1236">
        <f>'New quarts'!X203</f>
        <v>2.5000000000000001E-2</v>
      </c>
      <c r="D109" s="1236">
        <f>'New quarts'!Y203</f>
        <v>2.3E-2</v>
      </c>
      <c r="E109" s="1236">
        <f>'New quarts'!Z203</f>
        <v>1.7999999999999999E-2</v>
      </c>
      <c r="F109" s="1236">
        <f>'New quarts'!AA203</f>
        <v>1.2999999999999999E-2</v>
      </c>
      <c r="G109" s="1236">
        <f>'New quarts'!AC203</f>
        <v>1.7999999999999999E-2</v>
      </c>
      <c r="H109" s="1236">
        <f>'New quarts'!AD203</f>
        <v>-0.04</v>
      </c>
      <c r="I109" s="1236">
        <f>'New quarts'!AE203</f>
        <v>-5.1999999999999998E-2</v>
      </c>
      <c r="J109" s="1236">
        <f>'New quarts'!AF203</f>
        <v>-5.0999999999999997E-2</v>
      </c>
      <c r="K109" s="1236">
        <f>'New quarts'!AH203</f>
        <v>-0.08</v>
      </c>
      <c r="L109" s="1236">
        <f>'New quarts'!AI203</f>
        <v>-0.06</v>
      </c>
      <c r="M109" s="1236">
        <f>'New quarts'!AJ203</f>
        <v>-0.05</v>
      </c>
      <c r="N109" s="1236">
        <f>'New quarts'!AK203</f>
        <v>-0.08</v>
      </c>
      <c r="O109" s="1236">
        <f>'New quarts'!AM203</f>
        <v>-0.09</v>
      </c>
      <c r="P109" s="1236">
        <f>'New quarts'!AN203</f>
        <v>-0.16</v>
      </c>
      <c r="Q109" s="1236">
        <f>'New quarts'!AO203</f>
        <v>-0.19</v>
      </c>
      <c r="R109" s="1236"/>
      <c r="S109" s="1236"/>
      <c r="T109" s="1236"/>
      <c r="U109" s="1236"/>
      <c r="V109" s="1236"/>
      <c r="W109" s="1236"/>
      <c r="X109" s="1236"/>
    </row>
    <row r="110" spans="2:24" collapsed="1">
      <c r="B110" s="1241" t="s">
        <v>469</v>
      </c>
      <c r="C110" s="1242">
        <f>'New quarts'!X204</f>
        <v>0.59499999999999997</v>
      </c>
      <c r="D110" s="1242">
        <f>'New quarts'!Y204</f>
        <v>0.249</v>
      </c>
      <c r="E110" s="1242">
        <f>'New quarts'!Z204</f>
        <v>0.02</v>
      </c>
      <c r="F110" s="1242">
        <f>'New quarts'!AA204</f>
        <v>0.09</v>
      </c>
      <c r="G110" s="1242">
        <f>'New quarts'!AC204</f>
        <v>3.2000000000000001E-2</v>
      </c>
      <c r="H110" s="1242">
        <f>'New quarts'!AD204</f>
        <v>5.0999999999999997E-2</v>
      </c>
      <c r="I110" s="1242">
        <f>'New quarts'!AE204</f>
        <v>9.7000000000000003E-2</v>
      </c>
      <c r="J110" s="1242">
        <f>'New quarts'!AF204</f>
        <v>0.14599999999999999</v>
      </c>
      <c r="K110" s="1242">
        <f>'New quarts'!AH204</f>
        <v>0.14000000000000001</v>
      </c>
      <c r="L110" s="1242">
        <f>'New quarts'!AI204</f>
        <v>0.11</v>
      </c>
      <c r="M110" s="1242">
        <f>'New quarts'!AJ204</f>
        <v>0.02</v>
      </c>
      <c r="N110" s="1242">
        <f>'New quarts'!AK204</f>
        <v>0.02</v>
      </c>
      <c r="O110" s="1242">
        <f>'New quarts'!AM204</f>
        <v>0.01</v>
      </c>
      <c r="P110" s="1242">
        <f>'New quarts'!AN204</f>
        <v>0</v>
      </c>
      <c r="Q110" s="1242">
        <f>'New quarts'!AO204</f>
        <v>0.02</v>
      </c>
      <c r="R110" s="1242">
        <f>'New quarts'!AP204</f>
        <v>0</v>
      </c>
      <c r="S110" s="1242">
        <f>'New quarts'!AR204</f>
        <v>0</v>
      </c>
      <c r="T110" s="1242">
        <v>-0.03</v>
      </c>
      <c r="U110" s="1242">
        <v>-0.04</v>
      </c>
      <c r="V110" s="1242">
        <v>-0.05</v>
      </c>
      <c r="W110" s="1242">
        <v>-0.1</v>
      </c>
      <c r="X110" s="1242">
        <f>Q110+((-10-10+8)/I31)</f>
        <v>-1.3585222502099082E-2</v>
      </c>
    </row>
    <row r="111" spans="2:24">
      <c r="B111" s="1234" t="s">
        <v>6472</v>
      </c>
      <c r="C111" s="1235"/>
      <c r="D111" s="1235"/>
      <c r="E111" s="1235"/>
      <c r="F111" s="1235"/>
      <c r="G111" s="1235"/>
      <c r="H111" s="1235"/>
      <c r="I111" s="1235"/>
      <c r="J111" s="1235"/>
      <c r="K111" s="1235"/>
      <c r="L111" s="1235"/>
      <c r="M111" s="1235"/>
      <c r="N111" s="1235"/>
      <c r="O111" s="1235">
        <f t="shared" ref="O111:T111" si="169">O97/K97-1</f>
        <v>2.5751072961373023E-3</v>
      </c>
      <c r="P111" s="1235">
        <f t="shared" si="169"/>
        <v>-5.2546483427647561E-2</v>
      </c>
      <c r="Q111" s="1235">
        <f t="shared" si="169"/>
        <v>-8.8524590163934436E-2</v>
      </c>
      <c r="R111" s="1235">
        <f t="shared" si="169"/>
        <v>-0.13322091062394625</v>
      </c>
      <c r="S111" s="1235">
        <f t="shared" si="169"/>
        <v>-0.11215753424657515</v>
      </c>
      <c r="T111" s="1235">
        <f t="shared" si="169"/>
        <v>-0.12286689419795238</v>
      </c>
      <c r="U111" s="1235">
        <f>U97/Q97-1</f>
        <v>-0.10701438848920863</v>
      </c>
      <c r="V111" s="1235">
        <f>V97/R97-1</f>
        <v>-9.6303501945525394E-2</v>
      </c>
      <c r="W111" s="1235">
        <f>W97/S97-1</f>
        <v>-9.8360655737705027E-2</v>
      </c>
      <c r="X111" s="1235">
        <f>X97/T97-1</f>
        <v>-0.23443579766536959</v>
      </c>
    </row>
    <row r="112" spans="2:24">
      <c r="B112" s="1239" t="s">
        <v>6069</v>
      </c>
      <c r="C112" s="1240"/>
      <c r="D112" s="1240"/>
      <c r="E112" s="1240"/>
      <c r="F112" s="1240"/>
      <c r="G112" s="1240"/>
      <c r="H112" s="1240"/>
      <c r="I112" s="1240"/>
      <c r="J112" s="1240"/>
      <c r="K112" s="1240"/>
      <c r="L112" s="1240"/>
      <c r="M112" s="1240"/>
      <c r="N112" s="1240"/>
      <c r="O112" s="1240">
        <f t="shared" ref="O112:X112" si="170">O96/K96-1</f>
        <v>-0.13424657534246576</v>
      </c>
      <c r="P112" s="1240">
        <f t="shared" si="170"/>
        <v>-5.119453924914863E-3</v>
      </c>
      <c r="Q112" s="1240">
        <f t="shared" si="170"/>
        <v>0.17721518987341756</v>
      </c>
      <c r="R112" s="1240">
        <f t="shared" si="170"/>
        <v>0.22822822822822952</v>
      </c>
      <c r="S112" s="1240">
        <f t="shared" si="170"/>
        <v>0.129746835443038</v>
      </c>
      <c r="T112" s="1240">
        <f t="shared" si="170"/>
        <v>-5.831903945111494E-2</v>
      </c>
      <c r="U112" s="1240">
        <f t="shared" si="170"/>
        <v>-9.6774193548387233E-2</v>
      </c>
      <c r="V112" s="1240">
        <f t="shared" si="170"/>
        <v>-0.2066014669926648</v>
      </c>
      <c r="W112" s="1240">
        <f t="shared" si="170"/>
        <v>-0.37675070028011215</v>
      </c>
      <c r="X112" s="1240">
        <f t="shared" si="170"/>
        <v>-0.20036429872495443</v>
      </c>
    </row>
    <row r="113" spans="2:24">
      <c r="B113" s="1234" t="s">
        <v>6070</v>
      </c>
      <c r="C113" s="1235"/>
      <c r="D113" s="1235"/>
      <c r="E113" s="1235"/>
      <c r="F113" s="1235"/>
      <c r="G113" s="1235"/>
      <c r="H113" s="1235"/>
      <c r="I113" s="1235"/>
      <c r="J113" s="1235"/>
      <c r="K113" s="1235"/>
      <c r="L113" s="1235"/>
      <c r="M113" s="1235"/>
      <c r="N113" s="1235"/>
      <c r="O113" s="1235">
        <f>O98/K98-1</f>
        <v>8.2242990654205483E-2</v>
      </c>
      <c r="P113" s="1235">
        <f>P98/L98-1</f>
        <v>5.4794520547945202E-2</v>
      </c>
      <c r="Q113" s="1235">
        <f>Q98/M98-1</f>
        <v>9.5155709342560346E-3</v>
      </c>
      <c r="R113" s="1235">
        <f>R98/N98-1</f>
        <v>3.016022620169645E-2</v>
      </c>
      <c r="S113" s="1235">
        <f>'New quarts'!AR40/'New quarts'!AM40-1</f>
        <v>1.154163231657046E-2</v>
      </c>
      <c r="T113" s="1235">
        <f>'New quarts'!AS40/'New quarts'!AN40-1</f>
        <v>4.9545829892650772E-2</v>
      </c>
      <c r="U113" s="1235">
        <f>'New quarts'!AT40/'New quarts'!AO40-1</f>
        <v>9.8543273350471194E-2</v>
      </c>
      <c r="V113" s="1235">
        <f>'New quarts'!AU40/'New quarts'!AP40-1</f>
        <v>4.9044056525353596E-2</v>
      </c>
      <c r="W113" s="1235">
        <f>'New quarts'!AW40/'New quarts'!AR40-1</f>
        <v>1.9559902200488866E-2</v>
      </c>
      <c r="X113" s="1235">
        <f>'New quarts'!AX40/'New quarts'!AS40-1</f>
        <v>-7.8678206136899576E-3</v>
      </c>
    </row>
    <row r="114" spans="2:24">
      <c r="B114" s="1404" t="s">
        <v>3411</v>
      </c>
      <c r="C114" s="1405"/>
      <c r="D114" s="1405"/>
      <c r="E114" s="1405"/>
      <c r="F114" s="1405"/>
      <c r="G114" s="1405"/>
      <c r="H114" s="1405"/>
      <c r="I114" s="1405"/>
      <c r="J114" s="1405"/>
      <c r="K114" s="1405"/>
      <c r="L114" s="1405"/>
      <c r="M114" s="1405"/>
      <c r="N114" s="1405"/>
      <c r="O114" s="1411">
        <v>0.09</v>
      </c>
      <c r="P114" s="1411">
        <v>0.09</v>
      </c>
      <c r="Q114" s="1411">
        <v>0.09</v>
      </c>
      <c r="R114" s="1411">
        <v>7.0000000000000007E-2</v>
      </c>
      <c r="S114" s="1411">
        <v>0.04</v>
      </c>
      <c r="T114" s="1411">
        <v>-0.01</v>
      </c>
      <c r="U114" s="1411">
        <v>0</v>
      </c>
      <c r="V114" s="1411">
        <v>0.1</v>
      </c>
      <c r="W114" s="1411">
        <v>0.08</v>
      </c>
      <c r="X114" s="1411">
        <v>0.04</v>
      </c>
    </row>
    <row r="115" spans="2:24">
      <c r="B115" s="1208" t="s">
        <v>90</v>
      </c>
      <c r="C115" s="1260">
        <f>'New quarts'!X205</f>
        <v>0.04</v>
      </c>
      <c r="D115" s="1260">
        <f>'New quarts'!Y205</f>
        <v>2.7E-2</v>
      </c>
      <c r="E115" s="1260">
        <f>'New quarts'!Z205</f>
        <v>-6.0000000000000001E-3</v>
      </c>
      <c r="F115" s="1260">
        <f>'New quarts'!AA205</f>
        <v>3.2000000000000001E-2</v>
      </c>
      <c r="G115" s="1260">
        <f>'New quarts'!AC205</f>
        <v>1.6E-2</v>
      </c>
      <c r="H115" s="1260">
        <f>'New quarts'!AD205</f>
        <v>-7.6999999999999999E-2</v>
      </c>
      <c r="I115" s="1260">
        <f>'New quarts'!AE205</f>
        <v>-3.5999999999999997E-2</v>
      </c>
      <c r="J115" s="1260">
        <f>'New quarts'!AF205</f>
        <v>-1.4E-2</v>
      </c>
      <c r="K115" s="1260">
        <f>'New quarts'!AH205</f>
        <v>0</v>
      </c>
      <c r="L115" s="1260">
        <f>'New quarts'!AI205</f>
        <v>0.08</v>
      </c>
      <c r="M115" s="1260">
        <f>'New quarts'!AJ205</f>
        <v>0.03</v>
      </c>
      <c r="N115" s="1260">
        <f>'New quarts'!AK205</f>
        <v>0.06</v>
      </c>
      <c r="O115" s="1260">
        <f>'New quarts'!AM205</f>
        <v>0.01</v>
      </c>
      <c r="P115" s="1260">
        <f>'New quarts'!AN205</f>
        <v>0.01</v>
      </c>
      <c r="Q115" s="1260">
        <f>'New quarts'!AO205</f>
        <v>0.01</v>
      </c>
      <c r="R115" s="1260">
        <f>'New quarts'!AP205</f>
        <v>0.01</v>
      </c>
      <c r="S115" s="1260">
        <f>'New quarts'!AR205</f>
        <v>0.01</v>
      </c>
      <c r="T115" s="1260">
        <f>'New quarts'!AS205</f>
        <v>0</v>
      </c>
      <c r="U115" s="1260">
        <f>'New quarts'!AT205</f>
        <v>0.01</v>
      </c>
      <c r="V115" s="1260">
        <v>-0.01</v>
      </c>
      <c r="W115" s="1260">
        <v>-0.01</v>
      </c>
      <c r="X115" s="1260">
        <v>-0.01</v>
      </c>
    </row>
    <row r="116" spans="2:24" hidden="1" outlineLevel="1">
      <c r="B116" s="1257" t="s">
        <v>6215</v>
      </c>
      <c r="C116" s="1410"/>
      <c r="D116" s="1410"/>
      <c r="E116" s="1410"/>
      <c r="F116" s="1410"/>
      <c r="G116" s="1410"/>
      <c r="H116" s="1410"/>
      <c r="I116" s="1410"/>
      <c r="J116" s="1410"/>
      <c r="K116" s="1410">
        <f>('LiLAC valuation'!AH$266*1000/'LiLAC valuation'!AH$314)-('LiLAC valuation'!AD$266*1000/'LiLAC valuation'!AH$314)</f>
        <v>-18.641878721633162</v>
      </c>
      <c r="L116" s="1410">
        <f>('LiLAC valuation'!AI$266*1000/'LiLAC valuation'!AI$314)-('LiLAC valuation'!AE$266*1000/'LiLAC valuation'!AI$314)</f>
        <v>-12.144653453226454</v>
      </c>
      <c r="M116" s="1410">
        <f>('LiLAC valuation'!AJ$266*1000/'LiLAC valuation'!AJ$314)-('LiLAC valuation'!AF$266*1000/'LiLAC valuation'!AJ$314)</f>
        <v>-10.987074030552293</v>
      </c>
      <c r="N116" s="1410">
        <f>('LiLAC valuation'!AK$266*1000/'LiLAC valuation'!AK$314)-('LiLAC valuation'!AG$266*1000/'LiLAC valuation'!AK$314)</f>
        <v>-16.01015719467955</v>
      </c>
      <c r="O116" s="1410">
        <f>('LiLAC valuation'!AL$266*1000/'LiLAC valuation'!AL$314)-('LiLAC valuation'!AH$266*1000/'LiLAC valuation'!AL$314)</f>
        <v>-17.527041136025304</v>
      </c>
      <c r="P116" s="1410">
        <f>('LiLAC valuation'!AM$266*1000/'LiLAC valuation'!AM$314)-('LiLAC valuation'!AI$266*1000/'LiLAC valuation'!AM$314)</f>
        <v>-27.580458062872196</v>
      </c>
      <c r="Q116" s="1410">
        <f>('LiLAC valuation'!AN$266*1000/'LiLAC valuation'!AN$314)-('LiLAC valuation'!AJ$266*1000/'LiLAC valuation'!AN$314)</f>
        <v>-31.215118790496746</v>
      </c>
      <c r="R116" s="1410"/>
      <c r="S116" s="1410"/>
      <c r="T116" s="1410"/>
      <c r="U116" s="1410"/>
      <c r="V116" s="1410"/>
      <c r="W116" s="1410"/>
      <c r="X116" s="1410"/>
    </row>
    <row r="117" spans="2:24" collapsed="1">
      <c r="B117" s="1373" t="s">
        <v>6214</v>
      </c>
      <c r="C117" s="1374"/>
      <c r="D117" s="1374"/>
      <c r="E117" s="1374"/>
      <c r="F117" s="1374"/>
      <c r="G117" s="1374"/>
      <c r="H117" s="1374"/>
      <c r="I117" s="1374"/>
      <c r="J117" s="1374"/>
      <c r="K117" s="1374">
        <f t="shared" ref="K117:Q117" si="171">K115-K116/C35</f>
        <v>2.0023500238059249E-2</v>
      </c>
      <c r="L117" s="1374">
        <f t="shared" si="171"/>
        <v>9.4304656599795589E-2</v>
      </c>
      <c r="M117" s="1374">
        <f t="shared" si="171"/>
        <v>4.2372831115486814E-2</v>
      </c>
      <c r="N117" s="1374">
        <f t="shared" si="171"/>
        <v>7.4594491517483638E-2</v>
      </c>
      <c r="O117" s="1374">
        <f t="shared" si="171"/>
        <v>2.5110820877683682E-2</v>
      </c>
      <c r="P117" s="1374">
        <f t="shared" si="171"/>
        <v>3.3613405875746745E-2</v>
      </c>
      <c r="Q117" s="1374">
        <f t="shared" si="171"/>
        <v>3.618718019336975E-2</v>
      </c>
      <c r="R117" s="1374">
        <f t="shared" ref="R117:W117" si="172">R115</f>
        <v>0.01</v>
      </c>
      <c r="S117" s="1374">
        <f t="shared" si="172"/>
        <v>0.01</v>
      </c>
      <c r="T117" s="1374">
        <f t="shared" si="172"/>
        <v>0</v>
      </c>
      <c r="U117" s="1374">
        <f t="shared" si="172"/>
        <v>0.01</v>
      </c>
      <c r="V117" s="1526">
        <f t="shared" si="172"/>
        <v>-0.01</v>
      </c>
      <c r="W117" s="1526">
        <f t="shared" si="172"/>
        <v>-0.01</v>
      </c>
      <c r="X117" s="1526">
        <v>-0.01</v>
      </c>
    </row>
    <row r="118" spans="2:24">
      <c r="B118" s="1243"/>
      <c r="C118" s="1244"/>
      <c r="D118" s="1244"/>
      <c r="E118" s="1244"/>
      <c r="F118" s="1244"/>
      <c r="G118" s="1244"/>
      <c r="H118" s="1207"/>
      <c r="I118" s="1207"/>
      <c r="J118" s="1207"/>
      <c r="K118" s="1207"/>
      <c r="L118" s="1207"/>
      <c r="M118" s="1207"/>
      <c r="N118" s="1207"/>
      <c r="O118" s="1207"/>
    </row>
    <row r="119" spans="2:24" hidden="1" outlineLevel="1">
      <c r="B119" s="1207"/>
      <c r="C119" s="1207"/>
      <c r="D119" s="1207"/>
      <c r="E119" s="1207"/>
      <c r="F119" s="1207"/>
      <c r="G119" s="1207"/>
      <c r="H119" s="1207"/>
      <c r="I119" s="1207"/>
      <c r="J119" s="1207"/>
      <c r="K119" s="1207"/>
      <c r="L119" s="1207"/>
      <c r="M119" s="1207"/>
      <c r="N119" s="1207"/>
      <c r="O119" s="1207"/>
    </row>
    <row r="120" spans="2:24" hidden="1" outlineLevel="1">
      <c r="B120" s="1208" t="s">
        <v>3176</v>
      </c>
      <c r="C120" s="1207"/>
      <c r="D120" s="1207"/>
      <c r="E120" s="1207"/>
      <c r="F120" s="1207"/>
      <c r="G120" s="1207"/>
      <c r="H120" s="1207"/>
      <c r="I120" s="1207"/>
      <c r="J120" s="1207"/>
      <c r="K120" s="1207"/>
      <c r="L120" s="1207"/>
      <c r="M120" s="1207"/>
      <c r="N120" s="1207"/>
      <c r="O120" s="1207"/>
    </row>
    <row r="121" spans="2:24" hidden="1" outlineLevel="1">
      <c r="B121" s="1207" t="str">
        <f>B104</f>
        <v>CWC</v>
      </c>
      <c r="C121" s="1218">
        <f>'New quarts'!X211</f>
        <v>222.5</v>
      </c>
      <c r="D121" s="1218">
        <f>'New quarts'!Y211</f>
        <v>235.4</v>
      </c>
      <c r="E121" s="1218">
        <f>'New quarts'!Z211</f>
        <v>236.2</v>
      </c>
      <c r="F121" s="1218">
        <f>'New quarts'!AA211</f>
        <v>248.10000000000002</v>
      </c>
      <c r="G121" s="1218">
        <f>'New quarts'!AC211</f>
        <v>232.8</v>
      </c>
      <c r="H121" s="1218">
        <f>'New quarts'!AD211</f>
        <v>203.6</v>
      </c>
      <c r="I121" s="1218">
        <f>'New quarts'!AE211</f>
        <v>220.4</v>
      </c>
      <c r="J121" s="1218">
        <f>'New quarts'!AF211</f>
        <v>229.6</v>
      </c>
      <c r="K121" s="1218">
        <f>'New quarts'!AH211</f>
        <v>225.3</v>
      </c>
      <c r="L121" s="1218">
        <f>'New quarts'!AI211</f>
        <v>233.6</v>
      </c>
      <c r="M121" s="1218">
        <f>'New quarts'!AK211</f>
        <v>258.8</v>
      </c>
      <c r="N121" s="1218">
        <f>'New quarts'!AM211</f>
        <v>233</v>
      </c>
      <c r="O121" s="1218">
        <f>'New quarts'!AN211</f>
        <v>254</v>
      </c>
    </row>
    <row r="122" spans="2:24" hidden="1" outlineLevel="1">
      <c r="B122" s="1234" t="str">
        <f>B105</f>
        <v>- of which CWC hurricane adj</v>
      </c>
      <c r="C122" s="1245"/>
      <c r="D122" s="1245"/>
      <c r="E122" s="1245">
        <f>E121+8</f>
        <v>244.2</v>
      </c>
      <c r="F122" s="1245">
        <f>F121+8</f>
        <v>256.10000000000002</v>
      </c>
      <c r="G122" s="1245">
        <f t="shared" ref="G122:L122" si="173">G121</f>
        <v>232.8</v>
      </c>
      <c r="H122" s="1245">
        <f t="shared" si="173"/>
        <v>203.6</v>
      </c>
      <c r="I122" s="1245">
        <f t="shared" si="173"/>
        <v>220.4</v>
      </c>
      <c r="J122" s="1245">
        <f t="shared" si="173"/>
        <v>229.6</v>
      </c>
      <c r="K122" s="1245">
        <f t="shared" si="173"/>
        <v>225.3</v>
      </c>
      <c r="L122" s="1245">
        <f t="shared" si="173"/>
        <v>233.6</v>
      </c>
      <c r="M122" s="1245">
        <f>M121</f>
        <v>258.8</v>
      </c>
      <c r="N122" s="1245">
        <f>N121</f>
        <v>233</v>
      </c>
      <c r="O122" s="1245">
        <f>O121</f>
        <v>254</v>
      </c>
    </row>
    <row r="123" spans="2:24" hidden="1" outlineLevel="1">
      <c r="B123" s="1207" t="str">
        <f>B109</f>
        <v>Chile USD headwind in constant FX</v>
      </c>
      <c r="C123" s="1218">
        <f>'New quarts'!X239</f>
        <v>94.9</v>
      </c>
      <c r="D123" s="1218">
        <f>'New quarts'!Y239</f>
        <v>100.3</v>
      </c>
      <c r="E123" s="1218">
        <f>'New quarts'!Z239</f>
        <v>95.5</v>
      </c>
      <c r="F123" s="1218">
        <f>'New quarts'!AA239</f>
        <v>95.5</v>
      </c>
      <c r="G123" s="1218">
        <f>'New quarts'!AC239</f>
        <v>79.711496611328727</v>
      </c>
      <c r="H123" s="1218">
        <f>'New quarts'!AD239</f>
        <v>73.147023086269741</v>
      </c>
      <c r="I123" s="1218">
        <f>'New quarts'!AE239</f>
        <v>78.101265822784811</v>
      </c>
      <c r="J123" s="1218">
        <f>'New quarts'!AF239</f>
        <v>74.630452423435571</v>
      </c>
      <c r="K123" s="1218">
        <f>'New quarts'!AH239</f>
        <v>70.5</v>
      </c>
      <c r="L123" s="1218">
        <f>'New quarts'!AI239</f>
        <v>68.7</v>
      </c>
      <c r="M123" s="1218">
        <f>'New quarts'!AK239</f>
        <v>55.3</v>
      </c>
      <c r="N123" s="1218">
        <f>'New quarts'!AM239</f>
        <v>46.5</v>
      </c>
      <c r="O123" s="1218">
        <f>'New quarts'!AN239</f>
        <v>37.9</v>
      </c>
    </row>
    <row r="124" spans="2:24" hidden="1" outlineLevel="1">
      <c r="B124" s="1207" t="str">
        <f>B110</f>
        <v>Puerto Rico</v>
      </c>
      <c r="C124" s="1218">
        <f>'New quarts'!X242</f>
        <v>47.9</v>
      </c>
      <c r="D124" s="1218">
        <f>'New quarts'!Y242</f>
        <v>51.6</v>
      </c>
      <c r="E124" s="1218">
        <f>'New quarts'!Z242</f>
        <v>50.8</v>
      </c>
      <c r="F124" s="1218">
        <f>'New quarts'!AA242</f>
        <v>52.9</v>
      </c>
      <c r="G124" s="1218">
        <f>'New quarts'!AC242</f>
        <v>50.5</v>
      </c>
      <c r="H124" s="1218">
        <f>'New quarts'!AD242</f>
        <v>52.4</v>
      </c>
      <c r="I124" s="1218">
        <f>'New quarts'!AE242</f>
        <v>58.1</v>
      </c>
      <c r="J124" s="1218">
        <f>'New quarts'!AF242-56</f>
        <v>59.900000000000006</v>
      </c>
      <c r="K124" s="1218">
        <f>'New quarts'!AH242</f>
        <v>149.9</v>
      </c>
      <c r="L124" s="1218">
        <f>'New quarts'!AI242</f>
        <v>161.4</v>
      </c>
      <c r="M124" s="1218">
        <f>'New quarts'!AK242</f>
        <v>135.30000000000001</v>
      </c>
      <c r="N124" s="1218">
        <f>'New quarts'!AM242</f>
        <v>144.30000000000001</v>
      </c>
      <c r="O124" s="1218">
        <f>'New quarts'!AN242</f>
        <v>148.80000000000001</v>
      </c>
    </row>
    <row r="125" spans="2:24" hidden="1" outlineLevel="1">
      <c r="B125" s="1207" t="str">
        <f>'New quarts'!B809</f>
        <v>- of which Costa Rica</v>
      </c>
      <c r="C125" s="1218">
        <f>'New quarts'!X233</f>
        <v>12</v>
      </c>
      <c r="D125" s="1218">
        <f>'New quarts'!Y233</f>
        <v>12</v>
      </c>
      <c r="E125" s="1218">
        <f>'New quarts'!Z233</f>
        <v>13</v>
      </c>
      <c r="F125" s="1218">
        <f>'New quarts'!AA233</f>
        <v>10.399999999999999</v>
      </c>
      <c r="G125" s="1218">
        <f>'New quarts'!AC233</f>
        <v>13.688503388671279</v>
      </c>
      <c r="H125" s="1218">
        <f>'New quarts'!AD233</f>
        <v>13.152976913730257</v>
      </c>
      <c r="I125" s="1218">
        <f>'New quarts'!AE233</f>
        <v>14.798734177215195</v>
      </c>
      <c r="J125" s="1218">
        <f>'New quarts'!AF233</f>
        <v>14.669547576564426</v>
      </c>
      <c r="K125" s="1218">
        <f>'New quarts'!AH233</f>
        <v>14.1</v>
      </c>
      <c r="L125" s="1218">
        <f>'New quarts'!AI233</f>
        <v>12.7</v>
      </c>
      <c r="M125" s="1218">
        <f>'New quarts'!AK233</f>
        <v>29.4</v>
      </c>
      <c r="N125" s="1218">
        <f>'New quarts'!AM233</f>
        <v>30.2</v>
      </c>
      <c r="O125" s="1218">
        <f>'New quarts'!AN233</f>
        <v>35.6</v>
      </c>
    </row>
    <row r="126" spans="2:24" hidden="1" outlineLevel="1">
      <c r="B126" s="1207" t="s">
        <v>3362</v>
      </c>
      <c r="C126" s="1218">
        <f t="shared" ref="C126:J126" si="174">C127-C121-C123-C124-C125</f>
        <v>-11.499999999999993</v>
      </c>
      <c r="D126" s="1218">
        <f t="shared" si="174"/>
        <v>-12.300000000000004</v>
      </c>
      <c r="E126" s="1218">
        <f t="shared" si="174"/>
        <v>-15.799999999999997</v>
      </c>
      <c r="F126" s="1218">
        <f t="shared" si="174"/>
        <v>-15.90000000000002</v>
      </c>
      <c r="G126" s="1218">
        <f t="shared" si="174"/>
        <v>-12.80000000000004</v>
      </c>
      <c r="H126" s="1218">
        <f t="shared" si="174"/>
        <v>-9.2999999999999901</v>
      </c>
      <c r="I126" s="1218">
        <f t="shared" si="174"/>
        <v>-11.200000000000024</v>
      </c>
      <c r="J126" s="1218">
        <f t="shared" si="174"/>
        <v>45.2</v>
      </c>
      <c r="K126" s="1218">
        <f>K127-K121-K123-K124-K125</f>
        <v>-10.500000000000005</v>
      </c>
      <c r="L126" s="1218">
        <f>L127-L121-L123-L124-L125</f>
        <v>-12.400000000000016</v>
      </c>
      <c r="M126" s="1218">
        <f>M127-M121-M123-M124-M125</f>
        <v>-9.2000000000000099</v>
      </c>
      <c r="N126" s="1218">
        <f>N127-N121-N123-N124-N125</f>
        <v>-14.000000000000011</v>
      </c>
      <c r="O126" s="1218">
        <f>O127-O121-O123-O124-O125</f>
        <v>-12.699999999999996</v>
      </c>
    </row>
    <row r="127" spans="2:24" hidden="1" outlineLevel="1">
      <c r="B127" s="1246" t="s">
        <v>90</v>
      </c>
      <c r="C127" s="1247">
        <f>'New quarts'!X236</f>
        <v>365.8</v>
      </c>
      <c r="D127" s="1247">
        <f>'New quarts'!Y236</f>
        <v>387</v>
      </c>
      <c r="E127" s="1247">
        <f>'New quarts'!Z236</f>
        <v>379.7</v>
      </c>
      <c r="F127" s="1247">
        <f>'New quarts'!AA236</f>
        <v>391</v>
      </c>
      <c r="G127" s="1247">
        <f>'New quarts'!AC236</f>
        <v>363.9</v>
      </c>
      <c r="H127" s="1247">
        <f>'New quarts'!AD236</f>
        <v>333</v>
      </c>
      <c r="I127" s="1247">
        <f>'New quarts'!AE236</f>
        <v>360.2</v>
      </c>
      <c r="J127" s="1247">
        <f>'New quarts'!AF236</f>
        <v>424</v>
      </c>
      <c r="K127" s="1247">
        <f>'New quarts'!AH236</f>
        <v>449.3</v>
      </c>
      <c r="L127" s="1247">
        <f>'New quarts'!AI236</f>
        <v>464</v>
      </c>
      <c r="M127" s="1247">
        <f>'New quarts'!AK236</f>
        <v>469.6</v>
      </c>
      <c r="N127" s="1247">
        <f>'New quarts'!AM236</f>
        <v>440</v>
      </c>
      <c r="O127" s="1247">
        <f>'New quarts'!AN236</f>
        <v>463.6</v>
      </c>
    </row>
    <row r="128" spans="2:24" hidden="1" outlineLevel="1">
      <c r="B128" s="1243" t="s">
        <v>4431</v>
      </c>
      <c r="C128" s="1248"/>
      <c r="D128" s="1248"/>
      <c r="E128" s="1249">
        <f>E127+8</f>
        <v>387.7</v>
      </c>
      <c r="F128" s="1249">
        <f>F127+8</f>
        <v>399</v>
      </c>
      <c r="G128" s="1249">
        <f>G127</f>
        <v>363.9</v>
      </c>
      <c r="H128" s="1207"/>
      <c r="I128" s="1207"/>
      <c r="J128" s="1207"/>
      <c r="K128" s="1207"/>
      <c r="L128" s="1207"/>
      <c r="M128" s="1207"/>
      <c r="N128" s="1207"/>
      <c r="O128" s="1207"/>
    </row>
    <row r="129" spans="2:28" hidden="1" outlineLevel="1">
      <c r="B129" s="1207"/>
      <c r="C129" s="1207"/>
      <c r="D129" s="1207"/>
      <c r="E129" s="1207"/>
      <c r="F129" s="1207"/>
      <c r="G129" s="1207"/>
      <c r="H129" s="1207"/>
      <c r="I129" s="1207"/>
      <c r="J129" s="1207"/>
      <c r="K129" s="1207"/>
      <c r="L129" s="1207"/>
      <c r="M129" s="1207"/>
      <c r="N129" s="1207"/>
      <c r="O129" s="1207"/>
    </row>
    <row r="130" spans="2:28" collapsed="1">
      <c r="B130" s="1413" t="s">
        <v>4016</v>
      </c>
      <c r="C130" s="1250" t="str">
        <f t="shared" ref="C130:K130" si="175">C103</f>
        <v>Q1 19</v>
      </c>
      <c r="D130" s="1250" t="str">
        <f t="shared" si="175"/>
        <v>Q2 19</v>
      </c>
      <c r="E130" s="1250" t="str">
        <f t="shared" si="175"/>
        <v>Q3 19</v>
      </c>
      <c r="F130" s="1250" t="str">
        <f t="shared" si="175"/>
        <v>Q4 19</v>
      </c>
      <c r="G130" s="1250" t="str">
        <f t="shared" si="175"/>
        <v>Q1 20</v>
      </c>
      <c r="H130" s="1250" t="str">
        <f t="shared" si="175"/>
        <v>Q2 20</v>
      </c>
      <c r="I130" s="1250" t="str">
        <f t="shared" si="175"/>
        <v>Q3 20</v>
      </c>
      <c r="J130" s="1250" t="str">
        <f t="shared" si="175"/>
        <v>Q4 20</v>
      </c>
      <c r="K130" s="1250" t="str">
        <f t="shared" si="175"/>
        <v>Q1 21</v>
      </c>
      <c r="L130" s="1250" t="str">
        <f>L103</f>
        <v>Q2 21</v>
      </c>
      <c r="M130" s="1250" t="s">
        <v>5878</v>
      </c>
      <c r="N130" s="1250" t="str">
        <f>N103</f>
        <v>Q4 21</v>
      </c>
      <c r="O130" s="1250" t="str">
        <f>O103</f>
        <v>Q1 22</v>
      </c>
      <c r="P130" s="1250" t="str">
        <f>P103</f>
        <v>Q2 22</v>
      </c>
      <c r="Q130" s="1250" t="str">
        <f>Q103</f>
        <v>Q3 22</v>
      </c>
      <c r="R130" s="1250" t="s">
        <v>5952</v>
      </c>
      <c r="S130" s="1409" t="str">
        <f t="shared" ref="S130:X130" si="176">S103</f>
        <v>Q1 23</v>
      </c>
      <c r="T130" s="1409" t="str">
        <f t="shared" si="176"/>
        <v>Q2 23</v>
      </c>
      <c r="U130" s="1409" t="str">
        <f t="shared" si="176"/>
        <v>Q3 23</v>
      </c>
      <c r="V130" s="1409" t="str">
        <f t="shared" si="176"/>
        <v>Q4 23</v>
      </c>
      <c r="W130" s="1409" t="str">
        <f t="shared" si="176"/>
        <v>Q1 24</v>
      </c>
      <c r="X130" s="1409" t="str">
        <f t="shared" si="176"/>
        <v>Q2 24</v>
      </c>
    </row>
    <row r="131" spans="2:28">
      <c r="B131" s="1208" t="str">
        <f>B104</f>
        <v>CWC</v>
      </c>
      <c r="C131" s="1412">
        <v>-0.02</v>
      </c>
      <c r="D131" s="1412">
        <v>3.3000000000000002E-2</v>
      </c>
      <c r="E131" s="1412">
        <v>0.02</v>
      </c>
      <c r="F131" s="1412">
        <v>0.125</v>
      </c>
      <c r="G131" s="1412">
        <v>6.4000000000000001E-2</v>
      </c>
      <c r="H131" s="1412">
        <v>-9.5000000000000001E-2</v>
      </c>
      <c r="I131" s="1412">
        <v>-3.3000000000000002E-2</v>
      </c>
      <c r="J131" s="1412">
        <f>-10.3%-4/'New quarts'!AA211</f>
        <v>-0.11912253123740428</v>
      </c>
      <c r="K131" s="1412">
        <v>0.15</v>
      </c>
      <c r="L131" s="1412">
        <v>0.15</v>
      </c>
      <c r="M131" s="1412">
        <v>0.05</v>
      </c>
      <c r="N131" s="1412">
        <v>0.12</v>
      </c>
      <c r="O131" s="1412">
        <v>0.05</v>
      </c>
      <c r="P131" s="1412">
        <v>0.09</v>
      </c>
      <c r="Q131" s="1412">
        <v>0.03</v>
      </c>
      <c r="R131" s="1412">
        <v>0.06</v>
      </c>
      <c r="S131" s="1260">
        <v>0.08</v>
      </c>
      <c r="T131" s="1260">
        <v>0.11</v>
      </c>
      <c r="U131" s="1260">
        <v>0.16</v>
      </c>
      <c r="V131" s="1260">
        <v>0.05</v>
      </c>
      <c r="W131" s="1260">
        <v>0.08</v>
      </c>
      <c r="X131" s="1260">
        <v>0.03</v>
      </c>
    </row>
    <row r="132" spans="2:28">
      <c r="B132" s="1403" t="str">
        <f t="shared" ref="B132:B137" si="177">B106</f>
        <v xml:space="preserve"> - of CWC Caribbean</v>
      </c>
      <c r="C132" s="1406"/>
      <c r="D132" s="1406"/>
      <c r="E132" s="1406"/>
      <c r="F132" s="1406"/>
      <c r="G132" s="1406"/>
      <c r="H132" s="1406"/>
      <c r="I132" s="1406"/>
      <c r="J132" s="1406"/>
      <c r="K132" s="1406"/>
      <c r="L132" s="1406"/>
      <c r="M132" s="1406"/>
      <c r="N132" s="1406"/>
      <c r="O132" s="1406"/>
      <c r="P132" s="1406"/>
      <c r="Q132" s="1406">
        <v>0.11</v>
      </c>
      <c r="R132" s="1406">
        <v>0.1</v>
      </c>
      <c r="S132" s="1406">
        <v>0.08</v>
      </c>
      <c r="T132" s="1406">
        <v>0.08</v>
      </c>
      <c r="U132" s="1406">
        <v>0.14000000000000001</v>
      </c>
      <c r="V132" s="1406">
        <v>0.16</v>
      </c>
      <c r="W132" s="1406">
        <v>0.08</v>
      </c>
      <c r="X132" s="1406">
        <v>0.08</v>
      </c>
    </row>
    <row r="133" spans="2:28">
      <c r="B133" s="1207" t="str">
        <f t="shared" si="177"/>
        <v xml:space="preserve"> - of CWC Networks</v>
      </c>
      <c r="C133" s="1236"/>
      <c r="D133" s="1236"/>
      <c r="E133" s="1236"/>
      <c r="F133" s="1236"/>
      <c r="G133" s="1236"/>
      <c r="H133" s="1236"/>
      <c r="I133" s="1236"/>
      <c r="J133" s="1236"/>
      <c r="K133" s="1236"/>
      <c r="L133" s="1236"/>
      <c r="M133" s="1236"/>
      <c r="N133" s="1236"/>
      <c r="O133" s="1236"/>
      <c r="P133" s="1236"/>
      <c r="Q133" s="1236">
        <v>-0.04</v>
      </c>
      <c r="R133" s="1236">
        <v>0.12</v>
      </c>
      <c r="S133" s="1236">
        <v>0.04</v>
      </c>
      <c r="T133" s="1236">
        <v>-0.02</v>
      </c>
      <c r="U133" s="1236">
        <v>0.11</v>
      </c>
      <c r="V133" s="1236">
        <v>-0.22</v>
      </c>
      <c r="W133" s="1236">
        <v>-0.08</v>
      </c>
      <c r="X133" s="1236">
        <v>-0.13</v>
      </c>
    </row>
    <row r="134" spans="2:28">
      <c r="B134" s="1403" t="str">
        <f t="shared" si="177"/>
        <v xml:space="preserve"> - of CWC Panama</v>
      </c>
      <c r="C134" s="1406"/>
      <c r="D134" s="1406"/>
      <c r="E134" s="1406"/>
      <c r="F134" s="1406"/>
      <c r="G134" s="1406"/>
      <c r="H134" s="1406"/>
      <c r="I134" s="1406"/>
      <c r="J134" s="1406"/>
      <c r="K134" s="1406"/>
      <c r="L134" s="1406"/>
      <c r="M134" s="1406"/>
      <c r="N134" s="1406"/>
      <c r="O134" s="1406">
        <v>-0.08</v>
      </c>
      <c r="P134" s="1406">
        <v>-0.03</v>
      </c>
      <c r="Q134" s="1406">
        <v>-0.05</v>
      </c>
      <c r="R134" s="1406">
        <v>-0.1</v>
      </c>
      <c r="S134" s="1406">
        <v>0.16</v>
      </c>
      <c r="T134" s="1406">
        <v>0.42</v>
      </c>
      <c r="U134" s="1406">
        <v>0.25</v>
      </c>
      <c r="V134" s="1406">
        <v>0.17</v>
      </c>
      <c r="W134" s="1406">
        <v>0.31</v>
      </c>
      <c r="X134" s="1406">
        <v>0.1</v>
      </c>
    </row>
    <row r="135" spans="2:28" hidden="1" outlineLevel="1">
      <c r="B135" s="1237" t="str">
        <f t="shared" si="177"/>
        <v>Chile USD headwind in constant FX</v>
      </c>
      <c r="C135" s="1238">
        <v>0</v>
      </c>
      <c r="D135" s="1238">
        <v>4.9000000000000002E-2</v>
      </c>
      <c r="E135" s="1238">
        <v>2.1000000000000001E-2</v>
      </c>
      <c r="F135" s="1238">
        <v>1E-3</v>
      </c>
      <c r="G135" s="1238">
        <v>1.4E-2</v>
      </c>
      <c r="H135" s="1238">
        <v>-0.121</v>
      </c>
      <c r="I135" s="1238">
        <v>-0.09</v>
      </c>
      <c r="J135" s="1238">
        <v>-0.17299999999999999</v>
      </c>
      <c r="K135" s="1238">
        <v>-0.18</v>
      </c>
      <c r="L135" s="1238">
        <v>-0.18</v>
      </c>
      <c r="M135" s="1238">
        <v>-0.18</v>
      </c>
      <c r="N135" s="1238">
        <v>-0.2</v>
      </c>
      <c r="O135" s="1238">
        <v>-0.26</v>
      </c>
      <c r="P135" s="1238">
        <v>-0.35</v>
      </c>
      <c r="Q135" s="1238">
        <v>-0.42</v>
      </c>
      <c r="R135" s="1238"/>
      <c r="S135" s="1238"/>
      <c r="T135" s="1238"/>
      <c r="U135" s="1238"/>
      <c r="V135" s="1238"/>
      <c r="W135" s="1238"/>
      <c r="X135" s="1238"/>
    </row>
    <row r="136" spans="2:28" collapsed="1">
      <c r="B136" s="1208" t="str">
        <f t="shared" si="177"/>
        <v>Puerto Rico</v>
      </c>
      <c r="C136" s="1260"/>
      <c r="D136" s="1260"/>
      <c r="E136" s="1260"/>
      <c r="F136" s="1260"/>
      <c r="G136" s="1260">
        <v>3.7999999999999999E-2</v>
      </c>
      <c r="H136" s="1260">
        <v>1.6E-2</v>
      </c>
      <c r="I136" s="1260">
        <v>0.14399999999999999</v>
      </c>
      <c r="J136" s="1260">
        <v>0.217</v>
      </c>
      <c r="K136" s="1260">
        <f>('New quarts'!AH242-98)/'New quarts'!AC242-1</f>
        <v>2.7722772277227747E-2</v>
      </c>
      <c r="L136" s="1260">
        <v>0.20992366412213759</v>
      </c>
      <c r="M136" s="1260">
        <v>0.03</v>
      </c>
      <c r="N136" s="1260">
        <v>0.01</v>
      </c>
      <c r="O136" s="1260">
        <v>-0.04</v>
      </c>
      <c r="P136" s="1260">
        <v>-0.08</v>
      </c>
      <c r="Q136" s="1260">
        <v>-0.06</v>
      </c>
      <c r="R136" s="1260">
        <v>-0.11</v>
      </c>
      <c r="S136" s="1260">
        <v>-0.04</v>
      </c>
      <c r="T136" s="1260">
        <v>-0.03</v>
      </c>
      <c r="U136" s="1260">
        <v>-0.11</v>
      </c>
      <c r="V136" s="1260">
        <v>-0.12</v>
      </c>
      <c r="W136" s="1260">
        <v>-0.46</v>
      </c>
      <c r="X136" s="1260">
        <v>-0.48</v>
      </c>
    </row>
    <row r="137" spans="2:28" hidden="1" outlineLevel="1">
      <c r="B137" s="1237" t="str">
        <f t="shared" si="177"/>
        <v xml:space="preserve"> - of which Liberty Mobile residential service</v>
      </c>
      <c r="C137" s="1238"/>
      <c r="D137" s="1238"/>
      <c r="E137" s="1238"/>
      <c r="F137" s="1238"/>
      <c r="G137" s="1238"/>
      <c r="H137" s="1238"/>
      <c r="I137" s="1238"/>
      <c r="J137" s="1238"/>
      <c r="K137" s="1238"/>
      <c r="L137" s="1238">
        <v>0.20987654320987659</v>
      </c>
      <c r="M137" s="1238">
        <v>-3.7499999999999978E-2</v>
      </c>
      <c r="N137" s="1237"/>
      <c r="O137" s="1237"/>
      <c r="P137" s="1237"/>
      <c r="Q137" s="1237"/>
      <c r="R137" s="1237"/>
      <c r="S137" s="1237"/>
      <c r="T137" s="1237"/>
      <c r="U137" s="1237"/>
      <c r="V137" s="1237"/>
      <c r="W137" s="1237"/>
      <c r="X137" s="1237"/>
    </row>
    <row r="138" spans="2:28" collapsed="1">
      <c r="B138" s="1237" t="s">
        <v>3411</v>
      </c>
      <c r="C138" s="1238"/>
      <c r="D138" s="1238"/>
      <c r="E138" s="1238"/>
      <c r="F138" s="1238"/>
      <c r="G138" s="1238"/>
      <c r="H138" s="1238"/>
      <c r="I138" s="1238"/>
      <c r="J138" s="1238"/>
      <c r="K138" s="1238"/>
      <c r="L138" s="1238"/>
      <c r="M138" s="1238"/>
      <c r="N138" s="1237"/>
      <c r="O138" s="1401">
        <v>0.24</v>
      </c>
      <c r="P138" s="1401">
        <v>0.12</v>
      </c>
      <c r="Q138" s="1401">
        <v>0.08</v>
      </c>
      <c r="R138" s="1401">
        <v>0.1</v>
      </c>
      <c r="S138" s="1401">
        <v>0.28000000000000003</v>
      </c>
      <c r="T138" s="1401">
        <v>0.1</v>
      </c>
      <c r="U138" s="1401">
        <v>0.21</v>
      </c>
      <c r="V138" s="1401">
        <v>0.36</v>
      </c>
      <c r="W138" s="1401">
        <v>0.18</v>
      </c>
      <c r="X138" s="1401">
        <v>0.01</v>
      </c>
    </row>
    <row r="139" spans="2:28">
      <c r="B139" s="1251" t="s">
        <v>90</v>
      </c>
      <c r="C139" s="1252">
        <v>8.5000000000000006E-2</v>
      </c>
      <c r="D139" s="1252">
        <v>7.8E-2</v>
      </c>
      <c r="E139" s="1252">
        <f>1.4%+11/364</f>
        <v>4.4219780219780222E-2</v>
      </c>
      <c r="F139" s="1252">
        <f>-4.6%</f>
        <v>-4.5999999999999999E-2</v>
      </c>
      <c r="G139" s="1252">
        <v>4.2000000000000003E-2</v>
      </c>
      <c r="H139" s="1252">
        <v>-8.1000000000000003E-2</v>
      </c>
      <c r="I139" s="1252">
        <v>-7.0000000000000001E-3</v>
      </c>
      <c r="J139" s="1252">
        <f>-3.7%-4/'New quarts'!AA236</f>
        <v>-4.7230179028133E-2</v>
      </c>
      <c r="K139" s="1252">
        <v>0.1</v>
      </c>
      <c r="L139" s="1252">
        <v>0.1</v>
      </c>
      <c r="M139" s="1252">
        <v>0</v>
      </c>
      <c r="N139" s="1252">
        <v>0.03</v>
      </c>
      <c r="O139" s="1252">
        <v>-0.02</v>
      </c>
      <c r="P139" s="1252">
        <v>-0.02</v>
      </c>
      <c r="Q139" s="1252">
        <v>-0.06</v>
      </c>
      <c r="R139" s="1252">
        <v>-0.01</v>
      </c>
      <c r="S139" s="1252">
        <v>0.01</v>
      </c>
      <c r="T139" s="1252">
        <v>0.04</v>
      </c>
      <c r="U139" s="1252">
        <v>0.1</v>
      </c>
      <c r="V139" s="1252">
        <v>0.06</v>
      </c>
      <c r="W139" s="1252">
        <v>-7.0000000000000007E-2</v>
      </c>
      <c r="X139" s="1252">
        <v>-0.12</v>
      </c>
    </row>
    <row r="140" spans="2:28">
      <c r="B140" s="1257" t="s">
        <v>6215</v>
      </c>
      <c r="C140" s="1258"/>
      <c r="D140" s="1258"/>
      <c r="E140" s="1258"/>
      <c r="F140" s="1258"/>
      <c r="G140" s="1258"/>
      <c r="H140" s="1258"/>
      <c r="I140" s="1258"/>
      <c r="J140" s="1258"/>
      <c r="K140" s="1259">
        <f>('LiLAC valuation'!AH$272*1000/'LiLAC valuation'!AH$314)-('LiLAC valuation'!AD$272*1000/'LiLAC valuation'!AH$314)</f>
        <v>-18.227614750041312</v>
      </c>
      <c r="L140" s="1259">
        <f>('LiLAC valuation'!AI$272*1000/'LiLAC valuation'!AI$314)-('LiLAC valuation'!AE$272*1000/'LiLAC valuation'!AI$314)</f>
        <v>-15.076121528143176</v>
      </c>
      <c r="M140" s="1259">
        <f>('LiLAC valuation'!AJ$272*1000/'LiLAC valuation'!AJ$314)-('LiLAC valuation'!AF$272*1000/'LiLAC valuation'!AJ$314)</f>
        <v>-14.735605170387771</v>
      </c>
      <c r="N140" s="1259">
        <f>('LiLAC valuation'!AK$272*1000/'LiLAC valuation'!AK$314)-('LiLAC valuation'!AG$272*1000/'LiLAC valuation'!AK$314)</f>
        <v>-13.261064087061669</v>
      </c>
      <c r="O140" s="1259">
        <f>('LiLAC valuation'!AL$272*1000/'LiLAC valuation'!AL$314)-('LiLAC valuation'!AH$272*1000/'LiLAC valuation'!AL$314)</f>
        <v>-16.481907975188491</v>
      </c>
      <c r="P140" s="1259">
        <f>('LiLAC valuation'!AM$272*1000/'LiLAC valuation'!AM$314)-('LiLAC valuation'!AI$272*1000/'LiLAC valuation'!AM$314)</f>
        <v>-20.583164188705915</v>
      </c>
      <c r="Q140" s="1259">
        <f>('LiLAC valuation'!AN$272*1000/'LiLAC valuation'!AN$314)-('LiLAC valuation'!AJ$272*1000/'LiLAC valuation'!AN$314)</f>
        <v>-23.119654427645788</v>
      </c>
      <c r="R140" s="1259"/>
      <c r="S140" s="1259"/>
      <c r="T140" s="1259"/>
      <c r="U140" s="1259"/>
      <c r="V140" s="1259"/>
      <c r="W140" s="1259"/>
      <c r="X140" s="1259"/>
    </row>
    <row r="141" spans="2:28">
      <c r="B141" t="s">
        <v>6217</v>
      </c>
      <c r="C141" s="1260"/>
      <c r="D141" s="1260"/>
      <c r="E141" s="1260"/>
      <c r="F141" s="1260"/>
      <c r="G141" s="1260"/>
      <c r="H141" s="1260"/>
      <c r="I141" s="1260"/>
      <c r="J141" s="1260"/>
      <c r="K141" s="16"/>
      <c r="L141" s="16"/>
      <c r="M141" s="16"/>
      <c r="N141" s="16"/>
      <c r="O141" s="16">
        <f>K39-G39</f>
        <v>-5.5999999999999943</v>
      </c>
      <c r="P141" s="16">
        <v>0</v>
      </c>
      <c r="Q141" s="16">
        <v>0</v>
      </c>
      <c r="R141" s="16"/>
      <c r="S141" s="16"/>
      <c r="T141" s="16"/>
      <c r="U141" s="16"/>
      <c r="V141" s="16"/>
      <c r="W141" s="16"/>
      <c r="X141" s="16"/>
    </row>
    <row r="142" spans="2:28">
      <c r="B142" s="1373" t="s">
        <v>6214</v>
      </c>
      <c r="C142" s="1373"/>
      <c r="D142" s="1373"/>
      <c r="E142" s="1373"/>
      <c r="F142" s="1373"/>
      <c r="G142" s="1373"/>
      <c r="H142" s="1373"/>
      <c r="I142" s="1373"/>
      <c r="J142" s="1373"/>
      <c r="K142" s="1374">
        <f t="shared" ref="K142:P142" si="178">K139-(K140+K141)/C43</f>
        <v>0.15008962558406516</v>
      </c>
      <c r="L142" s="1374">
        <f t="shared" si="178"/>
        <v>0.14527363822265218</v>
      </c>
      <c r="M142" s="1374">
        <f t="shared" si="178"/>
        <v>4.0909509079366385E-2</v>
      </c>
      <c r="N142" s="1374">
        <f t="shared" si="178"/>
        <v>6.1276094544956763E-2</v>
      </c>
      <c r="O142" s="1374">
        <f t="shared" si="178"/>
        <v>2.9147358057397026E-2</v>
      </c>
      <c r="P142" s="1374">
        <f t="shared" si="178"/>
        <v>2.436026764807309E-2</v>
      </c>
      <c r="Q142" s="1374">
        <v>-0.01</v>
      </c>
      <c r="R142" s="1374">
        <f>R139</f>
        <v>-0.01</v>
      </c>
      <c r="S142" s="1374">
        <f>S139</f>
        <v>0.01</v>
      </c>
      <c r="T142" s="1374">
        <f>T139</f>
        <v>0.04</v>
      </c>
      <c r="U142" s="1374">
        <f>U139</f>
        <v>0.1</v>
      </c>
      <c r="V142" s="1374">
        <f>V139</f>
        <v>0.06</v>
      </c>
      <c r="W142" s="1374">
        <v>-7.0000000000000007E-2</v>
      </c>
      <c r="X142" s="1374">
        <f>X139</f>
        <v>-0.12</v>
      </c>
    </row>
    <row r="143" spans="2:28">
      <c r="B143" s="1176"/>
      <c r="C143" s="1175"/>
      <c r="D143" s="1175"/>
      <c r="E143" s="1175"/>
      <c r="F143" s="1175"/>
      <c r="G143" s="1175"/>
      <c r="H143" s="1175"/>
      <c r="I143" s="1175"/>
      <c r="J143" s="1175"/>
      <c r="K143" s="1175"/>
      <c r="L143" s="1175"/>
      <c r="M143" s="1175"/>
      <c r="Q143" s="1175"/>
      <c r="R143" s="1175"/>
      <c r="S143" s="1175"/>
      <c r="T143" s="1175"/>
      <c r="U143" s="1175"/>
      <c r="V143" s="1175"/>
      <c r="W143" s="1175"/>
      <c r="X143" s="1175"/>
      <c r="Y143" s="1175"/>
      <c r="Z143" s="1175"/>
      <c r="AA143" s="1175"/>
      <c r="AB143" s="1175"/>
    </row>
    <row r="145" spans="2:11">
      <c r="B145" s="552" t="s">
        <v>5962</v>
      </c>
      <c r="C145" s="552">
        <v>2020</v>
      </c>
      <c r="D145" s="552">
        <f>C145+1</f>
        <v>2021</v>
      </c>
      <c r="E145" s="552">
        <f>D145+1</f>
        <v>2022</v>
      </c>
      <c r="F145" s="552">
        <f>E145+1</f>
        <v>2023</v>
      </c>
      <c r="G145" s="552">
        <f>F145+1</f>
        <v>2024</v>
      </c>
      <c r="H145" s="552">
        <f>G145+1</f>
        <v>2025</v>
      </c>
      <c r="K145" s="552"/>
    </row>
    <row r="146" spans="2:11">
      <c r="B146" t="str">
        <f>B30</f>
        <v>CWC</v>
      </c>
      <c r="C146" s="486">
        <f>SUM(Master!L40:L46)</f>
        <v>2205.9</v>
      </c>
      <c r="D146" s="486">
        <f>SUM(Master!M40:M46)</f>
        <v>2353.1000000000004</v>
      </c>
      <c r="E146" s="486">
        <f>SUM(Master!N40:N46)</f>
        <v>2589</v>
      </c>
      <c r="F146" s="486">
        <f>SUM(Master!O40:O46)</f>
        <v>2700.7</v>
      </c>
      <c r="G146" s="486">
        <f>SUM(Master!P40:P46)</f>
        <v>2757.7449577034972</v>
      </c>
      <c r="H146" s="486">
        <f>SUM(Master!Q40:Q46)</f>
        <v>2824.216675131273</v>
      </c>
      <c r="K146" s="486"/>
    </row>
    <row r="147" spans="2:11">
      <c r="B147" t="e">
        <f>#REF!</f>
        <v>#REF!</v>
      </c>
      <c r="C147" s="486">
        <f>Master!L48-C148</f>
        <v>174</v>
      </c>
      <c r="D147" s="486">
        <f>Master!M48-D148</f>
        <v>734.3</v>
      </c>
      <c r="E147" s="486">
        <f>Master!N48-E148</f>
        <v>716.39999999999986</v>
      </c>
      <c r="F147" s="486">
        <f>Master!O48-F148</f>
        <v>643.19999999999993</v>
      </c>
      <c r="G147" s="486">
        <f>Master!P48-G148</f>
        <v>479.31672425998477</v>
      </c>
      <c r="H147" s="486">
        <f>Master!Q48-H148</f>
        <v>504.72617091805091</v>
      </c>
      <c r="K147" s="486"/>
    </row>
    <row r="148" spans="2:11">
      <c r="B148" t="str">
        <f>B31</f>
        <v>Puerto Rico</v>
      </c>
      <c r="C148" s="486">
        <f>'Puerto Rico'!H42</f>
        <v>451</v>
      </c>
      <c r="D148" s="486">
        <f>'Puerto Rico'!I42</f>
        <v>720.7</v>
      </c>
      <c r="E148" s="486">
        <f>'Puerto Rico'!J42</f>
        <v>753.7</v>
      </c>
      <c r="F148" s="486">
        <f>'Puerto Rico'!K42</f>
        <v>773.80000000000007</v>
      </c>
      <c r="G148" s="486">
        <f>'Puerto Rico'!L42</f>
        <v>799.48607574001539</v>
      </c>
      <c r="H148" s="486">
        <f>'Puerto Rico'!M42</f>
        <v>822.61511620194915</v>
      </c>
      <c r="K148" s="486"/>
    </row>
    <row r="149" spans="2:11">
      <c r="B149" t="str">
        <f>B32</f>
        <v>VTR</v>
      </c>
      <c r="C149" s="486">
        <f>Master!L47</f>
        <v>807.82828282828302</v>
      </c>
      <c r="D149" s="486">
        <f>Master!M47</f>
        <v>782.99553219448092</v>
      </c>
      <c r="E149" s="486">
        <f>Master!N47</f>
        <v>450.6</v>
      </c>
      <c r="F149" s="486">
        <f>Master!O47</f>
        <v>0</v>
      </c>
      <c r="G149" s="486">
        <f>Master!P47</f>
        <v>0</v>
      </c>
      <c r="H149" s="486">
        <f>Master!Q47</f>
        <v>0</v>
      </c>
      <c r="K149" s="486"/>
    </row>
    <row r="150" spans="2:11">
      <c r="B150" t="str">
        <f>B33</f>
        <v>Costa Rica</v>
      </c>
      <c r="C150" s="486">
        <f>Master!L49</f>
        <v>143</v>
      </c>
      <c r="D150" s="486">
        <f>Master!M49</f>
        <v>256.2</v>
      </c>
      <c r="E150" s="486">
        <f>Master!N49</f>
        <v>441.30000000000007</v>
      </c>
      <c r="F150" s="486">
        <f>Master!O49</f>
        <v>547.9</v>
      </c>
      <c r="G150" s="486">
        <f>Master!P49</f>
        <v>587.03287333112166</v>
      </c>
      <c r="H150" s="486">
        <f>Master!Q49</f>
        <v>597.57661798413017</v>
      </c>
      <c r="K150" s="486"/>
    </row>
    <row r="151" spans="2:11">
      <c r="B151" s="3" t="str">
        <f>B34</f>
        <v>Corp / elims</v>
      </c>
      <c r="C151" s="487">
        <f>Master!L50</f>
        <v>-16.728282828283227</v>
      </c>
      <c r="D151" s="487">
        <f>Master!M50</f>
        <v>-56</v>
      </c>
      <c r="E151" s="487">
        <f>Master!N50</f>
        <v>-58</v>
      </c>
      <c r="F151" s="487">
        <f>Master!O50</f>
        <v>-68</v>
      </c>
      <c r="G151" s="487">
        <f>Master!P50</f>
        <v>-68</v>
      </c>
      <c r="H151" s="487">
        <f>Master!Q50</f>
        <v>-68</v>
      </c>
      <c r="K151" s="487"/>
    </row>
    <row r="152" spans="2:11">
      <c r="B152" s="12" t="str">
        <f>B35</f>
        <v>Group</v>
      </c>
      <c r="C152" s="1166">
        <f>Master!L52</f>
        <v>3765</v>
      </c>
      <c r="D152" s="1166">
        <f>Master!M52</f>
        <v>4791.295532194481</v>
      </c>
      <c r="E152" s="1166">
        <f>Master!N52</f>
        <v>4815</v>
      </c>
      <c r="F152" s="1166">
        <f>Master!O52</f>
        <v>4511.1000000000004</v>
      </c>
      <c r="G152" s="1166">
        <f>Master!P52</f>
        <v>4469.0806310346197</v>
      </c>
      <c r="H152" s="1166">
        <f>Master!Q52</f>
        <v>4594.6345802354044</v>
      </c>
      <c r="K152" s="1166"/>
    </row>
    <row r="154" spans="2:11">
      <c r="B154" s="12" t="s">
        <v>80</v>
      </c>
    </row>
    <row r="155" spans="2:11">
      <c r="B155" t="str">
        <f>B38</f>
        <v>CWC</v>
      </c>
      <c r="C155" s="486">
        <f>SUM(Master!L63:L69)</f>
        <v>886.00000000000023</v>
      </c>
      <c r="D155" s="486">
        <f>SUM(Master!M63:M69)</f>
        <v>947.30000000000007</v>
      </c>
      <c r="E155" s="486">
        <f>SUM(Master!N63:N69)</f>
        <v>1002.2992214999999</v>
      </c>
      <c r="F155" s="486">
        <f>SUM(Master!O63:O69)</f>
        <v>1086.2</v>
      </c>
      <c r="G155" s="486">
        <f>SUM(Master!P63:P69)</f>
        <v>1121.9841984141069</v>
      </c>
      <c r="H155" s="486">
        <f>SUM(Master!Q63:Q69)</f>
        <v>1184.2504847729369</v>
      </c>
      <c r="K155" s="486"/>
    </row>
    <row r="156" spans="2:11">
      <c r="B156" t="str">
        <f>B39</f>
        <v>Puerto Rico</v>
      </c>
      <c r="C156" s="486">
        <f>Master!L71-C157</f>
        <v>55.999999999999972</v>
      </c>
      <c r="D156" s="486">
        <f>Master!M71-D157</f>
        <v>235.00000000000006</v>
      </c>
      <c r="E156" s="486">
        <f>Master!N71-E157</f>
        <v>189.99999999999994</v>
      </c>
      <c r="F156" s="486">
        <f>Master!O71-F157</f>
        <v>485.5</v>
      </c>
      <c r="G156" s="486">
        <f>Master!P71-G157</f>
        <v>323.91267200000004</v>
      </c>
      <c r="H156" s="486">
        <f>Master!Q71-H157</f>
        <v>481.47579900720001</v>
      </c>
      <c r="K156" s="486"/>
    </row>
    <row r="157" spans="2:11">
      <c r="B157" t="e">
        <f>#REF!</f>
        <v>#REF!</v>
      </c>
      <c r="C157" s="486">
        <f>'Puerto Rico'!H49</f>
        <v>220.9</v>
      </c>
      <c r="D157" s="486">
        <f>'Puerto Rico'!I49</f>
        <v>350.90000000000003</v>
      </c>
      <c r="E157" s="486">
        <f>'Puerto Rico'!J49</f>
        <v>354.8</v>
      </c>
      <c r="F157" s="486">
        <f>'Puerto Rico'!K49</f>
        <v>0</v>
      </c>
      <c r="G157" s="486">
        <f>'Puerto Rico'!L49</f>
        <v>0</v>
      </c>
      <c r="H157" s="486">
        <f>'Puerto Rico'!M49</f>
        <v>0</v>
      </c>
      <c r="K157" s="486"/>
    </row>
    <row r="158" spans="2:11">
      <c r="B158" t="str">
        <f>B40</f>
        <v>VTR</v>
      </c>
      <c r="C158" s="486">
        <f>Master!L70</f>
        <v>306.43939393939394</v>
      </c>
      <c r="D158" s="486">
        <f>Master!M70</f>
        <v>257.9935611038108</v>
      </c>
      <c r="E158" s="486">
        <f>Master!N70</f>
        <v>115.6</v>
      </c>
      <c r="F158" s="486">
        <f>Master!O70</f>
        <v>0</v>
      </c>
      <c r="G158" s="486">
        <f>Master!P70</f>
        <v>0</v>
      </c>
      <c r="H158" s="486">
        <f>Master!Q70</f>
        <v>0</v>
      </c>
      <c r="K158" s="486"/>
    </row>
    <row r="159" spans="2:11">
      <c r="B159" t="str">
        <f>B41</f>
        <v>Costa Rica</v>
      </c>
      <c r="C159" s="486">
        <f>Master!L72</f>
        <v>56</v>
      </c>
      <c r="D159" s="486">
        <f>Master!M72</f>
        <v>80.2</v>
      </c>
      <c r="E159" s="486">
        <f>Master!N72</f>
        <v>134.69999999999999</v>
      </c>
      <c r="F159" s="486">
        <f>Master!O72</f>
        <v>203.1</v>
      </c>
      <c r="G159" s="486">
        <f>Master!P72</f>
        <v>217.20216313251501</v>
      </c>
      <c r="H159" s="486">
        <f>Master!Q72</f>
        <v>221.10334865412818</v>
      </c>
      <c r="K159" s="486"/>
    </row>
    <row r="160" spans="2:11">
      <c r="B160" s="3" t="str">
        <f>B42</f>
        <v>Other / elims</v>
      </c>
      <c r="C160" s="487">
        <f>Master!L73</f>
        <v>-40.339393939394085</v>
      </c>
      <c r="D160" s="487">
        <f>Master!M73</f>
        <v>-52.9</v>
      </c>
      <c r="E160" s="487">
        <f>Master!N73</f>
        <v>-79.39922149999984</v>
      </c>
      <c r="F160" s="487">
        <f>Master!O73</f>
        <v>-73.200000000000045</v>
      </c>
      <c r="G160" s="487">
        <f>Master!P73</f>
        <v>-84</v>
      </c>
      <c r="H160" s="487">
        <f>Master!Q73</f>
        <v>-84</v>
      </c>
      <c r="K160" s="487"/>
    </row>
    <row r="161" spans="2:11">
      <c r="B161" s="12" t="str">
        <f>B43</f>
        <v>Group</v>
      </c>
      <c r="C161" s="1166">
        <f>Master!L74</f>
        <v>1485</v>
      </c>
      <c r="D161" s="1166">
        <f>Master!M74</f>
        <v>1818.4935611038109</v>
      </c>
      <c r="E161" s="1166">
        <f>Master!N74</f>
        <v>1718</v>
      </c>
      <c r="F161" s="1166">
        <f>Master!O74</f>
        <v>1701.6</v>
      </c>
      <c r="G161" s="1166">
        <f>Master!P74</f>
        <v>1579.0990335466222</v>
      </c>
      <c r="H161" s="1166">
        <f>Master!Q74</f>
        <v>1802.8296324342652</v>
      </c>
      <c r="K161" s="1166"/>
    </row>
    <row r="163" spans="2:11">
      <c r="B163" s="12" t="s">
        <v>6051</v>
      </c>
      <c r="C163" s="1166">
        <f>Master!L79</f>
        <v>1485</v>
      </c>
      <c r="D163" s="1166">
        <f>Master!M79</f>
        <v>1835.4935611038109</v>
      </c>
      <c r="E163" s="1166">
        <f>Master!N79</f>
        <v>1743</v>
      </c>
      <c r="F163" s="1166">
        <f>Master!O79</f>
        <v>1738.6</v>
      </c>
      <c r="G163" s="1166">
        <f>Master!P79</f>
        <v>1602.0990335466222</v>
      </c>
      <c r="H163" s="1166">
        <f>Master!Q79</f>
        <v>1802.8296324342652</v>
      </c>
      <c r="K163" s="1166"/>
    </row>
    <row r="165" spans="2:11">
      <c r="B165" s="12" t="s">
        <v>19</v>
      </c>
    </row>
    <row r="166" spans="2:11">
      <c r="B166" t="str">
        <f>B155</f>
        <v>CWC</v>
      </c>
      <c r="C166" s="486">
        <f>SUM(Master!L110:L116)</f>
        <v>317.20000000000005</v>
      </c>
      <c r="D166" s="486">
        <f>SUM(Master!M110:M116)</f>
        <v>357.09999999999997</v>
      </c>
      <c r="E166" s="486">
        <f>SUM(Master!N110:N116)</f>
        <v>359.69065800000004</v>
      </c>
      <c r="F166" s="486">
        <f>SUM(Master!O110:O116)</f>
        <v>399.6</v>
      </c>
      <c r="G166" s="486">
        <f>SUM(Master!P110:P116)</f>
        <v>400.34709410878224</v>
      </c>
      <c r="H166" s="486">
        <f>SUM(Master!Q110:Q116)</f>
        <v>400.42058782805361</v>
      </c>
      <c r="K166" s="486"/>
    </row>
    <row r="167" spans="2:11">
      <c r="B167" t="str">
        <f t="shared" ref="B167:B172" si="179">B156</f>
        <v>Puerto Rico</v>
      </c>
      <c r="C167" s="486">
        <f>Master!L118-C168</f>
        <v>21.885000000000005</v>
      </c>
      <c r="D167" s="486">
        <f>Master!M118-D168</f>
        <v>110.145</v>
      </c>
      <c r="E167" s="486">
        <f>Master!N118-E168</f>
        <v>114.62399999999998</v>
      </c>
      <c r="F167" s="486">
        <f>Master!O118-F168</f>
        <v>219</v>
      </c>
      <c r="G167" s="486">
        <f>Master!P118-G168</f>
        <v>204.60844800000004</v>
      </c>
      <c r="H167" s="486">
        <f>Master!Q118-H168</f>
        <v>212.37460593920002</v>
      </c>
      <c r="K167" s="486"/>
    </row>
    <row r="168" spans="2:11">
      <c r="B168" t="e">
        <f t="shared" si="179"/>
        <v>#REF!</v>
      </c>
      <c r="C168" s="486">
        <f>'Puerto Rico'!H52</f>
        <v>74.05</v>
      </c>
      <c r="D168" s="486">
        <f>'Puerto Rico'!I52</f>
        <v>109.05499999999999</v>
      </c>
      <c r="E168" s="486">
        <f>'Puerto Rico'!J52</f>
        <v>118.87600000000002</v>
      </c>
      <c r="F168" s="486">
        <f>'Puerto Rico'!K52</f>
        <v>0</v>
      </c>
      <c r="G168" s="486">
        <f>'Puerto Rico'!L52</f>
        <v>0</v>
      </c>
      <c r="H168" s="486">
        <f>'Puerto Rico'!M52</f>
        <v>0</v>
      </c>
      <c r="K168" s="486"/>
    </row>
    <row r="169" spans="2:11">
      <c r="B169" t="str">
        <f t="shared" si="179"/>
        <v>VTR</v>
      </c>
      <c r="C169" s="486">
        <f>Master!L117</f>
        <v>171.84343434343435</v>
      </c>
      <c r="D169" s="486">
        <f>Master!M117</f>
        <v>199.1</v>
      </c>
      <c r="E169" s="486">
        <f>Master!N117</f>
        <v>115.6</v>
      </c>
      <c r="F169" s="486">
        <f>Master!O117</f>
        <v>0</v>
      </c>
      <c r="G169" s="486">
        <f>Master!P117</f>
        <v>0</v>
      </c>
      <c r="H169" s="486">
        <f>Master!Q117</f>
        <v>0</v>
      </c>
      <c r="K169" s="486"/>
    </row>
    <row r="170" spans="2:11">
      <c r="B170" t="str">
        <f t="shared" si="179"/>
        <v>Costa Rica</v>
      </c>
      <c r="C170" s="486">
        <f>Master!L119</f>
        <v>24.556565656565652</v>
      </c>
      <c r="D170" s="486">
        <f>Master!M119</f>
        <v>45</v>
      </c>
      <c r="E170" s="486">
        <f>Master!N119</f>
        <v>65.7</v>
      </c>
      <c r="F170" s="486">
        <f>Master!O119</f>
        <v>75.2</v>
      </c>
      <c r="G170" s="486">
        <f>Master!P119</f>
        <v>84.790169140145139</v>
      </c>
      <c r="H170" s="486">
        <f>Master!Q119</f>
        <v>83.66072651777823</v>
      </c>
      <c r="K170" s="486"/>
    </row>
    <row r="171" spans="2:11">
      <c r="B171" s="3" t="str">
        <f t="shared" si="179"/>
        <v>Other / elims</v>
      </c>
      <c r="C171" s="487">
        <f>Master!L120</f>
        <v>21.464999999999918</v>
      </c>
      <c r="D171" s="487">
        <f>Master!M120</f>
        <v>35.5</v>
      </c>
      <c r="E171" s="487">
        <f>Master!N120</f>
        <v>41.809341999999901</v>
      </c>
      <c r="F171" s="487">
        <f>Master!O120</f>
        <v>37.099999999999909</v>
      </c>
      <c r="G171" s="487">
        <f>Master!P120</f>
        <v>25</v>
      </c>
      <c r="H171" s="487">
        <f>Master!Q120</f>
        <v>25</v>
      </c>
      <c r="K171" s="487"/>
    </row>
    <row r="172" spans="2:11">
      <c r="B172" s="12" t="str">
        <f t="shared" si="179"/>
        <v>Group</v>
      </c>
      <c r="C172" s="1166">
        <f>Master!L121</f>
        <v>631</v>
      </c>
      <c r="D172" s="1166">
        <f>Master!M121</f>
        <v>855.89999999999986</v>
      </c>
      <c r="E172" s="1166">
        <f>Master!N121</f>
        <v>816.3</v>
      </c>
      <c r="F172" s="1166">
        <f>Master!O121</f>
        <v>730.9</v>
      </c>
      <c r="G172" s="1166">
        <f>Master!P121</f>
        <v>714.74571124892748</v>
      </c>
      <c r="H172" s="1166">
        <f>Master!Q121</f>
        <v>721.45592028503188</v>
      </c>
      <c r="K172" s="1166"/>
    </row>
    <row r="174" spans="2:11">
      <c r="B174" s="12" t="s">
        <v>6030</v>
      </c>
    </row>
    <row r="175" spans="2:11">
      <c r="B175" t="str">
        <f>Valuation!A23</f>
        <v>Rep EBITDA</v>
      </c>
      <c r="C175" s="486">
        <f>Valuation!K23</f>
        <v>1485</v>
      </c>
      <c r="D175" s="486">
        <f>Valuation!L23</f>
        <v>1818.4935611038109</v>
      </c>
      <c r="E175" s="486">
        <f>Valuation!M23</f>
        <v>1718</v>
      </c>
      <c r="F175" s="486">
        <f>Valuation!N23</f>
        <v>1701.6</v>
      </c>
      <c r="G175" s="486">
        <f>Valuation!O23</f>
        <v>1579.0990335466222</v>
      </c>
      <c r="H175" s="486">
        <f>Valuation!P23</f>
        <v>1802.8296324342652</v>
      </c>
      <c r="K175" s="486"/>
    </row>
    <row r="176" spans="2:11">
      <c r="B176" t="str">
        <f>Valuation!A24</f>
        <v>Less Capex (PE adds)</v>
      </c>
      <c r="C176" s="486">
        <f>Valuation!K24</f>
        <v>-631</v>
      </c>
      <c r="D176" s="486">
        <f>Valuation!L24</f>
        <v>-855.89999999999986</v>
      </c>
      <c r="E176" s="486">
        <f>Valuation!M24</f>
        <v>-816.3</v>
      </c>
      <c r="F176" s="486">
        <f>Valuation!N24</f>
        <v>-730.9</v>
      </c>
      <c r="G176" s="486">
        <f>Valuation!O24</f>
        <v>-714.74571124892748</v>
      </c>
      <c r="H176" s="486">
        <f>Valuation!P24</f>
        <v>-721.45592028503188</v>
      </c>
      <c r="K176" s="486"/>
    </row>
    <row r="177" spans="2:48">
      <c r="B177" t="str">
        <f>Valuation!A25</f>
        <v>P&amp;L interest</v>
      </c>
      <c r="C177" s="486">
        <f>Valuation!K25</f>
        <v>-533.4</v>
      </c>
      <c r="D177" s="486">
        <f>Valuation!L25</f>
        <v>-527.4</v>
      </c>
      <c r="E177" s="486">
        <f>Valuation!M25</f>
        <v>-556.70000000000005</v>
      </c>
      <c r="F177" s="486">
        <f>Valuation!N25</f>
        <v>-601.70000000000005</v>
      </c>
      <c r="G177" s="486">
        <f ca="1">Valuation!O25</f>
        <v>-619.35390955854734</v>
      </c>
      <c r="H177" s="486">
        <f ca="1">Valuation!P25</f>
        <v>-653.82239239434932</v>
      </c>
      <c r="K177" s="486"/>
    </row>
    <row r="178" spans="2:48">
      <c r="B178" t="str">
        <f>Valuation!A26</f>
        <v>Normalised tax</v>
      </c>
      <c r="C178" s="486">
        <f>Valuation!K26</f>
        <v>-105.79800000000002</v>
      </c>
      <c r="D178" s="486">
        <f>Valuation!L26</f>
        <v>-143.61387516425765</v>
      </c>
      <c r="E178" s="486">
        <f>Valuation!M26</f>
        <v>-113.85000000000001</v>
      </c>
      <c r="F178" s="486">
        <f>Valuation!N26</f>
        <v>-99.629999999999981</v>
      </c>
      <c r="G178" s="486">
        <f ca="1">Valuation!O26</f>
        <v>-73.499823821744215</v>
      </c>
      <c r="H178" s="486">
        <f ca="1">Valuation!P26</f>
        <v>-128.2653959264652</v>
      </c>
      <c r="K178" s="486"/>
    </row>
    <row r="179" spans="2:48">
      <c r="B179" s="3" t="str">
        <f>Valuation!A27</f>
        <v>Less minorities dividend</v>
      </c>
      <c r="C179" s="487">
        <f>Valuation!K27</f>
        <v>-18.8</v>
      </c>
      <c r="D179" s="487">
        <f>Valuation!L27</f>
        <v>-47.6</v>
      </c>
      <c r="E179" s="487">
        <f>Valuation!M27</f>
        <v>-1.9</v>
      </c>
      <c r="F179" s="487">
        <f>Valuation!N27</f>
        <v>-75.400000000000006</v>
      </c>
      <c r="G179" s="487">
        <f>Valuation!O27</f>
        <v>-35</v>
      </c>
      <c r="H179" s="487">
        <f>Valuation!P27</f>
        <v>-50</v>
      </c>
      <c r="K179" s="487"/>
    </row>
    <row r="180" spans="2:48">
      <c r="B180" s="12" t="str">
        <f>Valuation!A28</f>
        <v>Normalised EFCF</v>
      </c>
      <c r="C180" s="1166">
        <f>Valuation!K28</f>
        <v>196.00200000000001</v>
      </c>
      <c r="D180" s="1166">
        <f>Valuation!L28</f>
        <v>243.97968593955338</v>
      </c>
      <c r="E180" s="1166">
        <f>Valuation!M28</f>
        <v>229.24999999999997</v>
      </c>
      <c r="F180" s="1166">
        <f>Valuation!N28</f>
        <v>193.96999999999989</v>
      </c>
      <c r="G180" s="1166">
        <f ca="1">Valuation!O28</f>
        <v>136.49958891740317</v>
      </c>
      <c r="H180" s="1166">
        <f ca="1">Valuation!P28</f>
        <v>249.28592382841885</v>
      </c>
      <c r="K180" s="1166"/>
    </row>
    <row r="181" spans="2:48">
      <c r="AV181" s="5">
        <v>0.02</v>
      </c>
    </row>
    <row r="182" spans="2:48">
      <c r="B182" s="12" t="s">
        <v>3475</v>
      </c>
      <c r="C182" s="1166">
        <f>Valuation!K32</f>
        <v>145.80000000000024</v>
      </c>
      <c r="D182" s="1166">
        <f>Valuation!L32</f>
        <v>199.80000000000007</v>
      </c>
      <c r="E182" s="1166">
        <f>Valuation!M32</f>
        <v>187.70000000000016</v>
      </c>
      <c r="F182" s="1166">
        <f>Valuation!N32</f>
        <v>197</v>
      </c>
      <c r="G182" s="1166">
        <f ca="1">Valuation!O32</f>
        <v>16.464687652834982</v>
      </c>
      <c r="H182" s="1166">
        <f ca="1">Valuation!P32</f>
        <v>379.06196940320535</v>
      </c>
      <c r="K182" s="1166"/>
    </row>
    <row r="184" spans="2:48">
      <c r="AV184" s="5">
        <v>-0.03</v>
      </c>
    </row>
    <row r="185" spans="2:48">
      <c r="B185" s="12" t="s">
        <v>5901</v>
      </c>
      <c r="H185" s="870" t="str">
        <f>Snaps!K103</f>
        <v>Q1 21</v>
      </c>
      <c r="I185" s="870" t="str">
        <f>Snaps!L103</f>
        <v>Q2 21</v>
      </c>
      <c r="J185" s="870" t="str">
        <f>Snaps!M103</f>
        <v>Q3 21</v>
      </c>
      <c r="K185" s="870" t="str">
        <f>Snaps!N103</f>
        <v>Q4 21</v>
      </c>
      <c r="L185" s="870" t="str">
        <f>Snaps!O103</f>
        <v>Q1 22</v>
      </c>
      <c r="M185" s="870" t="str">
        <f>Snaps!P103</f>
        <v>Q2 22</v>
      </c>
      <c r="N185" s="870" t="str">
        <f>Snaps!Q103</f>
        <v>Q3 22</v>
      </c>
      <c r="AV185" s="5">
        <v>0</v>
      </c>
    </row>
    <row r="186" spans="2:48">
      <c r="B186" t="s">
        <v>6471</v>
      </c>
      <c r="H186">
        <f>Snaps!K97</f>
        <v>116.5</v>
      </c>
      <c r="I186">
        <f>Snaps!L97</f>
        <v>123.7</v>
      </c>
      <c r="J186">
        <f>Snaps!M97</f>
        <v>122</v>
      </c>
      <c r="K186">
        <f>Snaps!N97</f>
        <v>118.60000000000002</v>
      </c>
      <c r="L186">
        <f>Snaps!O97</f>
        <v>116.8</v>
      </c>
      <c r="M186">
        <f>Snaps!P97</f>
        <v>117.2</v>
      </c>
      <c r="N186">
        <f>Snaps!Q97</f>
        <v>111.2</v>
      </c>
    </row>
    <row r="187" spans="2:48">
      <c r="B187" t="s">
        <v>1569</v>
      </c>
      <c r="G187">
        <f>'LiLAC valuation'!AG336</f>
        <v>1022.6</v>
      </c>
      <c r="H187">
        <f>'LiLAC valuation'!AH336</f>
        <v>1020.7</v>
      </c>
      <c r="I187">
        <f>'LiLAC valuation'!AI336</f>
        <v>1026.7</v>
      </c>
      <c r="J187">
        <f>'LiLAC valuation'!AJ336</f>
        <v>1023.7</v>
      </c>
      <c r="K187">
        <f>'LiLAC valuation'!AK336</f>
        <v>1022.4</v>
      </c>
      <c r="L187">
        <f>'LiLAC valuation'!AL336</f>
        <v>1052.5999999999999</v>
      </c>
      <c r="M187">
        <f>'LiLAC valuation'!AM336</f>
        <v>1037</v>
      </c>
      <c r="N187">
        <f>'LiLAC valuation'!AN336</f>
        <v>1073.8999999999999</v>
      </c>
    </row>
    <row r="188" spans="2:48">
      <c r="B188" t="s">
        <v>904</v>
      </c>
      <c r="H188" s="62">
        <f>H186/AVERAGE(G187,H187)/3*1000</f>
        <v>38.010408000130504</v>
      </c>
      <c r="I188" s="62">
        <f>I186/AVERAGE(H187,I187)/3*1000</f>
        <v>40.278727491778184</v>
      </c>
      <c r="J188" s="62">
        <f>J186/AVERAGE(I187,J187)/3*1000</f>
        <v>39.66705683443881</v>
      </c>
      <c r="L188" s="62">
        <f>L186/AVERAGE(K187,L187)/3*1000</f>
        <v>37.52610441767068</v>
      </c>
      <c r="M188" s="62">
        <f>M186/AVERAGE(L187,M187)/3*1000</f>
        <v>37.391526288922918</v>
      </c>
      <c r="N188" s="62">
        <f>N186/AVERAGE(M187,N187)/3*1000</f>
        <v>35.119301403824601</v>
      </c>
    </row>
    <row r="189" spans="2:48">
      <c r="L189" s="5">
        <f>L188/H188-1</f>
        <v>-1.2741341330989142E-2</v>
      </c>
      <c r="M189" s="5">
        <f>M188/I188-1</f>
        <v>-7.1680546597322592E-2</v>
      </c>
      <c r="N189" s="5">
        <f>N188/J188-1</f>
        <v>-0.11464816887210705</v>
      </c>
    </row>
    <row r="213" spans="5:48">
      <c r="AV213">
        <v>50.1</v>
      </c>
    </row>
    <row r="214" spans="5:48">
      <c r="AV214">
        <v>-23.6</v>
      </c>
    </row>
    <row r="216" spans="5:48">
      <c r="AV216">
        <v>445.3</v>
      </c>
    </row>
    <row r="218" spans="5:48">
      <c r="E218">
        <v>230.7</v>
      </c>
    </row>
    <row r="219" spans="5:48">
      <c r="E219">
        <v>98.4</v>
      </c>
    </row>
    <row r="220" spans="5:48">
      <c r="E220">
        <v>40.200000000000003</v>
      </c>
    </row>
    <row r="221" spans="5:48">
      <c r="E221">
        <v>233.5</v>
      </c>
      <c r="AV221">
        <v>141.30000000000001</v>
      </c>
    </row>
    <row r="222" spans="5:48">
      <c r="E222">
        <v>65.5</v>
      </c>
    </row>
    <row r="223" spans="5:48">
      <c r="E223">
        <v>107.3</v>
      </c>
    </row>
    <row r="224" spans="5:48">
      <c r="E224">
        <v>40.700000000000003</v>
      </c>
    </row>
    <row r="225" spans="2:17">
      <c r="B225" t="s">
        <v>19</v>
      </c>
      <c r="E225">
        <f>SUM(E218:E224)</f>
        <v>816.3</v>
      </c>
    </row>
    <row r="226" spans="2:17">
      <c r="B226" t="s">
        <v>6594</v>
      </c>
      <c r="E226">
        <f>E225-E223</f>
        <v>709</v>
      </c>
    </row>
    <row r="227" spans="2:17">
      <c r="E227" s="6">
        <f>E225/4815</f>
        <v>0.16953271028037381</v>
      </c>
    </row>
    <row r="228" spans="2:17">
      <c r="E228" s="6">
        <f>E226/4365</f>
        <v>0.16242840778923254</v>
      </c>
    </row>
    <row r="232" spans="2:17">
      <c r="C232" s="80" t="str">
        <f>'New quarts'!AH4</f>
        <v>Q1 21</v>
      </c>
      <c r="D232" s="80" t="str">
        <f>'New quarts'!AI4</f>
        <v>Q2 21</v>
      </c>
      <c r="E232" s="80" t="str">
        <f>'New quarts'!AJ4</f>
        <v>Q3 21</v>
      </c>
      <c r="F232" s="80" t="str">
        <f>'New quarts'!AK4</f>
        <v>Q4 21</v>
      </c>
      <c r="G232" s="80" t="str">
        <f>'New quarts'!AM4</f>
        <v>Q1 22</v>
      </c>
      <c r="H232" s="80" t="str">
        <f>'New quarts'!AN4</f>
        <v>Q2 22</v>
      </c>
      <c r="I232" s="80" t="str">
        <f>'New quarts'!AO4</f>
        <v>Q3 22</v>
      </c>
      <c r="J232" s="80" t="str">
        <f>'New quarts'!AP4</f>
        <v>Q4 22</v>
      </c>
      <c r="K232" s="80" t="str">
        <f>'New quarts'!AR4</f>
        <v>Q1 23</v>
      </c>
      <c r="L232" s="80" t="e">
        <f>'New quarts'!#REF!</f>
        <v>#REF!</v>
      </c>
      <c r="M232" s="80" t="e">
        <f>'New quarts'!#REF!</f>
        <v>#REF!</v>
      </c>
      <c r="N232" s="80" t="e">
        <f>'New quarts'!#REF!</f>
        <v>#REF!</v>
      </c>
    </row>
    <row r="233" spans="2:17">
      <c r="B233" t="s">
        <v>6853</v>
      </c>
      <c r="C233" s="16">
        <f>'New quarts'!AH37</f>
        <v>116.5</v>
      </c>
      <c r="D233" s="16">
        <f>'New quarts'!AI37</f>
        <v>123.7</v>
      </c>
      <c r="E233" s="16">
        <f>'New quarts'!AJ37</f>
        <v>122</v>
      </c>
      <c r="F233" s="16">
        <f>'New quarts'!AK37</f>
        <v>118.60000000000002</v>
      </c>
      <c r="G233" s="16">
        <f>'New quarts'!AM37</f>
        <v>116.8</v>
      </c>
      <c r="H233" s="16">
        <f>'New quarts'!AN37</f>
        <v>117.2</v>
      </c>
      <c r="I233" s="16">
        <f>'New quarts'!AO37</f>
        <v>111.2</v>
      </c>
      <c r="J233" s="16">
        <f>'New quarts'!AP37</f>
        <v>102.8</v>
      </c>
      <c r="K233" s="16">
        <f>'New quarts'!AR37</f>
        <v>103.7</v>
      </c>
      <c r="L233" s="16" t="e">
        <f>'New quarts'!#REF!</f>
        <v>#REF!</v>
      </c>
      <c r="M233" s="16" t="e">
        <f>'New quarts'!#REF!</f>
        <v>#REF!</v>
      </c>
      <c r="N233" s="16" t="e">
        <f>'New quarts'!#REF!</f>
        <v>#REF!</v>
      </c>
    </row>
    <row r="234" spans="2:17">
      <c r="Q234">
        <v>8</v>
      </c>
    </row>
    <row r="253" spans="2:49">
      <c r="B253" t="s">
        <v>6854</v>
      </c>
      <c r="E253" t="str">
        <f t="shared" ref="E253:L253" si="180">D232</f>
        <v>Q2 21</v>
      </c>
      <c r="F253" t="str">
        <f t="shared" si="180"/>
        <v>Q3 21</v>
      </c>
      <c r="G253" t="str">
        <f t="shared" si="180"/>
        <v>Q4 21</v>
      </c>
      <c r="H253" t="str">
        <f t="shared" si="180"/>
        <v>Q1 22</v>
      </c>
      <c r="I253" t="str">
        <f t="shared" si="180"/>
        <v>Q2 22</v>
      </c>
      <c r="J253" t="str">
        <f t="shared" si="180"/>
        <v>Q3 22</v>
      </c>
      <c r="K253" t="str">
        <f t="shared" si="180"/>
        <v>Q4 22</v>
      </c>
      <c r="L253" t="str">
        <f t="shared" si="180"/>
        <v>Q1 23</v>
      </c>
    </row>
    <row r="254" spans="2:49">
      <c r="B254" t="s">
        <v>1827</v>
      </c>
      <c r="E254" s="16">
        <f>'LiLAC valuation'!AI334</f>
        <v>797.5</v>
      </c>
      <c r="F254" s="16">
        <f>'LiLAC valuation'!AJ334</f>
        <v>811.5</v>
      </c>
      <c r="G254" s="16">
        <f>'LiLAC valuation'!AK334</f>
        <v>822.5</v>
      </c>
      <c r="H254" s="16">
        <f>'LiLAC valuation'!AL334</f>
        <v>861.1</v>
      </c>
      <c r="I254" s="16">
        <f>'LiLAC valuation'!AM334</f>
        <v>877.5</v>
      </c>
      <c r="J254" s="16">
        <f>'LiLAC valuation'!AN334</f>
        <v>886.3</v>
      </c>
      <c r="K254" s="16">
        <f>'LiLAC valuation'!AO334</f>
        <v>903.3</v>
      </c>
      <c r="L254" s="16">
        <f>'LiLAC valuation'!AP334</f>
        <v>904.7</v>
      </c>
    </row>
    <row r="255" spans="2:49">
      <c r="B255" t="s">
        <v>4714</v>
      </c>
      <c r="E255" s="16">
        <f>'LiLAC valuation'!AI335</f>
        <v>229.2</v>
      </c>
      <c r="F255" s="16">
        <f>'LiLAC valuation'!AJ335</f>
        <v>212.2</v>
      </c>
      <c r="G255" s="16">
        <f>'LiLAC valuation'!AK335</f>
        <v>199.9</v>
      </c>
      <c r="H255" s="16">
        <f>'LiLAC valuation'!AL335</f>
        <v>191.5</v>
      </c>
      <c r="I255" s="16">
        <f>'LiLAC valuation'!AM335</f>
        <v>159.5</v>
      </c>
      <c r="J255" s="16">
        <f>'LiLAC valuation'!AN335</f>
        <v>187.6</v>
      </c>
      <c r="K255" s="16">
        <f>'LiLAC valuation'!AO335</f>
        <v>182.3</v>
      </c>
      <c r="L255" s="16">
        <f>'LiLAC valuation'!AP335</f>
        <v>166.6</v>
      </c>
      <c r="AQ255">
        <v>134.5</v>
      </c>
      <c r="AV255">
        <v>146.30000000000001</v>
      </c>
      <c r="AW255" s="62">
        <f>AW258-AW256-AW257</f>
        <v>0</v>
      </c>
    </row>
    <row r="256" spans="2:49">
      <c r="AQ256">
        <v>75.099999999999994</v>
      </c>
      <c r="AV256">
        <v>72.2</v>
      </c>
      <c r="AW256" s="62">
        <f>AW262*AW8</f>
        <v>0</v>
      </c>
    </row>
    <row r="257" spans="2:49">
      <c r="D257" s="80" t="s">
        <v>5556</v>
      </c>
      <c r="E257" s="80" t="str">
        <f>E253</f>
        <v>Q2 21</v>
      </c>
      <c r="F257" s="80" t="str">
        <f t="shared" ref="F257:L257" si="181">F253</f>
        <v>Q3 21</v>
      </c>
      <c r="G257" s="80" t="str">
        <f t="shared" si="181"/>
        <v>Q4 21</v>
      </c>
      <c r="H257" s="80" t="str">
        <f t="shared" si="181"/>
        <v>Q1 22</v>
      </c>
      <c r="I257" s="80" t="str">
        <f t="shared" si="181"/>
        <v>Q2 22</v>
      </c>
      <c r="J257" s="80" t="str">
        <f t="shared" si="181"/>
        <v>Q3 22</v>
      </c>
      <c r="K257" s="80" t="str">
        <f t="shared" si="181"/>
        <v>Q4 22</v>
      </c>
      <c r="L257" s="80" t="str">
        <f t="shared" si="181"/>
        <v>Q1 23</v>
      </c>
      <c r="AV257" s="62">
        <v>59</v>
      </c>
      <c r="AW257" s="62">
        <f>AW263*AW13</f>
        <v>0</v>
      </c>
    </row>
    <row r="258" spans="2:49">
      <c r="B258" t="s">
        <v>4711</v>
      </c>
      <c r="D258" s="16">
        <f>'New quarts'!AH40</f>
        <v>111.2</v>
      </c>
      <c r="E258" s="16">
        <f>'New quarts'!AI40</f>
        <v>114.4</v>
      </c>
      <c r="F258" s="16">
        <f>'New quarts'!AJ40</f>
        <v>115.6</v>
      </c>
      <c r="G258" s="16">
        <f>'New quarts'!AK40</f>
        <v>116.30000000000001</v>
      </c>
      <c r="H258" s="16">
        <f>'New quarts'!AM40</f>
        <v>121.3</v>
      </c>
      <c r="I258" s="16">
        <f>'New quarts'!AN40</f>
        <v>121.1</v>
      </c>
      <c r="J258" s="16">
        <f>'New quarts'!AO40</f>
        <v>116.7</v>
      </c>
      <c r="K258" s="16">
        <f>'New quarts'!AP40</f>
        <v>120.29999999999997</v>
      </c>
      <c r="L258" s="16">
        <f>'New quarts'!AR40</f>
        <v>122.7</v>
      </c>
      <c r="AW258" s="62">
        <f>AW191</f>
        <v>0</v>
      </c>
    </row>
    <row r="260" spans="2:49">
      <c r="B260" t="s">
        <v>571</v>
      </c>
      <c r="D260" s="845">
        <f>'LiLAC valuation'!AH338</f>
        <v>1.8894982734105221</v>
      </c>
      <c r="E260" s="845">
        <f>'LiLAC valuation'!AI338</f>
        <v>1.8718049547778215</v>
      </c>
      <c r="F260" s="845">
        <f>'LiLAC valuation'!AJ338</f>
        <v>1.8683701122725513</v>
      </c>
      <c r="G260" s="845">
        <f>'LiLAC valuation'!AK338</f>
        <v>1.8772334293948125</v>
      </c>
      <c r="H260" s="845">
        <f>'LiLAC valuation'!AL338</f>
        <v>1.8668910076649843</v>
      </c>
      <c r="I260" s="845">
        <f>'LiLAC valuation'!AM338</f>
        <v>1.8497523390203632</v>
      </c>
      <c r="J260" s="845">
        <f>'LiLAC valuation'!AN338</f>
        <v>1.8437387224828579</v>
      </c>
      <c r="K260" s="845">
        <f>'LiLAC valuation'!AO338</f>
        <v>1.8584648884050077</v>
      </c>
      <c r="L260" s="845">
        <f>'LiLAC valuation'!AP338</f>
        <v>1.8203097500879974</v>
      </c>
    </row>
    <row r="262" spans="2:49">
      <c r="AW262" s="569">
        <v>0.59</v>
      </c>
    </row>
    <row r="263" spans="2:49">
      <c r="AW263" s="569">
        <v>0.3</v>
      </c>
    </row>
    <row r="279" spans="2:8">
      <c r="C279">
        <f>'Puerto Rico'!H57</f>
        <v>2020</v>
      </c>
      <c r="D279">
        <f>'Puerto Rico'!I57</f>
        <v>2021</v>
      </c>
      <c r="E279">
        <f>'Puerto Rico'!J57</f>
        <v>2022</v>
      </c>
      <c r="F279">
        <f>'Puerto Rico'!K57</f>
        <v>2023</v>
      </c>
      <c r="G279">
        <f>'Puerto Rico'!L57</f>
        <v>2024</v>
      </c>
      <c r="H279">
        <f>'Puerto Rico'!M57</f>
        <v>2025</v>
      </c>
    </row>
    <row r="280" spans="2:8">
      <c r="B280" t="s">
        <v>399</v>
      </c>
      <c r="C280" s="16">
        <f>'Puerto Rico'!H78</f>
        <v>0</v>
      </c>
      <c r="D280" s="16">
        <f>'Puerto Rico'!I78</f>
        <v>0</v>
      </c>
      <c r="E280" s="16">
        <f>'Puerto Rico'!J78</f>
        <v>0</v>
      </c>
      <c r="F280" s="16">
        <f>'Puerto Rico'!K78</f>
        <v>10</v>
      </c>
      <c r="G280" s="16">
        <f>'Puerto Rico'!L78</f>
        <v>40</v>
      </c>
      <c r="H280" s="16">
        <f>'Puerto Rico'!M78</f>
        <v>70</v>
      </c>
    </row>
    <row r="281" spans="2:8">
      <c r="B281" t="s">
        <v>5397</v>
      </c>
      <c r="C281" s="16">
        <f>-'Puerto Rico'!H76</f>
        <v>0</v>
      </c>
      <c r="D281" s="16">
        <f>-'Puerto Rico'!I76</f>
        <v>-12</v>
      </c>
      <c r="E281" s="16">
        <f>-'Puerto Rico'!J76</f>
        <v>-15</v>
      </c>
      <c r="F281" s="16">
        <f>-'Puerto Rico'!K76</f>
        <v>-25</v>
      </c>
      <c r="G281" s="16">
        <f>-'Puerto Rico'!L76</f>
        <v>-23</v>
      </c>
      <c r="H281" s="16">
        <f>-'Puerto Rico'!M76</f>
        <v>0</v>
      </c>
    </row>
    <row r="300" spans="2:8">
      <c r="C300">
        <f>C279</f>
        <v>2020</v>
      </c>
      <c r="D300">
        <f t="shared" ref="D300:H300" si="182">D279</f>
        <v>2021</v>
      </c>
      <c r="E300">
        <f t="shared" si="182"/>
        <v>2022</v>
      </c>
      <c r="F300">
        <f t="shared" si="182"/>
        <v>2023</v>
      </c>
      <c r="G300">
        <f t="shared" si="182"/>
        <v>2024</v>
      </c>
      <c r="H300">
        <f t="shared" si="182"/>
        <v>2025</v>
      </c>
    </row>
    <row r="301" spans="2:8">
      <c r="B301" t="s">
        <v>399</v>
      </c>
      <c r="C301" s="16">
        <f>Analysis!C3661</f>
        <v>0</v>
      </c>
      <c r="D301" s="16">
        <f>Analysis!D3661</f>
        <v>0</v>
      </c>
      <c r="E301" s="16">
        <f>Analysis!E3661</f>
        <v>0</v>
      </c>
      <c r="F301" s="16">
        <f>Analysis!F3661</f>
        <v>17</v>
      </c>
      <c r="G301" s="16">
        <f>Analysis!G3661</f>
        <v>50</v>
      </c>
      <c r="H301" s="16">
        <f>Analysis!H3661</f>
        <v>70</v>
      </c>
    </row>
    <row r="302" spans="2:8">
      <c r="B302" t="s">
        <v>5397</v>
      </c>
      <c r="C302" s="16">
        <f>Analysis!C3655</f>
        <v>0</v>
      </c>
      <c r="D302" s="16">
        <f>Analysis!D3655</f>
        <v>0</v>
      </c>
      <c r="E302" s="16">
        <f>Analysis!E3655</f>
        <v>5</v>
      </c>
      <c r="F302" s="16">
        <f>Analysis!F3655</f>
        <v>10</v>
      </c>
      <c r="G302" s="16">
        <f>Analysis!G3655</f>
        <v>0</v>
      </c>
      <c r="H302" s="16">
        <f>Analysis!H3655</f>
        <v>0</v>
      </c>
    </row>
    <row r="312" spans="2:8">
      <c r="D312">
        <f t="shared" ref="D312:H312" si="183">D279</f>
        <v>2021</v>
      </c>
      <c r="E312">
        <f t="shared" si="183"/>
        <v>2022</v>
      </c>
      <c r="F312">
        <f t="shared" si="183"/>
        <v>2023</v>
      </c>
      <c r="G312">
        <f t="shared" si="183"/>
        <v>2024</v>
      </c>
      <c r="H312">
        <f t="shared" si="183"/>
        <v>2025</v>
      </c>
    </row>
    <row r="313" spans="2:8">
      <c r="B313" t="s">
        <v>8</v>
      </c>
      <c r="D313" s="16">
        <f>'Puerto Rico'!I105</f>
        <v>585.90000000000009</v>
      </c>
      <c r="E313" s="16">
        <f>'Puerto Rico'!J105</f>
        <v>544.80000000000007</v>
      </c>
      <c r="F313" s="16">
        <f>'Puerto Rico'!K105</f>
        <v>485.5</v>
      </c>
      <c r="G313" s="16">
        <f>'Puerto Rico'!L105</f>
        <v>323.91267200000004</v>
      </c>
      <c r="H313" s="16">
        <f>'Puerto Rico'!M105</f>
        <v>481.47579900720001</v>
      </c>
    </row>
    <row r="314" spans="2:8">
      <c r="B314" t="s">
        <v>377</v>
      </c>
      <c r="D314" s="486">
        <f>'Tables for HY note'!C95</f>
        <v>197.00000000000009</v>
      </c>
      <c r="E314" s="486">
        <f>'Tables for HY note'!D95</f>
        <v>116.70000000000007</v>
      </c>
      <c r="F314" s="486">
        <f>'Tables for HY note'!E95</f>
        <v>48</v>
      </c>
      <c r="G314" s="486">
        <f>'Tables for HY note'!F95</f>
        <v>-167.47334599999999</v>
      </c>
      <c r="H314" s="486">
        <f>'Tables for HY note'!G95</f>
        <v>-24.197285820368478</v>
      </c>
    </row>
    <row r="332" spans="2:48">
      <c r="AV332">
        <v>31</v>
      </c>
    </row>
    <row r="335" spans="2:48">
      <c r="D335">
        <v>2022</v>
      </c>
      <c r="E335">
        <f>D335+1</f>
        <v>2023</v>
      </c>
      <c r="F335">
        <f t="shared" ref="F335:H335" si="184">E335+1</f>
        <v>2024</v>
      </c>
      <c r="G335">
        <f t="shared" si="184"/>
        <v>2025</v>
      </c>
      <c r="H335">
        <f t="shared" si="184"/>
        <v>2026</v>
      </c>
    </row>
    <row r="336" spans="2:48">
      <c r="B336" t="s">
        <v>8</v>
      </c>
      <c r="D336" s="486">
        <f>'New Format'!I200</f>
        <v>186.80077850000001</v>
      </c>
      <c r="E336" s="486">
        <f>'New Format'!J200</f>
        <v>227.7</v>
      </c>
      <c r="F336" s="486">
        <f>'New Format'!K200</f>
        <v>254.67856820343255</v>
      </c>
      <c r="G336" s="486">
        <f>'New Format'!L200</f>
        <v>274.23517452315855</v>
      </c>
      <c r="H336" s="486">
        <f>'New Format'!M200</f>
        <v>286.70567466441219</v>
      </c>
    </row>
    <row r="337" spans="2:48">
      <c r="B337" t="s">
        <v>27</v>
      </c>
      <c r="D337" s="486">
        <f>D336-'New Format'!I202</f>
        <v>98.010120499999999</v>
      </c>
      <c r="E337" s="486">
        <f>E336-'New Format'!J202</f>
        <v>110.69999999999999</v>
      </c>
      <c r="F337" s="486">
        <f>F336-'New Format'!K202</f>
        <v>143.69465750131991</v>
      </c>
      <c r="G337" s="486">
        <f>G336-'New Format'!L202</f>
        <v>170.20881578834428</v>
      </c>
      <c r="H337" s="486">
        <f>H336-'New Format'!M202</f>
        <v>180.38524245416602</v>
      </c>
    </row>
    <row r="344" spans="2:48">
      <c r="AV344">
        <v>-41</v>
      </c>
    </row>
  </sheetData>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FD4410"/>
  <sheetViews>
    <sheetView showGridLines="0" topLeftCell="A4380" zoomScale="72" zoomScaleNormal="62" workbookViewId="0">
      <selection activeCell="N4400" sqref="N4400"/>
    </sheetView>
  </sheetViews>
  <sheetFormatPr defaultRowHeight="15" outlineLevelRow="2" outlineLevelCol="1"/>
  <cols>
    <col min="2" max="2" width="36.140625" customWidth="1"/>
    <col min="3" max="3" width="9" customWidth="1"/>
    <col min="4" max="6" width="9" customWidth="1" outlineLevel="1"/>
    <col min="7" max="11" width="9" customWidth="1"/>
    <col min="12" max="13" width="8.140625" customWidth="1"/>
    <col min="14" max="25" width="9" customWidth="1"/>
  </cols>
  <sheetData>
    <row r="2" spans="2:9">
      <c r="B2" s="3" t="s">
        <v>1357</v>
      </c>
      <c r="C2" s="32">
        <f>Master!G39</f>
        <v>42369</v>
      </c>
      <c r="D2" s="32">
        <f>Master!H39</f>
        <v>42735</v>
      </c>
      <c r="E2" s="32">
        <f>Master!I39</f>
        <v>43100</v>
      </c>
      <c r="F2" s="32">
        <f>Master!J39</f>
        <v>43465</v>
      </c>
      <c r="G2" s="32">
        <f>Master!K39</f>
        <v>43830</v>
      </c>
      <c r="H2" s="32">
        <f>Master!L39</f>
        <v>44196</v>
      </c>
      <c r="I2" s="32" t="s">
        <v>1356</v>
      </c>
    </row>
    <row r="3" spans="2:9">
      <c r="B3" t="str">
        <f>Master!B63</f>
        <v>Jamaica</v>
      </c>
      <c r="C3" s="486">
        <f>Master!G63</f>
        <v>0</v>
      </c>
      <c r="D3" s="486">
        <f>Master!H63</f>
        <v>124.86800000000001</v>
      </c>
      <c r="E3" s="486">
        <f>Master!I63</f>
        <v>133.91200000000001</v>
      </c>
      <c r="F3" s="486">
        <f>Master!J63</f>
        <v>144.80000000000001</v>
      </c>
      <c r="G3" s="486">
        <f>Master!K63</f>
        <v>161.11199999999999</v>
      </c>
      <c r="H3" s="486">
        <f>Master!L63</f>
        <v>161.68</v>
      </c>
      <c r="I3" s="6" t="e">
        <f t="shared" ref="I3:I10" si="0">(H3/C3)^(1/5)-1</f>
        <v>#DIV/0!</v>
      </c>
    </row>
    <row r="4" spans="2:9">
      <c r="B4" t="str">
        <f>Master!B64</f>
        <v>Trinidad &amp; Tobago</v>
      </c>
      <c r="C4" s="486">
        <f>Master!G64</f>
        <v>0</v>
      </c>
      <c r="D4" s="486">
        <f>Master!H64</f>
        <v>67.36</v>
      </c>
      <c r="E4" s="486">
        <f>Master!I64</f>
        <v>64.56</v>
      </c>
      <c r="F4" s="486">
        <f>Master!J64</f>
        <v>62.800000000000004</v>
      </c>
      <c r="G4" s="486">
        <f>Master!K64</f>
        <v>64.52000000000001</v>
      </c>
      <c r="H4" s="486">
        <f>Master!L64</f>
        <v>64.400000000000006</v>
      </c>
      <c r="I4" s="6" t="e">
        <f t="shared" si="0"/>
        <v>#DIV/0!</v>
      </c>
    </row>
    <row r="5" spans="2:9">
      <c r="B5" t="str">
        <f>Master!B65</f>
        <v>Barbados</v>
      </c>
      <c r="C5" s="486">
        <f>Master!G65</f>
        <v>0</v>
      </c>
      <c r="D5" s="486">
        <f>Master!H65</f>
        <v>68.56</v>
      </c>
      <c r="E5" s="486">
        <f>Master!I65</f>
        <v>66.870999999999995</v>
      </c>
      <c r="F5" s="486">
        <f>Master!J65</f>
        <v>63.419999999999995</v>
      </c>
      <c r="G5" s="486">
        <f>Master!K65</f>
        <v>63.083999999999996</v>
      </c>
      <c r="H5" s="486">
        <f>Master!L65</f>
        <v>58.379999999999995</v>
      </c>
      <c r="I5" s="6" t="e">
        <f t="shared" si="0"/>
        <v>#DIV/0!</v>
      </c>
    </row>
    <row r="6" spans="2:9">
      <c r="B6" t="str">
        <f>Master!B66</f>
        <v>Panama</v>
      </c>
      <c r="C6" s="486">
        <f>Master!G66</f>
        <v>0</v>
      </c>
      <c r="D6" s="486">
        <f>Master!H66</f>
        <v>260</v>
      </c>
      <c r="E6" s="486">
        <f>Master!I66</f>
        <v>231.25</v>
      </c>
      <c r="F6" s="486">
        <f>Master!J66</f>
        <v>208.95</v>
      </c>
      <c r="G6" s="486">
        <f>Master!K66</f>
        <v>227.6</v>
      </c>
      <c r="H6" s="486">
        <f>Master!L66</f>
        <v>177.2</v>
      </c>
      <c r="I6" s="6" t="e">
        <f t="shared" si="0"/>
        <v>#DIV/0!</v>
      </c>
    </row>
    <row r="7" spans="2:9">
      <c r="B7" t="str">
        <f>Master!B67</f>
        <v>Bahamas</v>
      </c>
      <c r="C7" s="486">
        <f>Master!G67</f>
        <v>0</v>
      </c>
      <c r="D7" s="486">
        <f>Master!H67</f>
        <v>147.16800000000001</v>
      </c>
      <c r="E7" s="486">
        <f>Master!I67</f>
        <v>117.58500000000001</v>
      </c>
      <c r="F7" s="486">
        <f>Master!J67</f>
        <v>96.179999999999993</v>
      </c>
      <c r="G7" s="486">
        <f>Master!K67</f>
        <v>87.066000000000003</v>
      </c>
      <c r="H7" s="486">
        <f>Master!L67</f>
        <v>76.02</v>
      </c>
      <c r="I7" s="6" t="e">
        <f t="shared" si="0"/>
        <v>#DIV/0!</v>
      </c>
    </row>
    <row r="8" spans="2:9">
      <c r="B8" t="str">
        <f>Master!B68</f>
        <v>Networks (Inc Subsea)</v>
      </c>
      <c r="C8" s="486">
        <f>Master!G68</f>
        <v>0</v>
      </c>
      <c r="D8" s="486">
        <f>Master!H68</f>
        <v>101.395</v>
      </c>
      <c r="E8" s="486">
        <f>Master!I68</f>
        <v>119.38500000000001</v>
      </c>
      <c r="F8" s="486">
        <f>Master!J68</f>
        <v>129.87</v>
      </c>
      <c r="G8" s="486">
        <f>Master!K68</f>
        <v>135.096</v>
      </c>
      <c r="H8" s="486">
        <f>Master!L68</f>
        <v>145.13999999999999</v>
      </c>
      <c r="I8" s="6" t="e">
        <f t="shared" si="0"/>
        <v>#DIV/0!</v>
      </c>
    </row>
    <row r="9" spans="2:9">
      <c r="B9" s="3" t="e">
        <f>Master!#REF!</f>
        <v>#REF!</v>
      </c>
      <c r="C9" s="487" t="e">
        <f>Master!#REF!</f>
        <v>#REF!</v>
      </c>
      <c r="D9" s="487" t="e">
        <f>Master!#REF!</f>
        <v>#REF!</v>
      </c>
      <c r="E9" s="487" t="e">
        <f>Master!#REF!</f>
        <v>#REF!</v>
      </c>
      <c r="F9" s="487" t="e">
        <f>Master!#REF!</f>
        <v>#REF!</v>
      </c>
      <c r="G9" s="487" t="e">
        <f>Master!#REF!</f>
        <v>#REF!</v>
      </c>
      <c r="H9" s="487" t="e">
        <f>Master!#REF!</f>
        <v>#REF!</v>
      </c>
      <c r="I9" s="7" t="e">
        <f t="shared" si="0"/>
        <v>#REF!</v>
      </c>
    </row>
    <row r="10" spans="2:9">
      <c r="B10" t="s">
        <v>1354</v>
      </c>
      <c r="C10" s="486" t="e">
        <f>Master!#REF!</f>
        <v>#REF!</v>
      </c>
      <c r="D10" s="486" t="e">
        <f>Master!#REF!</f>
        <v>#REF!</v>
      </c>
      <c r="E10" s="486" t="e">
        <f>Master!#REF!</f>
        <v>#REF!</v>
      </c>
      <c r="F10" s="486" t="e">
        <f>Master!#REF!</f>
        <v>#REF!</v>
      </c>
      <c r="G10" s="486" t="e">
        <f>Master!#REF!</f>
        <v>#REF!</v>
      </c>
      <c r="H10" s="486" t="e">
        <f>Master!#REF!</f>
        <v>#REF!</v>
      </c>
      <c r="I10" s="6" t="e">
        <f t="shared" si="0"/>
        <v>#REF!</v>
      </c>
    </row>
    <row r="11" spans="2:9">
      <c r="D11" s="5"/>
      <c r="E11" s="5"/>
      <c r="I11" s="6"/>
    </row>
    <row r="12" spans="2:9">
      <c r="B12" t="s">
        <v>1355</v>
      </c>
      <c r="C12" s="486" t="e">
        <f>Master!#REF!</f>
        <v>#REF!</v>
      </c>
      <c r="D12" s="486" t="e">
        <f>Master!#REF!</f>
        <v>#REF!</v>
      </c>
      <c r="E12" s="486" t="e">
        <f>Master!#REF!</f>
        <v>#REF!</v>
      </c>
      <c r="F12" s="486" t="e">
        <f>Master!#REF!</f>
        <v>#REF!</v>
      </c>
      <c r="G12" s="486" t="e">
        <f>Master!#REF!</f>
        <v>#REF!</v>
      </c>
      <c r="H12" s="486" t="e">
        <f>Master!#REF!</f>
        <v>#REF!</v>
      </c>
      <c r="I12" s="6" t="e">
        <f>(H12/C12)^(1/5)-1</f>
        <v>#REF!</v>
      </c>
    </row>
    <row r="15" spans="2:9">
      <c r="B15" s="3" t="s">
        <v>1400</v>
      </c>
      <c r="C15" s="32">
        <f t="shared" ref="C15:I15" si="1">C2</f>
        <v>42369</v>
      </c>
      <c r="D15" s="32">
        <f t="shared" si="1"/>
        <v>42735</v>
      </c>
      <c r="E15" s="32">
        <f t="shared" si="1"/>
        <v>43100</v>
      </c>
      <c r="F15" s="32">
        <f t="shared" si="1"/>
        <v>43465</v>
      </c>
      <c r="G15" s="32">
        <f t="shared" si="1"/>
        <v>43830</v>
      </c>
      <c r="H15" s="32">
        <f t="shared" si="1"/>
        <v>44196</v>
      </c>
      <c r="I15" s="32" t="str">
        <f t="shared" si="1"/>
        <v>16-21e CAGR</v>
      </c>
    </row>
    <row r="16" spans="2:9">
      <c r="B16" t="s">
        <v>1360</v>
      </c>
      <c r="C16" s="486" t="e">
        <f>Master!#REF!</f>
        <v>#REF!</v>
      </c>
      <c r="D16" s="486" t="e">
        <f>Master!#REF!</f>
        <v>#REF!</v>
      </c>
      <c r="E16" s="486" t="e">
        <f>Master!#REF!</f>
        <v>#REF!</v>
      </c>
      <c r="F16" s="486" t="e">
        <f>Master!#REF!</f>
        <v>#REF!</v>
      </c>
      <c r="G16" s="486" t="e">
        <f>Master!#REF!</f>
        <v>#REF!</v>
      </c>
      <c r="H16" s="486" t="e">
        <f>Master!#REF!</f>
        <v>#REF!</v>
      </c>
      <c r="I16" s="6" t="e">
        <f>(H16/C16)^(1/5)-1</f>
        <v>#REF!</v>
      </c>
    </row>
    <row r="17" spans="2:10">
      <c r="B17" t="s">
        <v>1361</v>
      </c>
      <c r="C17" s="486" t="e">
        <f>Master!#REF!</f>
        <v>#REF!</v>
      </c>
      <c r="D17" s="486" t="e">
        <f>Master!#REF!</f>
        <v>#REF!</v>
      </c>
      <c r="E17" s="486" t="e">
        <f>Master!#REF!</f>
        <v>#REF!</v>
      </c>
      <c r="F17" s="486" t="e">
        <f>Master!#REF!</f>
        <v>#REF!</v>
      </c>
      <c r="G17" s="486" t="e">
        <f>Master!#REF!</f>
        <v>#REF!</v>
      </c>
      <c r="H17" s="486" t="e">
        <f>Master!#REF!</f>
        <v>#REF!</v>
      </c>
      <c r="I17" s="6" t="e">
        <f>(H17/C17)^(1/5)-1</f>
        <v>#REF!</v>
      </c>
    </row>
    <row r="18" spans="2:10">
      <c r="C18" s="486"/>
      <c r="D18" s="486"/>
      <c r="E18" s="486"/>
      <c r="F18" s="486"/>
      <c r="G18" s="486"/>
      <c r="H18" s="486"/>
    </row>
    <row r="19" spans="2:10">
      <c r="B19" t="s">
        <v>1362</v>
      </c>
      <c r="C19" s="486" t="e">
        <f>Master!#REF!</f>
        <v>#REF!</v>
      </c>
      <c r="D19" s="486" t="e">
        <f>Master!#REF!</f>
        <v>#REF!</v>
      </c>
      <c r="E19" s="486" t="e">
        <f>Master!#REF!</f>
        <v>#REF!</v>
      </c>
      <c r="F19" s="486" t="e">
        <f>Master!#REF!</f>
        <v>#REF!</v>
      </c>
      <c r="G19" s="486" t="e">
        <f>Master!#REF!</f>
        <v>#REF!</v>
      </c>
      <c r="H19" s="486" t="e">
        <f>Master!#REF!</f>
        <v>#REF!</v>
      </c>
      <c r="I19" s="6" t="e">
        <f>(H19/C19)^(1/5)-1</f>
        <v>#REF!</v>
      </c>
    </row>
    <row r="20" spans="2:10">
      <c r="B20" t="s">
        <v>1363</v>
      </c>
      <c r="C20" s="486" t="e">
        <f>Master!#REF!</f>
        <v>#REF!</v>
      </c>
      <c r="D20" s="486" t="e">
        <f>Master!#REF!</f>
        <v>#REF!</v>
      </c>
      <c r="E20" s="486" t="e">
        <f>Master!#REF!</f>
        <v>#REF!</v>
      </c>
      <c r="F20" s="486" t="e">
        <f>Master!#REF!</f>
        <v>#REF!</v>
      </c>
      <c r="G20" s="486" t="e">
        <f>Master!#REF!</f>
        <v>#REF!</v>
      </c>
      <c r="H20" s="486" t="e">
        <f>Master!#REF!</f>
        <v>#REF!</v>
      </c>
      <c r="I20" s="6" t="e">
        <f>(H20/C20)^(1/5)-1</f>
        <v>#REF!</v>
      </c>
    </row>
    <row r="21" spans="2:10">
      <c r="C21" s="486"/>
      <c r="D21" s="486"/>
      <c r="E21" s="486"/>
      <c r="F21" s="486"/>
      <c r="G21" s="486"/>
      <c r="H21" s="486"/>
    </row>
    <row r="22" spans="2:10">
      <c r="B22" t="s">
        <v>19</v>
      </c>
      <c r="C22" s="486" t="e">
        <f>Master!#REF!</f>
        <v>#REF!</v>
      </c>
      <c r="D22" s="486" t="e">
        <f>Master!#REF!</f>
        <v>#REF!</v>
      </c>
      <c r="E22" s="486" t="e">
        <f>Master!#REF!</f>
        <v>#REF!</v>
      </c>
      <c r="F22" s="486" t="e">
        <f>Master!#REF!</f>
        <v>#REF!</v>
      </c>
      <c r="G22" s="486" t="e">
        <f>Master!#REF!</f>
        <v>#REF!</v>
      </c>
      <c r="H22" s="486" t="e">
        <f>Master!#REF!</f>
        <v>#REF!</v>
      </c>
      <c r="I22" s="6" t="e">
        <f>(H22/C22)^(1/5)-1</f>
        <v>#REF!</v>
      </c>
    </row>
    <row r="23" spans="2:10">
      <c r="B23" t="s">
        <v>20</v>
      </c>
      <c r="C23" s="6" t="e">
        <f t="shared" ref="C23:H23" si="2">C22/C16</f>
        <v>#REF!</v>
      </c>
      <c r="D23" s="6" t="e">
        <f t="shared" si="2"/>
        <v>#REF!</v>
      </c>
      <c r="E23" s="6" t="e">
        <f t="shared" si="2"/>
        <v>#REF!</v>
      </c>
      <c r="F23" s="6" t="e">
        <f t="shared" si="2"/>
        <v>#REF!</v>
      </c>
      <c r="G23" s="6" t="e">
        <f t="shared" si="2"/>
        <v>#REF!</v>
      </c>
      <c r="H23" s="6" t="e">
        <f t="shared" si="2"/>
        <v>#REF!</v>
      </c>
    </row>
    <row r="24" spans="2:10">
      <c r="B24" t="s">
        <v>72</v>
      </c>
    </row>
    <row r="25" spans="2:10">
      <c r="B25" s="3" t="s">
        <v>1401</v>
      </c>
      <c r="C25" s="511" t="s">
        <v>1402</v>
      </c>
      <c r="D25" s="32">
        <f t="shared" ref="D25:J25" si="3">C15</f>
        <v>42369</v>
      </c>
      <c r="E25" s="32">
        <f t="shared" si="3"/>
        <v>42735</v>
      </c>
      <c r="F25" s="32">
        <f t="shared" si="3"/>
        <v>43100</v>
      </c>
      <c r="G25" s="32">
        <f t="shared" si="3"/>
        <v>43465</v>
      </c>
      <c r="H25" s="32">
        <f t="shared" si="3"/>
        <v>43830</v>
      </c>
      <c r="I25" s="32">
        <f t="shared" si="3"/>
        <v>44196</v>
      </c>
      <c r="J25" s="32" t="str">
        <f t="shared" si="3"/>
        <v>16-21e CAGR</v>
      </c>
    </row>
    <row r="26" spans="2:10">
      <c r="B26" t="s">
        <v>15</v>
      </c>
      <c r="C26" s="486">
        <f>Master!F43</f>
        <v>0</v>
      </c>
      <c r="D26" s="486">
        <f>Master!G43</f>
        <v>0</v>
      </c>
      <c r="E26" s="486">
        <f>Master!H43</f>
        <v>650</v>
      </c>
      <c r="F26" s="486">
        <f>Master!I43</f>
        <v>625</v>
      </c>
      <c r="G26" s="486">
        <f>Master!J43</f>
        <v>597</v>
      </c>
      <c r="H26" s="486">
        <f>Master!K43</f>
        <v>580.4</v>
      </c>
      <c r="I26" s="486">
        <f>Master!L43</f>
        <v>498</v>
      </c>
      <c r="J26" s="6" t="e">
        <f>(I26/D26)^(1/5)-1</f>
        <v>#DIV/0!</v>
      </c>
    </row>
    <row r="27" spans="2:10">
      <c r="B27" t="s">
        <v>78</v>
      </c>
      <c r="C27" s="6">
        <f>CWI!I21</f>
        <v>2.7777777777777679E-2</v>
      </c>
      <c r="D27" s="6" t="e">
        <f t="shared" ref="D27:I27" si="4">D26/C26-1</f>
        <v>#DIV/0!</v>
      </c>
      <c r="E27" s="6" t="e">
        <f t="shared" si="4"/>
        <v>#DIV/0!</v>
      </c>
      <c r="F27" s="6">
        <f t="shared" si="4"/>
        <v>-3.8461538461538436E-2</v>
      </c>
      <c r="G27" s="6">
        <f t="shared" si="4"/>
        <v>-4.4799999999999951E-2</v>
      </c>
      <c r="H27" s="6">
        <f t="shared" si="4"/>
        <v>-2.7805695142378628E-2</v>
      </c>
      <c r="I27" s="6">
        <f t="shared" si="4"/>
        <v>-0.14197105444521019</v>
      </c>
    </row>
    <row r="28" spans="2:10">
      <c r="C28" s="486"/>
      <c r="D28" s="6"/>
      <c r="E28" s="6"/>
      <c r="F28" s="6"/>
      <c r="G28" s="6"/>
      <c r="H28" s="6"/>
      <c r="I28" s="6"/>
    </row>
    <row r="29" spans="2:10">
      <c r="B29" t="s">
        <v>8</v>
      </c>
      <c r="C29" s="486">
        <f>Master!F63</f>
        <v>0</v>
      </c>
      <c r="D29" s="486">
        <f>Master!G63</f>
        <v>0</v>
      </c>
      <c r="E29" s="486">
        <f>Master!H63</f>
        <v>124.86800000000001</v>
      </c>
      <c r="F29" s="486">
        <f>Master!I63</f>
        <v>133.91200000000001</v>
      </c>
      <c r="G29" s="486">
        <f>Master!J63</f>
        <v>144.80000000000001</v>
      </c>
      <c r="H29" s="486">
        <f>Master!K63</f>
        <v>161.11199999999999</v>
      </c>
      <c r="I29" s="486">
        <f>Master!L63</f>
        <v>161.68</v>
      </c>
      <c r="J29" s="6" t="e">
        <f>(I29/D29)^(1/5)-1</f>
        <v>#DIV/0!</v>
      </c>
    </row>
    <row r="30" spans="2:10">
      <c r="B30" t="s">
        <v>251</v>
      </c>
      <c r="C30" s="6" t="e">
        <f t="shared" ref="C30:I30" si="5">C29/C26</f>
        <v>#DIV/0!</v>
      </c>
      <c r="D30" s="6" t="e">
        <f t="shared" si="5"/>
        <v>#DIV/0!</v>
      </c>
      <c r="E30" s="6">
        <f t="shared" si="5"/>
        <v>0.1921046153846154</v>
      </c>
      <c r="F30" s="6">
        <f t="shared" si="5"/>
        <v>0.21425920000000001</v>
      </c>
      <c r="G30" s="6">
        <f t="shared" si="5"/>
        <v>0.24254606365159131</v>
      </c>
      <c r="H30" s="6">
        <f t="shared" si="5"/>
        <v>0.27758787043418331</v>
      </c>
      <c r="I30" s="6">
        <f t="shared" si="5"/>
        <v>0.32465863453815264</v>
      </c>
    </row>
    <row r="31" spans="2:10">
      <c r="C31" s="6"/>
      <c r="D31" s="6"/>
      <c r="E31" s="6"/>
      <c r="F31" s="6"/>
      <c r="G31" s="6"/>
      <c r="H31" s="6"/>
      <c r="I31" s="6"/>
    </row>
    <row r="32" spans="2:10">
      <c r="B32" t="s">
        <v>19</v>
      </c>
      <c r="C32" s="486">
        <f>Master!F110</f>
        <v>0</v>
      </c>
      <c r="D32" s="486">
        <f>Master!G110</f>
        <v>0</v>
      </c>
      <c r="E32" s="486">
        <f>Master!H110</f>
        <v>0</v>
      </c>
      <c r="F32" s="486">
        <f>Master!I110</f>
        <v>70.48</v>
      </c>
      <c r="G32" s="486">
        <f>Master!J110</f>
        <v>65.16</v>
      </c>
      <c r="H32" s="486">
        <f>Master!K110</f>
        <v>69.048000000000002</v>
      </c>
      <c r="I32" s="486">
        <f>Master!L110</f>
        <v>52.640000000000008</v>
      </c>
      <c r="J32" s="6" t="e">
        <f>(I32/D32)^(1/5)-1</f>
        <v>#DIV/0!</v>
      </c>
    </row>
    <row r="33" spans="1:10">
      <c r="B33" t="s">
        <v>91</v>
      </c>
      <c r="C33" s="6" t="e">
        <f t="shared" ref="C33:I33" si="6">C32/C26</f>
        <v>#DIV/0!</v>
      </c>
      <c r="D33" s="6" t="e">
        <f t="shared" si="6"/>
        <v>#DIV/0!</v>
      </c>
      <c r="E33" s="6">
        <f t="shared" si="6"/>
        <v>0</v>
      </c>
      <c r="F33" s="6">
        <f t="shared" si="6"/>
        <v>0.11276800000000001</v>
      </c>
      <c r="G33" s="6">
        <f t="shared" si="6"/>
        <v>0.10914572864321608</v>
      </c>
      <c r="H33" s="6">
        <f t="shared" si="6"/>
        <v>0.11896623018607858</v>
      </c>
      <c r="I33" s="6">
        <f t="shared" si="6"/>
        <v>0.10570281124497993</v>
      </c>
    </row>
    <row r="35" spans="1:10">
      <c r="A35" t="s">
        <v>72</v>
      </c>
      <c r="B35" s="3" t="s">
        <v>1403</v>
      </c>
      <c r="C35" s="511" t="str">
        <f t="shared" ref="C35:J35" si="7">C25</f>
        <v>Mar-15</v>
      </c>
      <c r="D35" s="511">
        <f t="shared" si="7"/>
        <v>42369</v>
      </c>
      <c r="E35" s="511">
        <f t="shared" si="7"/>
        <v>42735</v>
      </c>
      <c r="F35" s="511">
        <f t="shared" si="7"/>
        <v>43100</v>
      </c>
      <c r="G35" s="511">
        <f t="shared" si="7"/>
        <v>43465</v>
      </c>
      <c r="H35" s="511">
        <f t="shared" si="7"/>
        <v>43830</v>
      </c>
      <c r="I35" s="511">
        <f t="shared" si="7"/>
        <v>44196</v>
      </c>
      <c r="J35" s="38" t="str">
        <f t="shared" si="7"/>
        <v>16-21e CAGR</v>
      </c>
    </row>
    <row r="36" spans="1:10">
      <c r="B36" t="s">
        <v>15</v>
      </c>
      <c r="C36" s="486">
        <f>Master!F44</f>
        <v>0</v>
      </c>
      <c r="D36" s="486">
        <f>Master!G44</f>
        <v>0</v>
      </c>
      <c r="E36" s="486">
        <f>Master!H44</f>
        <v>306.60000000000002</v>
      </c>
      <c r="F36" s="486">
        <f>Master!I44</f>
        <v>261.3</v>
      </c>
      <c r="G36" s="486">
        <f>Master!J44</f>
        <v>229</v>
      </c>
      <c r="H36" s="486">
        <f>Master!K44</f>
        <v>207.3</v>
      </c>
      <c r="I36" s="486">
        <f>Master!L44</f>
        <v>181</v>
      </c>
      <c r="J36" s="6" t="e">
        <f>(I36/D36)^(1/5)-1</f>
        <v>#DIV/0!</v>
      </c>
    </row>
    <row r="37" spans="1:10">
      <c r="B37" t="s">
        <v>78</v>
      </c>
      <c r="C37" s="6">
        <f>CWI!I122</f>
        <v>-1.6949152542372836E-2</v>
      </c>
      <c r="D37" s="6" t="e">
        <f t="shared" ref="D37:I37" si="8">D36/C36-1</f>
        <v>#DIV/0!</v>
      </c>
      <c r="E37" s="6" t="e">
        <f t="shared" si="8"/>
        <v>#DIV/0!</v>
      </c>
      <c r="F37" s="6">
        <f t="shared" si="8"/>
        <v>-0.14774951076320941</v>
      </c>
      <c r="G37" s="6">
        <f t="shared" si="8"/>
        <v>-0.12361270570225802</v>
      </c>
      <c r="H37" s="6">
        <f t="shared" si="8"/>
        <v>-9.4759825327510816E-2</v>
      </c>
      <c r="I37" s="6">
        <f t="shared" si="8"/>
        <v>-0.12686927158707195</v>
      </c>
    </row>
    <row r="38" spans="1:10">
      <c r="C38" s="486"/>
      <c r="D38" s="6"/>
      <c r="E38" s="6"/>
      <c r="F38" s="6"/>
      <c r="G38" s="6"/>
      <c r="H38" s="6"/>
      <c r="I38" s="6"/>
    </row>
    <row r="39" spans="1:10">
      <c r="B39" t="s">
        <v>8</v>
      </c>
      <c r="C39" s="486">
        <f>Master!F65</f>
        <v>0</v>
      </c>
      <c r="D39" s="486">
        <f>Master!G65</f>
        <v>0</v>
      </c>
      <c r="E39" s="486">
        <f>Master!H65</f>
        <v>68.56</v>
      </c>
      <c r="F39" s="486">
        <f>Master!I65</f>
        <v>66.870999999999995</v>
      </c>
      <c r="G39" s="486">
        <f>Master!J65</f>
        <v>63.419999999999995</v>
      </c>
      <c r="H39" s="486">
        <f>Master!K65</f>
        <v>63.083999999999996</v>
      </c>
      <c r="I39" s="486">
        <f>Master!L65</f>
        <v>58.379999999999995</v>
      </c>
      <c r="J39" s="6" t="e">
        <f>(I39/D39)^(1/5)-1</f>
        <v>#DIV/0!</v>
      </c>
    </row>
    <row r="40" spans="1:10">
      <c r="B40" t="s">
        <v>251</v>
      </c>
      <c r="C40" s="6" t="e">
        <f t="shared" ref="C40:I40" si="9">C39/C36</f>
        <v>#DIV/0!</v>
      </c>
      <c r="D40" s="6" t="e">
        <f t="shared" si="9"/>
        <v>#DIV/0!</v>
      </c>
      <c r="E40" s="6">
        <f t="shared" si="9"/>
        <v>0.22361382909328115</v>
      </c>
      <c r="F40" s="6">
        <f t="shared" si="9"/>
        <v>0.2559165709911978</v>
      </c>
      <c r="G40" s="6">
        <f t="shared" si="9"/>
        <v>0.27694323144104799</v>
      </c>
      <c r="H40" s="6">
        <f t="shared" si="9"/>
        <v>0.30431259044862513</v>
      </c>
      <c r="I40" s="6">
        <f t="shared" si="9"/>
        <v>0.32254143646408839</v>
      </c>
    </row>
    <row r="41" spans="1:10">
      <c r="C41" s="6"/>
      <c r="D41" s="6"/>
      <c r="E41" s="6"/>
      <c r="F41" s="6"/>
      <c r="G41" s="6"/>
      <c r="H41" s="6"/>
      <c r="I41" s="6"/>
    </row>
    <row r="42" spans="1:10">
      <c r="B42" t="s">
        <v>19</v>
      </c>
      <c r="C42" s="486">
        <f>Master!F112</f>
        <v>0</v>
      </c>
      <c r="D42" s="486">
        <f>Master!G112</f>
        <v>0</v>
      </c>
      <c r="E42" s="486">
        <f>Master!H112</f>
        <v>0</v>
      </c>
      <c r="F42" s="486">
        <f>Master!I112</f>
        <v>29.357999999999997</v>
      </c>
      <c r="G42" s="486">
        <f>Master!J112</f>
        <v>25.67</v>
      </c>
      <c r="H42" s="486">
        <f>Master!K112</f>
        <v>25.533999999999999</v>
      </c>
      <c r="I42" s="486">
        <f>Master!L112</f>
        <v>23.630000000000003</v>
      </c>
      <c r="J42" s="6" t="e">
        <f>(I42/D42)^(1/5)-1</f>
        <v>#DIV/0!</v>
      </c>
    </row>
    <row r="43" spans="1:10">
      <c r="B43" t="s">
        <v>91</v>
      </c>
      <c r="C43" s="6" t="e">
        <f t="shared" ref="C43:I43" si="10">C42/C36</f>
        <v>#DIV/0!</v>
      </c>
      <c r="D43" s="6" t="e">
        <f t="shared" si="10"/>
        <v>#DIV/0!</v>
      </c>
      <c r="E43" s="6">
        <f t="shared" si="10"/>
        <v>0</v>
      </c>
      <c r="F43" s="6">
        <f t="shared" si="10"/>
        <v>0.112353616532721</v>
      </c>
      <c r="G43" s="6">
        <f t="shared" si="10"/>
        <v>0.11209606986899565</v>
      </c>
      <c r="H43" s="6">
        <f t="shared" si="10"/>
        <v>0.12317414375301494</v>
      </c>
      <c r="I43" s="6">
        <f t="shared" si="10"/>
        <v>0.13055248618784532</v>
      </c>
    </row>
    <row r="45" spans="1:10">
      <c r="B45" s="3" t="s">
        <v>1491</v>
      </c>
      <c r="C45" s="511" t="str">
        <f t="shared" ref="C45:J45" si="11">C35</f>
        <v>Mar-15</v>
      </c>
      <c r="D45" s="511">
        <f t="shared" si="11"/>
        <v>42369</v>
      </c>
      <c r="E45" s="511">
        <f t="shared" si="11"/>
        <v>42735</v>
      </c>
      <c r="F45" s="511">
        <f t="shared" si="11"/>
        <v>43100</v>
      </c>
      <c r="G45" s="511">
        <f t="shared" si="11"/>
        <v>43465</v>
      </c>
      <c r="H45" s="511">
        <f t="shared" si="11"/>
        <v>43830</v>
      </c>
      <c r="I45" s="511">
        <f t="shared" si="11"/>
        <v>44196</v>
      </c>
      <c r="J45" s="38" t="str">
        <f t="shared" si="11"/>
        <v>16-21e CAGR</v>
      </c>
    </row>
    <row r="46" spans="1:10">
      <c r="B46" t="s">
        <v>1513</v>
      </c>
      <c r="C46" s="486">
        <f>CWI!I180</f>
        <v>8698</v>
      </c>
      <c r="D46" s="486">
        <f>CWI!J180</f>
        <v>11307.4</v>
      </c>
      <c r="E46" s="486">
        <f>CWI!K180</f>
        <v>12438.140000000001</v>
      </c>
      <c r="F46" s="486">
        <f>CWI!L180</f>
        <v>13681.954000000003</v>
      </c>
      <c r="G46" s="486">
        <f>CWI!M180</f>
        <v>14776.510320000005</v>
      </c>
      <c r="H46" s="486">
        <f>CWI!N180</f>
        <v>15663.100939200005</v>
      </c>
      <c r="I46" s="486">
        <f>CWI!O180</f>
        <v>16446.255986160006</v>
      </c>
      <c r="J46" s="6">
        <f>(I46/D46)^(1/5)-1</f>
        <v>7.7806647988312161E-2</v>
      </c>
    </row>
    <row r="47" spans="1:10">
      <c r="B47" t="s">
        <v>1092</v>
      </c>
      <c r="C47" s="5">
        <f>CWI!I181</f>
        <v>0.30326640695235252</v>
      </c>
      <c r="D47" s="5">
        <f>CWI!J181</f>
        <v>0.3</v>
      </c>
      <c r="E47" s="5">
        <f>CWI!K181</f>
        <v>0.1</v>
      </c>
      <c r="F47" s="5">
        <f>CWI!L181</f>
        <v>0.1</v>
      </c>
      <c r="G47" s="5">
        <f>CWI!M181</f>
        <v>0.08</v>
      </c>
      <c r="H47" s="5">
        <f>CWI!N181</f>
        <v>0.06</v>
      </c>
      <c r="I47" s="5">
        <f>CWI!O181</f>
        <v>0.05</v>
      </c>
      <c r="J47" s="5"/>
    </row>
    <row r="48" spans="1:10">
      <c r="B48" t="s">
        <v>1514</v>
      </c>
      <c r="C48" s="5">
        <f>CWI!I195</f>
        <v>0.15663630616970872</v>
      </c>
      <c r="D48" s="5">
        <f>CWI!J195</f>
        <v>0.19</v>
      </c>
      <c r="E48" s="5">
        <f>CWI!K195</f>
        <v>0.22</v>
      </c>
      <c r="F48" s="5">
        <f>CWI!L195</f>
        <v>0.23</v>
      </c>
      <c r="G48" s="5">
        <f>CWI!M195</f>
        <v>0.24</v>
      </c>
      <c r="H48" s="5">
        <f>CWI!N195</f>
        <v>0.25</v>
      </c>
      <c r="I48" s="5">
        <f>CWI!O195</f>
        <v>0.25</v>
      </c>
      <c r="J48" s="5"/>
    </row>
    <row r="49" spans="2:10">
      <c r="B49" t="s">
        <v>1518</v>
      </c>
      <c r="C49" s="486">
        <f>CWI!I196</f>
        <v>55529.910099999994</v>
      </c>
      <c r="D49" s="486">
        <f>CWI!J196</f>
        <v>59512.631578947367</v>
      </c>
      <c r="E49" s="486">
        <f>CWI!K196</f>
        <v>56537.000000000007</v>
      </c>
      <c r="F49" s="486">
        <f>CWI!L196</f>
        <v>59486.756521739146</v>
      </c>
      <c r="G49" s="486">
        <f>CWI!M196</f>
        <v>61568.79300000002</v>
      </c>
      <c r="H49" s="486">
        <f>CWI!N196</f>
        <v>62652.40375680002</v>
      </c>
      <c r="I49" s="486">
        <f>CWI!O196</f>
        <v>65785.023944640023</v>
      </c>
      <c r="J49" s="6">
        <f>(I49/D49)^(1/5)-1</f>
        <v>2.0242889049099322E-2</v>
      </c>
    </row>
    <row r="50" spans="2:10">
      <c r="B50" t="s">
        <v>1092</v>
      </c>
      <c r="C50" s="5">
        <f>CWI!I197</f>
        <v>0.1069673490949683</v>
      </c>
      <c r="D50" s="5">
        <f>CWI!J197</f>
        <v>7.1722094845375395E-2</v>
      </c>
      <c r="E50" s="5">
        <f>CWI!K197</f>
        <v>-4.9999999999999822E-2</v>
      </c>
      <c r="F50" s="5">
        <f>CWI!L197</f>
        <v>5.2173913043478404E-2</v>
      </c>
      <c r="G50" s="5">
        <f>CWI!M197</f>
        <v>3.5000000000000142E-2</v>
      </c>
      <c r="H50" s="5">
        <f>CWI!N197</f>
        <v>1.760000000000006E-2</v>
      </c>
      <c r="I50" s="5">
        <f>CWI!O197</f>
        <v>5.0000000000000044E-2</v>
      </c>
      <c r="J50" s="5"/>
    </row>
    <row r="52" spans="2:10">
      <c r="B52" t="s">
        <v>1515</v>
      </c>
      <c r="C52" s="486">
        <f>CWI!I183</f>
        <v>2722</v>
      </c>
      <c r="D52" s="486">
        <f>CWI!J183</f>
        <v>14323.099999999997</v>
      </c>
      <c r="E52" s="486">
        <f>CWI!K183</f>
        <v>15755.409999999998</v>
      </c>
      <c r="F52" s="486">
        <f>CWI!L183</f>
        <v>17015.842799999999</v>
      </c>
      <c r="G52" s="486">
        <f>CWI!M183</f>
        <v>18206.951796000001</v>
      </c>
      <c r="H52" s="486">
        <f>CWI!N183</f>
        <v>19117.299385800001</v>
      </c>
      <c r="I52" s="486">
        <f>CWI!O183</f>
        <v>20073.164355090001</v>
      </c>
      <c r="J52" s="6">
        <f>(I52/D52)^(1/5)-1</f>
        <v>6.983244157310331E-2</v>
      </c>
    </row>
    <row r="53" spans="2:10">
      <c r="B53" t="s">
        <v>1516</v>
      </c>
      <c r="C53" s="486">
        <f>CWI!I186</f>
        <v>6535</v>
      </c>
      <c r="D53" s="486">
        <f>CWI!J186</f>
        <v>6469.65</v>
      </c>
      <c r="E53" s="486">
        <f>CWI!K186</f>
        <v>6146.1674999999996</v>
      </c>
      <c r="F53" s="486">
        <f>CWI!L186</f>
        <v>5838.859124999999</v>
      </c>
      <c r="G53" s="486">
        <f>CWI!M186</f>
        <v>5546.9161687499991</v>
      </c>
      <c r="H53" s="486">
        <f>CWI!N186</f>
        <v>5269.5703603124985</v>
      </c>
      <c r="I53" s="486">
        <f>CWI!O186</f>
        <v>5006.0918422968734</v>
      </c>
      <c r="J53" s="6">
        <f>(I53/D53)^(1/5)-1</f>
        <v>-5.0000000000000044E-2</v>
      </c>
    </row>
    <row r="54" spans="2:10">
      <c r="B54" s="3" t="s">
        <v>1517</v>
      </c>
      <c r="C54" s="487">
        <f>CWI!I187</f>
        <v>3637</v>
      </c>
      <c r="D54" s="487">
        <f>CWI!J187</f>
        <v>3818.8500000000004</v>
      </c>
      <c r="E54" s="487">
        <f>CWI!K187</f>
        <v>4009.7925000000005</v>
      </c>
      <c r="F54" s="487">
        <f>CWI!L187</f>
        <v>4210.2821250000006</v>
      </c>
      <c r="G54" s="487">
        <f>CWI!M187</f>
        <v>4315.539178125</v>
      </c>
      <c r="H54" s="487">
        <f>CWI!N187</f>
        <v>4423.427657578125</v>
      </c>
      <c r="I54" s="487">
        <f>CWI!O187</f>
        <v>4534.0133490175776</v>
      </c>
      <c r="J54" s="7">
        <f>(I54/D54)^(1/5)-1</f>
        <v>3.4927766253078696E-2</v>
      </c>
    </row>
    <row r="55" spans="2:10">
      <c r="B55" t="s">
        <v>16</v>
      </c>
      <c r="C55" s="486">
        <f>CWI!I177</f>
        <v>21592</v>
      </c>
      <c r="D55" s="486">
        <f>CWI!J177</f>
        <v>35919</v>
      </c>
      <c r="E55" s="486">
        <f>CWI!K177</f>
        <v>38349.51</v>
      </c>
      <c r="F55" s="486">
        <f>CWI!L177</f>
        <v>40746.938049999997</v>
      </c>
      <c r="G55" s="486">
        <f>CWI!M177</f>
        <v>42845.917462875012</v>
      </c>
      <c r="H55" s="486">
        <f>CWI!N177</f>
        <v>44473.398342890636</v>
      </c>
      <c r="I55" s="486">
        <f>CWI!O177</f>
        <v>46059.525532564461</v>
      </c>
      <c r="J55" s="6">
        <f>(I55/D55)^(1/5)-1</f>
        <v>5.0991114965389883E-2</v>
      </c>
    </row>
    <row r="57" spans="2:10">
      <c r="B57" t="s">
        <v>8</v>
      </c>
      <c r="C57" s="486">
        <f>CWI!I189</f>
        <v>4192</v>
      </c>
      <c r="D57" s="486">
        <f>CWI!J189</f>
        <v>10775.699999999999</v>
      </c>
      <c r="E57" s="486">
        <f>CWI!K189</f>
        <v>12655.338300000001</v>
      </c>
      <c r="F57" s="486">
        <f>CWI!L189</f>
        <v>13853.958936999999</v>
      </c>
      <c r="G57" s="486">
        <f>CWI!M189</f>
        <v>14567.611937377505</v>
      </c>
      <c r="H57" s="486">
        <f>CWI!N189</f>
        <v>15120.955436582817</v>
      </c>
      <c r="I57" s="486">
        <f>CWI!O189</f>
        <v>15660.238681071918</v>
      </c>
      <c r="J57" s="6">
        <f>(I57/D57)^(1/5)-1</f>
        <v>7.7632242758694847E-2</v>
      </c>
    </row>
    <row r="58" spans="2:10">
      <c r="B58" t="s">
        <v>251</v>
      </c>
      <c r="C58" s="5">
        <f>CWI!I190</f>
        <v>0.19414597999258984</v>
      </c>
      <c r="D58" s="5">
        <f>CWI!J190</f>
        <v>0.3</v>
      </c>
      <c r="E58" s="5">
        <f>CWI!K190</f>
        <v>0.33</v>
      </c>
      <c r="F58" s="5">
        <f>CWI!L190</f>
        <v>0.34</v>
      </c>
      <c r="G58" s="5">
        <f>CWI!M190</f>
        <v>0.34</v>
      </c>
      <c r="H58" s="5">
        <f>CWI!N190</f>
        <v>0.34</v>
      </c>
      <c r="I58" s="5">
        <f>CWI!O190</f>
        <v>0.34</v>
      </c>
    </row>
    <row r="59" spans="2:10">
      <c r="B59" t="s">
        <v>1494</v>
      </c>
      <c r="C59" s="5" t="e">
        <f>CWI!#REF!</f>
        <v>#REF!</v>
      </c>
      <c r="D59" s="5" t="e">
        <f>CWI!#REF!</f>
        <v>#REF!</v>
      </c>
      <c r="E59" s="5" t="e">
        <f>CWI!#REF!</f>
        <v>#REF!</v>
      </c>
      <c r="F59" s="5" t="e">
        <f>CWI!#REF!</f>
        <v>#REF!</v>
      </c>
      <c r="G59" s="5" t="e">
        <f>CWI!#REF!</f>
        <v>#REF!</v>
      </c>
      <c r="H59" s="5" t="e">
        <f>CWI!#REF!</f>
        <v>#REF!</v>
      </c>
      <c r="I59" s="5" t="e">
        <f>CWI!#REF!</f>
        <v>#REF!</v>
      </c>
    </row>
    <row r="61" spans="2:10">
      <c r="B61" s="13" t="s">
        <v>0</v>
      </c>
    </row>
    <row r="63" spans="2:10">
      <c r="B63" t="s">
        <v>1372</v>
      </c>
      <c r="C63" s="80">
        <v>3.6</v>
      </c>
    </row>
    <row r="64" spans="2:10">
      <c r="B64" t="s">
        <v>1373</v>
      </c>
      <c r="C64">
        <v>12385</v>
      </c>
    </row>
    <row r="65" spans="1:7">
      <c r="B65" t="s">
        <v>1374</v>
      </c>
      <c r="C65" s="5">
        <v>1.63</v>
      </c>
    </row>
    <row r="67" spans="1:7">
      <c r="B67" s="3" t="s">
        <v>1367</v>
      </c>
      <c r="C67" s="3">
        <v>700</v>
      </c>
      <c r="D67" s="3">
        <v>850</v>
      </c>
      <c r="E67" s="4" t="s">
        <v>1369</v>
      </c>
      <c r="F67" s="4" t="s">
        <v>1370</v>
      </c>
      <c r="G67" s="4" t="s">
        <v>16</v>
      </c>
    </row>
    <row r="68" spans="1:7">
      <c r="A68" s="489">
        <v>0.44900000000000001</v>
      </c>
      <c r="B68" s="488" t="s">
        <v>1368</v>
      </c>
      <c r="C68">
        <f>2*10</f>
        <v>20</v>
      </c>
      <c r="D68">
        <f>10*2+2.5*2</f>
        <v>25</v>
      </c>
      <c r="E68">
        <f>2*10</f>
        <v>20</v>
      </c>
      <c r="G68">
        <f>SUM(C68:F68)</f>
        <v>65</v>
      </c>
    </row>
    <row r="69" spans="1:7">
      <c r="B69" t="s">
        <v>1364</v>
      </c>
      <c r="E69">
        <f>2*20</f>
        <v>40</v>
      </c>
      <c r="G69">
        <f>SUM(C69:F69)</f>
        <v>40</v>
      </c>
    </row>
    <row r="70" spans="1:7">
      <c r="A70" s="489">
        <v>0.49469999999999997</v>
      </c>
      <c r="B70" t="s">
        <v>1365</v>
      </c>
      <c r="E70">
        <f>2*15</f>
        <v>30</v>
      </c>
      <c r="G70">
        <f>SUM(C70:F70)</f>
        <v>30</v>
      </c>
    </row>
    <row r="71" spans="1:7">
      <c r="B71" s="3" t="s">
        <v>1366</v>
      </c>
      <c r="C71" s="3">
        <f>2*10</f>
        <v>20</v>
      </c>
      <c r="D71" s="3">
        <f>2*11+2*1.5</f>
        <v>25</v>
      </c>
      <c r="E71" s="3">
        <v>20</v>
      </c>
      <c r="F71" s="3"/>
      <c r="G71" s="3">
        <f>SUM(C71:F71)</f>
        <v>65</v>
      </c>
    </row>
    <row r="72" spans="1:7">
      <c r="C72">
        <f>SUM(C68:C71)</f>
        <v>40</v>
      </c>
      <c r="D72">
        <f>SUM(D68:D71)</f>
        <v>50</v>
      </c>
      <c r="E72">
        <f>SUM(E68:E71)</f>
        <v>110</v>
      </c>
      <c r="G72">
        <f>SUM(C72:F72)</f>
        <v>200</v>
      </c>
    </row>
    <row r="74" spans="1:7">
      <c r="B74" t="s">
        <v>1365</v>
      </c>
      <c r="C74" t="s">
        <v>1371</v>
      </c>
    </row>
    <row r="75" spans="1:7">
      <c r="C75" t="s">
        <v>1375</v>
      </c>
    </row>
    <row r="77" spans="1:7">
      <c r="C77" s="490" t="s">
        <v>1376</v>
      </c>
      <c r="E77" s="490" t="s">
        <v>1378</v>
      </c>
    </row>
    <row r="78" spans="1:7">
      <c r="C78" s="5">
        <v>0.7</v>
      </c>
      <c r="E78" s="491">
        <v>0.3</v>
      </c>
    </row>
    <row r="80" spans="1:7">
      <c r="C80" s="490" t="s">
        <v>1377</v>
      </c>
    </row>
    <row r="83" spans="2:8">
      <c r="C83" s="490" t="s">
        <v>0</v>
      </c>
    </row>
    <row r="85" spans="2:8">
      <c r="B85" t="s">
        <v>1379</v>
      </c>
      <c r="C85" t="s">
        <v>1380</v>
      </c>
    </row>
    <row r="87" spans="2:8">
      <c r="B87" s="13" t="s">
        <v>399</v>
      </c>
    </row>
    <row r="88" spans="2:8">
      <c r="C88" s="80" t="s">
        <v>325</v>
      </c>
    </row>
    <row r="89" spans="2:8">
      <c r="B89" t="s">
        <v>1430</v>
      </c>
      <c r="C89">
        <v>45</v>
      </c>
    </row>
    <row r="90" spans="2:8">
      <c r="B90" t="s">
        <v>1431</v>
      </c>
      <c r="C90">
        <v>29</v>
      </c>
    </row>
    <row r="91" spans="2:8">
      <c r="B91" t="s">
        <v>1432</v>
      </c>
      <c r="C91">
        <v>24</v>
      </c>
    </row>
    <row r="92" spans="2:8">
      <c r="B92" t="s">
        <v>1433</v>
      </c>
      <c r="C92">
        <v>18</v>
      </c>
    </row>
    <row r="93" spans="2:8">
      <c r="B93" s="3" t="s">
        <v>1434</v>
      </c>
      <c r="C93" s="3">
        <v>9</v>
      </c>
    </row>
    <row r="94" spans="2:8">
      <c r="B94" t="s">
        <v>258</v>
      </c>
      <c r="C94">
        <f>SUM(C89:C93)</f>
        <v>125</v>
      </c>
    </row>
    <row r="96" spans="2:8">
      <c r="B96" s="3" t="s">
        <v>1495</v>
      </c>
      <c r="C96" s="3">
        <v>2013</v>
      </c>
      <c r="D96" s="3">
        <f>C96+1</f>
        <v>2014</v>
      </c>
      <c r="E96" s="3">
        <f>D96+1</f>
        <v>2015</v>
      </c>
      <c r="F96" s="3">
        <f>E96+1</f>
        <v>2016</v>
      </c>
      <c r="G96" s="3">
        <f>F96+1</f>
        <v>2017</v>
      </c>
      <c r="H96" s="3">
        <f>G96+1</f>
        <v>2018</v>
      </c>
    </row>
    <row r="97" spans="2:15">
      <c r="B97" t="s">
        <v>1502</v>
      </c>
      <c r="C97" s="6"/>
      <c r="D97" s="6"/>
      <c r="E97" s="35"/>
      <c r="F97" s="35"/>
      <c r="G97" s="35">
        <v>0.14000000000000001</v>
      </c>
      <c r="H97" s="35"/>
    </row>
    <row r="98" spans="2:15">
      <c r="B98" t="s">
        <v>1496</v>
      </c>
      <c r="C98" s="6" t="e">
        <f>C99</f>
        <v>#REF!</v>
      </c>
      <c r="D98" s="6" t="e">
        <f>D99</f>
        <v>#REF!</v>
      </c>
      <c r="E98" s="35">
        <f>Notes!C180</f>
        <v>0.21</v>
      </c>
      <c r="F98" s="35">
        <f>Notes!D180</f>
        <v>0.17</v>
      </c>
      <c r="G98" s="35">
        <f>Notes!E180</f>
        <v>0.15</v>
      </c>
      <c r="H98" s="35">
        <f>G98</f>
        <v>0.15</v>
      </c>
    </row>
    <row r="99" spans="2:15">
      <c r="B99" t="s">
        <v>1497</v>
      </c>
      <c r="C99" s="6" t="e">
        <f>Master!#REF!</f>
        <v>#REF!</v>
      </c>
      <c r="D99" s="6" t="e">
        <f>Master!#REF!</f>
        <v>#REF!</v>
      </c>
      <c r="E99" s="6" t="e">
        <f>Master!#REF!</f>
        <v>#REF!</v>
      </c>
      <c r="F99" s="6" t="e">
        <f>Master!#REF!</f>
        <v>#REF!</v>
      </c>
      <c r="G99" s="6" t="e">
        <f>Master!#REF!</f>
        <v>#REF!</v>
      </c>
      <c r="H99" s="6" t="e">
        <f>Master!#REF!</f>
        <v>#REF!</v>
      </c>
    </row>
    <row r="100" spans="2:15">
      <c r="B100" t="s">
        <v>1503</v>
      </c>
      <c r="C100" s="6">
        <f>AnastasiaLiLAC!S24/AnastasiaLiLAC!S20</f>
        <v>0.21273738038510059</v>
      </c>
      <c r="D100" s="6">
        <f>AnastasiaLiLAC!T24/AnastasiaLiLAC!T20</f>
        <v>0.18541968561739239</v>
      </c>
      <c r="E100" s="6">
        <f>AnastasiaLiLAC!U24/AnastasiaLiLAC!U20</f>
        <v>0.22370143457156977</v>
      </c>
      <c r="F100" s="6">
        <f>AnastasiaLiLAC!V24/AnastasiaLiLAC!V20</f>
        <v>0.27067578131432651</v>
      </c>
      <c r="G100" s="6">
        <f>AnastasiaLiLAC!W24/AnastasiaLiLAC!W20</f>
        <v>0.27561756980255292</v>
      </c>
      <c r="H100" s="6">
        <f ca="1">AnastasiaLiLAC!X24/AnastasiaLiLAC!X20</f>
        <v>0.21286872796958176</v>
      </c>
    </row>
    <row r="101" spans="2:15">
      <c r="B101" t="s">
        <v>1498</v>
      </c>
      <c r="C101" s="6">
        <v>0.21056208135132509</v>
      </c>
      <c r="D101" s="6">
        <v>0.20644487684495277</v>
      </c>
      <c r="E101" s="6">
        <v>0.25355557965252379</v>
      </c>
      <c r="F101" s="6">
        <v>0.31005442062617644</v>
      </c>
      <c r="G101" s="6">
        <v>0.3108510188796223</v>
      </c>
      <c r="H101" s="6">
        <v>0.30611459919559536</v>
      </c>
    </row>
    <row r="102" spans="2:15">
      <c r="B102" t="s">
        <v>1499</v>
      </c>
      <c r="C102" s="6">
        <v>0.21754695444640448</v>
      </c>
      <c r="D102" s="6">
        <v>0.20018513105329824</v>
      </c>
      <c r="E102" s="6">
        <v>0.20178993935118431</v>
      </c>
      <c r="F102" s="6">
        <v>0.19883586067367776</v>
      </c>
      <c r="G102" s="6">
        <v>0.19643234856870703</v>
      </c>
      <c r="H102" s="6">
        <v>0.19543632488294685</v>
      </c>
    </row>
    <row r="103" spans="2:15">
      <c r="B103" t="s">
        <v>1500</v>
      </c>
      <c r="C103" s="6">
        <v>0.22683238895997077</v>
      </c>
      <c r="D103" s="6">
        <v>0.22681740964208308</v>
      </c>
      <c r="E103" s="6">
        <v>0.20147184228713572</v>
      </c>
      <c r="F103" s="6">
        <v>0.19843765317257794</v>
      </c>
      <c r="G103" s="6">
        <v>0.19558885882113874</v>
      </c>
      <c r="H103" s="6">
        <v>0.19325295608024226</v>
      </c>
    </row>
    <row r="104" spans="2:15">
      <c r="B104" t="s">
        <v>1501</v>
      </c>
      <c r="C104" s="6">
        <v>0.17346633416458854</v>
      </c>
      <c r="D104" s="6">
        <v>0.17246633416458854</v>
      </c>
      <c r="E104" s="6">
        <v>0.17146633416458854</v>
      </c>
      <c r="F104" s="6">
        <v>0.17046633416458853</v>
      </c>
      <c r="G104" s="6">
        <v>0.16946633416458853</v>
      </c>
      <c r="H104" s="6">
        <v>0.16846633416458853</v>
      </c>
    </row>
    <row r="107" spans="2:15">
      <c r="C107" s="3">
        <v>2004</v>
      </c>
      <c r="D107" s="3">
        <f t="shared" ref="D107:O107" si="12">C107+1</f>
        <v>2005</v>
      </c>
      <c r="E107" s="3">
        <f t="shared" si="12"/>
        <v>2006</v>
      </c>
      <c r="F107" s="3">
        <f t="shared" si="12"/>
        <v>2007</v>
      </c>
      <c r="G107" s="3">
        <f t="shared" si="12"/>
        <v>2008</v>
      </c>
      <c r="H107" s="3">
        <f t="shared" si="12"/>
        <v>2009</v>
      </c>
      <c r="I107" s="3">
        <f t="shared" si="12"/>
        <v>2010</v>
      </c>
      <c r="J107" s="3">
        <f t="shared" si="12"/>
        <v>2011</v>
      </c>
      <c r="K107" s="3">
        <f t="shared" si="12"/>
        <v>2012</v>
      </c>
      <c r="L107" s="3">
        <f t="shared" si="12"/>
        <v>2013</v>
      </c>
      <c r="M107" s="3">
        <f t="shared" si="12"/>
        <v>2014</v>
      </c>
      <c r="N107" s="3">
        <f t="shared" si="12"/>
        <v>2015</v>
      </c>
      <c r="O107" s="3">
        <f t="shared" si="12"/>
        <v>2016</v>
      </c>
    </row>
    <row r="108" spans="2:15">
      <c r="B108" t="s">
        <v>1520</v>
      </c>
      <c r="C108" s="5">
        <v>0.25</v>
      </c>
      <c r="D108" s="5">
        <f>AVERAGE(C108,E108)</f>
        <v>0.23499999999999999</v>
      </c>
      <c r="E108" s="5">
        <v>0.22</v>
      </c>
      <c r="F108" s="5">
        <f>AVERAGE(E108,G108)</f>
        <v>0.185</v>
      </c>
      <c r="G108" s="5">
        <v>0.15</v>
      </c>
      <c r="H108" s="5"/>
      <c r="I108" s="5"/>
      <c r="J108" s="5"/>
      <c r="K108" s="5"/>
      <c r="L108" s="5"/>
      <c r="M108" s="5"/>
    </row>
    <row r="109" spans="2:15">
      <c r="B109" t="s">
        <v>1521</v>
      </c>
      <c r="C109" s="5"/>
      <c r="D109" s="5"/>
      <c r="E109" s="5">
        <v>0.25</v>
      </c>
      <c r="F109" s="5">
        <f>AVERAGE(E109,G109)</f>
        <v>0.22999999999999998</v>
      </c>
      <c r="G109" s="5">
        <v>0.21</v>
      </c>
      <c r="H109" s="5">
        <f>AVERAGE(G109,I109)</f>
        <v>0.18</v>
      </c>
      <c r="I109" s="5">
        <v>0.15</v>
      </c>
      <c r="J109" s="5"/>
      <c r="K109" s="5"/>
      <c r="L109" s="5"/>
      <c r="M109" s="5"/>
    </row>
    <row r="110" spans="2:15">
      <c r="B110" t="s">
        <v>1522</v>
      </c>
      <c r="C110" s="5"/>
      <c r="D110" s="5"/>
      <c r="E110" s="5"/>
      <c r="F110" s="5"/>
      <c r="G110" s="5">
        <v>0.24</v>
      </c>
      <c r="H110" s="5">
        <f>AVERAGE(G110,I110)</f>
        <v>0.22499999999999998</v>
      </c>
      <c r="I110" s="5">
        <v>0.21</v>
      </c>
      <c r="J110" s="5">
        <f>AVERAGE(I110,K110)</f>
        <v>0.19</v>
      </c>
      <c r="K110" s="5">
        <v>0.17</v>
      </c>
      <c r="L110" s="5"/>
      <c r="M110" s="5"/>
    </row>
    <row r="111" spans="2:15">
      <c r="B111" t="s">
        <v>1523</v>
      </c>
      <c r="C111" s="5"/>
      <c r="D111" s="5"/>
      <c r="E111" s="5"/>
      <c r="F111" s="5"/>
      <c r="G111" s="5"/>
      <c r="H111" s="5"/>
      <c r="I111" s="5">
        <v>0.23</v>
      </c>
      <c r="J111" s="5">
        <f>AVERAGE(I111,K111)</f>
        <v>0.21500000000000002</v>
      </c>
      <c r="K111" s="5">
        <v>0.2</v>
      </c>
      <c r="L111" s="5">
        <f>AVERAGE(K111,M111)</f>
        <v>0.19</v>
      </c>
      <c r="M111" s="5">
        <v>0.18</v>
      </c>
    </row>
    <row r="112" spans="2:15">
      <c r="B112" t="s">
        <v>1524</v>
      </c>
      <c r="C112" s="5"/>
      <c r="D112" s="5"/>
      <c r="E112" s="5"/>
      <c r="F112" s="5"/>
      <c r="G112" s="5"/>
      <c r="H112" s="5"/>
      <c r="I112" s="5"/>
      <c r="J112" s="5"/>
      <c r="K112" s="5">
        <v>0.2</v>
      </c>
      <c r="L112" s="5">
        <f>AVERAGE(K112,M112)</f>
        <v>0.21000000000000002</v>
      </c>
      <c r="M112" s="5">
        <v>0.22</v>
      </c>
      <c r="N112" s="5">
        <f>AVERAGE(M112,O112)</f>
        <v>0.20500000000000002</v>
      </c>
      <c r="O112" s="5">
        <v>0.19</v>
      </c>
    </row>
    <row r="132" spans="2:11" ht="15.75">
      <c r="B132" s="684" t="s">
        <v>2979</v>
      </c>
      <c r="C132" s="53"/>
      <c r="D132" s="53"/>
      <c r="E132" s="53"/>
      <c r="F132" s="53"/>
      <c r="G132" s="53"/>
      <c r="H132" s="53"/>
      <c r="I132" s="53"/>
      <c r="J132" s="53"/>
      <c r="K132" s="53"/>
    </row>
    <row r="133" spans="2:11" ht="15.75">
      <c r="B133" s="53"/>
      <c r="C133" s="53"/>
      <c r="D133" s="53"/>
      <c r="E133" s="53"/>
      <c r="F133" s="53"/>
      <c r="G133" s="53"/>
      <c r="H133" s="53"/>
      <c r="I133" s="53"/>
      <c r="J133" s="53"/>
      <c r="K133" s="53"/>
    </row>
    <row r="134" spans="2:11" ht="15.75">
      <c r="B134" s="636"/>
      <c r="C134" s="636">
        <v>2019</v>
      </c>
      <c r="D134" s="636">
        <f>C134+1</f>
        <v>2020</v>
      </c>
      <c r="E134" s="636">
        <f>D134+1</f>
        <v>2021</v>
      </c>
      <c r="F134" s="636">
        <f>E134+1</f>
        <v>2022</v>
      </c>
      <c r="G134" s="53"/>
      <c r="H134" s="53"/>
      <c r="I134" s="53"/>
      <c r="J134" s="53"/>
      <c r="K134" s="53"/>
    </row>
    <row r="135" spans="2:11" ht="15.75">
      <c r="B135" s="53" t="s">
        <v>1677</v>
      </c>
      <c r="C135" s="630">
        <f>C136*C137</f>
        <v>709.8</v>
      </c>
      <c r="D135" s="53"/>
      <c r="E135" s="53"/>
      <c r="F135" s="53"/>
      <c r="G135" s="53"/>
      <c r="H135" s="53"/>
      <c r="I135" s="53"/>
      <c r="J135" s="53"/>
      <c r="K135" s="53"/>
    </row>
    <row r="136" spans="2:11" ht="16.5" thickBot="1">
      <c r="B136" s="53" t="s">
        <v>3956</v>
      </c>
      <c r="C136" s="639">
        <v>9.1</v>
      </c>
      <c r="D136" s="53"/>
      <c r="E136" s="53"/>
      <c r="F136" s="53"/>
      <c r="G136" s="53"/>
      <c r="H136" s="53"/>
      <c r="I136" s="53"/>
      <c r="J136" s="53"/>
      <c r="K136" s="53"/>
    </row>
    <row r="137" spans="2:11" ht="16.5" thickBot="1">
      <c r="B137" s="53" t="s">
        <v>3955</v>
      </c>
      <c r="C137" s="861">
        <v>78</v>
      </c>
      <c r="D137" s="53"/>
      <c r="E137" s="53"/>
      <c r="F137" s="53"/>
      <c r="G137" s="53"/>
      <c r="H137" s="53">
        <v>57</v>
      </c>
      <c r="I137" s="53"/>
      <c r="J137" s="53"/>
      <c r="K137" s="53"/>
    </row>
    <row r="138" spans="2:11" ht="15.75">
      <c r="B138" s="53" t="s">
        <v>3968</v>
      </c>
      <c r="C138" s="630">
        <v>100</v>
      </c>
      <c r="D138" s="53"/>
      <c r="E138" s="53"/>
      <c r="F138" s="53"/>
      <c r="G138" s="53"/>
      <c r="H138" s="54">
        <f>C137/H137-1</f>
        <v>0.36842105263157898</v>
      </c>
      <c r="I138" s="53"/>
      <c r="J138" s="53"/>
      <c r="K138" s="53"/>
    </row>
    <row r="139" spans="2:11" ht="15.75">
      <c r="B139" s="53" t="s">
        <v>1678</v>
      </c>
      <c r="C139" s="630">
        <f>C135*C138</f>
        <v>70980</v>
      </c>
      <c r="D139" s="53"/>
      <c r="E139" s="53"/>
      <c r="F139" s="53"/>
      <c r="G139" s="53"/>
      <c r="H139" s="53"/>
      <c r="I139" s="53"/>
      <c r="J139" s="53"/>
      <c r="K139" s="53"/>
    </row>
    <row r="140" spans="2:11" ht="15.75">
      <c r="B140" s="53" t="s">
        <v>1170</v>
      </c>
      <c r="C140" s="630">
        <f>C139/C136</f>
        <v>7800</v>
      </c>
      <c r="D140" s="53"/>
      <c r="E140" s="53"/>
      <c r="F140" s="53"/>
      <c r="G140" s="53"/>
      <c r="H140" s="53"/>
      <c r="I140" s="53"/>
      <c r="J140" s="53"/>
      <c r="K140" s="53"/>
    </row>
    <row r="141" spans="2:11" ht="15.75">
      <c r="B141" s="53" t="s">
        <v>1679</v>
      </c>
      <c r="C141" s="764">
        <v>46</v>
      </c>
      <c r="D141" s="53"/>
      <c r="E141" s="53"/>
      <c r="F141" s="53"/>
      <c r="G141" s="53"/>
      <c r="H141" s="53"/>
      <c r="I141" s="53"/>
      <c r="J141" s="53"/>
      <c r="K141" s="53"/>
    </row>
    <row r="142" spans="2:11" ht="15.75">
      <c r="B142" s="53" t="s">
        <v>1668</v>
      </c>
      <c r="C142" s="54">
        <f>C137/C141-1</f>
        <v>0.69565217391304346</v>
      </c>
      <c r="D142" s="53"/>
      <c r="E142" s="53"/>
      <c r="F142" s="53"/>
      <c r="G142" s="53"/>
      <c r="H142" s="53"/>
      <c r="I142" s="53"/>
      <c r="J142" s="53"/>
      <c r="K142" s="53"/>
    </row>
    <row r="143" spans="2:11" ht="15.75">
      <c r="B143" s="53"/>
      <c r="C143" s="53"/>
      <c r="D143" s="53"/>
      <c r="E143" s="53"/>
      <c r="F143" s="53"/>
      <c r="G143" s="53"/>
      <c r="H143" s="53"/>
      <c r="I143" s="53"/>
      <c r="J143" s="53"/>
      <c r="K143" s="53"/>
    </row>
    <row r="144" spans="2:11" ht="15.75">
      <c r="B144" s="53" t="s">
        <v>1660</v>
      </c>
      <c r="C144" s="621">
        <f>C136</f>
        <v>9.1</v>
      </c>
      <c r="D144" s="53"/>
      <c r="E144" s="53"/>
      <c r="F144" s="53"/>
      <c r="G144" s="53"/>
      <c r="H144" s="53"/>
      <c r="I144" s="53"/>
      <c r="J144" s="53"/>
      <c r="K144" s="53"/>
    </row>
    <row r="145" spans="2:11" ht="15.75">
      <c r="B145" s="53"/>
      <c r="C145" s="53"/>
      <c r="D145" s="53"/>
      <c r="E145" s="53"/>
      <c r="F145" s="53"/>
      <c r="G145" s="53"/>
      <c r="H145" s="53"/>
      <c r="I145" s="53"/>
      <c r="J145" s="53"/>
      <c r="K145" s="53"/>
    </row>
    <row r="146" spans="2:11" ht="15.75">
      <c r="B146" s="53" t="s">
        <v>3982</v>
      </c>
      <c r="C146" s="53">
        <v>78</v>
      </c>
      <c r="D146" s="53"/>
      <c r="E146" s="53"/>
      <c r="F146" s="53"/>
      <c r="G146" s="53"/>
      <c r="H146" s="53"/>
      <c r="I146" s="53"/>
      <c r="J146" s="53"/>
      <c r="K146" s="53"/>
    </row>
    <row r="147" spans="2:11" ht="15.75">
      <c r="B147" s="53" t="s">
        <v>3983</v>
      </c>
      <c r="C147" s="630">
        <f>C146*C138</f>
        <v>7800</v>
      </c>
      <c r="D147" s="53"/>
      <c r="E147" s="53"/>
      <c r="F147" s="53"/>
      <c r="G147" s="53"/>
      <c r="H147" s="53"/>
      <c r="I147" s="53">
        <v>60</v>
      </c>
      <c r="J147" s="621">
        <v>5.5</v>
      </c>
      <c r="K147" s="53">
        <f>I147*J147</f>
        <v>330</v>
      </c>
    </row>
    <row r="148" spans="2:11" ht="15.75">
      <c r="B148" s="53"/>
      <c r="C148" s="53"/>
      <c r="D148" s="53"/>
      <c r="E148" s="53"/>
      <c r="F148" s="53"/>
      <c r="G148" s="53"/>
      <c r="H148" s="53"/>
      <c r="I148" s="53">
        <v>40</v>
      </c>
      <c r="J148" s="621">
        <f>K148/I148</f>
        <v>9.25</v>
      </c>
      <c r="K148" s="53">
        <f>K149-K147</f>
        <v>370</v>
      </c>
    </row>
    <row r="149" spans="2:11" ht="15.75">
      <c r="B149" s="58" t="s">
        <v>3967</v>
      </c>
      <c r="C149" s="53"/>
      <c r="D149" s="53"/>
      <c r="E149" s="53"/>
      <c r="F149" s="53"/>
      <c r="G149" s="53"/>
      <c r="H149" s="53"/>
      <c r="I149" s="53">
        <v>100</v>
      </c>
      <c r="J149" s="621">
        <v>7</v>
      </c>
      <c r="K149" s="53">
        <f>I149*J149</f>
        <v>700</v>
      </c>
    </row>
    <row r="150" spans="2:11" ht="15.75">
      <c r="B150" s="53" t="s">
        <v>332</v>
      </c>
      <c r="C150" s="630">
        <f>C139/C144</f>
        <v>7800</v>
      </c>
      <c r="D150" s="630">
        <f>C150</f>
        <v>7800</v>
      </c>
      <c r="E150" s="630">
        <f>D150</f>
        <v>7800</v>
      </c>
      <c r="F150" s="630">
        <f>E150</f>
        <v>7800</v>
      </c>
      <c r="G150" s="53"/>
      <c r="H150" s="53"/>
      <c r="I150" s="53"/>
      <c r="J150" s="53"/>
      <c r="K150" s="53"/>
    </row>
    <row r="151" spans="2:11" ht="15.75">
      <c r="B151" s="53" t="s">
        <v>1661</v>
      </c>
      <c r="C151" s="630">
        <v>6278.3286138901803</v>
      </c>
      <c r="D151" s="630">
        <v>6323.3205063828409</v>
      </c>
      <c r="E151" s="630">
        <v>6146.3146242423018</v>
      </c>
      <c r="F151" s="630">
        <v>5913.3294047761146</v>
      </c>
      <c r="G151" s="53"/>
      <c r="H151" s="53"/>
      <c r="I151" s="53"/>
      <c r="J151" s="53"/>
      <c r="K151" s="53"/>
    </row>
    <row r="152" spans="2:11" ht="15.75" outlineLevel="1">
      <c r="B152" s="53" t="s">
        <v>1662</v>
      </c>
      <c r="C152" s="630">
        <v>-463.018776925</v>
      </c>
      <c r="D152" s="630">
        <v>-463.018776925</v>
      </c>
      <c r="E152" s="630">
        <v>-463.018776925</v>
      </c>
      <c r="F152" s="630">
        <v>-463.018776925</v>
      </c>
      <c r="G152" s="53"/>
      <c r="H152" s="53"/>
      <c r="I152" s="53"/>
      <c r="J152" s="53"/>
      <c r="K152" s="53"/>
    </row>
    <row r="153" spans="2:11" ht="15.75" outlineLevel="1">
      <c r="B153" s="53" t="s">
        <v>216</v>
      </c>
      <c r="C153" s="630">
        <v>194.48256316758579</v>
      </c>
      <c r="D153" s="630">
        <v>194.48256316758579</v>
      </c>
      <c r="E153" s="630">
        <v>194.48256316758579</v>
      </c>
      <c r="F153" s="630">
        <v>194.48256316758579</v>
      </c>
      <c r="G153" s="53"/>
      <c r="H153" s="53"/>
      <c r="I153" s="53"/>
      <c r="J153" s="53"/>
      <c r="K153" s="53"/>
    </row>
    <row r="154" spans="2:11" ht="15.75" outlineLevel="1">
      <c r="B154" s="50" t="s">
        <v>1663</v>
      </c>
      <c r="C154" s="632">
        <v>319.35772245407247</v>
      </c>
      <c r="D154" s="632">
        <v>319.35772245407247</v>
      </c>
      <c r="E154" s="632">
        <v>319.35772245407247</v>
      </c>
      <c r="F154" s="632">
        <v>319.35772245407247</v>
      </c>
      <c r="G154" s="53"/>
      <c r="H154" s="53"/>
      <c r="I154" s="53"/>
      <c r="J154" s="53"/>
      <c r="K154" s="53"/>
    </row>
    <row r="155" spans="2:11" ht="15.75" outlineLevel="1">
      <c r="B155" s="53" t="s">
        <v>331</v>
      </c>
      <c r="C155" s="630">
        <f>SUM(C150:C154)</f>
        <v>14129.15012258684</v>
      </c>
      <c r="D155" s="630">
        <f>SUM(D150:D154)</f>
        <v>14174.1420150795</v>
      </c>
      <c r="E155" s="630">
        <f>SUM(E150:E154)</f>
        <v>13997.13613293896</v>
      </c>
      <c r="F155" s="630">
        <f>SUM(F150:F154)</f>
        <v>13764.150913472773</v>
      </c>
      <c r="G155" s="53"/>
      <c r="H155" s="53"/>
      <c r="I155" s="53"/>
      <c r="J155" s="53"/>
      <c r="K155" s="53"/>
    </row>
    <row r="156" spans="2:11" ht="15.75">
      <c r="B156" s="53" t="s">
        <v>1408</v>
      </c>
      <c r="C156" s="630">
        <v>1832.2561764494781</v>
      </c>
      <c r="D156" s="630">
        <v>2049.0827365621285</v>
      </c>
      <c r="E156" s="630">
        <v>2129.6412410575217</v>
      </c>
      <c r="F156" s="630">
        <v>2208.1285472490945</v>
      </c>
      <c r="G156" s="766">
        <v>2112.0752451807857</v>
      </c>
      <c r="H156" s="53"/>
      <c r="I156" s="53"/>
      <c r="J156" s="53"/>
      <c r="K156" s="53"/>
    </row>
    <row r="157" spans="2:11" ht="15.75">
      <c r="B157" s="53" t="s">
        <v>1667</v>
      </c>
      <c r="C157" s="639">
        <f>C155/C156</f>
        <v>7.7113398793208718</v>
      </c>
      <c r="D157" s="639">
        <f>D155/D156</f>
        <v>6.9173107372230005</v>
      </c>
      <c r="E157" s="639">
        <f>E155/E156</f>
        <v>6.5725324355516168</v>
      </c>
      <c r="F157" s="639">
        <f>F155/F156</f>
        <v>6.233401099143558</v>
      </c>
      <c r="G157" s="53"/>
      <c r="H157" s="53"/>
      <c r="I157" s="53"/>
      <c r="J157" s="53"/>
      <c r="K157" s="53"/>
    </row>
    <row r="158" spans="2:11" ht="16.5" thickBot="1">
      <c r="B158" s="53"/>
      <c r="C158" s="630"/>
      <c r="D158" s="53"/>
      <c r="E158" s="53"/>
      <c r="F158" s="53"/>
      <c r="G158" s="53"/>
      <c r="H158" s="53"/>
      <c r="I158" s="53"/>
      <c r="J158" s="53"/>
      <c r="K158" s="53"/>
    </row>
    <row r="159" spans="2:11" ht="16.5" thickBot="1">
      <c r="B159" s="53" t="s">
        <v>1665</v>
      </c>
      <c r="C159" s="768">
        <v>0.33</v>
      </c>
      <c r="D159" s="53"/>
      <c r="E159" s="53"/>
      <c r="F159" s="53"/>
      <c r="G159" s="53"/>
      <c r="H159" s="53"/>
      <c r="I159" s="53"/>
      <c r="J159" s="53"/>
      <c r="K159" s="53"/>
    </row>
    <row r="160" spans="2:11" ht="15.75">
      <c r="B160" s="53" t="s">
        <v>1666</v>
      </c>
      <c r="C160" s="54">
        <f>100%-C159</f>
        <v>0.66999999999999993</v>
      </c>
      <c r="D160" s="53"/>
      <c r="E160" s="53"/>
      <c r="F160" s="53"/>
      <c r="G160" s="53"/>
      <c r="H160" s="53"/>
      <c r="I160" s="53"/>
      <c r="J160" s="53"/>
      <c r="K160" s="53"/>
    </row>
    <row r="161" spans="2:11" ht="15.75">
      <c r="B161" s="53" t="s">
        <v>707</v>
      </c>
      <c r="C161" s="630">
        <f>C159*C150</f>
        <v>2574</v>
      </c>
      <c r="D161" s="53"/>
      <c r="E161" s="53"/>
      <c r="F161" s="53"/>
      <c r="G161" s="53"/>
      <c r="H161" s="53"/>
      <c r="I161" s="53"/>
      <c r="J161" s="53"/>
      <c r="K161" s="53"/>
    </row>
    <row r="162" spans="2:11" ht="16.5" thickBot="1">
      <c r="B162" s="53" t="s">
        <v>1676</v>
      </c>
      <c r="C162" s="630">
        <f>C160*C150</f>
        <v>5225.9999999999991</v>
      </c>
      <c r="D162" s="53"/>
      <c r="E162" s="53"/>
      <c r="F162" s="53"/>
      <c r="G162" s="53"/>
      <c r="H162" s="53"/>
      <c r="I162" s="53"/>
      <c r="J162" s="53"/>
      <c r="K162" s="53"/>
    </row>
    <row r="163" spans="2:11" ht="16.5" thickBot="1">
      <c r="B163" s="53" t="s">
        <v>1949</v>
      </c>
      <c r="C163" s="859">
        <v>18</v>
      </c>
      <c r="D163" s="53"/>
      <c r="E163" s="53"/>
      <c r="F163" s="53"/>
      <c r="G163" s="53"/>
      <c r="H163" s="53"/>
      <c r="I163" s="53"/>
      <c r="J163" s="53"/>
      <c r="K163" s="53"/>
    </row>
    <row r="164" spans="2:11" ht="15.75">
      <c r="B164" s="50" t="s">
        <v>1950</v>
      </c>
      <c r="C164" s="632">
        <f>C162/C163</f>
        <v>290.33333333333326</v>
      </c>
      <c r="D164" s="50"/>
      <c r="E164" s="50"/>
      <c r="F164" s="50"/>
      <c r="G164" s="53"/>
      <c r="H164" s="53"/>
      <c r="I164" s="53"/>
      <c r="J164" s="53"/>
      <c r="K164" s="53"/>
    </row>
    <row r="165" spans="2:11" ht="15.75">
      <c r="B165" s="53"/>
      <c r="C165" s="630"/>
      <c r="D165" s="53"/>
      <c r="E165" s="53"/>
      <c r="F165" s="53"/>
      <c r="G165" s="53"/>
      <c r="H165" s="53"/>
      <c r="I165" s="53"/>
      <c r="J165" s="53"/>
      <c r="K165" s="53"/>
    </row>
    <row r="166" spans="2:11" ht="15.75" outlineLevel="1">
      <c r="B166" s="53" t="s">
        <v>929</v>
      </c>
      <c r="C166" s="752">
        <v>6.5000000000000002E-2</v>
      </c>
      <c r="D166" s="53"/>
      <c r="E166" s="53"/>
      <c r="F166" s="53"/>
      <c r="G166" s="53"/>
      <c r="H166" s="53"/>
      <c r="I166" s="53"/>
      <c r="J166" s="53"/>
      <c r="K166" s="53"/>
    </row>
    <row r="167" spans="2:11" ht="15.75" outlineLevel="1">
      <c r="B167" s="53" t="s">
        <v>4509</v>
      </c>
      <c r="C167" s="481"/>
      <c r="D167" s="481">
        <f>C166*C161*(1-0.28)</f>
        <v>120.4632</v>
      </c>
      <c r="E167" s="481">
        <f>D167</f>
        <v>120.4632</v>
      </c>
      <c r="F167" s="481">
        <f>E167</f>
        <v>120.4632</v>
      </c>
      <c r="G167" s="53"/>
      <c r="H167" s="53"/>
      <c r="I167" s="53"/>
      <c r="J167" s="53"/>
      <c r="K167" s="53"/>
    </row>
    <row r="168" spans="2:11" ht="15.75" outlineLevel="1">
      <c r="B168" s="53" t="s">
        <v>1664</v>
      </c>
      <c r="C168" s="481"/>
      <c r="D168" s="481">
        <f>C168+D167</f>
        <v>120.4632</v>
      </c>
      <c r="E168" s="481">
        <f>D168+E167</f>
        <v>240.9264</v>
      </c>
      <c r="F168" s="481">
        <f>E168+F167</f>
        <v>361.38959999999997</v>
      </c>
      <c r="G168" s="53"/>
      <c r="H168" s="53"/>
      <c r="I168" s="53"/>
      <c r="J168" s="53"/>
      <c r="K168" s="53"/>
    </row>
    <row r="169" spans="2:11" ht="15.75" outlineLevel="1">
      <c r="B169" s="53"/>
      <c r="C169" s="630"/>
      <c r="D169" s="53"/>
      <c r="E169" s="53"/>
      <c r="F169" s="53"/>
      <c r="G169" s="53"/>
      <c r="H169" s="53"/>
      <c r="I169" s="53"/>
      <c r="J169" s="53"/>
      <c r="K169" s="53"/>
    </row>
    <row r="170" spans="2:11" ht="15.75" outlineLevel="1">
      <c r="B170" s="53" t="s">
        <v>1680</v>
      </c>
      <c r="C170" s="54">
        <f>C162/Valuation!$I$8</f>
        <v>4.2464176843388923</v>
      </c>
      <c r="D170" s="53"/>
      <c r="E170" s="53"/>
      <c r="F170" s="53"/>
      <c r="G170" s="53"/>
      <c r="H170" s="53"/>
      <c r="I170" s="53"/>
      <c r="J170" s="53"/>
      <c r="K170" s="53"/>
    </row>
    <row r="171" spans="2:11" ht="15.75" outlineLevel="1">
      <c r="B171" s="53"/>
      <c r="C171" s="630"/>
      <c r="D171" s="53"/>
      <c r="E171" s="53"/>
      <c r="F171" s="53"/>
      <c r="G171" s="53"/>
      <c r="H171" s="53"/>
      <c r="I171" s="53"/>
      <c r="J171" s="53"/>
      <c r="K171" s="53"/>
    </row>
    <row r="172" spans="2:11" ht="15.75" outlineLevel="1">
      <c r="B172" s="53" t="s">
        <v>1674</v>
      </c>
      <c r="C172" s="630">
        <f>Valuation!J82</f>
        <v>6037.64</v>
      </c>
      <c r="D172" s="630">
        <f>Valuation!K82</f>
        <v>7205.4250000000011</v>
      </c>
      <c r="E172" s="630">
        <f>Valuation!L82</f>
        <v>7752.1</v>
      </c>
      <c r="F172" s="630">
        <f>Valuation!M82</f>
        <v>5985.04</v>
      </c>
      <c r="G172" s="53"/>
      <c r="H172" s="53"/>
      <c r="I172" s="53"/>
      <c r="J172" s="53"/>
      <c r="K172" s="53"/>
    </row>
    <row r="173" spans="2:11" ht="15.75" outlineLevel="1">
      <c r="B173" s="53" t="s">
        <v>1675</v>
      </c>
      <c r="C173" s="630">
        <f>$C$161</f>
        <v>2574</v>
      </c>
      <c r="D173" s="630">
        <f>C173</f>
        <v>2574</v>
      </c>
      <c r="E173" s="630">
        <f>D173</f>
        <v>2574</v>
      </c>
      <c r="F173" s="630">
        <f>E173</f>
        <v>2574</v>
      </c>
      <c r="G173" s="53"/>
      <c r="H173" s="53"/>
      <c r="I173" s="53"/>
      <c r="J173" s="53"/>
      <c r="K173" s="53"/>
    </row>
    <row r="174" spans="2:11" ht="15.75" outlineLevel="1">
      <c r="B174" s="53" t="s">
        <v>1664</v>
      </c>
      <c r="C174" s="53"/>
      <c r="D174" s="481">
        <f>D168</f>
        <v>120.4632</v>
      </c>
      <c r="E174" s="481">
        <f>E168</f>
        <v>240.9264</v>
      </c>
      <c r="F174" s="481">
        <f>F168</f>
        <v>361.38959999999997</v>
      </c>
      <c r="G174" s="53"/>
      <c r="H174" s="53"/>
      <c r="I174" s="53"/>
      <c r="J174" s="53"/>
      <c r="K174" s="53"/>
    </row>
    <row r="175" spans="2:11" ht="15.75" outlineLevel="1">
      <c r="B175" s="50" t="s">
        <v>1669</v>
      </c>
      <c r="C175" s="50"/>
      <c r="D175" s="632">
        <f>D151</f>
        <v>6323.3205063828409</v>
      </c>
      <c r="E175" s="632">
        <f>E151</f>
        <v>6146.3146242423018</v>
      </c>
      <c r="F175" s="632">
        <f>F151</f>
        <v>5913.3294047761146</v>
      </c>
      <c r="G175" s="53"/>
      <c r="H175" s="53"/>
      <c r="I175" s="53"/>
      <c r="J175" s="53"/>
      <c r="K175" s="53"/>
    </row>
    <row r="176" spans="2:11" ht="15.75" outlineLevel="1">
      <c r="B176" s="53" t="s">
        <v>1670</v>
      </c>
      <c r="C176" s="53"/>
      <c r="D176" s="630">
        <f>SUM(D172:D175)</f>
        <v>16223.208706382842</v>
      </c>
      <c r="E176" s="630">
        <f>SUM(E172:E175)</f>
        <v>16713.341024242302</v>
      </c>
      <c r="F176" s="630">
        <f>SUM(F172:F175)</f>
        <v>14833.759004776115</v>
      </c>
      <c r="G176" s="53"/>
      <c r="H176" s="53"/>
      <c r="I176" s="53"/>
      <c r="J176" s="53"/>
      <c r="K176" s="53"/>
    </row>
    <row r="177" spans="2:13" ht="16.5" outlineLevel="1" thickBot="1">
      <c r="B177" s="53"/>
      <c r="C177" s="53"/>
      <c r="D177" s="53"/>
      <c r="E177" s="53"/>
      <c r="F177" s="53"/>
      <c r="G177" s="53"/>
      <c r="H177" s="53"/>
      <c r="I177" s="53"/>
      <c r="J177" s="53"/>
      <c r="K177" s="53"/>
    </row>
    <row r="178" spans="2:13" ht="15.75">
      <c r="B178" s="50" t="s">
        <v>44</v>
      </c>
      <c r="C178" s="50">
        <f>C134</f>
        <v>2019</v>
      </c>
      <c r="D178" s="50">
        <f>D134</f>
        <v>2020</v>
      </c>
      <c r="E178" s="50">
        <f>E134</f>
        <v>2021</v>
      </c>
      <c r="F178" s="50">
        <f>F134</f>
        <v>2022</v>
      </c>
      <c r="G178" s="770" t="s">
        <v>4520</v>
      </c>
      <c r="H178" s="53"/>
      <c r="I178" s="53"/>
      <c r="J178" s="53"/>
      <c r="K178" s="53"/>
    </row>
    <row r="179" spans="2:13" ht="15.75">
      <c r="B179" s="53" t="s">
        <v>1671</v>
      </c>
      <c r="C179" s="630">
        <f>Master!K84</f>
        <v>1328.2097159999998</v>
      </c>
      <c r="D179" s="630">
        <f>Master!L84</f>
        <v>1336.9684400000001</v>
      </c>
      <c r="E179" s="630">
        <f>Master!M84</f>
        <v>1654.2012511038108</v>
      </c>
      <c r="F179" s="630">
        <f>Master!N84</f>
        <v>1550.9752100000001</v>
      </c>
      <c r="G179" s="771">
        <f>(F179/C179)^(1/3)-1</f>
        <v>5.3042908558028623E-2</v>
      </c>
      <c r="H179" s="53"/>
      <c r="I179" s="53"/>
      <c r="J179" s="53"/>
      <c r="K179" s="53"/>
    </row>
    <row r="180" spans="2:13" ht="15.75">
      <c r="B180" s="50" t="s">
        <v>1672</v>
      </c>
      <c r="C180" s="632">
        <f>C156</f>
        <v>1832.2561764494781</v>
      </c>
      <c r="D180" s="632">
        <f>D156</f>
        <v>2049.0827365621285</v>
      </c>
      <c r="E180" s="632">
        <f>E156</f>
        <v>2129.6412410575217</v>
      </c>
      <c r="F180" s="632">
        <f>F156</f>
        <v>2208.1285472490945</v>
      </c>
      <c r="G180" s="772">
        <f>(F180/C180)^(1/3)-1</f>
        <v>6.4174184687050717E-2</v>
      </c>
      <c r="H180" s="53"/>
      <c r="I180" s="53"/>
      <c r="J180" s="53"/>
      <c r="K180" s="53"/>
    </row>
    <row r="181" spans="2:13" ht="16.5" thickBot="1">
      <c r="B181" s="53" t="s">
        <v>1673</v>
      </c>
      <c r="C181" s="630">
        <f>C179+C180</f>
        <v>3160.4658924494779</v>
      </c>
      <c r="D181" s="630">
        <f>D179+D180</f>
        <v>3386.0511765621286</v>
      </c>
      <c r="E181" s="630">
        <f>E179+E180</f>
        <v>3783.8424921613323</v>
      </c>
      <c r="F181" s="630">
        <f>F179+F180</f>
        <v>3759.1037572490945</v>
      </c>
      <c r="G181" s="773">
        <f>(F181/C181)^(1/3)-1</f>
        <v>5.952465814544583E-2</v>
      </c>
      <c r="H181" s="53"/>
      <c r="I181" s="53"/>
      <c r="J181" s="53"/>
      <c r="K181" s="53"/>
    </row>
    <row r="182" spans="2:13" ht="15.75">
      <c r="B182" s="53" t="s">
        <v>4005</v>
      </c>
      <c r="C182" s="630"/>
      <c r="D182" s="630"/>
      <c r="E182" s="630"/>
      <c r="F182" s="630"/>
      <c r="G182" s="56"/>
      <c r="H182" s="53"/>
      <c r="I182" s="53"/>
      <c r="J182" s="53"/>
      <c r="K182" s="53"/>
    </row>
    <row r="183" spans="2:13" ht="16.5" thickBot="1">
      <c r="B183" s="53"/>
      <c r="C183" s="53"/>
      <c r="D183" s="53"/>
      <c r="E183" s="53"/>
      <c r="F183" s="53"/>
      <c r="G183" s="53"/>
      <c r="H183" s="53"/>
      <c r="I183" s="53"/>
      <c r="J183" s="53"/>
      <c r="K183" s="53"/>
    </row>
    <row r="184" spans="2:13" ht="15.75">
      <c r="B184" s="862" t="s">
        <v>4521</v>
      </c>
      <c r="C184" s="863">
        <f>C134</f>
        <v>2019</v>
      </c>
      <c r="D184" s="863">
        <f>D134</f>
        <v>2020</v>
      </c>
      <c r="E184" s="863">
        <f>E134</f>
        <v>2021</v>
      </c>
      <c r="F184" s="864">
        <f>F134</f>
        <v>2022</v>
      </c>
      <c r="G184" s="53"/>
      <c r="H184" s="53"/>
      <c r="I184" s="53"/>
      <c r="J184" s="53"/>
      <c r="K184" s="53"/>
      <c r="L184" s="53"/>
      <c r="M184" s="53"/>
    </row>
    <row r="185" spans="2:13" ht="15.75">
      <c r="B185" s="865" t="s">
        <v>3969</v>
      </c>
      <c r="C185" s="621">
        <f>Valuation!J85</f>
        <v>4.545697812076539</v>
      </c>
      <c r="D185" s="621">
        <f>Valuation!K85</f>
        <v>4.5001979970326556</v>
      </c>
      <c r="E185" s="621">
        <f>Valuation!L85</f>
        <v>4.594696058450463</v>
      </c>
      <c r="F185" s="866">
        <f>Valuation!M85</f>
        <v>3.8588882410312668</v>
      </c>
      <c r="G185" s="53"/>
      <c r="H185" s="621"/>
      <c r="I185" s="621"/>
      <c r="J185" s="621"/>
      <c r="K185" s="53"/>
      <c r="L185" s="53"/>
      <c r="M185" s="53"/>
    </row>
    <row r="186" spans="2:13" ht="16.5" thickBot="1">
      <c r="B186" s="659" t="s">
        <v>3970</v>
      </c>
      <c r="C186" s="660"/>
      <c r="D186" s="867">
        <f>D176/D181</f>
        <v>4.7911882781566026</v>
      </c>
      <c r="E186" s="867">
        <f>E176/E181</f>
        <v>4.4170287370221999</v>
      </c>
      <c r="F186" s="868">
        <f>F176/F181</f>
        <v>3.9460892709254276</v>
      </c>
      <c r="G186" s="53"/>
      <c r="H186" s="621"/>
      <c r="I186" s="621"/>
      <c r="J186" s="621"/>
      <c r="K186" s="621"/>
      <c r="L186" s="621"/>
      <c r="M186" s="621"/>
    </row>
    <row r="187" spans="2:13" ht="15.75">
      <c r="B187" s="53"/>
      <c r="C187" s="53"/>
      <c r="D187" s="53"/>
      <c r="E187" s="53"/>
      <c r="F187" s="53"/>
      <c r="G187" s="58"/>
      <c r="H187" s="621"/>
      <c r="I187" s="621"/>
      <c r="J187" s="621"/>
      <c r="K187" s="621"/>
      <c r="L187" s="621"/>
      <c r="M187" s="621"/>
    </row>
    <row r="188" spans="2:13" ht="15.75">
      <c r="B188" s="50" t="s">
        <v>325</v>
      </c>
      <c r="C188" s="50">
        <v>2019</v>
      </c>
      <c r="D188" s="50">
        <f>C188+1</f>
        <v>2020</v>
      </c>
      <c r="E188" s="50">
        <f>D188+1</f>
        <v>2021</v>
      </c>
      <c r="F188" s="50">
        <f>E188+1</f>
        <v>2022</v>
      </c>
      <c r="G188" s="53"/>
      <c r="H188" s="621"/>
      <c r="I188" s="621"/>
      <c r="J188" s="621"/>
      <c r="K188" s="621"/>
      <c r="L188" s="621"/>
      <c r="M188" s="621"/>
    </row>
    <row r="189" spans="2:13" ht="15.75">
      <c r="B189" s="53" t="s">
        <v>1946</v>
      </c>
      <c r="C189" s="749">
        <v>283.5303646383698</v>
      </c>
      <c r="D189" s="749">
        <v>383.1889006474475</v>
      </c>
      <c r="E189" s="749">
        <v>415.55567684086168</v>
      </c>
      <c r="F189" s="749">
        <v>478.40633623396991</v>
      </c>
      <c r="G189" s="53"/>
      <c r="H189" s="621"/>
      <c r="I189" s="621"/>
      <c r="J189" s="621"/>
      <c r="K189" s="621"/>
      <c r="L189" s="621"/>
      <c r="M189" s="621"/>
    </row>
    <row r="190" spans="2:13" ht="15.75">
      <c r="B190" s="53"/>
      <c r="C190" s="53"/>
      <c r="D190" s="53"/>
      <c r="E190" s="53"/>
      <c r="F190" s="53"/>
      <c r="G190" s="53"/>
      <c r="H190" s="621"/>
      <c r="I190" s="621"/>
      <c r="J190" s="621"/>
      <c r="K190" s="621"/>
      <c r="L190" s="621"/>
      <c r="M190" s="621"/>
    </row>
    <row r="191" spans="2:13" ht="15.75">
      <c r="B191" s="53" t="s">
        <v>1947</v>
      </c>
      <c r="C191" s="630">
        <f>Valuation!J28</f>
        <v>142.40066666666672</v>
      </c>
      <c r="D191" s="630">
        <f>Valuation!K28</f>
        <v>196.00200000000001</v>
      </c>
      <c r="E191" s="630">
        <f>Valuation!L28</f>
        <v>243.97968593955338</v>
      </c>
      <c r="F191" s="630">
        <f>Valuation!M28</f>
        <v>229.24999999999997</v>
      </c>
      <c r="G191" s="53"/>
      <c r="H191" s="621"/>
      <c r="I191" s="621"/>
      <c r="J191" s="621"/>
      <c r="K191" s="621"/>
      <c r="L191" s="621"/>
      <c r="M191" s="621"/>
    </row>
    <row r="192" spans="2:13" ht="15.75">
      <c r="B192" s="53" t="s">
        <v>1064</v>
      </c>
      <c r="C192" s="630">
        <f>Valuation!J5</f>
        <v>181.92400000000001</v>
      </c>
      <c r="D192" s="630">
        <f>Valuation!K5</f>
        <v>232.03</v>
      </c>
      <c r="E192" s="630">
        <f>Valuation!L5</f>
        <v>229.73000000000002</v>
      </c>
      <c r="F192" s="630">
        <f>Valuation!M5</f>
        <v>215.5</v>
      </c>
      <c r="G192" s="53"/>
      <c r="H192" s="621"/>
      <c r="I192" s="621"/>
      <c r="J192" s="621"/>
      <c r="K192" s="621"/>
      <c r="L192" s="621"/>
      <c r="M192" s="621"/>
    </row>
    <row r="193" spans="2:13" ht="15.75">
      <c r="B193" s="53" t="s">
        <v>1948</v>
      </c>
      <c r="C193" s="621">
        <f>C191/C192</f>
        <v>0.78274810726823685</v>
      </c>
      <c r="D193" s="621">
        <f>D191/D192</f>
        <v>0.84472697496013449</v>
      </c>
      <c r="E193" s="621">
        <f>E191/E192</f>
        <v>1.0620279717039713</v>
      </c>
      <c r="F193" s="621">
        <f>F191/F192</f>
        <v>1.0638051044083525</v>
      </c>
      <c r="G193" s="53"/>
      <c r="H193" s="621"/>
      <c r="I193" s="621"/>
      <c r="J193" s="621"/>
      <c r="K193" s="621" t="s">
        <v>72</v>
      </c>
      <c r="L193" s="621"/>
      <c r="M193" s="621"/>
    </row>
    <row r="194" spans="2:13" ht="15.75">
      <c r="B194" s="53"/>
      <c r="C194" s="53"/>
      <c r="D194" s="53"/>
      <c r="E194" s="53"/>
      <c r="F194" s="53"/>
      <c r="G194" s="53"/>
      <c r="H194" s="621"/>
      <c r="I194" s="621"/>
      <c r="J194" s="621"/>
      <c r="K194" s="621"/>
      <c r="L194" s="621"/>
      <c r="M194" s="621"/>
    </row>
    <row r="195" spans="2:13" ht="15.75">
      <c r="B195" s="53" t="s">
        <v>1952</v>
      </c>
      <c r="C195" s="53"/>
      <c r="D195" s="481">
        <f>D167</f>
        <v>120.4632</v>
      </c>
      <c r="E195" s="481">
        <f>E167</f>
        <v>120.4632</v>
      </c>
      <c r="F195" s="481">
        <f>F167</f>
        <v>120.4632</v>
      </c>
      <c r="G195" s="53"/>
      <c r="H195" s="621"/>
      <c r="I195" s="621"/>
      <c r="J195" s="621"/>
      <c r="K195" s="621"/>
      <c r="L195" s="621"/>
      <c r="M195" s="621"/>
    </row>
    <row r="196" spans="2:13" ht="15.75">
      <c r="B196" s="53" t="s">
        <v>2865</v>
      </c>
      <c r="C196" s="481"/>
      <c r="D196" s="481">
        <f>D189+D191-D195</f>
        <v>458.72770064744748</v>
      </c>
      <c r="E196" s="481">
        <f>E189+E191-E195</f>
        <v>539.07216278041506</v>
      </c>
      <c r="F196" s="481">
        <f>F189+F191-F195</f>
        <v>587.19313623396988</v>
      </c>
      <c r="G196" s="53"/>
      <c r="H196" s="621"/>
      <c r="I196" s="621"/>
      <c r="J196" s="621"/>
      <c r="K196" s="621"/>
      <c r="L196" s="621"/>
      <c r="M196" s="621"/>
    </row>
    <row r="197" spans="2:13" ht="15.75">
      <c r="B197" s="53" t="s">
        <v>2860</v>
      </c>
      <c r="C197" s="481"/>
      <c r="D197" s="481">
        <f>C164</f>
        <v>290.33333333333326</v>
      </c>
      <c r="E197" s="481">
        <f>D197</f>
        <v>290.33333333333326</v>
      </c>
      <c r="F197" s="481">
        <f>E197</f>
        <v>290.33333333333326</v>
      </c>
      <c r="G197" s="53"/>
      <c r="H197" s="621"/>
      <c r="I197" s="621"/>
      <c r="J197" s="621"/>
      <c r="K197" s="621"/>
      <c r="L197" s="621"/>
      <c r="M197" s="621"/>
    </row>
    <row r="198" spans="2:13" ht="15.75">
      <c r="B198" s="53" t="s">
        <v>2864</v>
      </c>
      <c r="C198" s="630"/>
      <c r="D198" s="630">
        <f>D192+D197</f>
        <v>522.36333333333323</v>
      </c>
      <c r="E198" s="630">
        <f>E192+E197</f>
        <v>520.06333333333328</v>
      </c>
      <c r="F198" s="630">
        <f>F192+F197</f>
        <v>505.83333333333326</v>
      </c>
      <c r="G198" s="53"/>
      <c r="H198" s="621"/>
      <c r="I198" s="621"/>
      <c r="J198" s="621"/>
      <c r="K198" s="621"/>
      <c r="L198" s="621"/>
      <c r="M198" s="621"/>
    </row>
    <row r="199" spans="2:13" ht="15.75">
      <c r="B199" s="53" t="s">
        <v>2863</v>
      </c>
      <c r="C199" s="639"/>
      <c r="D199" s="639">
        <f>D196/D198</f>
        <v>0.87817745116256418</v>
      </c>
      <c r="E199" s="639">
        <f>E196/E198</f>
        <v>1.0365509895213054</v>
      </c>
      <c r="F199" s="639">
        <f>F196/F198</f>
        <v>1.1608431029337132</v>
      </c>
      <c r="G199" s="53"/>
      <c r="H199" s="621"/>
      <c r="I199" s="621"/>
      <c r="J199" s="871" t="s">
        <v>895</v>
      </c>
      <c r="K199" s="872"/>
      <c r="L199" s="873"/>
      <c r="M199" s="869" t="s">
        <v>3973</v>
      </c>
    </row>
    <row r="200" spans="2:13" ht="15.75">
      <c r="B200" s="53" t="s">
        <v>2858</v>
      </c>
      <c r="C200" s="639"/>
      <c r="D200" s="54">
        <f>D199/D193-1</f>
        <v>3.9599157117018002E-2</v>
      </c>
      <c r="E200" s="54">
        <f>E199/E193-1</f>
        <v>-2.3988993568398564E-2</v>
      </c>
      <c r="F200" s="54">
        <f>F199/F193-1</f>
        <v>9.121783503692571E-2</v>
      </c>
      <c r="G200" s="53"/>
      <c r="H200" s="621"/>
      <c r="I200" s="621"/>
      <c r="J200" s="874">
        <f>D188</f>
        <v>2020</v>
      </c>
      <c r="K200" s="58">
        <f>E188</f>
        <v>2021</v>
      </c>
      <c r="L200" s="875">
        <f>F188</f>
        <v>2022</v>
      </c>
      <c r="M200" s="870" t="s">
        <v>3974</v>
      </c>
    </row>
    <row r="201" spans="2:13" ht="15.75">
      <c r="B201" s="53"/>
      <c r="C201" s="53"/>
      <c r="D201" s="53"/>
      <c r="E201" s="53"/>
      <c r="F201" s="53"/>
      <c r="G201" s="53"/>
      <c r="H201" s="697"/>
      <c r="I201" s="876" t="s">
        <v>3972</v>
      </c>
      <c r="J201" s="915">
        <f>D202</f>
        <v>4.5001979970326556</v>
      </c>
      <c r="K201" s="877">
        <f>E202</f>
        <v>4.594696058450463</v>
      </c>
      <c r="L201" s="916">
        <f>F202</f>
        <v>3.8588882410312668</v>
      </c>
      <c r="M201" s="878"/>
    </row>
    <row r="202" spans="2:13" ht="15.75">
      <c r="B202" s="53" t="s">
        <v>2861</v>
      </c>
      <c r="C202" s="53"/>
      <c r="D202" s="621">
        <f t="shared" ref="D202:F203" si="13">D185</f>
        <v>4.5001979970326556</v>
      </c>
      <c r="E202" s="621">
        <f t="shared" si="13"/>
        <v>4.594696058450463</v>
      </c>
      <c r="F202" s="621">
        <f t="shared" si="13"/>
        <v>3.8588882410312668</v>
      </c>
      <c r="G202" s="53"/>
      <c r="H202" s="621"/>
    </row>
    <row r="203" spans="2:13" ht="15.75">
      <c r="B203" s="53" t="s">
        <v>2862</v>
      </c>
      <c r="C203" s="53"/>
      <c r="D203" s="621">
        <f t="shared" si="13"/>
        <v>4.7911882781566026</v>
      </c>
      <c r="E203" s="621">
        <f t="shared" si="13"/>
        <v>4.4170287370221999</v>
      </c>
      <c r="F203" s="621">
        <f t="shared" si="13"/>
        <v>3.9460892709254276</v>
      </c>
      <c r="G203" s="53"/>
      <c r="H203" s="555"/>
      <c r="I203" s="879" t="s">
        <v>3977</v>
      </c>
      <c r="J203" s="669">
        <f>J200</f>
        <v>2020</v>
      </c>
      <c r="K203" s="669">
        <f>K200</f>
        <v>2021</v>
      </c>
      <c r="L203" s="669">
        <f>L200</f>
        <v>2022</v>
      </c>
      <c r="M203" s="880"/>
    </row>
    <row r="204" spans="2:13" ht="15.75">
      <c r="B204" s="53"/>
      <c r="C204" s="53"/>
      <c r="D204" s="53"/>
      <c r="E204" s="53"/>
      <c r="F204" s="53"/>
      <c r="G204" s="53"/>
      <c r="H204" s="711" t="s">
        <v>707</v>
      </c>
      <c r="I204" s="909">
        <v>0</v>
      </c>
      <c r="J204" s="713">
        <v>3.1932059659975711</v>
      </c>
      <c r="K204" s="713">
        <v>3.1550895406258745</v>
      </c>
      <c r="L204" s="713">
        <v>2.9452369113580166</v>
      </c>
      <c r="M204" s="54">
        <v>2.9249268768280792</v>
      </c>
    </row>
    <row r="205" spans="2:13" ht="16.5" thickBot="1">
      <c r="B205" s="636" t="s">
        <v>325</v>
      </c>
      <c r="C205" s="636"/>
      <c r="D205" s="636">
        <f>D188</f>
        <v>2020</v>
      </c>
      <c r="E205" s="636">
        <f>E188</f>
        <v>2021</v>
      </c>
      <c r="F205" s="636">
        <f>F188</f>
        <v>2022</v>
      </c>
      <c r="G205" s="53"/>
      <c r="H205" s="664" t="s">
        <v>3975</v>
      </c>
      <c r="I205" s="910">
        <v>0.2</v>
      </c>
      <c r="J205" s="913">
        <v>3.8250984702364423</v>
      </c>
      <c r="K205" s="913">
        <v>3.7976512588467326</v>
      </c>
      <c r="L205" s="913">
        <v>3.59243769634113</v>
      </c>
      <c r="M205" s="651">
        <v>2.3399415014624632</v>
      </c>
    </row>
    <row r="206" spans="2:13" ht="16.5" thickBot="1">
      <c r="B206" s="648" t="s">
        <v>1959</v>
      </c>
      <c r="C206" s="649"/>
      <c r="D206" s="649">
        <f>D191</f>
        <v>196.00200000000001</v>
      </c>
      <c r="E206" s="649">
        <f>E191</f>
        <v>243.97968593955338</v>
      </c>
      <c r="F206" s="649">
        <f>F191</f>
        <v>229.24999999999997</v>
      </c>
      <c r="G206" s="53"/>
      <c r="H206" s="58" t="s">
        <v>3976</v>
      </c>
      <c r="I206" s="911">
        <v>0.4</v>
      </c>
      <c r="J206" s="914">
        <v>4.4569909744753122</v>
      </c>
      <c r="K206" s="914">
        <v>4.4402129770675902</v>
      </c>
      <c r="L206" s="914">
        <v>4.2396384813242438</v>
      </c>
      <c r="M206" s="777">
        <v>1.7549561260968474</v>
      </c>
    </row>
    <row r="207" spans="2:13" ht="15.75">
      <c r="B207" s="53" t="s">
        <v>1956</v>
      </c>
      <c r="C207" s="630"/>
      <c r="D207" s="630">
        <f>Valuation!J5</f>
        <v>181.92400000000001</v>
      </c>
      <c r="E207" s="630">
        <f>Valuation!K5</f>
        <v>232.03</v>
      </c>
      <c r="F207" s="630">
        <f>Valuation!L5</f>
        <v>229.73000000000002</v>
      </c>
      <c r="G207" s="53"/>
      <c r="H207" s="664"/>
      <c r="I207" s="910">
        <v>0.60000000000000009</v>
      </c>
      <c r="J207" s="913">
        <v>5.088883478714183</v>
      </c>
      <c r="K207" s="913">
        <v>5.0827746952884478</v>
      </c>
      <c r="L207" s="913">
        <v>4.8868392663073577</v>
      </c>
      <c r="M207" s="651">
        <v>1.1699707507312316</v>
      </c>
    </row>
    <row r="208" spans="2:13" ht="15.75">
      <c r="B208" s="648" t="s">
        <v>1953</v>
      </c>
      <c r="C208" s="697"/>
      <c r="D208" s="697">
        <f>D206/D207</f>
        <v>1.0773839625338053</v>
      </c>
      <c r="E208" s="697">
        <f>E206/E207</f>
        <v>1.0515006074195292</v>
      </c>
      <c r="F208" s="697">
        <f>F206/F207</f>
        <v>0.99791059069342247</v>
      </c>
      <c r="G208" s="53"/>
      <c r="H208" s="53"/>
      <c r="I208" s="909">
        <v>0.8</v>
      </c>
      <c r="J208" s="713">
        <v>5.7207759829530547</v>
      </c>
      <c r="K208" s="713">
        <v>5.7253364135093054</v>
      </c>
      <c r="L208" s="713">
        <v>5.5340400512904715</v>
      </c>
      <c r="M208" s="54">
        <v>0.58498537536561579</v>
      </c>
    </row>
    <row r="209" spans="2:13" ht="15.75">
      <c r="B209" s="53" t="s">
        <v>855</v>
      </c>
      <c r="C209" s="56"/>
      <c r="D209" s="56">
        <f>D208/Valuation!$B$2</f>
        <v>0.15843881801967727</v>
      </c>
      <c r="E209" s="56">
        <f>E208/Valuation!$B$2</f>
        <v>0.15463244226757783</v>
      </c>
      <c r="F209" s="56">
        <f>F208/Valuation!$B$2</f>
        <v>0.14675155745491508</v>
      </c>
      <c r="G209" s="53"/>
      <c r="H209" s="666"/>
      <c r="I209" s="912">
        <f>I208+20%</f>
        <v>1</v>
      </c>
      <c r="J209" s="881">
        <v>6.3526684871919246</v>
      </c>
      <c r="K209" s="881">
        <v>6.3678981317301648</v>
      </c>
      <c r="L209" s="881">
        <v>6.1812408362735853</v>
      </c>
      <c r="M209" s="882">
        <v>0</v>
      </c>
    </row>
    <row r="210" spans="2:13" ht="15.75">
      <c r="B210" s="648"/>
      <c r="C210" s="648"/>
      <c r="D210" s="648"/>
      <c r="E210" s="697"/>
      <c r="F210" s="697"/>
      <c r="G210" s="53"/>
      <c r="H210" s="53"/>
      <c r="I210" s="53"/>
      <c r="J210" s="53"/>
      <c r="K210" s="53"/>
    </row>
    <row r="211" spans="2:13" ht="15.75">
      <c r="B211" s="53" t="s">
        <v>1946</v>
      </c>
      <c r="C211" s="481"/>
      <c r="D211" s="481">
        <f>D189</f>
        <v>383.1889006474475</v>
      </c>
      <c r="E211" s="481">
        <f>E189</f>
        <v>415.55567684086168</v>
      </c>
      <c r="F211" s="481">
        <f>F189</f>
        <v>478.40633623396991</v>
      </c>
      <c r="G211" s="53"/>
      <c r="H211" s="53"/>
      <c r="I211" s="53"/>
      <c r="J211" s="53"/>
      <c r="K211" s="53"/>
    </row>
    <row r="212" spans="2:13" ht="15.75">
      <c r="B212" s="648" t="s">
        <v>1955</v>
      </c>
      <c r="C212" s="853"/>
      <c r="D212" s="853">
        <f>C166</f>
        <v>6.5000000000000002E-2</v>
      </c>
      <c r="E212" s="650"/>
      <c r="F212" s="650"/>
      <c r="G212" s="53"/>
      <c r="H212" s="53"/>
      <c r="I212" s="53"/>
      <c r="J212" s="53"/>
      <c r="K212" s="53"/>
    </row>
    <row r="213" spans="2:13" ht="15.75">
      <c r="B213" s="53" t="s">
        <v>1954</v>
      </c>
      <c r="C213" s="481"/>
      <c r="D213" s="481">
        <f t="shared" ref="D213:F214" si="14">D195</f>
        <v>120.4632</v>
      </c>
      <c r="E213" s="481">
        <f t="shared" si="14"/>
        <v>120.4632</v>
      </c>
      <c r="F213" s="481">
        <f t="shared" si="14"/>
        <v>120.4632</v>
      </c>
      <c r="G213" s="53"/>
      <c r="H213" s="53"/>
      <c r="I213" s="53"/>
      <c r="J213" s="53"/>
      <c r="K213" s="53"/>
    </row>
    <row r="214" spans="2:13" ht="15.75">
      <c r="B214" s="648" t="s">
        <v>1951</v>
      </c>
      <c r="C214" s="650"/>
      <c r="D214" s="650">
        <f t="shared" si="14"/>
        <v>458.72770064744748</v>
      </c>
      <c r="E214" s="650">
        <f t="shared" si="14"/>
        <v>539.07216278041506</v>
      </c>
      <c r="F214" s="650">
        <f t="shared" si="14"/>
        <v>587.19313623396988</v>
      </c>
      <c r="G214" s="53"/>
      <c r="H214" s="53"/>
      <c r="I214" s="53"/>
      <c r="J214" s="53"/>
      <c r="K214" s="53"/>
    </row>
    <row r="215" spans="2:13" ht="15.75">
      <c r="B215" s="53" t="s">
        <v>2855</v>
      </c>
      <c r="C215" s="621"/>
      <c r="D215" s="621">
        <f>C163</f>
        <v>18</v>
      </c>
      <c r="E215" s="481"/>
      <c r="F215" s="481"/>
      <c r="G215" s="53"/>
      <c r="H215" s="53"/>
      <c r="I215" s="53"/>
      <c r="J215" s="53"/>
      <c r="K215" s="53"/>
    </row>
    <row r="216" spans="2:13" ht="15.75">
      <c r="B216" s="648" t="s">
        <v>1059</v>
      </c>
      <c r="C216" s="650"/>
      <c r="D216" s="650">
        <f>C164</f>
        <v>290.33333333333326</v>
      </c>
      <c r="E216" s="650"/>
      <c r="F216" s="650"/>
      <c r="G216" s="53"/>
      <c r="H216" s="53"/>
      <c r="I216" s="53"/>
      <c r="J216" s="53"/>
      <c r="K216" s="53"/>
    </row>
    <row r="217" spans="2:13" ht="15.75">
      <c r="B217" s="53" t="s">
        <v>2859</v>
      </c>
      <c r="C217" s="481"/>
      <c r="D217" s="481">
        <f>D207+$D$216</f>
        <v>472.25733333333324</v>
      </c>
      <c r="E217" s="481">
        <f>E207+$D$216</f>
        <v>522.36333333333323</v>
      </c>
      <c r="F217" s="481">
        <f>F207+$D$216</f>
        <v>520.06333333333328</v>
      </c>
      <c r="G217" s="53"/>
      <c r="H217" s="53"/>
      <c r="I217" s="53"/>
      <c r="J217" s="53"/>
      <c r="K217" s="53"/>
    </row>
    <row r="218" spans="2:13" ht="16.5" thickBot="1">
      <c r="B218" s="648" t="s">
        <v>1957</v>
      </c>
      <c r="C218" s="697"/>
      <c r="D218" s="697">
        <f>D214/D217</f>
        <v>0.97135114326253114</v>
      </c>
      <c r="E218" s="697">
        <f>E214/E217</f>
        <v>1.03198698756373</v>
      </c>
      <c r="F218" s="697">
        <f>F214/F217</f>
        <v>1.1290800535203467</v>
      </c>
      <c r="G218" s="53"/>
      <c r="H218" s="53"/>
      <c r="I218" s="53"/>
      <c r="J218" s="53"/>
      <c r="K218" s="53"/>
    </row>
    <row r="219" spans="2:13" ht="16.5" thickBot="1">
      <c r="B219" s="775" t="s">
        <v>1958</v>
      </c>
      <c r="C219" s="776"/>
      <c r="D219" s="776">
        <f>D218/D208-1</f>
        <v>-9.8416927445165281E-2</v>
      </c>
      <c r="E219" s="776">
        <f>E218/E208-1</f>
        <v>-1.8557877872926065E-2</v>
      </c>
      <c r="F219" s="777">
        <f>F218/F208-1</f>
        <v>0.13144410335977885</v>
      </c>
      <c r="G219" s="53"/>
      <c r="H219" s="53"/>
      <c r="I219" s="53"/>
      <c r="J219" s="53"/>
      <c r="K219" s="53"/>
    </row>
    <row r="220" spans="2:13" ht="15.75">
      <c r="B220" s="920" t="s">
        <v>4007</v>
      </c>
      <c r="C220" s="651"/>
      <c r="D220" s="651"/>
      <c r="E220" s="651"/>
      <c r="F220" s="651"/>
      <c r="G220" s="53"/>
      <c r="H220" s="53"/>
      <c r="I220" s="53"/>
      <c r="J220" s="53"/>
      <c r="K220" s="53"/>
    </row>
    <row r="221" spans="2:13" ht="15.75">
      <c r="B221" s="53" t="s">
        <v>4010</v>
      </c>
      <c r="C221" s="54"/>
      <c r="D221" s="54">
        <f>D266</f>
        <v>0</v>
      </c>
      <c r="E221" s="54">
        <f>E266</f>
        <v>0</v>
      </c>
      <c r="F221" s="54">
        <f>F266</f>
        <v>0.02</v>
      </c>
      <c r="G221" s="53"/>
      <c r="H221" s="53"/>
      <c r="I221" s="53"/>
      <c r="J221" s="53"/>
      <c r="K221" s="53"/>
    </row>
    <row r="222" spans="2:13" ht="15.75">
      <c r="B222" s="920"/>
      <c r="C222" s="651"/>
      <c r="D222" s="651"/>
      <c r="E222" s="651"/>
      <c r="F222" s="651"/>
      <c r="G222" s="53"/>
      <c r="H222" s="53"/>
      <c r="I222" s="53"/>
      <c r="J222" s="53"/>
      <c r="K222" s="53"/>
    </row>
    <row r="223" spans="2:13" ht="15.75">
      <c r="B223" s="53" t="s">
        <v>4009</v>
      </c>
      <c r="C223" s="54"/>
      <c r="D223" s="481">
        <f>D269</f>
        <v>0</v>
      </c>
      <c r="E223" s="481">
        <f>E269</f>
        <v>0</v>
      </c>
      <c r="F223" s="481">
        <f>F269</f>
        <v>49.967465981481077</v>
      </c>
      <c r="G223" s="53"/>
      <c r="H223" s="53"/>
      <c r="I223" s="53"/>
      <c r="J223" s="53"/>
      <c r="K223" s="53"/>
    </row>
    <row r="224" spans="2:13" ht="15.75">
      <c r="B224" s="648" t="s">
        <v>4008</v>
      </c>
      <c r="C224" s="651"/>
      <c r="D224" s="650">
        <f>D214+D223</f>
        <v>458.72770064744748</v>
      </c>
      <c r="E224" s="650">
        <f>E214+E223</f>
        <v>539.07216278041506</v>
      </c>
      <c r="F224" s="650">
        <f>F214+F223</f>
        <v>637.16060221545092</v>
      </c>
      <c r="G224" s="53"/>
      <c r="H224" s="53"/>
      <c r="I224" s="53"/>
      <c r="J224" s="53"/>
      <c r="K224" s="53"/>
    </row>
    <row r="225" spans="2:11" ht="16.5" thickBot="1">
      <c r="B225" s="53" t="s">
        <v>1953</v>
      </c>
      <c r="C225" s="54"/>
      <c r="D225" s="621">
        <f>D224/D217</f>
        <v>0.97135114326253114</v>
      </c>
      <c r="E225" s="621">
        <f>E224/E217</f>
        <v>1.03198698756373</v>
      </c>
      <c r="F225" s="621">
        <f>F224/F217</f>
        <v>1.2251596322539902</v>
      </c>
      <c r="G225" s="53"/>
      <c r="H225" s="53"/>
      <c r="I225" s="53"/>
      <c r="J225" s="53"/>
      <c r="K225" s="53"/>
    </row>
    <row r="226" spans="2:11" ht="16.5" thickBot="1">
      <c r="B226" s="883" t="s">
        <v>1958</v>
      </c>
      <c r="C226" s="922"/>
      <c r="D226" s="922">
        <f>D225/D208-1</f>
        <v>-9.8416927445165281E-2</v>
      </c>
      <c r="E226" s="922">
        <f>E225/E208-1</f>
        <v>-1.8557877872926065E-2</v>
      </c>
      <c r="F226" s="923">
        <f>F225/F208-1</f>
        <v>0.2277248519856454</v>
      </c>
      <c r="G226" s="53"/>
      <c r="H226" s="53"/>
      <c r="I226" s="53"/>
      <c r="J226" s="53"/>
      <c r="K226" s="53"/>
    </row>
    <row r="227" spans="2:11" ht="16.5" thickBot="1">
      <c r="G227" s="53"/>
      <c r="H227" s="53"/>
      <c r="I227" s="53"/>
      <c r="J227" s="53"/>
      <c r="K227" s="53"/>
    </row>
    <row r="228" spans="2:11" ht="16.5" thickBot="1">
      <c r="B228" s="883" t="s">
        <v>4522</v>
      </c>
      <c r="C228" s="922"/>
      <c r="D228" s="1004">
        <f>D203</f>
        <v>4.7911882781566026</v>
      </c>
      <c r="E228" s="1004">
        <f>E203</f>
        <v>4.4170287370221999</v>
      </c>
      <c r="F228" s="1005">
        <f>F203</f>
        <v>3.9460892709254276</v>
      </c>
      <c r="G228" s="53"/>
      <c r="H228" s="53"/>
      <c r="I228" s="53"/>
      <c r="J228" s="53"/>
      <c r="K228" s="53"/>
    </row>
    <row r="229" spans="2:11" ht="15.75">
      <c r="B229" s="53"/>
      <c r="C229" s="53"/>
      <c r="D229" s="53"/>
      <c r="E229" s="53"/>
      <c r="F229" s="53"/>
      <c r="G229" s="53"/>
      <c r="H229" s="53"/>
      <c r="I229" s="53"/>
      <c r="J229" s="53"/>
      <c r="K229" s="53"/>
    </row>
    <row r="230" spans="2:11" ht="15.75">
      <c r="B230" s="636" t="s">
        <v>2353</v>
      </c>
      <c r="C230" s="636"/>
      <c r="D230" s="636">
        <f>D205</f>
        <v>2020</v>
      </c>
      <c r="E230" s="636">
        <f>E205</f>
        <v>2021</v>
      </c>
      <c r="F230" s="636">
        <f>F205</f>
        <v>2022</v>
      </c>
      <c r="G230" s="53"/>
      <c r="H230" s="53"/>
      <c r="I230" s="53"/>
      <c r="J230" s="53"/>
      <c r="K230" s="53"/>
    </row>
    <row r="231" spans="2:11" ht="15.75">
      <c r="B231" s="920" t="s">
        <v>3985</v>
      </c>
      <c r="C231" s="664"/>
      <c r="D231" s="664"/>
      <c r="E231" s="664"/>
      <c r="F231" s="664"/>
      <c r="G231" s="53"/>
      <c r="H231" s="53"/>
      <c r="I231" s="53"/>
      <c r="J231" s="53"/>
      <c r="K231" s="53"/>
    </row>
    <row r="232" spans="2:11" ht="15.75" hidden="1" outlineLevel="1">
      <c r="B232" s="53" t="s">
        <v>1946</v>
      </c>
      <c r="C232" s="53"/>
      <c r="D232" s="481">
        <f>D211</f>
        <v>383.1889006474475</v>
      </c>
      <c r="E232" s="481">
        <f>E211</f>
        <v>415.55567684086168</v>
      </c>
      <c r="F232" s="481">
        <f>F211</f>
        <v>478.40633623396991</v>
      </c>
      <c r="G232" s="53"/>
      <c r="H232" s="53"/>
      <c r="I232" s="53"/>
      <c r="J232" s="53"/>
      <c r="K232" s="53"/>
    </row>
    <row r="233" spans="2:11" ht="15.75" hidden="1" outlineLevel="1">
      <c r="B233" s="666" t="s">
        <v>1947</v>
      </c>
      <c r="C233" s="666"/>
      <c r="D233" s="696">
        <f>D206</f>
        <v>196.00200000000001</v>
      </c>
      <c r="E233" s="696">
        <f>E206</f>
        <v>243.97968593955338</v>
      </c>
      <c r="F233" s="696">
        <f>F206</f>
        <v>229.24999999999997</v>
      </c>
      <c r="G233" s="53"/>
      <c r="H233" s="53"/>
      <c r="I233" s="53"/>
      <c r="J233" s="53"/>
      <c r="K233" s="53"/>
    </row>
    <row r="234" spans="2:11" ht="16.5" collapsed="1" thickBot="1">
      <c r="B234" s="53" t="s">
        <v>3986</v>
      </c>
      <c r="C234" s="53"/>
      <c r="D234" s="481">
        <v>607.92317716925413</v>
      </c>
      <c r="E234" s="481">
        <v>743.1822533421572</v>
      </c>
      <c r="F234" s="481">
        <v>874.54015538364308</v>
      </c>
      <c r="G234" s="53"/>
      <c r="H234" s="53"/>
      <c r="I234" s="481">
        <f>I$214</f>
        <v>0</v>
      </c>
      <c r="J234" s="481">
        <f>J$214</f>
        <v>0</v>
      </c>
      <c r="K234" s="481">
        <f>K$214</f>
        <v>0</v>
      </c>
    </row>
    <row r="235" spans="2:11" ht="16.5" thickBot="1">
      <c r="B235" s="648" t="s">
        <v>3987</v>
      </c>
      <c r="C235" s="918">
        <v>583.39499999999998</v>
      </c>
      <c r="D235" s="648"/>
      <c r="E235" s="648"/>
      <c r="F235" s="648"/>
      <c r="G235" s="53"/>
      <c r="H235" s="918">
        <f>$C$135</f>
        <v>709.8</v>
      </c>
      <c r="I235" s="648"/>
      <c r="J235" s="648"/>
      <c r="K235" s="648"/>
    </row>
    <row r="236" spans="2:11" ht="16.5" thickBot="1">
      <c r="B236" s="53" t="s">
        <v>3984</v>
      </c>
      <c r="C236" s="630">
        <v>6555</v>
      </c>
      <c r="D236" s="53"/>
      <c r="E236" s="53"/>
      <c r="F236" s="53"/>
      <c r="G236" s="53"/>
      <c r="H236" s="630">
        <f>$C$140</f>
        <v>7800</v>
      </c>
      <c r="I236" s="53"/>
      <c r="J236" s="53"/>
      <c r="K236" s="53"/>
    </row>
    <row r="237" spans="2:11" ht="16.5" thickBot="1">
      <c r="B237" s="648" t="str">
        <f>B215</f>
        <v>LiLAC share price at issuance</v>
      </c>
      <c r="C237" s="919">
        <v>20</v>
      </c>
      <c r="D237" s="648"/>
      <c r="E237" s="648"/>
      <c r="F237" s="648"/>
      <c r="G237" s="53"/>
      <c r="H237" s="919">
        <f>$D$215</f>
        <v>18</v>
      </c>
      <c r="I237" s="648"/>
      <c r="J237" s="648"/>
      <c r="K237" s="648"/>
    </row>
    <row r="238" spans="2:11" ht="15.75">
      <c r="B238" s="53" t="str">
        <f>B216</f>
        <v>LiLAC shares issued</v>
      </c>
      <c r="C238" s="481">
        <v>262.2</v>
      </c>
      <c r="D238" s="53"/>
      <c r="E238" s="53"/>
      <c r="F238" s="53"/>
      <c r="G238" s="53"/>
      <c r="H238" s="481">
        <f>$D$216</f>
        <v>290.33333333333326</v>
      </c>
      <c r="I238" s="53"/>
      <c r="J238" s="53"/>
      <c r="K238" s="53"/>
    </row>
    <row r="239" spans="2:11" ht="15.75">
      <c r="B239" s="648" t="str">
        <f>B217</f>
        <v>New LiLAC share count</v>
      </c>
      <c r="C239" s="648"/>
      <c r="D239" s="650">
        <v>442.91257300000001</v>
      </c>
      <c r="E239" s="650">
        <v>442.91257300000001</v>
      </c>
      <c r="F239" s="650">
        <v>442.91257300000001</v>
      </c>
      <c r="G239" s="53"/>
      <c r="H239" s="648"/>
      <c r="I239" s="650">
        <f>I$217</f>
        <v>0</v>
      </c>
      <c r="J239" s="650">
        <f>J$217</f>
        <v>0</v>
      </c>
      <c r="K239" s="650">
        <f>K$217</f>
        <v>0</v>
      </c>
    </row>
    <row r="240" spans="2:11" ht="16.5" thickBot="1">
      <c r="B240" s="53" t="str">
        <f>B218</f>
        <v>New EFCF per share</v>
      </c>
      <c r="C240" s="53"/>
      <c r="D240" s="621">
        <v>1.3725579589027701</v>
      </c>
      <c r="E240" s="621">
        <v>1.677943455766737</v>
      </c>
      <c r="F240" s="621">
        <v>1.9745209522052629</v>
      </c>
      <c r="G240" s="53"/>
      <c r="H240" s="53"/>
      <c r="I240" s="621">
        <f>I$218</f>
        <v>0</v>
      </c>
      <c r="J240" s="621">
        <f>J$218</f>
        <v>0</v>
      </c>
      <c r="K240" s="621">
        <f>K$218</f>
        <v>0</v>
      </c>
    </row>
    <row r="241" spans="2:11" ht="16.5" thickBot="1">
      <c r="B241" s="883" t="str">
        <f>B219</f>
        <v>accretion (+ve)/dilution (-ve)</v>
      </c>
      <c r="C241" s="921"/>
      <c r="D241" s="922">
        <v>0.33244074800611401</v>
      </c>
      <c r="E241" s="922">
        <v>7.2377910119160616E-2</v>
      </c>
      <c r="F241" s="923">
        <v>7.9975616823184659E-3</v>
      </c>
      <c r="G241" s="53"/>
      <c r="H241" s="921"/>
      <c r="I241" s="922">
        <f>I$219</f>
        <v>0</v>
      </c>
      <c r="J241" s="922">
        <f>J$219</f>
        <v>0</v>
      </c>
      <c r="K241" s="923">
        <f>K$219</f>
        <v>0</v>
      </c>
    </row>
    <row r="242" spans="2:11" ht="15.75">
      <c r="B242" s="53" t="s">
        <v>3988</v>
      </c>
      <c r="C242" s="53"/>
      <c r="D242" s="713">
        <v>3.6534343399182152</v>
      </c>
      <c r="E242" s="713">
        <v>3.6292629790859277</v>
      </c>
      <c r="F242" s="713">
        <v>3.4223002011094175</v>
      </c>
      <c r="G242" s="53"/>
      <c r="H242" s="53"/>
      <c r="I242" s="713" t="str">
        <f>I$203</f>
        <v>New Co</v>
      </c>
      <c r="J242" s="713">
        <f>J$203</f>
        <v>2020</v>
      </c>
      <c r="K242" s="713">
        <f>K$203</f>
        <v>2021</v>
      </c>
    </row>
    <row r="243" spans="2:11" ht="15.75">
      <c r="B243" s="920" t="s">
        <v>1549</v>
      </c>
      <c r="C243" s="648"/>
      <c r="D243" s="648"/>
      <c r="E243" s="648"/>
      <c r="F243" s="648"/>
      <c r="G243" s="53"/>
      <c r="H243" s="53"/>
      <c r="I243" s="53"/>
      <c r="J243" s="53"/>
      <c r="K243" s="53"/>
    </row>
    <row r="244" spans="2:11" ht="16.5" thickBot="1">
      <c r="B244" s="53" t="s">
        <v>2865</v>
      </c>
      <c r="C244" s="53"/>
      <c r="D244" s="481">
        <f>D$214</f>
        <v>458.72770064744748</v>
      </c>
      <c r="E244" s="481">
        <f>E$214</f>
        <v>539.07216278041506</v>
      </c>
      <c r="F244" s="481">
        <f>F$214</f>
        <v>587.19313623396988</v>
      </c>
      <c r="G244" s="53"/>
      <c r="H244" s="53"/>
      <c r="I244" s="481">
        <f>I$214</f>
        <v>0</v>
      </c>
      <c r="J244" s="481">
        <f>J$214</f>
        <v>0</v>
      </c>
      <c r="K244" s="481">
        <f>K$214</f>
        <v>0</v>
      </c>
    </row>
    <row r="245" spans="2:11" ht="16.5" thickBot="1">
      <c r="B245" s="648" t="str">
        <f t="shared" ref="B245:B251" si="15">B235</f>
        <v>Millicom price, SEK</v>
      </c>
      <c r="C245" s="918">
        <f>$C$135</f>
        <v>709.8</v>
      </c>
      <c r="D245" s="648"/>
      <c r="E245" s="648"/>
      <c r="F245" s="648"/>
      <c r="G245" s="53"/>
      <c r="H245" s="918">
        <f>$C$135</f>
        <v>709.8</v>
      </c>
      <c r="I245" s="648"/>
      <c r="J245" s="648"/>
      <c r="K245" s="648"/>
    </row>
    <row r="246" spans="2:11" ht="16.5" thickBot="1">
      <c r="B246" s="53" t="str">
        <f t="shared" si="15"/>
        <v>Equity, $ m</v>
      </c>
      <c r="C246" s="630">
        <f>$C$140</f>
        <v>7800</v>
      </c>
      <c r="D246" s="53"/>
      <c r="E246" s="53"/>
      <c r="F246" s="53"/>
      <c r="G246" s="53"/>
      <c r="H246" s="630">
        <f>$C$140</f>
        <v>7800</v>
      </c>
      <c r="I246" s="53"/>
      <c r="J246" s="53"/>
      <c r="K246" s="53"/>
    </row>
    <row r="247" spans="2:11" ht="16.5" thickBot="1">
      <c r="B247" s="648" t="str">
        <f t="shared" si="15"/>
        <v>LiLAC share price at issuance</v>
      </c>
      <c r="C247" s="919">
        <f>$D$215</f>
        <v>18</v>
      </c>
      <c r="D247" s="648"/>
      <c r="E247" s="648"/>
      <c r="F247" s="648"/>
      <c r="G247" s="53"/>
      <c r="H247" s="919">
        <f>$D$215</f>
        <v>18</v>
      </c>
      <c r="I247" s="648"/>
      <c r="J247" s="648"/>
      <c r="K247" s="648"/>
    </row>
    <row r="248" spans="2:11" ht="15.75">
      <c r="B248" s="53" t="str">
        <f t="shared" si="15"/>
        <v>LiLAC shares issued</v>
      </c>
      <c r="C248" s="481">
        <f>$D$216</f>
        <v>290.33333333333326</v>
      </c>
      <c r="D248" s="53"/>
      <c r="E248" s="53"/>
      <c r="F248" s="53"/>
      <c r="G248" s="53"/>
      <c r="H248" s="481">
        <f>$D$216</f>
        <v>290.33333333333326</v>
      </c>
      <c r="I248" s="53"/>
      <c r="J248" s="53"/>
      <c r="K248" s="53"/>
    </row>
    <row r="249" spans="2:11" ht="15.75">
      <c r="B249" s="648" t="str">
        <f t="shared" si="15"/>
        <v>New LiLAC share count</v>
      </c>
      <c r="C249" s="648"/>
      <c r="D249" s="650">
        <f>D$217</f>
        <v>472.25733333333324</v>
      </c>
      <c r="E249" s="650">
        <f>E$217</f>
        <v>522.36333333333323</v>
      </c>
      <c r="F249" s="650">
        <f>F$217</f>
        <v>520.06333333333328</v>
      </c>
      <c r="G249" s="53"/>
      <c r="H249" s="648"/>
      <c r="I249" s="650">
        <f>I$217</f>
        <v>0</v>
      </c>
      <c r="J249" s="650">
        <f>J$217</f>
        <v>0</v>
      </c>
      <c r="K249" s="650">
        <f>K$217</f>
        <v>0</v>
      </c>
    </row>
    <row r="250" spans="2:11" ht="16.5" thickBot="1">
      <c r="B250" s="53" t="str">
        <f t="shared" si="15"/>
        <v>New EFCF per share</v>
      </c>
      <c r="C250" s="53"/>
      <c r="D250" s="621">
        <f>D$218</f>
        <v>0.97135114326253114</v>
      </c>
      <c r="E250" s="621">
        <f>E$218</f>
        <v>1.03198698756373</v>
      </c>
      <c r="F250" s="621">
        <f>F$218</f>
        <v>1.1290800535203467</v>
      </c>
      <c r="G250" s="53"/>
      <c r="H250" s="53"/>
      <c r="I250" s="621">
        <f>I$218</f>
        <v>0</v>
      </c>
      <c r="J250" s="621">
        <f>J$218</f>
        <v>0</v>
      </c>
      <c r="K250" s="621">
        <f>K$218</f>
        <v>0</v>
      </c>
    </row>
    <row r="251" spans="2:11" ht="16.5" thickBot="1">
      <c r="B251" s="883" t="str">
        <f t="shared" si="15"/>
        <v>accretion (+ve)/dilution (-ve)</v>
      </c>
      <c r="C251" s="921"/>
      <c r="D251" s="922">
        <f>D$219</f>
        <v>-9.8416927445165281E-2</v>
      </c>
      <c r="E251" s="922">
        <f>E$219</f>
        <v>-1.8557877872926065E-2</v>
      </c>
      <c r="F251" s="923">
        <f>F$219</f>
        <v>0.13144410335977885</v>
      </c>
      <c r="G251" s="53"/>
      <c r="H251" s="921"/>
      <c r="I251" s="922">
        <f>I$219</f>
        <v>0</v>
      </c>
      <c r="J251" s="922">
        <f>J$219</f>
        <v>0</v>
      </c>
      <c r="K251" s="923">
        <f>K$219</f>
        <v>0</v>
      </c>
    </row>
    <row r="252" spans="2:11" ht="15.75">
      <c r="B252" s="863" t="s">
        <v>3988</v>
      </c>
      <c r="C252" s="863"/>
      <c r="D252" s="924">
        <f>D$203</f>
        <v>4.7911882781566026</v>
      </c>
      <c r="E252" s="924">
        <f>E$203</f>
        <v>4.4170287370221999</v>
      </c>
      <c r="F252" s="924">
        <f>F$203</f>
        <v>3.9460892709254276</v>
      </c>
      <c r="G252" s="53"/>
      <c r="H252" s="863"/>
      <c r="I252" s="924" t="str">
        <f>I$203</f>
        <v>New Co</v>
      </c>
      <c r="J252" s="924">
        <f>J$203</f>
        <v>2020</v>
      </c>
      <c r="K252" s="924">
        <f>K$203</f>
        <v>2021</v>
      </c>
    </row>
    <row r="253" spans="2:11" ht="15.75">
      <c r="B253" s="53"/>
      <c r="C253" s="53"/>
      <c r="D253" s="53"/>
      <c r="E253" s="53"/>
      <c r="F253" s="53"/>
      <c r="G253" s="53"/>
      <c r="H253" s="53"/>
      <c r="I253" s="53"/>
      <c r="J253" s="53"/>
      <c r="K253" s="53"/>
    </row>
    <row r="254" spans="2:11" ht="15.75">
      <c r="B254" s="53"/>
      <c r="C254" s="53"/>
      <c r="D254" s="53"/>
      <c r="E254" s="53"/>
      <c r="F254" s="53"/>
      <c r="G254" s="53"/>
      <c r="H254" s="53"/>
      <c r="I254" s="53"/>
      <c r="J254" s="53"/>
      <c r="K254" s="53"/>
    </row>
    <row r="255" spans="2:11" ht="15.75">
      <c r="B255" s="53"/>
      <c r="C255" s="53"/>
      <c r="D255" s="53"/>
      <c r="E255" s="53"/>
      <c r="F255" s="53"/>
      <c r="G255" s="53"/>
      <c r="H255" s="53"/>
      <c r="I255" s="53"/>
      <c r="J255" s="53"/>
      <c r="K255" s="53"/>
    </row>
    <row r="256" spans="2:11" ht="15.75">
      <c r="B256" s="53"/>
      <c r="C256" s="53"/>
      <c r="D256" s="53"/>
      <c r="E256" s="53"/>
      <c r="F256" s="53"/>
      <c r="G256" s="53"/>
      <c r="H256" s="53"/>
      <c r="I256" s="53"/>
      <c r="J256" s="53"/>
      <c r="K256" s="53"/>
    </row>
    <row r="257" spans="2:11" ht="15.75">
      <c r="B257" s="53"/>
      <c r="C257" s="53"/>
      <c r="D257" s="53"/>
      <c r="E257" s="53"/>
      <c r="F257" s="53"/>
      <c r="G257" s="53"/>
      <c r="H257" s="53"/>
      <c r="I257" s="53"/>
      <c r="J257" s="53"/>
      <c r="K257" s="53"/>
    </row>
    <row r="258" spans="2:11" ht="15.75">
      <c r="B258" s="53"/>
      <c r="C258" s="53"/>
      <c r="D258" s="53"/>
      <c r="E258" s="53"/>
      <c r="F258" s="53"/>
      <c r="G258" s="53"/>
      <c r="H258" s="53"/>
      <c r="I258" s="53"/>
      <c r="J258" s="53"/>
      <c r="K258" s="53"/>
    </row>
    <row r="259" spans="2:11" ht="15.75">
      <c r="B259" s="53" t="s">
        <v>1971</v>
      </c>
      <c r="C259" s="53"/>
      <c r="D259" s="53"/>
      <c r="E259" s="53"/>
      <c r="F259" s="53"/>
      <c r="G259" s="53"/>
      <c r="H259" s="53"/>
      <c r="I259" s="53"/>
      <c r="J259" s="53"/>
      <c r="K259" s="53"/>
    </row>
    <row r="260" spans="2:11" ht="15.75">
      <c r="B260" s="636" t="s">
        <v>2353</v>
      </c>
      <c r="C260" s="636">
        <v>2018</v>
      </c>
      <c r="D260" s="636">
        <f>C260+1</f>
        <v>2019</v>
      </c>
      <c r="E260" s="636">
        <f>D260+1</f>
        <v>2020</v>
      </c>
      <c r="F260" s="636">
        <f>E260+1</f>
        <v>2021</v>
      </c>
      <c r="H260" s="53"/>
      <c r="I260" s="53"/>
      <c r="J260" s="53"/>
      <c r="K260" s="53"/>
    </row>
    <row r="261" spans="2:11" ht="15.75" hidden="1" outlineLevel="1">
      <c r="B261" s="53" t="s">
        <v>1410</v>
      </c>
      <c r="C261" s="630">
        <v>4380.0912241877413</v>
      </c>
      <c r="D261" s="630">
        <v>4709.5303253199727</v>
      </c>
      <c r="E261" s="630">
        <v>4829.5519678875144</v>
      </c>
      <c r="F261" s="630">
        <v>4946.1740893504466</v>
      </c>
      <c r="H261" s="53"/>
      <c r="I261" s="53"/>
      <c r="J261" s="53"/>
      <c r="K261" s="53"/>
    </row>
    <row r="262" spans="2:11" ht="15.75" hidden="1" outlineLevel="1">
      <c r="B262" s="648" t="s">
        <v>1972</v>
      </c>
      <c r="C262" s="649">
        <f>C261-C156</f>
        <v>2547.8350477382633</v>
      </c>
      <c r="D262" s="649">
        <f>D261-D156</f>
        <v>2660.4475887578442</v>
      </c>
      <c r="E262" s="649">
        <f>E261-E156</f>
        <v>2699.9107268299927</v>
      </c>
      <c r="F262" s="649">
        <f>F261-F156</f>
        <v>2738.0455421013521</v>
      </c>
      <c r="H262" s="53"/>
      <c r="I262" s="53"/>
      <c r="J262" s="53"/>
      <c r="K262" s="53"/>
    </row>
    <row r="263" spans="2:11" ht="15.75" hidden="1" outlineLevel="1">
      <c r="B263" s="53" t="s">
        <v>1973</v>
      </c>
      <c r="C263" s="630">
        <v>708.71592660140186</v>
      </c>
      <c r="D263" s="630">
        <v>734.93763127519992</v>
      </c>
      <c r="E263" s="630">
        <v>740.71231950720107</v>
      </c>
      <c r="F263" s="630">
        <v>731.91737327927819</v>
      </c>
      <c r="H263" s="53"/>
      <c r="I263" s="53"/>
      <c r="J263" s="53"/>
      <c r="K263" s="53"/>
    </row>
    <row r="264" spans="2:11" ht="15.75" hidden="1" outlineLevel="1">
      <c r="B264" s="648"/>
      <c r="C264" s="648"/>
      <c r="D264" s="648"/>
      <c r="E264" s="648"/>
      <c r="F264" s="648"/>
      <c r="H264" s="53"/>
      <c r="I264" s="53"/>
      <c r="J264" s="53"/>
      <c r="K264" s="53"/>
    </row>
    <row r="265" spans="2:11" ht="16.5" collapsed="1" thickBot="1">
      <c r="B265" s="53" t="s">
        <v>4006</v>
      </c>
      <c r="C265" s="630">
        <f>C262+C263</f>
        <v>3256.5509743396651</v>
      </c>
      <c r="D265" s="630">
        <f>D262+D263</f>
        <v>3395.3852200330439</v>
      </c>
      <c r="E265" s="630">
        <f>E262+E263</f>
        <v>3440.623046337194</v>
      </c>
      <c r="F265" s="630">
        <f>F262+F263</f>
        <v>3469.9629153806304</v>
      </c>
      <c r="H265" s="53"/>
      <c r="I265" s="53"/>
      <c r="J265" s="53"/>
      <c r="K265" s="53"/>
    </row>
    <row r="266" spans="2:11" ht="16.5" thickBot="1">
      <c r="B266" s="883" t="s">
        <v>1975</v>
      </c>
      <c r="C266" s="884"/>
      <c r="D266" s="885">
        <v>0</v>
      </c>
      <c r="E266" s="885">
        <v>0</v>
      </c>
      <c r="F266" s="886">
        <v>0.02</v>
      </c>
      <c r="H266" s="53"/>
      <c r="I266" s="53"/>
      <c r="J266" s="53"/>
      <c r="K266" s="53"/>
    </row>
    <row r="267" spans="2:11" ht="15.75">
      <c r="B267" s="53" t="s">
        <v>1976</v>
      </c>
      <c r="C267" s="630"/>
      <c r="D267" s="630">
        <f>D265*D266</f>
        <v>0</v>
      </c>
      <c r="E267" s="630">
        <f>E265*E266</f>
        <v>0</v>
      </c>
      <c r="F267" s="630">
        <f>F265*F266</f>
        <v>69.399258307612612</v>
      </c>
      <c r="H267" s="53"/>
      <c r="I267" s="53"/>
      <c r="J267" s="53"/>
      <c r="K267" s="53"/>
    </row>
    <row r="268" spans="2:11" ht="15.75">
      <c r="B268" s="53" t="s">
        <v>4004</v>
      </c>
      <c r="C268" s="630"/>
      <c r="D268" s="630"/>
      <c r="E268" s="630"/>
      <c r="F268" s="630"/>
      <c r="H268" s="53"/>
      <c r="I268" s="53"/>
      <c r="J268" s="53"/>
      <c r="K268" s="53"/>
    </row>
    <row r="269" spans="2:11" ht="15.75">
      <c r="B269" s="648" t="s">
        <v>1979</v>
      </c>
      <c r="C269" s="649"/>
      <c r="D269" s="649">
        <f>D267*(1-0.28)</f>
        <v>0</v>
      </c>
      <c r="E269" s="649">
        <f>E267*(1-0.28)</f>
        <v>0</v>
      </c>
      <c r="F269" s="649">
        <f>F267*(1-0.28)</f>
        <v>49.967465981481077</v>
      </c>
      <c r="H269" s="53"/>
      <c r="I269" s="53"/>
      <c r="J269" s="53"/>
      <c r="K269" s="53"/>
    </row>
    <row r="270" spans="2:11" ht="15.75">
      <c r="B270" s="53" t="s">
        <v>1977</v>
      </c>
      <c r="C270" s="630">
        <f>NPV(8%,D269:F269)</f>
        <v>39.665785498178209</v>
      </c>
      <c r="D270" s="53"/>
      <c r="E270" s="630"/>
      <c r="F270" s="630"/>
      <c r="G270" s="53"/>
      <c r="H270" s="53"/>
      <c r="I270" s="53"/>
      <c r="J270" s="53"/>
      <c r="K270" s="53"/>
    </row>
    <row r="271" spans="2:11" ht="16.5" thickBot="1">
      <c r="B271" s="648" t="s">
        <v>1978</v>
      </c>
      <c r="C271" s="649">
        <f>1/(10%-0%)*F269</f>
        <v>499.67465981481075</v>
      </c>
      <c r="D271" s="666"/>
      <c r="E271" s="666"/>
      <c r="F271" s="666"/>
      <c r="G271" s="53"/>
      <c r="H271" s="53"/>
      <c r="I271" s="53"/>
      <c r="J271" s="53"/>
      <c r="K271" s="53"/>
    </row>
    <row r="272" spans="2:11" ht="16.5" thickBot="1">
      <c r="B272" s="888" t="s">
        <v>1980</v>
      </c>
      <c r="C272" s="889">
        <f>C270+C271</f>
        <v>539.340445312989</v>
      </c>
      <c r="D272" s="50"/>
      <c r="E272" s="50"/>
      <c r="F272" s="50"/>
      <c r="G272" s="53"/>
      <c r="H272" s="53"/>
      <c r="I272" s="53"/>
      <c r="J272" s="53"/>
      <c r="K272" s="53"/>
    </row>
    <row r="273" spans="2:11" ht="15.75">
      <c r="B273" s="648" t="s">
        <v>3006</v>
      </c>
      <c r="C273" s="649">
        <f>C163*C192</f>
        <v>3274.6320000000001</v>
      </c>
      <c r="D273" s="648"/>
      <c r="E273" s="648"/>
      <c r="F273" s="648"/>
      <c r="G273" s="53"/>
      <c r="H273" s="53"/>
      <c r="I273" s="53"/>
      <c r="J273" s="53"/>
      <c r="K273" s="53"/>
    </row>
    <row r="274" spans="2:11" ht="15.75">
      <c r="B274" s="53" t="s">
        <v>3007</v>
      </c>
      <c r="C274" s="630">
        <f>C150</f>
        <v>7800</v>
      </c>
      <c r="D274" s="53"/>
      <c r="E274" s="53"/>
      <c r="F274" s="53"/>
      <c r="G274" s="53"/>
      <c r="H274" s="53"/>
      <c r="I274" s="53"/>
      <c r="J274" s="53"/>
      <c r="K274" s="53"/>
    </row>
    <row r="275" spans="2:11" ht="15.75">
      <c r="B275" s="648" t="s">
        <v>3005</v>
      </c>
      <c r="C275" s="651">
        <f>C273/(C273+C274)</f>
        <v>0.29568765806394293</v>
      </c>
      <c r="D275" s="648"/>
      <c r="E275" s="648"/>
      <c r="F275" s="648"/>
      <c r="G275" s="53"/>
      <c r="H275" s="53"/>
      <c r="I275" s="53"/>
      <c r="J275" s="53"/>
      <c r="K275" s="53"/>
    </row>
    <row r="276" spans="2:11" ht="15.75">
      <c r="B276" s="53" t="s">
        <v>3008</v>
      </c>
      <c r="C276" s="630">
        <f>C275*C272</f>
        <v>159.47631317376181</v>
      </c>
      <c r="D276" s="53"/>
      <c r="E276" s="53"/>
      <c r="F276" s="53"/>
      <c r="G276" s="53"/>
      <c r="H276" s="53"/>
      <c r="I276" s="53"/>
      <c r="J276" s="53"/>
      <c r="K276" s="53"/>
    </row>
    <row r="277" spans="2:11" ht="15.75">
      <c r="B277" s="648" t="s">
        <v>3009</v>
      </c>
      <c r="C277" s="887">
        <f>C276/C192</f>
        <v>0.87660953570590905</v>
      </c>
      <c r="D277" s="648"/>
      <c r="E277" s="648"/>
      <c r="F277" s="53"/>
      <c r="G277" s="53"/>
      <c r="H277" s="53"/>
      <c r="I277" s="53"/>
      <c r="J277" s="53"/>
      <c r="K277" s="53"/>
    </row>
    <row r="278" spans="2:11" ht="15.75">
      <c r="B278" s="53"/>
      <c r="C278" s="53"/>
      <c r="D278" s="53"/>
      <c r="E278" s="53"/>
      <c r="F278" s="53"/>
      <c r="G278" s="53"/>
      <c r="H278" s="53"/>
      <c r="I278" s="53"/>
      <c r="J278" s="53"/>
      <c r="K278" s="53"/>
    </row>
    <row r="279" spans="2:11" ht="15.75">
      <c r="B279" s="53" t="s">
        <v>1981</v>
      </c>
      <c r="C279" s="621"/>
      <c r="D279" s="621">
        <f>(D155-$C$272)/D156</f>
        <v>6.6541000646184019</v>
      </c>
      <c r="E279" s="621">
        <f>(E155-$C$272)/E156</f>
        <v>6.3192783029235464</v>
      </c>
      <c r="F279" s="621"/>
      <c r="G279" s="621"/>
      <c r="H279" s="53"/>
      <c r="I279" s="53"/>
      <c r="J279" s="53"/>
      <c r="K279" s="53"/>
    </row>
    <row r="280" spans="2:11" ht="15.75">
      <c r="B280" s="53"/>
      <c r="C280" s="621"/>
      <c r="D280" s="621"/>
      <c r="E280" s="621"/>
      <c r="F280" s="621"/>
      <c r="G280" s="621"/>
      <c r="H280" s="53"/>
      <c r="I280" s="53"/>
      <c r="J280" s="53"/>
      <c r="K280" s="53"/>
    </row>
    <row r="281" spans="2:11" ht="15.75">
      <c r="B281" s="636"/>
      <c r="C281" s="917"/>
      <c r="D281" s="622"/>
      <c r="E281" s="622"/>
      <c r="F281" s="622"/>
      <c r="G281" s="621"/>
      <c r="H281" s="53"/>
      <c r="I281" s="53"/>
      <c r="J281" s="53"/>
      <c r="K281" s="53"/>
    </row>
    <row r="282" spans="2:11" ht="15.75">
      <c r="B282" s="664" t="s">
        <v>3991</v>
      </c>
      <c r="C282" s="925">
        <v>29.136414586544078</v>
      </c>
      <c r="D282" s="925">
        <v>29.13641458654407</v>
      </c>
      <c r="E282" s="925">
        <v>29.136414586544078</v>
      </c>
      <c r="F282" s="925" t="e">
        <f>SOP!#REF!</f>
        <v>#REF!</v>
      </c>
      <c r="G282" s="621"/>
      <c r="H282" s="925" t="e">
        <f>SOP!#REF!</f>
        <v>#REF!</v>
      </c>
      <c r="I282" s="53"/>
      <c r="J282" s="53"/>
      <c r="K282" s="53"/>
    </row>
    <row r="283" spans="2:11" ht="15.75">
      <c r="B283" s="58"/>
      <c r="C283" s="869"/>
      <c r="D283" s="869"/>
      <c r="E283" s="869"/>
      <c r="F283" s="869"/>
      <c r="G283" s="621"/>
      <c r="H283" s="869"/>
      <c r="I283" s="53"/>
      <c r="J283" s="53"/>
      <c r="K283" s="53"/>
    </row>
    <row r="284" spans="2:11" ht="16.5" thickBot="1">
      <c r="B284" s="648" t="s">
        <v>3989</v>
      </c>
      <c r="C284" s="649">
        <v>180.71257300000002</v>
      </c>
      <c r="D284" s="649">
        <v>180.71257300000002</v>
      </c>
      <c r="E284" s="649">
        <v>180.71257300000002</v>
      </c>
      <c r="F284" s="649">
        <f>Valuation!$I$5</f>
        <v>180.983</v>
      </c>
      <c r="G284" s="621"/>
      <c r="H284" s="649">
        <f>Valuation!$I$5</f>
        <v>180.983</v>
      </c>
      <c r="I284" s="53"/>
      <c r="J284" s="53"/>
      <c r="K284" s="53"/>
    </row>
    <row r="285" spans="2:11" ht="16.5" thickBot="1">
      <c r="B285" s="888" t="s">
        <v>4002</v>
      </c>
      <c r="C285" s="927">
        <v>16</v>
      </c>
      <c r="D285" s="927">
        <v>20</v>
      </c>
      <c r="E285" s="927">
        <v>25</v>
      </c>
      <c r="F285" s="928">
        <f>$C$163</f>
        <v>18</v>
      </c>
      <c r="G285" s="621"/>
      <c r="H285" s="639">
        <f>$C$163</f>
        <v>18</v>
      </c>
      <c r="I285" s="53"/>
      <c r="J285" s="53"/>
      <c r="K285" s="53"/>
    </row>
    <row r="286" spans="2:11" ht="15.75">
      <c r="B286" s="666" t="s">
        <v>3990</v>
      </c>
      <c r="C286" s="667">
        <v>487.5</v>
      </c>
      <c r="D286" s="667">
        <v>390</v>
      </c>
      <c r="E286" s="667">
        <v>312</v>
      </c>
      <c r="F286" s="667">
        <f>$C$164</f>
        <v>290.33333333333326</v>
      </c>
      <c r="G286" s="621"/>
      <c r="H286" s="667">
        <f>$C$164</f>
        <v>290.33333333333326</v>
      </c>
      <c r="I286" s="53"/>
      <c r="J286" s="53"/>
      <c r="K286" s="53"/>
    </row>
    <row r="287" spans="2:11" ht="15.75">
      <c r="B287" s="53" t="s">
        <v>3992</v>
      </c>
      <c r="C287" s="630">
        <v>668.21257300000002</v>
      </c>
      <c r="D287" s="630">
        <v>570.71257300000002</v>
      </c>
      <c r="E287" s="630">
        <v>492.71257300000002</v>
      </c>
      <c r="F287" s="630">
        <f>F284+F286</f>
        <v>471.31633333333326</v>
      </c>
      <c r="G287" s="621"/>
      <c r="H287" s="630">
        <f>H284+H286</f>
        <v>471.31633333333326</v>
      </c>
      <c r="I287" s="53"/>
      <c r="J287" s="53"/>
      <c r="K287" s="53"/>
    </row>
    <row r="288" spans="2:11" ht="15.75">
      <c r="B288" s="648"/>
      <c r="C288" s="649"/>
      <c r="D288" s="649"/>
      <c r="E288" s="649"/>
      <c r="F288" s="649"/>
      <c r="G288" s="621"/>
      <c r="H288" s="649"/>
      <c r="I288" s="53"/>
      <c r="J288" s="53"/>
      <c r="K288" s="53"/>
    </row>
    <row r="289" spans="2:11" ht="15.75">
      <c r="B289" s="53" t="s">
        <v>3993</v>
      </c>
      <c r="C289" s="630">
        <v>5265.3164479291117</v>
      </c>
      <c r="D289" s="630">
        <v>5265.3164479291108</v>
      </c>
      <c r="E289" s="630">
        <v>5265.3164479291117</v>
      </c>
      <c r="F289" s="630">
        <f ca="1">SOP!$G$33</f>
        <v>2519.0419988971198</v>
      </c>
      <c r="G289" s="621"/>
      <c r="H289" s="630">
        <f ca="1">SOP!$G$33</f>
        <v>2519.0419988971198</v>
      </c>
      <c r="I289" s="53"/>
      <c r="J289" s="53"/>
      <c r="K289" s="53"/>
    </row>
    <row r="290" spans="2:11" ht="15.75">
      <c r="B290" s="648" t="s">
        <v>3994</v>
      </c>
      <c r="C290" s="649">
        <v>7800</v>
      </c>
      <c r="D290" s="649">
        <v>7800</v>
      </c>
      <c r="E290" s="649">
        <v>7800</v>
      </c>
      <c r="F290" s="649">
        <f>$C$140</f>
        <v>7800</v>
      </c>
      <c r="G290" s="621"/>
      <c r="H290" s="649">
        <f>$C$140</f>
        <v>7800</v>
      </c>
      <c r="I290" s="53"/>
      <c r="J290" s="53"/>
      <c r="K290" s="53"/>
    </row>
    <row r="291" spans="2:11" ht="15.75">
      <c r="B291" s="50" t="s">
        <v>3995</v>
      </c>
      <c r="C291" s="632">
        <v>0</v>
      </c>
      <c r="D291" s="632">
        <v>0</v>
      </c>
      <c r="E291" s="632">
        <v>0</v>
      </c>
      <c r="F291" s="632">
        <f>$C$161</f>
        <v>2574</v>
      </c>
      <c r="G291" s="621"/>
      <c r="H291" s="632">
        <f>$C$161</f>
        <v>2574</v>
      </c>
      <c r="I291" s="53"/>
      <c r="J291" s="53"/>
      <c r="K291" s="53"/>
    </row>
    <row r="292" spans="2:11" ht="15.75">
      <c r="B292" s="648" t="s">
        <v>3996</v>
      </c>
      <c r="C292" s="649">
        <v>13065.316447929112</v>
      </c>
      <c r="D292" s="649">
        <v>13065.316447929112</v>
      </c>
      <c r="E292" s="649">
        <v>13065.316447929112</v>
      </c>
      <c r="F292" s="649">
        <f ca="1">F289+F290-F291</f>
        <v>7745.0419988971189</v>
      </c>
      <c r="G292" s="621"/>
      <c r="H292" s="649">
        <f ca="1">H289+H290-H291</f>
        <v>7745.0419988971189</v>
      </c>
      <c r="I292" s="53"/>
      <c r="J292" s="53"/>
      <c r="K292" s="53"/>
    </row>
    <row r="293" spans="2:11" ht="15.75">
      <c r="B293" s="58" t="s">
        <v>4001</v>
      </c>
      <c r="C293" s="926">
        <v>19.552634858801305</v>
      </c>
      <c r="D293" s="926">
        <v>22.892988635680734</v>
      </c>
      <c r="E293" s="926">
        <v>26.517115989912259</v>
      </c>
      <c r="F293" s="926">
        <f ca="1">F292/F287</f>
        <v>16.432789299112883</v>
      </c>
      <c r="G293" s="621"/>
      <c r="H293" s="926">
        <f ca="1">H292/H287</f>
        <v>16.432789299112883</v>
      </c>
      <c r="I293" s="53"/>
      <c r="J293" s="53"/>
      <c r="K293" s="53"/>
    </row>
    <row r="294" spans="2:11" ht="15.75">
      <c r="B294" s="648"/>
      <c r="C294" s="649"/>
      <c r="D294" s="649"/>
      <c r="E294" s="649"/>
      <c r="F294" s="649"/>
      <c r="G294" s="621"/>
      <c r="H294" s="649"/>
      <c r="I294" s="53"/>
      <c r="J294" s="53"/>
      <c r="K294" s="53"/>
    </row>
    <row r="295" spans="2:11" ht="15.75">
      <c r="B295" s="53" t="s">
        <v>3997</v>
      </c>
      <c r="C295" s="630">
        <v>0</v>
      </c>
      <c r="D295" s="630">
        <v>0</v>
      </c>
      <c r="E295" s="630">
        <v>0</v>
      </c>
      <c r="F295" s="630">
        <f>F140-F147</f>
        <v>0</v>
      </c>
      <c r="G295" s="621"/>
      <c r="H295" s="630">
        <f>H140-H147</f>
        <v>0</v>
      </c>
      <c r="I295" s="53"/>
      <c r="J295" s="53"/>
      <c r="K295" s="53"/>
    </row>
    <row r="296" spans="2:11" ht="15.75">
      <c r="B296" s="666" t="s">
        <v>3998</v>
      </c>
      <c r="C296" s="667">
        <v>1295.5551619565199</v>
      </c>
      <c r="D296" s="667">
        <v>1295.5551619565199</v>
      </c>
      <c r="E296" s="667">
        <v>1295.5551619565199</v>
      </c>
      <c r="F296" s="667">
        <f>$C$272</f>
        <v>539.340445312989</v>
      </c>
      <c r="G296" s="621"/>
      <c r="H296" s="667">
        <f>$C$272</f>
        <v>539.340445312989</v>
      </c>
      <c r="I296" s="53"/>
      <c r="J296" s="53"/>
      <c r="K296" s="53"/>
    </row>
    <row r="297" spans="2:11" ht="15.75">
      <c r="B297" s="53" t="s">
        <v>3999</v>
      </c>
      <c r="C297" s="630">
        <v>14360.871609885631</v>
      </c>
      <c r="D297" s="630">
        <v>14360.871609885631</v>
      </c>
      <c r="E297" s="630">
        <v>14360.871609885631</v>
      </c>
      <c r="F297" s="630">
        <f ca="1">F292-F295+F296</f>
        <v>8284.3824442101086</v>
      </c>
      <c r="G297" s="621"/>
      <c r="H297" s="630">
        <f ca="1">H292-H295+H296</f>
        <v>8284.3824442101086</v>
      </c>
      <c r="I297" s="53"/>
      <c r="J297" s="53"/>
      <c r="K297" s="53"/>
    </row>
    <row r="298" spans="2:11" ht="15.75">
      <c r="B298" s="648"/>
      <c r="C298" s="697"/>
      <c r="D298" s="697"/>
      <c r="E298" s="697"/>
      <c r="F298" s="697"/>
      <c r="G298" s="621"/>
      <c r="H298" s="697"/>
      <c r="I298" s="53"/>
      <c r="J298" s="53"/>
      <c r="K298" s="53"/>
    </row>
    <row r="299" spans="2:11" ht="15.75">
      <c r="B299" s="58" t="s">
        <v>4000</v>
      </c>
      <c r="C299" s="711">
        <v>21.491471711481296</v>
      </c>
      <c r="D299" s="711">
        <v>25.163054555459443</v>
      </c>
      <c r="E299" s="711">
        <v>29.146549929598876</v>
      </c>
      <c r="F299" s="711">
        <f ca="1">F297/F287</f>
        <v>17.577117231689638</v>
      </c>
      <c r="G299" s="621"/>
      <c r="H299" s="711">
        <f ca="1">H297/H287</f>
        <v>17.577117231689638</v>
      </c>
      <c r="I299" s="53"/>
      <c r="J299" s="53"/>
      <c r="K299" s="53"/>
    </row>
    <row r="300" spans="2:11" ht="15.75">
      <c r="B300" s="666" t="s">
        <v>4003</v>
      </c>
      <c r="C300" s="882">
        <v>-0.26238447604302717</v>
      </c>
      <c r="D300" s="882">
        <v>-0.13637093264452738</v>
      </c>
      <c r="E300" s="882">
        <v>3.4785827970340577E-4</v>
      </c>
      <c r="F300" s="882" t="e">
        <f ca="1">F299/F282-1</f>
        <v>#REF!</v>
      </c>
      <c r="G300" s="621"/>
      <c r="H300" s="882" t="e">
        <f ca="1">H299/H282-1</f>
        <v>#REF!</v>
      </c>
      <c r="I300" s="53"/>
      <c r="J300" s="53"/>
      <c r="K300" s="53"/>
    </row>
    <row r="301" spans="2:11" ht="15.75">
      <c r="B301" s="53"/>
      <c r="C301" s="621"/>
      <c r="D301" s="621"/>
      <c r="E301" s="621"/>
      <c r="F301" s="621"/>
      <c r="G301" s="621"/>
      <c r="H301" s="53"/>
      <c r="I301" s="53"/>
      <c r="J301" s="53"/>
      <c r="K301" s="53"/>
    </row>
    <row r="302" spans="2:11" ht="15.75">
      <c r="B302" s="53"/>
      <c r="C302" s="621"/>
      <c r="D302" s="621"/>
      <c r="E302" s="621"/>
      <c r="F302" s="621"/>
      <c r="G302" s="621"/>
      <c r="H302" s="53"/>
      <c r="I302" s="53"/>
      <c r="J302" s="53"/>
      <c r="K302" s="53"/>
    </row>
    <row r="303" spans="2:11" ht="15.75">
      <c r="B303" s="636" t="s">
        <v>2353</v>
      </c>
      <c r="C303" s="929">
        <v>2018</v>
      </c>
      <c r="D303" s="929">
        <f>C303+1</f>
        <v>2019</v>
      </c>
      <c r="E303" s="929">
        <f>D303+1</f>
        <v>2020</v>
      </c>
      <c r="F303" s="929">
        <f>E303+1</f>
        <v>2021</v>
      </c>
      <c r="G303" s="621"/>
      <c r="H303" s="53"/>
      <c r="I303" s="53"/>
      <c r="J303" s="53"/>
      <c r="K303" s="53"/>
    </row>
    <row r="304" spans="2:11" ht="15.75">
      <c r="B304" s="53" t="s">
        <v>4011</v>
      </c>
      <c r="C304" s="481">
        <f>Valuation!I31</f>
        <v>0</v>
      </c>
      <c r="D304" s="481">
        <f>Valuation!J31</f>
        <v>0</v>
      </c>
      <c r="E304" s="481">
        <f>Valuation!K31</f>
        <v>0</v>
      </c>
      <c r="F304" s="481">
        <f>Valuation!L31</f>
        <v>0</v>
      </c>
      <c r="G304" s="621"/>
      <c r="H304" s="53"/>
      <c r="I304" s="53"/>
      <c r="J304" s="53"/>
      <c r="K304" s="53"/>
    </row>
    <row r="305" spans="2:11" ht="15.75">
      <c r="B305" s="53" t="s">
        <v>3055</v>
      </c>
      <c r="C305" s="481">
        <f>Valuation!I32</f>
        <v>19.400000000000091</v>
      </c>
      <c r="D305" s="481">
        <f>Valuation!J32</f>
        <v>223.30000000000018</v>
      </c>
      <c r="E305" s="481">
        <f>Valuation!K32</f>
        <v>145.80000000000024</v>
      </c>
      <c r="F305" s="481">
        <f>Valuation!L32</f>
        <v>199.80000000000007</v>
      </c>
      <c r="G305" s="621"/>
      <c r="H305" s="53"/>
      <c r="I305" s="53"/>
      <c r="J305" s="53"/>
      <c r="K305" s="53"/>
    </row>
    <row r="306" spans="2:11" ht="15.75">
      <c r="B306" s="53"/>
      <c r="C306" s="621"/>
      <c r="D306" s="621"/>
      <c r="E306" s="621"/>
      <c r="F306" s="621"/>
      <c r="G306" s="621"/>
      <c r="H306" s="53"/>
      <c r="I306" s="53"/>
      <c r="J306" s="53"/>
      <c r="K306" s="53"/>
    </row>
    <row r="307" spans="2:11" ht="15.75">
      <c r="B307" s="53" t="s">
        <v>855</v>
      </c>
      <c r="C307" s="54">
        <f>Valuation!I63</f>
        <v>6.3628075661779512E-2</v>
      </c>
      <c r="D307" s="54">
        <f>Valuation!J63</f>
        <v>0.11511001577474071</v>
      </c>
      <c r="E307" s="54">
        <f>Valuation!K63</f>
        <v>0.12422455514119626</v>
      </c>
      <c r="F307" s="54">
        <f>Valuation!L63</f>
        <v>0.15618058407411345</v>
      </c>
      <c r="G307" s="621"/>
      <c r="H307" s="53"/>
      <c r="I307" s="53"/>
      <c r="J307" s="53"/>
      <c r="K307" s="53"/>
    </row>
    <row r="308" spans="2:11" ht="15.75">
      <c r="B308" s="53"/>
      <c r="C308" s="621"/>
      <c r="D308" s="621"/>
      <c r="E308" s="621"/>
      <c r="F308" s="621"/>
      <c r="G308" s="621"/>
      <c r="H308" s="53"/>
      <c r="I308" s="53"/>
      <c r="J308" s="53"/>
      <c r="K308" s="53"/>
    </row>
    <row r="309" spans="2:11" ht="15.75">
      <c r="B309" s="53"/>
      <c r="C309" s="621"/>
      <c r="D309" s="621"/>
      <c r="E309" s="621"/>
      <c r="F309" s="621"/>
      <c r="G309" s="621"/>
      <c r="H309" s="53"/>
      <c r="I309" s="53"/>
      <c r="J309" s="53"/>
      <c r="K309" s="53"/>
    </row>
    <row r="310" spans="2:11" ht="15.75">
      <c r="B310" s="53"/>
      <c r="C310" s="53"/>
      <c r="D310" s="53"/>
      <c r="E310" s="53"/>
      <c r="F310" s="53"/>
      <c r="G310" s="53"/>
      <c r="H310" s="53"/>
      <c r="I310" s="53"/>
      <c r="J310" s="53"/>
      <c r="K310" s="53"/>
    </row>
    <row r="311" spans="2:11" ht="15.75">
      <c r="B311" s="684" t="s">
        <v>2980</v>
      </c>
      <c r="C311" s="53"/>
      <c r="D311" s="53"/>
      <c r="E311" s="53"/>
      <c r="F311" s="53"/>
      <c r="G311" s="53"/>
      <c r="H311" s="53"/>
      <c r="I311" s="53"/>
      <c r="J311" s="53"/>
      <c r="K311" s="53"/>
    </row>
    <row r="312" spans="2:11" ht="15.75">
      <c r="B312" s="53"/>
      <c r="C312" s="53"/>
      <c r="D312" s="53"/>
      <c r="E312" s="53"/>
      <c r="F312" s="53"/>
      <c r="G312" s="53"/>
      <c r="H312" s="53"/>
      <c r="I312" s="53"/>
      <c r="J312" s="53"/>
      <c r="K312" s="53"/>
    </row>
    <row r="313" spans="2:11" ht="15.75">
      <c r="B313" s="50"/>
      <c r="C313" s="50">
        <v>2017</v>
      </c>
      <c r="D313" s="50">
        <f>C313+1</f>
        <v>2018</v>
      </c>
      <c r="E313" s="50">
        <f>D313+1</f>
        <v>2019</v>
      </c>
      <c r="F313" s="50">
        <f>E313+1</f>
        <v>2020</v>
      </c>
      <c r="G313" s="53"/>
      <c r="H313" s="53"/>
      <c r="I313" s="53"/>
      <c r="J313" s="53"/>
      <c r="K313" s="53"/>
    </row>
    <row r="314" spans="2:11" ht="15.75">
      <c r="B314" s="53" t="s">
        <v>2981</v>
      </c>
      <c r="C314" s="764">
        <v>6000</v>
      </c>
      <c r="D314" s="53"/>
      <c r="E314" s="53"/>
      <c r="F314" s="53"/>
      <c r="G314" s="53"/>
      <c r="H314" s="53"/>
      <c r="I314" s="53"/>
      <c r="J314" s="53"/>
      <c r="K314" s="53"/>
    </row>
    <row r="315" spans="2:11" ht="15.75">
      <c r="B315" s="53" t="s">
        <v>1156</v>
      </c>
      <c r="C315" s="630">
        <v>300</v>
      </c>
      <c r="D315" s="53"/>
      <c r="E315" s="53"/>
      <c r="F315" s="53"/>
      <c r="G315" s="53"/>
      <c r="H315" s="53"/>
      <c r="I315" s="53"/>
      <c r="J315" s="53"/>
      <c r="K315" s="53"/>
    </row>
    <row r="316" spans="2:11" ht="15.75">
      <c r="B316" s="53" t="s">
        <v>2982</v>
      </c>
      <c r="C316" s="630">
        <f>C314*C315</f>
        <v>1800000</v>
      </c>
      <c r="D316" s="53"/>
      <c r="E316" s="53"/>
      <c r="F316" s="53"/>
      <c r="G316" s="53"/>
      <c r="H316" s="53"/>
      <c r="I316" s="53"/>
      <c r="J316" s="53"/>
      <c r="K316" s="53"/>
    </row>
    <row r="317" spans="2:11" ht="15.75">
      <c r="B317" s="53"/>
      <c r="C317" s="53"/>
      <c r="D317" s="53"/>
      <c r="E317" s="53"/>
      <c r="F317" s="53"/>
      <c r="G317" s="53"/>
      <c r="H317" s="53"/>
      <c r="I317" s="53"/>
      <c r="J317" s="53"/>
      <c r="K317" s="53"/>
    </row>
    <row r="318" spans="2:11" ht="15.75">
      <c r="B318" s="53" t="s">
        <v>2983</v>
      </c>
      <c r="C318" s="764">
        <v>6000</v>
      </c>
      <c r="D318" s="53"/>
      <c r="E318" s="53"/>
      <c r="F318" s="53"/>
      <c r="G318" s="53"/>
      <c r="H318" s="53"/>
      <c r="I318" s="53"/>
      <c r="J318" s="53"/>
      <c r="K318" s="53"/>
    </row>
    <row r="319" spans="2:11" ht="15.75">
      <c r="B319" s="53" t="s">
        <v>1668</v>
      </c>
      <c r="C319" s="54">
        <f>C314/C318-1</f>
        <v>0</v>
      </c>
      <c r="D319" s="53"/>
      <c r="E319" s="53"/>
      <c r="F319" s="53"/>
      <c r="G319" s="53"/>
      <c r="H319" s="53"/>
      <c r="I319" s="53"/>
      <c r="J319" s="53"/>
      <c r="K319" s="53"/>
    </row>
    <row r="320" spans="2:11" ht="15.75">
      <c r="B320" s="53"/>
      <c r="C320" s="53"/>
      <c r="D320" s="53"/>
      <c r="E320" s="53"/>
      <c r="F320" s="53"/>
      <c r="G320" s="53"/>
      <c r="H320" s="53"/>
      <c r="I320" s="53"/>
      <c r="J320" s="53"/>
      <c r="K320" s="53"/>
    </row>
    <row r="321" spans="2:11" ht="15.75">
      <c r="B321" s="53" t="s">
        <v>960</v>
      </c>
      <c r="C321" s="702">
        <v>671</v>
      </c>
      <c r="D321" s="53"/>
      <c r="E321" s="53"/>
      <c r="F321" s="53"/>
      <c r="G321" s="53"/>
      <c r="H321" s="53"/>
      <c r="I321" s="53"/>
      <c r="J321" s="53"/>
      <c r="K321" s="53"/>
    </row>
    <row r="322" spans="2:11" ht="15.75">
      <c r="B322" s="53"/>
      <c r="C322" s="53"/>
      <c r="D322" s="53"/>
      <c r="E322" s="53"/>
      <c r="F322" s="53"/>
      <c r="G322" s="53"/>
      <c r="H322" s="53"/>
      <c r="I322" s="53"/>
      <c r="J322" s="53"/>
      <c r="K322" s="53"/>
    </row>
    <row r="323" spans="2:11" ht="15.75">
      <c r="B323" s="53" t="s">
        <v>2984</v>
      </c>
      <c r="C323" s="53"/>
      <c r="D323" s="53"/>
      <c r="E323" s="53"/>
      <c r="F323" s="53"/>
      <c r="G323" s="53"/>
      <c r="H323" s="53"/>
      <c r="I323" s="53"/>
      <c r="J323" s="53"/>
      <c r="K323" s="53"/>
    </row>
    <row r="324" spans="2:11" ht="15.75">
      <c r="B324" s="53" t="s">
        <v>332</v>
      </c>
      <c r="C324" s="630">
        <f>C316/C321</f>
        <v>2682.5633383010431</v>
      </c>
      <c r="D324" s="630">
        <f>C324</f>
        <v>2682.5633383010431</v>
      </c>
      <c r="E324" s="630">
        <f>D324</f>
        <v>2682.5633383010431</v>
      </c>
      <c r="F324" s="630">
        <f>E324</f>
        <v>2682.5633383010431</v>
      </c>
      <c r="G324" s="53"/>
      <c r="H324" s="53"/>
      <c r="I324" s="53"/>
      <c r="J324" s="53"/>
      <c r="K324" s="53"/>
    </row>
    <row r="325" spans="2:11" ht="15.75">
      <c r="B325" s="53" t="s">
        <v>115</v>
      </c>
      <c r="C325" s="630">
        <f t="shared" ref="C325:F328" si="16">H325/$C$321</f>
        <v>2150.7764530551417</v>
      </c>
      <c r="D325" s="630">
        <f t="shared" si="16"/>
        <v>2300.9512788775646</v>
      </c>
      <c r="E325" s="630">
        <f t="shared" si="16"/>
        <v>2565.6096559755983</v>
      </c>
      <c r="F325" s="630">
        <f t="shared" si="16"/>
        <v>2816.6139250284496</v>
      </c>
      <c r="G325" s="53"/>
      <c r="H325" s="764">
        <v>1443171</v>
      </c>
      <c r="I325" s="764">
        <v>1543938.3081268459</v>
      </c>
      <c r="J325" s="764">
        <v>1721524.0791596265</v>
      </c>
      <c r="K325" s="764">
        <v>1889947.9436940895</v>
      </c>
    </row>
    <row r="326" spans="2:11" ht="15.75">
      <c r="B326" s="53" t="s">
        <v>1662</v>
      </c>
      <c r="C326" s="630">
        <f t="shared" si="16"/>
        <v>0</v>
      </c>
      <c r="D326" s="630">
        <f t="shared" si="16"/>
        <v>0</v>
      </c>
      <c r="E326" s="630">
        <f t="shared" si="16"/>
        <v>0</v>
      </c>
      <c r="F326" s="630">
        <f t="shared" si="16"/>
        <v>0</v>
      </c>
      <c r="G326" s="53"/>
      <c r="H326" s="764">
        <v>0</v>
      </c>
      <c r="I326" s="764">
        <v>0</v>
      </c>
      <c r="J326" s="764">
        <v>0</v>
      </c>
      <c r="K326" s="764">
        <v>0</v>
      </c>
    </row>
    <row r="327" spans="2:11" ht="15.75">
      <c r="B327" s="53" t="s">
        <v>216</v>
      </c>
      <c r="C327" s="630">
        <f t="shared" si="16"/>
        <v>0</v>
      </c>
      <c r="D327" s="630">
        <f t="shared" si="16"/>
        <v>0</v>
      </c>
      <c r="E327" s="630">
        <f t="shared" si="16"/>
        <v>0</v>
      </c>
      <c r="F327" s="630">
        <f t="shared" si="16"/>
        <v>0</v>
      </c>
      <c r="G327" s="53"/>
      <c r="H327" s="764">
        <v>0</v>
      </c>
      <c r="I327" s="764">
        <v>0</v>
      </c>
      <c r="J327" s="764">
        <v>0</v>
      </c>
      <c r="K327" s="764">
        <v>0</v>
      </c>
    </row>
    <row r="328" spans="2:11" ht="15.75">
      <c r="B328" s="50" t="s">
        <v>1663</v>
      </c>
      <c r="C328" s="632">
        <f t="shared" si="16"/>
        <v>0</v>
      </c>
      <c r="D328" s="632">
        <f t="shared" si="16"/>
        <v>0</v>
      </c>
      <c r="E328" s="632">
        <f t="shared" si="16"/>
        <v>0</v>
      </c>
      <c r="F328" s="632">
        <f t="shared" si="16"/>
        <v>0</v>
      </c>
      <c r="G328" s="53"/>
      <c r="H328" s="765">
        <v>0</v>
      </c>
      <c r="I328" s="765">
        <v>0</v>
      </c>
      <c r="J328" s="765">
        <v>0</v>
      </c>
      <c r="K328" s="765">
        <v>0</v>
      </c>
    </row>
    <row r="329" spans="2:11" ht="15.75">
      <c r="B329" s="53" t="s">
        <v>331</v>
      </c>
      <c r="C329" s="630">
        <f>SUM(C324:C328)</f>
        <v>4833.3397913561848</v>
      </c>
      <c r="D329" s="630">
        <f>SUM(D324:D328)</f>
        <v>4983.5146171786073</v>
      </c>
      <c r="E329" s="630">
        <f>SUM(E324:E328)</f>
        <v>5248.1729942766415</v>
      </c>
      <c r="F329" s="630">
        <f>SUM(F324:F328)</f>
        <v>5499.1772633294931</v>
      </c>
      <c r="G329" s="53"/>
      <c r="H329" s="630">
        <f>SUM(H324:H328)</f>
        <v>1443171</v>
      </c>
      <c r="I329" s="630">
        <f>SUM(I324:I328)</f>
        <v>1543938.3081268459</v>
      </c>
      <c r="J329" s="630">
        <f>SUM(J324:J328)</f>
        <v>1721524.0791596265</v>
      </c>
      <c r="K329" s="630">
        <f>SUM(K324:K328)</f>
        <v>1889947.9436940895</v>
      </c>
    </row>
    <row r="330" spans="2:11" ht="16.5" thickBot="1">
      <c r="B330" s="53" t="s">
        <v>8</v>
      </c>
      <c r="C330" s="630">
        <f>H330/$C$321</f>
        <v>655.89120715350225</v>
      </c>
      <c r="D330" s="630">
        <f>I330/$C$321</f>
        <v>598.1849374901135</v>
      </c>
      <c r="E330" s="630">
        <f>J330/$C$321</f>
        <v>639.67913253253471</v>
      </c>
      <c r="F330" s="630">
        <f>K330/$C$321</f>
        <v>721.7590467158094</v>
      </c>
      <c r="G330" s="766">
        <v>2112.0752451807857</v>
      </c>
      <c r="H330" s="764">
        <v>440103</v>
      </c>
      <c r="I330" s="764">
        <v>401382.09305586619</v>
      </c>
      <c r="J330" s="764">
        <v>429224.69792933075</v>
      </c>
      <c r="K330" s="764">
        <v>484300.32034630812</v>
      </c>
    </row>
    <row r="331" spans="2:11" ht="16.5" thickBot="1">
      <c r="B331" s="53" t="s">
        <v>1667</v>
      </c>
      <c r="C331" s="639">
        <f>C329/C330</f>
        <v>7.3691181382539996</v>
      </c>
      <c r="D331" s="767">
        <f>D329/D330</f>
        <v>8.3310600198136431</v>
      </c>
      <c r="E331" s="639">
        <f>E329/E330</f>
        <v>8.2043836157336489</v>
      </c>
      <c r="F331" s="639">
        <f>F329/F330</f>
        <v>7.6191317425838641</v>
      </c>
      <c r="G331" s="53"/>
      <c r="H331" s="53"/>
      <c r="I331" s="53"/>
      <c r="J331" s="53"/>
      <c r="K331" s="53"/>
    </row>
    <row r="332" spans="2:11" ht="16.5" thickBot="1">
      <c r="B332" s="53"/>
      <c r="C332" s="630"/>
      <c r="D332" s="53"/>
      <c r="E332" s="53"/>
      <c r="F332" s="53"/>
      <c r="G332" s="53"/>
      <c r="H332" s="53"/>
      <c r="I332" s="53"/>
      <c r="J332" s="53"/>
      <c r="K332" s="53"/>
    </row>
    <row r="333" spans="2:11" ht="16.5" thickBot="1">
      <c r="B333" s="53" t="s">
        <v>1665</v>
      </c>
      <c r="C333" s="768">
        <v>0</v>
      </c>
      <c r="D333" s="53"/>
      <c r="E333" s="53"/>
      <c r="F333" s="53"/>
      <c r="G333" s="53"/>
      <c r="H333" s="53"/>
      <c r="I333" s="53"/>
      <c r="J333" s="53"/>
      <c r="K333" s="53"/>
    </row>
    <row r="334" spans="2:11" ht="15.75">
      <c r="B334" s="53" t="s">
        <v>1666</v>
      </c>
      <c r="C334" s="54">
        <f>100%-C333</f>
        <v>1</v>
      </c>
      <c r="D334" s="53"/>
      <c r="E334" s="53"/>
      <c r="F334" s="53"/>
      <c r="G334" s="53"/>
      <c r="H334" s="53"/>
      <c r="I334" s="53"/>
      <c r="J334" s="53"/>
      <c r="K334" s="53"/>
    </row>
    <row r="335" spans="2:11" ht="15.75">
      <c r="B335" s="53" t="s">
        <v>707</v>
      </c>
      <c r="C335" s="630">
        <f>C333*C324</f>
        <v>0</v>
      </c>
      <c r="D335" s="53"/>
      <c r="E335" s="53"/>
      <c r="F335" s="53"/>
      <c r="G335" s="53"/>
      <c r="H335" s="53"/>
      <c r="I335" s="53"/>
      <c r="J335" s="53"/>
      <c r="K335" s="53"/>
    </row>
    <row r="336" spans="2:11" ht="16.5" thickBot="1">
      <c r="B336" s="53" t="s">
        <v>1676</v>
      </c>
      <c r="C336" s="630">
        <f>C334*C324</f>
        <v>2682.5633383010431</v>
      </c>
      <c r="D336" s="53"/>
      <c r="E336" s="53"/>
      <c r="F336" s="53"/>
      <c r="G336" s="53"/>
      <c r="H336" s="53"/>
      <c r="I336" s="53"/>
      <c r="J336" s="53"/>
      <c r="K336" s="53"/>
    </row>
    <row r="337" spans="2:11" ht="16.5" thickBot="1">
      <c r="B337" s="53" t="s">
        <v>1949</v>
      </c>
      <c r="C337" s="769">
        <v>35</v>
      </c>
      <c r="D337" s="53"/>
      <c r="E337" s="53"/>
      <c r="F337" s="53"/>
      <c r="G337" s="53"/>
      <c r="H337" s="53"/>
      <c r="I337" s="53"/>
      <c r="J337" s="53"/>
      <c r="K337" s="53"/>
    </row>
    <row r="338" spans="2:11" ht="15.75">
      <c r="B338" s="53" t="s">
        <v>1950</v>
      </c>
      <c r="C338" s="630">
        <f>C336/C337</f>
        <v>76.644666808601229</v>
      </c>
      <c r="D338" s="53"/>
      <c r="E338" s="53"/>
      <c r="F338" s="53"/>
      <c r="G338" s="53"/>
      <c r="H338" s="53"/>
      <c r="I338" s="53"/>
      <c r="J338" s="53"/>
      <c r="K338" s="53"/>
    </row>
    <row r="339" spans="2:11" ht="15.75">
      <c r="B339" s="53"/>
      <c r="C339" s="630"/>
      <c r="D339" s="53"/>
      <c r="E339" s="53"/>
      <c r="F339" s="53"/>
      <c r="G339" s="53"/>
      <c r="H339" s="53"/>
      <c r="I339" s="53"/>
      <c r="J339" s="53"/>
      <c r="K339" s="53"/>
    </row>
    <row r="340" spans="2:11" ht="15.75">
      <c r="B340" s="53" t="s">
        <v>929</v>
      </c>
      <c r="C340" s="752">
        <f>C166</f>
        <v>6.5000000000000002E-2</v>
      </c>
      <c r="D340" s="53"/>
      <c r="E340" s="53"/>
      <c r="F340" s="53"/>
      <c r="G340" s="53"/>
      <c r="H340" s="53"/>
      <c r="I340" s="53"/>
      <c r="J340" s="53"/>
      <c r="K340" s="53"/>
    </row>
    <row r="341" spans="2:11" ht="15.75">
      <c r="B341" s="53" t="s">
        <v>152</v>
      </c>
      <c r="C341" s="481"/>
      <c r="D341" s="481">
        <f>C340*C335</f>
        <v>0</v>
      </c>
      <c r="E341" s="481">
        <f>D341</f>
        <v>0</v>
      </c>
      <c r="F341" s="481">
        <f>E341</f>
        <v>0</v>
      </c>
      <c r="G341" s="53"/>
      <c r="H341" s="53"/>
      <c r="I341" s="53"/>
      <c r="J341" s="53"/>
      <c r="K341" s="53"/>
    </row>
    <row r="342" spans="2:11" ht="15.75">
      <c r="B342" s="53" t="s">
        <v>1664</v>
      </c>
      <c r="C342" s="481"/>
      <c r="D342" s="481">
        <f>C342+D341</f>
        <v>0</v>
      </c>
      <c r="E342" s="481">
        <f>D342+E341</f>
        <v>0</v>
      </c>
      <c r="F342" s="481">
        <f>E342+F341</f>
        <v>0</v>
      </c>
      <c r="G342" s="53"/>
      <c r="H342" s="53"/>
      <c r="I342" s="53"/>
      <c r="J342" s="53"/>
      <c r="K342" s="53"/>
    </row>
    <row r="343" spans="2:11" ht="15.75">
      <c r="B343" s="53"/>
      <c r="C343" s="630"/>
      <c r="D343" s="53"/>
      <c r="E343" s="53"/>
      <c r="F343" s="53"/>
      <c r="G343" s="53"/>
      <c r="H343" s="53"/>
      <c r="I343" s="53"/>
      <c r="J343" s="53"/>
      <c r="K343" s="53"/>
    </row>
    <row r="344" spans="2:11" ht="15.75">
      <c r="B344" s="53" t="s">
        <v>1680</v>
      </c>
      <c r="C344" s="54">
        <f>C336/Valuation!$G$8</f>
        <v>2.2838007628617247</v>
      </c>
      <c r="D344" s="53"/>
      <c r="E344" s="53"/>
      <c r="F344" s="53"/>
      <c r="G344" s="53"/>
      <c r="H344" s="53"/>
      <c r="I344" s="53"/>
      <c r="J344" s="53"/>
      <c r="K344" s="53"/>
    </row>
    <row r="345" spans="2:11" ht="15.75">
      <c r="B345" s="53"/>
      <c r="C345" s="630"/>
      <c r="D345" s="53"/>
      <c r="E345" s="53"/>
      <c r="F345" s="53"/>
      <c r="G345" s="53"/>
      <c r="H345" s="53"/>
      <c r="I345" s="53"/>
      <c r="J345" s="53"/>
      <c r="K345" s="53"/>
    </row>
    <row r="346" spans="2:11" ht="15.75">
      <c r="B346" s="53" t="s">
        <v>1674</v>
      </c>
      <c r="C346" s="630">
        <f>Valuation!H82</f>
        <v>0</v>
      </c>
      <c r="D346" s="630">
        <f>Valuation!I82</f>
        <v>5762.3600000000006</v>
      </c>
      <c r="E346" s="630">
        <f>Valuation!J82</f>
        <v>6037.64</v>
      </c>
      <c r="F346" s="630">
        <f>Valuation!K82</f>
        <v>7205.4250000000011</v>
      </c>
      <c r="G346" s="53"/>
      <c r="H346" s="53"/>
      <c r="I346" s="53"/>
      <c r="J346" s="53"/>
      <c r="K346" s="53"/>
    </row>
    <row r="347" spans="2:11" ht="15.75">
      <c r="B347" s="53" t="s">
        <v>1675</v>
      </c>
      <c r="C347" s="630">
        <f>$C$335</f>
        <v>0</v>
      </c>
      <c r="D347" s="630">
        <f>C347</f>
        <v>0</v>
      </c>
      <c r="E347" s="630">
        <f>D347</f>
        <v>0</v>
      </c>
      <c r="F347" s="630">
        <f>E347</f>
        <v>0</v>
      </c>
      <c r="G347" s="53"/>
      <c r="H347" s="53"/>
      <c r="I347" s="53"/>
      <c r="J347" s="53"/>
      <c r="K347" s="53"/>
    </row>
    <row r="348" spans="2:11" ht="15.75">
      <c r="B348" s="53" t="s">
        <v>1664</v>
      </c>
      <c r="C348" s="53"/>
      <c r="D348" s="481">
        <f>D342</f>
        <v>0</v>
      </c>
      <c r="E348" s="481">
        <f>E342</f>
        <v>0</v>
      </c>
      <c r="F348" s="481">
        <f>F342</f>
        <v>0</v>
      </c>
      <c r="G348" s="53"/>
      <c r="H348" s="53"/>
      <c r="I348" s="53"/>
      <c r="J348" s="53"/>
      <c r="K348" s="53"/>
    </row>
    <row r="349" spans="2:11" ht="15.75">
      <c r="B349" s="50" t="s">
        <v>2994</v>
      </c>
      <c r="C349" s="50"/>
      <c r="D349" s="632">
        <f>D325</f>
        <v>2300.9512788775646</v>
      </c>
      <c r="E349" s="632">
        <f>E325</f>
        <v>2565.6096559755983</v>
      </c>
      <c r="F349" s="632">
        <f>F325</f>
        <v>2816.6139250284496</v>
      </c>
      <c r="G349" s="53"/>
      <c r="H349" s="53"/>
      <c r="I349" s="53"/>
      <c r="J349" s="53"/>
      <c r="K349" s="53"/>
    </row>
    <row r="350" spans="2:11" ht="15.75">
      <c r="B350" s="53" t="s">
        <v>1670</v>
      </c>
      <c r="C350" s="53"/>
      <c r="D350" s="630">
        <f>SUM(D346:D349)</f>
        <v>8063.3112788775652</v>
      </c>
      <c r="E350" s="630">
        <f>SUM(E346:E349)</f>
        <v>8603.2496559755982</v>
      </c>
      <c r="F350" s="630">
        <f>SUM(F346:F349)</f>
        <v>10022.03892502845</v>
      </c>
      <c r="G350" s="53"/>
      <c r="H350" s="53"/>
      <c r="I350" s="53"/>
      <c r="J350" s="53"/>
      <c r="K350" s="53"/>
    </row>
    <row r="351" spans="2:11" ht="16.5" thickBot="1">
      <c r="B351" s="53"/>
      <c r="C351" s="53"/>
      <c r="D351" s="53"/>
      <c r="E351" s="53"/>
      <c r="F351" s="53"/>
      <c r="G351" s="53"/>
      <c r="H351" s="53"/>
      <c r="I351" s="53"/>
      <c r="J351" s="53"/>
      <c r="K351" s="53"/>
    </row>
    <row r="352" spans="2:11" ht="15.75">
      <c r="B352" s="50" t="s">
        <v>44</v>
      </c>
      <c r="C352" s="50">
        <f>C313</f>
        <v>2017</v>
      </c>
      <c r="D352" s="50">
        <f>D313</f>
        <v>2018</v>
      </c>
      <c r="E352" s="50">
        <f>E313</f>
        <v>2019</v>
      </c>
      <c r="F352" s="50">
        <f>F313</f>
        <v>2020</v>
      </c>
      <c r="G352" s="770" t="s">
        <v>1681</v>
      </c>
      <c r="H352" s="53"/>
      <c r="I352" s="53"/>
      <c r="J352" s="53"/>
      <c r="K352" s="53"/>
    </row>
    <row r="353" spans="2:11" ht="15.75">
      <c r="B353" s="53" t="s">
        <v>1671</v>
      </c>
      <c r="C353" s="630">
        <f>Master!I84</f>
        <v>0</v>
      </c>
      <c r="D353" s="630" t="e">
        <f>Master!#REF!</f>
        <v>#REF!</v>
      </c>
      <c r="E353" s="630">
        <f>Master!K84</f>
        <v>1328.2097159999998</v>
      </c>
      <c r="F353" s="630">
        <f>Master!L84</f>
        <v>1336.9684400000001</v>
      </c>
      <c r="G353" s="771" t="e">
        <f>(F353/C353)^(1/3)-1</f>
        <v>#DIV/0!</v>
      </c>
      <c r="H353" s="53"/>
      <c r="I353" s="53"/>
      <c r="J353" s="53"/>
      <c r="K353" s="53"/>
    </row>
    <row r="354" spans="2:11" ht="15.75">
      <c r="B354" s="50" t="s">
        <v>2985</v>
      </c>
      <c r="C354" s="632">
        <f>C330</f>
        <v>655.89120715350225</v>
      </c>
      <c r="D354" s="632">
        <f>D330</f>
        <v>598.1849374901135</v>
      </c>
      <c r="E354" s="632">
        <f>E330</f>
        <v>639.67913253253471</v>
      </c>
      <c r="F354" s="632">
        <f>F330</f>
        <v>721.7590467158094</v>
      </c>
      <c r="G354" s="772">
        <f>(F354/C354)^(1/3)-1</f>
        <v>3.2413026856568328E-2</v>
      </c>
      <c r="H354" s="53"/>
      <c r="I354" s="53"/>
      <c r="J354" s="53"/>
      <c r="K354" s="53"/>
    </row>
    <row r="355" spans="2:11" ht="16.5" thickBot="1">
      <c r="B355" s="53" t="s">
        <v>1673</v>
      </c>
      <c r="C355" s="630">
        <f>C353+C354</f>
        <v>655.89120715350225</v>
      </c>
      <c r="D355" s="630" t="e">
        <f>D353+D354</f>
        <v>#REF!</v>
      </c>
      <c r="E355" s="630">
        <f>E353+E354</f>
        <v>1967.8888485325347</v>
      </c>
      <c r="F355" s="630">
        <f>F353+F354</f>
        <v>2058.7274867158094</v>
      </c>
      <c r="G355" s="773">
        <f>(F355/C355)^(1/3)-1</f>
        <v>0.46416161839849246</v>
      </c>
      <c r="H355" s="53"/>
      <c r="I355" s="53"/>
      <c r="J355" s="53"/>
      <c r="K355" s="53"/>
    </row>
    <row r="356" spans="2:11" ht="15.75">
      <c r="B356" s="53"/>
      <c r="C356" s="53"/>
      <c r="D356" s="53"/>
      <c r="E356" s="53"/>
      <c r="F356" s="53"/>
      <c r="G356" s="53"/>
      <c r="H356" s="53"/>
      <c r="I356" s="53"/>
      <c r="J356" s="53"/>
      <c r="K356" s="53"/>
    </row>
    <row r="357" spans="2:11" ht="15.75">
      <c r="B357" s="620">
        <f>C334</f>
        <v>1</v>
      </c>
      <c r="C357" s="53"/>
      <c r="D357" s="53"/>
      <c r="E357" s="53"/>
      <c r="F357" s="53"/>
      <c r="G357" s="53"/>
      <c r="H357" s="53"/>
      <c r="I357" s="53"/>
      <c r="J357" s="53"/>
      <c r="K357" s="53"/>
    </row>
    <row r="358" spans="2:11" ht="15.75">
      <c r="B358" s="50" t="s">
        <v>2854</v>
      </c>
      <c r="C358" s="50">
        <f>C313</f>
        <v>2017</v>
      </c>
      <c r="D358" s="50">
        <f>D313</f>
        <v>2018</v>
      </c>
      <c r="E358" s="50">
        <f>E313</f>
        <v>2019</v>
      </c>
      <c r="F358" s="50">
        <f>F313</f>
        <v>2020</v>
      </c>
      <c r="G358" s="53"/>
      <c r="H358" s="53"/>
      <c r="I358" s="53"/>
      <c r="J358" s="53"/>
      <c r="K358" s="53"/>
    </row>
    <row r="359" spans="2:11" ht="15.75">
      <c r="B359" s="53" t="s">
        <v>2856</v>
      </c>
      <c r="C359" s="621">
        <f>Valuation!H85</f>
        <v>0</v>
      </c>
      <c r="D359" s="621">
        <f>Valuation!I85</f>
        <v>4.6296813270536745</v>
      </c>
      <c r="E359" s="621">
        <f>Valuation!J85</f>
        <v>4.545697812076539</v>
      </c>
      <c r="F359" s="621">
        <f>Valuation!K85</f>
        <v>4.5001979970326556</v>
      </c>
      <c r="G359" s="53"/>
      <c r="H359" s="53"/>
      <c r="I359" s="53"/>
      <c r="J359" s="53"/>
      <c r="K359" s="53"/>
    </row>
    <row r="360" spans="2:11" ht="15.75">
      <c r="B360" s="53" t="s">
        <v>2857</v>
      </c>
      <c r="C360" s="53"/>
      <c r="D360" s="621" t="e">
        <f>D350/D355</f>
        <v>#REF!</v>
      </c>
      <c r="E360" s="621">
        <f>E350/E355</f>
        <v>4.3718168647538649</v>
      </c>
      <c r="F360" s="621">
        <f>F350/F355</f>
        <v>4.8680745701880799</v>
      </c>
      <c r="G360" s="53"/>
      <c r="H360" s="53"/>
      <c r="I360" s="53"/>
      <c r="J360" s="53"/>
      <c r="K360" s="53"/>
    </row>
    <row r="361" spans="2:11" ht="15.75">
      <c r="B361" s="53"/>
      <c r="C361" s="53"/>
      <c r="D361" s="53"/>
      <c r="E361" s="53"/>
      <c r="F361" s="53"/>
      <c r="G361" s="58"/>
      <c r="H361" s="53"/>
      <c r="I361" s="53"/>
      <c r="J361" s="53"/>
      <c r="K361" s="53"/>
    </row>
    <row r="362" spans="2:11" ht="15.75">
      <c r="B362" s="50" t="s">
        <v>325</v>
      </c>
      <c r="C362" s="50">
        <v>2017</v>
      </c>
      <c r="D362" s="50">
        <f>C362+1</f>
        <v>2018</v>
      </c>
      <c r="E362" s="50">
        <f>D362+1</f>
        <v>2019</v>
      </c>
      <c r="F362" s="50">
        <f>E362+1</f>
        <v>2020</v>
      </c>
      <c r="G362" s="53"/>
      <c r="H362" s="53"/>
      <c r="I362" s="53"/>
      <c r="J362" s="53"/>
      <c r="K362" s="53"/>
    </row>
    <row r="363" spans="2:11" ht="15.75">
      <c r="B363" s="53" t="s">
        <v>2986</v>
      </c>
      <c r="C363" s="630">
        <f>H363/$C$321</f>
        <v>-30.883755588673623</v>
      </c>
      <c r="D363" s="630">
        <f>I363/$C$321</f>
        <v>-143.46489381795223</v>
      </c>
      <c r="E363" s="630">
        <f>J363/$C$321</f>
        <v>-197.55905705332438</v>
      </c>
      <c r="F363" s="630">
        <f>K363/$C$321</f>
        <v>-150.35528898578713</v>
      </c>
      <c r="G363" s="53"/>
      <c r="H363" s="749">
        <v>-20723</v>
      </c>
      <c r="I363" s="749">
        <v>-96264.943751845945</v>
      </c>
      <c r="J363" s="749">
        <v>-132562.12728278065</v>
      </c>
      <c r="K363" s="749">
        <v>-100888.39890946317</v>
      </c>
    </row>
    <row r="364" spans="2:11" ht="15.75">
      <c r="B364" s="53"/>
      <c r="C364" s="53"/>
      <c r="D364" s="53"/>
      <c r="E364" s="53"/>
      <c r="F364" s="53"/>
      <c r="G364" s="53"/>
      <c r="H364" s="53"/>
      <c r="I364" s="53"/>
      <c r="J364" s="53"/>
      <c r="K364" s="53"/>
    </row>
    <row r="365" spans="2:11" ht="15.75">
      <c r="B365" s="53" t="s">
        <v>1947</v>
      </c>
      <c r="C365" s="630">
        <f>Valuation!H28</f>
        <v>93.865019728729806</v>
      </c>
      <c r="D365" s="630">
        <f>Valuation!I28</f>
        <v>78.306080118971721</v>
      </c>
      <c r="E365" s="630">
        <f>Valuation!J28</f>
        <v>142.40066666666672</v>
      </c>
      <c r="F365" s="630">
        <f>Valuation!K28</f>
        <v>196.00200000000001</v>
      </c>
      <c r="G365" s="53"/>
      <c r="H365" s="630">
        <v>91.141999041367143</v>
      </c>
      <c r="I365" s="630">
        <v>289.89467227852333</v>
      </c>
      <c r="J365" s="630">
        <v>379.56195126771263</v>
      </c>
      <c r="K365" s="630">
        <v>430.34630235242696</v>
      </c>
    </row>
    <row r="366" spans="2:11" ht="15.75">
      <c r="B366" s="53" t="s">
        <v>1064</v>
      </c>
      <c r="C366" s="630">
        <f>Valuation!H5</f>
        <v>171.21257300000002</v>
      </c>
      <c r="D366" s="630">
        <f>Valuation!I5</f>
        <v>180.983</v>
      </c>
      <c r="E366" s="630">
        <f>Valuation!J5</f>
        <v>181.92400000000001</v>
      </c>
      <c r="F366" s="630">
        <f>Valuation!K5</f>
        <v>232.03</v>
      </c>
      <c r="G366" s="53"/>
      <c r="H366" s="630">
        <v>168.73599999999999</v>
      </c>
      <c r="I366" s="630">
        <v>164.73599999999999</v>
      </c>
      <c r="J366" s="630">
        <v>160.73599999999999</v>
      </c>
      <c r="K366" s="630">
        <v>152.73599999999999</v>
      </c>
    </row>
    <row r="367" spans="2:11" ht="15.75">
      <c r="B367" s="53" t="s">
        <v>1948</v>
      </c>
      <c r="C367" s="621">
        <f>C365/C366</f>
        <v>0.54823672166138049</v>
      </c>
      <c r="D367" s="621">
        <f>D365/D366</f>
        <v>0.43267091450010065</v>
      </c>
      <c r="E367" s="621">
        <f>E365/E366</f>
        <v>0.78274810726823685</v>
      </c>
      <c r="F367" s="621">
        <f>F365/F366</f>
        <v>0.84472697496013449</v>
      </c>
      <c r="G367" s="53"/>
      <c r="H367" s="621">
        <v>0.54014554713497509</v>
      </c>
      <c r="I367" s="621">
        <v>1.7597530125687364</v>
      </c>
      <c r="J367" s="621">
        <v>2.361399756543106</v>
      </c>
      <c r="K367" s="621">
        <v>2.8175826416327978</v>
      </c>
    </row>
    <row r="368" spans="2:11" ht="15.75">
      <c r="B368" s="53"/>
      <c r="C368" s="53"/>
      <c r="D368" s="53"/>
      <c r="E368" s="53"/>
      <c r="F368" s="53"/>
      <c r="G368" s="53"/>
      <c r="H368" s="53"/>
      <c r="I368" s="53"/>
      <c r="J368" s="53"/>
      <c r="K368" s="53"/>
    </row>
    <row r="369" spans="2:11" ht="15.75">
      <c r="B369" s="53" t="s">
        <v>1952</v>
      </c>
      <c r="C369" s="53"/>
      <c r="D369" s="481">
        <f>D341*(1-0.28)</f>
        <v>0</v>
      </c>
      <c r="E369" s="481">
        <f>E341*(1-0.28)</f>
        <v>0</v>
      </c>
      <c r="F369" s="481">
        <f>F341*(1-0.28)</f>
        <v>0</v>
      </c>
      <c r="G369" s="53"/>
      <c r="H369" s="53"/>
      <c r="I369" s="481">
        <v>144.55572289156626</v>
      </c>
      <c r="J369" s="481">
        <v>144.55572289156626</v>
      </c>
      <c r="K369" s="481">
        <v>144.55572289156626</v>
      </c>
    </row>
    <row r="370" spans="2:11" ht="15.75">
      <c r="B370" s="53" t="s">
        <v>2865</v>
      </c>
      <c r="C370" s="481"/>
      <c r="D370" s="481">
        <f>D363+D365-D369</f>
        <v>-65.158813698980509</v>
      </c>
      <c r="E370" s="481">
        <f>E363+E365-E369</f>
        <v>-55.158390386657658</v>
      </c>
      <c r="F370" s="481">
        <f>F363+F365-F369</f>
        <v>45.646711014212883</v>
      </c>
      <c r="G370" s="53"/>
      <c r="H370" s="481"/>
      <c r="I370" s="481">
        <v>102.15309562660701</v>
      </c>
      <c r="J370" s="481">
        <v>298.43282506220874</v>
      </c>
      <c r="K370" s="481">
        <v>416.36988568385027</v>
      </c>
    </row>
    <row r="371" spans="2:11" ht="15.75">
      <c r="B371" s="53" t="s">
        <v>2860</v>
      </c>
      <c r="C371" s="481"/>
      <c r="D371" s="481">
        <f>C338</f>
        <v>76.644666808601229</v>
      </c>
      <c r="E371" s="481">
        <f>D371</f>
        <v>76.644666808601229</v>
      </c>
      <c r="F371" s="481">
        <f>E371</f>
        <v>76.644666808601229</v>
      </c>
      <c r="G371" s="53"/>
      <c r="H371" s="481"/>
      <c r="I371" s="481">
        <v>0</v>
      </c>
      <c r="J371" s="481">
        <v>0</v>
      </c>
      <c r="K371" s="481">
        <v>0</v>
      </c>
    </row>
    <row r="372" spans="2:11" ht="15.75">
      <c r="B372" s="53" t="s">
        <v>2864</v>
      </c>
      <c r="C372" s="630"/>
      <c r="D372" s="630">
        <f>D366+D371</f>
        <v>257.62766680860125</v>
      </c>
      <c r="E372" s="630">
        <f>E366+E371</f>
        <v>258.56866680860122</v>
      </c>
      <c r="F372" s="630">
        <f>F366+F371</f>
        <v>308.67466680860122</v>
      </c>
      <c r="G372" s="53"/>
      <c r="H372" s="630"/>
      <c r="I372" s="630">
        <v>164.73599999999999</v>
      </c>
      <c r="J372" s="630">
        <v>160.73599999999999</v>
      </c>
      <c r="K372" s="630">
        <v>152.73599999999999</v>
      </c>
    </row>
    <row r="373" spans="2:11" ht="15.75">
      <c r="B373" s="53" t="s">
        <v>2863</v>
      </c>
      <c r="C373" s="639"/>
      <c r="D373" s="639">
        <f>D370/D372</f>
        <v>-0.25291854134357705</v>
      </c>
      <c r="E373" s="639">
        <f>E370/E372</f>
        <v>-0.21332202028750541</v>
      </c>
      <c r="F373" s="639">
        <f>F370/F372</f>
        <v>0.14787968020231759</v>
      </c>
      <c r="G373" s="53"/>
      <c r="H373" s="639"/>
      <c r="I373" s="639">
        <v>0.62010183339772129</v>
      </c>
      <c r="J373" s="639">
        <v>1.8566644999390849</v>
      </c>
      <c r="K373" s="639">
        <v>2.7260756186089088</v>
      </c>
    </row>
    <row r="374" spans="2:11" ht="15.75">
      <c r="B374" s="53" t="s">
        <v>2858</v>
      </c>
      <c r="C374" s="639"/>
      <c r="D374" s="54">
        <f>D373/D367-1</f>
        <v>-1.5845517525387489</v>
      </c>
      <c r="E374" s="54">
        <f>E373/E367-1</f>
        <v>-1.2725295894128594</v>
      </c>
      <c r="F374" s="54">
        <f>F373/F367-1</f>
        <v>-0.82493789758602587</v>
      </c>
      <c r="G374" s="53"/>
      <c r="H374" s="639"/>
      <c r="I374" s="54">
        <v>-0.64761996202379002</v>
      </c>
      <c r="J374" s="54">
        <v>-0.21374409614698686</v>
      </c>
      <c r="K374" s="54">
        <v>-3.2477138974301933E-2</v>
      </c>
    </row>
    <row r="375" spans="2:11" ht="15.75">
      <c r="B375" s="53"/>
      <c r="C375" s="53"/>
      <c r="D375" s="53"/>
      <c r="E375" s="53"/>
      <c r="F375" s="53"/>
      <c r="G375" s="53"/>
      <c r="H375" s="53"/>
      <c r="I375" s="53"/>
      <c r="J375" s="53"/>
      <c r="K375" s="53"/>
    </row>
    <row r="376" spans="2:11" ht="15.75">
      <c r="B376" s="53" t="s">
        <v>2861</v>
      </c>
      <c r="C376" s="53"/>
      <c r="D376" s="621">
        <f t="shared" ref="D376:F377" si="17">D359</f>
        <v>4.6296813270536745</v>
      </c>
      <c r="E376" s="621">
        <f t="shared" si="17"/>
        <v>4.545697812076539</v>
      </c>
      <c r="F376" s="621">
        <f t="shared" si="17"/>
        <v>4.5001979970326556</v>
      </c>
      <c r="G376" s="53"/>
      <c r="H376" s="53"/>
      <c r="I376" s="621">
        <v>3.8804931306140298</v>
      </c>
      <c r="J376" s="621">
        <v>3.4826550973032981</v>
      </c>
      <c r="K376" s="621">
        <v>3.2063585038212974</v>
      </c>
    </row>
    <row r="377" spans="2:11" ht="15.75">
      <c r="B377" s="53" t="s">
        <v>2862</v>
      </c>
      <c r="C377" s="53"/>
      <c r="D377" s="621" t="e">
        <f t="shared" si="17"/>
        <v>#REF!</v>
      </c>
      <c r="E377" s="621">
        <f t="shared" si="17"/>
        <v>4.3718168647538649</v>
      </c>
      <c r="F377" s="621">
        <f t="shared" si="17"/>
        <v>4.8680745701880799</v>
      </c>
      <c r="G377" s="53"/>
      <c r="H377" s="53"/>
      <c r="I377" s="621">
        <v>5.1580586988969364</v>
      </c>
      <c r="J377" s="621">
        <v>4.5944341664670452</v>
      </c>
      <c r="K377" s="621">
        <v>4.3189504794747897</v>
      </c>
    </row>
    <row r="378" spans="2:11" ht="15.75">
      <c r="B378" s="53"/>
      <c r="C378" s="53"/>
      <c r="D378" s="53"/>
      <c r="E378" s="53"/>
      <c r="F378" s="53"/>
      <c r="G378" s="53"/>
      <c r="H378" s="53"/>
      <c r="I378" s="53"/>
      <c r="J378" s="53"/>
      <c r="K378" s="53"/>
    </row>
    <row r="379" spans="2:11" ht="15.75">
      <c r="B379" s="50" t="s">
        <v>325</v>
      </c>
      <c r="C379" s="50">
        <f>D362</f>
        <v>2018</v>
      </c>
      <c r="D379" s="50">
        <f>E362</f>
        <v>2019</v>
      </c>
      <c r="E379" s="50">
        <f>F362</f>
        <v>2020</v>
      </c>
      <c r="F379" s="774"/>
      <c r="G379" s="53"/>
      <c r="H379" s="53"/>
      <c r="I379" s="53"/>
      <c r="J379" s="53"/>
      <c r="K379" s="53"/>
    </row>
    <row r="380" spans="2:11" ht="15.75">
      <c r="B380" s="53" t="s">
        <v>1959</v>
      </c>
      <c r="C380" s="630">
        <f>D365</f>
        <v>78.306080118971721</v>
      </c>
      <c r="D380" s="630">
        <f>E365</f>
        <v>142.40066666666672</v>
      </c>
      <c r="E380" s="630">
        <f>F365</f>
        <v>196.00200000000001</v>
      </c>
      <c r="F380" s="53"/>
      <c r="G380" s="53"/>
      <c r="H380" s="53"/>
      <c r="I380" s="53"/>
      <c r="J380" s="53"/>
      <c r="K380" s="53"/>
    </row>
    <row r="381" spans="2:11" ht="15.75">
      <c r="B381" s="53" t="s">
        <v>1956</v>
      </c>
      <c r="C381" s="630">
        <f>Valuation!I5</f>
        <v>180.983</v>
      </c>
      <c r="D381" s="630">
        <f>Valuation!J5</f>
        <v>181.92400000000001</v>
      </c>
      <c r="E381" s="630">
        <f>Valuation!K5</f>
        <v>232.03</v>
      </c>
      <c r="F381" s="53"/>
      <c r="G381" s="53"/>
      <c r="H381" s="53"/>
      <c r="I381" s="53"/>
      <c r="J381" s="53"/>
      <c r="K381" s="53"/>
    </row>
    <row r="382" spans="2:11" ht="15.75">
      <c r="B382" s="53" t="s">
        <v>1953</v>
      </c>
      <c r="C382" s="621">
        <f>C380/C381</f>
        <v>0.43267091450010065</v>
      </c>
      <c r="D382" s="621">
        <f>D380/D381</f>
        <v>0.78274810726823685</v>
      </c>
      <c r="E382" s="621">
        <f>E380/E381</f>
        <v>0.84472697496013449</v>
      </c>
      <c r="F382" s="53"/>
      <c r="G382" s="53"/>
      <c r="H382" s="53"/>
      <c r="I382" s="53"/>
      <c r="J382" s="53"/>
      <c r="K382" s="53"/>
    </row>
    <row r="383" spans="2:11" ht="15.75">
      <c r="B383" s="53" t="s">
        <v>855</v>
      </c>
      <c r="C383" s="56">
        <f>C382/Valuation!$B$2</f>
        <v>6.3628075661779512E-2</v>
      </c>
      <c r="D383" s="56">
        <f>D382/Valuation!$B$2</f>
        <v>0.11511001577474071</v>
      </c>
      <c r="E383" s="56">
        <f>E382/Valuation!$B$2</f>
        <v>0.12422455514119625</v>
      </c>
      <c r="F383" s="53"/>
      <c r="G383" s="53"/>
      <c r="H383" s="53"/>
      <c r="I383" s="53"/>
      <c r="J383" s="53"/>
      <c r="K383" s="53"/>
    </row>
    <row r="384" spans="2:11" ht="15.75">
      <c r="B384" s="53"/>
      <c r="C384" s="53"/>
      <c r="D384" s="621"/>
      <c r="E384" s="621"/>
      <c r="F384" s="621"/>
      <c r="G384" s="53"/>
      <c r="H384" s="53"/>
      <c r="I384" s="53"/>
      <c r="J384" s="53"/>
      <c r="K384" s="53"/>
    </row>
    <row r="385" spans="2:11" ht="15.75">
      <c r="B385" s="53" t="s">
        <v>2986</v>
      </c>
      <c r="C385" s="481">
        <f>D363</f>
        <v>-143.46489381795223</v>
      </c>
      <c r="D385" s="481">
        <f>E363</f>
        <v>-197.55905705332438</v>
      </c>
      <c r="E385" s="481">
        <f>F363</f>
        <v>-150.35528898578713</v>
      </c>
      <c r="F385" s="621"/>
      <c r="G385" s="53"/>
      <c r="H385" s="53"/>
      <c r="I385" s="53"/>
      <c r="J385" s="53"/>
      <c r="K385" s="53"/>
    </row>
    <row r="386" spans="2:11" ht="15.75">
      <c r="B386" s="53" t="s">
        <v>1955</v>
      </c>
      <c r="C386" s="54">
        <f>C340</f>
        <v>6.5000000000000002E-2</v>
      </c>
      <c r="D386" s="481"/>
      <c r="E386" s="481"/>
      <c r="F386" s="621"/>
      <c r="G386" s="53"/>
      <c r="H386" s="53"/>
      <c r="I386" s="53"/>
      <c r="J386" s="53"/>
      <c r="K386" s="53"/>
    </row>
    <row r="387" spans="2:11" ht="15.75">
      <c r="B387" s="53" t="s">
        <v>1954</v>
      </c>
      <c r="C387" s="481">
        <f>D369</f>
        <v>0</v>
      </c>
      <c r="D387" s="481">
        <f>E369</f>
        <v>0</v>
      </c>
      <c r="E387" s="481">
        <f>F369</f>
        <v>0</v>
      </c>
      <c r="F387" s="621"/>
      <c r="G387" s="53"/>
      <c r="H387" s="53"/>
      <c r="I387" s="53"/>
      <c r="J387" s="53"/>
      <c r="K387" s="53"/>
    </row>
    <row r="388" spans="2:11" ht="15.75">
      <c r="B388" s="53" t="s">
        <v>2987</v>
      </c>
      <c r="C388" s="481">
        <f>C380+C385-C387</f>
        <v>-65.158813698980509</v>
      </c>
      <c r="D388" s="481">
        <f>D380+D385-D387</f>
        <v>-55.158390386657658</v>
      </c>
      <c r="E388" s="481">
        <f>E380+E385-E387</f>
        <v>45.646711014212883</v>
      </c>
      <c r="F388" s="621"/>
      <c r="G388" s="53"/>
      <c r="H388" s="53"/>
      <c r="I388" s="53"/>
      <c r="J388" s="53"/>
      <c r="K388" s="53"/>
    </row>
    <row r="389" spans="2:11" ht="15.75">
      <c r="B389" s="53" t="s">
        <v>2855</v>
      </c>
      <c r="C389" s="481">
        <f>C337</f>
        <v>35</v>
      </c>
      <c r="D389" s="481"/>
      <c r="E389" s="481"/>
      <c r="F389" s="621"/>
      <c r="G389" s="53"/>
      <c r="H389" s="53"/>
      <c r="I389" s="53"/>
      <c r="J389" s="53"/>
      <c r="K389" s="53"/>
    </row>
    <row r="390" spans="2:11" ht="15.75">
      <c r="B390" s="53" t="s">
        <v>1059</v>
      </c>
      <c r="C390" s="481">
        <f>C338</f>
        <v>76.644666808601229</v>
      </c>
      <c r="D390" s="481"/>
      <c r="E390" s="481"/>
      <c r="F390" s="621"/>
      <c r="G390" s="53"/>
      <c r="H390" s="53"/>
      <c r="I390" s="53"/>
      <c r="J390" s="53"/>
      <c r="K390" s="53"/>
    </row>
    <row r="391" spans="2:11" ht="15.75">
      <c r="B391" s="53" t="s">
        <v>2859</v>
      </c>
      <c r="C391" s="481">
        <f>C381+$C$390</f>
        <v>257.62766680860125</v>
      </c>
      <c r="D391" s="481">
        <f>D381+$C$390</f>
        <v>258.56866680860122</v>
      </c>
      <c r="E391" s="481">
        <f>E381+$C$390</f>
        <v>308.67466680860122</v>
      </c>
      <c r="F391" s="621"/>
      <c r="G391" s="53"/>
      <c r="H391" s="53"/>
      <c r="I391" s="53"/>
      <c r="J391" s="53"/>
      <c r="K391" s="53"/>
    </row>
    <row r="392" spans="2:11" ht="16.5" thickBot="1">
      <c r="B392" s="53" t="s">
        <v>1957</v>
      </c>
      <c r="C392" s="621">
        <f>C388/C391</f>
        <v>-0.25291854134357705</v>
      </c>
      <c r="D392" s="621">
        <f>D388/D391</f>
        <v>-0.21332202028750541</v>
      </c>
      <c r="E392" s="621">
        <f>E388/E391</f>
        <v>0.14787968020231759</v>
      </c>
      <c r="F392" s="621"/>
      <c r="G392" s="53"/>
      <c r="H392" s="53"/>
      <c r="I392" s="53"/>
      <c r="J392" s="53"/>
      <c r="K392" s="53"/>
    </row>
    <row r="393" spans="2:11" ht="16.5" thickBot="1">
      <c r="B393" s="775" t="s">
        <v>1958</v>
      </c>
      <c r="C393" s="776">
        <f>C392/C382-1</f>
        <v>-1.5845517525387489</v>
      </c>
      <c r="D393" s="776">
        <f>D392/D382-1</f>
        <v>-1.2725295894128594</v>
      </c>
      <c r="E393" s="777">
        <f>E392/E382-1</f>
        <v>-0.82493789758602587</v>
      </c>
      <c r="F393" s="621"/>
      <c r="G393" s="53"/>
      <c r="H393" s="53"/>
      <c r="I393" s="53"/>
      <c r="J393" s="53"/>
      <c r="K393" s="53"/>
    </row>
    <row r="394" spans="2:11" ht="15.75">
      <c r="B394" s="53"/>
      <c r="C394" s="53"/>
      <c r="D394" s="53"/>
      <c r="E394" s="53"/>
      <c r="F394" s="53"/>
      <c r="G394" s="53"/>
      <c r="H394" s="53"/>
      <c r="I394" s="53"/>
      <c r="J394" s="53"/>
      <c r="K394" s="53"/>
    </row>
    <row r="395" spans="2:11" ht="15.75">
      <c r="B395" s="53" t="s">
        <v>1971</v>
      </c>
      <c r="C395" s="53"/>
      <c r="D395" s="53"/>
      <c r="E395" s="53"/>
      <c r="F395" s="53"/>
      <c r="G395" s="53"/>
      <c r="H395" s="53"/>
      <c r="I395" s="53"/>
      <c r="J395" s="53"/>
      <c r="K395" s="53"/>
    </row>
    <row r="396" spans="2:11" ht="15.75">
      <c r="B396" s="50" t="s">
        <v>2988</v>
      </c>
      <c r="C396" s="50"/>
      <c r="D396" s="50">
        <f>C379</f>
        <v>2018</v>
      </c>
      <c r="E396" s="50">
        <f>D379</f>
        <v>2019</v>
      </c>
      <c r="F396" s="50">
        <f>E379</f>
        <v>2020</v>
      </c>
      <c r="G396" s="50">
        <v>44166</v>
      </c>
      <c r="H396" s="53"/>
      <c r="I396" s="53"/>
      <c r="J396" s="53"/>
      <c r="K396" s="53"/>
    </row>
    <row r="397" spans="2:11" ht="15.75">
      <c r="B397" s="53" t="s">
        <v>482</v>
      </c>
      <c r="C397" s="630"/>
      <c r="D397" s="630">
        <f>H397/$C$321</f>
        <v>2947.8411453715416</v>
      </c>
      <c r="E397" s="630">
        <f>I397/$C$321</f>
        <v>3131.3989309238236</v>
      </c>
      <c r="F397" s="630">
        <f>J397/$C$321</f>
        <v>3245.2761621553</v>
      </c>
      <c r="G397" s="630">
        <f>K397/$C$321</f>
        <v>3373.7693818046487</v>
      </c>
      <c r="H397" s="749">
        <v>1978001.4085443045</v>
      </c>
      <c r="I397" s="749">
        <v>2101168.6826498858</v>
      </c>
      <c r="J397" s="749">
        <v>2177580.3048062064</v>
      </c>
      <c r="K397" s="749">
        <v>2263799.2551909192</v>
      </c>
    </row>
    <row r="398" spans="2:11" ht="15.75">
      <c r="B398" s="53" t="s">
        <v>649</v>
      </c>
      <c r="C398" s="630"/>
      <c r="D398" s="630">
        <f>D397-D330</f>
        <v>2349.6562078814281</v>
      </c>
      <c r="E398" s="630">
        <f>E397-E330</f>
        <v>2491.7197983912888</v>
      </c>
      <c r="F398" s="630">
        <f>F397-F330</f>
        <v>2523.5171154394907</v>
      </c>
      <c r="G398" s="630">
        <f>G397-G330</f>
        <v>1261.694136623863</v>
      </c>
      <c r="H398" s="53"/>
      <c r="I398" s="53"/>
      <c r="J398" s="53"/>
      <c r="K398" s="53"/>
    </row>
    <row r="399" spans="2:11" ht="15.75">
      <c r="B399" s="53" t="s">
        <v>19</v>
      </c>
      <c r="C399" s="630"/>
      <c r="D399" s="630">
        <f>H399/$C$321</f>
        <v>536.77348521177748</v>
      </c>
      <c r="E399" s="630">
        <f>I399/$C$321</f>
        <v>550.02273173776621</v>
      </c>
      <c r="F399" s="630">
        <f>J399/$C$321</f>
        <v>561.7482648919937</v>
      </c>
      <c r="G399" s="630">
        <f>K399/$C$321</f>
        <v>558.98223066583046</v>
      </c>
      <c r="H399" s="749">
        <v>360175.00857710268</v>
      </c>
      <c r="I399" s="749">
        <v>369065.25299604109</v>
      </c>
      <c r="J399" s="749">
        <v>376933.08574252774</v>
      </c>
      <c r="K399" s="749">
        <v>375077.07677677227</v>
      </c>
    </row>
    <row r="400" spans="2:11" ht="15.75">
      <c r="B400" s="53"/>
      <c r="C400" s="53"/>
      <c r="D400" s="53"/>
      <c r="E400" s="53"/>
      <c r="F400" s="53"/>
      <c r="G400" s="53"/>
      <c r="H400" s="53"/>
      <c r="I400" s="53"/>
      <c r="J400" s="53"/>
      <c r="K400" s="53"/>
    </row>
    <row r="401" spans="2:11" ht="16.5" thickBot="1">
      <c r="B401" s="53" t="s">
        <v>1974</v>
      </c>
      <c r="C401" s="630"/>
      <c r="D401" s="630">
        <f>D398+D399</f>
        <v>2886.4296930932055</v>
      </c>
      <c r="E401" s="630">
        <f>E398+E399</f>
        <v>3041.742530129055</v>
      </c>
      <c r="F401" s="630">
        <f>F398+F399</f>
        <v>3085.2653803314843</v>
      </c>
      <c r="G401" s="630">
        <f>G398+G399</f>
        <v>1820.6763672896934</v>
      </c>
      <c r="H401" s="53"/>
      <c r="I401" s="53"/>
      <c r="J401" s="53"/>
      <c r="K401" s="53"/>
    </row>
    <row r="402" spans="2:11" ht="16.5" thickBot="1">
      <c r="B402" s="775" t="s">
        <v>1975</v>
      </c>
      <c r="C402" s="778"/>
      <c r="D402" s="778"/>
      <c r="E402" s="779">
        <v>0.02</v>
      </c>
      <c r="F402" s="779">
        <v>0.06</v>
      </c>
      <c r="G402" s="780">
        <v>0.08</v>
      </c>
      <c r="H402" s="53"/>
      <c r="I402" s="53"/>
      <c r="J402" s="53"/>
      <c r="K402" s="53"/>
    </row>
    <row r="403" spans="2:11" ht="15.75">
      <c r="B403" s="53" t="s">
        <v>1976</v>
      </c>
      <c r="C403" s="630"/>
      <c r="D403" s="630"/>
      <c r="E403" s="630">
        <f>E401*E402</f>
        <v>60.834850602581099</v>
      </c>
      <c r="F403" s="630">
        <f>F401*F402</f>
        <v>185.11592281988905</v>
      </c>
      <c r="G403" s="630">
        <f>G401*G402</f>
        <v>145.65410938317547</v>
      </c>
      <c r="H403" s="53"/>
      <c r="I403" s="53"/>
      <c r="J403" s="53"/>
      <c r="K403" s="53"/>
    </row>
    <row r="404" spans="2:11" ht="15.75">
      <c r="B404" s="53" t="s">
        <v>1979</v>
      </c>
      <c r="C404" s="630"/>
      <c r="D404" s="630"/>
      <c r="E404" s="630">
        <f>E403*(1-0.28)</f>
        <v>43.801092433858386</v>
      </c>
      <c r="F404" s="630">
        <f>F403*(1-0.28)</f>
        <v>133.28346443032012</v>
      </c>
      <c r="G404" s="630">
        <f>G403*(1-0.28)</f>
        <v>104.87095875588633</v>
      </c>
      <c r="H404" s="53"/>
      <c r="I404" s="53"/>
      <c r="J404" s="53"/>
      <c r="K404" s="53"/>
    </row>
    <row r="405" spans="2:11" ht="15.75">
      <c r="B405" s="53" t="s">
        <v>1977</v>
      </c>
      <c r="C405" s="630">
        <f>NPV(8%,D404:G404)</f>
        <v>238.07560343593175</v>
      </c>
      <c r="D405" s="53"/>
      <c r="E405" s="630"/>
      <c r="F405" s="630"/>
      <c r="G405" s="53"/>
      <c r="H405" s="53"/>
      <c r="I405" s="53"/>
      <c r="J405" s="53"/>
      <c r="K405" s="53"/>
    </row>
    <row r="406" spans="2:11" ht="15.75">
      <c r="B406" s="50" t="s">
        <v>1978</v>
      </c>
      <c r="C406" s="632">
        <f>1/(10%-0%)*G404</f>
        <v>1048.7095875588634</v>
      </c>
      <c r="D406" s="53"/>
      <c r="E406" s="53"/>
      <c r="F406" s="53"/>
      <c r="G406" s="53"/>
      <c r="H406" s="53"/>
      <c r="I406" s="53"/>
      <c r="J406" s="53"/>
      <c r="K406" s="53"/>
    </row>
    <row r="407" spans="2:11" ht="15.75">
      <c r="B407" s="53" t="s">
        <v>1980</v>
      </c>
      <c r="C407" s="630">
        <f>C405+C406</f>
        <v>1286.7851909947951</v>
      </c>
      <c r="D407" s="53"/>
      <c r="E407" s="53"/>
      <c r="F407" s="53"/>
      <c r="G407" s="53"/>
      <c r="H407" s="53"/>
      <c r="I407" s="53"/>
      <c r="J407" s="53"/>
      <c r="K407" s="53"/>
    </row>
    <row r="408" spans="2:11" ht="15.75">
      <c r="B408" s="53" t="s">
        <v>3006</v>
      </c>
      <c r="C408" s="630">
        <f>C337*C366</f>
        <v>5992.4400550000009</v>
      </c>
      <c r="D408" s="53"/>
      <c r="E408" s="53"/>
      <c r="F408" s="53"/>
      <c r="G408" s="53"/>
      <c r="H408" s="53"/>
      <c r="I408" s="53"/>
      <c r="J408" s="53"/>
      <c r="K408" s="53"/>
    </row>
    <row r="409" spans="2:11" ht="15.75">
      <c r="B409" s="53" t="s">
        <v>3010</v>
      </c>
      <c r="C409" s="630">
        <f>C324</f>
        <v>2682.5633383010431</v>
      </c>
      <c r="D409" s="53"/>
      <c r="E409" s="53"/>
      <c r="F409" s="53"/>
      <c r="G409" s="53"/>
      <c r="H409" s="53"/>
      <c r="I409" s="53"/>
      <c r="J409" s="53"/>
      <c r="K409" s="53"/>
    </row>
    <row r="410" spans="2:11" ht="15.75">
      <c r="B410" s="53" t="s">
        <v>3005</v>
      </c>
      <c r="C410" s="54">
        <f>C408/(C408+C409)</f>
        <v>0.69077091769525356</v>
      </c>
      <c r="D410" s="53"/>
      <c r="E410" s="53"/>
      <c r="F410" s="53"/>
      <c r="G410" s="53"/>
      <c r="H410" s="53"/>
      <c r="I410" s="53"/>
      <c r="J410" s="53"/>
      <c r="K410" s="53"/>
    </row>
    <row r="411" spans="2:11" ht="15.75">
      <c r="B411" s="53" t="s">
        <v>3008</v>
      </c>
      <c r="C411" s="630">
        <f>C410*C407</f>
        <v>888.87378726013674</v>
      </c>
      <c r="D411" s="53"/>
      <c r="E411" s="53"/>
      <c r="F411" s="53"/>
      <c r="G411" s="53"/>
      <c r="H411" s="53"/>
      <c r="I411" s="53"/>
      <c r="J411" s="53"/>
      <c r="K411" s="53"/>
    </row>
    <row r="412" spans="2:11" ht="15.75">
      <c r="B412" s="53" t="s">
        <v>3009</v>
      </c>
      <c r="C412" s="639">
        <f>C411/C366</f>
        <v>5.1916385092824733</v>
      </c>
      <c r="D412" s="53"/>
      <c r="E412" s="53"/>
      <c r="F412" s="53"/>
      <c r="G412" s="53"/>
      <c r="H412" s="53"/>
      <c r="I412" s="53"/>
      <c r="J412" s="53"/>
      <c r="K412" s="53"/>
    </row>
    <row r="413" spans="2:11" ht="15.75">
      <c r="B413" s="53"/>
      <c r="C413" s="53"/>
      <c r="D413" s="53"/>
      <c r="E413" s="53"/>
      <c r="F413" s="53"/>
      <c r="G413" s="53"/>
      <c r="H413" s="53"/>
      <c r="I413" s="53"/>
      <c r="J413" s="53"/>
      <c r="K413" s="53"/>
    </row>
    <row r="414" spans="2:11" ht="15.75">
      <c r="B414" s="53" t="s">
        <v>1981</v>
      </c>
      <c r="C414" s="621"/>
      <c r="D414" s="621">
        <f>(D329-$C$272)/D330</f>
        <v>7.4294317581994775</v>
      </c>
      <c r="E414" s="621">
        <f>(E329-$C$272)/E330</f>
        <v>7.3612414560422712</v>
      </c>
      <c r="F414" s="621"/>
      <c r="G414" s="621"/>
      <c r="H414" s="53"/>
      <c r="I414" s="53"/>
      <c r="J414" s="53"/>
      <c r="K414" s="53"/>
    </row>
    <row r="415" spans="2:11" ht="15.75">
      <c r="B415" s="53"/>
      <c r="C415" s="53"/>
      <c r="D415" s="53"/>
      <c r="E415" s="53"/>
      <c r="F415" s="53"/>
      <c r="G415" s="53"/>
      <c r="H415" s="53"/>
      <c r="I415" s="53"/>
      <c r="J415" s="53"/>
      <c r="K415" s="53"/>
    </row>
    <row r="416" spans="2:11" ht="15.75">
      <c r="B416" s="684" t="s">
        <v>2989</v>
      </c>
      <c r="C416" s="53"/>
      <c r="D416" s="53"/>
      <c r="E416" s="53"/>
      <c r="F416" s="53"/>
      <c r="G416" s="53"/>
      <c r="H416" s="53"/>
      <c r="I416" s="53"/>
      <c r="J416" s="53"/>
      <c r="K416" s="53"/>
    </row>
    <row r="417" spans="2:11" ht="15.75">
      <c r="B417" s="53"/>
      <c r="C417" s="53"/>
      <c r="D417" s="53"/>
      <c r="E417" s="53"/>
      <c r="F417" s="53"/>
      <c r="G417" s="53"/>
      <c r="H417" s="53"/>
      <c r="I417" s="53"/>
      <c r="J417" s="53"/>
      <c r="K417" s="53"/>
    </row>
    <row r="418" spans="2:11" ht="15.75">
      <c r="B418" s="50"/>
      <c r="C418" s="50">
        <v>2017</v>
      </c>
      <c r="D418" s="50">
        <f>C418+1</f>
        <v>2018</v>
      </c>
      <c r="E418" s="50">
        <f>D418+1</f>
        <v>2019</v>
      </c>
      <c r="F418" s="50">
        <f>E418+1</f>
        <v>2020</v>
      </c>
      <c r="G418" s="53"/>
      <c r="H418" s="53"/>
      <c r="I418" s="53"/>
      <c r="J418" s="53"/>
      <c r="K418" s="53"/>
    </row>
    <row r="419" spans="2:11" ht="15.75">
      <c r="B419" s="53" t="s">
        <v>2990</v>
      </c>
      <c r="C419" s="764">
        <v>90</v>
      </c>
      <c r="D419" s="53"/>
      <c r="E419" s="53"/>
      <c r="F419" s="53"/>
      <c r="G419" s="53"/>
      <c r="H419" s="53"/>
      <c r="I419" s="53"/>
      <c r="J419" s="53"/>
      <c r="K419" s="53"/>
    </row>
    <row r="420" spans="2:11" ht="15.75">
      <c r="B420" s="53" t="s">
        <v>1156</v>
      </c>
      <c r="C420" s="630">
        <v>859</v>
      </c>
      <c r="D420" s="53"/>
      <c r="E420" s="53"/>
      <c r="F420" s="53"/>
      <c r="G420" s="53"/>
      <c r="H420" s="53"/>
      <c r="I420" s="53"/>
      <c r="J420" s="53"/>
      <c r="K420" s="53"/>
    </row>
    <row r="421" spans="2:11" ht="15.75">
      <c r="B421" s="53" t="s">
        <v>2991</v>
      </c>
      <c r="C421" s="630">
        <f>C419*C420</f>
        <v>77310</v>
      </c>
      <c r="D421" s="53"/>
      <c r="E421" s="53"/>
      <c r="F421" s="53"/>
      <c r="G421" s="53"/>
      <c r="H421" s="53"/>
      <c r="I421" s="53"/>
      <c r="J421" s="53"/>
      <c r="K421" s="53"/>
    </row>
    <row r="422" spans="2:11" ht="15.75">
      <c r="B422" s="53"/>
      <c r="C422" s="53"/>
      <c r="D422" s="53"/>
      <c r="E422" s="53"/>
      <c r="F422" s="53"/>
      <c r="G422" s="53"/>
      <c r="H422" s="53"/>
      <c r="I422" s="53"/>
      <c r="J422" s="53"/>
      <c r="K422" s="53"/>
    </row>
    <row r="423" spans="2:11" ht="15.75">
      <c r="B423" s="53" t="s">
        <v>2983</v>
      </c>
      <c r="C423" s="764">
        <v>6800</v>
      </c>
      <c r="D423" s="53"/>
      <c r="E423" s="53"/>
      <c r="F423" s="53"/>
      <c r="G423" s="53"/>
      <c r="H423" s="53"/>
      <c r="I423" s="53"/>
      <c r="J423" s="53"/>
      <c r="K423" s="53"/>
    </row>
    <row r="424" spans="2:11" ht="15.75">
      <c r="B424" s="53" t="s">
        <v>1668</v>
      </c>
      <c r="C424" s="54">
        <f>C419/C423-1</f>
        <v>-0.98676470588235299</v>
      </c>
      <c r="D424" s="53"/>
      <c r="E424" s="53"/>
      <c r="F424" s="53"/>
      <c r="G424" s="53"/>
      <c r="H424" s="53"/>
      <c r="I424" s="53"/>
      <c r="J424" s="53"/>
      <c r="K424" s="53"/>
    </row>
    <row r="425" spans="2:11" ht="15.75">
      <c r="B425" s="53"/>
      <c r="C425" s="53"/>
      <c r="D425" s="53"/>
      <c r="E425" s="53"/>
      <c r="F425" s="53"/>
      <c r="G425" s="53"/>
      <c r="H425" s="53"/>
      <c r="I425" s="53"/>
      <c r="J425" s="53"/>
      <c r="K425" s="53"/>
    </row>
    <row r="426" spans="2:11" ht="15.75">
      <c r="B426" s="53" t="s">
        <v>2992</v>
      </c>
      <c r="C426" s="621">
        <v>18</v>
      </c>
      <c r="D426" s="53"/>
      <c r="E426" s="53"/>
      <c r="F426" s="53"/>
      <c r="G426" s="53"/>
      <c r="H426" s="53"/>
      <c r="I426" s="53"/>
      <c r="J426" s="53"/>
      <c r="K426" s="53"/>
    </row>
    <row r="427" spans="2:11" ht="15.75">
      <c r="B427" s="53"/>
      <c r="C427" s="53"/>
      <c r="D427" s="53"/>
      <c r="E427" s="53"/>
      <c r="F427" s="53"/>
      <c r="G427" s="53"/>
      <c r="H427" s="53"/>
      <c r="I427" s="53"/>
      <c r="J427" s="53"/>
      <c r="K427" s="53"/>
    </row>
    <row r="428" spans="2:11" ht="15.75">
      <c r="B428" s="53" t="s">
        <v>2993</v>
      </c>
      <c r="C428" s="53"/>
      <c r="D428" s="53"/>
      <c r="E428" s="53"/>
      <c r="F428" s="53"/>
      <c r="G428" s="53"/>
      <c r="H428" s="53"/>
      <c r="I428" s="53"/>
      <c r="J428" s="53"/>
      <c r="K428" s="53"/>
    </row>
    <row r="429" spans="2:11" ht="15.75">
      <c r="B429" s="53" t="s">
        <v>332</v>
      </c>
      <c r="C429" s="630">
        <f>C421/C426</f>
        <v>4295</v>
      </c>
      <c r="D429" s="630">
        <f>C429</f>
        <v>4295</v>
      </c>
      <c r="E429" s="630">
        <f>D429</f>
        <v>4295</v>
      </c>
      <c r="F429" s="630">
        <f>E429</f>
        <v>4295</v>
      </c>
      <c r="G429" s="53"/>
      <c r="H429" s="53"/>
      <c r="I429" s="53"/>
      <c r="J429" s="53"/>
      <c r="K429" s="53"/>
    </row>
    <row r="430" spans="2:11" ht="15.75">
      <c r="B430" s="53" t="s">
        <v>115</v>
      </c>
      <c r="C430" s="630">
        <f t="shared" ref="C430:F433" si="18">H430/$C$426</f>
        <v>38.833791117180262</v>
      </c>
      <c r="D430" s="630">
        <f t="shared" si="18"/>
        <v>-11.850766568497988</v>
      </c>
      <c r="E430" s="630">
        <f t="shared" si="18"/>
        <v>-78.190450465019921</v>
      </c>
      <c r="F430" s="630">
        <f t="shared" si="18"/>
        <v>-163.78652521220684</v>
      </c>
      <c r="G430" s="53"/>
      <c r="H430" s="764">
        <v>699.00824010924475</v>
      </c>
      <c r="I430" s="764">
        <v>-213.31379823296379</v>
      </c>
      <c r="J430" s="764">
        <v>-1407.4281083703586</v>
      </c>
      <c r="K430" s="764">
        <v>-2948.1574538197233</v>
      </c>
    </row>
    <row r="431" spans="2:11" ht="15.75">
      <c r="B431" s="53" t="s">
        <v>1662</v>
      </c>
      <c r="C431" s="630">
        <f t="shared" si="18"/>
        <v>-50</v>
      </c>
      <c r="D431" s="630">
        <f t="shared" si="18"/>
        <v>-50</v>
      </c>
      <c r="E431" s="630">
        <f t="shared" si="18"/>
        <v>-50</v>
      </c>
      <c r="F431" s="630">
        <f t="shared" si="18"/>
        <v>-50</v>
      </c>
      <c r="G431" s="53"/>
      <c r="H431" s="764">
        <v>-900</v>
      </c>
      <c r="I431" s="764">
        <v>-900</v>
      </c>
      <c r="J431" s="764">
        <v>-900</v>
      </c>
      <c r="K431" s="764">
        <v>-900</v>
      </c>
    </row>
    <row r="432" spans="2:11" ht="15.75">
      <c r="B432" s="53" t="s">
        <v>216</v>
      </c>
      <c r="C432" s="630">
        <f t="shared" si="18"/>
        <v>0</v>
      </c>
      <c r="D432" s="630">
        <f t="shared" si="18"/>
        <v>0</v>
      </c>
      <c r="E432" s="630">
        <f t="shared" si="18"/>
        <v>0</v>
      </c>
      <c r="F432" s="630">
        <f t="shared" si="18"/>
        <v>0</v>
      </c>
      <c r="G432" s="53"/>
      <c r="H432" s="764">
        <v>0</v>
      </c>
      <c r="I432" s="764">
        <v>0</v>
      </c>
      <c r="J432" s="764">
        <v>0</v>
      </c>
      <c r="K432" s="764">
        <v>0</v>
      </c>
    </row>
    <row r="433" spans="2:11" ht="15.75">
      <c r="B433" s="50" t="s">
        <v>1663</v>
      </c>
      <c r="C433" s="632">
        <f t="shared" si="18"/>
        <v>242.33615025449697</v>
      </c>
      <c r="D433" s="632">
        <f t="shared" si="18"/>
        <v>242.33615025449697</v>
      </c>
      <c r="E433" s="632">
        <f t="shared" si="18"/>
        <v>242.33615025449697</v>
      </c>
      <c r="F433" s="632">
        <f t="shared" si="18"/>
        <v>242.33615025449697</v>
      </c>
      <c r="G433" s="53"/>
      <c r="H433" s="765">
        <v>4362.0507045809454</v>
      </c>
      <c r="I433" s="765">
        <v>4362.0507045809454</v>
      </c>
      <c r="J433" s="765">
        <v>4362.0507045809454</v>
      </c>
      <c r="K433" s="765">
        <v>4362.0507045809454</v>
      </c>
    </row>
    <row r="434" spans="2:11" ht="15.75">
      <c r="B434" s="53" t="s">
        <v>331</v>
      </c>
      <c r="C434" s="630">
        <f>SUM(C429:C433)</f>
        <v>4526.1699413716769</v>
      </c>
      <c r="D434" s="630">
        <f>SUM(D429:D433)</f>
        <v>4475.4853836859984</v>
      </c>
      <c r="E434" s="630">
        <f>SUM(E429:E433)</f>
        <v>4409.1456997894766</v>
      </c>
      <c r="F434" s="630">
        <f>SUM(F429:F433)</f>
        <v>4323.5496250422902</v>
      </c>
      <c r="G434" s="53"/>
      <c r="H434" s="630">
        <f>SUM(H429:H433)</f>
        <v>4161.0589446901904</v>
      </c>
      <c r="I434" s="630">
        <f>SUM(I429:I433)</f>
        <v>3248.7369063479819</v>
      </c>
      <c r="J434" s="630">
        <f>SUM(J429:J433)</f>
        <v>2054.6225962105868</v>
      </c>
      <c r="K434" s="630">
        <f>SUM(K429:K433)</f>
        <v>513.89325076122213</v>
      </c>
    </row>
    <row r="435" spans="2:11" ht="16.5" thickBot="1">
      <c r="B435" s="53" t="s">
        <v>8</v>
      </c>
      <c r="C435" s="630">
        <f>H435/$C$426</f>
        <v>421.20470749246203</v>
      </c>
      <c r="D435" s="630">
        <f>I435/$C$426</f>
        <v>454.58466678970603</v>
      </c>
      <c r="E435" s="630">
        <f>J435/$C$426</f>
        <v>492.84713687383686</v>
      </c>
      <c r="F435" s="630">
        <f>K435/$C$426</f>
        <v>536.51929398957998</v>
      </c>
      <c r="G435" s="766">
        <v>2112.0752451807857</v>
      </c>
      <c r="H435" s="764">
        <v>7581.6847348643169</v>
      </c>
      <c r="I435" s="764">
        <v>8182.5240022147091</v>
      </c>
      <c r="J435" s="764">
        <v>8871.2484637290636</v>
      </c>
      <c r="K435" s="764">
        <v>9657.3472918124389</v>
      </c>
    </row>
    <row r="436" spans="2:11" ht="16.5" thickBot="1">
      <c r="B436" s="53" t="s">
        <v>1667</v>
      </c>
      <c r="C436" s="639">
        <f>C434/C435</f>
        <v>10.745772449498746</v>
      </c>
      <c r="D436" s="767">
        <f>D434/D435</f>
        <v>9.8452185272592754</v>
      </c>
      <c r="E436" s="639">
        <f>E434/E435</f>
        <v>8.9462743514287002</v>
      </c>
      <c r="F436" s="639">
        <f>F434/F435</f>
        <v>8.0585165780193915</v>
      </c>
      <c r="G436" s="53"/>
      <c r="H436" s="53"/>
      <c r="I436" s="53"/>
      <c r="J436" s="53"/>
      <c r="K436" s="53"/>
    </row>
    <row r="437" spans="2:11" ht="16.5" thickBot="1">
      <c r="B437" s="53"/>
      <c r="C437" s="630"/>
      <c r="D437" s="53"/>
      <c r="E437" s="53"/>
      <c r="F437" s="53"/>
      <c r="G437" s="53"/>
      <c r="H437" s="53"/>
      <c r="I437" s="53"/>
      <c r="J437" s="53"/>
      <c r="K437" s="53"/>
    </row>
    <row r="438" spans="2:11" ht="16.5" thickBot="1">
      <c r="B438" s="53" t="s">
        <v>1665</v>
      </c>
      <c r="C438" s="768">
        <f>C333</f>
        <v>0</v>
      </c>
      <c r="D438" s="53"/>
      <c r="E438" s="53"/>
      <c r="F438" s="53"/>
      <c r="G438" s="53"/>
      <c r="H438" s="53"/>
      <c r="I438" s="53"/>
      <c r="J438" s="53"/>
      <c r="K438" s="53"/>
    </row>
    <row r="439" spans="2:11" ht="15.75">
      <c r="B439" s="53" t="s">
        <v>1666</v>
      </c>
      <c r="C439" s="54">
        <f>100%-C438</f>
        <v>1</v>
      </c>
      <c r="D439" s="53"/>
      <c r="E439" s="53"/>
      <c r="F439" s="53"/>
      <c r="G439" s="53"/>
      <c r="H439" s="53"/>
      <c r="I439" s="53"/>
      <c r="J439" s="53"/>
      <c r="K439" s="53"/>
    </row>
    <row r="440" spans="2:11" ht="15.75">
      <c r="B440" s="53" t="s">
        <v>707</v>
      </c>
      <c r="C440" s="630">
        <f>C438*C429</f>
        <v>0</v>
      </c>
      <c r="D440" s="53"/>
      <c r="E440" s="53"/>
      <c r="F440" s="53"/>
      <c r="G440" s="53"/>
      <c r="H440" s="53"/>
      <c r="I440" s="53"/>
      <c r="J440" s="53"/>
      <c r="K440" s="53"/>
    </row>
    <row r="441" spans="2:11" ht="16.5" thickBot="1">
      <c r="B441" s="53" t="s">
        <v>1676</v>
      </c>
      <c r="C441" s="630">
        <f>C439*C429</f>
        <v>4295</v>
      </c>
      <c r="D441" s="53"/>
      <c r="E441" s="53"/>
      <c r="F441" s="53"/>
      <c r="G441" s="53"/>
      <c r="H441" s="53"/>
      <c r="I441" s="53"/>
      <c r="J441" s="53"/>
      <c r="K441" s="53"/>
    </row>
    <row r="442" spans="2:11" ht="16.5" thickBot="1">
      <c r="B442" s="53" t="s">
        <v>1949</v>
      </c>
      <c r="C442" s="769">
        <v>35</v>
      </c>
      <c r="D442" s="53"/>
      <c r="E442" s="53"/>
      <c r="F442" s="53"/>
      <c r="G442" s="53"/>
      <c r="H442" s="53"/>
      <c r="I442" s="53"/>
      <c r="J442" s="53"/>
      <c r="K442" s="53"/>
    </row>
    <row r="443" spans="2:11" ht="15.75">
      <c r="B443" s="53" t="s">
        <v>1950</v>
      </c>
      <c r="C443" s="630">
        <f>C441/C442</f>
        <v>122.71428571428571</v>
      </c>
      <c r="D443" s="53"/>
      <c r="E443" s="53"/>
      <c r="F443" s="53"/>
      <c r="G443" s="53"/>
      <c r="H443" s="53"/>
      <c r="I443" s="53"/>
      <c r="J443" s="53"/>
      <c r="K443" s="53"/>
    </row>
    <row r="444" spans="2:11" ht="15.75">
      <c r="B444" s="53"/>
      <c r="C444" s="630"/>
      <c r="D444" s="53"/>
      <c r="E444" s="53"/>
      <c r="F444" s="53"/>
      <c r="G444" s="53"/>
      <c r="H444" s="53"/>
      <c r="I444" s="53"/>
      <c r="J444" s="53"/>
      <c r="K444" s="53"/>
    </row>
    <row r="445" spans="2:11" ht="15.75">
      <c r="B445" s="53" t="s">
        <v>929</v>
      </c>
      <c r="C445" s="752">
        <f>C340</f>
        <v>6.5000000000000002E-2</v>
      </c>
      <c r="D445" s="53"/>
      <c r="E445" s="53"/>
      <c r="F445" s="53"/>
      <c r="G445" s="53"/>
      <c r="H445" s="53"/>
      <c r="I445" s="53"/>
      <c r="J445" s="53"/>
      <c r="K445" s="53"/>
    </row>
    <row r="446" spans="2:11" ht="15.75">
      <c r="B446" s="53" t="s">
        <v>152</v>
      </c>
      <c r="C446" s="481"/>
      <c r="D446" s="481">
        <f>C445*C440</f>
        <v>0</v>
      </c>
      <c r="E446" s="481">
        <f>D446</f>
        <v>0</v>
      </c>
      <c r="F446" s="481">
        <f>E446</f>
        <v>0</v>
      </c>
      <c r="G446" s="53"/>
      <c r="H446" s="53"/>
      <c r="I446" s="53"/>
      <c r="J446" s="53"/>
      <c r="K446" s="53"/>
    </row>
    <row r="447" spans="2:11" ht="15.75">
      <c r="B447" s="53" t="s">
        <v>1664</v>
      </c>
      <c r="C447" s="481"/>
      <c r="D447" s="481">
        <f>C447+D446</f>
        <v>0</v>
      </c>
      <c r="E447" s="481">
        <f>D447+E446</f>
        <v>0</v>
      </c>
      <c r="F447" s="481">
        <f>E447+F446</f>
        <v>0</v>
      </c>
      <c r="G447" s="53"/>
      <c r="H447" s="53"/>
      <c r="I447" s="53"/>
      <c r="J447" s="53"/>
      <c r="K447" s="53"/>
    </row>
    <row r="448" spans="2:11" ht="15.75">
      <c r="B448" s="53"/>
      <c r="C448" s="630"/>
      <c r="D448" s="53"/>
      <c r="E448" s="53"/>
      <c r="F448" s="53"/>
      <c r="G448" s="53"/>
      <c r="H448" s="53"/>
      <c r="I448" s="53"/>
      <c r="J448" s="53"/>
      <c r="K448" s="53"/>
    </row>
    <row r="449" spans="2:11" ht="15.75">
      <c r="B449" s="53" t="s">
        <v>1680</v>
      </c>
      <c r="C449" s="54">
        <f>C441/Valuation!$G$8</f>
        <v>3.6565489941808518</v>
      </c>
      <c r="D449" s="53"/>
      <c r="E449" s="53"/>
      <c r="F449" s="53"/>
      <c r="G449" s="53"/>
      <c r="H449" s="53"/>
      <c r="I449" s="53"/>
      <c r="J449" s="53"/>
      <c r="K449" s="53"/>
    </row>
    <row r="450" spans="2:11" ht="15.75">
      <c r="B450" s="53"/>
      <c r="C450" s="630"/>
      <c r="D450" s="53"/>
      <c r="E450" s="53"/>
      <c r="F450" s="53"/>
      <c r="G450" s="53"/>
      <c r="H450" s="53"/>
      <c r="I450" s="53"/>
      <c r="J450" s="53"/>
      <c r="K450" s="53"/>
    </row>
    <row r="451" spans="2:11" ht="15.75">
      <c r="B451" s="53" t="s">
        <v>1674</v>
      </c>
      <c r="C451" s="630">
        <f>Valuation!H82</f>
        <v>0</v>
      </c>
      <c r="D451" s="630">
        <f>Valuation!I82</f>
        <v>5762.3600000000006</v>
      </c>
      <c r="E451" s="630">
        <f>Valuation!J82</f>
        <v>6037.64</v>
      </c>
      <c r="F451" s="630">
        <f>Valuation!K82</f>
        <v>7205.4250000000011</v>
      </c>
      <c r="G451" s="53"/>
      <c r="H451" s="53"/>
      <c r="I451" s="53"/>
      <c r="J451" s="53"/>
      <c r="K451" s="53"/>
    </row>
    <row r="452" spans="2:11" ht="15.75">
      <c r="B452" s="53" t="s">
        <v>1675</v>
      </c>
      <c r="C452" s="630">
        <f>$C$440</f>
        <v>0</v>
      </c>
      <c r="D452" s="630">
        <f>C452</f>
        <v>0</v>
      </c>
      <c r="E452" s="630">
        <f>D452</f>
        <v>0</v>
      </c>
      <c r="F452" s="630">
        <f>E452</f>
        <v>0</v>
      </c>
      <c r="G452" s="53"/>
      <c r="H452" s="53"/>
      <c r="I452" s="53"/>
      <c r="J452" s="53"/>
      <c r="K452" s="53"/>
    </row>
    <row r="453" spans="2:11" ht="15.75">
      <c r="B453" s="53" t="s">
        <v>1664</v>
      </c>
      <c r="C453" s="53"/>
      <c r="D453" s="481">
        <f>D447</f>
        <v>0</v>
      </c>
      <c r="E453" s="481">
        <f>E447</f>
        <v>0</v>
      </c>
      <c r="F453" s="481">
        <f>F447</f>
        <v>0</v>
      </c>
      <c r="G453" s="53"/>
      <c r="H453" s="53"/>
      <c r="I453" s="53"/>
      <c r="J453" s="53"/>
      <c r="K453" s="53"/>
    </row>
    <row r="454" spans="2:11" ht="15.75">
      <c r="B454" s="50" t="s">
        <v>2995</v>
      </c>
      <c r="C454" s="50"/>
      <c r="D454" s="632">
        <f>D430</f>
        <v>-11.850766568497988</v>
      </c>
      <c r="E454" s="632">
        <f>E430</f>
        <v>-78.190450465019921</v>
      </c>
      <c r="F454" s="632">
        <f>F430</f>
        <v>-163.78652521220684</v>
      </c>
      <c r="G454" s="53"/>
      <c r="H454" s="53"/>
      <c r="I454" s="53"/>
      <c r="J454" s="53"/>
      <c r="K454" s="53"/>
    </row>
    <row r="455" spans="2:11" ht="15.75">
      <c r="B455" s="53" t="s">
        <v>1670</v>
      </c>
      <c r="C455" s="53"/>
      <c r="D455" s="630">
        <f>SUM(D451:D454)</f>
        <v>5750.5092334315023</v>
      </c>
      <c r="E455" s="630">
        <f>SUM(E451:E454)</f>
        <v>5959.4495495349802</v>
      </c>
      <c r="F455" s="630">
        <f>SUM(F451:F454)</f>
        <v>7041.6384747877946</v>
      </c>
      <c r="G455" s="53"/>
      <c r="H455" s="53"/>
      <c r="I455" s="53"/>
      <c r="J455" s="53"/>
      <c r="K455" s="53"/>
    </row>
    <row r="456" spans="2:11" ht="16.5" thickBot="1">
      <c r="B456" s="53"/>
      <c r="C456" s="53"/>
      <c r="D456" s="53"/>
      <c r="E456" s="53"/>
      <c r="F456" s="53"/>
      <c r="G456" s="53"/>
      <c r="H456" s="53"/>
      <c r="I456" s="53"/>
      <c r="J456" s="53"/>
      <c r="K456" s="53"/>
    </row>
    <row r="457" spans="2:11" ht="15.75">
      <c r="B457" s="50" t="s">
        <v>44</v>
      </c>
      <c r="C457" s="50">
        <f>C418</f>
        <v>2017</v>
      </c>
      <c r="D457" s="50">
        <f>D418</f>
        <v>2018</v>
      </c>
      <c r="E457" s="50">
        <f>E418</f>
        <v>2019</v>
      </c>
      <c r="F457" s="50">
        <f>F418</f>
        <v>2020</v>
      </c>
      <c r="G457" s="770" t="s">
        <v>1681</v>
      </c>
      <c r="H457" s="53"/>
      <c r="I457" s="53"/>
      <c r="J457" s="53"/>
      <c r="K457" s="53"/>
    </row>
    <row r="458" spans="2:11" ht="15.75">
      <c r="B458" s="53" t="s">
        <v>1671</v>
      </c>
      <c r="C458" s="630">
        <f>Master!I84</f>
        <v>0</v>
      </c>
      <c r="D458" s="630" t="e">
        <f>Master!#REF!</f>
        <v>#REF!</v>
      </c>
      <c r="E458" s="630">
        <f>Master!K84</f>
        <v>1328.2097159999998</v>
      </c>
      <c r="F458" s="630">
        <f>Master!L84</f>
        <v>1336.9684400000001</v>
      </c>
      <c r="G458" s="771" t="e">
        <f>(F458/C458)^(1/3)-1</f>
        <v>#DIV/0!</v>
      </c>
      <c r="H458" s="53"/>
      <c r="I458" s="53"/>
      <c r="J458" s="53"/>
      <c r="K458" s="53"/>
    </row>
    <row r="459" spans="2:11" ht="15.75">
      <c r="B459" s="50" t="s">
        <v>2996</v>
      </c>
      <c r="C459" s="632">
        <f>C435</f>
        <v>421.20470749246203</v>
      </c>
      <c r="D459" s="632">
        <f>D435</f>
        <v>454.58466678970603</v>
      </c>
      <c r="E459" s="632">
        <f>E435</f>
        <v>492.84713687383686</v>
      </c>
      <c r="F459" s="632">
        <f>F435</f>
        <v>536.51929398957998</v>
      </c>
      <c r="G459" s="772">
        <f>(F459/C459)^(1/3)-1</f>
        <v>8.4003562208148752E-2</v>
      </c>
      <c r="H459" s="53"/>
      <c r="I459" s="53"/>
      <c r="J459" s="53"/>
      <c r="K459" s="53"/>
    </row>
    <row r="460" spans="2:11" ht="16.5" thickBot="1">
      <c r="B460" s="53" t="s">
        <v>1673</v>
      </c>
      <c r="C460" s="630">
        <f>C458+C459</f>
        <v>421.20470749246203</v>
      </c>
      <c r="D460" s="630" t="e">
        <f>D458+D459</f>
        <v>#REF!</v>
      </c>
      <c r="E460" s="630">
        <f>E458+E459</f>
        <v>1821.0568528738368</v>
      </c>
      <c r="F460" s="630">
        <f>F458+F459</f>
        <v>1873.4877339895802</v>
      </c>
      <c r="G460" s="773">
        <f>(F460/C460)^(1/3)-1</f>
        <v>0.64457069012224433</v>
      </c>
      <c r="H460" s="53"/>
      <c r="I460" s="53"/>
      <c r="J460" s="53"/>
      <c r="K460" s="53"/>
    </row>
    <row r="461" spans="2:11" ht="15.75">
      <c r="B461" s="53"/>
      <c r="C461" s="53"/>
      <c r="D461" s="53"/>
      <c r="E461" s="53"/>
      <c r="F461" s="53"/>
      <c r="G461" s="53"/>
      <c r="H461" s="53"/>
      <c r="I461" s="53"/>
      <c r="J461" s="53"/>
      <c r="K461" s="53"/>
    </row>
    <row r="462" spans="2:11" ht="15.75">
      <c r="B462" s="620">
        <f>C439</f>
        <v>1</v>
      </c>
      <c r="C462" s="53"/>
      <c r="D462" s="53"/>
      <c r="E462" s="53"/>
      <c r="F462" s="53"/>
      <c r="G462" s="53"/>
      <c r="H462" s="53"/>
      <c r="I462" s="53"/>
      <c r="J462" s="53"/>
      <c r="K462" s="53"/>
    </row>
    <row r="463" spans="2:11" ht="15.75">
      <c r="B463" s="50" t="s">
        <v>2854</v>
      </c>
      <c r="C463" s="50">
        <f>C418</f>
        <v>2017</v>
      </c>
      <c r="D463" s="50">
        <f>D418</f>
        <v>2018</v>
      </c>
      <c r="E463" s="50">
        <f>E418</f>
        <v>2019</v>
      </c>
      <c r="F463" s="50">
        <f>F418</f>
        <v>2020</v>
      </c>
      <c r="G463" s="53"/>
      <c r="H463" s="53"/>
      <c r="I463" s="53"/>
      <c r="J463" s="53"/>
      <c r="K463" s="53"/>
    </row>
    <row r="464" spans="2:11" ht="15.75">
      <c r="B464" s="53" t="s">
        <v>2856</v>
      </c>
      <c r="C464" s="621">
        <f>Valuation!H85</f>
        <v>0</v>
      </c>
      <c r="D464" s="621">
        <f>Valuation!I85</f>
        <v>4.6296813270536745</v>
      </c>
      <c r="E464" s="621">
        <f>Valuation!J85</f>
        <v>4.545697812076539</v>
      </c>
      <c r="F464" s="621">
        <f>Valuation!K85</f>
        <v>4.5001979970326556</v>
      </c>
      <c r="G464" s="53"/>
      <c r="H464" s="53"/>
      <c r="I464" s="53"/>
      <c r="J464" s="53"/>
      <c r="K464" s="53"/>
    </row>
    <row r="465" spans="2:11" ht="15.75">
      <c r="B465" s="53" t="s">
        <v>2857</v>
      </c>
      <c r="C465" s="53"/>
      <c r="D465" s="621" t="e">
        <f>D455/D460</f>
        <v>#REF!</v>
      </c>
      <c r="E465" s="621">
        <f>E455/E460</f>
        <v>3.2725225135779175</v>
      </c>
      <c r="F465" s="621">
        <f>F455/F460</f>
        <v>3.7585719655568122</v>
      </c>
      <c r="G465" s="53"/>
      <c r="H465" s="53"/>
      <c r="I465" s="53"/>
      <c r="J465" s="53"/>
      <c r="K465" s="53"/>
    </row>
    <row r="466" spans="2:11" ht="15.75">
      <c r="B466" s="53"/>
      <c r="C466" s="53"/>
      <c r="D466" s="53"/>
      <c r="E466" s="53"/>
      <c r="F466" s="53"/>
      <c r="G466" s="58"/>
      <c r="H466" s="53"/>
      <c r="I466" s="53"/>
      <c r="J466" s="53"/>
      <c r="K466" s="53"/>
    </row>
    <row r="467" spans="2:11" ht="15.75">
      <c r="B467" s="50" t="s">
        <v>325</v>
      </c>
      <c r="C467" s="50">
        <v>2017</v>
      </c>
      <c r="D467" s="50">
        <f>C467+1</f>
        <v>2018</v>
      </c>
      <c r="E467" s="50">
        <f>D467+1</f>
        <v>2019</v>
      </c>
      <c r="F467" s="50">
        <f>E467+1</f>
        <v>2020</v>
      </c>
      <c r="G467" s="53"/>
      <c r="H467" s="53"/>
      <c r="I467" s="53"/>
      <c r="J467" s="53"/>
      <c r="K467" s="53"/>
    </row>
    <row r="468" spans="2:11" ht="15.75">
      <c r="B468" s="53" t="s">
        <v>2997</v>
      </c>
      <c r="C468" s="630">
        <f>H468/$C$426</f>
        <v>92.499723865341537</v>
      </c>
      <c r="D468" s="630">
        <f>I468/$C$426</f>
        <v>119.59109051204531</v>
      </c>
      <c r="E468" s="630">
        <f>J468/$C$426</f>
        <v>140.4870858498663</v>
      </c>
      <c r="F468" s="630">
        <f>K468/$C$426</f>
        <v>169.62421901966584</v>
      </c>
      <c r="G468" s="53"/>
      <c r="H468" s="749">
        <v>1664.9950295761478</v>
      </c>
      <c r="I468" s="749">
        <v>2152.6396292168156</v>
      </c>
      <c r="J468" s="749">
        <v>2528.7675452975936</v>
      </c>
      <c r="K468" s="749">
        <v>3053.2359423539851</v>
      </c>
    </row>
    <row r="469" spans="2:11" ht="15.75">
      <c r="B469" s="53"/>
      <c r="C469" s="53"/>
      <c r="D469" s="53"/>
      <c r="E469" s="53"/>
      <c r="F469" s="53"/>
      <c r="G469" s="53"/>
      <c r="H469" s="53"/>
      <c r="I469" s="53"/>
      <c r="J469" s="53"/>
      <c r="K469" s="53"/>
    </row>
    <row r="470" spans="2:11" ht="15.75">
      <c r="B470" s="53" t="s">
        <v>1947</v>
      </c>
      <c r="C470" s="630">
        <f>Valuation!H28</f>
        <v>93.865019728729806</v>
      </c>
      <c r="D470" s="630">
        <f>Valuation!I28</f>
        <v>78.306080118971721</v>
      </c>
      <c r="E470" s="630">
        <f>Valuation!J28</f>
        <v>142.40066666666672</v>
      </c>
      <c r="F470" s="630">
        <f>Valuation!K28</f>
        <v>196.00200000000001</v>
      </c>
      <c r="G470" s="53"/>
      <c r="H470" s="630">
        <v>91.141999041367143</v>
      </c>
      <c r="I470" s="630">
        <v>289.89467227852333</v>
      </c>
      <c r="J470" s="630">
        <v>379.56195126771263</v>
      </c>
      <c r="K470" s="630">
        <v>430.34630235242696</v>
      </c>
    </row>
    <row r="471" spans="2:11" ht="15.75">
      <c r="B471" s="53" t="s">
        <v>1064</v>
      </c>
      <c r="C471" s="630">
        <f>Valuation!H5</f>
        <v>171.21257300000002</v>
      </c>
      <c r="D471" s="630">
        <f>Valuation!I5</f>
        <v>180.983</v>
      </c>
      <c r="E471" s="630">
        <f>Valuation!J5</f>
        <v>181.92400000000001</v>
      </c>
      <c r="F471" s="630">
        <f>Valuation!K5</f>
        <v>232.03</v>
      </c>
      <c r="G471" s="53"/>
      <c r="H471" s="630">
        <v>168.73599999999999</v>
      </c>
      <c r="I471" s="630">
        <v>164.73599999999999</v>
      </c>
      <c r="J471" s="630">
        <v>160.73599999999999</v>
      </c>
      <c r="K471" s="630">
        <v>152.73599999999999</v>
      </c>
    </row>
    <row r="472" spans="2:11" ht="15.75">
      <c r="B472" s="53" t="s">
        <v>1948</v>
      </c>
      <c r="C472" s="621">
        <f>C470/C471</f>
        <v>0.54823672166138049</v>
      </c>
      <c r="D472" s="621">
        <f>D470/D471</f>
        <v>0.43267091450010065</v>
      </c>
      <c r="E472" s="621">
        <f>E470/E471</f>
        <v>0.78274810726823685</v>
      </c>
      <c r="F472" s="621">
        <f>F470/F471</f>
        <v>0.84472697496013449</v>
      </c>
      <c r="G472" s="53"/>
      <c r="H472" s="621">
        <v>0.54014554713497509</v>
      </c>
      <c r="I472" s="621">
        <v>1.7597530125687364</v>
      </c>
      <c r="J472" s="621">
        <v>2.361399756543106</v>
      </c>
      <c r="K472" s="621">
        <v>2.8175826416327978</v>
      </c>
    </row>
    <row r="473" spans="2:11" ht="15.75">
      <c r="B473" s="53"/>
      <c r="C473" s="53"/>
      <c r="D473" s="53"/>
      <c r="E473" s="53"/>
      <c r="F473" s="53"/>
      <c r="G473" s="53"/>
      <c r="H473" s="53"/>
      <c r="I473" s="53"/>
      <c r="J473" s="53"/>
      <c r="K473" s="53"/>
    </row>
    <row r="474" spans="2:11" ht="15.75">
      <c r="B474" s="53" t="s">
        <v>1952</v>
      </c>
      <c r="C474" s="53"/>
      <c r="D474" s="481">
        <f>D446*(1-0.28)</f>
        <v>0</v>
      </c>
      <c r="E474" s="481">
        <f>E446*(1-0.28)</f>
        <v>0</v>
      </c>
      <c r="F474" s="481">
        <f>F446*(1-0.28)</f>
        <v>0</v>
      </c>
      <c r="G474" s="53"/>
      <c r="H474" s="53"/>
      <c r="I474" s="481">
        <v>144.55572289156626</v>
      </c>
      <c r="J474" s="481">
        <v>144.55572289156626</v>
      </c>
      <c r="K474" s="481">
        <v>144.55572289156626</v>
      </c>
    </row>
    <row r="475" spans="2:11" ht="15.75">
      <c r="B475" s="53" t="s">
        <v>2865</v>
      </c>
      <c r="C475" s="481"/>
      <c r="D475" s="481">
        <f>D468+D470-D474</f>
        <v>197.89717063101705</v>
      </c>
      <c r="E475" s="481">
        <f>E468+E470-E474</f>
        <v>282.88775251653306</v>
      </c>
      <c r="F475" s="481">
        <f>F468+F470-F474</f>
        <v>365.62621901966588</v>
      </c>
      <c r="G475" s="53"/>
      <c r="H475" s="481"/>
      <c r="I475" s="481">
        <v>102.15309562660701</v>
      </c>
      <c r="J475" s="481">
        <v>298.43282506220874</v>
      </c>
      <c r="K475" s="481">
        <v>416.36988568385027</v>
      </c>
    </row>
    <row r="476" spans="2:11" ht="15.75">
      <c r="B476" s="53" t="s">
        <v>2860</v>
      </c>
      <c r="C476" s="481"/>
      <c r="D476" s="481">
        <f>C443</f>
        <v>122.71428571428571</v>
      </c>
      <c r="E476" s="481">
        <f>D476</f>
        <v>122.71428571428571</v>
      </c>
      <c r="F476" s="481">
        <f>E476</f>
        <v>122.71428571428571</v>
      </c>
      <c r="G476" s="53"/>
      <c r="H476" s="481"/>
      <c r="I476" s="481">
        <v>0</v>
      </c>
      <c r="J476" s="481">
        <v>0</v>
      </c>
      <c r="K476" s="481">
        <v>0</v>
      </c>
    </row>
    <row r="477" spans="2:11" ht="15.75">
      <c r="B477" s="53" t="s">
        <v>2864</v>
      </c>
      <c r="C477" s="630"/>
      <c r="D477" s="630">
        <f>D471+D476</f>
        <v>303.69728571428573</v>
      </c>
      <c r="E477" s="630">
        <f>E471+E476</f>
        <v>304.6382857142857</v>
      </c>
      <c r="F477" s="630">
        <f>F471+F476</f>
        <v>354.7442857142857</v>
      </c>
      <c r="G477" s="53"/>
      <c r="H477" s="630"/>
      <c r="I477" s="630">
        <v>164.73599999999999</v>
      </c>
      <c r="J477" s="630">
        <v>160.73599999999999</v>
      </c>
      <c r="K477" s="630">
        <v>152.73599999999999</v>
      </c>
    </row>
    <row r="478" spans="2:11" ht="15.75">
      <c r="B478" s="53" t="s">
        <v>2863</v>
      </c>
      <c r="C478" s="639"/>
      <c r="D478" s="639">
        <f>D475/D477</f>
        <v>0.65162640543714312</v>
      </c>
      <c r="E478" s="639">
        <f>E475/E477</f>
        <v>0.92860210217256789</v>
      </c>
      <c r="F478" s="639">
        <f>F475/F477</f>
        <v>1.030675429439178</v>
      </c>
      <c r="G478" s="53"/>
      <c r="H478" s="639"/>
      <c r="I478" s="639">
        <v>0.62010183339772129</v>
      </c>
      <c r="J478" s="639">
        <v>1.8566644999390849</v>
      </c>
      <c r="K478" s="639">
        <v>2.7260756186089088</v>
      </c>
    </row>
    <row r="479" spans="2:11" ht="15.75">
      <c r="B479" s="53" t="s">
        <v>2858</v>
      </c>
      <c r="C479" s="639"/>
      <c r="D479" s="54">
        <f>D478/D472-1</f>
        <v>0.50605548836121628</v>
      </c>
      <c r="E479" s="54">
        <f>E478/E472-1</f>
        <v>0.18633580017632534</v>
      </c>
      <c r="F479" s="54">
        <f>F478/F472-1</f>
        <v>0.22012846752978277</v>
      </c>
      <c r="G479" s="53"/>
      <c r="H479" s="639"/>
      <c r="I479" s="54">
        <v>-0.64761996202379002</v>
      </c>
      <c r="J479" s="54">
        <v>-0.21374409614698686</v>
      </c>
      <c r="K479" s="54">
        <v>-3.2477138974301933E-2</v>
      </c>
    </row>
    <row r="480" spans="2:11" ht="15.75">
      <c r="B480" s="53"/>
      <c r="C480" s="53"/>
      <c r="D480" s="53"/>
      <c r="E480" s="53"/>
      <c r="F480" s="53"/>
      <c r="G480" s="53"/>
      <c r="H480" s="53"/>
      <c r="I480" s="53"/>
      <c r="J480" s="53"/>
      <c r="K480" s="53"/>
    </row>
    <row r="481" spans="2:11" ht="15.75">
      <c r="B481" s="53" t="s">
        <v>2861</v>
      </c>
      <c r="C481" s="53"/>
      <c r="D481" s="621">
        <f t="shared" ref="D481:F482" si="19">D464</f>
        <v>4.6296813270536745</v>
      </c>
      <c r="E481" s="621">
        <f t="shared" si="19"/>
        <v>4.545697812076539</v>
      </c>
      <c r="F481" s="621">
        <f t="shared" si="19"/>
        <v>4.5001979970326556</v>
      </c>
      <c r="G481" s="53"/>
      <c r="H481" s="53"/>
      <c r="I481" s="621">
        <v>3.8804931306140298</v>
      </c>
      <c r="J481" s="621">
        <v>3.4826550973032981</v>
      </c>
      <c r="K481" s="621">
        <v>3.2063585038212974</v>
      </c>
    </row>
    <row r="482" spans="2:11" ht="15.75">
      <c r="B482" s="53" t="s">
        <v>2862</v>
      </c>
      <c r="C482" s="53"/>
      <c r="D482" s="621" t="e">
        <f t="shared" si="19"/>
        <v>#REF!</v>
      </c>
      <c r="E482" s="621">
        <f t="shared" si="19"/>
        <v>3.2725225135779175</v>
      </c>
      <c r="F482" s="621">
        <f t="shared" si="19"/>
        <v>3.7585719655568122</v>
      </c>
      <c r="G482" s="53"/>
      <c r="H482" s="53"/>
      <c r="I482" s="621">
        <v>5.1580586988969364</v>
      </c>
      <c r="J482" s="621">
        <v>4.5944341664670452</v>
      </c>
      <c r="K482" s="621">
        <v>4.3189504794747897</v>
      </c>
    </row>
    <row r="483" spans="2:11" ht="15.75">
      <c r="B483" s="53"/>
      <c r="C483" s="53"/>
      <c r="D483" s="53"/>
      <c r="E483" s="53"/>
      <c r="F483" s="53"/>
      <c r="G483" s="53"/>
      <c r="H483" s="53"/>
      <c r="I483" s="53"/>
      <c r="J483" s="53"/>
      <c r="K483" s="53"/>
    </row>
    <row r="484" spans="2:11" ht="15.75">
      <c r="B484" s="50" t="s">
        <v>325</v>
      </c>
      <c r="C484" s="50">
        <f>D467</f>
        <v>2018</v>
      </c>
      <c r="D484" s="50">
        <f>E467</f>
        <v>2019</v>
      </c>
      <c r="E484" s="50">
        <f>F467</f>
        <v>2020</v>
      </c>
      <c r="F484" s="774"/>
      <c r="G484" s="53"/>
      <c r="H484" s="53"/>
      <c r="I484" s="53"/>
      <c r="J484" s="53"/>
      <c r="K484" s="53"/>
    </row>
    <row r="485" spans="2:11" ht="15.75">
      <c r="B485" s="53" t="s">
        <v>1959</v>
      </c>
      <c r="C485" s="630">
        <f>D470</f>
        <v>78.306080118971721</v>
      </c>
      <c r="D485" s="630">
        <f>E470</f>
        <v>142.40066666666672</v>
      </c>
      <c r="E485" s="630">
        <f>F470</f>
        <v>196.00200000000001</v>
      </c>
      <c r="F485" s="53"/>
      <c r="G485" s="53"/>
      <c r="H485" s="53"/>
      <c r="I485" s="53"/>
      <c r="J485" s="53"/>
      <c r="K485" s="53"/>
    </row>
    <row r="486" spans="2:11" ht="15.75">
      <c r="B486" s="53" t="s">
        <v>1956</v>
      </c>
      <c r="C486" s="630">
        <f>Valuation!I5</f>
        <v>180.983</v>
      </c>
      <c r="D486" s="630">
        <f>Valuation!J5</f>
        <v>181.92400000000001</v>
      </c>
      <c r="E486" s="630">
        <f>Valuation!K5</f>
        <v>232.03</v>
      </c>
      <c r="F486" s="53"/>
      <c r="G486" s="53"/>
      <c r="H486" s="53"/>
      <c r="I486" s="53"/>
      <c r="J486" s="53"/>
      <c r="K486" s="53"/>
    </row>
    <row r="487" spans="2:11" ht="15.75">
      <c r="B487" s="53" t="s">
        <v>1953</v>
      </c>
      <c r="C487" s="621">
        <f>C485/C486</f>
        <v>0.43267091450010065</v>
      </c>
      <c r="D487" s="621">
        <f>D485/D486</f>
        <v>0.78274810726823685</v>
      </c>
      <c r="E487" s="621">
        <f>E485/E486</f>
        <v>0.84472697496013449</v>
      </c>
      <c r="F487" s="53"/>
      <c r="G487" s="53"/>
      <c r="H487" s="53"/>
      <c r="I487" s="53"/>
      <c r="J487" s="53"/>
      <c r="K487" s="53"/>
    </row>
    <row r="488" spans="2:11" ht="15.75">
      <c r="B488" s="53" t="s">
        <v>855</v>
      </c>
      <c r="C488" s="56">
        <f>C487/Valuation!$B$2</f>
        <v>6.3628075661779512E-2</v>
      </c>
      <c r="D488" s="56">
        <f>D487/Valuation!$B$2</f>
        <v>0.11511001577474071</v>
      </c>
      <c r="E488" s="56">
        <f>E487/Valuation!$B$2</f>
        <v>0.12422455514119625</v>
      </c>
      <c r="F488" s="53"/>
      <c r="G488" s="53"/>
      <c r="H488" s="53"/>
      <c r="I488" s="53"/>
      <c r="J488" s="53"/>
      <c r="K488" s="53"/>
    </row>
    <row r="489" spans="2:11" ht="15.75">
      <c r="B489" s="53"/>
      <c r="C489" s="53"/>
      <c r="D489" s="621"/>
      <c r="E489" s="621"/>
      <c r="F489" s="621"/>
      <c r="G489" s="53"/>
      <c r="H489" s="53"/>
      <c r="I489" s="53"/>
      <c r="J489" s="53"/>
      <c r="K489" s="53"/>
    </row>
    <row r="490" spans="2:11" ht="15.75">
      <c r="B490" s="53" t="s">
        <v>2986</v>
      </c>
      <c r="C490" s="481">
        <f>D468</f>
        <v>119.59109051204531</v>
      </c>
      <c r="D490" s="481">
        <f>E468</f>
        <v>140.4870858498663</v>
      </c>
      <c r="E490" s="481">
        <f>F468</f>
        <v>169.62421901966584</v>
      </c>
      <c r="F490" s="621"/>
      <c r="G490" s="53"/>
      <c r="H490" s="53"/>
      <c r="I490" s="53"/>
      <c r="J490" s="53"/>
      <c r="K490" s="53"/>
    </row>
    <row r="491" spans="2:11" ht="15.75">
      <c r="B491" s="53" t="s">
        <v>1955</v>
      </c>
      <c r="C491" s="54">
        <f>C445</f>
        <v>6.5000000000000002E-2</v>
      </c>
      <c r="D491" s="481"/>
      <c r="E491" s="481"/>
      <c r="F491" s="621"/>
      <c r="G491" s="53"/>
      <c r="H491" s="53"/>
      <c r="I491" s="53"/>
      <c r="J491" s="53"/>
      <c r="K491" s="53"/>
    </row>
    <row r="492" spans="2:11" ht="15.75">
      <c r="B492" s="53" t="s">
        <v>1954</v>
      </c>
      <c r="C492" s="481">
        <f>D474</f>
        <v>0</v>
      </c>
      <c r="D492" s="481">
        <f>E474</f>
        <v>0</v>
      </c>
      <c r="E492" s="481">
        <f>F474</f>
        <v>0</v>
      </c>
      <c r="F492" s="621"/>
      <c r="G492" s="53"/>
      <c r="H492" s="53"/>
      <c r="I492" s="53"/>
      <c r="J492" s="53"/>
      <c r="K492" s="53"/>
    </row>
    <row r="493" spans="2:11" ht="15.75">
      <c r="B493" s="53" t="s">
        <v>2998</v>
      </c>
      <c r="C493" s="481">
        <f>C485+C490-C492</f>
        <v>197.89717063101705</v>
      </c>
      <c r="D493" s="481">
        <f>D485+D490-D492</f>
        <v>282.88775251653306</v>
      </c>
      <c r="E493" s="481">
        <f>E485+E490-E492</f>
        <v>365.62621901966588</v>
      </c>
      <c r="F493" s="621"/>
      <c r="G493" s="53"/>
      <c r="H493" s="53"/>
      <c r="I493" s="53"/>
      <c r="J493" s="53"/>
      <c r="K493" s="53"/>
    </row>
    <row r="494" spans="2:11" ht="15.75">
      <c r="B494" s="53" t="s">
        <v>2855</v>
      </c>
      <c r="C494" s="481">
        <f>C442</f>
        <v>35</v>
      </c>
      <c r="D494" s="481"/>
      <c r="E494" s="481"/>
      <c r="F494" s="621"/>
      <c r="G494" s="53"/>
      <c r="H494" s="53"/>
      <c r="I494" s="53"/>
      <c r="J494" s="53"/>
      <c r="K494" s="53"/>
    </row>
    <row r="495" spans="2:11" ht="15.75">
      <c r="B495" s="53" t="s">
        <v>1059</v>
      </c>
      <c r="C495" s="481">
        <f>C443</f>
        <v>122.71428571428571</v>
      </c>
      <c r="D495" s="481"/>
      <c r="E495" s="481"/>
      <c r="F495" s="621"/>
      <c r="G495" s="53"/>
      <c r="H495" s="53"/>
      <c r="I495" s="53"/>
      <c r="J495" s="53"/>
      <c r="K495" s="53"/>
    </row>
    <row r="496" spans="2:11" ht="15.75">
      <c r="B496" s="53" t="s">
        <v>2859</v>
      </c>
      <c r="C496" s="481">
        <f>C486+$C$443</f>
        <v>303.69728571428573</v>
      </c>
      <c r="D496" s="481">
        <f>D486+$C$443</f>
        <v>304.6382857142857</v>
      </c>
      <c r="E496" s="481">
        <f>E486+$C$443</f>
        <v>354.7442857142857</v>
      </c>
      <c r="F496" s="621"/>
      <c r="G496" s="53"/>
      <c r="H496" s="53"/>
      <c r="I496" s="53"/>
      <c r="J496" s="53"/>
      <c r="K496" s="53"/>
    </row>
    <row r="497" spans="2:11" ht="16.5" thickBot="1">
      <c r="B497" s="53" t="s">
        <v>1957</v>
      </c>
      <c r="C497" s="621">
        <f>C493/C496</f>
        <v>0.65162640543714312</v>
      </c>
      <c r="D497" s="621">
        <f>D493/D496</f>
        <v>0.92860210217256789</v>
      </c>
      <c r="E497" s="621">
        <f>E493/E496</f>
        <v>1.030675429439178</v>
      </c>
      <c r="F497" s="621"/>
      <c r="G497" s="53"/>
      <c r="H497" s="53"/>
      <c r="I497" s="53"/>
      <c r="J497" s="53"/>
      <c r="K497" s="53"/>
    </row>
    <row r="498" spans="2:11" ht="16.5" thickBot="1">
      <c r="B498" s="775" t="s">
        <v>1958</v>
      </c>
      <c r="C498" s="776">
        <f>C497/C487-1</f>
        <v>0.50605548836121628</v>
      </c>
      <c r="D498" s="776">
        <f>D497/D487-1</f>
        <v>0.18633580017632534</v>
      </c>
      <c r="E498" s="777">
        <f>E497/E487-1</f>
        <v>0.22012846752978277</v>
      </c>
      <c r="F498" s="621"/>
      <c r="G498" s="53"/>
      <c r="H498" s="53"/>
      <c r="I498" s="53"/>
      <c r="J498" s="53"/>
      <c r="K498" s="53"/>
    </row>
    <row r="499" spans="2:11" ht="15.75">
      <c r="B499" s="53"/>
      <c r="C499" s="53"/>
      <c r="D499" s="53"/>
      <c r="E499" s="53"/>
      <c r="F499" s="53"/>
      <c r="G499" s="53"/>
      <c r="H499" s="53"/>
      <c r="I499" s="53"/>
      <c r="J499" s="53"/>
      <c r="K499" s="53"/>
    </row>
    <row r="500" spans="2:11" ht="15.75">
      <c r="B500" s="53" t="s">
        <v>3000</v>
      </c>
      <c r="C500" s="53"/>
      <c r="D500" s="53"/>
      <c r="E500" s="53"/>
      <c r="F500" s="53"/>
      <c r="G500" s="53"/>
      <c r="H500" s="53"/>
      <c r="I500" s="53"/>
      <c r="J500" s="53"/>
      <c r="K500" s="53"/>
    </row>
    <row r="501" spans="2:11" ht="15.75">
      <c r="B501" s="50" t="s">
        <v>2999</v>
      </c>
      <c r="C501" s="50"/>
      <c r="D501" s="50">
        <f>C467</f>
        <v>2017</v>
      </c>
      <c r="E501" s="50">
        <f>D467</f>
        <v>2018</v>
      </c>
      <c r="F501" s="50">
        <f>E467</f>
        <v>2019</v>
      </c>
      <c r="G501" s="50">
        <f>F467</f>
        <v>2020</v>
      </c>
      <c r="H501" s="53"/>
      <c r="I501" s="53"/>
      <c r="J501" s="53"/>
      <c r="K501" s="53"/>
    </row>
    <row r="502" spans="2:11" ht="15.75">
      <c r="B502" s="53" t="s">
        <v>482</v>
      </c>
      <c r="C502" s="630"/>
      <c r="D502" s="630">
        <f>H502/$C$426</f>
        <v>1005.2175463370218</v>
      </c>
      <c r="E502" s="630">
        <f>I502/$C$426</f>
        <v>1099.7313214946314</v>
      </c>
      <c r="F502" s="630">
        <f>J502/$C$426</f>
        <v>1204.3920167864919</v>
      </c>
      <c r="G502" s="630">
        <f>K502/$C$426</f>
        <v>1298.4254284899514</v>
      </c>
      <c r="H502" s="749">
        <v>18093.915834066393</v>
      </c>
      <c r="I502" s="749">
        <v>19795.163786903366</v>
      </c>
      <c r="J502" s="749">
        <v>21679.056302156856</v>
      </c>
      <c r="K502" s="749">
        <v>23371.657712819124</v>
      </c>
    </row>
    <row r="503" spans="2:11" ht="15.75">
      <c r="B503" s="53" t="s">
        <v>649</v>
      </c>
      <c r="C503" s="630"/>
      <c r="D503" s="630">
        <f>D502-D435</f>
        <v>550.63287954731572</v>
      </c>
      <c r="E503" s="630">
        <f>E502-E435</f>
        <v>606.88418462079449</v>
      </c>
      <c r="F503" s="630">
        <f>F502-F435</f>
        <v>667.87272279691194</v>
      </c>
      <c r="G503" s="630">
        <f>G502-G435</f>
        <v>-813.64981669083431</v>
      </c>
      <c r="H503" s="53"/>
      <c r="I503" s="53"/>
      <c r="J503" s="53"/>
      <c r="K503" s="53"/>
    </row>
    <row r="504" spans="2:11" ht="15.75">
      <c r="B504" s="53" t="s">
        <v>19</v>
      </c>
      <c r="C504" s="630"/>
      <c r="D504" s="630">
        <f>H504/$C$426</f>
        <v>1005.2175463370218</v>
      </c>
      <c r="E504" s="630">
        <f>I504/$C$426</f>
        <v>1099.7313214946314</v>
      </c>
      <c r="F504" s="630">
        <f>J504/$C$426</f>
        <v>1204.3920167864919</v>
      </c>
      <c r="G504" s="630">
        <f>K504/$C$426</f>
        <v>1298.4254284899514</v>
      </c>
      <c r="H504" s="749">
        <f>H502+H503</f>
        <v>18093.915834066393</v>
      </c>
      <c r="I504" s="749">
        <f>I502+I503</f>
        <v>19795.163786903366</v>
      </c>
      <c r="J504" s="749">
        <f>J502+J503</f>
        <v>21679.056302156856</v>
      </c>
      <c r="K504" s="749">
        <f>K502+K503</f>
        <v>23371.657712819124</v>
      </c>
    </row>
    <row r="505" spans="2:11" ht="15.75">
      <c r="B505" s="53"/>
      <c r="C505" s="53"/>
      <c r="D505" s="53"/>
      <c r="E505" s="53"/>
      <c r="F505" s="53"/>
      <c r="G505" s="53"/>
      <c r="H505" s="53"/>
      <c r="I505" s="53"/>
      <c r="J505" s="53"/>
      <c r="K505" s="53"/>
    </row>
    <row r="506" spans="2:11" ht="16.5" thickBot="1">
      <c r="B506" s="53" t="s">
        <v>1974</v>
      </c>
      <c r="C506" s="630"/>
      <c r="D506" s="630">
        <f>D503+D504</f>
        <v>1555.8504258843375</v>
      </c>
      <c r="E506" s="630">
        <f>E503+E504</f>
        <v>1706.6155061154259</v>
      </c>
      <c r="F506" s="630">
        <f>F503+F504</f>
        <v>1872.2647395834038</v>
      </c>
      <c r="G506" s="630">
        <f>G503+G504</f>
        <v>484.77561179911709</v>
      </c>
      <c r="H506" s="53"/>
      <c r="I506" s="53"/>
      <c r="J506" s="53"/>
      <c r="K506" s="53"/>
    </row>
    <row r="507" spans="2:11" ht="16.5" thickBot="1">
      <c r="B507" s="775" t="s">
        <v>1975</v>
      </c>
      <c r="C507" s="778"/>
      <c r="D507" s="778"/>
      <c r="E507" s="779">
        <v>0.02</v>
      </c>
      <c r="F507" s="779">
        <v>0.03</v>
      </c>
      <c r="G507" s="780">
        <v>4.4999999999999998E-2</v>
      </c>
      <c r="H507" s="53"/>
      <c r="I507" s="53"/>
      <c r="J507" s="53"/>
      <c r="K507" s="53"/>
    </row>
    <row r="508" spans="2:11" ht="15.75">
      <c r="B508" s="53" t="s">
        <v>1976</v>
      </c>
      <c r="C508" s="630"/>
      <c r="D508" s="630"/>
      <c r="E508" s="630">
        <f>E506*E507</f>
        <v>34.132310122308517</v>
      </c>
      <c r="F508" s="630">
        <f>F506*F507</f>
        <v>56.167942187502113</v>
      </c>
      <c r="G508" s="630">
        <f>G506*G507</f>
        <v>21.814902530960268</v>
      </c>
      <c r="H508" s="53"/>
      <c r="I508" s="53"/>
      <c r="J508" s="53"/>
      <c r="K508" s="53"/>
    </row>
    <row r="509" spans="2:11" ht="15.75">
      <c r="B509" s="53" t="s">
        <v>1979</v>
      </c>
      <c r="C509" s="630"/>
      <c r="D509" s="630"/>
      <c r="E509" s="630">
        <f>E508*(1-0.28)</f>
        <v>24.575263288062132</v>
      </c>
      <c r="F509" s="630">
        <f>F508*(1-0.28)</f>
        <v>40.440918375001523</v>
      </c>
      <c r="G509" s="630">
        <f>G508*(1-0.28)</f>
        <v>15.706729822291392</v>
      </c>
      <c r="H509" s="53"/>
      <c r="I509" s="53"/>
      <c r="J509" s="53"/>
      <c r="K509" s="53"/>
    </row>
    <row r="510" spans="2:11" ht="15.75">
      <c r="B510" s="53" t="s">
        <v>1977</v>
      </c>
      <c r="C510" s="630">
        <f>NPV(8%,D509:G509)</f>
        <v>69.894951200344764</v>
      </c>
      <c r="D510" s="53"/>
      <c r="E510" s="630"/>
      <c r="F510" s="630"/>
      <c r="G510" s="53"/>
      <c r="H510" s="53"/>
      <c r="I510" s="53"/>
      <c r="J510" s="53"/>
      <c r="K510" s="53"/>
    </row>
    <row r="511" spans="2:11" ht="15.75">
      <c r="B511" s="50" t="s">
        <v>1978</v>
      </c>
      <c r="C511" s="632">
        <f>1/(10%-0%)*G509</f>
        <v>157.06729822291391</v>
      </c>
      <c r="D511" s="53"/>
      <c r="E511" s="53"/>
      <c r="F511" s="53"/>
      <c r="G511" s="53"/>
      <c r="H511" s="53"/>
      <c r="I511" s="53"/>
      <c r="J511" s="53"/>
      <c r="K511" s="53"/>
    </row>
    <row r="512" spans="2:11" ht="15.75">
      <c r="B512" s="53" t="s">
        <v>1980</v>
      </c>
      <c r="C512" s="630">
        <f>C510+C511</f>
        <v>226.96224942325867</v>
      </c>
      <c r="D512" s="53"/>
      <c r="E512" s="53"/>
      <c r="F512" s="53"/>
      <c r="G512" s="53"/>
      <c r="H512" s="53"/>
      <c r="I512" s="53"/>
      <c r="J512" s="53"/>
      <c r="K512" s="53"/>
    </row>
    <row r="513" spans="2:11" ht="15.75">
      <c r="B513" s="53" t="s">
        <v>3006</v>
      </c>
      <c r="C513" s="630">
        <f>C442*C471</f>
        <v>5992.4400550000009</v>
      </c>
      <c r="D513" s="53"/>
      <c r="E513" s="53"/>
      <c r="F513" s="53"/>
      <c r="G513" s="53"/>
      <c r="H513" s="53"/>
      <c r="I513" s="53"/>
      <c r="J513" s="53"/>
      <c r="K513" s="53"/>
    </row>
    <row r="514" spans="2:11" ht="15.75">
      <c r="B514" s="53" t="s">
        <v>3011</v>
      </c>
      <c r="C514" s="630">
        <f>C429</f>
        <v>4295</v>
      </c>
      <c r="D514" s="53"/>
      <c r="E514" s="53"/>
      <c r="F514" s="53"/>
      <c r="G514" s="53"/>
      <c r="H514" s="53"/>
      <c r="I514" s="53"/>
      <c r="J514" s="53"/>
      <c r="K514" s="53"/>
    </row>
    <row r="515" spans="2:11" ht="15.75">
      <c r="B515" s="53" t="s">
        <v>3005</v>
      </c>
      <c r="C515" s="54">
        <f>C513/(C513+C514)</f>
        <v>0.58250060490874966</v>
      </c>
      <c r="D515" s="53"/>
      <c r="E515" s="53"/>
      <c r="F515" s="53"/>
      <c r="G515" s="53"/>
      <c r="H515" s="53"/>
      <c r="I515" s="53"/>
      <c r="J515" s="53"/>
      <c r="K515" s="53"/>
    </row>
    <row r="516" spans="2:11" ht="15.75">
      <c r="B516" s="53" t="s">
        <v>3008</v>
      </c>
      <c r="C516" s="630">
        <f>C515*C512</f>
        <v>132.20564758049869</v>
      </c>
      <c r="D516" s="53"/>
      <c r="E516" s="53"/>
      <c r="F516" s="53"/>
      <c r="G516" s="53"/>
      <c r="H516" s="53"/>
      <c r="I516" s="53"/>
      <c r="J516" s="53"/>
      <c r="K516" s="53"/>
    </row>
    <row r="517" spans="2:11" ht="15.75">
      <c r="B517" s="53" t="s">
        <v>3009</v>
      </c>
      <c r="C517" s="639">
        <f>C516/C471</f>
        <v>0.77217254120991852</v>
      </c>
      <c r="D517" s="53"/>
      <c r="E517" s="53"/>
      <c r="F517" s="53"/>
      <c r="G517" s="53"/>
      <c r="H517" s="53"/>
      <c r="I517" s="53"/>
      <c r="J517" s="53"/>
      <c r="K517" s="53"/>
    </row>
    <row r="518" spans="2:11" ht="15.75">
      <c r="B518" s="53"/>
      <c r="C518" s="630"/>
      <c r="D518" s="53"/>
      <c r="E518" s="53"/>
      <c r="F518" s="53"/>
      <c r="G518" s="53"/>
      <c r="H518" s="53"/>
      <c r="I518" s="53"/>
      <c r="J518" s="53"/>
      <c r="K518" s="53"/>
    </row>
    <row r="519" spans="2:11" ht="15.75">
      <c r="B519" s="53" t="s">
        <v>1981</v>
      </c>
      <c r="C519" s="621"/>
      <c r="D519" s="621">
        <f>(D434-$C$272)/D435</f>
        <v>8.6587718986876805</v>
      </c>
      <c r="E519" s="621">
        <f>(E434-$C$272)/E435</f>
        <v>7.8519381872093801</v>
      </c>
      <c r="F519" s="621"/>
      <c r="G519" s="621"/>
      <c r="H519" s="53"/>
      <c r="I519" s="53"/>
      <c r="J519" s="53"/>
      <c r="K519" s="53"/>
    </row>
    <row r="520" spans="2:11" ht="15.75">
      <c r="B520" s="53"/>
      <c r="C520" s="53"/>
      <c r="D520" s="53"/>
      <c r="E520" s="53"/>
      <c r="F520" s="53"/>
      <c r="G520" s="53"/>
      <c r="H520" s="53"/>
      <c r="I520" s="53"/>
      <c r="J520" s="53"/>
      <c r="K520" s="53"/>
    </row>
    <row r="521" spans="2:11" ht="15.75">
      <c r="B521" s="53" t="s">
        <v>3003</v>
      </c>
      <c r="C521" s="53"/>
      <c r="D521" s="53"/>
      <c r="E521" s="53"/>
      <c r="F521" s="53"/>
      <c r="G521" s="53"/>
      <c r="H521" s="53"/>
      <c r="I521" s="53"/>
      <c r="J521" s="53"/>
      <c r="K521" s="53"/>
    </row>
    <row r="522" spans="2:11" ht="15.75">
      <c r="B522" s="50" t="s">
        <v>1665</v>
      </c>
      <c r="C522" s="57">
        <v>0</v>
      </c>
      <c r="D522" s="57">
        <v>0.25</v>
      </c>
      <c r="E522" s="57">
        <v>0.5</v>
      </c>
      <c r="F522" s="57">
        <v>0.75</v>
      </c>
      <c r="G522" s="57">
        <v>1</v>
      </c>
      <c r="H522" s="53"/>
      <c r="I522" s="57">
        <f>C159</f>
        <v>0.33</v>
      </c>
      <c r="J522" s="53"/>
      <c r="K522" s="53"/>
    </row>
    <row r="523" spans="2:11" ht="15.75">
      <c r="B523" s="53" t="s">
        <v>1931</v>
      </c>
      <c r="C523" s="54">
        <v>-9.1375271937851332E-3</v>
      </c>
      <c r="D523" s="54">
        <v>4.061702709348558E-2</v>
      </c>
      <c r="E523" s="54">
        <v>0.10955246774338723</v>
      </c>
      <c r="F523" s="54">
        <v>0.21140891217140045</v>
      </c>
      <c r="G523" s="54">
        <v>0.37716664874044725</v>
      </c>
      <c r="H523" s="53"/>
      <c r="I523" s="54">
        <f>E219</f>
        <v>-1.8557877872926065E-2</v>
      </c>
      <c r="J523" s="53"/>
      <c r="K523" s="53"/>
    </row>
    <row r="524" spans="2:11" ht="15.75">
      <c r="B524" s="53" t="s">
        <v>3001</v>
      </c>
      <c r="C524" s="54">
        <v>-0.28942680623519124</v>
      </c>
      <c r="D524" s="54">
        <v>-0.28643646063528649</v>
      </c>
      <c r="E524" s="54">
        <v>-0.28271905367456296</v>
      </c>
      <c r="F524" s="54">
        <v>-0.27797272650194249</v>
      </c>
      <c r="G524" s="54">
        <v>-0.27170168094290781</v>
      </c>
      <c r="H524" s="53"/>
      <c r="I524" s="54">
        <f>D393</f>
        <v>-1.2725295894128594</v>
      </c>
      <c r="J524" s="53"/>
      <c r="K524" s="53"/>
    </row>
    <row r="525" spans="2:11" ht="15.75">
      <c r="B525" s="53" t="s">
        <v>3002</v>
      </c>
      <c r="C525" s="54">
        <v>-0.2230413906645653</v>
      </c>
      <c r="D525" s="54">
        <v>-0.21163590546284483</v>
      </c>
      <c r="E525" s="54">
        <v>-0.19707945406795768</v>
      </c>
      <c r="F525" s="54">
        <v>-0.17785699286481294</v>
      </c>
      <c r="G525" s="54">
        <v>-0.15129681454722443</v>
      </c>
      <c r="H525" s="53"/>
      <c r="I525" s="54">
        <f>D498</f>
        <v>0.18633580017632534</v>
      </c>
      <c r="J525" s="53"/>
      <c r="K525" s="53"/>
    </row>
    <row r="526" spans="2:11" ht="15.75">
      <c r="B526" s="53" t="s">
        <v>3004</v>
      </c>
    </row>
    <row r="564" spans="1:20">
      <c r="C564" s="12" t="s">
        <v>30</v>
      </c>
      <c r="K564" s="12" t="s">
        <v>29</v>
      </c>
    </row>
    <row r="565" spans="1:20">
      <c r="B565" s="3"/>
      <c r="C565" s="4" t="s">
        <v>34</v>
      </c>
      <c r="D565" s="4" t="s">
        <v>1686</v>
      </c>
      <c r="E565" s="4" t="s">
        <v>32</v>
      </c>
      <c r="F565" s="4" t="s">
        <v>37</v>
      </c>
      <c r="G565" s="4" t="s">
        <v>33</v>
      </c>
      <c r="H565" s="4" t="s">
        <v>43</v>
      </c>
      <c r="I565" s="4" t="s">
        <v>1702</v>
      </c>
      <c r="J565" s="4" t="s">
        <v>1703</v>
      </c>
      <c r="K565" s="4" t="s">
        <v>0</v>
      </c>
      <c r="L565" s="4" t="s">
        <v>31</v>
      </c>
      <c r="M565" s="4" t="s">
        <v>39</v>
      </c>
      <c r="N565" s="4" t="s">
        <v>38</v>
      </c>
      <c r="O565" s="4" t="s">
        <v>1704</v>
      </c>
      <c r="P565" s="4" t="s">
        <v>36</v>
      </c>
      <c r="Q565" s="4" t="s">
        <v>40</v>
      </c>
      <c r="R565" s="4" t="s">
        <v>41</v>
      </c>
      <c r="S565" s="4" t="s">
        <v>1705</v>
      </c>
      <c r="T565" s="4" t="s">
        <v>16</v>
      </c>
    </row>
    <row r="566" spans="1:20">
      <c r="B566" t="s">
        <v>1687</v>
      </c>
      <c r="C566" s="80" t="s">
        <v>1688</v>
      </c>
      <c r="D566" s="80" t="s">
        <v>1688</v>
      </c>
      <c r="E566" s="80" t="s">
        <v>1688</v>
      </c>
      <c r="F566" s="80" t="s">
        <v>1688</v>
      </c>
      <c r="G566" s="80" t="s">
        <v>1689</v>
      </c>
      <c r="O566" t="s">
        <v>1706</v>
      </c>
    </row>
    <row r="567" spans="1:20">
      <c r="B567" t="s">
        <v>1690</v>
      </c>
      <c r="C567">
        <v>1</v>
      </c>
      <c r="D567">
        <v>1</v>
      </c>
      <c r="E567">
        <v>1</v>
      </c>
      <c r="F567">
        <v>2</v>
      </c>
      <c r="G567">
        <v>2</v>
      </c>
    </row>
    <row r="568" spans="1:20">
      <c r="B568" t="s">
        <v>54</v>
      </c>
      <c r="C568">
        <v>28</v>
      </c>
      <c r="D568">
        <v>295</v>
      </c>
      <c r="E568">
        <v>228</v>
      </c>
      <c r="F568">
        <v>30</v>
      </c>
      <c r="G568">
        <v>49</v>
      </c>
    </row>
    <row r="569" spans="1:20">
      <c r="B569" t="s">
        <v>1691</v>
      </c>
      <c r="C569" s="5">
        <v>0.74</v>
      </c>
      <c r="D569" s="5">
        <v>0.5</v>
      </c>
      <c r="E569" s="5">
        <v>0.47</v>
      </c>
      <c r="F569" s="5">
        <v>0.28000000000000003</v>
      </c>
      <c r="G569" s="5">
        <v>0.21</v>
      </c>
    </row>
    <row r="570" spans="1:20">
      <c r="B570" t="s">
        <v>1711</v>
      </c>
      <c r="C570">
        <v>28</v>
      </c>
      <c r="D570">
        <v>304</v>
      </c>
      <c r="E570">
        <v>274</v>
      </c>
      <c r="F570">
        <v>53</v>
      </c>
      <c r="G570">
        <v>74</v>
      </c>
      <c r="K570">
        <v>260</v>
      </c>
      <c r="L570">
        <v>23</v>
      </c>
      <c r="O570" s="559" t="s">
        <v>1707</v>
      </c>
      <c r="T570">
        <f>SUM(C570:N570)+SUM(P570:S570)+10</f>
        <v>1026</v>
      </c>
    </row>
    <row r="571" spans="1:20">
      <c r="B571" t="s">
        <v>1692</v>
      </c>
      <c r="C571">
        <v>35</v>
      </c>
      <c r="D571">
        <v>330</v>
      </c>
      <c r="E571">
        <v>725</v>
      </c>
      <c r="F571">
        <v>55</v>
      </c>
      <c r="G571">
        <v>100</v>
      </c>
      <c r="T571">
        <f>SUM(C571:N571)+SUM(P571:S571)+10</f>
        <v>1255</v>
      </c>
    </row>
    <row r="572" spans="1:20">
      <c r="B572" t="s">
        <v>1693</v>
      </c>
      <c r="C572" s="5">
        <f>C570/C571</f>
        <v>0.8</v>
      </c>
      <c r="D572" s="5">
        <f>D570/D571</f>
        <v>0.92121212121212126</v>
      </c>
      <c r="E572" s="5">
        <f>E570/E571</f>
        <v>0.37793103448275861</v>
      </c>
      <c r="F572" s="5">
        <f>F570/F571</f>
        <v>0.96363636363636362</v>
      </c>
      <c r="G572" s="5">
        <f>G570/G571</f>
        <v>0.74</v>
      </c>
    </row>
    <row r="573" spans="1:20">
      <c r="A573" t="s">
        <v>72</v>
      </c>
    </row>
    <row r="574" spans="1:20">
      <c r="B574" t="s">
        <v>1708</v>
      </c>
      <c r="C574" s="80" t="s">
        <v>1710</v>
      </c>
      <c r="D574" s="80" t="s">
        <v>1709</v>
      </c>
      <c r="E574" s="80" t="s">
        <v>1710</v>
      </c>
      <c r="F574" s="80" t="s">
        <v>1710</v>
      </c>
      <c r="G574" s="80" t="s">
        <v>1710</v>
      </c>
      <c r="H574" s="80" t="s">
        <v>1710</v>
      </c>
      <c r="I574" s="80" t="s">
        <v>1710</v>
      </c>
      <c r="J574" s="80" t="s">
        <v>1710</v>
      </c>
      <c r="K574" s="80" t="s">
        <v>1710</v>
      </c>
      <c r="L574" s="80" t="s">
        <v>1710</v>
      </c>
      <c r="M574" s="80" t="s">
        <v>1710</v>
      </c>
      <c r="N574" s="80" t="s">
        <v>1710</v>
      </c>
      <c r="O574" s="80" t="s">
        <v>1710</v>
      </c>
      <c r="P574" s="80" t="s">
        <v>1710</v>
      </c>
      <c r="Q574" s="80" t="s">
        <v>1710</v>
      </c>
      <c r="R574" s="80" t="s">
        <v>1710</v>
      </c>
      <c r="S574" s="80" t="s">
        <v>1710</v>
      </c>
    </row>
    <row r="575" spans="1:20">
      <c r="D575" s="80"/>
    </row>
    <row r="576" spans="1:20">
      <c r="B576" s="13" t="s">
        <v>1365</v>
      </c>
    </row>
    <row r="577" spans="2:7">
      <c r="B577" t="s">
        <v>1694</v>
      </c>
      <c r="E577" s="16">
        <v>94.814999999999998</v>
      </c>
      <c r="F577">
        <v>0</v>
      </c>
      <c r="G577" s="16">
        <v>25.286999999999999</v>
      </c>
    </row>
    <row r="578" spans="2:7">
      <c r="E578" s="16"/>
      <c r="G578" s="16"/>
    </row>
    <row r="579" spans="2:7">
      <c r="B579" s="13" t="s">
        <v>32</v>
      </c>
    </row>
    <row r="580" spans="2:7">
      <c r="B580" t="s">
        <v>1697</v>
      </c>
    </row>
    <row r="581" spans="2:7">
      <c r="B581" t="s">
        <v>1695</v>
      </c>
    </row>
    <row r="582" spans="2:7">
      <c r="B582" s="13" t="s">
        <v>1701</v>
      </c>
    </row>
    <row r="583" spans="2:7">
      <c r="B583" t="s">
        <v>1700</v>
      </c>
    </row>
    <row r="584" spans="2:7">
      <c r="B584" s="13" t="s">
        <v>37</v>
      </c>
    </row>
    <row r="585" spans="2:7">
      <c r="B585" t="s">
        <v>1698</v>
      </c>
    </row>
    <row r="586" spans="2:7">
      <c r="B586" t="s">
        <v>1699</v>
      </c>
    </row>
    <row r="588" spans="2:7">
      <c r="B588" s="12" t="s">
        <v>1782</v>
      </c>
    </row>
    <row r="591" spans="2:7">
      <c r="B591" s="12" t="s">
        <v>1422</v>
      </c>
      <c r="C591" s="1">
        <v>42339</v>
      </c>
      <c r="D591" s="1">
        <v>42705</v>
      </c>
      <c r="E591" s="1">
        <v>43070</v>
      </c>
      <c r="F591" s="1">
        <v>43435</v>
      </c>
    </row>
    <row r="592" spans="2:7">
      <c r="B592" s="3" t="s">
        <v>325</v>
      </c>
      <c r="C592" s="32">
        <f>Master!G39</f>
        <v>42369</v>
      </c>
      <c r="D592" s="32">
        <f>Master!H39</f>
        <v>42735</v>
      </c>
      <c r="E592" s="32">
        <f>Master!I39</f>
        <v>43100</v>
      </c>
      <c r="F592" s="32">
        <f>Master!J39</f>
        <v>43465</v>
      </c>
    </row>
    <row r="593" spans="2:6">
      <c r="B593" t="s">
        <v>482</v>
      </c>
      <c r="C593" s="486">
        <f>Master!G3</f>
        <v>3591.5333333333328</v>
      </c>
      <c r="D593" s="586">
        <f>AnastasiaLiLACCWC!V20</f>
        <v>3620.1757396449707</v>
      </c>
      <c r="E593" s="486">
        <f>Master!I3</f>
        <v>3586.3178736517721</v>
      </c>
      <c r="F593" s="486">
        <f>Master!J3</f>
        <v>3693.7671488858091</v>
      </c>
    </row>
    <row r="594" spans="2:6">
      <c r="B594" t="s">
        <v>8</v>
      </c>
      <c r="C594" s="486">
        <f>Master!G6</f>
        <v>0</v>
      </c>
      <c r="D594" s="586">
        <f>AnastasiaLiLACCWC!V21</f>
        <v>1448.600076899188</v>
      </c>
      <c r="E594" s="486">
        <f>Master!I6</f>
        <v>1367.1</v>
      </c>
      <c r="F594" s="486">
        <f>Master!J6</f>
        <v>1412.5717613715995</v>
      </c>
    </row>
    <row r="595" spans="2:6">
      <c r="B595" t="s">
        <v>251</v>
      </c>
      <c r="C595" s="6">
        <f>C594/C593</f>
        <v>0</v>
      </c>
      <c r="D595" s="6">
        <f>D594/D593</f>
        <v>0.40014634124951398</v>
      </c>
      <c r="E595" s="6">
        <f>E594/E593</f>
        <v>0.38119878052191419</v>
      </c>
      <c r="F595" s="6">
        <f>F594/F593</f>
        <v>0.38242035960433746</v>
      </c>
    </row>
    <row r="596" spans="2:6">
      <c r="C596" s="486"/>
      <c r="D596" s="486"/>
      <c r="E596" s="486"/>
      <c r="F596" s="486"/>
    </row>
    <row r="597" spans="2:6">
      <c r="B597" t="s">
        <v>19</v>
      </c>
      <c r="C597" s="486">
        <f>Master!G121</f>
        <v>0</v>
      </c>
      <c r="D597" s="586">
        <f>AnastasiaLiLACCWC!V24</f>
        <v>0</v>
      </c>
      <c r="E597" s="486">
        <f>Master!I121</f>
        <v>776.5462392108509</v>
      </c>
      <c r="F597" s="486">
        <f>Master!J121</f>
        <v>771.39999999999986</v>
      </c>
    </row>
    <row r="598" spans="2:6">
      <c r="B598" t="s">
        <v>91</v>
      </c>
      <c r="C598" s="6">
        <f>C597/C593</f>
        <v>0</v>
      </c>
      <c r="D598" s="6">
        <f>D597/D593</f>
        <v>0</v>
      </c>
      <c r="E598" s="6">
        <f>E597/E593</f>
        <v>0.21653023144324121</v>
      </c>
      <c r="F598" s="6">
        <f>F597/F593</f>
        <v>0.20883828593058054</v>
      </c>
    </row>
    <row r="599" spans="2:6">
      <c r="B599" t="s">
        <v>27</v>
      </c>
      <c r="C599" s="486">
        <f>C594-C597</f>
        <v>0</v>
      </c>
      <c r="D599" s="486">
        <f>D594-D597</f>
        <v>1448.600076899188</v>
      </c>
      <c r="E599" s="486">
        <f>E594-E597</f>
        <v>590.55376078914901</v>
      </c>
      <c r="F599" s="486">
        <f>F594-F597</f>
        <v>641.17176137159959</v>
      </c>
    </row>
    <row r="601" spans="2:6" hidden="1" outlineLevel="1">
      <c r="B601" s="12" t="s">
        <v>1423</v>
      </c>
    </row>
    <row r="602" spans="2:6" hidden="1" outlineLevel="1">
      <c r="B602" s="3" t="s">
        <v>325</v>
      </c>
      <c r="C602" s="32">
        <f>C592</f>
        <v>42369</v>
      </c>
      <c r="D602" s="32">
        <f>D592</f>
        <v>42735</v>
      </c>
      <c r="E602" s="32">
        <f>E592</f>
        <v>43100</v>
      </c>
      <c r="F602" s="32">
        <f>F592</f>
        <v>43465</v>
      </c>
    </row>
    <row r="603" spans="2:6" hidden="1" outlineLevel="1">
      <c r="B603" t="s">
        <v>482</v>
      </c>
      <c r="C603" s="486">
        <v>3656.3202573333328</v>
      </c>
      <c r="D603" s="486">
        <v>3873.2863567012664</v>
      </c>
      <c r="E603" s="486">
        <v>4113.0053316210324</v>
      </c>
      <c r="F603" s="486">
        <v>4340.8054987189062</v>
      </c>
    </row>
    <row r="604" spans="2:6" hidden="1" outlineLevel="1">
      <c r="B604" t="s">
        <v>8</v>
      </c>
      <c r="C604" s="486">
        <v>1416.3411907941036</v>
      </c>
      <c r="D604" s="486">
        <v>1577.3053206883772</v>
      </c>
      <c r="E604" s="486">
        <v>1728.7891172151901</v>
      </c>
      <c r="F604" s="486">
        <v>1859.5566577228481</v>
      </c>
    </row>
    <row r="605" spans="2:6" hidden="1" outlineLevel="1">
      <c r="B605" t="s">
        <v>251</v>
      </c>
      <c r="C605" s="6">
        <f>C604/C603</f>
        <v>0.387367924883879</v>
      </c>
      <c r="D605" s="6">
        <f>D604/D603</f>
        <v>0.40722662241572793</v>
      </c>
      <c r="E605" s="6">
        <f>E604/E603</f>
        <v>0.42032260544963446</v>
      </c>
      <c r="F605" s="6">
        <f>F604/F603</f>
        <v>0.42838976735346829</v>
      </c>
    </row>
    <row r="606" spans="2:6" hidden="1" outlineLevel="1">
      <c r="C606" s="486"/>
      <c r="D606" s="486"/>
      <c r="E606" s="486"/>
      <c r="F606" s="486"/>
    </row>
    <row r="607" spans="2:6" hidden="1" outlineLevel="1">
      <c r="B607" t="s">
        <v>19</v>
      </c>
      <c r="C607" s="486">
        <v>806.95773958727546</v>
      </c>
      <c r="D607" s="486">
        <v>815.23607061745633</v>
      </c>
      <c r="E607" s="486">
        <v>734.68960909620978</v>
      </c>
      <c r="F607" s="486">
        <v>741.97083342235612</v>
      </c>
    </row>
    <row r="608" spans="2:6" hidden="1" outlineLevel="1">
      <c r="B608" t="s">
        <v>91</v>
      </c>
      <c r="C608" s="6">
        <f>C607/C603</f>
        <v>0.22070214937238966</v>
      </c>
      <c r="D608" s="6">
        <f>D607/D603</f>
        <v>0.21047658126464022</v>
      </c>
      <c r="E608" s="6">
        <f>E607/E603</f>
        <v>0.17862598024074317</v>
      </c>
      <c r="F608" s="6">
        <f>F607/F603</f>
        <v>0.17092929725631167</v>
      </c>
    </row>
    <row r="609" spans="2:9" hidden="1" outlineLevel="1">
      <c r="B609" t="s">
        <v>27</v>
      </c>
      <c r="C609" s="486">
        <f>C604-C607</f>
        <v>609.38345120682811</v>
      </c>
      <c r="D609" s="486">
        <f>D604-D607</f>
        <v>762.06925007092082</v>
      </c>
      <c r="E609" s="486">
        <f>E604-E607</f>
        <v>994.09950811898034</v>
      </c>
      <c r="F609" s="486">
        <f>F604-F607</f>
        <v>1117.5858243004918</v>
      </c>
    </row>
    <row r="610" spans="2:9" hidden="1" outlineLevel="1">
      <c r="C610" s="486"/>
      <c r="D610" s="486"/>
      <c r="E610" s="486"/>
      <c r="F610" s="486"/>
    </row>
    <row r="611" spans="2:9" collapsed="1">
      <c r="B611" s="12" t="s">
        <v>1924</v>
      </c>
    </row>
    <row r="612" spans="2:9">
      <c r="B612" t="str">
        <f>B593</f>
        <v>Revs</v>
      </c>
      <c r="C612" s="5">
        <f t="shared" ref="C612:F613" si="20">C593/C603-1</f>
        <v>-1.7719160095470143E-2</v>
      </c>
      <c r="D612" s="5">
        <f t="shared" si="20"/>
        <v>-6.5347767695611458E-2</v>
      </c>
      <c r="E612" s="5">
        <f t="shared" si="20"/>
        <v>-0.12805416368416922</v>
      </c>
      <c r="F612" s="5">
        <f t="shared" si="20"/>
        <v>-0.14905951211683088</v>
      </c>
    </row>
    <row r="613" spans="2:9">
      <c r="B613" t="str">
        <f>B594</f>
        <v>EBITDA</v>
      </c>
      <c r="C613" s="5">
        <f t="shared" si="20"/>
        <v>-1</v>
      </c>
      <c r="D613" s="5">
        <f t="shared" si="20"/>
        <v>-8.1598180200786241E-2</v>
      </c>
      <c r="E613" s="5">
        <f t="shared" si="20"/>
        <v>-0.20921529040963371</v>
      </c>
      <c r="F613" s="5">
        <f t="shared" si="20"/>
        <v>-0.2403717544689451</v>
      </c>
    </row>
    <row r="614" spans="2:9">
      <c r="B614" t="str">
        <f>B597</f>
        <v>Capex</v>
      </c>
      <c r="C614" s="5">
        <f>C597/C607-1</f>
        <v>-1</v>
      </c>
      <c r="D614" s="5">
        <f>D597/D607-1</f>
        <v>-1</v>
      </c>
      <c r="E614" s="5">
        <f>E597/E607-1</f>
        <v>5.6971855320142151E-2</v>
      </c>
      <c r="F614" s="5">
        <f>F597/F607-1</f>
        <v>3.9663508660982227E-2</v>
      </c>
    </row>
    <row r="615" spans="2:9">
      <c r="B615" t="s">
        <v>27</v>
      </c>
      <c r="C615" s="5">
        <f>C599/C609-1</f>
        <v>-1</v>
      </c>
      <c r="D615" s="5">
        <f>D599/D609-1</f>
        <v>0.9008772191823462</v>
      </c>
      <c r="E615" s="5">
        <f>E599/E609-1</f>
        <v>-0.40594099889800195</v>
      </c>
      <c r="F615" s="5">
        <f>F599/F609-1</f>
        <v>-0.42628857003182241</v>
      </c>
    </row>
    <row r="617" spans="2:9">
      <c r="B617" s="552" t="s">
        <v>1570</v>
      </c>
      <c r="C617" s="3" t="s">
        <v>1805</v>
      </c>
      <c r="D617" s="4" t="s">
        <v>1072</v>
      </c>
      <c r="E617" s="4" t="s">
        <v>1807</v>
      </c>
      <c r="F617" s="3" t="s">
        <v>651</v>
      </c>
      <c r="G617" s="3" t="s">
        <v>8</v>
      </c>
      <c r="H617" s="3" t="s">
        <v>1799</v>
      </c>
      <c r="I617" s="3" t="s">
        <v>1801</v>
      </c>
    </row>
    <row r="618" spans="2:9">
      <c r="B618" t="str">
        <f>Quarts!B389</f>
        <v>Mobile</v>
      </c>
      <c r="C618" s="486">
        <f>Quarts!K389</f>
        <v>231.47040000000004</v>
      </c>
      <c r="D618" s="16">
        <f>C618-0.51*Quarts!K281-0.51*Quarts!K308-0.11*Quarts!K335</f>
        <v>150.15264600000003</v>
      </c>
      <c r="E618" s="16">
        <f>D618*4</f>
        <v>600.61058400000013</v>
      </c>
      <c r="F618" s="5">
        <v>0.5</v>
      </c>
      <c r="G618" s="16">
        <f>E618*F618</f>
        <v>300.30529200000007</v>
      </c>
      <c r="H618" s="62">
        <v>7</v>
      </c>
      <c r="I618" s="16">
        <f>G618*H618</f>
        <v>2102.1370440000005</v>
      </c>
    </row>
    <row r="619" spans="2:9">
      <c r="B619" t="str">
        <f>Quarts!B390</f>
        <v>BB</v>
      </c>
      <c r="C619" s="486">
        <f>Quarts!K390</f>
        <v>70.402500000000003</v>
      </c>
      <c r="D619" s="16">
        <f>C619-0.51*Quarts!K282-0.51*Quarts!K309-0.11*Quarts!K336</f>
        <v>56.983266</v>
      </c>
      <c r="E619" s="16">
        <f>D619*4</f>
        <v>227.933064</v>
      </c>
      <c r="F619" s="5">
        <v>0.47</v>
      </c>
      <c r="G619" s="16">
        <f>E619*F619</f>
        <v>107.12854007999999</v>
      </c>
      <c r="H619" s="62">
        <v>8.5</v>
      </c>
      <c r="I619" s="16">
        <f>G619*H619</f>
        <v>910.59259067999994</v>
      </c>
    </row>
    <row r="620" spans="2:9">
      <c r="B620" t="str">
        <f>Quarts!B391</f>
        <v>Video</v>
      </c>
      <c r="C620" s="486">
        <f>Quarts!K391</f>
        <v>49.896900000000002</v>
      </c>
      <c r="D620" s="16">
        <f>C620-0.51*Quarts!K283-0.51*Quarts!K310-0.11*Quarts!K337</f>
        <v>42.083984999999998</v>
      </c>
      <c r="E620" s="16">
        <f>D620*4</f>
        <v>168.33593999999999</v>
      </c>
      <c r="F620" s="5">
        <v>0.47</v>
      </c>
      <c r="G620" s="16">
        <f>E620*F620</f>
        <v>79.117891799999995</v>
      </c>
      <c r="H620" s="62">
        <v>8.5</v>
      </c>
      <c r="I620" s="16">
        <f>G620*H620</f>
        <v>672.50208029999999</v>
      </c>
    </row>
    <row r="621" spans="2:9">
      <c r="B621" t="str">
        <f>Quarts!B392</f>
        <v>Fixed voice</v>
      </c>
      <c r="C621" s="486">
        <f>Quarts!K392</f>
        <v>88.63454999999999</v>
      </c>
      <c r="D621" s="16">
        <f>C621-0.51*Quarts!K284-0.51*Quarts!K311-0.11*Quarts!K338</f>
        <v>64.869907499999982</v>
      </c>
      <c r="E621" s="16">
        <f>D621*4</f>
        <v>259.47962999999993</v>
      </c>
      <c r="F621" s="5">
        <v>0.46</v>
      </c>
      <c r="G621" s="16">
        <f>E621*F621</f>
        <v>119.36062979999997</v>
      </c>
      <c r="H621" s="62">
        <v>4</v>
      </c>
      <c r="I621" s="16">
        <f>G621*H621</f>
        <v>477.44251919999988</v>
      </c>
    </row>
    <row r="622" spans="2:9">
      <c r="B622" s="12" t="s">
        <v>1800</v>
      </c>
      <c r="C622" s="486"/>
      <c r="E622" s="16"/>
      <c r="F622" s="5"/>
      <c r="G622" s="16"/>
    </row>
    <row r="623" spans="2:9">
      <c r="B623" t="str">
        <f>Quarts!B404</f>
        <v xml:space="preserve"> of which equipment</v>
      </c>
      <c r="C623" s="486">
        <f>Quarts!K404</f>
        <v>95.464149999999961</v>
      </c>
      <c r="D623" s="486">
        <f>C623</f>
        <v>95.464149999999961</v>
      </c>
      <c r="E623" s="16">
        <f>D623*4</f>
        <v>381.85659999999984</v>
      </c>
      <c r="F623" s="5">
        <v>0.05</v>
      </c>
      <c r="G623" s="16">
        <f>E623*F623</f>
        <v>19.092829999999992</v>
      </c>
      <c r="H623" s="62">
        <v>5</v>
      </c>
      <c r="I623" s="16">
        <f>G623*H623</f>
        <v>95.464149999999961</v>
      </c>
    </row>
    <row r="624" spans="2:9">
      <c r="B624" t="str">
        <f>Quarts!B395</f>
        <v>Networks</v>
      </c>
      <c r="C624" s="486">
        <f>Quarts!K396</f>
        <v>66</v>
      </c>
      <c r="D624" s="486">
        <f>C624</f>
        <v>66</v>
      </c>
      <c r="E624" s="16">
        <f>D624*4</f>
        <v>264</v>
      </c>
      <c r="F624" s="5">
        <v>0.3</v>
      </c>
      <c r="G624" s="16">
        <f>E624*F624</f>
        <v>79.2</v>
      </c>
      <c r="H624" s="62">
        <v>6</v>
      </c>
      <c r="I624" s="16">
        <f>G624*H624</f>
        <v>475.20000000000005</v>
      </c>
    </row>
    <row r="625" spans="2:9">
      <c r="B625" s="3" t="str">
        <f>Quarts!B402</f>
        <v>Other</v>
      </c>
      <c r="C625" s="487">
        <f>Quarts!K402</f>
        <v>-6.8685000000000116</v>
      </c>
      <c r="D625" s="487">
        <f>C625</f>
        <v>-6.8685000000000116</v>
      </c>
      <c r="E625" s="64">
        <f>D625*4</f>
        <v>-27.474000000000046</v>
      </c>
      <c r="F625" s="512"/>
      <c r="G625" s="64">
        <f>E625*F625</f>
        <v>0</v>
      </c>
      <c r="H625" s="3"/>
      <c r="I625" s="64"/>
    </row>
    <row r="626" spans="2:9">
      <c r="B626" t="s">
        <v>1803</v>
      </c>
      <c r="C626" s="486">
        <f>SUM(C618:C625)</f>
        <v>595</v>
      </c>
      <c r="D626" s="486">
        <f>SUM(D618:D625)</f>
        <v>468.68545449999999</v>
      </c>
      <c r="E626" s="486">
        <f>SUM(E618:E625)</f>
        <v>1874.741818</v>
      </c>
      <c r="G626" s="16">
        <f>SUM(G618:G625)</f>
        <v>704.20518368000012</v>
      </c>
      <c r="H626" s="62">
        <f>I626/G626</f>
        <v>6.7215330046915547</v>
      </c>
      <c r="I626" s="16">
        <f>SUM(I618:I625)</f>
        <v>4733.3383841799996</v>
      </c>
    </row>
    <row r="627" spans="2:9">
      <c r="B627" s="12" t="s">
        <v>1802</v>
      </c>
      <c r="C627" s="5"/>
      <c r="E627" s="16"/>
    </row>
    <row r="628" spans="2:9">
      <c r="B628" t="s">
        <v>899</v>
      </c>
      <c r="C628" s="16">
        <f>'LiLAC valuation'!M316</f>
        <v>204.1</v>
      </c>
      <c r="D628" s="16">
        <f>C628</f>
        <v>204.1</v>
      </c>
      <c r="E628" s="16">
        <f>D628*4</f>
        <v>816.4</v>
      </c>
      <c r="F628" s="5">
        <f>'LiLAC valuation'!M273</f>
        <v>0.40176384125428716</v>
      </c>
      <c r="G628" s="16">
        <f>C628*F628</f>
        <v>82</v>
      </c>
      <c r="H628" s="62">
        <f>SOP!D9</f>
        <v>7.3470065129939224</v>
      </c>
      <c r="I628" s="16">
        <f>G628*H628</f>
        <v>602.45453406550166</v>
      </c>
    </row>
    <row r="629" spans="2:9">
      <c r="B629" s="3" t="s">
        <v>984</v>
      </c>
      <c r="C629" s="64">
        <f>'LiLAC valuation'!M351</f>
        <v>105.1</v>
      </c>
      <c r="D629" s="64">
        <f>C629*0.6</f>
        <v>63.059999999999995</v>
      </c>
      <c r="E629" s="64">
        <f>D629*4</f>
        <v>252.23999999999998</v>
      </c>
      <c r="F629" s="512">
        <f>'LiLAC valuation'!M383</f>
        <v>0.44243577545195056</v>
      </c>
      <c r="G629" s="64">
        <f>C629*F629</f>
        <v>46.5</v>
      </c>
      <c r="H629" s="554" t="e">
        <f>SOP!#REF!</f>
        <v>#REF!</v>
      </c>
      <c r="I629" s="64" t="e">
        <f>G629*H629</f>
        <v>#REF!</v>
      </c>
    </row>
    <row r="630" spans="2:9">
      <c r="B630" t="s">
        <v>1804</v>
      </c>
      <c r="C630" s="16">
        <f>C628+C629</f>
        <v>309.2</v>
      </c>
      <c r="D630" s="16">
        <f>D628+D629</f>
        <v>267.15999999999997</v>
      </c>
      <c r="E630" s="16">
        <f>E628+E629</f>
        <v>1068.6399999999999</v>
      </c>
      <c r="G630" s="16">
        <f>SUM(G628:G629)</f>
        <v>128.5</v>
      </c>
      <c r="H630" s="62" t="e">
        <f>I630/G630</f>
        <v>#REF!</v>
      </c>
      <c r="I630" s="16" t="e">
        <f>SUM(I628:I629)</f>
        <v>#REF!</v>
      </c>
    </row>
    <row r="631" spans="2:9">
      <c r="E631" s="16"/>
    </row>
    <row r="632" spans="2:9">
      <c r="B632" t="s">
        <v>1806</v>
      </c>
      <c r="C632" s="486">
        <f>C626+C630</f>
        <v>904.2</v>
      </c>
      <c r="D632" s="486">
        <f>D626+D630</f>
        <v>735.84545449999996</v>
      </c>
      <c r="E632" s="486">
        <f>E626+E630</f>
        <v>2943.3818179999998</v>
      </c>
      <c r="G632" s="486">
        <f>G626+G630</f>
        <v>832.70518368000012</v>
      </c>
      <c r="H632" s="62" t="e">
        <f>I632/G632</f>
        <v>#REF!</v>
      </c>
      <c r="I632" s="486" t="e">
        <f>I626+I630</f>
        <v>#REF!</v>
      </c>
    </row>
    <row r="633" spans="2:9">
      <c r="B633" s="3" t="s">
        <v>1808</v>
      </c>
      <c r="C633" s="3"/>
      <c r="D633" s="3"/>
      <c r="E633" s="3"/>
      <c r="F633" s="3"/>
      <c r="G633" s="3"/>
      <c r="H633" s="3"/>
      <c r="I633" s="487" t="e">
        <f>SOP!#REF!</f>
        <v>#REF!</v>
      </c>
    </row>
    <row r="634" spans="2:9">
      <c r="B634" t="s">
        <v>1399</v>
      </c>
      <c r="G634" s="486">
        <f>G632</f>
        <v>832.70518368000012</v>
      </c>
      <c r="H634" s="62" t="e">
        <f>I634/G634</f>
        <v>#REF!</v>
      </c>
      <c r="I634" s="486" t="e">
        <f>I632+I633</f>
        <v>#REF!</v>
      </c>
    </row>
    <row r="636" spans="2:9">
      <c r="C636" s="486">
        <f>C619+C620+C630</f>
        <v>429.49939999999998</v>
      </c>
      <c r="D636" s="5">
        <f>D618/D626</f>
        <v>0.32036975877603224</v>
      </c>
    </row>
    <row r="637" spans="2:9">
      <c r="C637" s="5">
        <f>C636/C632</f>
        <v>0.47500486618004861</v>
      </c>
    </row>
    <row r="639" spans="2:9">
      <c r="B639" s="3" t="s">
        <v>1839</v>
      </c>
      <c r="C639" s="32">
        <f>CWI!J2</f>
        <v>42430</v>
      </c>
      <c r="D639" s="32">
        <f>CWI!K2</f>
        <v>42705</v>
      </c>
      <c r="E639" s="32">
        <f>CWI!L2</f>
        <v>43070</v>
      </c>
      <c r="F639" s="32">
        <f>CWI!M2</f>
        <v>43435</v>
      </c>
      <c r="G639" s="32">
        <f>CWI!N2</f>
        <v>43800</v>
      </c>
      <c r="H639" s="1"/>
    </row>
    <row r="640" spans="2:9">
      <c r="B640" t="s">
        <v>0</v>
      </c>
      <c r="C640">
        <f>CWI!J25</f>
        <v>142</v>
      </c>
      <c r="D640">
        <f>CWI!K25</f>
        <v>152</v>
      </c>
      <c r="E640">
        <f>CWI!L25</f>
        <v>157</v>
      </c>
      <c r="F640">
        <f>CWI!M25</f>
        <v>162</v>
      </c>
      <c r="G640">
        <f>CWI!N25</f>
        <v>167</v>
      </c>
    </row>
    <row r="641" spans="2:7">
      <c r="B641" t="s">
        <v>2</v>
      </c>
      <c r="C641">
        <f>CWI!J126</f>
        <v>27</v>
      </c>
      <c r="D641">
        <f>CWI!K126</f>
        <v>32</v>
      </c>
      <c r="E641">
        <f>CWI!L126</f>
        <v>42</v>
      </c>
      <c r="F641">
        <f>CWI!M126</f>
        <v>52</v>
      </c>
      <c r="G641">
        <f>CWI!N126</f>
        <v>57</v>
      </c>
    </row>
    <row r="642" spans="2:7">
      <c r="B642" t="s">
        <v>1415</v>
      </c>
      <c r="C642">
        <f>CWI!J284</f>
        <v>525</v>
      </c>
      <c r="D642">
        <f>CWI!K284</f>
        <v>585</v>
      </c>
      <c r="E642">
        <f>CWI!L284</f>
        <v>615</v>
      </c>
      <c r="F642">
        <f>CWI!M284</f>
        <v>645</v>
      </c>
      <c r="G642">
        <f>CWI!N284</f>
        <v>675</v>
      </c>
    </row>
    <row r="643" spans="2:7">
      <c r="B643" s="3" t="s">
        <v>3</v>
      </c>
      <c r="C643" s="3">
        <v>7</v>
      </c>
      <c r="D643" s="3">
        <f>C643</f>
        <v>7</v>
      </c>
      <c r="E643" s="3">
        <f>D643</f>
        <v>7</v>
      </c>
      <c r="F643" s="3">
        <f>E643</f>
        <v>7</v>
      </c>
      <c r="G643" s="3">
        <f>F643</f>
        <v>7</v>
      </c>
    </row>
    <row r="644" spans="2:7">
      <c r="B644" t="s">
        <v>16</v>
      </c>
      <c r="C644">
        <f>SUM(C640:C643)</f>
        <v>701</v>
      </c>
      <c r="D644">
        <f>SUM(D640:D643)</f>
        <v>776</v>
      </c>
      <c r="E644">
        <f>SUM(E640:E643)</f>
        <v>821</v>
      </c>
      <c r="F644">
        <f>SUM(F640:F643)</f>
        <v>866</v>
      </c>
      <c r="G644">
        <f>SUM(G640:G643)</f>
        <v>906</v>
      </c>
    </row>
    <row r="645" spans="2:7">
      <c r="B645" t="s">
        <v>1838</v>
      </c>
      <c r="D645">
        <f>D644-C644</f>
        <v>75</v>
      </c>
      <c r="E645">
        <f>E644-D644</f>
        <v>45</v>
      </c>
      <c r="F645">
        <f>F644-E644</f>
        <v>45</v>
      </c>
      <c r="G645">
        <f>G644-F644</f>
        <v>40</v>
      </c>
    </row>
    <row r="647" spans="2:7">
      <c r="B647" s="3" t="s">
        <v>1841</v>
      </c>
      <c r="C647" s="32">
        <f>C639</f>
        <v>42430</v>
      </c>
      <c r="D647" s="32">
        <f>D639</f>
        <v>42705</v>
      </c>
      <c r="E647" s="32">
        <f>E639</f>
        <v>43070</v>
      </c>
      <c r="F647" s="32">
        <f>F639</f>
        <v>43435</v>
      </c>
      <c r="G647" s="32">
        <f>G639</f>
        <v>43800</v>
      </c>
    </row>
    <row r="648" spans="2:7">
      <c r="B648" t="str">
        <f>B640</f>
        <v>Panama</v>
      </c>
      <c r="C648" s="16">
        <f>CWI!J9</f>
        <v>47.524751999999992</v>
      </c>
      <c r="D648" s="16">
        <f>CWI!K9</f>
        <v>49.463900639999991</v>
      </c>
      <c r="E648" s="16">
        <f>CWI!L9</f>
        <v>51.98756903999999</v>
      </c>
      <c r="F648" s="16">
        <f>CWI!M9</f>
        <v>54.206714786399999</v>
      </c>
      <c r="G648" s="16">
        <f>CWI!N9</f>
        <v>56.465044690823994</v>
      </c>
    </row>
    <row r="649" spans="2:7">
      <c r="B649" t="str">
        <f>B641</f>
        <v>BTC</v>
      </c>
      <c r="C649" s="16">
        <f>CWI!J110</f>
        <v>14.084928</v>
      </c>
      <c r="D649" s="16">
        <f>CWI!K110</f>
        <v>15.181927199999997</v>
      </c>
      <c r="E649" s="16">
        <f>CWI!L110</f>
        <v>18.660904415999994</v>
      </c>
      <c r="F649" s="16">
        <f>CWI!M110</f>
        <v>23.230304254079993</v>
      </c>
      <c r="G649" s="16">
        <f>CWI!N110</f>
        <v>26.129149667913591</v>
      </c>
    </row>
    <row r="650" spans="2:7">
      <c r="B650" t="str">
        <f>B642</f>
        <v>Caribbean</v>
      </c>
      <c r="C650" s="16">
        <f>CWI!J269</f>
        <v>207.06</v>
      </c>
      <c r="D650" s="16">
        <f>CWI!K269</f>
        <v>215.11799999999999</v>
      </c>
      <c r="E650" s="16">
        <f>CWI!L269</f>
        <v>218.60639999999995</v>
      </c>
      <c r="F650" s="16">
        <f>CWI!M269</f>
        <v>234.12745439999998</v>
      </c>
      <c r="G650" s="16">
        <f>CWI!N269</f>
        <v>250.18190841599997</v>
      </c>
    </row>
    <row r="651" spans="2:7">
      <c r="B651" s="3" t="str">
        <f>B643</f>
        <v>Seychelles</v>
      </c>
      <c r="C651" s="64">
        <f>CWI!J156*0.7</f>
        <v>8.0850000000000009</v>
      </c>
      <c r="D651" s="64">
        <f>CWI!K156*0.7</f>
        <v>8.4084000000000003</v>
      </c>
      <c r="E651" s="64">
        <f>CWI!L156*0.7</f>
        <v>8.6606519999999989</v>
      </c>
      <c r="F651" s="64">
        <f>CWI!M156*0.7</f>
        <v>8.8338650399999992</v>
      </c>
      <c r="G651" s="64">
        <f>CWI!N156*0.7</f>
        <v>9.0105423408000007</v>
      </c>
    </row>
    <row r="652" spans="2:7">
      <c r="B652" t="s">
        <v>16</v>
      </c>
      <c r="C652" s="16">
        <f>SUM(C648:C651)</f>
        <v>276.75467999999995</v>
      </c>
      <c r="D652" s="16">
        <f>SUM(D648:D651)</f>
        <v>288.17222784000001</v>
      </c>
      <c r="E652" s="16">
        <f>SUM(E648:E651)</f>
        <v>297.91552545599995</v>
      </c>
      <c r="F652" s="16">
        <f>SUM(F648:F651)</f>
        <v>320.39833848047994</v>
      </c>
      <c r="G652" s="16">
        <f>SUM(G648:G651)</f>
        <v>341.78664511553751</v>
      </c>
    </row>
    <row r="653" spans="2:7">
      <c r="B653" t="s">
        <v>78</v>
      </c>
      <c r="D653" s="5">
        <f>D652/C652-1</f>
        <v>4.1255121105811421E-2</v>
      </c>
      <c r="E653" s="5">
        <f>E652/D652-1</f>
        <v>3.3810675265382173E-2</v>
      </c>
      <c r="F653" s="5">
        <f>F652/E652-1</f>
        <v>7.54670740642569E-2</v>
      </c>
      <c r="G653" s="5">
        <f>G652/F652-1</f>
        <v>6.6755360644170869E-2</v>
      </c>
    </row>
    <row r="655" spans="2:7">
      <c r="B655" s="3" t="s">
        <v>362</v>
      </c>
      <c r="C655" s="32">
        <f>C647</f>
        <v>42430</v>
      </c>
      <c r="D655" s="32">
        <f>D647</f>
        <v>42705</v>
      </c>
      <c r="E655" s="32">
        <f>E647</f>
        <v>43070</v>
      </c>
      <c r="F655" s="32">
        <f>F647</f>
        <v>43435</v>
      </c>
      <c r="G655" s="32">
        <f>G647</f>
        <v>43800</v>
      </c>
    </row>
    <row r="656" spans="2:7">
      <c r="B656" t="str">
        <f>B640</f>
        <v>Panama</v>
      </c>
      <c r="C656">
        <f>CWI!J27</f>
        <v>61</v>
      </c>
      <c r="D656">
        <f>CWI!K27</f>
        <v>66</v>
      </c>
      <c r="E656">
        <f>CWI!L27</f>
        <v>71</v>
      </c>
      <c r="F656">
        <f>CWI!M27</f>
        <v>76</v>
      </c>
      <c r="G656">
        <f>CWI!N27</f>
        <v>81</v>
      </c>
    </row>
    <row r="657" spans="2:7">
      <c r="B657" t="str">
        <f>B641</f>
        <v>BTC</v>
      </c>
      <c r="C657">
        <f>CWI!J128</f>
        <v>0</v>
      </c>
      <c r="D657">
        <f>CWI!K128</f>
        <v>0</v>
      </c>
      <c r="E657">
        <f>CWI!L128</f>
        <v>0</v>
      </c>
      <c r="F657">
        <f>CWI!M128</f>
        <v>0</v>
      </c>
      <c r="G657">
        <f>CWI!N128</f>
        <v>0</v>
      </c>
    </row>
    <row r="658" spans="2:7">
      <c r="B658" t="str">
        <f>B642</f>
        <v>Caribbean</v>
      </c>
      <c r="C658">
        <f>CWI!J286</f>
        <v>400</v>
      </c>
      <c r="D658">
        <f>CWI!K286</f>
        <v>430</v>
      </c>
      <c r="E658">
        <f>CWI!L286</f>
        <v>460</v>
      </c>
      <c r="F658">
        <f>CWI!M286</f>
        <v>490</v>
      </c>
      <c r="G658">
        <f>CWI!N286</f>
        <v>510</v>
      </c>
    </row>
    <row r="659" spans="2:7">
      <c r="B659" s="3" t="str">
        <f>B643</f>
        <v>Seychelles</v>
      </c>
      <c r="C659" s="3">
        <v>7</v>
      </c>
      <c r="D659" s="3">
        <v>7</v>
      </c>
      <c r="E659" s="3">
        <v>7</v>
      </c>
      <c r="F659" s="3">
        <v>7</v>
      </c>
      <c r="G659" s="3">
        <v>7</v>
      </c>
    </row>
    <row r="660" spans="2:7">
      <c r="B660" t="s">
        <v>16</v>
      </c>
      <c r="C660">
        <f>SUM(C656:C659)</f>
        <v>468</v>
      </c>
      <c r="D660">
        <f>SUM(D656:D659)</f>
        <v>503</v>
      </c>
      <c r="E660">
        <f>SUM(E656:E659)</f>
        <v>538</v>
      </c>
      <c r="F660">
        <f>SUM(F656:F659)</f>
        <v>573</v>
      </c>
      <c r="G660">
        <f>SUM(G656:G659)</f>
        <v>598</v>
      </c>
    </row>
    <row r="661" spans="2:7">
      <c r="B661" t="s">
        <v>1838</v>
      </c>
      <c r="D661">
        <f>D660-C660</f>
        <v>35</v>
      </c>
      <c r="E661">
        <f>E660-D660</f>
        <v>35</v>
      </c>
      <c r="F661">
        <f>F660-E660</f>
        <v>35</v>
      </c>
      <c r="G661">
        <f>G660-F660</f>
        <v>25</v>
      </c>
    </row>
    <row r="663" spans="2:7">
      <c r="B663" s="3" t="s">
        <v>1842</v>
      </c>
      <c r="C663" s="32">
        <f>C655</f>
        <v>42430</v>
      </c>
      <c r="D663" s="32">
        <f>D655</f>
        <v>42705</v>
      </c>
      <c r="E663" s="32">
        <f>E655</f>
        <v>43070</v>
      </c>
      <c r="F663" s="32">
        <f>F655</f>
        <v>43435</v>
      </c>
      <c r="G663" s="32">
        <f>G655</f>
        <v>43800</v>
      </c>
    </row>
    <row r="664" spans="2:7">
      <c r="B664" t="str">
        <f>B656</f>
        <v>Panama</v>
      </c>
      <c r="C664" s="16">
        <f>CWI!J10+CWI!J11</f>
        <v>25.852278000000002</v>
      </c>
      <c r="D664" s="16">
        <f>CWI!K10+CWI!K11</f>
        <v>27.315437640000003</v>
      </c>
      <c r="E664" s="16">
        <f>CWI!L10+CWI!L11</f>
        <v>28.710891823200004</v>
      </c>
      <c r="F664" s="16">
        <f>CWI!M10+CWI!M11</f>
        <v>30.040763504015999</v>
      </c>
      <c r="G664" s="16">
        <f>CWI!N10+CWI!N11</f>
        <v>31.307117800870078</v>
      </c>
    </row>
    <row r="665" spans="2:7">
      <c r="B665" t="str">
        <f>B657</f>
        <v>BTC</v>
      </c>
      <c r="C665" s="16">
        <f>CWI!J111+CWI!J112</f>
        <v>0.2256000000000018</v>
      </c>
      <c r="D665" s="16">
        <f>CWI!K111+CWI!K112</f>
        <v>0.2256000000000018</v>
      </c>
      <c r="E665" s="16">
        <f>CWI!L111+CWI!L112</f>
        <v>0.2256000000000018</v>
      </c>
      <c r="F665" s="16">
        <f>CWI!M111+CWI!M112</f>
        <v>0.2256000000000018</v>
      </c>
      <c r="G665" s="16">
        <f>CWI!N111+CWI!N112</f>
        <v>0.2256000000000018</v>
      </c>
    </row>
    <row r="666" spans="2:7">
      <c r="B666" t="str">
        <f>B658</f>
        <v>Caribbean</v>
      </c>
      <c r="C666" s="16">
        <f>CWI!J270</f>
        <v>176.4</v>
      </c>
      <c r="D666" s="16">
        <f>CWI!K270</f>
        <v>170.20394999999999</v>
      </c>
      <c r="E666" s="16">
        <f>CWI!L270</f>
        <v>178.85769299999998</v>
      </c>
      <c r="F666" s="16">
        <f>CWI!M270</f>
        <v>198.55213559999999</v>
      </c>
      <c r="G666" s="16">
        <f>CWI!N270</f>
        <v>219.45236039999995</v>
      </c>
    </row>
    <row r="667" spans="2:7">
      <c r="B667" s="3" t="str">
        <f>B659</f>
        <v>Seychelles</v>
      </c>
      <c r="C667" s="64">
        <f>CWI!J156*0.3+CWI!J160</f>
        <v>9.8649999999999913</v>
      </c>
      <c r="D667" s="64">
        <f>CWI!K156*0.3+CWI!K160</f>
        <v>13.299300000000002</v>
      </c>
      <c r="E667" s="64">
        <f>CWI!L156*0.3+CWI!L160</f>
        <v>13.107847999999995</v>
      </c>
      <c r="F667" s="64">
        <f>CWI!M156*0.3+CWI!M160</f>
        <v>13.182082159999995</v>
      </c>
      <c r="G667" s="64">
        <f>CWI!N156*0.3+CWI!N160</f>
        <v>13.257801003199996</v>
      </c>
    </row>
    <row r="668" spans="2:7">
      <c r="B668" t="str">
        <f>B660</f>
        <v>Total</v>
      </c>
      <c r="C668" s="16">
        <f>SUM(C664:C667)</f>
        <v>212.34287799999998</v>
      </c>
      <c r="D668" s="16">
        <f>SUM(D664:D667)</f>
        <v>211.04428763999999</v>
      </c>
      <c r="E668" s="16">
        <f>SUM(E664:E667)</f>
        <v>220.90203282319999</v>
      </c>
      <c r="F668" s="16">
        <f>SUM(F664:F667)</f>
        <v>242.00058126401598</v>
      </c>
      <c r="G668" s="16">
        <f>SUM(G664:G667)</f>
        <v>264.24287920406999</v>
      </c>
    </row>
    <row r="669" spans="2:7">
      <c r="B669" t="s">
        <v>78</v>
      </c>
      <c r="D669" s="5">
        <f>D668/C668-1</f>
        <v>-6.1155352712135569E-3</v>
      </c>
      <c r="E669" s="5">
        <f>E668/D668-1</f>
        <v>4.6709367467056895E-2</v>
      </c>
      <c r="F669" s="5">
        <f>F668/E668-1</f>
        <v>9.5510884038366051E-2</v>
      </c>
      <c r="G669" s="5">
        <f>G668/F668-1</f>
        <v>9.191010130586541E-2</v>
      </c>
    </row>
    <row r="672" spans="2:7">
      <c r="C672" t="s">
        <v>1843</v>
      </c>
    </row>
    <row r="673" spans="2:8">
      <c r="B673" t="str">
        <f>Quarts!B389</f>
        <v>Mobile</v>
      </c>
      <c r="C673" s="5">
        <f>Quarts!X389</f>
        <v>1.3800398126309954E-2</v>
      </c>
    </row>
    <row r="674" spans="2:8">
      <c r="B674" t="str">
        <f>Quarts!B390</f>
        <v>BB</v>
      </c>
      <c r="C674" s="5">
        <f>Quarts!X390</f>
        <v>9.9692831085212985E-2</v>
      </c>
    </row>
    <row r="675" spans="2:8">
      <c r="B675" t="str">
        <f>Quarts!B391</f>
        <v>Video</v>
      </c>
      <c r="C675" s="5">
        <f>Quarts!X391</f>
        <v>2.3302601585499794E-2</v>
      </c>
    </row>
    <row r="676" spans="2:8">
      <c r="B676" s="3" t="str">
        <f>Quarts!B392</f>
        <v>Fixed voice</v>
      </c>
      <c r="C676" s="512">
        <f>Quarts!X392</f>
        <v>-5.5655706527819149E-2</v>
      </c>
    </row>
    <row r="677" spans="2:8">
      <c r="B677" t="str">
        <f>Quarts!B393</f>
        <v>Total</v>
      </c>
      <c r="C677" s="5">
        <f>Quarts!X393</f>
        <v>1.2520157090812889E-2</v>
      </c>
    </row>
    <row r="680" spans="2:8">
      <c r="B680" s="3" t="s">
        <v>1927</v>
      </c>
      <c r="C680" s="32">
        <f>C663</f>
        <v>42430</v>
      </c>
      <c r="D680" s="32">
        <f>D663</f>
        <v>42705</v>
      </c>
      <c r="E680" s="32">
        <f>E663</f>
        <v>43070</v>
      </c>
      <c r="F680" s="32">
        <f>F663</f>
        <v>43435</v>
      </c>
      <c r="G680" s="32">
        <f>G663</f>
        <v>43800</v>
      </c>
      <c r="H680" s="32" t="s">
        <v>1844</v>
      </c>
    </row>
    <row r="681" spans="2:8">
      <c r="B681" t="str">
        <f>B664</f>
        <v>Panama</v>
      </c>
      <c r="C681" s="16">
        <f>CWI!J6</f>
        <v>355.40101799999997</v>
      </c>
      <c r="D681" s="16">
        <f>CWI!K6</f>
        <v>357.01307327999996</v>
      </c>
      <c r="E681" s="16">
        <f>CWI!L6</f>
        <v>303.93988066559996</v>
      </c>
      <c r="F681" s="16">
        <f>CWI!M6</f>
        <v>281.09268632063998</v>
      </c>
      <c r="G681" s="16">
        <f>CWI!N6</f>
        <v>275.26025655459836</v>
      </c>
      <c r="H681" s="6">
        <f t="shared" ref="H681:H686" si="21">(G681/C681)^(1/4)-1</f>
        <v>-6.1884718015015383E-2</v>
      </c>
    </row>
    <row r="682" spans="2:8">
      <c r="B682" t="str">
        <f>B665</f>
        <v>BTC</v>
      </c>
      <c r="C682" s="16">
        <f>CWI!J103</f>
        <v>229.08694400000002</v>
      </c>
      <c r="D682" s="16">
        <f>CWI!K103</f>
        <v>201.07058815999997</v>
      </c>
      <c r="E682" s="16">
        <f>CWI!L103</f>
        <v>155.80294111999999</v>
      </c>
      <c r="F682" s="16">
        <f>CWI!M103</f>
        <v>125.37981977599999</v>
      </c>
      <c r="G682" s="16">
        <f>CWI!N103</f>
        <v>106.7996936576</v>
      </c>
      <c r="H682" s="6">
        <f t="shared" si="21"/>
        <v>-0.17369112556747246</v>
      </c>
    </row>
    <row r="683" spans="2:8">
      <c r="B683" t="s">
        <v>32</v>
      </c>
      <c r="C683" s="16">
        <f>CWI!J204</f>
        <v>96.644444444444446</v>
      </c>
      <c r="D683" s="16">
        <f>CWI!K204</f>
        <v>100.30758064516129</v>
      </c>
      <c r="E683" s="16">
        <f>CWI!L204</f>
        <v>107.64715971675849</v>
      </c>
      <c r="F683" s="16">
        <f>CWI!M204</f>
        <v>113.42334877473093</v>
      </c>
      <c r="G683" s="16">
        <f>CWI!N204</f>
        <v>117.29634117191686</v>
      </c>
      <c r="H683" s="6">
        <f t="shared" si="21"/>
        <v>4.9607421606040036E-2</v>
      </c>
    </row>
    <row r="684" spans="2:8">
      <c r="B684" t="s">
        <v>1845</v>
      </c>
      <c r="C684" s="16">
        <f>CWI!J266-C683</f>
        <v>231.98931555555561</v>
      </c>
      <c r="D684" s="16">
        <f>CWI!K266-D683</f>
        <v>231.84853455483875</v>
      </c>
      <c r="E684" s="16">
        <f>CWI!L266-E683</f>
        <v>236.54293525924152</v>
      </c>
      <c r="F684" s="16">
        <f>CWI!M266-F683</f>
        <v>238.135491264949</v>
      </c>
      <c r="G684" s="16">
        <f>CWI!N266-G683</f>
        <v>241.81413932659825</v>
      </c>
      <c r="H684" s="6">
        <f t="shared" si="21"/>
        <v>1.0423473527944704E-2</v>
      </c>
    </row>
    <row r="685" spans="2:8">
      <c r="B685" s="3" t="str">
        <f>B667</f>
        <v>Seychelles</v>
      </c>
      <c r="C685" s="64">
        <f>CWI!J154</f>
        <v>30.450000000000003</v>
      </c>
      <c r="D685" s="64">
        <f>CWI!K154</f>
        <v>30.450000000000003</v>
      </c>
      <c r="E685" s="64">
        <f>CWI!L154</f>
        <v>31.972500000000004</v>
      </c>
      <c r="F685" s="64">
        <f>CWI!M154</f>
        <v>32.292225000000002</v>
      </c>
      <c r="G685" s="64">
        <f>CWI!N154</f>
        <v>32.61514725</v>
      </c>
      <c r="H685" s="7">
        <f t="shared" si="21"/>
        <v>1.7321005072597151E-2</v>
      </c>
    </row>
    <row r="686" spans="2:8">
      <c r="B686" t="s">
        <v>1840</v>
      </c>
      <c r="C686" s="16">
        <f>SUM(C681:C685)</f>
        <v>943.57172199999991</v>
      </c>
      <c r="D686" s="16">
        <f>SUM(D681:D685)</f>
        <v>920.68977663999999</v>
      </c>
      <c r="E686" s="16">
        <f>SUM(E681:E685)</f>
        <v>835.90541676160001</v>
      </c>
      <c r="F686" s="16">
        <f>SUM(F681:F685)</f>
        <v>790.32357113631986</v>
      </c>
      <c r="G686" s="16">
        <f>SUM(G681:G685)</f>
        <v>773.78557796071345</v>
      </c>
      <c r="H686" s="6">
        <f t="shared" si="21"/>
        <v>-4.8384672577460264E-2</v>
      </c>
    </row>
    <row r="687" spans="2:8">
      <c r="B687" t="s">
        <v>78</v>
      </c>
      <c r="D687" s="5">
        <f>D686/C686-1</f>
        <v>-2.42503509023132E-2</v>
      </c>
      <c r="E687" s="5">
        <f>E686/D686-1</f>
        <v>-9.2087869366612507E-2</v>
      </c>
      <c r="F687" s="5">
        <f>F686/E686-1</f>
        <v>-5.4529908182518794E-2</v>
      </c>
      <c r="G687" s="5">
        <f>G686/F686-1</f>
        <v>-2.0925597792595507E-2</v>
      </c>
    </row>
    <row r="689" spans="2:8">
      <c r="B689" s="3" t="s">
        <v>1846</v>
      </c>
      <c r="C689" s="32">
        <f>C639</f>
        <v>42430</v>
      </c>
      <c r="D689" s="32">
        <f>D639</f>
        <v>42705</v>
      </c>
      <c r="E689" s="32">
        <f>E639</f>
        <v>43070</v>
      </c>
      <c r="F689" s="32">
        <f>F639</f>
        <v>43435</v>
      </c>
      <c r="G689" s="32">
        <f>G639</f>
        <v>43800</v>
      </c>
      <c r="H689" s="32"/>
    </row>
    <row r="690" spans="2:8">
      <c r="B690" t="s">
        <v>0</v>
      </c>
      <c r="C690" s="486">
        <f>CWI!J29</f>
        <v>361</v>
      </c>
      <c r="D690" s="486">
        <f>CWI!K29</f>
        <v>353</v>
      </c>
      <c r="E690" s="486">
        <f>CWI!L29</f>
        <v>345</v>
      </c>
      <c r="F690" s="486">
        <f>CWI!M29</f>
        <v>337</v>
      </c>
      <c r="G690" s="486">
        <f>CWI!N29</f>
        <v>329</v>
      </c>
    </row>
    <row r="691" spans="2:8">
      <c r="B691" t="s">
        <v>2</v>
      </c>
      <c r="C691" s="486">
        <f>CWI!J130</f>
        <v>97</v>
      </c>
      <c r="D691" s="486">
        <f>CWI!K130</f>
        <v>95</v>
      </c>
      <c r="E691" s="486">
        <f>CWI!L130</f>
        <v>93</v>
      </c>
      <c r="F691" s="486">
        <f>CWI!M130</f>
        <v>91</v>
      </c>
      <c r="G691" s="486">
        <f>CWI!N130</f>
        <v>89</v>
      </c>
    </row>
    <row r="692" spans="2:8">
      <c r="B692" t="s">
        <v>1415</v>
      </c>
      <c r="C692" s="486">
        <f>CWI!J288</f>
        <v>645</v>
      </c>
      <c r="D692" s="486">
        <f>CWI!K288</f>
        <v>640</v>
      </c>
      <c r="E692" s="486">
        <f>CWI!L288</f>
        <v>635</v>
      </c>
      <c r="F692" s="486">
        <f>CWI!M288</f>
        <v>630</v>
      </c>
      <c r="G692" s="486">
        <f>CWI!N288</f>
        <v>628</v>
      </c>
    </row>
    <row r="693" spans="2:8">
      <c r="B693" s="3" t="s">
        <v>3</v>
      </c>
      <c r="C693" s="487">
        <v>18</v>
      </c>
      <c r="D693" s="487">
        <f>C693</f>
        <v>18</v>
      </c>
      <c r="E693" s="487">
        <f>D693</f>
        <v>18</v>
      </c>
      <c r="F693" s="487">
        <f>E693</f>
        <v>18</v>
      </c>
      <c r="G693" s="487">
        <f>F693</f>
        <v>18</v>
      </c>
    </row>
    <row r="694" spans="2:8">
      <c r="B694" t="s">
        <v>16</v>
      </c>
      <c r="C694" s="486">
        <f>SUM(C690:C693)</f>
        <v>1121</v>
      </c>
      <c r="D694" s="486">
        <f>SUM(D690:D693)</f>
        <v>1106</v>
      </c>
      <c r="E694" s="486">
        <f>SUM(E690:E693)</f>
        <v>1091</v>
      </c>
      <c r="F694" s="486">
        <f>SUM(F690:F693)</f>
        <v>1076</v>
      </c>
      <c r="G694" s="486">
        <f>SUM(G690:G693)</f>
        <v>1064</v>
      </c>
    </row>
    <row r="695" spans="2:8">
      <c r="B695" s="488" t="s">
        <v>1847</v>
      </c>
      <c r="C695" s="486">
        <v>63</v>
      </c>
      <c r="D695" s="486">
        <f>C695</f>
        <v>63</v>
      </c>
      <c r="E695" s="486">
        <f>D695</f>
        <v>63</v>
      </c>
      <c r="F695" s="486">
        <f>E695</f>
        <v>63</v>
      </c>
      <c r="G695" s="486">
        <f>F695</f>
        <v>63</v>
      </c>
    </row>
    <row r="696" spans="2:8">
      <c r="B696" s="488" t="s">
        <v>1848</v>
      </c>
      <c r="C696" s="486">
        <f>C694-C695</f>
        <v>1058</v>
      </c>
      <c r="D696" s="486">
        <f>D694-D695</f>
        <v>1043</v>
      </c>
      <c r="E696" s="486">
        <f>E694-E695</f>
        <v>1028</v>
      </c>
      <c r="F696" s="486">
        <f>F694-F695</f>
        <v>1013</v>
      </c>
      <c r="G696" s="486">
        <f>G694-G695</f>
        <v>1001</v>
      </c>
    </row>
    <row r="697" spans="2:8">
      <c r="B697" t="s">
        <v>1838</v>
      </c>
      <c r="D697">
        <f>D694-C694</f>
        <v>-15</v>
      </c>
      <c r="E697">
        <f>E694-D694</f>
        <v>-15</v>
      </c>
      <c r="F697">
        <f>F694-E694</f>
        <v>-15</v>
      </c>
      <c r="G697">
        <f>G694-F694</f>
        <v>-12</v>
      </c>
    </row>
    <row r="699" spans="2:8">
      <c r="B699" s="3" t="s">
        <v>1849</v>
      </c>
      <c r="C699" s="32">
        <f>C689</f>
        <v>42430</v>
      </c>
      <c r="D699" s="32">
        <f>D689</f>
        <v>42705</v>
      </c>
      <c r="E699" s="32">
        <f>E689</f>
        <v>43070</v>
      </c>
      <c r="F699" s="32">
        <f>F689</f>
        <v>43435</v>
      </c>
      <c r="G699" s="32">
        <f>G689</f>
        <v>43800</v>
      </c>
    </row>
    <row r="700" spans="2:8">
      <c r="B700" t="s">
        <v>0</v>
      </c>
      <c r="C700" s="486">
        <f>CWI!J15</f>
        <v>94.611779999999996</v>
      </c>
      <c r="D700" s="486">
        <f>CWI!K15</f>
        <v>85.486363200000014</v>
      </c>
      <c r="E700" s="486">
        <f>CWI!L15</f>
        <v>81.063581328000012</v>
      </c>
      <c r="F700" s="486">
        <f>CWI!M15</f>
        <v>76.829228641439997</v>
      </c>
      <c r="G700" s="486">
        <f>CWI!N15</f>
        <v>72.775979892878397</v>
      </c>
    </row>
    <row r="701" spans="2:8">
      <c r="B701" t="s">
        <v>2</v>
      </c>
      <c r="C701" s="486">
        <f>CWI!J63</f>
        <v>186.32387999999997</v>
      </c>
      <c r="D701" s="486">
        <f>CWI!K63</f>
        <v>176.02345559999998</v>
      </c>
      <c r="E701" s="486">
        <f>CWI!L63</f>
        <v>167.38715759999997</v>
      </c>
      <c r="F701" s="486">
        <f>CWI!M63</f>
        <v>157.96574159999997</v>
      </c>
      <c r="G701" s="486">
        <f>CWI!N63</f>
        <v>150.02976885599998</v>
      </c>
    </row>
    <row r="702" spans="2:8">
      <c r="B702" t="s">
        <v>1415</v>
      </c>
      <c r="C702" s="486">
        <f>CWI!J274</f>
        <v>209.87010000000004</v>
      </c>
      <c r="D702" s="486">
        <f>CWI!K274</f>
        <v>192.33211800000001</v>
      </c>
      <c r="E702" s="486">
        <f>CWI!L274</f>
        <v>181.29360150000002</v>
      </c>
      <c r="F702" s="486">
        <f>CWI!M274</f>
        <v>176.27425708200002</v>
      </c>
      <c r="G702" s="486">
        <f>CWI!N274</f>
        <v>173.54583814629601</v>
      </c>
    </row>
    <row r="703" spans="2:8">
      <c r="B703" s="3" t="s">
        <v>3</v>
      </c>
      <c r="C703" s="487">
        <f>CWI!J158</f>
        <v>7.6</v>
      </c>
      <c r="D703" s="487">
        <f>CWI!K158</f>
        <v>7.22</v>
      </c>
      <c r="E703" s="487">
        <f>CWI!L158</f>
        <v>6.8589999999999991</v>
      </c>
      <c r="F703" s="487">
        <f>CWI!M158</f>
        <v>6.516049999999999</v>
      </c>
      <c r="G703" s="487">
        <f>CWI!N158</f>
        <v>6.190247499999999</v>
      </c>
    </row>
    <row r="704" spans="2:8">
      <c r="B704" t="s">
        <v>16</v>
      </c>
      <c r="C704" s="486">
        <f>SUM(C700:C703)</f>
        <v>498.40576000000004</v>
      </c>
      <c r="D704" s="486">
        <f>SUM(D700:D703)</f>
        <v>461.06193680000001</v>
      </c>
      <c r="E704" s="486">
        <f>SUM(E700:E703)</f>
        <v>436.60334042799997</v>
      </c>
      <c r="F704" s="486">
        <f>SUM(F700:F703)</f>
        <v>417.58527732343998</v>
      </c>
      <c r="G704" s="486">
        <f>SUM(G700:G703)</f>
        <v>402.54183439517436</v>
      </c>
    </row>
    <row r="705" spans="2:8">
      <c r="B705" t="s">
        <v>78</v>
      </c>
      <c r="D705" s="5">
        <f>D704/C704-1</f>
        <v>-7.4926548200406118E-2</v>
      </c>
      <c r="E705" s="5">
        <f>E704/D704-1</f>
        <v>-5.3048396364607564E-2</v>
      </c>
      <c r="F705" s="5">
        <f>F704/E704-1</f>
        <v>-4.3559133299155839E-2</v>
      </c>
      <c r="G705" s="5">
        <f>G704/F704-1</f>
        <v>-3.602484030253239E-2</v>
      </c>
    </row>
    <row r="707" spans="2:8">
      <c r="B707" s="3" t="s">
        <v>1928</v>
      </c>
      <c r="C707" s="32">
        <f>C699</f>
        <v>42430</v>
      </c>
      <c r="D707" s="32">
        <f>D699</f>
        <v>42705</v>
      </c>
      <c r="E707" s="32">
        <f>E699</f>
        <v>43070</v>
      </c>
      <c r="F707" s="32">
        <f>F699</f>
        <v>43435</v>
      </c>
      <c r="G707" s="32">
        <f>G699</f>
        <v>43800</v>
      </c>
    </row>
    <row r="708" spans="2:8">
      <c r="B708" t="s">
        <v>0</v>
      </c>
      <c r="C708" s="486">
        <f>CWI!J18</f>
        <v>125.61017200000009</v>
      </c>
      <c r="D708" s="486">
        <f>CWI!K18</f>
        <v>125.20827523999998</v>
      </c>
      <c r="E708" s="486">
        <f>CWI!L18</f>
        <v>159.09807714319993</v>
      </c>
      <c r="F708" s="486">
        <f>CWI!M18</f>
        <v>154.83060674750408</v>
      </c>
      <c r="G708" s="486">
        <f>CWI!N18</f>
        <v>162.5721370848793</v>
      </c>
    </row>
    <row r="709" spans="2:8">
      <c r="B709" t="s">
        <v>2</v>
      </c>
      <c r="C709" s="486">
        <f>CWI!J66</f>
        <v>149.76</v>
      </c>
      <c r="D709" s="486">
        <f>CWI!K66</f>
        <v>154.25280000000001</v>
      </c>
      <c r="E709" s="486">
        <f>CWI!L66</f>
        <v>158.88038400000002</v>
      </c>
      <c r="F709" s="486">
        <f>CWI!M66</f>
        <v>163.64679552000001</v>
      </c>
      <c r="G709" s="486">
        <f>CWI!N66</f>
        <v>168.55619938560002</v>
      </c>
    </row>
    <row r="710" spans="2:8">
      <c r="B710" t="s">
        <v>1415</v>
      </c>
      <c r="C710" s="486">
        <f>CWI!J66</f>
        <v>149.76</v>
      </c>
      <c r="D710" s="486">
        <f>CWI!K66</f>
        <v>154.25280000000001</v>
      </c>
      <c r="E710" s="486">
        <f>CWI!L66</f>
        <v>158.88038400000002</v>
      </c>
      <c r="F710" s="486">
        <f>CWI!M66</f>
        <v>163.64679552000001</v>
      </c>
      <c r="G710" s="486">
        <f>CWI!N66</f>
        <v>168.55619938560002</v>
      </c>
    </row>
    <row r="711" spans="2:8">
      <c r="B711" s="3" t="s">
        <v>3</v>
      </c>
      <c r="C711" s="487">
        <f>CWI!J160</f>
        <v>6.3999999999999915</v>
      </c>
      <c r="D711" s="487">
        <f>CWI!K160</f>
        <v>9.6957000000000022</v>
      </c>
      <c r="E711" s="487">
        <f>CWI!L160</f>
        <v>9.3961399999999955</v>
      </c>
      <c r="F711" s="487">
        <f>CWI!M160</f>
        <v>9.3961399999999955</v>
      </c>
      <c r="G711" s="487">
        <f>CWI!N160</f>
        <v>9.3961399999999955</v>
      </c>
    </row>
    <row r="712" spans="2:8">
      <c r="B712" t="s">
        <v>16</v>
      </c>
      <c r="C712" s="486">
        <f>SUM(C708:C711)</f>
        <v>431.53017200000005</v>
      </c>
      <c r="D712" s="486">
        <f>SUM(D708:D711)</f>
        <v>443.40957523999998</v>
      </c>
      <c r="E712" s="486">
        <f>SUM(E708:E711)</f>
        <v>486.25498514320003</v>
      </c>
      <c r="F712" s="486">
        <f>SUM(F708:F711)</f>
        <v>491.5203377875041</v>
      </c>
      <c r="G712" s="486">
        <f>SUM(G708:G711)</f>
        <v>509.08067585607938</v>
      </c>
    </row>
    <row r="713" spans="2:8">
      <c r="B713" t="s">
        <v>78</v>
      </c>
      <c r="D713" s="5">
        <f>D712/C712-1</f>
        <v>2.7528557701870016E-2</v>
      </c>
      <c r="E713" s="5">
        <f>E712/D712-1</f>
        <v>9.6627164354783135E-2</v>
      </c>
      <c r="F713" s="5">
        <f>F712/E712-1</f>
        <v>1.0828377713708148E-2</v>
      </c>
      <c r="G713" s="5">
        <f>G712/F712-1</f>
        <v>3.5726574708220937E-2</v>
      </c>
    </row>
    <row r="714" spans="2:8">
      <c r="D714" s="5"/>
      <c r="E714" s="5"/>
      <c r="F714" s="5"/>
      <c r="G714" s="5"/>
    </row>
    <row r="715" spans="2:8">
      <c r="B715" s="3" t="s">
        <v>1925</v>
      </c>
      <c r="C715" s="3">
        <v>2016</v>
      </c>
      <c r="D715" s="3">
        <f>C715+1</f>
        <v>2017</v>
      </c>
      <c r="E715" s="3">
        <f>D715+1</f>
        <v>2018</v>
      </c>
      <c r="F715" s="3">
        <f>E715+1</f>
        <v>2019</v>
      </c>
      <c r="G715" s="3"/>
    </row>
    <row r="716" spans="2:8">
      <c r="B716" t="s">
        <v>5</v>
      </c>
      <c r="C716" s="5">
        <f>D687</f>
        <v>-2.42503509023132E-2</v>
      </c>
      <c r="D716" s="5">
        <f>E686/D686-1</f>
        <v>-9.2087869366612507E-2</v>
      </c>
      <c r="E716" s="5">
        <f>F686/E686-1</f>
        <v>-5.4529908182518794E-2</v>
      </c>
      <c r="F716" s="5">
        <f>G686/F686-1</f>
        <v>-2.0925597792595507E-2</v>
      </c>
      <c r="H716" s="5"/>
    </row>
    <row r="717" spans="2:8">
      <c r="B717" t="s">
        <v>1567</v>
      </c>
      <c r="C717" s="5">
        <f>D653</f>
        <v>4.1255121105811421E-2</v>
      </c>
      <c r="D717" s="5">
        <f>E653</f>
        <v>3.3810675265382173E-2</v>
      </c>
      <c r="E717" s="5">
        <f>F653</f>
        <v>7.54670740642569E-2</v>
      </c>
      <c r="F717" s="5">
        <f>G653</f>
        <v>6.6755360644170869E-2</v>
      </c>
    </row>
    <row r="718" spans="2:8">
      <c r="B718" t="s">
        <v>389</v>
      </c>
      <c r="C718" s="5">
        <f>D669</f>
        <v>-6.1155352712135569E-3</v>
      </c>
      <c r="D718" s="5">
        <f>E669</f>
        <v>4.6709367467056895E-2</v>
      </c>
      <c r="E718" s="5">
        <f>F669</f>
        <v>9.5510884038366051E-2</v>
      </c>
      <c r="F718" s="5">
        <f>G669</f>
        <v>9.191010130586541E-2</v>
      </c>
    </row>
    <row r="719" spans="2:8">
      <c r="B719" t="s">
        <v>7</v>
      </c>
      <c r="C719" s="5">
        <f>D705</f>
        <v>-7.4926548200406118E-2</v>
      </c>
      <c r="D719" s="5">
        <f>E705</f>
        <v>-5.3048396364607564E-2</v>
      </c>
      <c r="E719" s="5">
        <f>F705</f>
        <v>-4.3559133299155839E-2</v>
      </c>
      <c r="F719" s="5">
        <f>G705</f>
        <v>-3.602484030253239E-2</v>
      </c>
    </row>
    <row r="720" spans="2:8">
      <c r="B720" t="s">
        <v>52</v>
      </c>
      <c r="C720" s="5">
        <f>CWI!K250</f>
        <v>9.0874524714828819E-2</v>
      </c>
      <c r="D720" s="5">
        <f>CWI!L250</f>
        <v>0.19762983617985386</v>
      </c>
      <c r="E720" s="5">
        <f>CWI!M250</f>
        <v>1.8626309662397977E-2</v>
      </c>
      <c r="F720" s="5">
        <f>CWI!N250</f>
        <v>0.06</v>
      </c>
    </row>
    <row r="723" spans="2:8">
      <c r="B723" s="12" t="s">
        <v>1926</v>
      </c>
      <c r="C723" s="564">
        <v>42430</v>
      </c>
    </row>
    <row r="724" spans="2:8">
      <c r="B724" t="s">
        <v>5</v>
      </c>
      <c r="C724" s="16">
        <f>C681*0.49+C682*0.49+C683*0.89+C684*0.89+C685+C736+C743</f>
        <v>609.3331477800001</v>
      </c>
      <c r="D724" s="5">
        <f t="shared" ref="D724:D729" si="22">C724/C$730</f>
        <v>0.3128026332735423</v>
      </c>
      <c r="G724" t="str">
        <f>B724</f>
        <v>Mobile</v>
      </c>
      <c r="H724" s="5">
        <v>0.22645547989688417</v>
      </c>
    </row>
    <row r="725" spans="2:8">
      <c r="B725" t="s">
        <v>564</v>
      </c>
      <c r="C725" s="16">
        <f>C648*0.49+C649*0.49+C650*0.89+C651*0.89+C733+C740</f>
        <v>221.66779320000001</v>
      </c>
      <c r="D725" s="5">
        <f t="shared" si="22"/>
        <v>0.11379369344588752</v>
      </c>
      <c r="G725" t="str">
        <f>B725</f>
        <v>Broadband</v>
      </c>
      <c r="H725" s="5">
        <v>0.22088092905522791</v>
      </c>
    </row>
    <row r="726" spans="2:8">
      <c r="B726" t="s">
        <v>389</v>
      </c>
      <c r="C726" s="16">
        <f>C664*0.49+C665*0.49+C666*0.89+C667*0.89+C734+C741</f>
        <v>178.55401021999998</v>
      </c>
      <c r="D726" s="5">
        <f t="shared" si="22"/>
        <v>9.1661129518153861E-2</v>
      </c>
      <c r="G726" t="s">
        <v>1568</v>
      </c>
      <c r="H726" s="5">
        <v>0.20585504449590789</v>
      </c>
    </row>
    <row r="727" spans="2:8">
      <c r="B727" t="s">
        <v>7</v>
      </c>
      <c r="C727" s="16">
        <f>C700*0.49+C701*0.49+C702*0.89+C703*0.89+C735+C742</f>
        <v>331.20686240000003</v>
      </c>
      <c r="D727" s="5">
        <f t="shared" si="22"/>
        <v>0.17002583741660066</v>
      </c>
      <c r="G727" t="str">
        <f>B727</f>
        <v>Fixed voice</v>
      </c>
      <c r="H727" s="5">
        <v>0.14288003612721231</v>
      </c>
    </row>
    <row r="728" spans="2:8">
      <c r="B728" t="s">
        <v>52</v>
      </c>
      <c r="C728" s="16">
        <f>CWI!J249</f>
        <v>263</v>
      </c>
      <c r="D728" s="5">
        <f t="shared" si="22"/>
        <v>0.13501168096741092</v>
      </c>
      <c r="G728" t="str">
        <f>B728</f>
        <v>Networks</v>
      </c>
      <c r="H728" s="5">
        <v>0.11211066954173385</v>
      </c>
    </row>
    <row r="729" spans="2:8">
      <c r="B729" s="3" t="s">
        <v>1617</v>
      </c>
      <c r="C729" s="64">
        <f>C708*0.49+C709*0.49+C710*0.89+C691+CWI!J312+C737+C744</f>
        <v>344.21778428000005</v>
      </c>
      <c r="D729" s="5">
        <f t="shared" si="22"/>
        <v>0.17670502537840471</v>
      </c>
      <c r="G729" t="str">
        <f>B729</f>
        <v>Equipment/other</v>
      </c>
      <c r="H729" s="5">
        <v>9.1817840883033866E-2</v>
      </c>
    </row>
    <row r="730" spans="2:8">
      <c r="B730" t="s">
        <v>16</v>
      </c>
      <c r="C730" s="16">
        <f>SUM(C724:C729)</f>
        <v>1947.9795978800003</v>
      </c>
    </row>
    <row r="732" spans="2:8">
      <c r="C732" s="1">
        <v>42430</v>
      </c>
      <c r="D732" s="80" t="s">
        <v>1636</v>
      </c>
    </row>
    <row r="733" spans="2:8">
      <c r="B733" t="str">
        <f>B725</f>
        <v>Broadband</v>
      </c>
      <c r="C733" s="16">
        <f>D733/D$738*C$738</f>
        <v>0</v>
      </c>
      <c r="D733" s="16">
        <v>46.5</v>
      </c>
    </row>
    <row r="734" spans="2:8">
      <c r="B734" t="str">
        <f>B726</f>
        <v>TV</v>
      </c>
      <c r="C734" s="16">
        <f>D734/D$738*C$738</f>
        <v>0</v>
      </c>
      <c r="D734" s="16">
        <v>60</v>
      </c>
    </row>
    <row r="735" spans="2:8">
      <c r="B735" t="str">
        <f>B727</f>
        <v>Fixed voice</v>
      </c>
      <c r="C735" s="16">
        <f>D735/D$738*C$738</f>
        <v>0</v>
      </c>
      <c r="D735" s="16">
        <v>19.5</v>
      </c>
    </row>
    <row r="736" spans="2:8">
      <c r="B736" t="s">
        <v>5</v>
      </c>
      <c r="C736" s="16">
        <f>D736/D$738*C$738</f>
        <v>0</v>
      </c>
      <c r="D736" s="16">
        <v>6.2</v>
      </c>
    </row>
    <row r="737" spans="2:8">
      <c r="B737" s="3" t="s">
        <v>4</v>
      </c>
      <c r="C737" s="64">
        <f>D737/D$738*C$738</f>
        <v>0</v>
      </c>
      <c r="D737" s="64">
        <f>D738-SUM(D733:D736)</f>
        <v>8</v>
      </c>
    </row>
    <row r="738" spans="2:8">
      <c r="B738" t="s">
        <v>899</v>
      </c>
      <c r="C738" s="16">
        <f>Master!G47</f>
        <v>0</v>
      </c>
      <c r="D738" s="16">
        <f>'LiLAC valuation'!N266</f>
        <v>140.19999999999999</v>
      </c>
    </row>
    <row r="739" spans="2:8">
      <c r="C739" s="16"/>
    </row>
    <row r="740" spans="2:8">
      <c r="B740" t="str">
        <f>B733</f>
        <v>Broadband</v>
      </c>
      <c r="C740" s="16">
        <f>D740/D$745*C$745</f>
        <v>0</v>
      </c>
      <c r="D740" s="16">
        <v>40.799999999999997</v>
      </c>
    </row>
    <row r="741" spans="2:8">
      <c r="B741" t="str">
        <f>B734</f>
        <v>TV</v>
      </c>
      <c r="C741" s="16">
        <f>D741/D$745*C$745</f>
        <v>0</v>
      </c>
      <c r="D741" s="16">
        <v>44.4</v>
      </c>
    </row>
    <row r="742" spans="2:8">
      <c r="B742" t="str">
        <f>B735</f>
        <v>Fixed voice</v>
      </c>
      <c r="C742" s="16">
        <f>D742/D$745*C$745</f>
        <v>0</v>
      </c>
      <c r="D742" s="16">
        <v>7.8</v>
      </c>
    </row>
    <row r="743" spans="2:8">
      <c r="B743" t="str">
        <f>B736</f>
        <v>Mobile</v>
      </c>
      <c r="C743" s="16">
        <f>D743/D$745*C$745</f>
        <v>0</v>
      </c>
      <c r="D743" s="16">
        <v>0</v>
      </c>
    </row>
    <row r="744" spans="2:8">
      <c r="B744" s="3" t="str">
        <f>B737</f>
        <v>Other</v>
      </c>
      <c r="C744" s="64">
        <f>D744/D$745*C$745</f>
        <v>0</v>
      </c>
      <c r="D744" s="64">
        <f>D745-D740-D741-D742</f>
        <v>10.900000000000009</v>
      </c>
    </row>
    <row r="745" spans="2:8">
      <c r="B745" t="s">
        <v>984</v>
      </c>
      <c r="C745" s="16">
        <f>Master!G48*0.6</f>
        <v>0</v>
      </c>
      <c r="D745" s="16">
        <f>'LiLAC valuation'!N351</f>
        <v>103.9</v>
      </c>
    </row>
    <row r="747" spans="2:8">
      <c r="B747" t="s">
        <v>1929</v>
      </c>
      <c r="H747" s="5"/>
    </row>
    <row r="748" spans="2:8">
      <c r="B748" t="s">
        <v>0</v>
      </c>
      <c r="C748" s="16">
        <f>CWI!L20*0.49</f>
        <v>306.15199999999999</v>
      </c>
      <c r="D748" s="5" t="e">
        <f t="shared" ref="D748:D758" si="23">C748/C$759</f>
        <v>#REF!</v>
      </c>
      <c r="G748" s="5" t="s">
        <v>468</v>
      </c>
      <c r="H748" s="5">
        <v>0.30490811862369205</v>
      </c>
    </row>
    <row r="749" spans="2:8">
      <c r="B749" t="s">
        <v>31</v>
      </c>
      <c r="C749" s="16">
        <f>CWI!L121*0.49</f>
        <v>128.03700000000001</v>
      </c>
      <c r="D749" s="5" t="e">
        <f t="shared" si="23"/>
        <v>#REF!</v>
      </c>
      <c r="G749" s="5" t="s">
        <v>469</v>
      </c>
      <c r="H749" s="5">
        <v>0.1382024719181589</v>
      </c>
    </row>
    <row r="750" spans="2:8">
      <c r="B750" t="s">
        <v>32</v>
      </c>
      <c r="C750" s="16">
        <f>0.82*CWI!L209</f>
        <v>262.88347129032252</v>
      </c>
      <c r="D750" s="5" t="e">
        <f t="shared" si="23"/>
        <v>#REF!</v>
      </c>
      <c r="G750" s="5" t="s">
        <v>1930</v>
      </c>
      <c r="H750" s="5">
        <v>0.11236673903945026</v>
      </c>
    </row>
    <row r="751" spans="2:8">
      <c r="B751" t="s">
        <v>33</v>
      </c>
      <c r="C751" s="16" t="e">
        <f>0.085*Master!#REF!*0.82</f>
        <v>#REF!</v>
      </c>
      <c r="D751" s="5" t="e">
        <f t="shared" si="23"/>
        <v>#REF!</v>
      </c>
      <c r="G751" s="5" t="s">
        <v>0</v>
      </c>
      <c r="H751" s="5">
        <v>0.10066467823740102</v>
      </c>
    </row>
    <row r="752" spans="2:8">
      <c r="B752" t="s">
        <v>1382</v>
      </c>
      <c r="C752" s="16" t="e">
        <f>0.085*Master!#REF!</f>
        <v>#REF!</v>
      </c>
      <c r="D752" s="5" t="e">
        <f t="shared" si="23"/>
        <v>#REF!</v>
      </c>
      <c r="G752" s="5" t="s">
        <v>403</v>
      </c>
      <c r="H752" s="5">
        <v>9.6880332814829981E-2</v>
      </c>
    </row>
    <row r="753" spans="1:8">
      <c r="B753" t="s">
        <v>1930</v>
      </c>
      <c r="C753" s="16" t="e">
        <f>CWI!L279*0.89-C750-C751-C752</f>
        <v>#REF!</v>
      </c>
      <c r="D753" s="5" t="e">
        <f t="shared" si="23"/>
        <v>#REF!</v>
      </c>
      <c r="G753" s="5" t="s">
        <v>32</v>
      </c>
      <c r="H753" s="5">
        <v>8.3745694674116453E-2</v>
      </c>
    </row>
    <row r="754" spans="1:8">
      <c r="B754" t="s">
        <v>3</v>
      </c>
      <c r="C754" s="16">
        <f>CWI!L162</f>
        <v>60.6</v>
      </c>
      <c r="D754" s="5" t="e">
        <f t="shared" si="23"/>
        <v>#REF!</v>
      </c>
      <c r="G754" s="5" t="s">
        <v>1382</v>
      </c>
      <c r="H754" s="5">
        <v>6.3023649504337489E-2</v>
      </c>
    </row>
    <row r="755" spans="1:8">
      <c r="B755" t="s">
        <v>468</v>
      </c>
      <c r="C755" s="16">
        <f>Master!I47</f>
        <v>951.91122071516656</v>
      </c>
      <c r="D755" s="5" t="e">
        <f t="shared" si="23"/>
        <v>#REF!</v>
      </c>
      <c r="G755" s="5" t="s">
        <v>33</v>
      </c>
      <c r="H755" s="5">
        <v>5.1679392593556736E-2</v>
      </c>
    </row>
    <row r="756" spans="1:8">
      <c r="B756" t="s">
        <v>469</v>
      </c>
      <c r="C756" s="16">
        <f>Master!I48</f>
        <v>320.5</v>
      </c>
      <c r="D756" s="5" t="e">
        <f t="shared" si="23"/>
        <v>#REF!</v>
      </c>
      <c r="G756" s="5" t="s">
        <v>31</v>
      </c>
      <c r="H756" s="5">
        <v>3.9753848048823329E-2</v>
      </c>
    </row>
    <row r="757" spans="1:8">
      <c r="B757" t="s">
        <v>52</v>
      </c>
      <c r="C757" s="16">
        <f>Master!I45</f>
        <v>341.1</v>
      </c>
      <c r="D757" s="5" t="e">
        <f t="shared" si="23"/>
        <v>#REF!</v>
      </c>
      <c r="G757" s="5" t="s">
        <v>3</v>
      </c>
      <c r="H757" s="5">
        <v>1.8915503180932578E-2</v>
      </c>
    </row>
    <row r="758" spans="1:8">
      <c r="B758" s="3" t="s">
        <v>4</v>
      </c>
      <c r="C758" s="64">
        <f>CWI!L312</f>
        <v>-41.500000000000092</v>
      </c>
      <c r="D758" s="512" t="e">
        <f t="shared" si="23"/>
        <v>#REF!</v>
      </c>
      <c r="G758" s="5" t="s">
        <v>4</v>
      </c>
      <c r="H758" s="5">
        <v>-1.0140428635298807E-2</v>
      </c>
    </row>
    <row r="759" spans="1:8">
      <c r="C759" s="16" t="e">
        <f>SUM(C748:C758)</f>
        <v>#REF!</v>
      </c>
      <c r="D759" s="5" t="e">
        <f>SUM(D748:D758)</f>
        <v>#REF!</v>
      </c>
    </row>
    <row r="761" spans="1:8" ht="15.75">
      <c r="A761" s="50" t="s">
        <v>820</v>
      </c>
      <c r="B761" s="52" t="s">
        <v>2243</v>
      </c>
      <c r="C761" s="51" t="s">
        <v>1071</v>
      </c>
      <c r="D761" s="51" t="s">
        <v>483</v>
      </c>
      <c r="E761" s="51" t="s">
        <v>1072</v>
      </c>
      <c r="F761" s="51" t="s">
        <v>483</v>
      </c>
    </row>
    <row r="762" spans="1:8" ht="15.75">
      <c r="A762" s="620">
        <v>0.49</v>
      </c>
      <c r="B762" s="53" t="s">
        <v>0</v>
      </c>
      <c r="C762" s="53">
        <v>163.1</v>
      </c>
      <c r="D762" s="54">
        <f t="shared" ref="D762:D769" si="24">C762/C$770</f>
        <v>0.18303220738413195</v>
      </c>
      <c r="E762" s="621">
        <f t="shared" ref="E762:E769" si="25">C762*A762</f>
        <v>79.918999999999997</v>
      </c>
      <c r="F762" s="54">
        <f t="shared" ref="F762:F769" si="26">E762/E$770</f>
        <v>0.11393464357912084</v>
      </c>
    </row>
    <row r="763" spans="1:8" ht="15.75">
      <c r="A763" s="620">
        <v>0.82</v>
      </c>
      <c r="B763" s="53" t="s">
        <v>32</v>
      </c>
      <c r="C763" s="53">
        <v>79</v>
      </c>
      <c r="D763" s="54">
        <f t="shared" si="24"/>
        <v>8.8654472000897766E-2</v>
      </c>
      <c r="E763" s="621">
        <f t="shared" si="25"/>
        <v>64.78</v>
      </c>
      <c r="F763" s="54">
        <f t="shared" si="26"/>
        <v>9.2352084123368011E-2</v>
      </c>
    </row>
    <row r="764" spans="1:8" ht="15.75">
      <c r="A764" s="620">
        <v>0.49</v>
      </c>
      <c r="B764" s="53" t="s">
        <v>31</v>
      </c>
      <c r="C764" s="53">
        <v>75.400000000000006</v>
      </c>
      <c r="D764" s="54">
        <f t="shared" si="24"/>
        <v>8.4614521378072044E-2</v>
      </c>
      <c r="E764" s="621">
        <f t="shared" si="25"/>
        <v>36.946000000000005</v>
      </c>
      <c r="F764" s="54">
        <f t="shared" si="26"/>
        <v>5.2671196357239193E-2</v>
      </c>
    </row>
    <row r="765" spans="1:8" ht="15.75">
      <c r="A765" s="620">
        <v>0.81</v>
      </c>
      <c r="B765" s="53" t="s">
        <v>33</v>
      </c>
      <c r="C765" s="53">
        <v>58.1</v>
      </c>
      <c r="D765" s="54">
        <f t="shared" si="24"/>
        <v>6.520031421838178E-2</v>
      </c>
      <c r="E765" s="621">
        <f t="shared" si="25"/>
        <v>47.061000000000007</v>
      </c>
      <c r="F765" s="54">
        <f t="shared" si="26"/>
        <v>6.7091408319385967E-2</v>
      </c>
    </row>
    <row r="766" spans="1:8" ht="15.75">
      <c r="A766" s="620">
        <v>1</v>
      </c>
      <c r="B766" s="53" t="s">
        <v>1479</v>
      </c>
      <c r="C766" s="53">
        <v>41.4</v>
      </c>
      <c r="D766" s="54">
        <f t="shared" si="24"/>
        <v>4.645943216249579E-2</v>
      </c>
      <c r="E766" s="621">
        <f t="shared" si="25"/>
        <v>41.4</v>
      </c>
      <c r="F766" s="54">
        <f t="shared" si="26"/>
        <v>5.9020936750655069E-2</v>
      </c>
    </row>
    <row r="767" spans="1:8" ht="15.75">
      <c r="A767" s="620">
        <v>1</v>
      </c>
      <c r="B767" s="53" t="s">
        <v>1413</v>
      </c>
      <c r="C767" s="53">
        <v>156.6</v>
      </c>
      <c r="D767" s="54">
        <f t="shared" si="24"/>
        <v>0.17573785209291887</v>
      </c>
      <c r="E767" s="621">
        <f t="shared" si="25"/>
        <v>156.6</v>
      </c>
      <c r="F767" s="54">
        <f t="shared" si="26"/>
        <v>0.22325310857856484</v>
      </c>
    </row>
    <row r="768" spans="1:8" ht="15.75">
      <c r="A768" s="620">
        <v>1</v>
      </c>
      <c r="B768" s="53" t="s">
        <v>468</v>
      </c>
      <c r="C768" s="481">
        <f>'LiLAC valuation'!O316</f>
        <v>210.6</v>
      </c>
      <c r="D768" s="54">
        <f t="shared" si="24"/>
        <v>0.23633711143530467</v>
      </c>
      <c r="E768" s="621">
        <f t="shared" si="25"/>
        <v>210.6</v>
      </c>
      <c r="F768" s="54">
        <f t="shared" si="26"/>
        <v>0.30023693912289756</v>
      </c>
    </row>
    <row r="769" spans="1:9" ht="15.75">
      <c r="A769" s="620">
        <v>0.6</v>
      </c>
      <c r="B769" s="50" t="s">
        <v>984</v>
      </c>
      <c r="C769" s="50">
        <f>'LiLAC valuation'!O351</f>
        <v>106.9</v>
      </c>
      <c r="D769" s="57">
        <f t="shared" si="24"/>
        <v>0.1199640893277971</v>
      </c>
      <c r="E769" s="622">
        <f t="shared" si="25"/>
        <v>64.14</v>
      </c>
      <c r="F769" s="57">
        <f t="shared" si="26"/>
        <v>9.1439683168768507E-2</v>
      </c>
    </row>
    <row r="770" spans="1:9" ht="15.75">
      <c r="A770" s="53"/>
      <c r="B770" s="53"/>
      <c r="C770" s="53">
        <f>SUM(C762:C769)</f>
        <v>891.1</v>
      </c>
      <c r="D770" s="54">
        <f>SUM(D762:D769)</f>
        <v>1</v>
      </c>
      <c r="E770" s="481">
        <f>SUM(E762:E769)</f>
        <v>701.44600000000003</v>
      </c>
      <c r="F770" s="54">
        <f>SUM(F762:F769)</f>
        <v>1</v>
      </c>
    </row>
    <row r="772" spans="1:9">
      <c r="B772" s="3" t="s">
        <v>829</v>
      </c>
      <c r="C772" s="3" t="s">
        <v>1940</v>
      </c>
      <c r="D772" s="4" t="s">
        <v>1932</v>
      </c>
      <c r="E772" s="3" t="s">
        <v>1933</v>
      </c>
    </row>
    <row r="773" spans="1:9">
      <c r="B773" t="s">
        <v>1931</v>
      </c>
      <c r="C773" t="s">
        <v>1941</v>
      </c>
      <c r="D773">
        <v>10.6</v>
      </c>
      <c r="E773" t="s">
        <v>1934</v>
      </c>
    </row>
    <row r="774" spans="1:9">
      <c r="B774" t="s">
        <v>1935</v>
      </c>
      <c r="C774" t="s">
        <v>1942</v>
      </c>
      <c r="D774">
        <v>3.5</v>
      </c>
      <c r="E774" t="s">
        <v>1936</v>
      </c>
    </row>
    <row r="775" spans="1:9">
      <c r="B775" t="s">
        <v>1937</v>
      </c>
      <c r="C775" t="s">
        <v>1942</v>
      </c>
      <c r="D775" s="62">
        <f>7.1*0.84</f>
        <v>5.9639999999999995</v>
      </c>
      <c r="E775" t="s">
        <v>1938</v>
      </c>
    </row>
    <row r="776" spans="1:9">
      <c r="B776" t="s">
        <v>1939</v>
      </c>
      <c r="C776" t="s">
        <v>1943</v>
      </c>
      <c r="D776" s="62">
        <v>3</v>
      </c>
      <c r="E776" t="s">
        <v>1944</v>
      </c>
    </row>
    <row r="777" spans="1:9">
      <c r="E777" t="s">
        <v>1945</v>
      </c>
    </row>
    <row r="779" spans="1:9">
      <c r="C779" t="s">
        <v>8</v>
      </c>
      <c r="E779" t="s">
        <v>377</v>
      </c>
      <c r="G779" t="s">
        <v>1982</v>
      </c>
    </row>
    <row r="780" spans="1:9">
      <c r="B780" s="3"/>
      <c r="C780" s="3">
        <v>2016</v>
      </c>
      <c r="D780" s="3">
        <v>2017</v>
      </c>
      <c r="E780" s="3">
        <v>2016</v>
      </c>
      <c r="F780" s="3">
        <v>2017</v>
      </c>
      <c r="G780" s="4" t="s">
        <v>8</v>
      </c>
      <c r="H780" s="4" t="s">
        <v>482</v>
      </c>
      <c r="I780" s="4" t="s">
        <v>258</v>
      </c>
    </row>
    <row r="781" spans="1:9">
      <c r="B781" t="s">
        <v>467</v>
      </c>
      <c r="C781" s="62">
        <f>Valuation!G56</f>
        <v>0</v>
      </c>
      <c r="D781" s="62">
        <f ca="1">Valuation!H56</f>
        <v>6.0455004532861949</v>
      </c>
      <c r="E781" s="62">
        <f>Valuation!G58</f>
        <v>0</v>
      </c>
      <c r="F781" s="62">
        <f ca="1">Valuation!H58</f>
        <v>60.803701333398671</v>
      </c>
      <c r="G781" s="6">
        <f>Master!W74</f>
        <v>1.6195286367131301E-2</v>
      </c>
      <c r="H781" s="6">
        <f>Master!W52</f>
        <v>-1.5494314632579109E-2</v>
      </c>
      <c r="I781" s="6">
        <f>Master!W91</f>
        <v>-3.3990740950349707E-2</v>
      </c>
    </row>
    <row r="782" spans="1:9">
      <c r="B782" t="s">
        <v>1983</v>
      </c>
      <c r="C782">
        <v>8.1</v>
      </c>
      <c r="D782">
        <v>7.3</v>
      </c>
      <c r="E782" s="62">
        <v>25.363820626447584</v>
      </c>
      <c r="F782" s="62">
        <v>24.962218861200601</v>
      </c>
      <c r="G782" s="6">
        <v>6.8000000000000005E-2</v>
      </c>
      <c r="H782" s="6">
        <v>4.7380373393881792E-2</v>
      </c>
      <c r="I782" s="6">
        <v>2.810752099369429E-2</v>
      </c>
    </row>
    <row r="784" spans="1:9">
      <c r="B784" t="s">
        <v>2084</v>
      </c>
    </row>
    <row r="786" spans="2:7">
      <c r="B786" s="3" t="s">
        <v>325</v>
      </c>
      <c r="C786" s="32">
        <v>42430</v>
      </c>
      <c r="D786" s="32">
        <v>42705</v>
      </c>
      <c r="E786" s="32">
        <v>43070</v>
      </c>
      <c r="F786" s="32"/>
      <c r="G786" s="32"/>
    </row>
    <row r="787" spans="2:7">
      <c r="B787" t="s">
        <v>482</v>
      </c>
      <c r="C787" s="486">
        <f>Master!G52</f>
        <v>3591.5333333333328</v>
      </c>
      <c r="D787" s="486">
        <f>SUM(Quarts!G578:K578)</f>
        <v>909</v>
      </c>
      <c r="E787" s="486">
        <f>Master!I52</f>
        <v>3586.3178736517721</v>
      </c>
      <c r="F787" s="486"/>
      <c r="G787" s="486"/>
    </row>
    <row r="788" spans="2:7">
      <c r="B788" t="s">
        <v>8</v>
      </c>
      <c r="C788" s="486">
        <f>Master!G74</f>
        <v>0</v>
      </c>
      <c r="D788" s="486">
        <f>SUM(Quarts!G588:N588)</f>
        <v>406.9</v>
      </c>
      <c r="E788" s="486">
        <f>Master!I74</f>
        <v>1367.1</v>
      </c>
      <c r="F788" s="486"/>
      <c r="G788" s="486"/>
    </row>
    <row r="789" spans="2:7">
      <c r="B789" t="s">
        <v>19</v>
      </c>
      <c r="C789" s="486">
        <f>Master!G121</f>
        <v>0</v>
      </c>
      <c r="D789" s="486" t="e">
        <f>SUM(Quarts!G604:N604)</f>
        <v>#REF!</v>
      </c>
      <c r="E789" s="486">
        <f>Master!I121</f>
        <v>776.5462392108509</v>
      </c>
      <c r="F789" s="486"/>
      <c r="G789" s="486"/>
    </row>
    <row r="790" spans="2:7">
      <c r="B790" t="s">
        <v>27</v>
      </c>
      <c r="C790" s="486">
        <f>C788-C789</f>
        <v>0</v>
      </c>
      <c r="D790" s="486" t="e">
        <f>D788-D789</f>
        <v>#REF!</v>
      </c>
      <c r="E790" s="486">
        <f>E788-E789</f>
        <v>590.55376078914901</v>
      </c>
      <c r="F790" s="486"/>
      <c r="G790" s="486"/>
    </row>
    <row r="791" spans="2:7">
      <c r="C791" s="486"/>
      <c r="D791" s="486"/>
      <c r="E791" s="486"/>
      <c r="F791" s="486"/>
      <c r="G791" s="486"/>
    </row>
    <row r="792" spans="2:7">
      <c r="B792" t="s">
        <v>2083</v>
      </c>
      <c r="C792" s="486"/>
      <c r="D792" s="486"/>
      <c r="E792" s="486"/>
      <c r="F792" s="486"/>
      <c r="G792" s="486"/>
    </row>
    <row r="793" spans="2:7">
      <c r="B793" t="s">
        <v>482</v>
      </c>
      <c r="C793" s="486">
        <v>3592.4418773333327</v>
      </c>
      <c r="D793" s="486">
        <v>3716</v>
      </c>
      <c r="E793" s="486">
        <v>3953</v>
      </c>
      <c r="F793" s="486"/>
      <c r="G793" s="486"/>
    </row>
    <row r="794" spans="2:7">
      <c r="B794" t="s">
        <v>8</v>
      </c>
      <c r="C794" s="486">
        <v>1400.1579022264114</v>
      </c>
      <c r="D794" s="486">
        <v>1529</v>
      </c>
      <c r="E794" s="486">
        <v>1689</v>
      </c>
      <c r="F794" s="486"/>
      <c r="G794" s="486"/>
    </row>
    <row r="795" spans="2:7">
      <c r="B795" t="s">
        <v>19</v>
      </c>
      <c r="C795" s="486">
        <v>753.64763486727543</v>
      </c>
      <c r="D795" s="486">
        <v>764</v>
      </c>
      <c r="E795" s="486">
        <v>713</v>
      </c>
      <c r="F795" s="486"/>
      <c r="G795" s="486"/>
    </row>
    <row r="796" spans="2:7">
      <c r="B796" t="s">
        <v>27</v>
      </c>
      <c r="C796" s="486">
        <f>C794-C795</f>
        <v>646.51026735913592</v>
      </c>
      <c r="D796" s="486">
        <f>D794-D795</f>
        <v>765</v>
      </c>
      <c r="E796" s="486">
        <f>E794-E795</f>
        <v>976</v>
      </c>
      <c r="F796" s="486"/>
      <c r="G796" s="486"/>
    </row>
    <row r="798" spans="2:7">
      <c r="B798" t="s">
        <v>158</v>
      </c>
    </row>
    <row r="799" spans="2:7">
      <c r="B799" t="str">
        <f>B793</f>
        <v>Revs</v>
      </c>
      <c r="C799" s="5">
        <f t="shared" ref="C799:E802" si="27">C787/C793-1</f>
        <v>-2.5290430047941737E-4</v>
      </c>
      <c r="D799" s="5">
        <f t="shared" si="27"/>
        <v>-0.75538213132400434</v>
      </c>
      <c r="E799" s="5">
        <f t="shared" si="27"/>
        <v>-9.2760467075190478E-2</v>
      </c>
      <c r="F799" s="5"/>
      <c r="G799" s="5"/>
    </row>
    <row r="800" spans="2:7">
      <c r="B800" t="str">
        <f>B794</f>
        <v>EBITDA</v>
      </c>
      <c r="C800" s="5">
        <f t="shared" si="27"/>
        <v>-1</v>
      </c>
      <c r="D800" s="5">
        <f t="shared" si="27"/>
        <v>-0.73387835186396333</v>
      </c>
      <c r="E800" s="5">
        <f t="shared" si="27"/>
        <v>-0.19058614564831267</v>
      </c>
      <c r="F800" s="5"/>
      <c r="G800" s="5"/>
    </row>
    <row r="801" spans="2:7">
      <c r="B801" t="str">
        <f>B795</f>
        <v>Capex</v>
      </c>
      <c r="C801" s="5">
        <f t="shared" si="27"/>
        <v>-1</v>
      </c>
      <c r="D801" s="5" t="e">
        <f t="shared" si="27"/>
        <v>#REF!</v>
      </c>
      <c r="E801" s="5">
        <f t="shared" si="27"/>
        <v>8.9125160183521679E-2</v>
      </c>
      <c r="F801" s="5"/>
      <c r="G801" s="5"/>
    </row>
    <row r="802" spans="2:7">
      <c r="B802" t="str">
        <f>B796</f>
        <v>OpFCF</v>
      </c>
      <c r="C802" s="5">
        <f t="shared" si="27"/>
        <v>-1</v>
      </c>
      <c r="D802" s="5" t="e">
        <f t="shared" si="27"/>
        <v>#REF!</v>
      </c>
      <c r="E802" s="5">
        <f t="shared" si="27"/>
        <v>-0.39492442542095385</v>
      </c>
      <c r="F802" s="5"/>
      <c r="G802" s="5"/>
    </row>
    <row r="804" spans="2:7">
      <c r="B804" s="12" t="s">
        <v>2155</v>
      </c>
    </row>
    <row r="805" spans="2:7">
      <c r="B805" s="3"/>
      <c r="C805" s="3"/>
      <c r="D805" s="3">
        <v>2016</v>
      </c>
    </row>
    <row r="806" spans="2:7">
      <c r="B806" t="s">
        <v>2151</v>
      </c>
      <c r="D806" s="16">
        <f>Master!H74</f>
        <v>1448.600076899188</v>
      </c>
    </row>
    <row r="807" spans="2:7">
      <c r="B807" t="s">
        <v>2152</v>
      </c>
      <c r="D807" s="16">
        <f>D806/(1+D808)</f>
        <v>1366.6038461313094</v>
      </c>
      <c r="E807" s="5"/>
    </row>
    <row r="808" spans="2:7">
      <c r="B808" t="s">
        <v>2153</v>
      </c>
      <c r="D808" s="5">
        <v>0.06</v>
      </c>
    </row>
    <row r="810" spans="2:7">
      <c r="B810" t="s">
        <v>2157</v>
      </c>
      <c r="D810" s="36">
        <v>75</v>
      </c>
    </row>
    <row r="811" spans="2:7">
      <c r="B811" t="s">
        <v>2154</v>
      </c>
      <c r="D811" s="16">
        <f>D806-D810</f>
        <v>1373.600076899188</v>
      </c>
    </row>
    <row r="812" spans="2:7">
      <c r="B812" t="s">
        <v>2156</v>
      </c>
      <c r="D812" s="5">
        <f>D811/D807-1</f>
        <v>5.1194285656988026E-3</v>
      </c>
    </row>
    <row r="814" spans="2:7">
      <c r="B814" s="14" t="s">
        <v>2402</v>
      </c>
    </row>
    <row r="816" spans="2:7">
      <c r="B816" s="12" t="s">
        <v>1422</v>
      </c>
    </row>
    <row r="817" spans="2:9">
      <c r="B817" s="3" t="s">
        <v>325</v>
      </c>
      <c r="C817" s="3">
        <v>2016</v>
      </c>
      <c r="D817" s="3">
        <f>C817+1</f>
        <v>2017</v>
      </c>
      <c r="E817" s="3">
        <f>D817+1</f>
        <v>2018</v>
      </c>
    </row>
    <row r="818" spans="2:9">
      <c r="B818" t="s">
        <v>15</v>
      </c>
      <c r="C818" s="486">
        <f>Master!H52</f>
        <v>3620.1757396449707</v>
      </c>
      <c r="D818" s="486">
        <f>Master!I52</f>
        <v>3586.3178736517721</v>
      </c>
      <c r="E818" s="486">
        <f>Master!J52</f>
        <v>3693.7671488858091</v>
      </c>
      <c r="G818" s="486">
        <v>3664.195706305929</v>
      </c>
      <c r="H818" s="486">
        <v>3811.4645158689445</v>
      </c>
      <c r="I818" s="486">
        <v>4007.669740147117</v>
      </c>
    </row>
    <row r="819" spans="2:9">
      <c r="B819" t="s">
        <v>8</v>
      </c>
      <c r="C819" s="486">
        <f>Master!H74</f>
        <v>1448.600076899188</v>
      </c>
      <c r="D819" s="486">
        <f>Master!I74</f>
        <v>1367.1</v>
      </c>
      <c r="E819" s="486">
        <f>Master!J74</f>
        <v>1412.5717613715995</v>
      </c>
      <c r="G819" s="486">
        <v>1452.9870961504182</v>
      </c>
      <c r="H819" s="486">
        <v>1586.830051446779</v>
      </c>
      <c r="I819" s="486">
        <v>1716.1594819040056</v>
      </c>
    </row>
    <row r="820" spans="2:9">
      <c r="B820" t="s">
        <v>251</v>
      </c>
      <c r="C820" s="6">
        <f>C819/C818</f>
        <v>0.40014634124951398</v>
      </c>
      <c r="D820" s="6">
        <f>D819/D818</f>
        <v>0.38119878052191419</v>
      </c>
      <c r="E820" s="6">
        <f>E819/E818</f>
        <v>0.38242035960433746</v>
      </c>
      <c r="G820" s="6">
        <v>0.39653643326143512</v>
      </c>
      <c r="H820" s="6">
        <v>0.41633079485327718</v>
      </c>
      <c r="I820" s="6">
        <v>0.42821878876701236</v>
      </c>
    </row>
    <row r="822" spans="2:9">
      <c r="B822" t="s">
        <v>19</v>
      </c>
      <c r="C822" s="486">
        <f>Master!H121</f>
        <v>0</v>
      </c>
      <c r="D822" s="486">
        <f>Master!I121</f>
        <v>776.5462392108509</v>
      </c>
      <c r="E822" s="486">
        <f>Master!J121</f>
        <v>771.39999999999986</v>
      </c>
      <c r="G822" s="486">
        <v>756.03569082487525</v>
      </c>
      <c r="H822" s="486">
        <v>719.97009198409842</v>
      </c>
      <c r="I822" s="486">
        <v>729.33457045067848</v>
      </c>
    </row>
    <row r="823" spans="2:9">
      <c r="B823" t="s">
        <v>91</v>
      </c>
      <c r="C823" s="6">
        <f>C822/C818</f>
        <v>0</v>
      </c>
      <c r="D823" s="6">
        <f>D822/D818</f>
        <v>0.21653023144324121</v>
      </c>
      <c r="E823" s="6">
        <f>E822/E818</f>
        <v>0.20883828593058054</v>
      </c>
      <c r="G823" s="6">
        <v>0.20633059787821081</v>
      </c>
      <c r="H823" s="6">
        <v>0.18889591887488905</v>
      </c>
      <c r="I823" s="6">
        <v>0.18198469877508056</v>
      </c>
    </row>
    <row r="825" spans="2:9">
      <c r="B825" t="s">
        <v>27</v>
      </c>
      <c r="C825" s="486">
        <f>C819-C822</f>
        <v>1448.600076899188</v>
      </c>
      <c r="D825" s="486">
        <f>D819-D822</f>
        <v>590.55376078914901</v>
      </c>
      <c r="E825" s="486">
        <f>E819-E822</f>
        <v>641.17176137159959</v>
      </c>
      <c r="G825" s="486">
        <v>696.95140532554296</v>
      </c>
      <c r="H825" s="486">
        <v>866.85995946268054</v>
      </c>
      <c r="I825" s="486">
        <v>986.8249114533271</v>
      </c>
    </row>
    <row r="827" spans="2:9" outlineLevel="1">
      <c r="B827" s="12" t="s">
        <v>1423</v>
      </c>
    </row>
    <row r="828" spans="2:9" outlineLevel="1">
      <c r="B828" s="3" t="s">
        <v>325</v>
      </c>
      <c r="C828" s="3">
        <v>2016</v>
      </c>
      <c r="D828" s="3">
        <f>C828+1</f>
        <v>2017</v>
      </c>
      <c r="E828" s="3">
        <f>D828+1</f>
        <v>2018</v>
      </c>
    </row>
    <row r="829" spans="2:9" outlineLevel="1">
      <c r="B829" t="s">
        <v>15</v>
      </c>
      <c r="C829" s="486">
        <v>3688.9906307293018</v>
      </c>
      <c r="D829" s="486">
        <v>3865.3145501539871</v>
      </c>
      <c r="E829" s="486">
        <v>4064.8556377096052</v>
      </c>
    </row>
    <row r="830" spans="2:9" outlineLevel="1">
      <c r="B830" t="s">
        <v>8</v>
      </c>
      <c r="C830" s="486">
        <v>1454.3496900530533</v>
      </c>
      <c r="D830" s="486">
        <v>1608.2319697614105</v>
      </c>
      <c r="E830" s="486">
        <v>1741.1570988367932</v>
      </c>
    </row>
    <row r="831" spans="2:9" outlineLevel="1">
      <c r="B831" t="s">
        <v>251</v>
      </c>
      <c r="C831" s="6">
        <f>C830/C829</f>
        <v>0.39424054860381497</v>
      </c>
      <c r="D831" s="6">
        <f>D830/D829</f>
        <v>0.41606755385466404</v>
      </c>
      <c r="E831" s="6">
        <f>E830/E829</f>
        <v>0.42834414159364104</v>
      </c>
    </row>
    <row r="832" spans="2:9" outlineLevel="1"/>
    <row r="833" spans="2:9" outlineLevel="1">
      <c r="B833" t="s">
        <v>19</v>
      </c>
      <c r="C833" s="486">
        <v>761.49057419801738</v>
      </c>
      <c r="D833" s="486">
        <v>730.47084866968169</v>
      </c>
      <c r="E833" s="486">
        <v>739.62803201192651</v>
      </c>
    </row>
    <row r="834" spans="2:9" outlineLevel="1">
      <c r="B834" t="s">
        <v>91</v>
      </c>
      <c r="C834" s="6">
        <f>C833/C829</f>
        <v>0.20642247444458081</v>
      </c>
      <c r="D834" s="6">
        <f>D833/D829</f>
        <v>0.18898095852007207</v>
      </c>
      <c r="E834" s="6">
        <f>E833/E829</f>
        <v>0.18195677729619922</v>
      </c>
    </row>
    <row r="835" spans="2:9" outlineLevel="1"/>
    <row r="836" spans="2:9" outlineLevel="1">
      <c r="B836" t="s">
        <v>27</v>
      </c>
      <c r="C836" s="486">
        <f>C830-C833</f>
        <v>692.85911585503595</v>
      </c>
      <c r="D836" s="486">
        <f>D830-D833</f>
        <v>877.7611210917288</v>
      </c>
      <c r="E836" s="486">
        <f>E830-E833</f>
        <v>1001.5290668248667</v>
      </c>
    </row>
    <row r="837" spans="2:9" outlineLevel="1"/>
    <row r="838" spans="2:9">
      <c r="B838" s="12" t="s">
        <v>2176</v>
      </c>
    </row>
    <row r="839" spans="2:9">
      <c r="B839" s="3" t="s">
        <v>325</v>
      </c>
      <c r="C839" s="3">
        <v>2016</v>
      </c>
      <c r="D839" s="3">
        <f>C839+1</f>
        <v>2017</v>
      </c>
      <c r="E839" s="3">
        <f>D839+1</f>
        <v>2018</v>
      </c>
    </row>
    <row r="840" spans="2:9">
      <c r="B840" t="s">
        <v>15</v>
      </c>
      <c r="C840" s="6">
        <f t="shared" ref="C840:E841" si="28">C818/C829-1</f>
        <v>-1.8654124657054627E-2</v>
      </c>
      <c r="D840" s="6">
        <f t="shared" si="28"/>
        <v>-7.2179553017515774E-2</v>
      </c>
      <c r="E840" s="6">
        <f t="shared" si="28"/>
        <v>-9.1291923231224703E-2</v>
      </c>
      <c r="G840" s="6">
        <f t="shared" ref="G840:I841" si="29">G818/C829-1</f>
        <v>-6.7213302784862039E-3</v>
      </c>
      <c r="H840" s="6">
        <f t="shared" si="29"/>
        <v>-1.3931604682184795E-2</v>
      </c>
      <c r="I840" s="6">
        <f t="shared" si="29"/>
        <v>-1.4068371095882326E-2</v>
      </c>
    </row>
    <row r="841" spans="2:9">
      <c r="B841" t="s">
        <v>8</v>
      </c>
      <c r="C841" s="6">
        <f t="shared" si="28"/>
        <v>-3.9533911226368179E-3</v>
      </c>
      <c r="D841" s="6">
        <f t="shared" si="28"/>
        <v>-0.14993606289096695</v>
      </c>
      <c r="E841" s="6">
        <f t="shared" si="28"/>
        <v>-0.18871665152139938</v>
      </c>
      <c r="G841" s="6">
        <f t="shared" si="29"/>
        <v>-9.3690940490753771E-4</v>
      </c>
      <c r="H841" s="6">
        <f t="shared" si="29"/>
        <v>-1.3307730922552552E-2</v>
      </c>
      <c r="I841" s="6">
        <f t="shared" si="29"/>
        <v>-1.435689918473626E-2</v>
      </c>
    </row>
    <row r="842" spans="2:9">
      <c r="B842" t="s">
        <v>19</v>
      </c>
      <c r="C842" s="6">
        <f>C822/C833-1</f>
        <v>-1</v>
      </c>
      <c r="D842" s="6">
        <f>D822/D833-1</f>
        <v>6.3076289252447015E-2</v>
      </c>
      <c r="E842" s="6">
        <f>E822/E833-1</f>
        <v>4.2956684458872685E-2</v>
      </c>
      <c r="G842" s="6">
        <f>G822/C833-1</f>
        <v>-7.1634286200943365E-3</v>
      </c>
      <c r="H842" s="6">
        <f>H822/D833-1</f>
        <v>-1.4375326140265599E-2</v>
      </c>
      <c r="I842" s="6">
        <f>I822/E833-1</f>
        <v>-1.3917078741929045E-2</v>
      </c>
    </row>
    <row r="843" spans="2:9">
      <c r="B843" t="s">
        <v>27</v>
      </c>
      <c r="C843" s="6">
        <f>C825/C836-1</f>
        <v>1.0907570438927046</v>
      </c>
      <c r="D843" s="6">
        <f>D825/D836-1</f>
        <v>-0.32720446759519406</v>
      </c>
      <c r="E843" s="6">
        <f>E825/E836-1</f>
        <v>-0.35980713629780392</v>
      </c>
      <c r="G843" s="6">
        <f>G825/C836-1</f>
        <v>5.9063803547663163E-3</v>
      </c>
      <c r="H843" s="6">
        <f>H825/D836-1</f>
        <v>-1.2419280561765778E-2</v>
      </c>
      <c r="I843" s="6">
        <f>I825/E836-1</f>
        <v>-1.4681706061868027E-2</v>
      </c>
    </row>
    <row r="846" spans="2:9">
      <c r="B846" s="3" t="s">
        <v>325</v>
      </c>
      <c r="C846" s="3">
        <v>2016</v>
      </c>
      <c r="D846" s="3">
        <v>2017</v>
      </c>
      <c r="E846" s="3">
        <f>D846+1</f>
        <v>2018</v>
      </c>
      <c r="F846" s="3">
        <f>E846+1</f>
        <v>2019</v>
      </c>
      <c r="G846" s="3">
        <f>F846+1</f>
        <v>2020</v>
      </c>
    </row>
    <row r="847" spans="2:9">
      <c r="B847" t="str">
        <f>Valuation!A23</f>
        <v>Rep EBITDA</v>
      </c>
      <c r="C847" s="486">
        <f>Valuation!G23</f>
        <v>0</v>
      </c>
      <c r="D847" s="486">
        <f>Valuation!H23</f>
        <v>1367.1</v>
      </c>
      <c r="E847" s="486">
        <f>Valuation!I23</f>
        <v>1412.5717613715995</v>
      </c>
      <c r="F847" s="486">
        <f>Valuation!J23</f>
        <v>1506.5</v>
      </c>
      <c r="G847" s="486">
        <f>Valuation!K23</f>
        <v>1485</v>
      </c>
    </row>
    <row r="848" spans="2:9">
      <c r="B848" t="str">
        <f>Valuation!A24</f>
        <v>Less Capex (PE adds)</v>
      </c>
      <c r="C848" s="486">
        <f>Valuation!G24</f>
        <v>0</v>
      </c>
      <c r="D848" s="486">
        <f>Valuation!H24</f>
        <v>-776.5462392108509</v>
      </c>
      <c r="E848" s="486">
        <f>Valuation!I24</f>
        <v>-771.39999999999986</v>
      </c>
      <c r="F848" s="486">
        <f>Valuation!J24</f>
        <v>-727.09999999999991</v>
      </c>
      <c r="G848" s="486">
        <f>Valuation!K24</f>
        <v>-631</v>
      </c>
    </row>
    <row r="849" spans="2:7">
      <c r="B849" t="str">
        <f>Valuation!A25</f>
        <v>P&amp;L interest</v>
      </c>
      <c r="C849" s="486">
        <f>Valuation!G25</f>
        <v>0</v>
      </c>
      <c r="D849" s="486">
        <f>Valuation!H25</f>
        <v>-381.8</v>
      </c>
      <c r="E849" s="486">
        <f>Valuation!I25</f>
        <v>-443.7</v>
      </c>
      <c r="F849" s="486">
        <f>Valuation!J25</f>
        <v>-499.2</v>
      </c>
      <c r="G849" s="486">
        <f>Valuation!K25</f>
        <v>-533.4</v>
      </c>
    </row>
    <row r="850" spans="2:7">
      <c r="B850" t="str">
        <f>Valuation!A26</f>
        <v>Normalised tax</v>
      </c>
      <c r="C850" s="486">
        <f>Valuation!G26</f>
        <v>0</v>
      </c>
      <c r="D850" s="486">
        <f>Valuation!H26</f>
        <v>-68.888741060419179</v>
      </c>
      <c r="E850" s="486">
        <f>Valuation!I26</f>
        <v>-65.165681252627877</v>
      </c>
      <c r="F850" s="486">
        <f>Valuation!J26</f>
        <v>-92.466000000000037</v>
      </c>
      <c r="G850" s="486">
        <f>Valuation!K26</f>
        <v>-105.79800000000002</v>
      </c>
    </row>
    <row r="851" spans="2:7">
      <c r="B851" s="3" t="str">
        <f>Valuation!A27</f>
        <v>Less minorities dividend</v>
      </c>
      <c r="C851" s="487">
        <f>Valuation!G27</f>
        <v>0</v>
      </c>
      <c r="D851" s="487">
        <f>Valuation!H27</f>
        <v>-46</v>
      </c>
      <c r="E851" s="487">
        <f>Valuation!I27</f>
        <v>-54</v>
      </c>
      <c r="F851" s="487">
        <f>Valuation!J27</f>
        <v>-45.333333333333336</v>
      </c>
      <c r="G851" s="487">
        <f>Valuation!K27</f>
        <v>-18.8</v>
      </c>
    </row>
    <row r="852" spans="2:7">
      <c r="B852" t="str">
        <f>Valuation!A28</f>
        <v>Normalised EFCF</v>
      </c>
      <c r="C852" s="486">
        <f>Valuation!G28</f>
        <v>0</v>
      </c>
      <c r="D852" s="486">
        <f>Valuation!H28</f>
        <v>93.865019728729806</v>
      </c>
      <c r="E852" s="486">
        <f>Valuation!I28</f>
        <v>78.306080118971721</v>
      </c>
      <c r="F852" s="486">
        <f>Valuation!J28</f>
        <v>142.40066666666672</v>
      </c>
      <c r="G852" s="486">
        <f>Valuation!K28</f>
        <v>196.00200000000001</v>
      </c>
    </row>
    <row r="853" spans="2:7">
      <c r="B853" t="str">
        <f>Valuation!A29</f>
        <v>EFCF/share</v>
      </c>
      <c r="C853" s="558">
        <f>Valuation!G29</f>
        <v>0</v>
      </c>
      <c r="D853" s="558">
        <f>Valuation!H29</f>
        <v>0.54823672166138049</v>
      </c>
      <c r="E853" s="558">
        <f>Valuation!I29</f>
        <v>0.43267091450010065</v>
      </c>
      <c r="F853" s="558">
        <f>Valuation!J29</f>
        <v>0.78274810726823685</v>
      </c>
      <c r="G853" s="558">
        <f>Valuation!K29</f>
        <v>0.84472697496013449</v>
      </c>
    </row>
    <row r="854" spans="2:7">
      <c r="C854" s="486"/>
      <c r="D854" s="486"/>
      <c r="E854" s="486"/>
      <c r="F854" s="486"/>
      <c r="G854" s="486"/>
    </row>
    <row r="855" spans="2:7" ht="15.75">
      <c r="B855" s="50" t="s">
        <v>29</v>
      </c>
      <c r="C855" s="51" t="s">
        <v>1569</v>
      </c>
      <c r="D855" s="51" t="s">
        <v>54</v>
      </c>
      <c r="E855" s="51" t="s">
        <v>2242</v>
      </c>
      <c r="F855" s="51" t="s">
        <v>557</v>
      </c>
    </row>
    <row r="856" spans="2:7" ht="15.75">
      <c r="B856" s="53" t="s">
        <v>1479</v>
      </c>
      <c r="C856" s="616">
        <f>'New quarts'!E437</f>
        <v>169.5</v>
      </c>
      <c r="D856" s="616">
        <f>'New quarts'!E439</f>
        <v>272.10000000000002</v>
      </c>
      <c r="E856" s="617">
        <f>D856/C856</f>
        <v>1.6053097345132745</v>
      </c>
      <c r="F856" s="616">
        <f>'New quarts'!E435</f>
        <v>310.5</v>
      </c>
    </row>
    <row r="857" spans="2:7" ht="15.75">
      <c r="B857" s="53" t="s">
        <v>32</v>
      </c>
      <c r="C857" s="616">
        <f>'New quarts'!E425</f>
        <v>301.10000000000002</v>
      </c>
      <c r="D857" s="616">
        <f>'New quarts'!E427</f>
        <v>496.8</v>
      </c>
      <c r="E857" s="617">
        <f>D857/C857</f>
        <v>1.6499501826635667</v>
      </c>
      <c r="F857" s="616">
        <f>'New quarts'!E423</f>
        <v>469.8</v>
      </c>
    </row>
    <row r="858" spans="2:7" ht="15.75">
      <c r="B858" s="50" t="s">
        <v>33</v>
      </c>
      <c r="C858" s="618">
        <f>'New quarts'!E448</f>
        <v>94.5</v>
      </c>
      <c r="D858" s="618">
        <f>'New quarts'!E450</f>
        <v>169.9</v>
      </c>
      <c r="E858" s="619">
        <f>D858/C858</f>
        <v>1.7978835978835979</v>
      </c>
      <c r="F858" s="618">
        <f>'New quarts'!E446</f>
        <v>121.8</v>
      </c>
    </row>
    <row r="859" spans="2:7" ht="15.75">
      <c r="B859" s="53" t="s">
        <v>16</v>
      </c>
      <c r="C859" s="616">
        <f>SUM(C856:C858)</f>
        <v>565.1</v>
      </c>
      <c r="D859" s="616">
        <f>SUM(D856:D858)</f>
        <v>938.80000000000007</v>
      </c>
      <c r="E859" s="617">
        <f>D859/C859</f>
        <v>1.6612988851530703</v>
      </c>
      <c r="F859" s="616">
        <f>SUM(F856:F858)</f>
        <v>902.09999999999991</v>
      </c>
      <c r="G859" s="16"/>
    </row>
    <row r="860" spans="2:7" ht="15.75">
      <c r="B860" s="53"/>
      <c r="C860" s="79"/>
      <c r="D860" s="79"/>
      <c r="E860" s="79"/>
      <c r="F860" s="79"/>
    </row>
    <row r="861" spans="2:7" ht="15.75">
      <c r="B861" s="53" t="s">
        <v>2241</v>
      </c>
      <c r="C861" s="79">
        <v>94</v>
      </c>
      <c r="D861" s="616">
        <v>255</v>
      </c>
      <c r="E861" s="617">
        <f>D861/C861</f>
        <v>2.7127659574468086</v>
      </c>
      <c r="F861" s="79">
        <v>450</v>
      </c>
    </row>
    <row r="863" spans="2:7" ht="15.75">
      <c r="B863" s="3"/>
      <c r="C863" s="51" t="s">
        <v>325</v>
      </c>
    </row>
    <row r="864" spans="2:7" ht="15.75">
      <c r="B864" s="53" t="s">
        <v>2354</v>
      </c>
      <c r="C864" s="630">
        <f>SUM('New quarts'!K190:N190)-Quarts!H935</f>
        <v>1468.6999999999998</v>
      </c>
    </row>
    <row r="865" spans="1:52" ht="15.75">
      <c r="B865" s="50" t="s">
        <v>2358</v>
      </c>
      <c r="C865" s="632">
        <f>Master!H121-Master!H117-Master!H116</f>
        <v>0</v>
      </c>
    </row>
    <row r="866" spans="1:52" ht="15.75">
      <c r="B866" s="53" t="s">
        <v>2355</v>
      </c>
      <c r="C866" s="630">
        <f>SUM(C864:C865)</f>
        <v>1468.6999999999998</v>
      </c>
    </row>
    <row r="867" spans="1:52" ht="15.75">
      <c r="B867" s="53"/>
      <c r="C867" s="630"/>
    </row>
    <row r="868" spans="1:52" ht="15.75">
      <c r="B868" s="53" t="s">
        <v>2359</v>
      </c>
      <c r="C868" s="630">
        <v>150</v>
      </c>
    </row>
    <row r="869" spans="1:52" ht="15.75">
      <c r="B869" s="53" t="s">
        <v>2357</v>
      </c>
      <c r="C869" s="56">
        <f>C868/C866</f>
        <v>0.1021311363791108</v>
      </c>
    </row>
    <row r="870" spans="1:52" ht="15.75">
      <c r="B870" s="53" t="s">
        <v>2356</v>
      </c>
      <c r="C870" s="630">
        <f>Master!K73</f>
        <v>-55</v>
      </c>
    </row>
    <row r="871" spans="1:52" ht="15.75">
      <c r="B871" s="50" t="s">
        <v>2357</v>
      </c>
      <c r="C871" s="631">
        <f>C870/C866</f>
        <v>-3.7448083339007288E-2</v>
      </c>
    </row>
    <row r="873" spans="1:52">
      <c r="B873" s="14" t="s">
        <v>2493</v>
      </c>
      <c r="C873" s="14"/>
      <c r="D873" s="14"/>
      <c r="K873" s="14" t="s">
        <v>2890</v>
      </c>
      <c r="L873" s="14"/>
      <c r="M873" s="14"/>
      <c r="S873" s="14" t="s">
        <v>158</v>
      </c>
      <c r="V873" s="14" t="s">
        <v>3343</v>
      </c>
      <c r="W873" s="14"/>
      <c r="X873" s="14"/>
      <c r="Y873" s="14"/>
      <c r="AD873" s="14" t="s">
        <v>158</v>
      </c>
      <c r="AG873" s="14" t="s">
        <v>3439</v>
      </c>
      <c r="AH873" s="14"/>
      <c r="AI873" s="14"/>
      <c r="AJ873" s="14"/>
      <c r="AO873" s="14" t="s">
        <v>158</v>
      </c>
      <c r="AR873" s="14" t="s">
        <v>3727</v>
      </c>
      <c r="AS873" s="14"/>
      <c r="AT873" s="14"/>
      <c r="AU873" s="14"/>
      <c r="AZ873" s="14" t="s">
        <v>158</v>
      </c>
    </row>
    <row r="875" spans="1:52">
      <c r="B875" s="513" t="s">
        <v>32</v>
      </c>
      <c r="K875" s="513" t="s">
        <v>32</v>
      </c>
      <c r="V875" s="513" t="s">
        <v>32</v>
      </c>
      <c r="AR875" s="513" t="s">
        <v>32</v>
      </c>
    </row>
    <row r="876" spans="1:52">
      <c r="B876" s="12"/>
      <c r="K876" s="12"/>
      <c r="V876" s="12"/>
      <c r="AR876" s="12"/>
    </row>
    <row r="877" spans="1:52">
      <c r="A877">
        <v>129</v>
      </c>
      <c r="B877" s="552" t="s">
        <v>2464</v>
      </c>
      <c r="C877" s="4" t="s">
        <v>2477</v>
      </c>
      <c r="D877" s="4" t="s">
        <v>881</v>
      </c>
      <c r="E877" s="4" t="s">
        <v>1829</v>
      </c>
      <c r="F877" s="4" t="s">
        <v>2461</v>
      </c>
      <c r="G877" s="4" t="s">
        <v>2507</v>
      </c>
      <c r="H877" s="4" t="s">
        <v>2462</v>
      </c>
      <c r="K877" s="552" t="s">
        <v>2464</v>
      </c>
      <c r="L877" s="4" t="s">
        <v>2477</v>
      </c>
      <c r="M877" s="4" t="s">
        <v>881</v>
      </c>
      <c r="N877" s="4" t="s">
        <v>1829</v>
      </c>
      <c r="O877" s="4" t="s">
        <v>2461</v>
      </c>
      <c r="P877" s="4" t="s">
        <v>2507</v>
      </c>
      <c r="Q877" s="4" t="s">
        <v>2462</v>
      </c>
      <c r="V877" s="552" t="s">
        <v>2464</v>
      </c>
      <c r="W877" s="4" t="s">
        <v>2477</v>
      </c>
      <c r="X877" s="4" t="s">
        <v>881</v>
      </c>
      <c r="Y877" s="4" t="s">
        <v>1829</v>
      </c>
      <c r="Z877" s="4" t="s">
        <v>2461</v>
      </c>
      <c r="AA877" s="4" t="s">
        <v>2507</v>
      </c>
      <c r="AB877" s="4" t="s">
        <v>2462</v>
      </c>
      <c r="AR877" s="552" t="s">
        <v>2464</v>
      </c>
      <c r="AS877" s="4" t="s">
        <v>2477</v>
      </c>
      <c r="AT877" s="4" t="s">
        <v>881</v>
      </c>
      <c r="AU877" s="4" t="s">
        <v>1829</v>
      </c>
      <c r="AV877" s="4" t="s">
        <v>2461</v>
      </c>
      <c r="AW877" s="4" t="s">
        <v>2507</v>
      </c>
      <c r="AX877" s="4" t="s">
        <v>2462</v>
      </c>
    </row>
    <row r="878" spans="1:52">
      <c r="B878" s="36" t="s">
        <v>1860</v>
      </c>
      <c r="C878" s="36">
        <v>3799</v>
      </c>
      <c r="D878" s="63">
        <f>C878/$A$877</f>
        <v>29.449612403100776</v>
      </c>
      <c r="E878" s="36">
        <v>25</v>
      </c>
      <c r="F878" s="36">
        <v>118</v>
      </c>
      <c r="G878" s="647" t="s">
        <v>2463</v>
      </c>
      <c r="H878" s="36">
        <v>200</v>
      </c>
      <c r="I878" s="5">
        <f>C878/C892-1</f>
        <v>-9.5260776375327483E-2</v>
      </c>
      <c r="K878" s="36" t="s">
        <v>1860</v>
      </c>
      <c r="L878" s="36">
        <v>3999</v>
      </c>
      <c r="M878" s="63">
        <f>L878/$A$877</f>
        <v>31</v>
      </c>
      <c r="N878" s="36">
        <v>25</v>
      </c>
      <c r="O878" s="36">
        <v>118</v>
      </c>
      <c r="P878" s="647" t="s">
        <v>2463</v>
      </c>
      <c r="Q878" s="36">
        <v>200</v>
      </c>
      <c r="S878" s="6">
        <f>L878/C878-1</f>
        <v>5.2645433008686515E-2</v>
      </c>
      <c r="V878" s="36" t="s">
        <v>1860</v>
      </c>
      <c r="W878" s="36">
        <v>3999</v>
      </c>
      <c r="X878" s="63">
        <f>W878/$A$877</f>
        <v>31</v>
      </c>
      <c r="Y878" s="36">
        <v>50</v>
      </c>
      <c r="Z878" s="36">
        <v>118</v>
      </c>
      <c r="AA878" s="647" t="s">
        <v>2463</v>
      </c>
      <c r="AB878" s="36">
        <v>200</v>
      </c>
      <c r="AD878" s="6">
        <f>W878/L878-1</f>
        <v>0</v>
      </c>
      <c r="AR878" s="36" t="s">
        <v>1860</v>
      </c>
      <c r="AS878" s="36">
        <v>4299</v>
      </c>
      <c r="AT878" s="63">
        <f>AS878/$A$877</f>
        <v>33.325581395348834</v>
      </c>
      <c r="AU878" s="36">
        <v>50</v>
      </c>
      <c r="AV878" s="36">
        <v>118</v>
      </c>
      <c r="AW878" s="647" t="s">
        <v>2463</v>
      </c>
      <c r="AX878" s="36">
        <v>200</v>
      </c>
      <c r="AZ878" s="6" t="e">
        <f>AS878/AH878-1</f>
        <v>#DIV/0!</v>
      </c>
    </row>
    <row r="879" spans="1:52">
      <c r="B879" t="s">
        <v>1855</v>
      </c>
      <c r="C879">
        <v>4699</v>
      </c>
      <c r="D879" s="16">
        <f>C879/$A$877</f>
        <v>36.426356589147289</v>
      </c>
      <c r="E879">
        <v>25</v>
      </c>
      <c r="F879">
        <v>131</v>
      </c>
      <c r="G879" s="80" t="s">
        <v>2463</v>
      </c>
      <c r="H879">
        <v>200</v>
      </c>
      <c r="K879" t="s">
        <v>1855</v>
      </c>
      <c r="L879">
        <v>4899</v>
      </c>
      <c r="M879" s="16">
        <f>L879/$A$877</f>
        <v>37.97674418604651</v>
      </c>
      <c r="N879">
        <v>25</v>
      </c>
      <c r="O879">
        <v>131</v>
      </c>
      <c r="P879" s="80" t="s">
        <v>2463</v>
      </c>
      <c r="Q879">
        <v>200</v>
      </c>
      <c r="S879" s="6">
        <f>L879/C879-1</f>
        <v>4.2562247286656696E-2</v>
      </c>
      <c r="V879" t="s">
        <v>1855</v>
      </c>
      <c r="W879">
        <v>4899</v>
      </c>
      <c r="X879" s="16">
        <f>W879/$A$877</f>
        <v>37.97674418604651</v>
      </c>
      <c r="Y879">
        <v>50</v>
      </c>
      <c r="Z879">
        <v>131</v>
      </c>
      <c r="AA879" s="80" t="s">
        <v>2463</v>
      </c>
      <c r="AB879">
        <v>200</v>
      </c>
      <c r="AD879" s="6">
        <f t="shared" ref="AD879:AD914" si="30">W879/L879-1</f>
        <v>0</v>
      </c>
      <c r="AR879" t="s">
        <v>1855</v>
      </c>
      <c r="AS879">
        <v>5199</v>
      </c>
      <c r="AT879" s="16">
        <f>AS879/$A$877</f>
        <v>40.302325581395351</v>
      </c>
      <c r="AU879">
        <v>50</v>
      </c>
      <c r="AV879">
        <v>131</v>
      </c>
      <c r="AW879" s="80" t="s">
        <v>2463</v>
      </c>
      <c r="AX879">
        <v>200</v>
      </c>
      <c r="AZ879" s="6" t="e">
        <f>AS879/AH879-1</f>
        <v>#DIV/0!</v>
      </c>
    </row>
    <row r="880" spans="1:52">
      <c r="B880" t="s">
        <v>1856</v>
      </c>
      <c r="C880">
        <v>6299</v>
      </c>
      <c r="D880" s="16">
        <f>C880/$A$877</f>
        <v>48.829457364341089</v>
      </c>
      <c r="E880">
        <v>25</v>
      </c>
      <c r="F880">
        <v>181</v>
      </c>
      <c r="G880" s="80" t="s">
        <v>2463</v>
      </c>
      <c r="H880">
        <v>200</v>
      </c>
      <c r="K880" t="s">
        <v>1856</v>
      </c>
      <c r="L880">
        <v>6799</v>
      </c>
      <c r="M880" s="16">
        <f>L880/$A$877</f>
        <v>52.70542635658915</v>
      </c>
      <c r="N880">
        <v>25</v>
      </c>
      <c r="O880">
        <v>181</v>
      </c>
      <c r="P880" s="80" t="s">
        <v>2463</v>
      </c>
      <c r="Q880">
        <v>200</v>
      </c>
      <c r="S880" s="6">
        <f>L880/C880-1</f>
        <v>7.9377678996666035E-2</v>
      </c>
      <c r="V880" t="s">
        <v>1856</v>
      </c>
      <c r="W880">
        <v>6799</v>
      </c>
      <c r="X880" s="16">
        <f>W880/$A$877</f>
        <v>52.70542635658915</v>
      </c>
      <c r="Y880">
        <v>50</v>
      </c>
      <c r="Z880">
        <v>181</v>
      </c>
      <c r="AA880" s="80" t="s">
        <v>2463</v>
      </c>
      <c r="AB880">
        <v>200</v>
      </c>
      <c r="AD880" s="6">
        <f t="shared" si="30"/>
        <v>0</v>
      </c>
      <c r="AR880" t="s">
        <v>1856</v>
      </c>
      <c r="AS880">
        <v>7199</v>
      </c>
      <c r="AT880" s="16">
        <f>AS880/$A$877</f>
        <v>55.806201550387598</v>
      </c>
      <c r="AU880">
        <v>50</v>
      </c>
      <c r="AV880">
        <v>181</v>
      </c>
      <c r="AW880" s="80" t="s">
        <v>2463</v>
      </c>
      <c r="AX880">
        <v>200</v>
      </c>
      <c r="AZ880" s="6" t="e">
        <f>AS880/AH880-1</f>
        <v>#DIV/0!</v>
      </c>
    </row>
    <row r="881" spans="2:52">
      <c r="B881" t="s">
        <v>1857</v>
      </c>
      <c r="C881">
        <v>9999</v>
      </c>
      <c r="D881" s="16">
        <f>C881/$A$877</f>
        <v>77.511627906976742</v>
      </c>
      <c r="E881">
        <v>50</v>
      </c>
      <c r="F881">
        <v>197</v>
      </c>
      <c r="G881" s="80" t="s">
        <v>2463</v>
      </c>
      <c r="H881">
        <v>1000</v>
      </c>
      <c r="K881" t="s">
        <v>1857</v>
      </c>
      <c r="L881">
        <v>10499</v>
      </c>
      <c r="M881" s="16">
        <f>L881/$A$877</f>
        <v>81.387596899224803</v>
      </c>
      <c r="N881">
        <v>50</v>
      </c>
      <c r="O881">
        <v>197</v>
      </c>
      <c r="P881" s="80" t="s">
        <v>2463</v>
      </c>
      <c r="Q881">
        <v>1000</v>
      </c>
      <c r="S881" s="6">
        <f>L881/C881-1</f>
        <v>5.0005000500050079E-2</v>
      </c>
      <c r="V881" t="s">
        <v>1857</v>
      </c>
      <c r="W881">
        <v>10499</v>
      </c>
      <c r="X881" s="16">
        <f>W881/$A$877</f>
        <v>81.387596899224803</v>
      </c>
      <c r="Y881">
        <v>100</v>
      </c>
      <c r="Z881">
        <v>197</v>
      </c>
      <c r="AA881" s="80" t="s">
        <v>2463</v>
      </c>
      <c r="AB881">
        <v>1000</v>
      </c>
      <c r="AD881" s="6">
        <f t="shared" si="30"/>
        <v>0</v>
      </c>
      <c r="AR881" t="s">
        <v>1857</v>
      </c>
      <c r="AS881">
        <v>11099</v>
      </c>
      <c r="AT881" s="16">
        <f>AS881/$A$877</f>
        <v>86.038759689922486</v>
      </c>
      <c r="AU881">
        <v>100</v>
      </c>
      <c r="AV881">
        <v>197</v>
      </c>
      <c r="AW881" s="80" t="s">
        <v>2463</v>
      </c>
      <c r="AX881">
        <v>1000</v>
      </c>
      <c r="AZ881" s="6" t="e">
        <f>AS881/AH881-1</f>
        <v>#DIV/0!</v>
      </c>
    </row>
    <row r="882" spans="2:52">
      <c r="B882" t="s">
        <v>1858</v>
      </c>
      <c r="C882">
        <v>14999</v>
      </c>
      <c r="D882" s="16">
        <f>C882/$A$877</f>
        <v>116.27131782945736</v>
      </c>
      <c r="E882">
        <v>100</v>
      </c>
      <c r="F882">
        <v>228</v>
      </c>
      <c r="G882" s="80" t="s">
        <v>2463</v>
      </c>
      <c r="H882">
        <v>1000</v>
      </c>
      <c r="K882" t="s">
        <v>1858</v>
      </c>
      <c r="L882">
        <v>15499</v>
      </c>
      <c r="M882" s="16">
        <f>L882/$A$877</f>
        <v>120.14728682170542</v>
      </c>
      <c r="N882">
        <v>100</v>
      </c>
      <c r="O882">
        <v>228</v>
      </c>
      <c r="P882" s="80" t="s">
        <v>2463</v>
      </c>
      <c r="Q882">
        <v>1000</v>
      </c>
      <c r="S882" s="6">
        <f>L882/C882-1</f>
        <v>3.3335555703713604E-2</v>
      </c>
      <c r="V882" t="s">
        <v>1858</v>
      </c>
      <c r="W882">
        <v>15499</v>
      </c>
      <c r="X882" s="16">
        <f>W882/$A$877</f>
        <v>120.14728682170542</v>
      </c>
      <c r="Y882">
        <v>200</v>
      </c>
      <c r="Z882">
        <v>228</v>
      </c>
      <c r="AA882" s="80" t="s">
        <v>2463</v>
      </c>
      <c r="AB882">
        <v>1000</v>
      </c>
      <c r="AD882" s="6">
        <f t="shared" si="30"/>
        <v>0</v>
      </c>
      <c r="AR882" t="s">
        <v>1858</v>
      </c>
      <c r="AS882">
        <v>16099</v>
      </c>
      <c r="AT882" s="16">
        <f>AS882/$A$877</f>
        <v>124.7984496124031</v>
      </c>
      <c r="AU882">
        <v>200</v>
      </c>
      <c r="AV882">
        <v>228</v>
      </c>
      <c r="AW882" s="80" t="s">
        <v>2463</v>
      </c>
      <c r="AX882">
        <v>1000</v>
      </c>
      <c r="AZ882" s="6" t="e">
        <f>AS882/AH882-1</f>
        <v>#DIV/0!</v>
      </c>
    </row>
    <row r="883" spans="2:52">
      <c r="D883" s="16"/>
      <c r="M883" s="16"/>
      <c r="X883" s="16"/>
      <c r="AD883" s="6"/>
      <c r="AT883" s="16"/>
      <c r="AZ883" s="6"/>
    </row>
    <row r="884" spans="2:52">
      <c r="B884" s="12" t="s">
        <v>2472</v>
      </c>
      <c r="D884" s="16"/>
      <c r="K884" s="12" t="s">
        <v>2472</v>
      </c>
      <c r="M884" s="16"/>
      <c r="V884" s="12" t="s">
        <v>2472</v>
      </c>
      <c r="X884" s="16"/>
      <c r="AD884" s="6"/>
      <c r="AR884" s="12" t="s">
        <v>2472</v>
      </c>
      <c r="AT884" s="16"/>
      <c r="AZ884" s="6"/>
    </row>
    <row r="885" spans="2:52">
      <c r="B885" t="s">
        <v>2473</v>
      </c>
      <c r="C885">
        <v>4099</v>
      </c>
      <c r="D885" s="16">
        <f>C885/$A$877</f>
        <v>31.775193798449614</v>
      </c>
      <c r="E885">
        <v>25</v>
      </c>
      <c r="K885" t="s">
        <v>2473</v>
      </c>
      <c r="L885">
        <v>4299</v>
      </c>
      <c r="M885" s="16">
        <f>L885/$A$877</f>
        <v>33.325581395348834</v>
      </c>
      <c r="N885">
        <v>25</v>
      </c>
      <c r="S885" s="6">
        <f>L885/C885-1</f>
        <v>4.8792388387411512E-2</v>
      </c>
      <c r="V885" t="s">
        <v>2473</v>
      </c>
      <c r="W885">
        <v>4299</v>
      </c>
      <c r="X885" s="16">
        <f>W885/$A$877</f>
        <v>33.325581395348834</v>
      </c>
      <c r="Y885">
        <v>50</v>
      </c>
      <c r="AD885" s="6">
        <f t="shared" si="30"/>
        <v>0</v>
      </c>
      <c r="AR885" t="s">
        <v>2473</v>
      </c>
      <c r="AS885">
        <v>4699</v>
      </c>
      <c r="AT885" s="16">
        <f>AS885/$A$877</f>
        <v>36.426356589147289</v>
      </c>
      <c r="AU885">
        <v>50</v>
      </c>
      <c r="AZ885" s="6" t="e">
        <f>AS885/AH885-1</f>
        <v>#DIV/0!</v>
      </c>
    </row>
    <row r="886" spans="2:52">
      <c r="B886" t="s">
        <v>2474</v>
      </c>
      <c r="C886">
        <v>8699</v>
      </c>
      <c r="D886" s="16">
        <f>C886/$A$877</f>
        <v>67.434108527131784</v>
      </c>
      <c r="E886">
        <v>50</v>
      </c>
      <c r="K886" t="s">
        <v>2474</v>
      </c>
      <c r="L886">
        <v>9299</v>
      </c>
      <c r="M886" s="16">
        <f>L886/$A$877</f>
        <v>72.085271317829452</v>
      </c>
      <c r="N886">
        <v>50</v>
      </c>
      <c r="S886" s="6">
        <f>L886/C886-1</f>
        <v>6.8973445223588836E-2</v>
      </c>
      <c r="V886" t="s">
        <v>2474</v>
      </c>
      <c r="W886">
        <v>9299</v>
      </c>
      <c r="X886" s="16">
        <f>W886/$A$877</f>
        <v>72.085271317829452</v>
      </c>
      <c r="Y886">
        <v>100</v>
      </c>
      <c r="AD886" s="6">
        <f t="shared" si="30"/>
        <v>0</v>
      </c>
      <c r="AR886" t="s">
        <v>2474</v>
      </c>
      <c r="AS886">
        <v>9999</v>
      </c>
      <c r="AT886" s="16">
        <f>AS886/$A$877</f>
        <v>77.511627906976742</v>
      </c>
      <c r="AU886">
        <v>100</v>
      </c>
      <c r="AZ886" s="6" t="e">
        <f>AS886/AH886-1</f>
        <v>#DIV/0!</v>
      </c>
    </row>
    <row r="887" spans="2:52">
      <c r="B887" t="s">
        <v>2475</v>
      </c>
      <c r="C887">
        <v>10899</v>
      </c>
      <c r="D887" s="16">
        <f>C887/$A$877</f>
        <v>84.488372093023258</v>
      </c>
      <c r="E887">
        <v>100</v>
      </c>
      <c r="K887" t="s">
        <v>2475</v>
      </c>
      <c r="L887">
        <v>11499</v>
      </c>
      <c r="M887" s="16">
        <f>L887/$A$877</f>
        <v>89.139534883720927</v>
      </c>
      <c r="N887">
        <v>100</v>
      </c>
      <c r="S887" s="6">
        <f>L887/C887-1</f>
        <v>5.5050922102945155E-2</v>
      </c>
      <c r="V887" t="s">
        <v>2475</v>
      </c>
      <c r="W887">
        <v>11499</v>
      </c>
      <c r="X887" s="16">
        <f>W887/$A$877</f>
        <v>89.139534883720927</v>
      </c>
      <c r="Y887">
        <v>200</v>
      </c>
      <c r="AD887" s="6">
        <f t="shared" si="30"/>
        <v>0</v>
      </c>
      <c r="AR887" t="s">
        <v>2475</v>
      </c>
      <c r="AS887">
        <v>11999</v>
      </c>
      <c r="AT887" s="16">
        <f>AS887/$A$877</f>
        <v>93.015503875968989</v>
      </c>
      <c r="AU887">
        <v>200</v>
      </c>
      <c r="AZ887" s="6" t="e">
        <f>AS887/AH887-1</f>
        <v>#DIV/0!</v>
      </c>
    </row>
    <row r="888" spans="2:52">
      <c r="B888" t="s">
        <v>2476</v>
      </c>
      <c r="C888">
        <v>14999</v>
      </c>
      <c r="D888" s="16">
        <f>C888/$A$877</f>
        <v>116.27131782945736</v>
      </c>
      <c r="E888">
        <v>200</v>
      </c>
      <c r="K888" t="s">
        <v>2476</v>
      </c>
      <c r="L888">
        <v>14999</v>
      </c>
      <c r="M888" s="16">
        <f>L888/$A$877</f>
        <v>116.27131782945736</v>
      </c>
      <c r="N888">
        <v>200</v>
      </c>
      <c r="S888" s="6">
        <f>L888/C888-1</f>
        <v>0</v>
      </c>
      <c r="V888" t="s">
        <v>2476</v>
      </c>
      <c r="W888">
        <v>14999</v>
      </c>
      <c r="X888" s="16">
        <f>W888/$A$877</f>
        <v>116.27131782945736</v>
      </c>
      <c r="Y888">
        <v>400</v>
      </c>
      <c r="AD888" s="6">
        <f t="shared" si="30"/>
        <v>0</v>
      </c>
      <c r="AR888" t="s">
        <v>2476</v>
      </c>
      <c r="AS888">
        <v>15499</v>
      </c>
      <c r="AT888" s="16">
        <f>AS888/$A$877</f>
        <v>120.14728682170542</v>
      </c>
      <c r="AU888">
        <v>400</v>
      </c>
      <c r="AZ888" s="6" t="e">
        <f>AS888/AH888-1</f>
        <v>#DIV/0!</v>
      </c>
    </row>
    <row r="889" spans="2:52">
      <c r="D889" s="16"/>
      <c r="M889" s="16"/>
      <c r="X889" s="16"/>
      <c r="AD889" s="6"/>
      <c r="AT889" s="16"/>
      <c r="AZ889" s="6"/>
    </row>
    <row r="890" spans="2:52">
      <c r="B890" s="552" t="s">
        <v>2470</v>
      </c>
      <c r="C890" s="3"/>
      <c r="D890" s="64"/>
      <c r="E890" s="4" t="s">
        <v>1829</v>
      </c>
      <c r="F890" s="4" t="s">
        <v>2461</v>
      </c>
      <c r="G890" s="4" t="s">
        <v>2503</v>
      </c>
      <c r="H890" s="3"/>
      <c r="K890" s="552" t="s">
        <v>2470</v>
      </c>
      <c r="L890" s="3"/>
      <c r="M890" s="64"/>
      <c r="N890" s="4" t="s">
        <v>1829</v>
      </c>
      <c r="O890" s="4" t="s">
        <v>2461</v>
      </c>
      <c r="P890" s="4" t="s">
        <v>2503</v>
      </c>
      <c r="Q890" s="3"/>
      <c r="V890" s="552" t="s">
        <v>2470</v>
      </c>
      <c r="W890" s="3"/>
      <c r="X890" s="64"/>
      <c r="Y890" s="4" t="s">
        <v>1829</v>
      </c>
      <c r="Z890" s="4" t="s">
        <v>2461</v>
      </c>
      <c r="AA890" s="4" t="s">
        <v>2503</v>
      </c>
      <c r="AB890" s="3"/>
      <c r="AD890" s="6"/>
      <c r="AR890" s="552" t="s">
        <v>2470</v>
      </c>
      <c r="AS890" s="3"/>
      <c r="AT890" s="64"/>
      <c r="AU890" s="4" t="s">
        <v>1829</v>
      </c>
      <c r="AV890" s="4" t="s">
        <v>2461</v>
      </c>
      <c r="AW890" s="4" t="s">
        <v>2503</v>
      </c>
      <c r="AX890" s="3"/>
      <c r="AZ890" s="6"/>
    </row>
    <row r="891" spans="2:52">
      <c r="B891" t="s">
        <v>1863</v>
      </c>
      <c r="C891">
        <v>3999</v>
      </c>
      <c r="D891" s="16">
        <f>C891/$A$877</f>
        <v>31</v>
      </c>
      <c r="E891">
        <v>20</v>
      </c>
      <c r="F891" s="80" t="s">
        <v>2466</v>
      </c>
      <c r="G891">
        <v>100</v>
      </c>
      <c r="K891" t="s">
        <v>1863</v>
      </c>
      <c r="L891">
        <v>3999</v>
      </c>
      <c r="M891" s="16">
        <f>L891/$A$877</f>
        <v>31</v>
      </c>
      <c r="N891">
        <v>20</v>
      </c>
      <c r="O891" s="80" t="s">
        <v>2466</v>
      </c>
      <c r="P891">
        <v>100</v>
      </c>
      <c r="S891" s="6">
        <f>L891/C891-1</f>
        <v>0</v>
      </c>
      <c r="V891" t="s">
        <v>1863</v>
      </c>
      <c r="W891">
        <v>3999</v>
      </c>
      <c r="X891" s="16">
        <f>W891/$A$877</f>
        <v>31</v>
      </c>
      <c r="Y891">
        <v>20</v>
      </c>
      <c r="Z891" s="80" t="s">
        <v>2466</v>
      </c>
      <c r="AA891">
        <v>100</v>
      </c>
      <c r="AD891" s="6">
        <f t="shared" si="30"/>
        <v>0</v>
      </c>
      <c r="AR891" t="s">
        <v>3728</v>
      </c>
      <c r="AS891">
        <v>4499</v>
      </c>
      <c r="AT891" s="16">
        <f>AS891/$A$877</f>
        <v>34.875968992248062</v>
      </c>
      <c r="AU891">
        <v>40</v>
      </c>
      <c r="AV891" s="80">
        <v>120</v>
      </c>
      <c r="AW891">
        <v>100</v>
      </c>
      <c r="AZ891" s="6" t="e">
        <f>AS891/AH891-1</f>
        <v>#DIV/0!</v>
      </c>
    </row>
    <row r="892" spans="2:52">
      <c r="B892" s="36" t="s">
        <v>1864</v>
      </c>
      <c r="C892" s="36">
        <v>4199</v>
      </c>
      <c r="D892" s="63">
        <f>C892/$A$877</f>
        <v>32.550387596899228</v>
      </c>
      <c r="E892" s="36">
        <v>20</v>
      </c>
      <c r="F892" s="647" t="s">
        <v>2467</v>
      </c>
      <c r="G892" s="36">
        <v>100</v>
      </c>
      <c r="H892" s="36"/>
      <c r="K892" s="36" t="s">
        <v>1864</v>
      </c>
      <c r="L892" s="36">
        <v>4999</v>
      </c>
      <c r="M892" s="63">
        <f>L892/$A$877</f>
        <v>38.751937984496124</v>
      </c>
      <c r="N892" s="36">
        <v>20</v>
      </c>
      <c r="O892" s="647" t="s">
        <v>2467</v>
      </c>
      <c r="P892" s="36">
        <v>100</v>
      </c>
      <c r="Q892" s="36"/>
      <c r="S892" s="6">
        <f>L892/C892-1</f>
        <v>0.19052155275065497</v>
      </c>
      <c r="V892" s="36" t="s">
        <v>1864</v>
      </c>
      <c r="W892" s="36">
        <v>5199</v>
      </c>
      <c r="X892" s="63">
        <f>W892/$A$877</f>
        <v>40.302325581395351</v>
      </c>
      <c r="Y892" s="36">
        <v>20</v>
      </c>
      <c r="Z892" s="647" t="s">
        <v>2467</v>
      </c>
      <c r="AA892" s="36">
        <v>100</v>
      </c>
      <c r="AB892" s="36"/>
      <c r="AD892" s="6">
        <f t="shared" si="30"/>
        <v>4.0008001600320142E-2</v>
      </c>
      <c r="AR892" s="36" t="s">
        <v>3729</v>
      </c>
      <c r="AS892" s="36">
        <v>5999</v>
      </c>
      <c r="AT892" s="63">
        <f>AS892/$A$877</f>
        <v>46.503875968992247</v>
      </c>
      <c r="AU892" s="36">
        <v>60</v>
      </c>
      <c r="AV892" s="647">
        <v>167</v>
      </c>
      <c r="AW892" s="36">
        <v>100</v>
      </c>
      <c r="AX892" s="36"/>
      <c r="AZ892" s="6" t="e">
        <f>AS892/AH892-1</f>
        <v>#DIV/0!</v>
      </c>
    </row>
    <row r="893" spans="2:52">
      <c r="B893" t="s">
        <v>1865</v>
      </c>
      <c r="C893">
        <v>9899</v>
      </c>
      <c r="D893" s="16">
        <f>C893/$A$877</f>
        <v>76.736434108527135</v>
      </c>
      <c r="E893">
        <v>20</v>
      </c>
      <c r="F893" s="80" t="s">
        <v>2468</v>
      </c>
      <c r="G893">
        <v>100</v>
      </c>
      <c r="K893" t="s">
        <v>1865</v>
      </c>
      <c r="L893">
        <v>5499</v>
      </c>
      <c r="M893" s="16">
        <f>L893/$A$877</f>
        <v>42.627906976744185</v>
      </c>
      <c r="N893">
        <v>20</v>
      </c>
      <c r="O893" s="80" t="s">
        <v>2468</v>
      </c>
      <c r="P893">
        <v>100</v>
      </c>
      <c r="S893" s="6">
        <f>L893/C893-1</f>
        <v>-0.4444893423578139</v>
      </c>
      <c r="V893" t="s">
        <v>1865</v>
      </c>
      <c r="W893">
        <v>6799</v>
      </c>
      <c r="X893" s="16">
        <f>W893/$A$877</f>
        <v>52.70542635658915</v>
      </c>
      <c r="Y893">
        <v>20</v>
      </c>
      <c r="Z893" s="80" t="s">
        <v>2468</v>
      </c>
      <c r="AA893">
        <v>100</v>
      </c>
      <c r="AD893" s="6">
        <f>W893/L893-1</f>
        <v>0.23640661938534269</v>
      </c>
      <c r="AR893" t="s">
        <v>3730</v>
      </c>
      <c r="AS893">
        <v>6999</v>
      </c>
      <c r="AT893" s="16">
        <f>AS893/$A$877</f>
        <v>54.255813953488371</v>
      </c>
      <c r="AU893">
        <v>75</v>
      </c>
      <c r="AV893" s="80">
        <v>197</v>
      </c>
      <c r="AW893">
        <v>100</v>
      </c>
      <c r="AZ893" s="6" t="e">
        <f>AS893/AH893-1</f>
        <v>#DIV/0!</v>
      </c>
    </row>
    <row r="894" spans="2:52">
      <c r="B894" t="s">
        <v>1866</v>
      </c>
      <c r="C894">
        <v>12099</v>
      </c>
      <c r="D894" s="16">
        <f>C894/$A$877</f>
        <v>93.79069767441861</v>
      </c>
      <c r="E894">
        <v>20</v>
      </c>
      <c r="F894" s="80" t="s">
        <v>2469</v>
      </c>
      <c r="G894">
        <v>100</v>
      </c>
      <c r="K894" t="s">
        <v>1866</v>
      </c>
      <c r="L894">
        <v>7499</v>
      </c>
      <c r="M894" s="16">
        <f>L894/$A$877</f>
        <v>58.131782945736433</v>
      </c>
      <c r="N894">
        <v>20</v>
      </c>
      <c r="O894" s="80" t="s">
        <v>2469</v>
      </c>
      <c r="P894">
        <v>100</v>
      </c>
      <c r="S894" s="6">
        <f>L894/C894-1</f>
        <v>-0.38019671047193981</v>
      </c>
      <c r="V894" t="s">
        <v>1866</v>
      </c>
      <c r="W894">
        <v>8499</v>
      </c>
      <c r="X894" s="16">
        <f>W894/$A$877</f>
        <v>65.883720930232556</v>
      </c>
      <c r="Y894">
        <v>20</v>
      </c>
      <c r="Z894" s="80" t="s">
        <v>2469</v>
      </c>
      <c r="AA894">
        <v>100</v>
      </c>
      <c r="AD894" s="6">
        <f t="shared" si="30"/>
        <v>0.13335111348179751</v>
      </c>
      <c r="AR894" t="s">
        <v>3731</v>
      </c>
      <c r="AS894">
        <v>10299</v>
      </c>
      <c r="AT894" s="16">
        <f>AS894/$A$877</f>
        <v>79.837209302325576</v>
      </c>
      <c r="AU894">
        <v>100</v>
      </c>
      <c r="AV894" s="80">
        <v>250</v>
      </c>
      <c r="AW894">
        <v>100</v>
      </c>
      <c r="AZ894" s="6" t="e">
        <f>AS894/AH894-1</f>
        <v>#DIV/0!</v>
      </c>
    </row>
    <row r="895" spans="2:52">
      <c r="D895" s="16"/>
      <c r="M895" s="16"/>
      <c r="X895" s="16"/>
      <c r="AD895" s="6"/>
      <c r="AT895" s="16"/>
      <c r="AZ895" s="6"/>
    </row>
    <row r="896" spans="2:52">
      <c r="B896" s="12" t="s">
        <v>2471</v>
      </c>
      <c r="D896" s="16"/>
      <c r="K896" s="12" t="s">
        <v>2471</v>
      </c>
      <c r="M896" s="16"/>
      <c r="V896" s="12" t="s">
        <v>2471</v>
      </c>
      <c r="X896" s="16"/>
      <c r="AD896" s="6"/>
      <c r="AG896" s="12" t="s">
        <v>2471</v>
      </c>
      <c r="AI896" s="16"/>
      <c r="AR896" s="12" t="s">
        <v>2471</v>
      </c>
      <c r="AT896" s="16"/>
      <c r="AZ896" s="6"/>
    </row>
    <row r="897" spans="1:52">
      <c r="B897" t="s">
        <v>1863</v>
      </c>
      <c r="C897">
        <v>3599</v>
      </c>
      <c r="D897" s="16">
        <f>C897/$A$877</f>
        <v>27.899224806201552</v>
      </c>
      <c r="E897">
        <v>20</v>
      </c>
      <c r="K897" t="s">
        <v>1863</v>
      </c>
      <c r="L897">
        <v>3799</v>
      </c>
      <c r="M897" s="16">
        <f>L897/$A$877</f>
        <v>29.449612403100776</v>
      </c>
      <c r="N897">
        <v>20</v>
      </c>
      <c r="S897" s="6">
        <f>L897/C897-1</f>
        <v>5.5570991942206271E-2</v>
      </c>
      <c r="V897" t="s">
        <v>1863</v>
      </c>
      <c r="W897">
        <v>3799</v>
      </c>
      <c r="X897" s="16">
        <f>W897/$A$877</f>
        <v>29.449612403100776</v>
      </c>
      <c r="Y897">
        <v>20</v>
      </c>
      <c r="AD897" s="6">
        <f t="shared" si="30"/>
        <v>0</v>
      </c>
      <c r="AG897" t="s">
        <v>1863</v>
      </c>
      <c r="AH897">
        <v>3999</v>
      </c>
      <c r="AI897" s="16">
        <f>AH897/$A$877</f>
        <v>31</v>
      </c>
      <c r="AJ897">
        <v>20</v>
      </c>
      <c r="AO897" s="5">
        <f>AH897/W897-1</f>
        <v>5.2645433008686515E-2</v>
      </c>
      <c r="AR897" t="s">
        <v>1863</v>
      </c>
      <c r="AS897">
        <v>4299</v>
      </c>
      <c r="AT897" s="16">
        <f>AS897/$A$877</f>
        <v>33.325581395348834</v>
      </c>
      <c r="AU897">
        <v>20</v>
      </c>
      <c r="AZ897" s="6">
        <f>AS897/AH897-1</f>
        <v>7.5018754688672251E-2</v>
      </c>
    </row>
    <row r="898" spans="1:52">
      <c r="B898" t="s">
        <v>1864</v>
      </c>
      <c r="C898">
        <v>4199</v>
      </c>
      <c r="D898" s="16">
        <f>C898/$A$877</f>
        <v>32.550387596899228</v>
      </c>
      <c r="E898">
        <v>25</v>
      </c>
      <c r="K898" t="s">
        <v>1864</v>
      </c>
      <c r="L898">
        <v>4399</v>
      </c>
      <c r="M898" s="16">
        <f>L898/$A$877</f>
        <v>34.100775193798448</v>
      </c>
      <c r="N898">
        <v>25</v>
      </c>
      <c r="S898" s="6">
        <f>L898/C898-1</f>
        <v>4.763038818766363E-2</v>
      </c>
      <c r="V898" t="s">
        <v>1864</v>
      </c>
      <c r="W898">
        <v>4399</v>
      </c>
      <c r="X898" s="16">
        <f>W898/$A$877</f>
        <v>34.100775193798448</v>
      </c>
      <c r="Y898">
        <v>25</v>
      </c>
      <c r="AD898" s="6">
        <f t="shared" si="30"/>
        <v>0</v>
      </c>
      <c r="AG898" t="s">
        <v>1864</v>
      </c>
      <c r="AH898">
        <v>4599</v>
      </c>
      <c r="AI898" s="16">
        <f>AH898/$A$877</f>
        <v>35.651162790697676</v>
      </c>
      <c r="AJ898">
        <v>25</v>
      </c>
      <c r="AO898" s="5">
        <f>AH898/W898-1</f>
        <v>4.5464878381450413E-2</v>
      </c>
      <c r="AR898" t="s">
        <v>1864</v>
      </c>
      <c r="AS898">
        <v>5099</v>
      </c>
      <c r="AT898" s="16">
        <f>AS898/$A$877</f>
        <v>39.527131782945737</v>
      </c>
      <c r="AU898">
        <v>25</v>
      </c>
      <c r="AZ898" s="6">
        <f>AS898/AH898-1</f>
        <v>0.10871928680147858</v>
      </c>
    </row>
    <row r="899" spans="1:52">
      <c r="B899" t="s">
        <v>1865</v>
      </c>
      <c r="C899">
        <v>9899</v>
      </c>
      <c r="D899" s="16">
        <f>C899/$A$877</f>
        <v>76.736434108527135</v>
      </c>
      <c r="E899">
        <v>50</v>
      </c>
      <c r="K899" t="s">
        <v>1865</v>
      </c>
      <c r="L899">
        <v>10099</v>
      </c>
      <c r="M899" s="16">
        <f>L899/$A$877</f>
        <v>78.286821705426362</v>
      </c>
      <c r="N899">
        <v>50</v>
      </c>
      <c r="S899" s="6">
        <f>L899/C899-1</f>
        <v>2.0204061016264374E-2</v>
      </c>
      <c r="V899" t="s">
        <v>1865</v>
      </c>
      <c r="W899">
        <v>10099</v>
      </c>
      <c r="X899" s="16">
        <f>W899/$A$877</f>
        <v>78.286821705426362</v>
      </c>
      <c r="Y899">
        <v>50</v>
      </c>
      <c r="AD899" s="6">
        <f t="shared" si="30"/>
        <v>0</v>
      </c>
      <c r="AG899" t="s">
        <v>1865</v>
      </c>
      <c r="AH899">
        <v>12299</v>
      </c>
      <c r="AI899" s="16">
        <f>AH899/$A$877</f>
        <v>95.341085271317823</v>
      </c>
      <c r="AJ899">
        <v>50</v>
      </c>
      <c r="AO899" s="5">
        <f>AH899/W899-1</f>
        <v>0.2178433508268145</v>
      </c>
      <c r="AR899" t="s">
        <v>1865</v>
      </c>
      <c r="AS899">
        <v>10099</v>
      </c>
      <c r="AT899" s="16">
        <f>AS899/$A$877</f>
        <v>78.286821705426362</v>
      </c>
      <c r="AU899">
        <v>50</v>
      </c>
      <c r="AZ899" s="6">
        <f>AS899/AH899-1</f>
        <v>-0.17887633140905768</v>
      </c>
    </row>
    <row r="900" spans="1:52">
      <c r="B900" t="s">
        <v>2465</v>
      </c>
      <c r="C900">
        <v>12099</v>
      </c>
      <c r="D900" s="16">
        <f>C900/$A$877</f>
        <v>93.79069767441861</v>
      </c>
      <c r="E900">
        <v>100</v>
      </c>
      <c r="K900" t="s">
        <v>2465</v>
      </c>
      <c r="L900">
        <v>12299</v>
      </c>
      <c r="M900" s="16">
        <f>L900/$A$877</f>
        <v>95.341085271317823</v>
      </c>
      <c r="N900">
        <v>100</v>
      </c>
      <c r="S900" s="6">
        <f>L900/C900-1</f>
        <v>1.6530291759649485E-2</v>
      </c>
      <c r="V900" t="s">
        <v>2465</v>
      </c>
      <c r="W900">
        <v>12299</v>
      </c>
      <c r="X900" s="16">
        <f>W900/$A$877</f>
        <v>95.341085271317823</v>
      </c>
      <c r="Y900">
        <v>100</v>
      </c>
      <c r="AD900" s="6">
        <f t="shared" si="30"/>
        <v>0</v>
      </c>
      <c r="AI900" s="16"/>
      <c r="AR900" t="s">
        <v>2465</v>
      </c>
      <c r="AS900">
        <v>12299</v>
      </c>
      <c r="AT900" s="16">
        <f>AS900/$A$877</f>
        <v>95.341085271317823</v>
      </c>
      <c r="AU900">
        <v>100</v>
      </c>
      <c r="AZ900" s="6" t="e">
        <f>AS900/AH900-1</f>
        <v>#DIV/0!</v>
      </c>
    </row>
    <row r="901" spans="1:52">
      <c r="AD901" s="6"/>
      <c r="AZ901" s="6"/>
    </row>
    <row r="902" spans="1:52">
      <c r="B902" s="513" t="s">
        <v>1382</v>
      </c>
      <c r="K902" s="513" t="s">
        <v>1382</v>
      </c>
      <c r="V902" s="513" t="s">
        <v>1382</v>
      </c>
      <c r="AD902" s="6"/>
      <c r="AR902" s="513" t="s">
        <v>1382</v>
      </c>
      <c r="AZ902" s="6"/>
    </row>
    <row r="903" spans="1:52">
      <c r="AD903" s="6"/>
      <c r="AZ903" s="6"/>
    </row>
    <row r="904" spans="1:52">
      <c r="A904">
        <v>6.8</v>
      </c>
      <c r="B904" s="552" t="s">
        <v>2506</v>
      </c>
      <c r="C904" s="4" t="s">
        <v>2494</v>
      </c>
      <c r="D904" s="4" t="s">
        <v>881</v>
      </c>
      <c r="E904" s="4" t="s">
        <v>1829</v>
      </c>
      <c r="F904" s="4" t="s">
        <v>2461</v>
      </c>
      <c r="G904" s="4" t="s">
        <v>2507</v>
      </c>
      <c r="H904" s="4" t="s">
        <v>2462</v>
      </c>
      <c r="K904" s="552" t="s">
        <v>2506</v>
      </c>
      <c r="L904" s="4" t="s">
        <v>2494</v>
      </c>
      <c r="M904" s="4" t="s">
        <v>881</v>
      </c>
      <c r="N904" s="4" t="s">
        <v>1829</v>
      </c>
      <c r="O904" s="4" t="s">
        <v>2461</v>
      </c>
      <c r="P904" s="4" t="s">
        <v>2507</v>
      </c>
      <c r="Q904" s="4" t="s">
        <v>2462</v>
      </c>
      <c r="V904" s="552" t="s">
        <v>2506</v>
      </c>
      <c r="W904" s="4" t="s">
        <v>2494</v>
      </c>
      <c r="X904" s="4" t="s">
        <v>881</v>
      </c>
      <c r="Y904" s="4" t="s">
        <v>1829</v>
      </c>
      <c r="Z904" s="4" t="s">
        <v>2461</v>
      </c>
      <c r="AA904" s="4" t="s">
        <v>2507</v>
      </c>
      <c r="AB904" s="4" t="s">
        <v>2462</v>
      </c>
      <c r="AD904" s="6"/>
      <c r="AR904" s="552" t="s">
        <v>2506</v>
      </c>
      <c r="AS904" s="4" t="s">
        <v>2494</v>
      </c>
      <c r="AT904" s="4" t="s">
        <v>881</v>
      </c>
      <c r="AU904" s="4" t="s">
        <v>1829</v>
      </c>
      <c r="AV904" s="4" t="s">
        <v>2461</v>
      </c>
      <c r="AW904" s="4" t="s">
        <v>2507</v>
      </c>
      <c r="AX904" s="4" t="s">
        <v>2462</v>
      </c>
      <c r="AZ904" s="6"/>
    </row>
    <row r="905" spans="1:52">
      <c r="B905" t="s">
        <v>1860</v>
      </c>
      <c r="C905">
        <v>199</v>
      </c>
      <c r="D905" s="16">
        <f t="shared" ref="D905:D914" si="31">C905/$A$904</f>
        <v>29.264705882352942</v>
      </c>
      <c r="E905">
        <v>25</v>
      </c>
      <c r="F905">
        <v>27</v>
      </c>
      <c r="G905" s="80" t="s">
        <v>2463</v>
      </c>
      <c r="H905">
        <v>0</v>
      </c>
      <c r="K905" t="s">
        <v>1860</v>
      </c>
      <c r="L905">
        <v>199</v>
      </c>
      <c r="M905" s="16">
        <f t="shared" ref="M905:M914" si="32">L905/$A$904</f>
        <v>29.264705882352942</v>
      </c>
      <c r="N905">
        <v>25</v>
      </c>
      <c r="O905">
        <v>27</v>
      </c>
      <c r="P905" s="80" t="s">
        <v>2463</v>
      </c>
      <c r="Q905">
        <v>0</v>
      </c>
      <c r="S905" s="6">
        <f t="shared" ref="S905:S914" si="33">L905/C905-1</f>
        <v>0</v>
      </c>
      <c r="V905" t="s">
        <v>1860</v>
      </c>
      <c r="W905">
        <v>209</v>
      </c>
      <c r="X905" s="16">
        <f t="shared" ref="X905:X914" si="34">W905/$A$904</f>
        <v>30.735294117647058</v>
      </c>
      <c r="Y905">
        <v>30</v>
      </c>
      <c r="Z905">
        <v>27</v>
      </c>
      <c r="AA905" s="80" t="s">
        <v>2463</v>
      </c>
      <c r="AB905">
        <v>0</v>
      </c>
      <c r="AD905" s="6">
        <f t="shared" si="30"/>
        <v>5.0251256281407031E-2</v>
      </c>
      <c r="AR905" t="s">
        <v>1860</v>
      </c>
      <c r="AS905">
        <v>209</v>
      </c>
      <c r="AT905" s="16">
        <f t="shared" ref="AT905:AT914" si="35">AS905/$A$904</f>
        <v>30.735294117647058</v>
      </c>
      <c r="AU905">
        <v>30</v>
      </c>
      <c r="AV905">
        <v>27</v>
      </c>
      <c r="AW905" s="80" t="s">
        <v>2463</v>
      </c>
      <c r="AX905">
        <v>0</v>
      </c>
      <c r="AZ905" s="6" t="e">
        <f t="shared" ref="AZ905:AZ914" si="36">AS905/AH905-1</f>
        <v>#DIV/0!</v>
      </c>
    </row>
    <row r="906" spans="1:52" hidden="1" outlineLevel="1">
      <c r="B906" t="s">
        <v>1860</v>
      </c>
      <c r="C906">
        <v>369</v>
      </c>
      <c r="D906" s="16">
        <f t="shared" si="31"/>
        <v>54.264705882352942</v>
      </c>
      <c r="E906">
        <v>50</v>
      </c>
      <c r="F906">
        <v>27</v>
      </c>
      <c r="G906" s="80" t="s">
        <v>2463</v>
      </c>
      <c r="H906">
        <v>0</v>
      </c>
      <c r="K906" t="s">
        <v>1860</v>
      </c>
      <c r="L906">
        <v>369</v>
      </c>
      <c r="M906" s="16">
        <f t="shared" si="32"/>
        <v>54.264705882352942</v>
      </c>
      <c r="N906">
        <v>50</v>
      </c>
      <c r="O906">
        <v>27</v>
      </c>
      <c r="P906" s="80" t="s">
        <v>2463</v>
      </c>
      <c r="Q906">
        <v>0</v>
      </c>
      <c r="S906" s="6">
        <f t="shared" si="33"/>
        <v>0</v>
      </c>
      <c r="V906" t="s">
        <v>1860</v>
      </c>
      <c r="W906">
        <v>369</v>
      </c>
      <c r="X906" s="16">
        <f t="shared" si="34"/>
        <v>54.264705882352942</v>
      </c>
      <c r="Y906">
        <v>50</v>
      </c>
      <c r="Z906">
        <v>27</v>
      </c>
      <c r="AA906" s="80" t="s">
        <v>2463</v>
      </c>
      <c r="AB906">
        <v>0</v>
      </c>
      <c r="AD906" s="6">
        <f t="shared" si="30"/>
        <v>0</v>
      </c>
      <c r="AR906" t="s">
        <v>1860</v>
      </c>
      <c r="AS906">
        <v>369</v>
      </c>
      <c r="AT906" s="16">
        <f t="shared" si="35"/>
        <v>54.264705882352942</v>
      </c>
      <c r="AU906">
        <v>50</v>
      </c>
      <c r="AV906">
        <v>27</v>
      </c>
      <c r="AW906" s="80" t="s">
        <v>2463</v>
      </c>
      <c r="AX906">
        <v>0</v>
      </c>
      <c r="AZ906" s="6" t="e">
        <f t="shared" si="36"/>
        <v>#DIV/0!</v>
      </c>
    </row>
    <row r="907" spans="1:52" hidden="1" outlineLevel="1">
      <c r="B907" t="s">
        <v>1855</v>
      </c>
      <c r="C907">
        <v>289</v>
      </c>
      <c r="D907" s="16">
        <f t="shared" si="31"/>
        <v>42.5</v>
      </c>
      <c r="E907">
        <v>25</v>
      </c>
      <c r="F907">
        <v>101</v>
      </c>
      <c r="G907" s="80" t="s">
        <v>2463</v>
      </c>
      <c r="H907">
        <v>0</v>
      </c>
      <c r="K907" t="s">
        <v>1855</v>
      </c>
      <c r="L907">
        <v>289</v>
      </c>
      <c r="M907" s="16">
        <f t="shared" si="32"/>
        <v>42.5</v>
      </c>
      <c r="N907">
        <v>25</v>
      </c>
      <c r="O907">
        <v>101</v>
      </c>
      <c r="P907" s="80" t="s">
        <v>2463</v>
      </c>
      <c r="Q907">
        <v>0</v>
      </c>
      <c r="S907" s="6">
        <f t="shared" si="33"/>
        <v>0</v>
      </c>
      <c r="V907" t="s">
        <v>1855</v>
      </c>
      <c r="W907">
        <v>289</v>
      </c>
      <c r="X907" s="16">
        <f t="shared" si="34"/>
        <v>42.5</v>
      </c>
      <c r="Y907">
        <v>25</v>
      </c>
      <c r="Z907">
        <v>101</v>
      </c>
      <c r="AA907" s="80" t="s">
        <v>2463</v>
      </c>
      <c r="AB907">
        <v>0</v>
      </c>
      <c r="AD907" s="6">
        <f t="shared" si="30"/>
        <v>0</v>
      </c>
      <c r="AR907" t="s">
        <v>1855</v>
      </c>
      <c r="AS907">
        <v>289</v>
      </c>
      <c r="AT907" s="16">
        <f t="shared" si="35"/>
        <v>42.5</v>
      </c>
      <c r="AU907">
        <v>25</v>
      </c>
      <c r="AV907">
        <v>101</v>
      </c>
      <c r="AW907" s="80" t="s">
        <v>2463</v>
      </c>
      <c r="AX907">
        <v>0</v>
      </c>
      <c r="AZ907" s="6" t="e">
        <f t="shared" si="36"/>
        <v>#DIV/0!</v>
      </c>
    </row>
    <row r="908" spans="1:52" collapsed="1">
      <c r="B908" t="s">
        <v>1855</v>
      </c>
      <c r="C908">
        <v>469</v>
      </c>
      <c r="D908" s="16">
        <f t="shared" si="31"/>
        <v>68.970588235294116</v>
      </c>
      <c r="E908">
        <v>50</v>
      </c>
      <c r="F908">
        <v>101</v>
      </c>
      <c r="G908" s="80" t="s">
        <v>2463</v>
      </c>
      <c r="H908">
        <v>0</v>
      </c>
      <c r="K908" t="s">
        <v>1855</v>
      </c>
      <c r="L908">
        <v>469</v>
      </c>
      <c r="M908" s="16">
        <f t="shared" si="32"/>
        <v>68.970588235294116</v>
      </c>
      <c r="N908">
        <v>50</v>
      </c>
      <c r="O908">
        <v>101</v>
      </c>
      <c r="P908" s="80" t="s">
        <v>2463</v>
      </c>
      <c r="Q908">
        <v>0</v>
      </c>
      <c r="S908" s="6">
        <f t="shared" si="33"/>
        <v>0</v>
      </c>
      <c r="V908" t="s">
        <v>1855</v>
      </c>
      <c r="W908">
        <v>492</v>
      </c>
      <c r="X908" s="16">
        <f t="shared" si="34"/>
        <v>72.352941176470594</v>
      </c>
      <c r="Y908">
        <v>60</v>
      </c>
      <c r="Z908">
        <v>101</v>
      </c>
      <c r="AA908" s="80" t="s">
        <v>2463</v>
      </c>
      <c r="AB908">
        <v>0</v>
      </c>
      <c r="AD908" s="6">
        <f t="shared" si="30"/>
        <v>4.9040511727078906E-2</v>
      </c>
      <c r="AR908" t="s">
        <v>1855</v>
      </c>
      <c r="AS908">
        <v>492</v>
      </c>
      <c r="AT908" s="16">
        <f t="shared" si="35"/>
        <v>72.352941176470594</v>
      </c>
      <c r="AU908">
        <v>60</v>
      </c>
      <c r="AV908">
        <v>101</v>
      </c>
      <c r="AW908" s="80" t="s">
        <v>2463</v>
      </c>
      <c r="AX908">
        <v>0</v>
      </c>
      <c r="AZ908" s="6" t="e">
        <f t="shared" si="36"/>
        <v>#DIV/0!</v>
      </c>
    </row>
    <row r="909" spans="1:52">
      <c r="B909" t="s">
        <v>1855</v>
      </c>
      <c r="C909">
        <v>599</v>
      </c>
      <c r="D909" s="16">
        <f t="shared" si="31"/>
        <v>88.088235294117652</v>
      </c>
      <c r="E909">
        <v>100</v>
      </c>
      <c r="F909">
        <v>101</v>
      </c>
      <c r="G909" s="80" t="s">
        <v>2463</v>
      </c>
      <c r="H909">
        <v>0</v>
      </c>
      <c r="K909" t="s">
        <v>1855</v>
      </c>
      <c r="L909">
        <v>599</v>
      </c>
      <c r="M909" s="16">
        <f t="shared" si="32"/>
        <v>88.088235294117652</v>
      </c>
      <c r="N909">
        <v>100</v>
      </c>
      <c r="O909">
        <v>101</v>
      </c>
      <c r="P909" s="80" t="s">
        <v>2463</v>
      </c>
      <c r="Q909">
        <v>0</v>
      </c>
      <c r="S909" s="6">
        <f t="shared" si="33"/>
        <v>0</v>
      </c>
      <c r="V909" t="s">
        <v>1855</v>
      </c>
      <c r="W909">
        <v>629</v>
      </c>
      <c r="X909" s="16">
        <f t="shared" si="34"/>
        <v>92.5</v>
      </c>
      <c r="Y909">
        <v>240</v>
      </c>
      <c r="Z909">
        <v>101</v>
      </c>
      <c r="AA909" s="80" t="s">
        <v>2463</v>
      </c>
      <c r="AB909">
        <v>0</v>
      </c>
      <c r="AD909" s="6">
        <f t="shared" si="30"/>
        <v>5.0083472454090172E-2</v>
      </c>
      <c r="AR909" t="s">
        <v>1855</v>
      </c>
      <c r="AS909">
        <v>629</v>
      </c>
      <c r="AT909" s="16">
        <f t="shared" si="35"/>
        <v>92.5</v>
      </c>
      <c r="AU909">
        <v>240</v>
      </c>
      <c r="AV909">
        <v>101</v>
      </c>
      <c r="AW909" s="80" t="s">
        <v>2463</v>
      </c>
      <c r="AX909">
        <v>0</v>
      </c>
      <c r="AZ909" s="6" t="e">
        <f t="shared" si="36"/>
        <v>#DIV/0!</v>
      </c>
    </row>
    <row r="910" spans="1:52" hidden="1" outlineLevel="1">
      <c r="B910" t="s">
        <v>1856</v>
      </c>
      <c r="C910">
        <v>429</v>
      </c>
      <c r="D910" s="16">
        <f t="shared" si="31"/>
        <v>63.088235294117652</v>
      </c>
      <c r="E910">
        <v>25</v>
      </c>
      <c r="F910">
        <v>148</v>
      </c>
      <c r="G910" s="80" t="s">
        <v>2463</v>
      </c>
      <c r="H910">
        <v>0</v>
      </c>
      <c r="K910" t="s">
        <v>1856</v>
      </c>
      <c r="L910">
        <v>429</v>
      </c>
      <c r="M910" s="16">
        <f t="shared" si="32"/>
        <v>63.088235294117652</v>
      </c>
      <c r="N910">
        <v>25</v>
      </c>
      <c r="O910">
        <v>148</v>
      </c>
      <c r="P910" s="80" t="s">
        <v>2463</v>
      </c>
      <c r="Q910">
        <v>0</v>
      </c>
      <c r="S910" s="6">
        <f t="shared" si="33"/>
        <v>0</v>
      </c>
      <c r="V910" t="s">
        <v>1856</v>
      </c>
      <c r="W910">
        <v>429</v>
      </c>
      <c r="X910" s="16">
        <f t="shared" si="34"/>
        <v>63.088235294117652</v>
      </c>
      <c r="Y910">
        <v>25</v>
      </c>
      <c r="Z910">
        <v>148</v>
      </c>
      <c r="AA910" s="80" t="s">
        <v>2463</v>
      </c>
      <c r="AB910">
        <v>0</v>
      </c>
      <c r="AD910" s="6">
        <f t="shared" si="30"/>
        <v>0</v>
      </c>
      <c r="AR910" t="s">
        <v>1856</v>
      </c>
      <c r="AS910">
        <v>429</v>
      </c>
      <c r="AT910" s="16">
        <f t="shared" si="35"/>
        <v>63.088235294117652</v>
      </c>
      <c r="AU910">
        <v>25</v>
      </c>
      <c r="AV910">
        <v>148</v>
      </c>
      <c r="AW910" s="80" t="s">
        <v>2463</v>
      </c>
      <c r="AX910">
        <v>0</v>
      </c>
      <c r="AZ910" s="6" t="e">
        <f t="shared" si="36"/>
        <v>#DIV/0!</v>
      </c>
    </row>
    <row r="911" spans="1:52" collapsed="1">
      <c r="B911" s="36" t="s">
        <v>1856</v>
      </c>
      <c r="C911" s="36">
        <v>429</v>
      </c>
      <c r="D911" s="63">
        <f t="shared" si="31"/>
        <v>63.088235294117652</v>
      </c>
      <c r="E911" s="36">
        <v>25</v>
      </c>
      <c r="F911" s="36">
        <v>148</v>
      </c>
      <c r="G911" s="647" t="s">
        <v>2463</v>
      </c>
      <c r="H911" s="36">
        <v>0</v>
      </c>
      <c r="I911" s="5">
        <f>C911/C924-1</f>
        <v>-4.6645481010689105E-2</v>
      </c>
      <c r="K911" s="36" t="s">
        <v>1856</v>
      </c>
      <c r="L911" s="36">
        <v>429</v>
      </c>
      <c r="M911" s="63">
        <f t="shared" si="32"/>
        <v>63.088235294117652</v>
      </c>
      <c r="N911" s="36">
        <v>25</v>
      </c>
      <c r="O911" s="36">
        <v>148</v>
      </c>
      <c r="P911" s="647" t="s">
        <v>2463</v>
      </c>
      <c r="Q911" s="36">
        <v>0</v>
      </c>
      <c r="S911" s="6">
        <f t="shared" si="33"/>
        <v>0</v>
      </c>
      <c r="V911" s="36" t="s">
        <v>1856</v>
      </c>
      <c r="W911" s="36">
        <v>450</v>
      </c>
      <c r="X911" s="63">
        <f t="shared" si="34"/>
        <v>66.17647058823529</v>
      </c>
      <c r="Y911" s="36">
        <v>60</v>
      </c>
      <c r="Z911" s="36">
        <v>149</v>
      </c>
      <c r="AA911" s="647" t="s">
        <v>2463</v>
      </c>
      <c r="AB911" s="36">
        <v>0</v>
      </c>
      <c r="AD911" s="6">
        <f t="shared" si="30"/>
        <v>4.8951048951048959E-2</v>
      </c>
      <c r="AR911" s="36" t="s">
        <v>1856</v>
      </c>
      <c r="AS911" s="36">
        <v>450</v>
      </c>
      <c r="AT911" s="63">
        <f t="shared" si="35"/>
        <v>66.17647058823529</v>
      </c>
      <c r="AU911" s="36">
        <v>60</v>
      </c>
      <c r="AV911" s="36">
        <v>149</v>
      </c>
      <c r="AW911" s="647" t="s">
        <v>2463</v>
      </c>
      <c r="AX911" s="36">
        <v>0</v>
      </c>
      <c r="AZ911" s="6" t="e">
        <f t="shared" si="36"/>
        <v>#DIV/0!</v>
      </c>
    </row>
    <row r="912" spans="1:52">
      <c r="B912" t="s">
        <v>1856</v>
      </c>
      <c r="C912">
        <v>699</v>
      </c>
      <c r="D912" s="16">
        <f t="shared" si="31"/>
        <v>102.79411764705883</v>
      </c>
      <c r="E912">
        <v>100</v>
      </c>
      <c r="F912">
        <v>148</v>
      </c>
      <c r="G912" s="80" t="s">
        <v>2463</v>
      </c>
      <c r="H912">
        <v>0</v>
      </c>
      <c r="K912" t="s">
        <v>1856</v>
      </c>
      <c r="L912">
        <v>699</v>
      </c>
      <c r="M912" s="16">
        <f t="shared" si="32"/>
        <v>102.79411764705883</v>
      </c>
      <c r="N912">
        <v>100</v>
      </c>
      <c r="O912">
        <v>148</v>
      </c>
      <c r="P912" s="80" t="s">
        <v>2463</v>
      </c>
      <c r="Q912">
        <v>0</v>
      </c>
      <c r="S912" s="6">
        <f t="shared" si="33"/>
        <v>0</v>
      </c>
      <c r="V912" t="s">
        <v>1856</v>
      </c>
      <c r="W912">
        <v>629</v>
      </c>
      <c r="X912" s="16">
        <f t="shared" si="34"/>
        <v>92.5</v>
      </c>
      <c r="Y912">
        <v>120</v>
      </c>
      <c r="Z912">
        <v>149</v>
      </c>
      <c r="AA912" s="80" t="s">
        <v>2463</v>
      </c>
      <c r="AB912">
        <v>0</v>
      </c>
      <c r="AD912" s="6">
        <f t="shared" si="30"/>
        <v>-0.10014306151645203</v>
      </c>
      <c r="AR912" t="s">
        <v>1856</v>
      </c>
      <c r="AS912">
        <v>629</v>
      </c>
      <c r="AT912" s="16">
        <f t="shared" si="35"/>
        <v>92.5</v>
      </c>
      <c r="AU912">
        <v>120</v>
      </c>
      <c r="AV912">
        <v>149</v>
      </c>
      <c r="AW912" s="80" t="s">
        <v>2463</v>
      </c>
      <c r="AX912">
        <v>0</v>
      </c>
      <c r="AZ912" s="6" t="e">
        <f t="shared" si="36"/>
        <v>#DIV/0!</v>
      </c>
    </row>
    <row r="913" spans="2:52">
      <c r="B913" t="s">
        <v>1857</v>
      </c>
      <c r="C913">
        <v>499</v>
      </c>
      <c r="D913" s="16">
        <f t="shared" si="31"/>
        <v>73.382352941176478</v>
      </c>
      <c r="E913">
        <v>25</v>
      </c>
      <c r="F913">
        <v>178</v>
      </c>
      <c r="G913" s="80" t="s">
        <v>2463</v>
      </c>
      <c r="H913">
        <v>0</v>
      </c>
      <c r="K913" t="s">
        <v>1857</v>
      </c>
      <c r="L913">
        <v>499</v>
      </c>
      <c r="M913" s="16">
        <f t="shared" si="32"/>
        <v>73.382352941176478</v>
      </c>
      <c r="N913">
        <v>25</v>
      </c>
      <c r="O913">
        <v>178</v>
      </c>
      <c r="P913" s="80" t="s">
        <v>2463</v>
      </c>
      <c r="Q913">
        <v>0</v>
      </c>
      <c r="S913" s="6">
        <f t="shared" si="33"/>
        <v>0</v>
      </c>
      <c r="V913" t="s">
        <v>1857</v>
      </c>
      <c r="W913">
        <v>524</v>
      </c>
      <c r="X913" s="16">
        <f t="shared" si="34"/>
        <v>77.058823529411768</v>
      </c>
      <c r="Y913">
        <v>60</v>
      </c>
      <c r="Z913">
        <v>178</v>
      </c>
      <c r="AA913" s="80" t="s">
        <v>2463</v>
      </c>
      <c r="AB913">
        <v>0</v>
      </c>
      <c r="AD913" s="6">
        <f t="shared" si="30"/>
        <v>5.0100200400801542E-2</v>
      </c>
      <c r="AR913" t="s">
        <v>1857</v>
      </c>
      <c r="AS913">
        <v>524</v>
      </c>
      <c r="AT913" s="16">
        <f t="shared" si="35"/>
        <v>77.058823529411768</v>
      </c>
      <c r="AU913">
        <v>60</v>
      </c>
      <c r="AV913">
        <v>178</v>
      </c>
      <c r="AW913" s="80" t="s">
        <v>2463</v>
      </c>
      <c r="AX913">
        <v>0</v>
      </c>
      <c r="AZ913" s="6" t="e">
        <f t="shared" si="36"/>
        <v>#DIV/0!</v>
      </c>
    </row>
    <row r="914" spans="2:52">
      <c r="B914" t="s">
        <v>1858</v>
      </c>
      <c r="C914">
        <v>1299</v>
      </c>
      <c r="D914" s="16">
        <f t="shared" si="31"/>
        <v>191.02941176470588</v>
      </c>
      <c r="E914">
        <v>200</v>
      </c>
      <c r="F914">
        <v>238</v>
      </c>
      <c r="G914" s="80" t="s">
        <v>2463</v>
      </c>
      <c r="H914">
        <v>1500</v>
      </c>
      <c r="K914" t="s">
        <v>1858</v>
      </c>
      <c r="L914">
        <v>1299</v>
      </c>
      <c r="M914" s="16">
        <f t="shared" si="32"/>
        <v>191.02941176470588</v>
      </c>
      <c r="N914">
        <v>200</v>
      </c>
      <c r="O914">
        <v>238</v>
      </c>
      <c r="P914" s="80" t="s">
        <v>2463</v>
      </c>
      <c r="Q914">
        <v>1500</v>
      </c>
      <c r="S914" s="6">
        <f t="shared" si="33"/>
        <v>0</v>
      </c>
      <c r="V914" t="s">
        <v>1858</v>
      </c>
      <c r="W914">
        <v>1299</v>
      </c>
      <c r="X914" s="16">
        <f t="shared" si="34"/>
        <v>191.02941176470588</v>
      </c>
      <c r="Y914">
        <v>350</v>
      </c>
      <c r="Z914">
        <v>234</v>
      </c>
      <c r="AA914" s="80" t="s">
        <v>2463</v>
      </c>
      <c r="AB914">
        <v>1500</v>
      </c>
      <c r="AD914" s="6">
        <f t="shared" si="30"/>
        <v>0</v>
      </c>
      <c r="AR914" t="s">
        <v>1858</v>
      </c>
      <c r="AS914">
        <v>1299</v>
      </c>
      <c r="AT914" s="16">
        <f t="shared" si="35"/>
        <v>191.02941176470588</v>
      </c>
      <c r="AU914">
        <v>350</v>
      </c>
      <c r="AV914">
        <v>234</v>
      </c>
      <c r="AW914" s="80" t="s">
        <v>2463</v>
      </c>
      <c r="AX914">
        <v>1500</v>
      </c>
      <c r="AZ914" s="6" t="e">
        <f t="shared" si="36"/>
        <v>#DIV/0!</v>
      </c>
    </row>
    <row r="915" spans="2:52">
      <c r="D915" s="16"/>
      <c r="M915" s="16"/>
      <c r="X915" s="16"/>
      <c r="AD915" s="6"/>
      <c r="AT915" s="16"/>
      <c r="AZ915" s="6"/>
    </row>
    <row r="916" spans="2:52">
      <c r="B916" s="12" t="s">
        <v>2472</v>
      </c>
      <c r="D916" s="16"/>
      <c r="K916" s="12" t="s">
        <v>2472</v>
      </c>
      <c r="M916" s="16"/>
      <c r="V916" s="12" t="s">
        <v>2472</v>
      </c>
      <c r="X916" s="16"/>
      <c r="AD916" s="6"/>
      <c r="AR916" s="12" t="s">
        <v>2472</v>
      </c>
      <c r="AT916" s="16"/>
      <c r="AZ916" s="6"/>
    </row>
    <row r="917" spans="2:52">
      <c r="B917" t="s">
        <v>2473</v>
      </c>
      <c r="C917">
        <v>199</v>
      </c>
      <c r="D917" s="16">
        <f>C917/$A$904</f>
        <v>29.264705882352942</v>
      </c>
      <c r="E917">
        <v>25</v>
      </c>
      <c r="K917" t="s">
        <v>2473</v>
      </c>
      <c r="L917">
        <v>199</v>
      </c>
      <c r="M917" s="16">
        <f>L917/$A$904</f>
        <v>29.264705882352942</v>
      </c>
      <c r="N917">
        <v>25</v>
      </c>
      <c r="S917" s="6">
        <f>L917/C917-1</f>
        <v>0</v>
      </c>
      <c r="V917" t="s">
        <v>3344</v>
      </c>
      <c r="W917">
        <v>209</v>
      </c>
      <c r="X917" s="16">
        <f>W917/$A$904</f>
        <v>30.735294117647058</v>
      </c>
      <c r="Y917">
        <v>30</v>
      </c>
      <c r="AD917" s="6">
        <f>W917/L917-1</f>
        <v>5.0251256281407031E-2</v>
      </c>
      <c r="AR917" t="s">
        <v>3344</v>
      </c>
      <c r="AS917">
        <v>209</v>
      </c>
      <c r="AT917" s="16">
        <f>AS917/$A$904</f>
        <v>30.735294117647058</v>
      </c>
      <c r="AU917">
        <v>30</v>
      </c>
      <c r="AZ917" s="6" t="e">
        <f>AS917/AH917-1</f>
        <v>#DIV/0!</v>
      </c>
    </row>
    <row r="918" spans="2:52">
      <c r="B918" t="s">
        <v>2474</v>
      </c>
      <c r="C918">
        <v>369</v>
      </c>
      <c r="D918" s="16">
        <f>C918/$A$904</f>
        <v>54.264705882352942</v>
      </c>
      <c r="E918">
        <v>50</v>
      </c>
      <c r="K918" t="s">
        <v>2474</v>
      </c>
      <c r="L918">
        <v>369</v>
      </c>
      <c r="M918" s="16">
        <f>L918/$A$904</f>
        <v>54.264705882352942</v>
      </c>
      <c r="N918">
        <v>50</v>
      </c>
      <c r="S918" s="6">
        <f>L918/C918-1</f>
        <v>0</v>
      </c>
      <c r="V918" t="s">
        <v>2474</v>
      </c>
      <c r="W918">
        <v>387</v>
      </c>
      <c r="X918" s="16">
        <f>W918/$A$904</f>
        <v>56.911764705882355</v>
      </c>
      <c r="Y918">
        <v>60</v>
      </c>
      <c r="AD918" s="6">
        <f>W918/L918-1</f>
        <v>4.8780487804878092E-2</v>
      </c>
      <c r="AR918" t="s">
        <v>2474</v>
      </c>
      <c r="AS918">
        <v>387</v>
      </c>
      <c r="AT918" s="16">
        <f>AS918/$A$904</f>
        <v>56.911764705882355</v>
      </c>
      <c r="AU918">
        <v>60</v>
      </c>
      <c r="AZ918" s="6" t="e">
        <f>AS918/AH918-1</f>
        <v>#DIV/0!</v>
      </c>
    </row>
    <row r="919" spans="2:52">
      <c r="B919" t="s">
        <v>2475</v>
      </c>
      <c r="C919">
        <v>519</v>
      </c>
      <c r="D919" s="16">
        <f>C919/$A$904</f>
        <v>76.32352941176471</v>
      </c>
      <c r="E919">
        <v>100</v>
      </c>
      <c r="K919" t="s">
        <v>2475</v>
      </c>
      <c r="L919">
        <v>519</v>
      </c>
      <c r="M919" s="16">
        <f>L919/$A$904</f>
        <v>76.32352941176471</v>
      </c>
      <c r="N919">
        <v>100</v>
      </c>
      <c r="S919" s="6">
        <f>L919/C919-1</f>
        <v>0</v>
      </c>
      <c r="V919" t="s">
        <v>2475</v>
      </c>
      <c r="W919">
        <v>466</v>
      </c>
      <c r="X919" s="16">
        <f>W919/$A$904</f>
        <v>68.529411764705884</v>
      </c>
      <c r="Y919">
        <v>120</v>
      </c>
      <c r="AD919" s="6">
        <f>W919/L919-1</f>
        <v>-0.10211946050096343</v>
      </c>
      <c r="AR919" t="s">
        <v>2475</v>
      </c>
      <c r="AS919">
        <v>466</v>
      </c>
      <c r="AT919" s="16">
        <f>AS919/$A$904</f>
        <v>68.529411764705884</v>
      </c>
      <c r="AU919">
        <v>120</v>
      </c>
      <c r="AZ919" s="6" t="e">
        <f>AS919/AH919-1</f>
        <v>#DIV/0!</v>
      </c>
    </row>
    <row r="920" spans="2:52">
      <c r="B920" t="s">
        <v>2476</v>
      </c>
      <c r="C920">
        <v>669</v>
      </c>
      <c r="D920" s="16">
        <f>C920/$A$904</f>
        <v>98.382352941176478</v>
      </c>
      <c r="E920">
        <v>200</v>
      </c>
      <c r="K920" t="s">
        <v>2476</v>
      </c>
      <c r="L920">
        <v>669</v>
      </c>
      <c r="M920" s="16">
        <f>L920/$A$904</f>
        <v>98.382352941176478</v>
      </c>
      <c r="N920">
        <v>200</v>
      </c>
      <c r="S920" s="6">
        <f>L920/C920-1</f>
        <v>0</v>
      </c>
      <c r="V920" t="s">
        <v>2476</v>
      </c>
      <c r="W920">
        <v>545</v>
      </c>
      <c r="X920" s="16">
        <f>W920/$A$904</f>
        <v>80.14705882352942</v>
      </c>
      <c r="Y920">
        <v>240</v>
      </c>
      <c r="AD920" s="6">
        <f>W920/L920-1</f>
        <v>-0.18535127055306433</v>
      </c>
      <c r="AR920" t="s">
        <v>2476</v>
      </c>
      <c r="AS920">
        <v>545</v>
      </c>
      <c r="AT920" s="16">
        <f>AS920/$A$904</f>
        <v>80.14705882352942</v>
      </c>
      <c r="AU920">
        <v>240</v>
      </c>
      <c r="AZ920" s="6" t="e">
        <f>AS920/AH920-1</f>
        <v>#DIV/0!</v>
      </c>
    </row>
    <row r="921" spans="2:52">
      <c r="D921" s="16"/>
      <c r="M921" s="16"/>
      <c r="X921" s="16"/>
      <c r="AT921" s="16"/>
    </row>
    <row r="922" spans="2:52">
      <c r="B922" s="552" t="s">
        <v>2470</v>
      </c>
      <c r="C922" s="3"/>
      <c r="D922" s="64"/>
      <c r="E922" s="4" t="s">
        <v>1829</v>
      </c>
      <c r="F922" s="4" t="s">
        <v>2461</v>
      </c>
      <c r="G922" s="4" t="s">
        <v>2503</v>
      </c>
      <c r="H922" s="4" t="s">
        <v>2462</v>
      </c>
      <c r="K922" s="552" t="s">
        <v>2470</v>
      </c>
      <c r="L922" s="3"/>
      <c r="M922" s="64"/>
      <c r="N922" s="4" t="s">
        <v>1829</v>
      </c>
      <c r="O922" s="4" t="s">
        <v>2461</v>
      </c>
      <c r="P922" s="4" t="s">
        <v>2503</v>
      </c>
      <c r="Q922" s="4" t="s">
        <v>2462</v>
      </c>
      <c r="V922" s="552" t="s">
        <v>2470</v>
      </c>
      <c r="W922" s="3"/>
      <c r="X922" s="64"/>
      <c r="Y922" s="4" t="s">
        <v>1829</v>
      </c>
      <c r="Z922" s="4" t="s">
        <v>2461</v>
      </c>
      <c r="AA922" s="4" t="s">
        <v>2503</v>
      </c>
      <c r="AB922" s="4" t="s">
        <v>2462</v>
      </c>
      <c r="AR922" s="552" t="s">
        <v>2470</v>
      </c>
      <c r="AS922" s="3"/>
      <c r="AT922" s="64"/>
      <c r="AU922" s="4" t="s">
        <v>1829</v>
      </c>
      <c r="AV922" s="4" t="s">
        <v>2461</v>
      </c>
      <c r="AW922" s="4" t="s">
        <v>2503</v>
      </c>
      <c r="AX922" s="4" t="s">
        <v>2462</v>
      </c>
    </row>
    <row r="923" spans="2:52">
      <c r="B923" t="s">
        <v>2495</v>
      </c>
      <c r="C923">
        <v>329.99</v>
      </c>
      <c r="D923" s="16">
        <f>C923/$A$904</f>
        <v>48.527941176470591</v>
      </c>
      <c r="E923" s="80" t="s">
        <v>2500</v>
      </c>
      <c r="F923" s="80">
        <v>94</v>
      </c>
      <c r="G923" s="80" t="s">
        <v>2463</v>
      </c>
      <c r="H923">
        <v>0</v>
      </c>
      <c r="K923" t="s">
        <v>2495</v>
      </c>
      <c r="L923">
        <v>329.99</v>
      </c>
      <c r="M923" s="16">
        <f>L923/$A$904</f>
        <v>48.527941176470591</v>
      </c>
      <c r="N923" s="80" t="s">
        <v>2500</v>
      </c>
      <c r="O923" s="80">
        <v>94</v>
      </c>
      <c r="P923" s="80" t="s">
        <v>2463</v>
      </c>
      <c r="Q923">
        <v>0</v>
      </c>
      <c r="S923" s="6">
        <f>L923/C923-1</f>
        <v>0</v>
      </c>
      <c r="V923" t="s">
        <v>2495</v>
      </c>
      <c r="W923">
        <v>329.99</v>
      </c>
      <c r="X923" s="16">
        <f t="shared" ref="X923:X928" si="37">W923/$A$904</f>
        <v>48.527941176470591</v>
      </c>
      <c r="Y923" s="80" t="s">
        <v>3346</v>
      </c>
      <c r="Z923" s="80">
        <v>94</v>
      </c>
      <c r="AA923" s="80" t="s">
        <v>2463</v>
      </c>
      <c r="AB923">
        <v>0</v>
      </c>
      <c r="AD923" s="6">
        <f>W923/L923-1</f>
        <v>0</v>
      </c>
      <c r="AR923" t="s">
        <v>2495</v>
      </c>
      <c r="AS923">
        <v>329.99</v>
      </c>
      <c r="AT923" s="16">
        <f t="shared" ref="AT923:AT928" si="38">AS923/$A$904</f>
        <v>48.527941176470591</v>
      </c>
      <c r="AU923" s="80" t="s">
        <v>3346</v>
      </c>
      <c r="AV923" s="80">
        <v>94</v>
      </c>
      <c r="AW923" s="80" t="s">
        <v>2463</v>
      </c>
      <c r="AX923">
        <v>0</v>
      </c>
      <c r="AZ923" s="6" t="e">
        <f>AS923/AH923-1</f>
        <v>#DIV/0!</v>
      </c>
    </row>
    <row r="924" spans="2:52">
      <c r="B924" s="36" t="s">
        <v>2496</v>
      </c>
      <c r="C924" s="36">
        <v>449.99</v>
      </c>
      <c r="D924" s="63">
        <f>C924/$A$904</f>
        <v>66.174999999999997</v>
      </c>
      <c r="E924" s="647" t="s">
        <v>2501</v>
      </c>
      <c r="F924" s="647">
        <v>142</v>
      </c>
      <c r="G924" s="647" t="s">
        <v>2463</v>
      </c>
      <c r="H924" s="36">
        <v>0</v>
      </c>
      <c r="K924" s="36" t="s">
        <v>2496</v>
      </c>
      <c r="L924" s="36">
        <v>449.99</v>
      </c>
      <c r="M924" s="63">
        <f>L924/$A$904</f>
        <v>66.174999999999997</v>
      </c>
      <c r="N924" s="647" t="s">
        <v>2501</v>
      </c>
      <c r="O924" s="647">
        <v>142</v>
      </c>
      <c r="P924" s="647" t="s">
        <v>2463</v>
      </c>
      <c r="Q924" s="36">
        <v>0</v>
      </c>
      <c r="S924" s="6">
        <f>L924/C924-1</f>
        <v>0</v>
      </c>
      <c r="V924" s="36" t="s">
        <v>2496</v>
      </c>
      <c r="W924" s="36">
        <v>449.99</v>
      </c>
      <c r="X924" s="63">
        <f t="shared" si="37"/>
        <v>66.174999999999997</v>
      </c>
      <c r="Y924" s="647" t="s">
        <v>3347</v>
      </c>
      <c r="Z924" s="647">
        <v>142</v>
      </c>
      <c r="AA924" s="647" t="s">
        <v>2463</v>
      </c>
      <c r="AB924" s="36">
        <v>0</v>
      </c>
      <c r="AD924" s="6">
        <f>W924/L924-1</f>
        <v>0</v>
      </c>
      <c r="AR924" s="36" t="s">
        <v>2496</v>
      </c>
      <c r="AS924" s="36">
        <v>449.99</v>
      </c>
      <c r="AT924" s="63">
        <f t="shared" si="38"/>
        <v>66.174999999999997</v>
      </c>
      <c r="AU924" s="647" t="s">
        <v>3347</v>
      </c>
      <c r="AV924" s="647">
        <v>142</v>
      </c>
      <c r="AW924" s="647" t="s">
        <v>2463</v>
      </c>
      <c r="AX924" s="36">
        <v>0</v>
      </c>
      <c r="AZ924" s="6" t="e">
        <f>AS924/AH924-1</f>
        <v>#DIV/0!</v>
      </c>
    </row>
    <row r="925" spans="2:52">
      <c r="B925" t="s">
        <v>2497</v>
      </c>
      <c r="C925">
        <v>534.99</v>
      </c>
      <c r="D925" s="16">
        <f>C925/$A$904</f>
        <v>78.674999999999997</v>
      </c>
      <c r="E925" s="80" t="s">
        <v>2501</v>
      </c>
      <c r="F925" s="80">
        <v>163</v>
      </c>
      <c r="G925" s="80" t="s">
        <v>2463</v>
      </c>
      <c r="H925">
        <v>0</v>
      </c>
      <c r="K925" t="s">
        <v>2497</v>
      </c>
      <c r="L925">
        <v>534.99</v>
      </c>
      <c r="M925" s="16">
        <f>L925/$A$904</f>
        <v>78.674999999999997</v>
      </c>
      <c r="N925" s="80" t="s">
        <v>2501</v>
      </c>
      <c r="O925" s="80">
        <v>163</v>
      </c>
      <c r="P925" s="80" t="s">
        <v>2463</v>
      </c>
      <c r="Q925">
        <v>0</v>
      </c>
      <c r="S925" s="6">
        <f>L925/C925-1</f>
        <v>0</v>
      </c>
      <c r="V925" t="s">
        <v>2497</v>
      </c>
      <c r="W925">
        <v>534.99</v>
      </c>
      <c r="X925" s="16">
        <f t="shared" si="37"/>
        <v>78.674999999999997</v>
      </c>
      <c r="Y925" s="80" t="s">
        <v>3347</v>
      </c>
      <c r="Z925" s="80">
        <v>163</v>
      </c>
      <c r="AA925" s="80" t="s">
        <v>2463</v>
      </c>
      <c r="AB925">
        <v>0</v>
      </c>
      <c r="AD925" s="6">
        <f>W925/L925-1</f>
        <v>0</v>
      </c>
      <c r="AR925" t="s">
        <v>2497</v>
      </c>
      <c r="AS925">
        <v>534.99</v>
      </c>
      <c r="AT925" s="16">
        <f t="shared" si="38"/>
        <v>78.674999999999997</v>
      </c>
      <c r="AU925" s="80" t="s">
        <v>3347</v>
      </c>
      <c r="AV925" s="80">
        <v>163</v>
      </c>
      <c r="AW925" s="80" t="s">
        <v>2463</v>
      </c>
      <c r="AX925">
        <v>0</v>
      </c>
      <c r="AZ925" s="6" t="e">
        <f>AS925/AH925-1</f>
        <v>#DIV/0!</v>
      </c>
    </row>
    <row r="926" spans="2:52">
      <c r="B926" t="s">
        <v>2498</v>
      </c>
      <c r="C926">
        <v>679.99</v>
      </c>
      <c r="D926" s="16">
        <f>C926/$A$904</f>
        <v>99.998529411764707</v>
      </c>
      <c r="E926" s="80" t="s">
        <v>2501</v>
      </c>
      <c r="F926" s="80">
        <v>189</v>
      </c>
      <c r="G926" s="80" t="s">
        <v>2463</v>
      </c>
      <c r="H926">
        <v>0</v>
      </c>
      <c r="K926" t="s">
        <v>2498</v>
      </c>
      <c r="L926">
        <v>679.99</v>
      </c>
      <c r="M926" s="16">
        <f>L926/$A$904</f>
        <v>99.998529411764707</v>
      </c>
      <c r="N926" s="80" t="s">
        <v>2501</v>
      </c>
      <c r="O926" s="80">
        <v>189</v>
      </c>
      <c r="P926" s="80" t="s">
        <v>2463</v>
      </c>
      <c r="Q926">
        <v>0</v>
      </c>
      <c r="S926" s="6">
        <f>L926/C926-1</f>
        <v>0</v>
      </c>
      <c r="V926" t="s">
        <v>2498</v>
      </c>
      <c r="W926">
        <v>679.99</v>
      </c>
      <c r="X926" s="16">
        <f t="shared" si="37"/>
        <v>99.998529411764707</v>
      </c>
      <c r="Y926" s="80" t="s">
        <v>3347</v>
      </c>
      <c r="Z926" s="80">
        <v>189</v>
      </c>
      <c r="AA926" s="80" t="s">
        <v>2463</v>
      </c>
      <c r="AB926">
        <v>0</v>
      </c>
      <c r="AD926" s="6">
        <f>W926/L926-1</f>
        <v>0</v>
      </c>
      <c r="AR926" t="s">
        <v>2498</v>
      </c>
      <c r="AS926">
        <v>679.99</v>
      </c>
      <c r="AT926" s="16">
        <f t="shared" si="38"/>
        <v>99.998529411764707</v>
      </c>
      <c r="AU926" s="80" t="s">
        <v>3347</v>
      </c>
      <c r="AV926" s="80">
        <v>189</v>
      </c>
      <c r="AW926" s="80" t="s">
        <v>2463</v>
      </c>
      <c r="AX926">
        <v>0</v>
      </c>
      <c r="AZ926" s="6" t="e">
        <f>AS926/AH926-1</f>
        <v>#DIV/0!</v>
      </c>
    </row>
    <row r="927" spans="2:52">
      <c r="B927" t="s">
        <v>2499</v>
      </c>
      <c r="C927">
        <v>999.99</v>
      </c>
      <c r="D927" s="16">
        <f>C927/$A$904</f>
        <v>147.05735294117648</v>
      </c>
      <c r="E927" s="80" t="s">
        <v>2502</v>
      </c>
      <c r="F927" s="80">
        <v>189</v>
      </c>
      <c r="G927" s="80" t="s">
        <v>2463</v>
      </c>
      <c r="H927">
        <v>1800</v>
      </c>
      <c r="K927" t="s">
        <v>2499</v>
      </c>
      <c r="L927">
        <v>999.99</v>
      </c>
      <c r="M927" s="16">
        <f>L927/$A$904</f>
        <v>147.05735294117648</v>
      </c>
      <c r="N927" s="80" t="s">
        <v>2502</v>
      </c>
      <c r="O927" s="80">
        <v>189</v>
      </c>
      <c r="P927" s="80" t="s">
        <v>2463</v>
      </c>
      <c r="Q927">
        <v>1800</v>
      </c>
      <c r="S927" s="6">
        <f>L927/C927-1</f>
        <v>0</v>
      </c>
      <c r="V927" t="s">
        <v>2499</v>
      </c>
      <c r="W927">
        <v>999.99</v>
      </c>
      <c r="X927" s="16">
        <f t="shared" si="37"/>
        <v>147.05735294117648</v>
      </c>
      <c r="Y927" s="80" t="s">
        <v>3348</v>
      </c>
      <c r="Z927" s="80">
        <v>189</v>
      </c>
      <c r="AA927" s="80" t="s">
        <v>2463</v>
      </c>
      <c r="AB927">
        <v>1800</v>
      </c>
      <c r="AD927" s="6">
        <f>W927/L927-1</f>
        <v>0</v>
      </c>
      <c r="AR927" t="s">
        <v>2499</v>
      </c>
      <c r="AS927">
        <v>999.99</v>
      </c>
      <c r="AT927" s="16">
        <f t="shared" si="38"/>
        <v>147.05735294117648</v>
      </c>
      <c r="AU927" s="80" t="s">
        <v>3348</v>
      </c>
      <c r="AV927" s="80">
        <v>189</v>
      </c>
      <c r="AW927" s="80" t="s">
        <v>2463</v>
      </c>
      <c r="AX927">
        <v>1800</v>
      </c>
      <c r="AZ927" s="6" t="e">
        <f>AS927/AH927-1</f>
        <v>#DIV/0!</v>
      </c>
    </row>
    <row r="928" spans="2:52">
      <c r="D928" s="16"/>
      <c r="E928" s="80"/>
      <c r="F928" s="80"/>
      <c r="G928" s="80"/>
      <c r="M928" s="16"/>
      <c r="N928" s="80"/>
      <c r="O928" s="80"/>
      <c r="P928" s="80"/>
      <c r="S928" s="6"/>
      <c r="V928" s="802" t="s">
        <v>3345</v>
      </c>
      <c r="W928" s="806">
        <v>500</v>
      </c>
      <c r="X928" s="803">
        <f t="shared" si="37"/>
        <v>73.529411764705884</v>
      </c>
      <c r="Y928" s="804">
        <v>100</v>
      </c>
      <c r="Z928" s="804">
        <v>97</v>
      </c>
      <c r="AA928" s="804" t="s">
        <v>2463</v>
      </c>
      <c r="AB928" s="802"/>
      <c r="AD928" s="805" t="s">
        <v>1422</v>
      </c>
      <c r="AR928" s="802" t="s">
        <v>3345</v>
      </c>
      <c r="AS928" s="806">
        <v>500</v>
      </c>
      <c r="AT928" s="803">
        <f t="shared" si="38"/>
        <v>73.529411764705884</v>
      </c>
      <c r="AU928" s="804">
        <v>100</v>
      </c>
      <c r="AV928" s="804">
        <v>97</v>
      </c>
      <c r="AW928" s="804" t="s">
        <v>2463</v>
      </c>
      <c r="AX928" s="802"/>
      <c r="AZ928" s="805" t="s">
        <v>1422</v>
      </c>
    </row>
    <row r="929" spans="1:50">
      <c r="D929" s="16"/>
      <c r="M929" s="16"/>
      <c r="X929" s="16"/>
      <c r="AT929" s="16"/>
    </row>
    <row r="930" spans="1:50">
      <c r="B930" s="12" t="s">
        <v>2471</v>
      </c>
      <c r="D930" s="16"/>
      <c r="K930" s="12" t="s">
        <v>2471</v>
      </c>
      <c r="M930" s="16"/>
      <c r="V930" s="12" t="s">
        <v>2471</v>
      </c>
      <c r="X930" s="16"/>
      <c r="AR930" s="12" t="s">
        <v>2471</v>
      </c>
      <c r="AT930" s="16"/>
    </row>
    <row r="931" spans="1:50">
      <c r="B931" t="s">
        <v>2504</v>
      </c>
      <c r="C931">
        <v>136.94999999999999</v>
      </c>
      <c r="D931" s="16">
        <f t="shared" ref="D931:D936" si="39">C931/$A$904</f>
        <v>20.139705882352938</v>
      </c>
      <c r="E931">
        <v>3</v>
      </c>
      <c r="K931" t="s">
        <v>2504</v>
      </c>
      <c r="L931">
        <v>136.94999999999999</v>
      </c>
      <c r="M931" s="16">
        <f t="shared" ref="M931:M936" si="40">L931/$A$904</f>
        <v>20.139705882352938</v>
      </c>
      <c r="N931">
        <v>3</v>
      </c>
      <c r="S931" s="6">
        <f t="shared" ref="S931:S936" si="41">L931/C931-1</f>
        <v>0</v>
      </c>
      <c r="V931" t="s">
        <v>2504</v>
      </c>
      <c r="W931">
        <v>136.94999999999999</v>
      </c>
      <c r="X931" s="16">
        <f t="shared" ref="X931:X936" si="42">W931/$A$904</f>
        <v>20.139705882352938</v>
      </c>
      <c r="Y931">
        <v>5</v>
      </c>
      <c r="AR931" t="s">
        <v>2504</v>
      </c>
      <c r="AS931">
        <v>136.94999999999999</v>
      </c>
      <c r="AT931" s="16">
        <f t="shared" ref="AT931:AT936" si="43">AS931/$A$904</f>
        <v>20.139705882352938</v>
      </c>
      <c r="AU931">
        <v>5</v>
      </c>
    </row>
    <row r="932" spans="1:50">
      <c r="B932" t="s">
        <v>1863</v>
      </c>
      <c r="C932">
        <v>219.99</v>
      </c>
      <c r="D932" s="16">
        <f t="shared" si="39"/>
        <v>32.351470588235294</v>
      </c>
      <c r="E932">
        <v>30</v>
      </c>
      <c r="K932" t="s">
        <v>1863</v>
      </c>
      <c r="L932">
        <v>219.99</v>
      </c>
      <c r="M932" s="16">
        <f t="shared" si="40"/>
        <v>32.351470588235294</v>
      </c>
      <c r="N932">
        <v>30</v>
      </c>
      <c r="S932" s="6">
        <f t="shared" si="41"/>
        <v>0</v>
      </c>
      <c r="V932" t="s">
        <v>1863</v>
      </c>
      <c r="W932">
        <v>219.99</v>
      </c>
      <c r="X932" s="16">
        <f t="shared" si="42"/>
        <v>32.351470588235294</v>
      </c>
      <c r="Y932">
        <v>40</v>
      </c>
      <c r="AR932" t="s">
        <v>1863</v>
      </c>
      <c r="AS932">
        <v>219.99</v>
      </c>
      <c r="AT932" s="16">
        <f t="shared" si="43"/>
        <v>32.351470588235294</v>
      </c>
      <c r="AU932">
        <v>40</v>
      </c>
    </row>
    <row r="933" spans="1:50">
      <c r="B933" t="s">
        <v>1864</v>
      </c>
      <c r="C933">
        <v>293.47000000000003</v>
      </c>
      <c r="D933" s="16">
        <f t="shared" si="39"/>
        <v>43.157352941176477</v>
      </c>
      <c r="E933">
        <v>45</v>
      </c>
      <c r="K933" t="s">
        <v>1864</v>
      </c>
      <c r="L933">
        <v>293.47000000000003</v>
      </c>
      <c r="M933" s="16">
        <f t="shared" si="40"/>
        <v>43.157352941176477</v>
      </c>
      <c r="N933">
        <v>45</v>
      </c>
      <c r="S933" s="6">
        <f t="shared" si="41"/>
        <v>0</v>
      </c>
      <c r="V933" t="s">
        <v>1864</v>
      </c>
      <c r="W933">
        <v>293.47000000000003</v>
      </c>
      <c r="X933" s="16">
        <f t="shared" si="42"/>
        <v>43.157352941176477</v>
      </c>
      <c r="Y933">
        <v>60</v>
      </c>
      <c r="AR933" t="s">
        <v>1864</v>
      </c>
      <c r="AS933">
        <v>293.47000000000003</v>
      </c>
      <c r="AT933" s="16">
        <f t="shared" si="43"/>
        <v>43.157352941176477</v>
      </c>
      <c r="AU933">
        <v>60</v>
      </c>
    </row>
    <row r="934" spans="1:50">
      <c r="B934" t="s">
        <v>1865</v>
      </c>
      <c r="C934">
        <v>391.29</v>
      </c>
      <c r="D934" s="16">
        <f t="shared" si="39"/>
        <v>57.542647058823533</v>
      </c>
      <c r="E934">
        <v>60</v>
      </c>
      <c r="K934" t="s">
        <v>1865</v>
      </c>
      <c r="L934">
        <v>391.29</v>
      </c>
      <c r="M934" s="16">
        <f t="shared" si="40"/>
        <v>57.542647058823533</v>
      </c>
      <c r="N934">
        <v>60</v>
      </c>
      <c r="S934" s="6">
        <f t="shared" si="41"/>
        <v>0</v>
      </c>
      <c r="V934" t="s">
        <v>1865</v>
      </c>
      <c r="W934">
        <v>391.29</v>
      </c>
      <c r="X934" s="16">
        <f t="shared" si="42"/>
        <v>57.542647058823533</v>
      </c>
      <c r="Y934">
        <v>100</v>
      </c>
      <c r="AR934" t="s">
        <v>1865</v>
      </c>
      <c r="AS934">
        <v>391.29</v>
      </c>
      <c r="AT934" s="16">
        <f t="shared" si="43"/>
        <v>57.542647058823533</v>
      </c>
      <c r="AU934">
        <v>100</v>
      </c>
    </row>
    <row r="935" spans="1:50">
      <c r="B935" t="s">
        <v>2465</v>
      </c>
      <c r="C935">
        <v>529.99</v>
      </c>
      <c r="D935" s="16">
        <f t="shared" si="39"/>
        <v>77.939705882352939</v>
      </c>
      <c r="E935">
        <v>120</v>
      </c>
      <c r="K935" t="s">
        <v>2465</v>
      </c>
      <c r="L935">
        <v>529.99</v>
      </c>
      <c r="M935" s="16">
        <f t="shared" si="40"/>
        <v>77.939705882352939</v>
      </c>
      <c r="N935">
        <v>120</v>
      </c>
      <c r="S935" s="6">
        <f t="shared" si="41"/>
        <v>0</v>
      </c>
      <c r="V935" t="s">
        <v>2465</v>
      </c>
      <c r="W935">
        <v>529.99</v>
      </c>
      <c r="X935" s="16">
        <f t="shared" si="42"/>
        <v>77.939705882352939</v>
      </c>
      <c r="Y935">
        <v>200</v>
      </c>
      <c r="AR935" t="s">
        <v>2465</v>
      </c>
      <c r="AS935">
        <v>529.99</v>
      </c>
      <c r="AT935" s="16">
        <f t="shared" si="43"/>
        <v>77.939705882352939</v>
      </c>
      <c r="AU935">
        <v>200</v>
      </c>
    </row>
    <row r="936" spans="1:50">
      <c r="B936" t="s">
        <v>2505</v>
      </c>
      <c r="C936">
        <v>699.99</v>
      </c>
      <c r="D936" s="16">
        <f t="shared" si="39"/>
        <v>102.93970588235294</v>
      </c>
      <c r="E936">
        <v>240</v>
      </c>
      <c r="K936" t="s">
        <v>2505</v>
      </c>
      <c r="L936">
        <v>699.99</v>
      </c>
      <c r="M936" s="16">
        <f t="shared" si="40"/>
        <v>102.93970588235294</v>
      </c>
      <c r="N936">
        <v>240</v>
      </c>
      <c r="S936" s="6">
        <f t="shared" si="41"/>
        <v>0</v>
      </c>
      <c r="V936" t="s">
        <v>2505</v>
      </c>
      <c r="W936">
        <v>699.99</v>
      </c>
      <c r="X936" s="16">
        <f t="shared" si="42"/>
        <v>102.93970588235294</v>
      </c>
      <c r="Y936">
        <v>300</v>
      </c>
      <c r="AR936" t="s">
        <v>2505</v>
      </c>
      <c r="AS936">
        <v>699.99</v>
      </c>
      <c r="AT936" s="16">
        <f t="shared" si="43"/>
        <v>102.93970588235294</v>
      </c>
      <c r="AU936">
        <v>300</v>
      </c>
    </row>
    <row r="938" spans="1:50">
      <c r="B938" s="513" t="s">
        <v>33</v>
      </c>
      <c r="K938" s="513" t="s">
        <v>33</v>
      </c>
      <c r="V938" s="513" t="s">
        <v>33</v>
      </c>
      <c r="AR938" s="513" t="s">
        <v>33</v>
      </c>
    </row>
    <row r="940" spans="1:50">
      <c r="A940">
        <v>2</v>
      </c>
      <c r="B940" s="552" t="s">
        <v>2464</v>
      </c>
      <c r="C940" s="4" t="s">
        <v>2508</v>
      </c>
      <c r="D940" s="4" t="s">
        <v>881</v>
      </c>
      <c r="E940" s="4" t="s">
        <v>1829</v>
      </c>
      <c r="F940" s="4" t="s">
        <v>2461</v>
      </c>
      <c r="G940" s="4" t="s">
        <v>2507</v>
      </c>
      <c r="H940" s="4" t="s">
        <v>2462</v>
      </c>
      <c r="K940" s="552" t="s">
        <v>2464</v>
      </c>
      <c r="L940" s="4" t="s">
        <v>2508</v>
      </c>
      <c r="M940" s="4" t="s">
        <v>881</v>
      </c>
      <c r="N940" s="4" t="s">
        <v>1829</v>
      </c>
      <c r="O940" s="4" t="s">
        <v>2461</v>
      </c>
      <c r="P940" s="4" t="s">
        <v>2507</v>
      </c>
      <c r="Q940" s="4" t="s">
        <v>2462</v>
      </c>
      <c r="V940" s="552" t="s">
        <v>2464</v>
      </c>
      <c r="W940" s="4" t="s">
        <v>2508</v>
      </c>
      <c r="X940" s="4" t="s">
        <v>881</v>
      </c>
      <c r="Y940" s="4" t="s">
        <v>1829</v>
      </c>
      <c r="Z940" s="4" t="s">
        <v>2461</v>
      </c>
      <c r="AA940" s="4" t="s">
        <v>2507</v>
      </c>
      <c r="AB940" s="4" t="s">
        <v>2462</v>
      </c>
      <c r="AR940" s="552" t="s">
        <v>2464</v>
      </c>
      <c r="AS940" s="4" t="s">
        <v>2508</v>
      </c>
      <c r="AT940" s="4" t="s">
        <v>881</v>
      </c>
      <c r="AU940" s="4" t="s">
        <v>1829</v>
      </c>
      <c r="AV940" s="4" t="s">
        <v>2461</v>
      </c>
      <c r="AW940" s="4" t="s">
        <v>2507</v>
      </c>
      <c r="AX940" s="4" t="s">
        <v>2462</v>
      </c>
    </row>
    <row r="941" spans="1:50">
      <c r="B941" s="36" t="s">
        <v>1856</v>
      </c>
      <c r="C941" s="36">
        <v>175</v>
      </c>
      <c r="D941" s="63">
        <f>C941/$A$940</f>
        <v>87.5</v>
      </c>
      <c r="E941" s="36">
        <v>30</v>
      </c>
      <c r="F941" s="36">
        <v>155</v>
      </c>
      <c r="G941" s="647" t="s">
        <v>2463</v>
      </c>
      <c r="H941" s="36">
        <v>500</v>
      </c>
      <c r="I941" s="5">
        <f>C941/C958-1</f>
        <v>-0.14634146341463417</v>
      </c>
      <c r="K941" s="36" t="s">
        <v>1856</v>
      </c>
      <c r="L941" s="36">
        <v>180</v>
      </c>
      <c r="M941" s="63">
        <f>L941/$A$940</f>
        <v>90</v>
      </c>
      <c r="N941" s="36">
        <v>30</v>
      </c>
      <c r="O941" s="36">
        <v>155</v>
      </c>
      <c r="P941" s="647" t="s">
        <v>2463</v>
      </c>
      <c r="Q941" s="36">
        <v>500</v>
      </c>
      <c r="S941" s="6">
        <f>L941/C941-1</f>
        <v>2.857142857142847E-2</v>
      </c>
      <c r="V941" s="36" t="s">
        <v>1856</v>
      </c>
      <c r="W941" s="36">
        <v>180</v>
      </c>
      <c r="X941" s="63">
        <f>W941/$A$940</f>
        <v>90</v>
      </c>
      <c r="Y941" s="36">
        <v>30</v>
      </c>
      <c r="Z941" s="36">
        <v>155</v>
      </c>
      <c r="AA941" s="647" t="s">
        <v>2463</v>
      </c>
      <c r="AB941" s="36">
        <v>500</v>
      </c>
      <c r="AR941" s="36" t="s">
        <v>1856</v>
      </c>
      <c r="AS941" s="36">
        <v>180</v>
      </c>
      <c r="AT941" s="63">
        <f>AS941/$A$940</f>
        <v>90</v>
      </c>
      <c r="AU941" s="36">
        <v>30</v>
      </c>
      <c r="AV941" s="36">
        <v>155</v>
      </c>
      <c r="AW941" s="647" t="s">
        <v>2463</v>
      </c>
      <c r="AX941" s="36">
        <v>500</v>
      </c>
    </row>
    <row r="942" spans="1:50">
      <c r="B942" t="s">
        <v>1856</v>
      </c>
      <c r="C942">
        <v>182</v>
      </c>
      <c r="D942" s="16">
        <f>C942/$A$940</f>
        <v>91</v>
      </c>
      <c r="E942">
        <v>60</v>
      </c>
      <c r="F942">
        <v>155</v>
      </c>
      <c r="G942" s="80" t="s">
        <v>2463</v>
      </c>
      <c r="H942">
        <v>500</v>
      </c>
      <c r="K942" t="s">
        <v>1856</v>
      </c>
      <c r="L942">
        <v>187</v>
      </c>
      <c r="M942" s="16">
        <f>L942/$A$940</f>
        <v>93.5</v>
      </c>
      <c r="N942">
        <v>60</v>
      </c>
      <c r="O942">
        <v>155</v>
      </c>
      <c r="P942" s="80" t="s">
        <v>2463</v>
      </c>
      <c r="Q942">
        <v>500</v>
      </c>
      <c r="S942" s="6">
        <f>L942/C942-1</f>
        <v>2.7472527472527375E-2</v>
      </c>
      <c r="V942" t="s">
        <v>1856</v>
      </c>
      <c r="W942">
        <v>187</v>
      </c>
      <c r="X942" s="16">
        <f>W942/$A$940</f>
        <v>93.5</v>
      </c>
      <c r="Y942">
        <v>60</v>
      </c>
      <c r="Z942">
        <v>155</v>
      </c>
      <c r="AA942" s="80" t="s">
        <v>2463</v>
      </c>
      <c r="AB942">
        <v>500</v>
      </c>
      <c r="AR942" t="s">
        <v>1856</v>
      </c>
      <c r="AS942">
        <v>187</v>
      </c>
      <c r="AT942" s="16">
        <f>AS942/$A$940</f>
        <v>93.5</v>
      </c>
      <c r="AU942">
        <v>60</v>
      </c>
      <c r="AV942">
        <v>155</v>
      </c>
      <c r="AW942" s="80" t="s">
        <v>2463</v>
      </c>
      <c r="AX942">
        <v>500</v>
      </c>
    </row>
    <row r="943" spans="1:50">
      <c r="B943" t="s">
        <v>1857</v>
      </c>
      <c r="C943">
        <v>220</v>
      </c>
      <c r="D943" s="16">
        <f>C943/$A$940</f>
        <v>110</v>
      </c>
      <c r="E943">
        <v>60</v>
      </c>
      <c r="F943">
        <v>172</v>
      </c>
      <c r="G943" s="80" t="s">
        <v>2463</v>
      </c>
      <c r="H943">
        <v>1500</v>
      </c>
      <c r="K943" t="s">
        <v>1857</v>
      </c>
      <c r="L943">
        <v>225</v>
      </c>
      <c r="M943" s="16">
        <f>L943/$A$940</f>
        <v>112.5</v>
      </c>
      <c r="N943">
        <v>60</v>
      </c>
      <c r="O943">
        <v>172</v>
      </c>
      <c r="P943" s="80" t="s">
        <v>2463</v>
      </c>
      <c r="Q943">
        <v>1500</v>
      </c>
      <c r="S943" s="6">
        <f>L943/C943-1</f>
        <v>2.2727272727272707E-2</v>
      </c>
      <c r="V943" t="s">
        <v>1857</v>
      </c>
      <c r="W943">
        <v>225</v>
      </c>
      <c r="X943" s="16">
        <f>W943/$A$940</f>
        <v>112.5</v>
      </c>
      <c r="Y943">
        <v>60</v>
      </c>
      <c r="Z943">
        <v>172</v>
      </c>
      <c r="AA943" s="80" t="s">
        <v>2463</v>
      </c>
      <c r="AB943">
        <v>1500</v>
      </c>
      <c r="AR943" t="s">
        <v>1857</v>
      </c>
      <c r="AS943">
        <v>225</v>
      </c>
      <c r="AT943" s="16">
        <f>AS943/$A$940</f>
        <v>112.5</v>
      </c>
      <c r="AU943">
        <v>60</v>
      </c>
      <c r="AV943">
        <v>172</v>
      </c>
      <c r="AW943" s="80" t="s">
        <v>2463</v>
      </c>
      <c r="AX943">
        <v>1500</v>
      </c>
    </row>
    <row r="944" spans="1:50">
      <c r="B944" t="s">
        <v>1858</v>
      </c>
      <c r="C944">
        <v>255</v>
      </c>
      <c r="D944" s="16">
        <f>C944/$A$940</f>
        <v>127.5</v>
      </c>
      <c r="E944">
        <v>150</v>
      </c>
      <c r="F944">
        <v>196</v>
      </c>
      <c r="G944" s="80" t="s">
        <v>2463</v>
      </c>
      <c r="H944">
        <v>1000</v>
      </c>
      <c r="K944" t="s">
        <v>1858</v>
      </c>
      <c r="L944">
        <v>260</v>
      </c>
      <c r="M944" s="16">
        <f>L944/$A$940</f>
        <v>130</v>
      </c>
      <c r="N944">
        <v>150</v>
      </c>
      <c r="O944">
        <v>196</v>
      </c>
      <c r="P944" s="80" t="s">
        <v>2463</v>
      </c>
      <c r="Q944">
        <v>1000</v>
      </c>
      <c r="S944" s="6">
        <f>L944/C944-1</f>
        <v>1.9607843137254832E-2</v>
      </c>
      <c r="V944" t="s">
        <v>1858</v>
      </c>
      <c r="W944">
        <v>260</v>
      </c>
      <c r="X944" s="16">
        <f>W944/$A$940</f>
        <v>130</v>
      </c>
      <c r="Y944">
        <v>150</v>
      </c>
      <c r="Z944">
        <v>198</v>
      </c>
      <c r="AA944" s="80" t="s">
        <v>2463</v>
      </c>
      <c r="AB944">
        <v>1000</v>
      </c>
      <c r="AR944" t="s">
        <v>1858</v>
      </c>
      <c r="AS944">
        <v>260</v>
      </c>
      <c r="AT944" s="16">
        <f>AS944/$A$940</f>
        <v>130</v>
      </c>
      <c r="AU944">
        <v>150</v>
      </c>
      <c r="AV944">
        <v>198</v>
      </c>
      <c r="AW944" s="80" t="s">
        <v>2463</v>
      </c>
      <c r="AX944">
        <v>1000</v>
      </c>
    </row>
    <row r="945" spans="2:47">
      <c r="D945" s="16"/>
      <c r="M945" s="16"/>
      <c r="X945" s="16"/>
      <c r="AT945" s="16"/>
    </row>
    <row r="946" spans="2:47">
      <c r="B946" s="12" t="s">
        <v>2472</v>
      </c>
      <c r="D946" s="16"/>
      <c r="K946" s="12" t="s">
        <v>2472</v>
      </c>
      <c r="M946" s="16"/>
      <c r="V946" s="12" t="s">
        <v>2472</v>
      </c>
      <c r="X946" s="16"/>
      <c r="AR946" s="12" t="s">
        <v>2472</v>
      </c>
      <c r="AT946" s="16"/>
    </row>
    <row r="947" spans="2:47">
      <c r="B947" t="s">
        <v>2473</v>
      </c>
      <c r="C947">
        <v>70</v>
      </c>
      <c r="D947" s="16">
        <f>C947/$A$940</f>
        <v>35</v>
      </c>
      <c r="E947">
        <v>30</v>
      </c>
      <c r="K947" t="s">
        <v>2473</v>
      </c>
      <c r="L947">
        <v>72.5</v>
      </c>
      <c r="M947" s="16">
        <f>L947/$A$940</f>
        <v>36.25</v>
      </c>
      <c r="N947">
        <v>30</v>
      </c>
      <c r="S947" s="6">
        <f>L947/C947-1</f>
        <v>3.5714285714285809E-2</v>
      </c>
      <c r="V947" t="s">
        <v>3344</v>
      </c>
      <c r="W947">
        <v>72.5</v>
      </c>
      <c r="X947" s="16">
        <f>W947/$A$940</f>
        <v>36.25</v>
      </c>
      <c r="Y947">
        <v>30</v>
      </c>
      <c r="AR947" t="s">
        <v>3344</v>
      </c>
      <c r="AS947">
        <v>72.5</v>
      </c>
      <c r="AT947" s="16">
        <f>AS947/$A$940</f>
        <v>36.25</v>
      </c>
      <c r="AU947">
        <v>30</v>
      </c>
    </row>
    <row r="948" spans="2:47">
      <c r="B948" t="s">
        <v>2474</v>
      </c>
      <c r="C948">
        <v>85</v>
      </c>
      <c r="D948" s="16">
        <f>C948/$A$940</f>
        <v>42.5</v>
      </c>
      <c r="E948">
        <v>60</v>
      </c>
      <c r="K948" t="s">
        <v>2474</v>
      </c>
      <c r="L948">
        <v>87.5</v>
      </c>
      <c r="M948" s="16">
        <f>L948/$A$940</f>
        <v>43.75</v>
      </c>
      <c r="N948">
        <v>60</v>
      </c>
      <c r="S948" s="6">
        <f>L948/C948-1</f>
        <v>2.9411764705882248E-2</v>
      </c>
      <c r="V948" t="s">
        <v>3349</v>
      </c>
      <c r="W948">
        <v>87.5</v>
      </c>
      <c r="X948" s="16">
        <f>W948/$A$940</f>
        <v>43.75</v>
      </c>
      <c r="Y948">
        <v>60</v>
      </c>
      <c r="AR948" t="s">
        <v>3349</v>
      </c>
      <c r="AS948">
        <v>87.5</v>
      </c>
      <c r="AT948" s="16">
        <f>AS948/$A$940</f>
        <v>43.75</v>
      </c>
      <c r="AU948">
        <v>60</v>
      </c>
    </row>
    <row r="949" spans="2:47">
      <c r="B949" t="s">
        <v>2475</v>
      </c>
      <c r="C949">
        <v>100</v>
      </c>
      <c r="D949" s="16">
        <f>C949/$A$940</f>
        <v>50</v>
      </c>
      <c r="E949">
        <v>150</v>
      </c>
      <c r="K949" t="s">
        <v>2891</v>
      </c>
      <c r="L949">
        <v>105</v>
      </c>
      <c r="M949" s="16">
        <f>L949/$A$940</f>
        <v>52.5</v>
      </c>
      <c r="N949">
        <v>150</v>
      </c>
      <c r="S949" s="6">
        <f>L949/C949-1</f>
        <v>5.0000000000000044E-2</v>
      </c>
      <c r="V949" t="s">
        <v>2891</v>
      </c>
      <c r="W949">
        <v>105</v>
      </c>
      <c r="X949" s="16">
        <f>W949/$A$940</f>
        <v>52.5</v>
      </c>
      <c r="Y949">
        <v>150</v>
      </c>
      <c r="AR949" t="s">
        <v>2891</v>
      </c>
      <c r="AS949">
        <v>105</v>
      </c>
      <c r="AT949" s="16">
        <f>AS949/$A$940</f>
        <v>52.5</v>
      </c>
      <c r="AU949">
        <v>150</v>
      </c>
    </row>
    <row r="950" spans="2:47">
      <c r="B950" t="s">
        <v>2476</v>
      </c>
      <c r="C950">
        <v>200</v>
      </c>
      <c r="D950" s="16">
        <f>C950/$A$940</f>
        <v>100</v>
      </c>
      <c r="E950">
        <v>350</v>
      </c>
      <c r="K950" s="8" t="s">
        <v>2892</v>
      </c>
      <c r="M950" s="16"/>
      <c r="V950" s="8" t="s">
        <v>2892</v>
      </c>
      <c r="X950" s="16"/>
      <c r="AR950" s="8" t="s">
        <v>2892</v>
      </c>
      <c r="AT950" s="16"/>
    </row>
    <row r="951" spans="2:47">
      <c r="D951" s="16"/>
      <c r="M951" s="16"/>
      <c r="X951" s="16"/>
    </row>
    <row r="952" spans="2:47">
      <c r="B952" s="552" t="s">
        <v>2470</v>
      </c>
      <c r="C952" s="4" t="str">
        <f>C940</f>
        <v>BB $</v>
      </c>
      <c r="D952" s="4" t="str">
        <f>D940</f>
        <v>US$</v>
      </c>
      <c r="E952" s="4" t="s">
        <v>1829</v>
      </c>
      <c r="F952" s="4" t="s">
        <v>2461</v>
      </c>
      <c r="G952" s="4" t="s">
        <v>2503</v>
      </c>
      <c r="H952" s="3"/>
      <c r="K952" s="552" t="s">
        <v>2470</v>
      </c>
      <c r="L952" s="4" t="str">
        <f>L940</f>
        <v>BB $</v>
      </c>
      <c r="M952" s="4" t="str">
        <f>M940</f>
        <v>US$</v>
      </c>
      <c r="N952" s="4" t="s">
        <v>1829</v>
      </c>
      <c r="O952" s="4" t="s">
        <v>2461</v>
      </c>
      <c r="P952" s="4" t="s">
        <v>2503</v>
      </c>
      <c r="Q952" s="3"/>
      <c r="V952" s="552" t="s">
        <v>2470</v>
      </c>
      <c r="W952" s="4" t="str">
        <f>W940</f>
        <v>BB $</v>
      </c>
      <c r="X952" s="4" t="str">
        <f>X940</f>
        <v>US$</v>
      </c>
      <c r="Y952" s="4" t="s">
        <v>1829</v>
      </c>
      <c r="Z952" s="4" t="s">
        <v>2461</v>
      </c>
      <c r="AA952" s="4" t="s">
        <v>2503</v>
      </c>
      <c r="AB952" s="3"/>
      <c r="AD952" s="510" t="s">
        <v>3350</v>
      </c>
    </row>
    <row r="953" spans="2:47">
      <c r="B953" t="s">
        <v>1863</v>
      </c>
      <c r="C953">
        <v>160</v>
      </c>
      <c r="D953" s="16">
        <f t="shared" ref="D953:D959" si="44">C953/$A$940</f>
        <v>80</v>
      </c>
      <c r="E953" s="80">
        <v>15</v>
      </c>
      <c r="F953" s="80">
        <v>78</v>
      </c>
      <c r="M953" s="16"/>
      <c r="N953" s="80"/>
      <c r="O953" s="80"/>
      <c r="X953" s="16"/>
      <c r="Y953" s="80"/>
      <c r="Z953" s="80"/>
      <c r="AD953" s="510" t="s">
        <v>3351</v>
      </c>
    </row>
    <row r="954" spans="2:47">
      <c r="B954" t="s">
        <v>1863</v>
      </c>
      <c r="C954">
        <v>165</v>
      </c>
      <c r="D954" s="16">
        <f t="shared" si="44"/>
        <v>82.5</v>
      </c>
      <c r="E954" s="80">
        <v>30</v>
      </c>
      <c r="F954" s="80">
        <v>78</v>
      </c>
      <c r="K954" t="s">
        <v>1863</v>
      </c>
      <c r="L954">
        <v>165</v>
      </c>
      <c r="M954" s="16">
        <f>L954/$A$940</f>
        <v>82.5</v>
      </c>
      <c r="N954" s="80">
        <v>30</v>
      </c>
      <c r="O954" s="80">
        <v>78</v>
      </c>
      <c r="S954" s="6">
        <f>L954/C954-1</f>
        <v>0</v>
      </c>
      <c r="V954" t="s">
        <v>1863</v>
      </c>
      <c r="W954">
        <v>165</v>
      </c>
      <c r="X954" s="16">
        <f t="shared" ref="X954:X959" si="45">W954/$A$940</f>
        <v>82.5</v>
      </c>
      <c r="Y954" s="80">
        <v>30</v>
      </c>
      <c r="Z954" s="80">
        <v>78</v>
      </c>
      <c r="AD954" s="12" t="s">
        <v>3353</v>
      </c>
    </row>
    <row r="955" spans="2:47">
      <c r="B955" t="s">
        <v>1863</v>
      </c>
      <c r="C955">
        <v>175</v>
      </c>
      <c r="D955" s="16">
        <f t="shared" si="44"/>
        <v>87.5</v>
      </c>
      <c r="E955" s="80">
        <v>60</v>
      </c>
      <c r="F955" s="80">
        <v>78</v>
      </c>
      <c r="K955" t="s">
        <v>1863</v>
      </c>
      <c r="L955">
        <v>175</v>
      </c>
      <c r="M955" s="16">
        <f>L955/$A$940</f>
        <v>87.5</v>
      </c>
      <c r="N955" s="80">
        <v>60</v>
      </c>
      <c r="O955" s="80">
        <v>78</v>
      </c>
      <c r="S955" s="6">
        <f>L955/C955-1</f>
        <v>0</v>
      </c>
      <c r="V955" t="s">
        <v>1863</v>
      </c>
      <c r="W955">
        <f>W954+10</f>
        <v>175</v>
      </c>
      <c r="X955" s="16">
        <f t="shared" si="45"/>
        <v>87.5</v>
      </c>
      <c r="Y955" s="80">
        <f>Y954+30</f>
        <v>60</v>
      </c>
      <c r="Z955" s="80">
        <v>78</v>
      </c>
    </row>
    <row r="956" spans="2:47">
      <c r="B956" t="s">
        <v>1864</v>
      </c>
      <c r="C956">
        <v>190</v>
      </c>
      <c r="D956" s="16">
        <f t="shared" si="44"/>
        <v>95</v>
      </c>
      <c r="E956">
        <v>15</v>
      </c>
      <c r="F956" s="80">
        <v>122</v>
      </c>
      <c r="K956" t="s">
        <v>1864</v>
      </c>
      <c r="L956">
        <v>195</v>
      </c>
      <c r="M956" s="16">
        <f>L956/$A$940</f>
        <v>97.5</v>
      </c>
      <c r="N956" s="555">
        <v>30</v>
      </c>
      <c r="O956" s="80">
        <v>122</v>
      </c>
      <c r="S956" s="6">
        <f>L956/C956-1</f>
        <v>2.6315789473684292E-2</v>
      </c>
      <c r="V956" t="s">
        <v>1864</v>
      </c>
      <c r="W956">
        <v>195</v>
      </c>
      <c r="X956" s="16">
        <f t="shared" si="45"/>
        <v>97.5</v>
      </c>
      <c r="Y956" s="80">
        <v>30</v>
      </c>
      <c r="Z956" s="80">
        <v>121</v>
      </c>
    </row>
    <row r="957" spans="2:47">
      <c r="B957" t="s">
        <v>1865</v>
      </c>
      <c r="C957">
        <v>200</v>
      </c>
      <c r="D957" s="16">
        <f t="shared" si="44"/>
        <v>100</v>
      </c>
      <c r="E957">
        <v>15</v>
      </c>
      <c r="F957" s="80">
        <v>144</v>
      </c>
      <c r="M957" s="16"/>
      <c r="O957" s="80"/>
      <c r="V957" t="s">
        <v>1864</v>
      </c>
      <c r="W957">
        <f>W956+10</f>
        <v>205</v>
      </c>
      <c r="X957" s="16">
        <f t="shared" si="45"/>
        <v>102.5</v>
      </c>
      <c r="Y957" s="80">
        <f>Y956+30</f>
        <v>60</v>
      </c>
      <c r="Z957" s="80">
        <v>121</v>
      </c>
    </row>
    <row r="958" spans="2:47">
      <c r="B958" s="36" t="s">
        <v>1865</v>
      </c>
      <c r="C958" s="36">
        <f>C957+5</f>
        <v>205</v>
      </c>
      <c r="D958" s="63">
        <f t="shared" si="44"/>
        <v>102.5</v>
      </c>
      <c r="E958" s="36">
        <v>30</v>
      </c>
      <c r="F958" s="647">
        <v>144</v>
      </c>
      <c r="G958" s="36"/>
      <c r="H958" s="36"/>
      <c r="K958" s="36" t="s">
        <v>1865</v>
      </c>
      <c r="L958" s="36">
        <v>205</v>
      </c>
      <c r="M958" s="63">
        <f>L958/$A$940</f>
        <v>102.5</v>
      </c>
      <c r="N958" s="36">
        <v>30</v>
      </c>
      <c r="O958" s="647">
        <v>144</v>
      </c>
      <c r="P958" s="36"/>
      <c r="Q958" s="36"/>
      <c r="S958" s="6">
        <f>L958/C958-1</f>
        <v>0</v>
      </c>
      <c r="V958" s="36" t="s">
        <v>1865</v>
      </c>
      <c r="W958" s="36">
        <v>205</v>
      </c>
      <c r="X958" s="63">
        <f t="shared" si="45"/>
        <v>102.5</v>
      </c>
      <c r="Y958" s="36">
        <v>30</v>
      </c>
      <c r="Z958" s="647">
        <v>146</v>
      </c>
      <c r="AA958" s="36"/>
      <c r="AB958" s="36"/>
    </row>
    <row r="959" spans="2:47">
      <c r="B959" t="s">
        <v>1865</v>
      </c>
      <c r="C959">
        <f>C957+15</f>
        <v>215</v>
      </c>
      <c r="D959" s="16">
        <f t="shared" si="44"/>
        <v>107.5</v>
      </c>
      <c r="E959">
        <v>60</v>
      </c>
      <c r="F959" s="80">
        <v>144</v>
      </c>
      <c r="K959" t="s">
        <v>1865</v>
      </c>
      <c r="L959">
        <f>L958+10</f>
        <v>215</v>
      </c>
      <c r="M959" s="16">
        <f>L959/$A$940</f>
        <v>107.5</v>
      </c>
      <c r="N959">
        <v>60</v>
      </c>
      <c r="O959" s="80">
        <v>144</v>
      </c>
      <c r="S959" s="6">
        <f>L959/C959-1</f>
        <v>0</v>
      </c>
      <c r="V959" t="s">
        <v>1865</v>
      </c>
      <c r="W959">
        <f>W958+10</f>
        <v>215</v>
      </c>
      <c r="X959" s="16">
        <f t="shared" si="45"/>
        <v>107.5</v>
      </c>
      <c r="Y959">
        <f>Y958+30</f>
        <v>60</v>
      </c>
      <c r="Z959" s="80">
        <v>146</v>
      </c>
    </row>
    <row r="960" spans="2:47">
      <c r="D960" s="16"/>
      <c r="M960" s="16"/>
      <c r="X960" s="16"/>
    </row>
    <row r="961" spans="2:30">
      <c r="B961" s="12" t="s">
        <v>2471</v>
      </c>
      <c r="D961" s="16"/>
      <c r="K961" s="12" t="s">
        <v>2471</v>
      </c>
      <c r="M961" s="16"/>
      <c r="V961" s="12" t="s">
        <v>2471</v>
      </c>
      <c r="X961" s="16"/>
    </row>
    <row r="962" spans="2:30">
      <c r="B962" s="12"/>
      <c r="D962" s="16"/>
      <c r="K962" s="8" t="s">
        <v>2893</v>
      </c>
      <c r="M962" s="16"/>
      <c r="V962" s="8" t="s">
        <v>3352</v>
      </c>
      <c r="X962" s="16"/>
    </row>
    <row r="963" spans="2:30">
      <c r="B963" t="s">
        <v>1863</v>
      </c>
      <c r="C963">
        <v>65</v>
      </c>
      <c r="D963" s="16">
        <f>C963/$A$940</f>
        <v>32.5</v>
      </c>
      <c r="E963">
        <v>15</v>
      </c>
      <c r="M963" s="16"/>
      <c r="V963" t="s">
        <v>1863</v>
      </c>
      <c r="W963">
        <v>80</v>
      </c>
      <c r="X963" s="16">
        <f>W963/$A$940</f>
        <v>40</v>
      </c>
      <c r="Y963">
        <v>35</v>
      </c>
    </row>
    <row r="964" spans="2:30">
      <c r="B964" t="s">
        <v>1864</v>
      </c>
      <c r="C964">
        <v>75</v>
      </c>
      <c r="D964" s="16">
        <f>C964/$A$940</f>
        <v>37.5</v>
      </c>
      <c r="E964">
        <v>30</v>
      </c>
      <c r="K964" t="s">
        <v>1864</v>
      </c>
      <c r="L964">
        <v>75</v>
      </c>
      <c r="M964" s="16">
        <f>L964/$A$940</f>
        <v>37.5</v>
      </c>
      <c r="N964">
        <v>30</v>
      </c>
      <c r="S964" s="6">
        <f>L964/C964-1</f>
        <v>0</v>
      </c>
      <c r="V964" t="s">
        <v>1864</v>
      </c>
      <c r="W964">
        <v>95</v>
      </c>
      <c r="X964" s="16">
        <f>W964/$A$940</f>
        <v>47.5</v>
      </c>
      <c r="Y964">
        <v>75</v>
      </c>
      <c r="AD964" s="6">
        <f>W964/L964-1</f>
        <v>0.26666666666666661</v>
      </c>
    </row>
    <row r="965" spans="2:30">
      <c r="B965" t="s">
        <v>1865</v>
      </c>
      <c r="C965">
        <v>90</v>
      </c>
      <c r="D965" s="16">
        <f>C965/$A$940</f>
        <v>45</v>
      </c>
      <c r="E965">
        <v>60</v>
      </c>
      <c r="K965" t="s">
        <v>1865</v>
      </c>
      <c r="L965">
        <v>90</v>
      </c>
      <c r="M965" s="16">
        <f>L965/$A$940</f>
        <v>45</v>
      </c>
      <c r="N965">
        <v>60</v>
      </c>
      <c r="S965" s="6">
        <f>L965/C965-1</f>
        <v>0</v>
      </c>
      <c r="V965" t="s">
        <v>1865</v>
      </c>
      <c r="W965">
        <v>115</v>
      </c>
      <c r="X965" s="16">
        <f>W965/$A$940</f>
        <v>57.5</v>
      </c>
      <c r="Y965">
        <v>175</v>
      </c>
      <c r="AD965" s="6">
        <f>W965/L965-1</f>
        <v>0.27777777777777768</v>
      </c>
    </row>
    <row r="966" spans="2:30">
      <c r="B966" t="s">
        <v>2465</v>
      </c>
      <c r="C966">
        <v>110</v>
      </c>
      <c r="D966" s="16">
        <f>C966/$A$940</f>
        <v>55</v>
      </c>
      <c r="E966">
        <v>150</v>
      </c>
      <c r="K966" t="s">
        <v>2465</v>
      </c>
      <c r="L966">
        <v>110</v>
      </c>
      <c r="M966" s="16">
        <f>L966/$A$940</f>
        <v>55</v>
      </c>
      <c r="N966">
        <v>150</v>
      </c>
      <c r="S966" s="6">
        <f>L966/C966-1</f>
        <v>0</v>
      </c>
      <c r="V966" t="s">
        <v>2465</v>
      </c>
      <c r="W966">
        <v>170</v>
      </c>
      <c r="X966" s="16">
        <f>W966/$A$940</f>
        <v>85</v>
      </c>
      <c r="Y966">
        <v>250</v>
      </c>
      <c r="AD966" s="6">
        <f>W966/L966-1</f>
        <v>0.54545454545454541</v>
      </c>
    </row>
    <row r="968" spans="2:30">
      <c r="B968" s="3"/>
      <c r="C968" s="3">
        <v>2017</v>
      </c>
      <c r="D968" s="64">
        <f>C968+1</f>
        <v>2018</v>
      </c>
      <c r="E968" s="64">
        <f>D968+1</f>
        <v>2019</v>
      </c>
      <c r="F968" s="64">
        <f>E968+1</f>
        <v>2020</v>
      </c>
    </row>
    <row r="969" spans="2:30">
      <c r="B969" t="s">
        <v>2802</v>
      </c>
      <c r="C969" s="486">
        <f>Valuation!H28</f>
        <v>93.865019728729806</v>
      </c>
      <c r="D969" s="486">
        <f>Valuation!I28</f>
        <v>78.306080118971721</v>
      </c>
      <c r="E969" s="486">
        <f>Valuation!J28</f>
        <v>142.40066666666672</v>
      </c>
      <c r="F969" s="486">
        <f>Valuation!K28</f>
        <v>196.00200000000001</v>
      </c>
    </row>
    <row r="970" spans="2:30">
      <c r="B970" t="s">
        <v>2803</v>
      </c>
      <c r="C970" s="486" t="e">
        <f>Valuation!#REF!</f>
        <v>#REF!</v>
      </c>
      <c r="D970" s="486" t="e">
        <f>Valuation!#REF!</f>
        <v>#REF!</v>
      </c>
      <c r="E970" s="486" t="e">
        <f>Valuation!#REF!</f>
        <v>#REF!</v>
      </c>
      <c r="F970" s="486" t="e">
        <f>Valuation!#REF!</f>
        <v>#REF!</v>
      </c>
    </row>
    <row r="972" spans="2:30">
      <c r="B972" s="3"/>
      <c r="C972" s="3">
        <v>2017</v>
      </c>
      <c r="D972" s="64">
        <f>C972+1</f>
        <v>2018</v>
      </c>
      <c r="E972" s="64">
        <f>D972+1</f>
        <v>2019</v>
      </c>
      <c r="F972" s="64">
        <f>E972+1</f>
        <v>2020</v>
      </c>
    </row>
    <row r="973" spans="2:30">
      <c r="B973" t="s">
        <v>2804</v>
      </c>
      <c r="C973" s="5">
        <f>Valuation!H63</f>
        <v>8.0623047303144194E-2</v>
      </c>
      <c r="D973" s="5">
        <f>Valuation!I63</f>
        <v>6.3628075661779512E-2</v>
      </c>
      <c r="E973" s="5">
        <f>Valuation!J63</f>
        <v>0.11511001577474071</v>
      </c>
      <c r="F973" s="5">
        <f>Valuation!K63</f>
        <v>0.12422455514119626</v>
      </c>
    </row>
    <row r="974" spans="2:30">
      <c r="B974" t="s">
        <v>2805</v>
      </c>
      <c r="C974" s="5" t="e">
        <f>Valuation!#REF!</f>
        <v>#REF!</v>
      </c>
      <c r="D974" s="5" t="e">
        <f>Valuation!#REF!</f>
        <v>#REF!</v>
      </c>
      <c r="E974" s="5" t="e">
        <f>Valuation!#REF!</f>
        <v>#REF!</v>
      </c>
      <c r="F974" s="5" t="e">
        <f>Valuation!#REF!</f>
        <v>#REF!</v>
      </c>
    </row>
    <row r="978" spans="2:14">
      <c r="B978" s="12" t="s">
        <v>2424</v>
      </c>
    </row>
    <row r="980" spans="2:14">
      <c r="B980" s="12"/>
    </row>
    <row r="981" spans="2:14">
      <c r="B981" s="12"/>
    </row>
    <row r="982" spans="2:14" ht="15.75">
      <c r="B982" s="636" t="s">
        <v>2827</v>
      </c>
      <c r="C982" s="636" t="s">
        <v>2826</v>
      </c>
      <c r="D982" s="642" t="s">
        <v>2825</v>
      </c>
      <c r="E982" s="642" t="s">
        <v>465</v>
      </c>
      <c r="F982" s="642" t="s">
        <v>158</v>
      </c>
      <c r="K982" t="s">
        <v>32</v>
      </c>
    </row>
    <row r="983" spans="2:14" ht="15.75">
      <c r="B983" s="664" t="s">
        <v>733</v>
      </c>
      <c r="C983" s="664"/>
      <c r="D983" s="720"/>
      <c r="E983" s="720"/>
      <c r="F983" s="720"/>
    </row>
    <row r="984" spans="2:14" ht="15.75">
      <c r="B984" s="53" t="s">
        <v>3354</v>
      </c>
      <c r="C984" s="53" t="s">
        <v>51</v>
      </c>
      <c r="D984" s="79" t="s">
        <v>2832</v>
      </c>
      <c r="E984" s="79" t="s">
        <v>32</v>
      </c>
      <c r="F984" s="721" t="s">
        <v>3355</v>
      </c>
    </row>
    <row r="985" spans="2:14" ht="15.75">
      <c r="B985" s="807" t="s">
        <v>3354</v>
      </c>
      <c r="C985" s="648" t="s">
        <v>2822</v>
      </c>
      <c r="D985" s="698" t="s">
        <v>1908</v>
      </c>
      <c r="E985" s="698" t="s">
        <v>1479</v>
      </c>
      <c r="F985" s="722">
        <v>0.05</v>
      </c>
    </row>
    <row r="986" spans="2:14" ht="15.75">
      <c r="B986" s="53" t="s">
        <v>2831</v>
      </c>
      <c r="C986" s="53" t="s">
        <v>51</v>
      </c>
      <c r="D986" s="79" t="s">
        <v>2832</v>
      </c>
      <c r="E986" s="79" t="s">
        <v>32</v>
      </c>
      <c r="F986" s="721">
        <v>0.04</v>
      </c>
    </row>
    <row r="987" spans="2:14" ht="15.75">
      <c r="B987" s="648" t="s">
        <v>2812</v>
      </c>
      <c r="C987" s="648" t="s">
        <v>2822</v>
      </c>
      <c r="D987" s="698" t="s">
        <v>1908</v>
      </c>
      <c r="E987" s="698" t="s">
        <v>32</v>
      </c>
      <c r="F987" s="722">
        <v>0.05</v>
      </c>
      <c r="K987" t="s">
        <v>2814</v>
      </c>
      <c r="L987" t="s">
        <v>2815</v>
      </c>
      <c r="M987" t="s">
        <v>2816</v>
      </c>
    </row>
    <row r="988" spans="2:14" ht="15.75">
      <c r="B988" s="53" t="s">
        <v>2813</v>
      </c>
      <c r="C988" s="53" t="s">
        <v>2822</v>
      </c>
      <c r="D988" s="79" t="s">
        <v>1908</v>
      </c>
      <c r="E988" s="79" t="s">
        <v>33</v>
      </c>
      <c r="F988" s="723" t="s">
        <v>2821</v>
      </c>
      <c r="K988" t="s">
        <v>2817</v>
      </c>
      <c r="L988">
        <v>799</v>
      </c>
      <c r="M988">
        <v>899</v>
      </c>
      <c r="N988" s="5">
        <f>M988/L988-1</f>
        <v>0.12515644555694627</v>
      </c>
    </row>
    <row r="989" spans="2:14" ht="15.75">
      <c r="B989" s="648" t="s">
        <v>2829</v>
      </c>
      <c r="C989" s="648" t="s">
        <v>51</v>
      </c>
      <c r="D989" s="698" t="s">
        <v>2830</v>
      </c>
      <c r="E989" s="698" t="s">
        <v>1479</v>
      </c>
      <c r="F989" s="722">
        <v>0.06</v>
      </c>
      <c r="K989" t="s">
        <v>2818</v>
      </c>
      <c r="L989" s="486">
        <v>1299</v>
      </c>
      <c r="M989" s="486">
        <v>1399</v>
      </c>
      <c r="N989" s="5">
        <f>M989/L989-1</f>
        <v>7.6982294072363455E-2</v>
      </c>
    </row>
    <row r="990" spans="2:14" ht="15.75">
      <c r="B990" s="53"/>
      <c r="C990" s="53"/>
      <c r="D990" s="79"/>
      <c r="E990" s="79"/>
      <c r="F990" s="79"/>
      <c r="K990" t="s">
        <v>2819</v>
      </c>
      <c r="L990" s="486">
        <v>1899</v>
      </c>
      <c r="M990" s="486">
        <v>1999</v>
      </c>
      <c r="N990" s="5">
        <f>M990/L990-1</f>
        <v>5.2659294365455578E-2</v>
      </c>
    </row>
    <row r="991" spans="2:14" ht="15.75">
      <c r="B991" s="648"/>
      <c r="C991" s="648"/>
      <c r="D991" s="698"/>
      <c r="E991" s="698"/>
      <c r="F991" s="698"/>
      <c r="K991" s="3" t="s">
        <v>2820</v>
      </c>
      <c r="L991" s="487">
        <v>2699</v>
      </c>
      <c r="M991" s="487">
        <v>2899</v>
      </c>
      <c r="N991" s="512">
        <f>M991/L991-1</f>
        <v>7.4101519081141154E-2</v>
      </c>
    </row>
    <row r="992" spans="2:14" ht="15.75">
      <c r="B992" s="58" t="s">
        <v>1919</v>
      </c>
      <c r="C992" s="53"/>
      <c r="D992" s="79"/>
      <c r="E992" s="79"/>
      <c r="F992" s="79"/>
      <c r="N992" s="5">
        <f>AVERAGE(N988:N991)</f>
        <v>8.2224888268976615E-2</v>
      </c>
    </row>
    <row r="993" spans="2:14" ht="15.75">
      <c r="B993" s="648" t="s">
        <v>2824</v>
      </c>
      <c r="C993" s="648" t="s">
        <v>51</v>
      </c>
      <c r="D993" s="698" t="s">
        <v>2823</v>
      </c>
      <c r="E993" s="698" t="s">
        <v>32</v>
      </c>
      <c r="F993" s="722">
        <f>N992</f>
        <v>8.2224888268976615E-2</v>
      </c>
      <c r="L993" s="486"/>
      <c r="M993" s="486"/>
      <c r="N993" s="5"/>
    </row>
    <row r="994" spans="2:14" ht="15.75">
      <c r="B994" s="53" t="s">
        <v>2824</v>
      </c>
      <c r="C994" s="53" t="s">
        <v>51</v>
      </c>
      <c r="D994" s="79" t="s">
        <v>2823</v>
      </c>
      <c r="E994" s="79" t="s">
        <v>33</v>
      </c>
      <c r="F994" s="721">
        <v>0.05</v>
      </c>
      <c r="L994" s="486"/>
      <c r="M994" s="486"/>
      <c r="N994" s="5"/>
    </row>
    <row r="995" spans="2:14" ht="15.75">
      <c r="B995" s="648" t="s">
        <v>2824</v>
      </c>
      <c r="C995" s="648" t="s">
        <v>51</v>
      </c>
      <c r="D995" s="698" t="s">
        <v>2823</v>
      </c>
      <c r="E995" s="698" t="s">
        <v>39</v>
      </c>
      <c r="F995" s="722">
        <v>0.05</v>
      </c>
      <c r="L995" s="486"/>
      <c r="M995" s="486"/>
      <c r="N995" s="5"/>
    </row>
    <row r="996" spans="2:14" ht="15.75">
      <c r="B996" s="53" t="s">
        <v>2824</v>
      </c>
      <c r="C996" s="53" t="s">
        <v>51</v>
      </c>
      <c r="D996" s="79" t="s">
        <v>2823</v>
      </c>
      <c r="E996" s="79" t="s">
        <v>43</v>
      </c>
      <c r="F996" s="721">
        <v>0.05</v>
      </c>
      <c r="L996" s="486"/>
      <c r="M996" s="486"/>
      <c r="N996" s="5"/>
    </row>
    <row r="997" spans="2:14" ht="15.75">
      <c r="B997" s="648" t="s">
        <v>2838</v>
      </c>
      <c r="C997" s="648" t="s">
        <v>51</v>
      </c>
      <c r="D997" s="698" t="s">
        <v>2833</v>
      </c>
      <c r="E997" s="698" t="s">
        <v>32</v>
      </c>
      <c r="F997" s="722" t="s">
        <v>2835</v>
      </c>
      <c r="L997" s="486"/>
      <c r="M997" s="486"/>
      <c r="N997" s="5"/>
    </row>
    <row r="998" spans="2:14" ht="15.75">
      <c r="B998" s="53" t="s">
        <v>2839</v>
      </c>
      <c r="C998" s="53" t="s">
        <v>2828</v>
      </c>
      <c r="D998" s="79" t="s">
        <v>2840</v>
      </c>
      <c r="E998" s="79" t="s">
        <v>33</v>
      </c>
      <c r="F998" s="721" t="s">
        <v>2841</v>
      </c>
      <c r="L998" s="486"/>
      <c r="M998" s="486"/>
      <c r="N998" s="5"/>
    </row>
    <row r="999" spans="2:14" ht="16.5" thickBot="1">
      <c r="B999" s="724">
        <v>42614</v>
      </c>
      <c r="C999" s="666" t="s">
        <v>1365</v>
      </c>
      <c r="D999" s="699" t="s">
        <v>2833</v>
      </c>
      <c r="E999" s="699" t="s">
        <v>32</v>
      </c>
      <c r="F999" s="699" t="s">
        <v>2834</v>
      </c>
      <c r="L999" s="486"/>
      <c r="M999" s="486"/>
      <c r="N999" s="5"/>
    </row>
    <row r="1000" spans="2:14" ht="15.75" thickBot="1">
      <c r="J1000" s="716"/>
      <c r="K1000" s="716"/>
      <c r="L1000" s="716"/>
      <c r="M1000" s="716"/>
    </row>
    <row r="1001" spans="2:14" ht="15.75" thickBot="1">
      <c r="B1001" t="s">
        <v>2836</v>
      </c>
      <c r="J1001" s="717"/>
      <c r="K1001" s="717"/>
      <c r="L1001" s="717"/>
      <c r="M1001" s="717"/>
    </row>
    <row r="1002" spans="2:14" ht="15.75" thickBot="1">
      <c r="B1002" t="s">
        <v>2837</v>
      </c>
      <c r="J1002" s="716"/>
      <c r="K1002" s="716"/>
      <c r="L1002" s="716"/>
      <c r="M1002" s="716"/>
    </row>
    <row r="1003" spans="2:14" ht="15.75" thickBot="1">
      <c r="J1003" s="717"/>
      <c r="K1003" s="717"/>
      <c r="L1003" s="717"/>
      <c r="M1003" s="717"/>
    </row>
    <row r="1004" spans="2:14">
      <c r="B1004" t="s">
        <v>2842</v>
      </c>
      <c r="D1004" s="80"/>
      <c r="E1004" s="80"/>
      <c r="F1004" s="560"/>
    </row>
    <row r="1005" spans="2:14">
      <c r="B1005" t="s">
        <v>2843</v>
      </c>
    </row>
    <row r="1007" spans="2:14" ht="15.75">
      <c r="B1007" s="50" t="s">
        <v>8</v>
      </c>
      <c r="C1007" s="51" t="str">
        <f>'New quarts'!I208</f>
        <v>Q3 15</v>
      </c>
      <c r="D1007" s="51" t="str">
        <f>'New quarts'!J208</f>
        <v>Q4 15</v>
      </c>
      <c r="E1007" s="51" t="str">
        <f>'New quarts'!K208</f>
        <v>Q1 16</v>
      </c>
      <c r="F1007" s="51" t="str">
        <f>'New quarts'!L208</f>
        <v>Q2 16</v>
      </c>
      <c r="G1007" s="51" t="str">
        <f>'New quarts'!M208</f>
        <v>Q3 16</v>
      </c>
      <c r="H1007" s="51" t="str">
        <f>'New quarts'!N208</f>
        <v>Q4 16</v>
      </c>
      <c r="I1007" s="51" t="str">
        <f>'New quarts'!O208</f>
        <v>Q1 17</v>
      </c>
      <c r="J1007" s="733" t="e">
        <f>'New quarts'!#REF!</f>
        <v>#REF!</v>
      </c>
      <c r="K1007" s="734" t="e">
        <f>'New quarts'!#REF!</f>
        <v>#REF!</v>
      </c>
      <c r="L1007" s="735" t="e">
        <f>'New quarts'!#REF!</f>
        <v>#REF!</v>
      </c>
    </row>
    <row r="1008" spans="2:14" ht="15.75">
      <c r="B1008" s="53" t="s">
        <v>29</v>
      </c>
      <c r="C1008" s="481">
        <f>'New quarts'!I211</f>
        <v>229.3</v>
      </c>
      <c r="D1008" s="481">
        <f>'New quarts'!J211</f>
        <v>243.1</v>
      </c>
      <c r="E1008" s="481">
        <f>'New quarts'!K211</f>
        <v>268.10000000000002</v>
      </c>
      <c r="F1008" s="481">
        <f>'New quarts'!L211</f>
        <v>201.4</v>
      </c>
      <c r="G1008" s="481">
        <f>'New quarts'!M211</f>
        <v>215</v>
      </c>
      <c r="H1008" s="481">
        <f>'New quarts'!N211</f>
        <v>226</v>
      </c>
      <c r="I1008" s="481">
        <f>'New quarts'!O211</f>
        <v>213</v>
      </c>
      <c r="J1008" s="736" t="e">
        <f>'New quarts'!#REF!</f>
        <v>#REF!</v>
      </c>
      <c r="K1008" s="481" t="e">
        <f>'New quarts'!#REF!</f>
        <v>#REF!</v>
      </c>
      <c r="L1008" s="737" t="e">
        <f>'New quarts'!#REF!</f>
        <v>#REF!</v>
      </c>
    </row>
    <row r="1009" spans="2:17" ht="15.75">
      <c r="B1009" s="53" t="s">
        <v>899</v>
      </c>
      <c r="C1009" s="481">
        <f>'New quarts'!I239</f>
        <v>82.5</v>
      </c>
      <c r="D1009" s="481">
        <f>'New quarts'!J239</f>
        <v>82</v>
      </c>
      <c r="E1009" s="481">
        <f>'New quarts'!K239</f>
        <v>76.3</v>
      </c>
      <c r="F1009" s="481">
        <f>'New quarts'!L239</f>
        <v>81.8</v>
      </c>
      <c r="G1009" s="481">
        <f>'New quarts'!M239</f>
        <v>86.9</v>
      </c>
      <c r="H1009" s="481">
        <f>'New quarts'!N239</f>
        <v>94.3</v>
      </c>
      <c r="I1009" s="481">
        <f>'New quarts'!O239</f>
        <v>91.6</v>
      </c>
      <c r="J1009" s="736" t="e">
        <f>'New quarts'!#REF!</f>
        <v>#REF!</v>
      </c>
      <c r="K1009" s="481" t="e">
        <f>'New quarts'!#REF!</f>
        <v>#REF!</v>
      </c>
      <c r="L1009" s="737" t="e">
        <f>'New quarts'!#REF!</f>
        <v>#REF!</v>
      </c>
    </row>
    <row r="1010" spans="2:17" ht="15.75">
      <c r="B1010" s="53" t="s">
        <v>984</v>
      </c>
      <c r="C1010" s="481">
        <f>'New quarts'!I242</f>
        <v>46.4</v>
      </c>
      <c r="D1010" s="481">
        <f>'New quarts'!J242</f>
        <v>46.5</v>
      </c>
      <c r="E1010" s="481">
        <f>'New quarts'!K242</f>
        <v>46.8</v>
      </c>
      <c r="F1010" s="481">
        <f>'New quarts'!L242</f>
        <v>50</v>
      </c>
      <c r="G1010" s="481">
        <f>'New quarts'!M242</f>
        <v>51.1</v>
      </c>
      <c r="H1010" s="481">
        <f>'New quarts'!N242</f>
        <v>50.9</v>
      </c>
      <c r="I1010" s="481">
        <f>'New quarts'!O242</f>
        <v>51.3</v>
      </c>
      <c r="J1010" s="736" t="e">
        <f>'New quarts'!#REF!</f>
        <v>#REF!</v>
      </c>
      <c r="K1010" s="481" t="e">
        <f>'New quarts'!#REF!</f>
        <v>#REF!</v>
      </c>
      <c r="L1010" s="737" t="e">
        <f>'New quarts'!#REF!</f>
        <v>#REF!</v>
      </c>
    </row>
    <row r="1011" spans="2:17" ht="15.75">
      <c r="B1011" s="50" t="s">
        <v>2887</v>
      </c>
      <c r="C1011" s="638"/>
      <c r="D1011" s="638"/>
      <c r="E1011" s="638"/>
      <c r="F1011" s="638"/>
      <c r="G1011" s="638"/>
      <c r="H1011" s="638"/>
      <c r="I1011" s="638">
        <f>'New quarts'!O235+'New quarts'!O258</f>
        <v>0</v>
      </c>
      <c r="J1011" s="738" t="e">
        <f>'New quarts'!#REF!+'New quarts'!#REF!</f>
        <v>#REF!</v>
      </c>
      <c r="K1011" s="638" t="e">
        <f>'New quarts'!#REF!+'New quarts'!#REF!</f>
        <v>#REF!</v>
      </c>
      <c r="L1011" s="739" t="e">
        <f>'New quarts'!#REF!+'New quarts'!#REF!</f>
        <v>#REF!</v>
      </c>
    </row>
    <row r="1012" spans="2:17" ht="15.75">
      <c r="B1012" s="53" t="s">
        <v>90</v>
      </c>
      <c r="C1012" s="481">
        <f t="shared" ref="C1012:H1012" si="46">SUM(C1008:C1010)</f>
        <v>358.2</v>
      </c>
      <c r="D1012" s="481">
        <f t="shared" si="46"/>
        <v>371.6</v>
      </c>
      <c r="E1012" s="481">
        <f t="shared" si="46"/>
        <v>391.20000000000005</v>
      </c>
      <c r="F1012" s="481">
        <f t="shared" si="46"/>
        <v>333.2</v>
      </c>
      <c r="G1012" s="481">
        <f t="shared" si="46"/>
        <v>353</v>
      </c>
      <c r="H1012" s="481">
        <f t="shared" si="46"/>
        <v>371.2</v>
      </c>
      <c r="I1012" s="481">
        <f>SUM(I1008:I1011)</f>
        <v>355.90000000000003</v>
      </c>
      <c r="J1012" s="736" t="e">
        <f>SUM(J1008:J1011)</f>
        <v>#REF!</v>
      </c>
      <c r="K1012" s="481" t="e">
        <f>SUM(K1008:K1011)</f>
        <v>#REF!</v>
      </c>
      <c r="L1012" s="737" t="e">
        <f>SUM(L1008:L1011)</f>
        <v>#REF!</v>
      </c>
    </row>
    <row r="1013" spans="2:17" ht="15.75">
      <c r="B1013" s="53" t="s">
        <v>935</v>
      </c>
      <c r="C1013" s="481"/>
      <c r="D1013" s="481"/>
      <c r="E1013" s="481"/>
      <c r="F1013" s="481"/>
      <c r="G1013" s="54">
        <f t="shared" ref="G1013:L1013" si="47">G1012/C1012-1</f>
        <v>-1.4517029592406416E-2</v>
      </c>
      <c r="H1013" s="54">
        <f t="shared" si="47"/>
        <v>-1.0764262648009781E-3</v>
      </c>
      <c r="I1013" s="54">
        <f t="shared" si="47"/>
        <v>-9.0235173824130932E-2</v>
      </c>
      <c r="J1013" s="740" t="e">
        <f t="shared" si="47"/>
        <v>#REF!</v>
      </c>
      <c r="K1013" s="57" t="e">
        <f t="shared" si="47"/>
        <v>#REF!</v>
      </c>
      <c r="L1013" s="741" t="e">
        <f t="shared" si="47"/>
        <v>#REF!</v>
      </c>
    </row>
    <row r="1014" spans="2:17" ht="15.75">
      <c r="B1014" s="53"/>
      <c r="C1014" s="53"/>
      <c r="D1014" s="53"/>
      <c r="E1014" s="53"/>
      <c r="F1014" s="53"/>
      <c r="G1014" s="53"/>
      <c r="H1014" s="53"/>
      <c r="I1014" s="53"/>
      <c r="J1014" s="53"/>
      <c r="K1014" s="53"/>
      <c r="L1014" s="53"/>
    </row>
    <row r="1015" spans="2:17" ht="15.75">
      <c r="B1015" s="53" t="s">
        <v>251</v>
      </c>
      <c r="C1015" s="53"/>
      <c r="D1015" s="53"/>
      <c r="E1015" s="53"/>
      <c r="F1015" s="53"/>
      <c r="G1015" s="53"/>
      <c r="H1015" s="53"/>
      <c r="I1015" s="53"/>
      <c r="J1015" s="53"/>
      <c r="K1015" s="53"/>
      <c r="L1015" s="53"/>
    </row>
    <row r="1016" spans="2:17" ht="15.75">
      <c r="B1016" s="53" t="str">
        <f>B1008</f>
        <v>CWC</v>
      </c>
      <c r="C1016" s="56">
        <f>'New quarts'!I285</f>
        <v>0.38473154362416107</v>
      </c>
      <c r="D1016" s="56">
        <f>'New quarts'!J285</f>
        <v>0.40857142857142859</v>
      </c>
      <c r="E1016" s="56">
        <f>'New quarts'!K285</f>
        <v>0.44314049586776866</v>
      </c>
      <c r="F1016" s="56">
        <f>'New quarts'!L285</f>
        <v>0.35056570931244563</v>
      </c>
      <c r="G1016" s="56">
        <f>'New quarts'!M285</f>
        <v>0.3781882145998241</v>
      </c>
      <c r="H1016" s="56">
        <f>'New quarts'!N285</f>
        <v>0.38259691890976805</v>
      </c>
      <c r="I1016" s="56">
        <f>'New quarts'!O285</f>
        <v>0.37004864489228628</v>
      </c>
      <c r="J1016" s="742" t="e">
        <f>'New quarts'!#REF!</f>
        <v>#REF!</v>
      </c>
      <c r="K1016" s="743" t="e">
        <f>'New quarts'!#REF!</f>
        <v>#REF!</v>
      </c>
      <c r="L1016" s="744" t="e">
        <f>'New quarts'!#REF!</f>
        <v>#REF!</v>
      </c>
    </row>
    <row r="1017" spans="2:17" ht="15.75">
      <c r="B1017" s="53" t="str">
        <f>B1009</f>
        <v>VTR</v>
      </c>
      <c r="C1017" s="56">
        <f>'LiLAC valuation'!L273</f>
        <v>0.40381791483113066</v>
      </c>
      <c r="D1017" s="56">
        <f>'LiLAC valuation'!M273</f>
        <v>0.40176384125428716</v>
      </c>
      <c r="E1017" s="56">
        <f>'LiLAC valuation'!N273</f>
        <v>0.38150000000000001</v>
      </c>
      <c r="F1017" s="56">
        <f>'LiLAC valuation'!O273</f>
        <v>0.3884140550807218</v>
      </c>
      <c r="G1017" s="56">
        <f>'LiLAC valuation'!P273</f>
        <v>0.39267962042476273</v>
      </c>
      <c r="H1017" s="56">
        <f>'LiLAC valuation'!Q273</f>
        <v>0.41432337434094901</v>
      </c>
      <c r="I1017" s="56">
        <f>'LiLAC valuation'!R273</f>
        <v>0.39947666812036631</v>
      </c>
      <c r="J1017" s="745" t="e">
        <f>'LiLAC valuation'!#REF!</f>
        <v>#REF!</v>
      </c>
      <c r="K1017" s="56" t="e">
        <f>'LiLAC valuation'!#REF!</f>
        <v>#REF!</v>
      </c>
      <c r="L1017" s="746" t="e">
        <f>'LiLAC valuation'!#REF!</f>
        <v>#REF!</v>
      </c>
    </row>
    <row r="1018" spans="2:17" ht="15.75">
      <c r="B1018" s="53" t="str">
        <f>B1010</f>
        <v>PR</v>
      </c>
      <c r="C1018" s="56">
        <f>'LiLAC valuation'!L383</f>
        <v>0.44401913875598087</v>
      </c>
      <c r="D1018" s="56">
        <f>'LiLAC valuation'!M383</f>
        <v>0.44243577545195056</v>
      </c>
      <c r="E1018" s="56">
        <f>'LiLAC valuation'!N383</f>
        <v>0.45043310875842152</v>
      </c>
      <c r="F1018" s="56">
        <f>'LiLAC valuation'!O383</f>
        <v>0.46772684752104771</v>
      </c>
      <c r="G1018" s="56">
        <f>'LiLAC valuation'!P383</f>
        <v>0.48759541984732829</v>
      </c>
      <c r="H1018" s="56">
        <f>'LiLAC valuation'!Q383</f>
        <v>0.48384030418250951</v>
      </c>
      <c r="I1018" s="56">
        <f>'LiLAC valuation'!R383</f>
        <v>0.48078725398313021</v>
      </c>
      <c r="J1018" s="747" t="e">
        <f>'LiLAC valuation'!#REF!</f>
        <v>#REF!</v>
      </c>
      <c r="K1018" s="631" t="e">
        <f>'LiLAC valuation'!#REF!</f>
        <v>#REF!</v>
      </c>
      <c r="L1018" s="748" t="e">
        <f>'LiLAC valuation'!#REF!</f>
        <v>#REF!</v>
      </c>
    </row>
    <row r="1021" spans="2:17" ht="15.75">
      <c r="B1021" s="18" t="str">
        <f>Master!B188</f>
        <v>Cash flow statement</v>
      </c>
      <c r="C1021" s="33">
        <f>Master!I188</f>
        <v>43100</v>
      </c>
      <c r="D1021" s="33">
        <f>Master!J188</f>
        <v>43465</v>
      </c>
      <c r="E1021" s="33">
        <f>Master!K188</f>
        <v>43830</v>
      </c>
      <c r="F1021" s="33">
        <f>Master!L188</f>
        <v>44196</v>
      </c>
      <c r="G1021" s="33">
        <f>Master!M188</f>
        <v>44561</v>
      </c>
      <c r="H1021" s="33">
        <f>Master!N188</f>
        <v>44926</v>
      </c>
      <c r="I1021" s="33">
        <f>Master!O188</f>
        <v>45291</v>
      </c>
      <c r="J1021" s="33">
        <f>Master!P188</f>
        <v>45657</v>
      </c>
      <c r="O1021" s="33"/>
      <c r="P1021" s="33"/>
      <c r="Q1021" s="18"/>
    </row>
    <row r="1022" spans="2:17" ht="15.75">
      <c r="B1022" s="19"/>
      <c r="C1022" s="703"/>
      <c r="D1022" s="703"/>
      <c r="E1022" s="703"/>
      <c r="F1022" s="703"/>
      <c r="G1022" s="703"/>
      <c r="H1022" s="703"/>
      <c r="I1022" s="703"/>
      <c r="J1022" s="703"/>
      <c r="O1022" s="703"/>
      <c r="P1022" s="703"/>
      <c r="Q1022" s="19"/>
    </row>
    <row r="1023" spans="2:17" ht="15.75">
      <c r="B1023" s="704" t="str">
        <f>Master!B190</f>
        <v>OCF</v>
      </c>
      <c r="C1023" s="41">
        <f>Master!I190</f>
        <v>1367.1</v>
      </c>
      <c r="D1023" s="41">
        <f>Master!J190</f>
        <v>1412.5717613715995</v>
      </c>
      <c r="E1023" s="41">
        <f>Master!K190</f>
        <v>1506.5</v>
      </c>
      <c r="F1023" s="41">
        <f>Master!L190</f>
        <v>1485</v>
      </c>
      <c r="G1023" s="41">
        <f>Master!M190</f>
        <v>1818.4935611038109</v>
      </c>
      <c r="H1023" s="41">
        <f>Master!N190</f>
        <v>1718</v>
      </c>
      <c r="I1023" s="41">
        <f>Master!O190</f>
        <v>1701.6</v>
      </c>
      <c r="J1023" s="41">
        <f>Master!P190</f>
        <v>1579.0990335466222</v>
      </c>
      <c r="O1023" s="20"/>
      <c r="P1023" s="20"/>
      <c r="Q1023" s="704"/>
    </row>
    <row r="1024" spans="2:17" ht="15.75">
      <c r="B1024" s="705" t="str">
        <f>Master!B191</f>
        <v>Less D&amp;A</v>
      </c>
      <c r="C1024" s="40">
        <f>-Master!I191</f>
        <v>-1501.3</v>
      </c>
      <c r="D1024" s="40">
        <f>-Master!J191</f>
        <v>-1471.3999999999999</v>
      </c>
      <c r="E1024" s="40">
        <f>-Master!K191</f>
        <v>-1130.1000000000001</v>
      </c>
      <c r="F1024" s="40">
        <f>-Master!L191</f>
        <v>-1295.5999999999999</v>
      </c>
      <c r="G1024" s="40">
        <f>-Master!M191</f>
        <v>-1629.7</v>
      </c>
      <c r="H1024" s="40">
        <f>-Master!N191</f>
        <v>-1530</v>
      </c>
      <c r="I1024" s="40">
        <f>-Master!O191</f>
        <v>-1095.2</v>
      </c>
      <c r="J1024" s="40">
        <f>-Master!P191</f>
        <v>-1531.0897892694097</v>
      </c>
      <c r="O1024" s="27"/>
      <c r="P1024" s="27"/>
      <c r="Q1024" s="705"/>
    </row>
    <row r="1025" spans="2:17" ht="15.75">
      <c r="B1025" s="705" t="str">
        <f>Master!B193</f>
        <v>Less share based compensation</v>
      </c>
      <c r="C1025" s="41">
        <f>Master!I193</f>
        <v>-14.2</v>
      </c>
      <c r="D1025" s="41">
        <f>Master!J193</f>
        <v>35.200000000000003</v>
      </c>
      <c r="E1025" s="41">
        <f>Master!K193</f>
        <v>-57.5</v>
      </c>
      <c r="F1025" s="41">
        <f>Master!L193</f>
        <v>-98</v>
      </c>
      <c r="G1025" s="41">
        <f>Master!M193</f>
        <v>-118</v>
      </c>
      <c r="H1025" s="41">
        <f>Master!N193</f>
        <v>-94</v>
      </c>
      <c r="I1025" s="41">
        <f>Master!O193</f>
        <v>-89</v>
      </c>
      <c r="J1025" s="41">
        <f>Master!P193</f>
        <v>-75</v>
      </c>
      <c r="O1025" s="20"/>
      <c r="P1025" s="20"/>
      <c r="Q1025" s="705"/>
    </row>
    <row r="1026" spans="2:17" ht="15.75">
      <c r="B1026" s="704" t="str">
        <f>Master!B194</f>
        <v>Operating income</v>
      </c>
      <c r="C1026" s="41">
        <f>Master!I194</f>
        <v>-148.40000000000003</v>
      </c>
      <c r="D1026" s="41">
        <f>Master!J194</f>
        <v>-23.62823862840041</v>
      </c>
      <c r="E1026" s="41">
        <f>Master!K194</f>
        <v>318.89999999999986</v>
      </c>
      <c r="F1026" s="41">
        <f>Master!L194</f>
        <v>91.400000000000091</v>
      </c>
      <c r="G1026" s="41">
        <f>Master!M194</f>
        <v>70.793561103810816</v>
      </c>
      <c r="H1026" s="41">
        <f>Master!N194</f>
        <v>94</v>
      </c>
      <c r="I1026" s="41">
        <f>Master!O194</f>
        <v>517.39999999999986</v>
      </c>
      <c r="J1026" s="41">
        <f>Master!P194</f>
        <v>-26.990755722787526</v>
      </c>
      <c r="O1026" s="20"/>
      <c r="P1026" s="20"/>
      <c r="Q1026" s="704"/>
    </row>
    <row r="1027" spans="2:17" ht="15.75">
      <c r="B1027" s="705"/>
      <c r="C1027" s="41"/>
      <c r="D1027" s="41"/>
      <c r="E1027" s="41"/>
      <c r="F1027" s="41"/>
      <c r="G1027" s="41"/>
      <c r="H1027" s="41"/>
      <c r="I1027" s="41"/>
      <c r="J1027" s="41"/>
      <c r="O1027" s="703"/>
      <c r="P1027" s="703"/>
      <c r="Q1027" s="705"/>
    </row>
    <row r="1028" spans="2:17" ht="15.75">
      <c r="B1028" s="704" t="str">
        <f>Master!B196</f>
        <v>OCF</v>
      </c>
      <c r="C1028" s="41">
        <f>Master!I196</f>
        <v>1367.1</v>
      </c>
      <c r="D1028" s="41">
        <f>Master!J196</f>
        <v>1412.5717613715995</v>
      </c>
      <c r="E1028" s="41">
        <f>Master!K196</f>
        <v>1506.5</v>
      </c>
      <c r="F1028" s="41">
        <f>Master!L196</f>
        <v>1485</v>
      </c>
      <c r="G1028" s="41">
        <f>Master!M196</f>
        <v>1818.4935611038109</v>
      </c>
      <c r="H1028" s="41">
        <f>Master!N196</f>
        <v>1718</v>
      </c>
      <c r="I1028" s="41">
        <f>Master!O196</f>
        <v>1701.6</v>
      </c>
      <c r="J1028" s="41">
        <f>Master!P196</f>
        <v>1579.0990335466222</v>
      </c>
      <c r="O1028" s="20"/>
      <c r="P1028" s="20"/>
      <c r="Q1028" s="704"/>
    </row>
    <row r="1029" spans="2:17" ht="15.75">
      <c r="B1029" s="705" t="str">
        <f>Master!B197</f>
        <v>Other income, net</v>
      </c>
      <c r="C1029" s="40">
        <f>Master!I197</f>
        <v>0</v>
      </c>
      <c r="D1029" s="40">
        <f>Master!J197</f>
        <v>0</v>
      </c>
      <c r="E1029" s="40">
        <f>Master!K197</f>
        <v>0</v>
      </c>
      <c r="F1029" s="40">
        <f>Master!L197</f>
        <v>0</v>
      </c>
      <c r="G1029" s="40">
        <f>Master!M197</f>
        <v>0</v>
      </c>
      <c r="H1029" s="40">
        <f>Master!N197</f>
        <v>0</v>
      </c>
      <c r="I1029" s="40">
        <f>Master!O197</f>
        <v>0</v>
      </c>
      <c r="J1029" s="40">
        <f>Master!P197</f>
        <v>0</v>
      </c>
      <c r="O1029" s="27"/>
      <c r="P1029" s="27"/>
      <c r="Q1029" s="705"/>
    </row>
    <row r="1030" spans="2:17" ht="15.75">
      <c r="B1030" s="705" t="str">
        <f>Master!B198</f>
        <v>Cash interest</v>
      </c>
      <c r="C1030" s="40">
        <f>Master!I198</f>
        <v>-393.1</v>
      </c>
      <c r="D1030" s="40">
        <f>Master!J198</f>
        <v>-418.2</v>
      </c>
      <c r="E1030" s="40">
        <f>Master!K198</f>
        <v>-444.9</v>
      </c>
      <c r="F1030" s="40">
        <f>Master!L198</f>
        <v>-484</v>
      </c>
      <c r="G1030" s="40">
        <f>Master!M198</f>
        <v>-463</v>
      </c>
      <c r="H1030" s="40">
        <f>Master!N198</f>
        <v>-506.4</v>
      </c>
      <c r="I1030" s="40">
        <f>Master!O198</f>
        <v>-521.4</v>
      </c>
      <c r="J1030" s="40">
        <f ca="1">Master!P198</f>
        <v>-619.35390955854734</v>
      </c>
      <c r="O1030" s="27"/>
      <c r="P1030" s="27"/>
      <c r="Q1030" s="705"/>
    </row>
    <row r="1031" spans="2:17" ht="15.75">
      <c r="B1031" s="705" t="str">
        <f>Master!B199</f>
        <v>Cash taxes</v>
      </c>
      <c r="C1031" s="40">
        <f>Master!I199</f>
        <v>-110.9</v>
      </c>
      <c r="D1031" s="40">
        <f>Master!J199</f>
        <v>-145.6</v>
      </c>
      <c r="E1031" s="40">
        <f>Master!K199</f>
        <v>-130.1</v>
      </c>
      <c r="F1031" s="40">
        <f>Master!L199</f>
        <v>-81.599999999999994</v>
      </c>
      <c r="G1031" s="40">
        <f>Master!M199</f>
        <v>-44.3</v>
      </c>
      <c r="H1031" s="40">
        <f>Master!N199</f>
        <v>-115.6</v>
      </c>
      <c r="I1031" s="40">
        <f>Master!O199</f>
        <v>-79.8</v>
      </c>
      <c r="J1031" s="40">
        <f>Master!P199</f>
        <v>-284.23782603839197</v>
      </c>
      <c r="O1031" s="27"/>
      <c r="P1031" s="27"/>
      <c r="Q1031" s="705"/>
    </row>
    <row r="1032" spans="2:17" ht="15.75">
      <c r="B1032" s="705" t="str">
        <f>Master!B200</f>
        <v>Working capital changes / other</v>
      </c>
      <c r="C1032" s="40">
        <f>Master!I200</f>
        <v>-238.10000000000028</v>
      </c>
      <c r="D1032" s="40">
        <f>Master!J200</f>
        <v>-31.971761371599428</v>
      </c>
      <c r="E1032" s="40">
        <f>Master!K200</f>
        <v>-13.299999999999841</v>
      </c>
      <c r="F1032" s="40">
        <f>Master!L200</f>
        <v>-279.29999999999995</v>
      </c>
      <c r="G1032" s="40">
        <f>Master!M200</f>
        <v>-294.9935611038108</v>
      </c>
      <c r="H1032" s="40">
        <f>Master!N200</f>
        <v>-227.79999999999998</v>
      </c>
      <c r="I1032" s="40">
        <f>Master!O200</f>
        <v>-203.39999999999992</v>
      </c>
      <c r="J1032" s="40">
        <f>Master!P200</f>
        <v>-4.7130538775945752E-3</v>
      </c>
      <c r="O1032" s="27"/>
      <c r="P1032" s="27"/>
      <c r="Q1032" s="705"/>
    </row>
    <row r="1033" spans="2:17" ht="15.75">
      <c r="B1033" s="704" t="str">
        <f>Master!B201</f>
        <v>Net cash provided by operating activities</v>
      </c>
      <c r="C1033" s="41">
        <f>Master!I201</f>
        <v>573.9</v>
      </c>
      <c r="D1033" s="41">
        <f>Master!J201</f>
        <v>816.8</v>
      </c>
      <c r="E1033" s="41">
        <f>Master!K201</f>
        <v>918.2</v>
      </c>
      <c r="F1033" s="41">
        <f>Master!L201</f>
        <v>640.1</v>
      </c>
      <c r="G1033" s="41">
        <f>Master!M201</f>
        <v>1016.2</v>
      </c>
      <c r="H1033" s="41">
        <f>Master!N201</f>
        <v>868.2</v>
      </c>
      <c r="I1033" s="41">
        <f>Master!O201</f>
        <v>897</v>
      </c>
      <c r="J1033" s="41">
        <f ca="1">Master!P201</f>
        <v>675.50258489580528</v>
      </c>
      <c r="O1033" s="20"/>
      <c r="P1033" s="20"/>
      <c r="Q1033" s="704"/>
    </row>
    <row r="1034" spans="2:17" ht="15.75">
      <c r="B1034" s="705"/>
      <c r="C1034" s="41"/>
      <c r="D1034" s="41"/>
      <c r="E1034" s="41"/>
      <c r="F1034" s="41"/>
      <c r="G1034" s="41"/>
      <c r="H1034" s="41"/>
      <c r="I1034" s="41"/>
      <c r="J1034" s="41"/>
      <c r="O1034" s="703"/>
      <c r="P1034" s="703"/>
      <c r="Q1034" s="705"/>
    </row>
    <row r="1035" spans="2:17" ht="15.75">
      <c r="B1035" s="705" t="str">
        <f>Master!B203</f>
        <v>Expenses financed by an intermediary</v>
      </c>
      <c r="C1035" s="40">
        <f>Master!I203</f>
        <v>82.7</v>
      </c>
      <c r="D1035" s="40">
        <f>Master!J203</f>
        <v>171.7</v>
      </c>
      <c r="E1035" s="40">
        <f>Master!K203</f>
        <v>129.69999999999999</v>
      </c>
      <c r="F1035" s="40">
        <f>Master!L203</f>
        <v>108</v>
      </c>
      <c r="G1035" s="40">
        <f>Master!M203</f>
        <v>110</v>
      </c>
      <c r="H1035" s="40">
        <f>Master!N203</f>
        <v>149</v>
      </c>
      <c r="I1035" s="40">
        <f>Master!O203</f>
        <v>176.9</v>
      </c>
      <c r="J1035" s="40">
        <f>Master!P203</f>
        <v>170</v>
      </c>
      <c r="O1035" s="27"/>
      <c r="P1035" s="27"/>
      <c r="Q1035" s="705"/>
    </row>
    <row r="1036" spans="2:17" ht="15.75">
      <c r="B1036" s="705" t="str">
        <f>Master!B204</f>
        <v>Cash capex</v>
      </c>
      <c r="C1036" s="40">
        <f>Master!I204</f>
        <v>-639.14623921085092</v>
      </c>
      <c r="D1036" s="40">
        <f>Master!J204</f>
        <v>-776.39999999999986</v>
      </c>
      <c r="E1036" s="40">
        <f>Master!K204</f>
        <v>-594.69999999999982</v>
      </c>
      <c r="F1036" s="40">
        <f>Master!L204</f>
        <v>-565.69999999999993</v>
      </c>
      <c r="G1036" s="40">
        <f>Master!M204</f>
        <v>-736.3</v>
      </c>
      <c r="H1036" s="40">
        <f>Master!N204</f>
        <v>-660.19999999999993</v>
      </c>
      <c r="I1036" s="40">
        <f>Master!O204</f>
        <v>-585.79999999999995</v>
      </c>
      <c r="J1036" s="40">
        <f>Master!P204</f>
        <v>-562.59552590550243</v>
      </c>
      <c r="O1036" s="27"/>
      <c r="P1036" s="27"/>
      <c r="Q1036" s="705"/>
    </row>
    <row r="1037" spans="2:17" ht="15.75">
      <c r="B1037" s="705" t="str">
        <f>Master!B205</f>
        <v>Principal payments on vendors/ intermediaries</v>
      </c>
      <c r="C1037" s="40">
        <f>Master!I205</f>
        <v>-68</v>
      </c>
      <c r="D1037" s="40">
        <f>Master!J205</f>
        <v>-204.2</v>
      </c>
      <c r="E1037" s="40">
        <f>Master!K205</f>
        <v>-233.2</v>
      </c>
      <c r="F1037" s="40">
        <f>Master!L205</f>
        <v>-220.2</v>
      </c>
      <c r="G1037" s="40">
        <f>Master!M205</f>
        <v>-184</v>
      </c>
      <c r="H1037" s="40">
        <f>Master!N205</f>
        <v>-196.7</v>
      </c>
      <c r="I1037" s="40">
        <f>Master!O205</f>
        <v>-239</v>
      </c>
      <c r="J1037" s="40">
        <f>Master!P205</f>
        <v>-290</v>
      </c>
      <c r="O1037" s="27"/>
      <c r="P1037" s="27"/>
      <c r="Q1037" s="705"/>
    </row>
    <row r="1038" spans="2:17" ht="15.75">
      <c r="B1038" s="705" t="str">
        <f>Master!B206</f>
        <v>Principal payments on capital leases</v>
      </c>
      <c r="C1038" s="40">
        <f>Master!I206</f>
        <v>0</v>
      </c>
      <c r="D1038" s="40">
        <f>Master!J206</f>
        <v>-4.2</v>
      </c>
      <c r="E1038" s="40">
        <f>Master!K206</f>
        <v>-3.9</v>
      </c>
      <c r="F1038" s="40">
        <f>Master!L206</f>
        <v>0</v>
      </c>
      <c r="G1038" s="40">
        <f>Master!M206</f>
        <v>0</v>
      </c>
      <c r="H1038" s="40">
        <f>Master!N206</f>
        <v>0</v>
      </c>
      <c r="I1038" s="40">
        <f>Master!O206</f>
        <v>0</v>
      </c>
      <c r="J1038" s="40">
        <f>Master!P206</f>
        <v>-21.442371337467822</v>
      </c>
      <c r="O1038" s="27"/>
      <c r="P1038" s="27"/>
      <c r="Q1038" s="705"/>
    </row>
    <row r="1039" spans="2:17" ht="15.75">
      <c r="B1039" s="705" t="str">
        <f>Master!B207</f>
        <v>Pension / other</v>
      </c>
      <c r="C1039" s="44">
        <f>Master!I207</f>
        <v>0</v>
      </c>
      <c r="D1039" s="44">
        <f>Master!J207</f>
        <v>23</v>
      </c>
      <c r="E1039" s="44">
        <f>Master!K207</f>
        <v>11</v>
      </c>
      <c r="F1039" s="44">
        <f>Master!L207</f>
        <v>0</v>
      </c>
      <c r="G1039" s="44">
        <f>Master!M207</f>
        <v>0</v>
      </c>
      <c r="H1039" s="44">
        <f>Master!N207</f>
        <v>0</v>
      </c>
      <c r="I1039" s="44">
        <f>Master!O207</f>
        <v>0</v>
      </c>
      <c r="J1039" s="44">
        <f>Master!P207</f>
        <v>0</v>
      </c>
      <c r="O1039" s="25"/>
      <c r="P1039" s="25"/>
      <c r="Q1039" s="705"/>
    </row>
    <row r="1040" spans="2:17" ht="15.75">
      <c r="B1040" s="705" t="str">
        <f>Master!B209</f>
        <v xml:space="preserve">Minority shareholder dividends </v>
      </c>
      <c r="C1040" s="40">
        <f>Master!I209</f>
        <v>-62</v>
      </c>
      <c r="D1040" s="40">
        <f>Master!J209</f>
        <v>-28</v>
      </c>
      <c r="E1040" s="40">
        <f>Master!K209</f>
        <v>-37.700000000000003</v>
      </c>
      <c r="F1040" s="40">
        <f>Master!L209</f>
        <v>-18.8</v>
      </c>
      <c r="G1040" s="40">
        <f>Master!M209</f>
        <v>-47.6</v>
      </c>
      <c r="H1040" s="40">
        <f>Master!N209</f>
        <v>-1.9</v>
      </c>
      <c r="I1040" s="40">
        <f>Master!O209</f>
        <v>-75.400000000000006</v>
      </c>
      <c r="J1040" s="40">
        <f>Master!P209</f>
        <v>-35</v>
      </c>
      <c r="O1040" s="27"/>
      <c r="P1040" s="27"/>
      <c r="Q1040" s="705"/>
    </row>
    <row r="1041" spans="2:17" ht="15.75">
      <c r="B1041" s="705" t="str">
        <f>Master!B210</f>
        <v>Insurance / Fed contributions / other</v>
      </c>
      <c r="C1041" s="40">
        <f>Master!I210</f>
        <v>0</v>
      </c>
      <c r="D1041" s="40">
        <f>Master!J210</f>
        <v>20.7</v>
      </c>
      <c r="E1041" s="40">
        <f>Master!K210</f>
        <v>33.9</v>
      </c>
      <c r="F1041" s="40">
        <f>Master!L210</f>
        <v>202.40000000000003</v>
      </c>
      <c r="G1041" s="40">
        <f>Master!M210</f>
        <v>41.499999999999993</v>
      </c>
      <c r="H1041" s="40">
        <f>Master!N210</f>
        <v>29.299999999999997</v>
      </c>
      <c r="I1041" s="40">
        <f>Master!O210</f>
        <v>23.299999999999997</v>
      </c>
      <c r="J1041" s="40">
        <f>Master!P210</f>
        <v>0</v>
      </c>
      <c r="O1041" s="27"/>
      <c r="P1041" s="27"/>
      <c r="Q1041" s="705"/>
    </row>
    <row r="1042" spans="2:17" ht="15.75">
      <c r="B1042" s="704" t="str">
        <f>Master!B211</f>
        <v>Liberty FCF</v>
      </c>
      <c r="C1042" s="718">
        <f>Master!I211</f>
        <v>-112.5462392108509</v>
      </c>
      <c r="D1042" s="718">
        <f>Master!J211</f>
        <v>19.400000000000091</v>
      </c>
      <c r="E1042" s="718">
        <f>Master!K211</f>
        <v>223.30000000000018</v>
      </c>
      <c r="F1042" s="718">
        <f>Master!L211</f>
        <v>145.80000000000024</v>
      </c>
      <c r="G1042" s="718">
        <f>Master!M211</f>
        <v>199.80000000000007</v>
      </c>
      <c r="H1042" s="718">
        <f>Master!N211</f>
        <v>187.70000000000016</v>
      </c>
      <c r="I1042" s="718">
        <f>Master!O211</f>
        <v>197</v>
      </c>
      <c r="J1042" s="718">
        <f ca="1">Master!P211</f>
        <v>16.464687652834982</v>
      </c>
      <c r="O1042" s="708"/>
      <c r="P1042" s="708"/>
      <c r="Q1042" s="704"/>
    </row>
    <row r="1043" spans="2:17" ht="15.75">
      <c r="B1043" s="705"/>
      <c r="C1043" s="41"/>
      <c r="D1043" s="41"/>
      <c r="E1043" s="41"/>
      <c r="F1043" s="41"/>
      <c r="G1043" s="41"/>
      <c r="H1043" s="41"/>
      <c r="I1043" s="41"/>
      <c r="J1043" s="41"/>
      <c r="O1043" s="703"/>
      <c r="P1043" s="703"/>
      <c r="Q1043" s="705"/>
    </row>
    <row r="1044" spans="2:17" ht="15.75">
      <c r="B1044" s="705" t="str">
        <f>Master!B214</f>
        <v>Acquisitions</v>
      </c>
      <c r="C1044" s="40">
        <f>Master!I214</f>
        <v>-38</v>
      </c>
      <c r="D1044" s="40">
        <f>Master!J214</f>
        <v>-269</v>
      </c>
      <c r="E1044" s="40">
        <f>Master!K214</f>
        <v>-57</v>
      </c>
      <c r="F1044" s="40">
        <f>Master!L214</f>
        <v>-1950</v>
      </c>
      <c r="G1044" s="40">
        <f>Master!M214</f>
        <v>-500</v>
      </c>
      <c r="H1044" s="40">
        <f>Master!N214</f>
        <v>858</v>
      </c>
      <c r="I1044" s="40">
        <f>Master!O214</f>
        <v>0</v>
      </c>
      <c r="J1044" s="40">
        <f>Master!P214</f>
        <v>95</v>
      </c>
      <c r="O1044" s="27"/>
      <c r="P1044" s="27"/>
      <c r="Q1044" s="705"/>
    </row>
    <row r="1045" spans="2:17" ht="15.75">
      <c r="B1045" s="705" t="str">
        <f>Master!B215</f>
        <v>Share buybacks</v>
      </c>
      <c r="C1045" s="40">
        <f>Master!I215</f>
        <v>-50</v>
      </c>
      <c r="D1045" s="40">
        <f>Master!J215</f>
        <v>0</v>
      </c>
      <c r="E1045" s="40">
        <f>Master!K215</f>
        <v>0</v>
      </c>
      <c r="F1045" s="40">
        <f>Master!L215</f>
        <v>-10.67</v>
      </c>
      <c r="G1045" s="40">
        <f>Master!M215</f>
        <v>-65</v>
      </c>
      <c r="H1045" s="40">
        <f>Master!N215</f>
        <v>-183.35</v>
      </c>
      <c r="I1045" s="40">
        <f>Master!O215</f>
        <v>-100.10000000000001</v>
      </c>
      <c r="J1045" s="40">
        <f>Master!P215</f>
        <v>-150</v>
      </c>
      <c r="O1045" s="27"/>
      <c r="P1045" s="27"/>
      <c r="Q1045" s="705"/>
    </row>
    <row r="1046" spans="2:17" ht="15.75">
      <c r="B1046" s="22" t="str">
        <f>Master!B216</f>
        <v>Vendor financing balance</v>
      </c>
      <c r="C1046" s="40">
        <f>Master!I216</f>
        <v>-88.5</v>
      </c>
      <c r="D1046" s="40">
        <f>Master!J216</f>
        <v>1.8000000000000114</v>
      </c>
      <c r="E1046" s="40">
        <f>Master!K216</f>
        <v>-10</v>
      </c>
      <c r="F1046" s="40">
        <f>Master!L216</f>
        <v>-0.5</v>
      </c>
      <c r="G1046" s="40">
        <f>Master!M216</f>
        <v>68.3</v>
      </c>
      <c r="H1046" s="40">
        <f>Master!N216</f>
        <v>-50.2</v>
      </c>
      <c r="I1046" s="40">
        <f>Master!O216</f>
        <v>0</v>
      </c>
      <c r="J1046" s="40">
        <f>Master!P216</f>
        <v>-30.096599362274787</v>
      </c>
      <c r="O1046" s="27"/>
      <c r="P1046" s="27"/>
      <c r="Q1046" s="22"/>
    </row>
    <row r="1047" spans="2:17" ht="15.75">
      <c r="B1047" s="19" t="str">
        <f>Master!B217</f>
        <v>Change in net debt</v>
      </c>
      <c r="C1047" s="718">
        <f>Master!I217</f>
        <v>-289.0462392108509</v>
      </c>
      <c r="D1047" s="718">
        <f>Master!J217</f>
        <v>-247.7999999999999</v>
      </c>
      <c r="E1047" s="718">
        <f>Master!K217</f>
        <v>156.30000000000018</v>
      </c>
      <c r="F1047" s="718">
        <f>Master!L217</f>
        <v>-1815.37</v>
      </c>
      <c r="G1047" s="718">
        <f>Master!M217</f>
        <v>-296.89999999999992</v>
      </c>
      <c r="H1047" s="718">
        <f>Master!N217</f>
        <v>812.1500000000002</v>
      </c>
      <c r="I1047" s="718">
        <f>Master!O217</f>
        <v>96.899999999999991</v>
      </c>
      <c r="J1047" s="718">
        <f ca="1">Master!P217</f>
        <v>-68.631911709439805</v>
      </c>
      <c r="O1047" s="708"/>
      <c r="P1047" s="708"/>
      <c r="Q1047" s="19"/>
    </row>
    <row r="1048" spans="2:17" ht="15.75">
      <c r="B1048" s="19"/>
      <c r="C1048" s="41"/>
      <c r="D1048" s="41"/>
      <c r="E1048" s="41"/>
      <c r="F1048" s="41"/>
      <c r="G1048" s="41"/>
      <c r="H1048" s="41"/>
      <c r="I1048" s="41"/>
      <c r="J1048" s="41"/>
      <c r="O1048" s="703"/>
      <c r="P1048" s="703"/>
      <c r="Q1048" s="19"/>
    </row>
    <row r="1049" spans="2:17" ht="15.75">
      <c r="B1049" s="19" t="str">
        <f>Master!B219</f>
        <v>Net debt start period</v>
      </c>
      <c r="C1049" s="41">
        <f ca="1">Master!I219</f>
        <v>5453.4999999999991</v>
      </c>
      <c r="D1049" s="41">
        <f>Master!J219</f>
        <v>5985.1</v>
      </c>
      <c r="E1049" s="41">
        <f>Master!K219</f>
        <v>6066</v>
      </c>
      <c r="F1049" s="41">
        <f>Master!L219</f>
        <v>6060.1</v>
      </c>
      <c r="G1049" s="41">
        <f>Master!M219</f>
        <v>7781.4</v>
      </c>
      <c r="H1049" s="41">
        <f>Master!N219</f>
        <v>8078.2999999999993</v>
      </c>
      <c r="I1049" s="41">
        <f>Master!O219</f>
        <v>7193.7000000000007</v>
      </c>
      <c r="J1049" s="41">
        <f>Master!P219</f>
        <v>7096.8000000000011</v>
      </c>
      <c r="O1049" s="20"/>
      <c r="P1049" s="20"/>
      <c r="Q1049" s="19"/>
    </row>
    <row r="1050" spans="2:17" ht="15.75">
      <c r="B1050" s="22" t="str">
        <f>Master!B220</f>
        <v>Change in debt</v>
      </c>
      <c r="C1050" s="40">
        <f>Master!I220</f>
        <v>-289.0462392108509</v>
      </c>
      <c r="D1050" s="40">
        <f>Master!J220</f>
        <v>-247.7999999999999</v>
      </c>
      <c r="E1050" s="40">
        <f>Master!K220</f>
        <v>156.30000000000018</v>
      </c>
      <c r="F1050" s="40">
        <f>Master!L220</f>
        <v>-1815.37</v>
      </c>
      <c r="G1050" s="40">
        <f>Master!M220</f>
        <v>-296.89999999999992</v>
      </c>
      <c r="H1050" s="40">
        <f>Master!N220</f>
        <v>812.1500000000002</v>
      </c>
      <c r="I1050" s="40">
        <f>Master!O220</f>
        <v>96.899999999999991</v>
      </c>
      <c r="J1050" s="40">
        <f ca="1">Master!P220</f>
        <v>-68.631911709439805</v>
      </c>
      <c r="O1050" s="27"/>
      <c r="P1050" s="27"/>
      <c r="Q1050" s="22"/>
    </row>
    <row r="1051" spans="2:17" ht="15.75">
      <c r="B1051" s="19" t="str">
        <f>Master!B221</f>
        <v>Net debt end period</v>
      </c>
      <c r="C1051" s="41">
        <f>Master!I221</f>
        <v>5985.1</v>
      </c>
      <c r="D1051" s="41">
        <f>Master!J221</f>
        <v>6066</v>
      </c>
      <c r="E1051" s="41">
        <f>Master!K221</f>
        <v>6060.1</v>
      </c>
      <c r="F1051" s="41">
        <f>Master!L221</f>
        <v>7781.4</v>
      </c>
      <c r="G1051" s="41">
        <f>Master!M221</f>
        <v>8078.2999999999993</v>
      </c>
      <c r="H1051" s="41">
        <f>Master!N221</f>
        <v>7193.7000000000007</v>
      </c>
      <c r="I1051" s="41">
        <f>Master!O221</f>
        <v>7096.8000000000011</v>
      </c>
      <c r="J1051" s="41">
        <f ca="1">Master!P221</f>
        <v>7165.431911709441</v>
      </c>
      <c r="O1051" s="20"/>
      <c r="P1051" s="20"/>
      <c r="Q1051" s="19"/>
    </row>
    <row r="1052" spans="2:17" ht="15.75">
      <c r="B1052" s="22" t="str">
        <f>Master!B222</f>
        <v>Net debt to EBITDA</v>
      </c>
      <c r="C1052" s="710">
        <f>Master!I222</f>
        <v>4.3779533318703834</v>
      </c>
      <c r="D1052" s="710">
        <f>Master!J222</f>
        <v>4.2942951047739673</v>
      </c>
      <c r="E1052" s="710">
        <f>Master!K222</f>
        <v>4.0226352472618654</v>
      </c>
      <c r="F1052" s="710">
        <f>Master!L222</f>
        <v>5.2399999999999993</v>
      </c>
      <c r="G1052" s="710">
        <f>Master!M222</f>
        <v>4.4423033288589355</v>
      </c>
      <c r="H1052" s="710">
        <f>Master!N222</f>
        <v>4.1872526193247968</v>
      </c>
      <c r="I1052" s="710">
        <f>Master!O222</f>
        <v>4.1706629055007065</v>
      </c>
      <c r="J1052" s="710">
        <f ca="1">Master!P222</f>
        <v>4.5376710133347595</v>
      </c>
      <c r="O1052" s="710"/>
      <c r="P1052" s="710"/>
      <c r="Q1052" s="22"/>
    </row>
    <row r="1053" spans="2:17" ht="15.75">
      <c r="O1053" s="33"/>
      <c r="P1053" s="33"/>
      <c r="Q1053" s="18"/>
    </row>
    <row r="1054" spans="2:17" ht="15.75">
      <c r="C1054">
        <v>2016</v>
      </c>
      <c r="O1054" s="703"/>
      <c r="P1054" s="703"/>
      <c r="Q1054" s="19"/>
    </row>
    <row r="1055" spans="2:17" ht="15.75">
      <c r="B1055" t="s">
        <v>2844</v>
      </c>
      <c r="C1055">
        <f>'New quarts'!$K$84+'New quarts'!$L$84+'New quarts'!$M$84+'New quarts'!$N$84</f>
        <v>912.4</v>
      </c>
      <c r="O1055" s="703"/>
      <c r="P1055" s="703"/>
      <c r="Q1055" s="19"/>
    </row>
    <row r="1056" spans="2:17" ht="15.75">
      <c r="O1056" s="20"/>
      <c r="P1056" s="20"/>
      <c r="Q1056" s="704"/>
    </row>
    <row r="1057" spans="2:17" ht="15.75">
      <c r="O1057" s="20"/>
      <c r="P1057" s="20"/>
      <c r="Q1057" s="704"/>
    </row>
    <row r="1058" spans="2:17" ht="15.75">
      <c r="B1058" t="s">
        <v>32</v>
      </c>
      <c r="C1058">
        <v>2014</v>
      </c>
      <c r="D1058">
        <v>2015</v>
      </c>
      <c r="E1058">
        <v>2016</v>
      </c>
      <c r="O1058" s="27"/>
      <c r="P1058" s="27"/>
      <c r="Q1058" s="705"/>
    </row>
    <row r="1059" spans="2:17" ht="15.75">
      <c r="B1059" t="s">
        <v>2845</v>
      </c>
      <c r="C1059">
        <v>6674</v>
      </c>
      <c r="D1059">
        <v>8698</v>
      </c>
      <c r="E1059" s="16">
        <f>D1059*(1+G1059)</f>
        <v>10437.6</v>
      </c>
      <c r="F1059" s="5">
        <f>D1059/C1059-1</f>
        <v>0.30326640695235252</v>
      </c>
      <c r="G1059" s="34">
        <v>0.2</v>
      </c>
      <c r="O1059" s="27"/>
      <c r="P1059" s="27"/>
      <c r="Q1059" s="705"/>
    </row>
    <row r="1060" spans="2:17" ht="15.75">
      <c r="B1060" t="s">
        <v>2846</v>
      </c>
      <c r="C1060">
        <v>2336</v>
      </c>
      <c r="D1060">
        <v>2722</v>
      </c>
      <c r="E1060" s="16">
        <f>D1060*(1+G1060)</f>
        <v>2939.76</v>
      </c>
      <c r="F1060" s="5">
        <f>D1060/C1060-1</f>
        <v>0.16523972602739723</v>
      </c>
      <c r="G1060" s="34">
        <v>0.08</v>
      </c>
      <c r="O1060" s="21"/>
      <c r="P1060" s="21"/>
      <c r="Q1060" s="705"/>
    </row>
    <row r="1061" spans="2:17" ht="15.75">
      <c r="B1061" t="s">
        <v>7</v>
      </c>
      <c r="C1061">
        <v>6483</v>
      </c>
      <c r="D1061">
        <v>6535</v>
      </c>
      <c r="E1061" s="16">
        <f>D1061*(1+G1061)</f>
        <v>6273.5999999999995</v>
      </c>
      <c r="F1061" s="5">
        <f>D1061/C1061-1</f>
        <v>8.0209779423106031E-3</v>
      </c>
      <c r="G1061" s="34">
        <v>-0.04</v>
      </c>
      <c r="O1061" s="20"/>
      <c r="P1061" s="20"/>
      <c r="Q1061" s="705"/>
    </row>
    <row r="1062" spans="2:17" ht="15.75">
      <c r="B1062" s="3" t="s">
        <v>2847</v>
      </c>
      <c r="C1062" s="3">
        <v>2950</v>
      </c>
      <c r="D1062" s="3">
        <v>3637</v>
      </c>
      <c r="E1062" s="64">
        <f>E1063-E1059-E1060-E1061</f>
        <v>4532.0800000000008</v>
      </c>
      <c r="F1062" s="512">
        <f>D1062/C1062-1</f>
        <v>0.23288135593220338</v>
      </c>
      <c r="G1062" s="5">
        <f>E1062/D1062-1</f>
        <v>0.24610393181193313</v>
      </c>
      <c r="O1062" s="20"/>
      <c r="P1062" s="20"/>
      <c r="Q1062" s="704"/>
    </row>
    <row r="1063" spans="2:17" ht="15.75">
      <c r="C1063">
        <f>SUM(C1059:C1062)</f>
        <v>18443</v>
      </c>
      <c r="D1063">
        <f>SUM(D1059:D1062)</f>
        <v>21592</v>
      </c>
      <c r="E1063" s="16">
        <f>D1063*(1+G1063)</f>
        <v>24183.040000000001</v>
      </c>
      <c r="F1063" s="5">
        <f>D1063/C1063-1</f>
        <v>0.17074228704657601</v>
      </c>
      <c r="G1063" s="34">
        <v>0.12</v>
      </c>
      <c r="O1063" s="703"/>
      <c r="P1063" s="703"/>
      <c r="Q1063" s="705"/>
    </row>
    <row r="1064" spans="2:17" ht="15.75">
      <c r="O1064" s="20"/>
      <c r="P1064" s="20"/>
      <c r="Q1064" s="704"/>
    </row>
    <row r="1065" spans="2:17" ht="15.75">
      <c r="E1065" s="5">
        <f>E1059/E1063</f>
        <v>0.43160826761234322</v>
      </c>
      <c r="O1065" s="27"/>
      <c r="P1065" s="27"/>
      <c r="Q1065" s="705"/>
    </row>
    <row r="1066" spans="2:17" ht="15.75">
      <c r="O1066" s="27"/>
      <c r="P1066" s="27"/>
      <c r="Q1066" s="705"/>
    </row>
    <row r="1067" spans="2:17" ht="15.75">
      <c r="B1067" s="3" t="s">
        <v>1424</v>
      </c>
      <c r="C1067" s="3">
        <v>2016</v>
      </c>
      <c r="D1067" s="3">
        <v>2017</v>
      </c>
      <c r="E1067" s="3">
        <f>D1067+1</f>
        <v>2018</v>
      </c>
      <c r="F1067" s="3">
        <f>E1067+1</f>
        <v>2019</v>
      </c>
      <c r="G1067" s="3">
        <f>F1067+1</f>
        <v>2020</v>
      </c>
      <c r="O1067" s="27"/>
      <c r="P1067" s="27"/>
      <c r="Q1067" s="705"/>
    </row>
    <row r="1068" spans="2:17" ht="15.75">
      <c r="B1068" t="s">
        <v>557</v>
      </c>
      <c r="C1068" s="6">
        <f>VTR!Q4/VTR!P4-1</f>
        <v>5.0661440470357588E-2</v>
      </c>
      <c r="D1068" s="6">
        <f>VTR!R4/VTR!Q4-1</f>
        <v>5.5369023192190392E-2</v>
      </c>
      <c r="E1068" s="6">
        <f>VTR!S4/VTR!R4-1</f>
        <v>3.6232951365363641E-2</v>
      </c>
      <c r="F1068" s="6">
        <f>VTR!T4/VTR!S4-1</f>
        <v>1.1371066321744339E-2</v>
      </c>
      <c r="G1068" s="6">
        <f>VTR!U4/VTR!T4-1</f>
        <v>1.1243218933580712E-2</v>
      </c>
      <c r="O1068" s="27"/>
      <c r="P1068" s="27"/>
      <c r="Q1068" s="705"/>
    </row>
    <row r="1069" spans="2:17" ht="15.75">
      <c r="B1069" t="s">
        <v>15</v>
      </c>
      <c r="C1069" s="6">
        <f>VTR!Q57/VTR!P57-1</f>
        <v>6.045662100456628E-2</v>
      </c>
      <c r="D1069" s="6">
        <f>VTR!R57/VTR!Q57-1</f>
        <v>6.3727178780571769E-2</v>
      </c>
      <c r="E1069" s="6">
        <f>VTR!S57/VTR!R57-1</f>
        <v>5.1324622733160519E-2</v>
      </c>
      <c r="F1069" s="6">
        <f ca="1">VTR!T57/VTR!S57-1</f>
        <v>4.960902544407042E-2</v>
      </c>
      <c r="G1069" s="6">
        <f ca="1">VTR!U57/VTR!T57-1</f>
        <v>4.5116119732044213E-2</v>
      </c>
      <c r="O1069" s="27"/>
      <c r="P1069" s="27"/>
      <c r="Q1069" s="705"/>
    </row>
    <row r="1070" spans="2:17" ht="15.75">
      <c r="B1070" t="s">
        <v>8</v>
      </c>
      <c r="C1070" s="6">
        <f>VTR!Q153/VTR!P153-1</f>
        <v>6.9062062529164914E-2</v>
      </c>
      <c r="D1070" s="6">
        <f>VTR!R153/VTR!Q153-1</f>
        <v>8.3369707551287586E-2</v>
      </c>
      <c r="E1070" s="6">
        <f>VTR!S153/VTR!R153-1</f>
        <v>5.1285144634509061E-2</v>
      </c>
      <c r="F1070" s="6">
        <f ca="1">VTR!T153/VTR!S153-1</f>
        <v>5.2585449770488069E-2</v>
      </c>
      <c r="G1070" s="6">
        <f ca="1">VTR!U153/VTR!T153-1</f>
        <v>4.9487740081432197E-2</v>
      </c>
      <c r="O1070" s="20"/>
      <c r="P1070" s="20"/>
      <c r="Q1070" s="704"/>
    </row>
    <row r="1071" spans="2:17" ht="15.75">
      <c r="O1071" s="703"/>
      <c r="P1071" s="703"/>
      <c r="Q1071" s="705"/>
    </row>
    <row r="1072" spans="2:17" ht="15.75">
      <c r="O1072" s="27"/>
      <c r="P1072" s="27"/>
      <c r="Q1072" s="705"/>
    </row>
    <row r="1073" spans="2:17" ht="15.75">
      <c r="B1073" s="706"/>
      <c r="C1073" s="3">
        <v>2017</v>
      </c>
      <c r="D1073" s="3">
        <f>C1073+1</f>
        <v>2018</v>
      </c>
      <c r="E1073" s="3">
        <f>D1073+1</f>
        <v>2019</v>
      </c>
      <c r="F1073" s="3">
        <f>E1073+1</f>
        <v>2020</v>
      </c>
      <c r="G1073" s="703"/>
      <c r="H1073" s="27"/>
      <c r="I1073" s="27"/>
      <c r="J1073" s="27"/>
      <c r="K1073" s="27"/>
      <c r="L1073" s="27"/>
      <c r="M1073" s="27"/>
      <c r="N1073" s="27"/>
      <c r="O1073" s="27"/>
      <c r="P1073" s="27"/>
      <c r="Q1073" s="705"/>
    </row>
    <row r="1074" spans="2:17" ht="15.75">
      <c r="B1074" s="705" t="s">
        <v>2850</v>
      </c>
      <c r="C1074" s="16">
        <f>Master!I73</f>
        <v>-25.1</v>
      </c>
      <c r="D1074" s="16">
        <f>Master!J73</f>
        <v>-46.1</v>
      </c>
      <c r="E1074" s="16">
        <f>Master!K73</f>
        <v>-55</v>
      </c>
      <c r="F1074" s="16">
        <f>Master!L73</f>
        <v>-40.339393939394085</v>
      </c>
      <c r="G1074" s="703"/>
      <c r="H1074" s="27"/>
      <c r="I1074" s="27"/>
      <c r="J1074" s="27"/>
      <c r="K1074" s="27"/>
      <c r="L1074" s="27"/>
      <c r="M1074" s="27"/>
      <c r="N1074" s="27"/>
      <c r="O1074" s="27"/>
      <c r="P1074" s="27"/>
      <c r="Q1074" s="705"/>
    </row>
    <row r="1075" spans="2:17" ht="15.75">
      <c r="B1075" s="705" t="s">
        <v>2851</v>
      </c>
      <c r="C1075" s="6">
        <f>C1074/(Master!I91+C1074)</f>
        <v>-1.1439677102773382E-2</v>
      </c>
      <c r="D1075" s="6">
        <f>D1074/(Master!J91+D1074)</f>
        <v>-2.0625517934279622E-2</v>
      </c>
      <c r="E1075" s="6">
        <f>E1074/(Master!K91+E1074)</f>
        <v>-2.385496183206107E-2</v>
      </c>
      <c r="F1075" s="6">
        <f>F1074/(Master!L91+F1074)</f>
        <v>-1.8011387006689392E-2</v>
      </c>
      <c r="G1075" s="703"/>
      <c r="H1075" s="27"/>
      <c r="I1075" s="27"/>
      <c r="J1075" s="27"/>
      <c r="K1075" s="27"/>
      <c r="L1075" s="27"/>
      <c r="M1075" s="27"/>
      <c r="N1075" s="27"/>
      <c r="O1075" s="27"/>
      <c r="P1075" s="27"/>
      <c r="Q1075" s="705"/>
    </row>
    <row r="1077" spans="2:17" ht="15.75">
      <c r="B1077" s="705" t="s">
        <v>2850</v>
      </c>
      <c r="C1077">
        <v>20</v>
      </c>
      <c r="D1077">
        <v>40</v>
      </c>
      <c r="E1077">
        <v>70</v>
      </c>
      <c r="F1077">
        <v>70</v>
      </c>
    </row>
    <row r="1078" spans="2:17" ht="15.75">
      <c r="B1078" s="705" t="s">
        <v>2852</v>
      </c>
      <c r="C1078" s="6">
        <f>C1077/(Master!I121+C1077)</f>
        <v>2.5108398000616098E-2</v>
      </c>
      <c r="D1078" s="6">
        <f>D1077/(Master!J121+D1077)</f>
        <v>4.9297510475720986E-2</v>
      </c>
      <c r="E1078" s="6">
        <f>E1077/(Master!K121+E1077)</f>
        <v>8.7818341487893622E-2</v>
      </c>
      <c r="F1078" s="6">
        <f>F1077/(Master!L121+F1077)</f>
        <v>9.9857346647646214E-2</v>
      </c>
    </row>
    <row r="1093" spans="2:10" ht="15.75">
      <c r="B1093" s="53" t="s">
        <v>2910</v>
      </c>
      <c r="C1093" s="53"/>
      <c r="D1093" s="53"/>
      <c r="E1093" s="53"/>
      <c r="F1093" s="53"/>
      <c r="G1093" s="53"/>
      <c r="H1093" s="53"/>
      <c r="I1093" s="53"/>
      <c r="J1093" s="53"/>
    </row>
    <row r="1094" spans="2:10" ht="15.75">
      <c r="B1094" s="53"/>
      <c r="C1094" s="53"/>
      <c r="D1094" s="53"/>
      <c r="E1094" s="53"/>
      <c r="F1094" s="53"/>
      <c r="G1094" s="53"/>
      <c r="H1094" s="53"/>
      <c r="I1094" s="53"/>
      <c r="J1094" s="53"/>
    </row>
    <row r="1095" spans="2:10" ht="15.75">
      <c r="B1095" s="58" t="s">
        <v>1422</v>
      </c>
      <c r="C1095" s="53"/>
      <c r="D1095" s="53"/>
      <c r="E1095" s="53"/>
      <c r="F1095" s="53"/>
      <c r="G1095" s="58" t="s">
        <v>1012</v>
      </c>
      <c r="H1095" s="53"/>
      <c r="I1095" s="53"/>
      <c r="J1095" s="53"/>
    </row>
    <row r="1096" spans="2:10" ht="15.75">
      <c r="B1096" s="636" t="s">
        <v>2353</v>
      </c>
      <c r="C1096" s="636">
        <v>2017</v>
      </c>
      <c r="D1096" s="636">
        <f>C1096+1</f>
        <v>2018</v>
      </c>
      <c r="E1096" s="636">
        <f>D1096+1</f>
        <v>2019</v>
      </c>
      <c r="F1096" s="53"/>
      <c r="G1096" s="636" t="s">
        <v>2353</v>
      </c>
      <c r="H1096" s="636">
        <v>2017</v>
      </c>
      <c r="I1096" s="636">
        <f>H1096+1</f>
        <v>2018</v>
      </c>
      <c r="J1096" s="636">
        <f>I1096+1</f>
        <v>2019</v>
      </c>
    </row>
    <row r="1097" spans="2:10" ht="15.75">
      <c r="B1097" s="53" t="s">
        <v>15</v>
      </c>
      <c r="C1097" s="630">
        <f>Master!I3</f>
        <v>3586.3178736517721</v>
      </c>
      <c r="D1097" s="630">
        <f>Master!J3</f>
        <v>3693.7671488858091</v>
      </c>
      <c r="E1097" s="630">
        <f>Master!K3</f>
        <v>3867.1</v>
      </c>
      <c r="F1097" s="53"/>
      <c r="G1097" s="53" t="s">
        <v>15</v>
      </c>
      <c r="H1097" s="630">
        <v>3701.0818349504966</v>
      </c>
      <c r="I1097" s="630">
        <v>3802.1854741858001</v>
      </c>
      <c r="J1097" s="630">
        <v>3937.9003837133532</v>
      </c>
    </row>
    <row r="1098" spans="2:10" ht="15.75">
      <c r="B1098" s="53" t="s">
        <v>8</v>
      </c>
      <c r="C1098" s="630">
        <f>Master!I6</f>
        <v>1367.1</v>
      </c>
      <c r="D1098" s="630">
        <f>Master!J6</f>
        <v>1412.5717613715995</v>
      </c>
      <c r="E1098" s="630">
        <f>Master!K6</f>
        <v>1506.5</v>
      </c>
      <c r="F1098" s="53"/>
      <c r="G1098" s="53" t="s">
        <v>8</v>
      </c>
      <c r="H1098" s="630">
        <v>1484.4480516881574</v>
      </c>
      <c r="I1098" s="630">
        <v>1586.9277859670017</v>
      </c>
      <c r="J1098" s="630">
        <v>1668.0827084494326</v>
      </c>
    </row>
    <row r="1099" spans="2:10" ht="15.75">
      <c r="B1099" s="53"/>
      <c r="C1099" s="630"/>
      <c r="D1099" s="630"/>
      <c r="E1099" s="630"/>
      <c r="F1099" s="53"/>
      <c r="G1099" s="53"/>
      <c r="H1099" s="630"/>
      <c r="I1099" s="630"/>
      <c r="J1099" s="630"/>
    </row>
    <row r="1100" spans="2:10" ht="15.75">
      <c r="B1100" s="53" t="s">
        <v>19</v>
      </c>
      <c r="C1100" s="630">
        <f>Master!I121</f>
        <v>776.5462392108509</v>
      </c>
      <c r="D1100" s="630">
        <f>Master!J121</f>
        <v>771.39999999999986</v>
      </c>
      <c r="E1100" s="630">
        <f>Master!K121</f>
        <v>727.09999999999991</v>
      </c>
      <c r="F1100" s="53"/>
      <c r="G1100" s="53" t="s">
        <v>19</v>
      </c>
      <c r="H1100" s="630">
        <v>783.53564817704228</v>
      </c>
      <c r="I1100" s="630">
        <v>760.24207738411417</v>
      </c>
      <c r="J1100" s="630">
        <v>751.90959246880459</v>
      </c>
    </row>
    <row r="1101" spans="2:10" ht="15.75">
      <c r="B1101" s="53" t="s">
        <v>27</v>
      </c>
      <c r="C1101" s="630">
        <f>C1098-C1100</f>
        <v>590.55376078914901</v>
      </c>
      <c r="D1101" s="630">
        <f>D1098-D1100</f>
        <v>641.17176137159959</v>
      </c>
      <c r="E1101" s="630">
        <f>E1098-E1100</f>
        <v>779.40000000000009</v>
      </c>
      <c r="F1101" s="53"/>
      <c r="G1101" s="53" t="s">
        <v>27</v>
      </c>
      <c r="H1101" s="630">
        <f>H1098-H1100</f>
        <v>700.91240351111514</v>
      </c>
      <c r="I1101" s="630">
        <f>I1098-I1100</f>
        <v>826.68570858288751</v>
      </c>
      <c r="J1101" s="630">
        <f>J1098-J1100</f>
        <v>916.17311598062804</v>
      </c>
    </row>
    <row r="1102" spans="2:10" ht="15.75">
      <c r="B1102" s="53"/>
      <c r="C1102" s="630"/>
      <c r="D1102" s="630"/>
      <c r="E1102" s="630"/>
      <c r="F1102" s="53"/>
      <c r="G1102" s="53"/>
      <c r="H1102" s="630"/>
      <c r="I1102" s="630"/>
      <c r="J1102" s="630"/>
    </row>
    <row r="1103" spans="2:10" ht="15.75">
      <c r="B1103" s="53" t="s">
        <v>2911</v>
      </c>
      <c r="C1103" s="630">
        <f>Master!I201</f>
        <v>573.9</v>
      </c>
      <c r="D1103" s="630">
        <f>Master!J201</f>
        <v>816.8</v>
      </c>
      <c r="E1103" s="630">
        <f>Master!K201</f>
        <v>918.2</v>
      </c>
      <c r="F1103" s="53"/>
      <c r="G1103" s="53" t="s">
        <v>2911</v>
      </c>
      <c r="H1103" s="630">
        <v>800.06313973649617</v>
      </c>
      <c r="I1103" s="630">
        <v>1016.6307810242328</v>
      </c>
      <c r="J1103" s="630">
        <v>1133.8166858176141</v>
      </c>
    </row>
    <row r="1104" spans="2:10" ht="15.75">
      <c r="B1104" s="53" t="s">
        <v>2912</v>
      </c>
      <c r="C1104" s="630">
        <f>Master!I211</f>
        <v>-112.5462392108509</v>
      </c>
      <c r="D1104" s="630">
        <f>Master!J211</f>
        <v>19.400000000000091</v>
      </c>
      <c r="E1104" s="630">
        <f>Master!K211</f>
        <v>223.30000000000018</v>
      </c>
      <c r="F1104" s="53"/>
      <c r="G1104" s="53" t="s">
        <v>2912</v>
      </c>
      <c r="H1104" s="630">
        <v>57.145699895387679</v>
      </c>
      <c r="I1104" s="630">
        <v>415.02354959974127</v>
      </c>
      <c r="J1104" s="630">
        <v>553.74037288468264</v>
      </c>
    </row>
    <row r="1105" spans="2:10" ht="15.75">
      <c r="B1105" s="53" t="s">
        <v>2913</v>
      </c>
      <c r="C1105" s="630">
        <f>Valuation!H28</f>
        <v>93.865019728729806</v>
      </c>
      <c r="D1105" s="630">
        <f>Valuation!I28</f>
        <v>78.306080118971721</v>
      </c>
      <c r="E1105" s="630">
        <f>Valuation!J28</f>
        <v>142.40066666666672</v>
      </c>
      <c r="F1105" s="53"/>
      <c r="G1105" s="53" t="s">
        <v>2913</v>
      </c>
      <c r="H1105" s="630">
        <v>71.242097395125398</v>
      </c>
      <c r="I1105" s="630">
        <v>240.97707757918823</v>
      </c>
      <c r="J1105" s="630">
        <v>325.34243804714151</v>
      </c>
    </row>
    <row r="1106" spans="2:10" ht="15.75">
      <c r="B1106" s="53"/>
      <c r="C1106" s="53"/>
      <c r="D1106" s="53"/>
      <c r="E1106" s="53"/>
      <c r="F1106" s="53"/>
      <c r="G1106" s="53"/>
      <c r="H1106" s="53"/>
      <c r="I1106" s="53"/>
      <c r="J1106" s="53"/>
    </row>
    <row r="1107" spans="2:10" ht="15.75">
      <c r="B1107" s="58" t="s">
        <v>158</v>
      </c>
      <c r="C1107" s="53"/>
      <c r="D1107" s="53"/>
      <c r="E1107" s="53"/>
      <c r="F1107" s="53"/>
      <c r="G1107" s="53"/>
      <c r="H1107" s="53"/>
      <c r="I1107" s="53"/>
      <c r="J1107" s="53"/>
    </row>
    <row r="1108" spans="2:10" ht="15.75">
      <c r="B1108" s="636" t="s">
        <v>2353</v>
      </c>
      <c r="C1108" s="636">
        <v>2017</v>
      </c>
      <c r="D1108" s="636">
        <f>C1108+1</f>
        <v>2018</v>
      </c>
      <c r="E1108" s="636">
        <f>D1108+1</f>
        <v>2019</v>
      </c>
      <c r="F1108" s="53"/>
      <c r="G1108" s="53"/>
      <c r="H1108" s="53"/>
      <c r="I1108" s="53"/>
      <c r="J1108" s="53"/>
    </row>
    <row r="1109" spans="2:10" ht="15.75">
      <c r="B1109" s="53" t="s">
        <v>15</v>
      </c>
      <c r="C1109" s="54">
        <f t="shared" ref="C1109:E1110" si="48">C1097/H1097-1</f>
        <v>-3.1008220411386733E-2</v>
      </c>
      <c r="D1109" s="54">
        <f t="shared" si="48"/>
        <v>-2.8514738703852349E-2</v>
      </c>
      <c r="E1109" s="54">
        <f t="shared" si="48"/>
        <v>-1.7979221619260466E-2</v>
      </c>
      <c r="F1109" s="53"/>
      <c r="G1109" s="53"/>
      <c r="H1109" s="53"/>
      <c r="I1109" s="53"/>
      <c r="J1109" s="53"/>
    </row>
    <row r="1110" spans="2:10" ht="15.75">
      <c r="B1110" s="53" t="s">
        <v>8</v>
      </c>
      <c r="C1110" s="54">
        <f t="shared" si="48"/>
        <v>-7.9051639129241291E-2</v>
      </c>
      <c r="D1110" s="54">
        <f t="shared" si="48"/>
        <v>-0.10987016935314264</v>
      </c>
      <c r="E1110" s="54">
        <f t="shared" si="48"/>
        <v>-9.6867324162620227E-2</v>
      </c>
      <c r="F1110" s="53"/>
      <c r="G1110" s="53"/>
      <c r="H1110" s="53"/>
      <c r="I1110" s="53"/>
      <c r="J1110" s="53"/>
    </row>
    <row r="1111" spans="2:10" ht="15.75">
      <c r="B1111" s="53"/>
      <c r="C1111" s="630"/>
      <c r="D1111" s="630"/>
      <c r="E1111" s="630"/>
      <c r="F1111" s="53"/>
      <c r="G1111" s="53"/>
      <c r="H1111" s="53"/>
      <c r="I1111" s="53"/>
      <c r="J1111" s="53"/>
    </row>
    <row r="1112" spans="2:10" ht="15.75">
      <c r="B1112" s="53" t="s">
        <v>19</v>
      </c>
      <c r="C1112" s="54">
        <f t="shared" ref="C1112:E1113" si="49">C1100/H1100-1</f>
        <v>-8.9203458482748355E-3</v>
      </c>
      <c r="D1112" s="54">
        <f t="shared" si="49"/>
        <v>1.4676802228940744E-2</v>
      </c>
      <c r="E1112" s="54">
        <f t="shared" si="49"/>
        <v>-3.2995446151106278E-2</v>
      </c>
      <c r="F1112" s="53"/>
      <c r="G1112" s="53"/>
      <c r="H1112" s="53"/>
      <c r="I1112" s="53"/>
      <c r="J1112" s="53"/>
    </row>
    <row r="1113" spans="2:10" ht="15.75">
      <c r="B1113" s="53" t="s">
        <v>27</v>
      </c>
      <c r="C1113" s="54">
        <f t="shared" si="49"/>
        <v>-0.15744997829848795</v>
      </c>
      <c r="D1113" s="54">
        <f t="shared" si="49"/>
        <v>-0.22440686379990493</v>
      </c>
      <c r="E1113" s="54">
        <f t="shared" si="49"/>
        <v>-0.14928741478539509</v>
      </c>
      <c r="F1113" s="53"/>
      <c r="G1113" s="53"/>
      <c r="H1113" s="53"/>
      <c r="I1113" s="53"/>
      <c r="J1113" s="53"/>
    </row>
    <row r="1114" spans="2:10" ht="15.75">
      <c r="B1114" s="53"/>
      <c r="C1114" s="630"/>
      <c r="D1114" s="630"/>
      <c r="E1114" s="630"/>
      <c r="F1114" s="53"/>
      <c r="G1114" s="53"/>
      <c r="H1114" s="53"/>
      <c r="I1114" s="53"/>
      <c r="J1114" s="53"/>
    </row>
    <row r="1115" spans="2:10" ht="15.75">
      <c r="B1115" s="53" t="s">
        <v>2911</v>
      </c>
      <c r="C1115" s="54">
        <f t="shared" ref="C1115:E1117" si="50">C1103/H1103-1</f>
        <v>-0.28268161411733561</v>
      </c>
      <c r="D1115" s="54">
        <f t="shared" si="50"/>
        <v>-0.19656180469266116</v>
      </c>
      <c r="E1115" s="54">
        <f t="shared" si="50"/>
        <v>-0.19016891223657495</v>
      </c>
      <c r="F1115" s="53"/>
      <c r="G1115" s="53"/>
      <c r="H1115" s="53"/>
      <c r="I1115" s="53"/>
      <c r="J1115" s="53"/>
    </row>
    <row r="1116" spans="2:10" ht="15.75">
      <c r="B1116" s="53" t="s">
        <v>2912</v>
      </c>
      <c r="C1116" s="54">
        <f t="shared" si="50"/>
        <v>-2.9694612091002615</v>
      </c>
      <c r="D1116" s="54">
        <f t="shared" si="50"/>
        <v>-0.95325566460334621</v>
      </c>
      <c r="E1116" s="54">
        <f t="shared" si="50"/>
        <v>-0.59674242490803042</v>
      </c>
      <c r="F1116" s="53"/>
      <c r="G1116" s="53"/>
      <c r="H1116" s="53"/>
      <c r="I1116" s="53"/>
      <c r="J1116" s="53"/>
    </row>
    <row r="1117" spans="2:10" ht="15.75">
      <c r="B1117" s="53" t="s">
        <v>2913</v>
      </c>
      <c r="C1117" s="54">
        <f t="shared" si="50"/>
        <v>0.31754992007229044</v>
      </c>
      <c r="D1117" s="54">
        <f t="shared" si="50"/>
        <v>-0.67504759827938687</v>
      </c>
      <c r="E1117" s="54">
        <f t="shared" si="50"/>
        <v>-0.56230528202400354</v>
      </c>
      <c r="F1117" s="53"/>
      <c r="G1117" s="53"/>
      <c r="H1117" s="53"/>
      <c r="I1117" s="53"/>
      <c r="J1117" s="53"/>
    </row>
    <row r="1118" spans="2:10" ht="15.75">
      <c r="B1118" s="53"/>
      <c r="C1118" s="53"/>
      <c r="D1118" s="53"/>
      <c r="E1118" s="53"/>
      <c r="F1118" s="53"/>
      <c r="G1118" s="53"/>
      <c r="H1118" s="53"/>
      <c r="I1118" s="53"/>
      <c r="J1118" s="53"/>
    </row>
    <row r="1119" spans="2:10" ht="15.75">
      <c r="B1119" s="50"/>
      <c r="C1119" s="50">
        <f>2016</f>
        <v>2016</v>
      </c>
      <c r="D1119" s="50">
        <f>C1119+1</f>
        <v>2017</v>
      </c>
      <c r="E1119" s="50">
        <f>D1119+1</f>
        <v>2018</v>
      </c>
      <c r="F1119" s="50">
        <f>E1119+1</f>
        <v>2019</v>
      </c>
      <c r="G1119" s="50">
        <f>F1119+1</f>
        <v>2020</v>
      </c>
      <c r="H1119" s="53"/>
      <c r="I1119" s="53"/>
      <c r="J1119" s="53"/>
    </row>
    <row r="1120" spans="2:10" ht="15.75">
      <c r="B1120" s="53" t="s">
        <v>3012</v>
      </c>
      <c r="C1120" s="53"/>
      <c r="D1120" s="53"/>
      <c r="E1120" s="53"/>
      <c r="F1120" s="53"/>
      <c r="G1120" s="53"/>
      <c r="H1120" s="53"/>
      <c r="I1120" s="53"/>
      <c r="J1120" s="53"/>
    </row>
    <row r="1121" spans="2:11" ht="15.75">
      <c r="B1121" s="53" t="s">
        <v>20</v>
      </c>
      <c r="C1121" s="56">
        <f>Master!H136</f>
        <v>0</v>
      </c>
      <c r="D1121" s="56">
        <f>Master!I136</f>
        <v>0.21653023144324121</v>
      </c>
      <c r="E1121" s="56">
        <f>Master!J136</f>
        <v>0.20883828593058054</v>
      </c>
      <c r="F1121" s="56">
        <f>Master!K136</f>
        <v>0.18802203201365361</v>
      </c>
      <c r="G1121" s="56">
        <f>Master!L136</f>
        <v>0.16759628154050465</v>
      </c>
      <c r="H1121" s="53"/>
      <c r="I1121" s="53"/>
      <c r="J1121" s="53"/>
    </row>
    <row r="1122" spans="2:11" ht="15.75">
      <c r="B1122" s="53"/>
      <c r="C1122" s="53"/>
      <c r="D1122" s="53"/>
      <c r="E1122" s="53"/>
      <c r="F1122" s="53"/>
      <c r="G1122" s="53"/>
      <c r="H1122" s="53"/>
      <c r="I1122" s="53"/>
      <c r="J1122" s="53"/>
    </row>
    <row r="1123" spans="2:11" ht="15.75">
      <c r="B1123" s="53" t="s">
        <v>469</v>
      </c>
      <c r="C1123" s="53"/>
      <c r="D1123" s="53"/>
      <c r="E1123" s="53"/>
      <c r="F1123" s="53"/>
      <c r="G1123" s="53"/>
      <c r="H1123" s="53"/>
      <c r="I1123" s="53"/>
      <c r="J1123" s="53"/>
    </row>
    <row r="1124" spans="2:11" ht="15.75">
      <c r="B1124" s="50" t="s">
        <v>2353</v>
      </c>
      <c r="C1124" s="51" t="str">
        <f>'New quarts'!O68</f>
        <v>Q1 17</v>
      </c>
      <c r="D1124" s="51" t="str">
        <f>'New quarts'!P68</f>
        <v>Q2 17</v>
      </c>
      <c r="E1124" s="51" t="str">
        <f>'New quarts'!Q68</f>
        <v>Q3 17</v>
      </c>
      <c r="F1124" s="51" t="e">
        <f>'New quarts'!#REF!</f>
        <v>#REF!</v>
      </c>
      <c r="G1124" s="51" t="e">
        <f>'New quarts'!#REF!</f>
        <v>#REF!</v>
      </c>
      <c r="H1124" s="51" t="e">
        <f>'New quarts'!#REF!</f>
        <v>#REF!</v>
      </c>
      <c r="I1124" s="51" t="e">
        <f>'New quarts'!#REF!</f>
        <v>#REF!</v>
      </c>
      <c r="J1124" s="51" t="e">
        <f>'New quarts'!#REF!</f>
        <v>#REF!</v>
      </c>
    </row>
    <row r="1125" spans="2:11" ht="15.75">
      <c r="B1125" s="53" t="s">
        <v>3018</v>
      </c>
      <c r="C1125" s="481">
        <f>'New quarts'!O19</f>
        <v>0</v>
      </c>
      <c r="D1125" s="481">
        <f>'New quarts'!P19</f>
        <v>108.3</v>
      </c>
      <c r="E1125" s="481">
        <f>'New quarts'!Q19</f>
        <v>88.6</v>
      </c>
      <c r="F1125" s="481" t="e">
        <f>'New quarts'!#REF!</f>
        <v>#REF!</v>
      </c>
      <c r="G1125" s="481" t="e">
        <f>'New quarts'!#REF!</f>
        <v>#REF!</v>
      </c>
      <c r="H1125" s="481" t="e">
        <f>'New quarts'!#REF!</f>
        <v>#REF!</v>
      </c>
      <c r="I1125" s="481" t="e">
        <f>'New quarts'!#REF!</f>
        <v>#REF!</v>
      </c>
      <c r="J1125" s="481" t="e">
        <f>'New quarts'!#REF!</f>
        <v>#REF!</v>
      </c>
    </row>
    <row r="1126" spans="2:11" ht="15.75">
      <c r="B1126" s="53" t="s">
        <v>3135</v>
      </c>
      <c r="C1126" s="481">
        <v>106.7</v>
      </c>
      <c r="D1126" s="481">
        <v>108.3</v>
      </c>
      <c r="E1126" s="481">
        <v>108.3</v>
      </c>
      <c r="F1126" s="481">
        <v>109.83502478170392</v>
      </c>
      <c r="G1126" s="643">
        <v>111</v>
      </c>
      <c r="H1126" s="643">
        <v>111</v>
      </c>
      <c r="I1126" s="643">
        <v>112</v>
      </c>
      <c r="J1126" s="481">
        <f>444.6-G1126-H1126-I1126</f>
        <v>110.60000000000002</v>
      </c>
      <c r="K1126" s="54"/>
    </row>
    <row r="1127" spans="2:11" ht="15.75">
      <c r="B1127" s="53" t="s">
        <v>3016</v>
      </c>
      <c r="C1127" s="481">
        <f t="shared" ref="C1127:J1127" si="51">C1126-C1125</f>
        <v>106.7</v>
      </c>
      <c r="D1127" s="481">
        <f t="shared" si="51"/>
        <v>0</v>
      </c>
      <c r="E1127" s="481">
        <f t="shared" si="51"/>
        <v>19.700000000000003</v>
      </c>
      <c r="F1127" s="481" t="e">
        <f t="shared" si="51"/>
        <v>#REF!</v>
      </c>
      <c r="G1127" s="481" t="e">
        <f t="shared" si="51"/>
        <v>#REF!</v>
      </c>
      <c r="H1127" s="481" t="e">
        <f t="shared" si="51"/>
        <v>#REF!</v>
      </c>
      <c r="I1127" s="481" t="e">
        <f t="shared" si="51"/>
        <v>#REF!</v>
      </c>
      <c r="J1127" s="481" t="e">
        <f t="shared" si="51"/>
        <v>#REF!</v>
      </c>
      <c r="K1127" s="481" t="e">
        <f>J1127*4</f>
        <v>#REF!</v>
      </c>
    </row>
    <row r="1128" spans="2:11" ht="15.75">
      <c r="B1128" s="53" t="s">
        <v>3056</v>
      </c>
      <c r="C1128" s="481"/>
      <c r="D1128" s="481"/>
      <c r="E1128" s="481"/>
      <c r="F1128" s="54" t="e">
        <f>F1125/F1126-1</f>
        <v>#REF!</v>
      </c>
      <c r="G1128" s="54" t="e">
        <f>G1125/G1126-1</f>
        <v>#REF!</v>
      </c>
      <c r="H1128" s="54" t="e">
        <f>H1125/H1126-1</f>
        <v>#REF!</v>
      </c>
      <c r="I1128" s="54" t="e">
        <f>I1125/I1126-1</f>
        <v>#REF!</v>
      </c>
      <c r="J1128" s="54" t="e">
        <f>J1125/J1126-1</f>
        <v>#REF!</v>
      </c>
      <c r="K1128" s="54"/>
    </row>
    <row r="1129" spans="2:11" ht="15.75">
      <c r="B1129" s="53" t="s">
        <v>3017</v>
      </c>
      <c r="F1129" s="5"/>
      <c r="J1129" s="783" t="e">
        <f>SUM(C1127:J1127)</f>
        <v>#REF!</v>
      </c>
    </row>
    <row r="1131" spans="2:11" ht="15.75">
      <c r="B1131" s="53" t="s">
        <v>18</v>
      </c>
      <c r="C1131" s="56">
        <f>'LiLAC valuation'!R383</f>
        <v>0.48078725398313021</v>
      </c>
      <c r="D1131" s="56">
        <f>'LiLAC valuation'!S383</f>
        <v>0.49676823638042472</v>
      </c>
      <c r="E1131" s="56">
        <f>'LiLAC valuation'!T383</f>
        <v>0.44695259593679465</v>
      </c>
      <c r="F1131" s="56" t="e">
        <f>'LiLAC valuation'!#REF!</f>
        <v>#REF!</v>
      </c>
      <c r="G1131" s="56" t="e">
        <f>'LiLAC valuation'!#REF!</f>
        <v>#REF!</v>
      </c>
      <c r="H1131" s="56" t="e">
        <f>'LiLAC valuation'!#REF!</f>
        <v>#REF!</v>
      </c>
      <c r="I1131" s="56" t="e">
        <f>'LiLAC valuation'!#REF!</f>
        <v>#REF!</v>
      </c>
      <c r="J1131" s="56" t="e">
        <f>'LiLAC valuation'!#REF!</f>
        <v>#REF!</v>
      </c>
    </row>
    <row r="1133" spans="2:11" ht="15.75">
      <c r="B1133" s="50" t="s">
        <v>2353</v>
      </c>
      <c r="C1133" s="51" t="str">
        <f t="shared" ref="C1133:J1133" si="52">C1124</f>
        <v>Q1 17</v>
      </c>
      <c r="D1133" s="51" t="str">
        <f t="shared" si="52"/>
        <v>Q2 17</v>
      </c>
      <c r="E1133" s="51" t="str">
        <f t="shared" si="52"/>
        <v>Q3 17</v>
      </c>
      <c r="F1133" s="51" t="e">
        <f t="shared" si="52"/>
        <v>#REF!</v>
      </c>
      <c r="G1133" s="51" t="e">
        <f t="shared" si="52"/>
        <v>#REF!</v>
      </c>
      <c r="H1133" s="51" t="e">
        <f t="shared" si="52"/>
        <v>#REF!</v>
      </c>
      <c r="I1133" s="51" t="e">
        <f t="shared" si="52"/>
        <v>#REF!</v>
      </c>
      <c r="J1133" s="51" t="e">
        <f t="shared" si="52"/>
        <v>#REF!</v>
      </c>
    </row>
    <row r="1134" spans="2:11" ht="15.75">
      <c r="B1134" s="53" t="s">
        <v>3019</v>
      </c>
      <c r="C1134" s="481">
        <f>'LiLAC valuation'!R398</f>
        <v>26.9</v>
      </c>
      <c r="D1134" s="481">
        <f>'LiLAC valuation'!S398</f>
        <v>21.200000000000003</v>
      </c>
      <c r="E1134" s="481">
        <f>'LiLAC valuation'!T398</f>
        <v>21.800000000000004</v>
      </c>
      <c r="F1134" s="481" t="e">
        <f>'LiLAC valuation'!#REF!</f>
        <v>#REF!</v>
      </c>
      <c r="G1134" s="481" t="e">
        <f>'LiLAC valuation'!#REF!</f>
        <v>#REF!</v>
      </c>
      <c r="H1134" s="481" t="e">
        <f>'LiLAC valuation'!#REF!</f>
        <v>#REF!</v>
      </c>
      <c r="I1134" s="481" t="e">
        <f>'LiLAC valuation'!#REF!</f>
        <v>#REF!</v>
      </c>
      <c r="J1134" s="481" t="e">
        <f>'LiLAC valuation'!#REF!</f>
        <v>#REF!</v>
      </c>
    </row>
    <row r="1135" spans="2:11" ht="15.75">
      <c r="B1135" s="53" t="s">
        <v>3136</v>
      </c>
      <c r="C1135" s="481">
        <f>C1134</f>
        <v>26.9</v>
      </c>
      <c r="D1135" s="481">
        <f>D1134</f>
        <v>21.200000000000003</v>
      </c>
      <c r="E1135" s="643">
        <v>22</v>
      </c>
      <c r="F1135" s="481">
        <f>91.1-C1135-D1135-E1135</f>
        <v>20.999999999999986</v>
      </c>
      <c r="G1135" s="643">
        <v>23.3</v>
      </c>
      <c r="H1135" s="643">
        <v>23.3</v>
      </c>
      <c r="I1135" s="643">
        <v>23.3</v>
      </c>
      <c r="J1135" s="481">
        <f>92.9-G1135-H1135-I1135</f>
        <v>23.000000000000011</v>
      </c>
    </row>
    <row r="1136" spans="2:11" ht="15.75">
      <c r="B1136" s="53" t="s">
        <v>3020</v>
      </c>
      <c r="C1136" s="481">
        <f t="shared" ref="C1136:J1136" si="53">C1134-C1135</f>
        <v>0</v>
      </c>
      <c r="D1136" s="481">
        <f t="shared" si="53"/>
        <v>0</v>
      </c>
      <c r="E1136" s="481">
        <f t="shared" si="53"/>
        <v>-0.19999999999999574</v>
      </c>
      <c r="F1136" s="481" t="e">
        <f t="shared" si="53"/>
        <v>#REF!</v>
      </c>
      <c r="G1136" s="481" t="e">
        <f t="shared" si="53"/>
        <v>#REF!</v>
      </c>
      <c r="H1136" s="481" t="e">
        <f t="shared" si="53"/>
        <v>#REF!</v>
      </c>
      <c r="I1136" s="481" t="e">
        <f t="shared" si="53"/>
        <v>#REF!</v>
      </c>
      <c r="J1136" s="481" t="e">
        <f t="shared" si="53"/>
        <v>#REF!</v>
      </c>
    </row>
    <row r="1137" spans="2:10" ht="15.75">
      <c r="J1137" s="783" t="e">
        <f>SUM(C1136:J1136)</f>
        <v>#REF!</v>
      </c>
    </row>
    <row r="1139" spans="2:10" ht="15.75">
      <c r="B1139" s="53" t="s">
        <v>3021</v>
      </c>
      <c r="C1139" s="481">
        <f t="shared" ref="C1139:J1139" si="54">C1127+C1136</f>
        <v>106.7</v>
      </c>
      <c r="D1139" s="481">
        <f t="shared" si="54"/>
        <v>0</v>
      </c>
      <c r="E1139" s="481">
        <f t="shared" si="54"/>
        <v>19.500000000000007</v>
      </c>
      <c r="F1139" s="481" t="e">
        <f t="shared" si="54"/>
        <v>#REF!</v>
      </c>
      <c r="G1139" s="481" t="e">
        <f t="shared" si="54"/>
        <v>#REF!</v>
      </c>
      <c r="H1139" s="481" t="e">
        <f t="shared" si="54"/>
        <v>#REF!</v>
      </c>
      <c r="I1139" s="481" t="e">
        <f t="shared" si="54"/>
        <v>#REF!</v>
      </c>
      <c r="J1139" s="481" t="e">
        <f t="shared" si="54"/>
        <v>#REF!</v>
      </c>
    </row>
    <row r="1140" spans="2:10" ht="15.75">
      <c r="B1140" s="53" t="s">
        <v>3063</v>
      </c>
      <c r="C1140" s="481"/>
      <c r="D1140" s="481"/>
      <c r="E1140" s="54"/>
      <c r="F1140" s="54" t="e">
        <f>-F1139/'New quarts'!#REF!</f>
        <v>#REF!</v>
      </c>
      <c r="G1140" s="54" t="e">
        <f>-G1139/'New quarts'!#REF!</f>
        <v>#REF!</v>
      </c>
      <c r="H1140" s="54" t="e">
        <f>-H1139/'New quarts'!#REF!</f>
        <v>#REF!</v>
      </c>
      <c r="I1140" s="54" t="e">
        <f>-I1139/'New quarts'!#REF!</f>
        <v>#REF!</v>
      </c>
      <c r="J1140" s="54" t="e">
        <f>-J1139/'New quarts'!#REF!</f>
        <v>#REF!</v>
      </c>
    </row>
    <row r="1141" spans="2:10" ht="15.75">
      <c r="B1141" s="53"/>
      <c r="C1141" s="481"/>
      <c r="D1141" s="481"/>
      <c r="E1141" s="481"/>
      <c r="F1141" s="481"/>
      <c r="G1141" s="481"/>
      <c r="H1141" s="481"/>
      <c r="I1141" s="481"/>
      <c r="J1141" s="481"/>
    </row>
    <row r="1142" spans="2:10" ht="15.75">
      <c r="B1142" s="53" t="s">
        <v>3062</v>
      </c>
      <c r="J1142" s="783" t="e">
        <f>SUM(C1139:J1139)</f>
        <v>#REF!</v>
      </c>
    </row>
    <row r="1143" spans="2:10" ht="15.75">
      <c r="B1143" s="53" t="s">
        <v>3022</v>
      </c>
      <c r="J1143" s="784">
        <v>0.8</v>
      </c>
    </row>
    <row r="1144" spans="2:10" ht="15.75">
      <c r="B1144" s="53" t="s">
        <v>3048</v>
      </c>
      <c r="J1144" s="749">
        <v>120</v>
      </c>
    </row>
    <row r="1145" spans="2:10" ht="15.75">
      <c r="B1145" s="53" t="s">
        <v>3049</v>
      </c>
      <c r="J1145" s="481">
        <f>60+60*0.4</f>
        <v>84</v>
      </c>
    </row>
    <row r="1147" spans="2:10" ht="15.75">
      <c r="B1147" s="53" t="s">
        <v>3137</v>
      </c>
    </row>
    <row r="1148" spans="2:10" ht="15.75">
      <c r="B1148" s="53"/>
    </row>
    <row r="1149" spans="2:10">
      <c r="B1149" s="3" t="s">
        <v>2353</v>
      </c>
      <c r="C1149" s="4" t="str">
        <f>'New quarts'!O68</f>
        <v>Q1 17</v>
      </c>
      <c r="D1149" s="4" t="str">
        <f>'New quarts'!P68</f>
        <v>Q2 17</v>
      </c>
      <c r="E1149" s="4" t="str">
        <f>'New quarts'!Q68</f>
        <v>Q3 17</v>
      </c>
    </row>
    <row r="1150" spans="2:10">
      <c r="B1150" t="str">
        <f>'New quarts'!B69</f>
        <v>Caribbean</v>
      </c>
      <c r="C1150">
        <f>'New quarts'!O69</f>
        <v>266</v>
      </c>
      <c r="D1150">
        <f>'New quarts'!P69</f>
        <v>267.89999999999998</v>
      </c>
      <c r="E1150">
        <f>'New quarts'!Q69</f>
        <v>268.10000000000002</v>
      </c>
    </row>
    <row r="1151" spans="2:10">
      <c r="B1151" t="str">
        <f>'New quarts'!B70</f>
        <v>Panama</v>
      </c>
      <c r="C1151">
        <f>'New quarts'!O70</f>
        <v>153.69999999999999</v>
      </c>
      <c r="D1151">
        <f>'New quarts'!P70</f>
        <v>154.1</v>
      </c>
      <c r="E1151">
        <f>'New quarts'!Q70</f>
        <v>155</v>
      </c>
    </row>
    <row r="1152" spans="2:10">
      <c r="B1152" t="str">
        <f>'New quarts'!B71</f>
        <v>BTC</v>
      </c>
      <c r="C1152">
        <f>'New quarts'!O71</f>
        <v>72</v>
      </c>
      <c r="D1152">
        <f>'New quarts'!P71</f>
        <v>66.2</v>
      </c>
      <c r="E1152">
        <f>'New quarts'!Q71</f>
        <v>62.8</v>
      </c>
    </row>
    <row r="1153" spans="2:9">
      <c r="B1153" t="str">
        <f>'New quarts'!B72</f>
        <v xml:space="preserve">Networks and LatAm </v>
      </c>
      <c r="C1153">
        <f>'New quarts'!O72</f>
        <v>77.7</v>
      </c>
      <c r="D1153">
        <f>'New quarts'!P72</f>
        <v>88.6</v>
      </c>
      <c r="E1153">
        <f>'New quarts'!Q72</f>
        <v>89.1</v>
      </c>
    </row>
    <row r="1154" spans="2:9">
      <c r="B1154" t="str">
        <f>'New quarts'!B73</f>
        <v>Seychelles</v>
      </c>
      <c r="C1154">
        <f>'New quarts'!O73</f>
        <v>15.5</v>
      </c>
      <c r="D1154">
        <f>'New quarts'!P73</f>
        <v>15</v>
      </c>
      <c r="E1154">
        <f>'New quarts'!Q73</f>
        <v>15.2</v>
      </c>
    </row>
    <row r="1155" spans="2:9">
      <c r="B1155" s="3" t="str">
        <f>'New quarts'!B74</f>
        <v>Intersegment</v>
      </c>
      <c r="C1155" s="3">
        <f>'New quarts'!O74</f>
        <v>-9</v>
      </c>
      <c r="D1155" s="3">
        <f>'New quarts'!P74</f>
        <v>-10.5</v>
      </c>
      <c r="E1155" s="3">
        <f>'New quarts'!Q74</f>
        <v>-10.400000000000091</v>
      </c>
    </row>
    <row r="1156" spans="2:9">
      <c r="B1156" t="s">
        <v>3139</v>
      </c>
      <c r="C1156">
        <f>'New quarts'!O75</f>
        <v>575.9</v>
      </c>
      <c r="D1156">
        <f>'New quarts'!P75</f>
        <v>581.29999999999995</v>
      </c>
      <c r="E1156">
        <f>'New quarts'!Q75</f>
        <v>579.79999999999995</v>
      </c>
    </row>
    <row r="1157" spans="2:9">
      <c r="B1157" t="s">
        <v>468</v>
      </c>
      <c r="C1157" s="16">
        <f>'New quarts'!O18</f>
        <v>229.3</v>
      </c>
      <c r="D1157" s="16">
        <f>'New quarts'!P18</f>
        <v>231.1</v>
      </c>
      <c r="E1157" s="16">
        <f>'New quarts'!Q18</f>
        <v>242.2</v>
      </c>
    </row>
    <row r="1158" spans="2:9">
      <c r="B1158" t="s">
        <v>469</v>
      </c>
      <c r="C1158" s="16">
        <f>'New quarts'!O19</f>
        <v>0</v>
      </c>
      <c r="D1158" s="16">
        <f>'New quarts'!P19</f>
        <v>108.3</v>
      </c>
      <c r="E1158" s="16">
        <f>'New quarts'!Q19</f>
        <v>88.6</v>
      </c>
    </row>
    <row r="1159" spans="2:9">
      <c r="B1159" t="s">
        <v>3138</v>
      </c>
      <c r="C1159" s="16">
        <f>'New quarts'!O22</f>
        <v>910.9</v>
      </c>
      <c r="D1159" s="16">
        <f>'New quarts'!P22</f>
        <v>917.9</v>
      </c>
      <c r="E1159" s="16">
        <f>'New quarts'!Q22</f>
        <v>908</v>
      </c>
    </row>
    <row r="1161" spans="2:9" ht="15.75">
      <c r="C1161" s="51">
        <v>2016</v>
      </c>
      <c r="D1161" s="51">
        <f t="shared" ref="D1161:I1161" si="55">C1161+1</f>
        <v>2017</v>
      </c>
      <c r="E1161" s="51">
        <f t="shared" si="55"/>
        <v>2018</v>
      </c>
      <c r="F1161" s="51">
        <f t="shared" si="55"/>
        <v>2019</v>
      </c>
      <c r="G1161" s="51">
        <f t="shared" si="55"/>
        <v>2020</v>
      </c>
      <c r="H1161" s="51">
        <f t="shared" si="55"/>
        <v>2021</v>
      </c>
      <c r="I1161" s="51">
        <f t="shared" si="55"/>
        <v>2022</v>
      </c>
    </row>
    <row r="1162" spans="2:9" ht="15.75">
      <c r="B1162" s="53" t="s">
        <v>895</v>
      </c>
      <c r="C1162" s="621">
        <f>PR!Q226</f>
        <v>4.2701207243460768</v>
      </c>
      <c r="D1162" s="621">
        <f ca="1">PR!R226</f>
        <v>6.8905606603935095</v>
      </c>
      <c r="E1162" s="621">
        <f ca="1">PR!S226</f>
        <v>7.5199891770757521</v>
      </c>
      <c r="F1162" s="621">
        <f ca="1">PR!T226</f>
        <v>4.9429482029189478</v>
      </c>
      <c r="G1162" s="621">
        <f ca="1">PR!U226</f>
        <v>4.6657200689154452</v>
      </c>
      <c r="H1162" s="621">
        <f ca="1">PR!V226</f>
        <v>4.2755780633867477</v>
      </c>
      <c r="I1162" s="621">
        <f ca="1">PR!W226</f>
        <v>3.8137838688301802</v>
      </c>
    </row>
    <row r="1164" spans="2:9" ht="15.75">
      <c r="B1164" s="3"/>
      <c r="C1164" s="51" t="s">
        <v>2353</v>
      </c>
    </row>
    <row r="1165" spans="2:9" ht="15.75">
      <c r="B1165" s="53" t="s">
        <v>557</v>
      </c>
      <c r="C1165" s="630">
        <f>'LiLAC valuation'!S324</f>
        <v>1103.5999999999999</v>
      </c>
    </row>
    <row r="1166" spans="2:9" ht="15.75">
      <c r="B1166" s="53" t="s">
        <v>3035</v>
      </c>
      <c r="C1166" s="784">
        <v>0.25</v>
      </c>
    </row>
    <row r="1167" spans="2:9" ht="15.75">
      <c r="B1167" s="53" t="s">
        <v>3030</v>
      </c>
      <c r="C1167" s="481">
        <f>C1165*C1166</f>
        <v>275.89999999999998</v>
      </c>
    </row>
    <row r="1168" spans="2:9" ht="15.75">
      <c r="B1168" s="53" t="s">
        <v>3036</v>
      </c>
      <c r="C1168" s="481">
        <v>1000</v>
      </c>
    </row>
    <row r="1169" spans="2:5" ht="15.75">
      <c r="B1169" s="53" t="s">
        <v>3037</v>
      </c>
      <c r="C1169" s="784">
        <v>0.65</v>
      </c>
    </row>
    <row r="1170" spans="2:5" ht="15.75">
      <c r="B1170" s="53" t="s">
        <v>3031</v>
      </c>
      <c r="C1170" s="481">
        <f>(1-C1169)*C1168</f>
        <v>350</v>
      </c>
    </row>
    <row r="1171" spans="2:5" ht="15.75">
      <c r="B1171" s="53" t="s">
        <v>3038</v>
      </c>
      <c r="C1171" s="481">
        <f>C1167/1000*C1170</f>
        <v>96.564999999999998</v>
      </c>
    </row>
    <row r="1173" spans="2:5" ht="15.75">
      <c r="B1173" s="53" t="s">
        <v>2478</v>
      </c>
      <c r="C1173" s="54">
        <f>'LiLAC valuation'!S326/'LiLAC valuation'!S324</f>
        <v>0.36779630300833638</v>
      </c>
    </row>
    <row r="1174" spans="2:5" ht="15.75">
      <c r="B1174" s="53" t="s">
        <v>3032</v>
      </c>
      <c r="C1174" s="481">
        <f>C1173*C1167</f>
        <v>101.47499999999999</v>
      </c>
    </row>
    <row r="1175" spans="2:5" ht="15.75">
      <c r="B1175" s="53" t="s">
        <v>3033</v>
      </c>
      <c r="C1175" s="749">
        <v>150</v>
      </c>
    </row>
    <row r="1176" spans="2:5" ht="15.75">
      <c r="B1176" s="53" t="s">
        <v>3034</v>
      </c>
      <c r="C1176" s="481">
        <f>C1174/1000*C1175</f>
        <v>15.22125</v>
      </c>
    </row>
    <row r="1178" spans="2:5" ht="15.75">
      <c r="B1178" s="53" t="s">
        <v>3039</v>
      </c>
      <c r="C1178" s="749">
        <v>40</v>
      </c>
    </row>
    <row r="1180" spans="2:5" ht="15.75">
      <c r="B1180" s="53" t="s">
        <v>1105</v>
      </c>
      <c r="C1180" s="481">
        <f>C1171+C1176+C1178</f>
        <v>151.78625</v>
      </c>
    </row>
    <row r="1183" spans="2:5" ht="15.75">
      <c r="B1183" s="50" t="s">
        <v>3052</v>
      </c>
      <c r="C1183" s="51" t="s">
        <v>3040</v>
      </c>
      <c r="D1183" s="51" t="s">
        <v>3043</v>
      </c>
      <c r="E1183" s="51" t="s">
        <v>78</v>
      </c>
    </row>
    <row r="1184" spans="2:5" ht="15.75">
      <c r="B1184" s="53" t="s">
        <v>3041</v>
      </c>
      <c r="C1184" s="630">
        <v>1630</v>
      </c>
      <c r="D1184" s="630" t="e">
        <f>SOP!#REF!</f>
        <v>#REF!</v>
      </c>
      <c r="E1184" s="54" t="e">
        <f>D1184/C1184-1</f>
        <v>#REF!</v>
      </c>
    </row>
    <row r="1185" spans="2:6" ht="15.75">
      <c r="B1185" s="53" t="s">
        <v>3045</v>
      </c>
      <c r="C1185" s="630">
        <v>214</v>
      </c>
      <c r="D1185" s="630">
        <f>Master!J70</f>
        <v>410.17176137159947</v>
      </c>
      <c r="E1185" s="54">
        <f>D1185/C1185-1</f>
        <v>0.91669047369906287</v>
      </c>
    </row>
    <row r="1186" spans="2:6" ht="15.75">
      <c r="B1186" s="53" t="s">
        <v>3051</v>
      </c>
      <c r="C1186" s="630">
        <v>223</v>
      </c>
      <c r="D1186" s="630">
        <f>Master!K70</f>
        <v>386.6</v>
      </c>
      <c r="E1186" s="54">
        <f>D1186/C1186-1</f>
        <v>0.73363228699551586</v>
      </c>
    </row>
    <row r="1187" spans="2:6" ht="15.75">
      <c r="B1187" s="53" t="s">
        <v>3044</v>
      </c>
      <c r="C1187" s="639">
        <v>7.6</v>
      </c>
      <c r="D1187" s="639" t="e">
        <f>SOP!#REF!</f>
        <v>#REF!</v>
      </c>
      <c r="E1187" s="639"/>
    </row>
    <row r="1188" spans="2:6" ht="15.75">
      <c r="B1188" s="53" t="s">
        <v>3050</v>
      </c>
      <c r="C1188" s="639">
        <v>7.3</v>
      </c>
      <c r="D1188" s="639" t="e">
        <f>D1184/D1186</f>
        <v>#REF!</v>
      </c>
    </row>
    <row r="1189" spans="2:6" ht="15.75">
      <c r="B1189" s="53"/>
      <c r="C1189" s="639"/>
      <c r="D1189" s="630"/>
    </row>
    <row r="1190" spans="2:6" ht="15.75">
      <c r="B1190" s="50" t="s">
        <v>2046</v>
      </c>
      <c r="C1190" s="632">
        <v>754</v>
      </c>
      <c r="D1190" s="632" t="e">
        <f>SOP!#REF!</f>
        <v>#REF!</v>
      </c>
    </row>
    <row r="1191" spans="2:6" ht="15.75">
      <c r="B1191" s="53" t="s">
        <v>332</v>
      </c>
      <c r="C1191" s="630">
        <f>C1184-C1190</f>
        <v>876</v>
      </c>
      <c r="D1191" s="630" t="e">
        <f>D1184-D1190</f>
        <v>#REF!</v>
      </c>
      <c r="E1191" s="54"/>
    </row>
    <row r="1192" spans="2:6" ht="15.75">
      <c r="B1192" s="53" t="s">
        <v>3042</v>
      </c>
      <c r="C1192" s="630">
        <f>C1191*0.6</f>
        <v>525.6</v>
      </c>
      <c r="D1192" s="630" t="e">
        <f>D1191*0.6</f>
        <v>#REF!</v>
      </c>
    </row>
    <row r="1193" spans="2:6" ht="15.75">
      <c r="B1193" s="50" t="s">
        <v>3046</v>
      </c>
      <c r="C1193" s="632"/>
      <c r="D1193" s="632">
        <f>J1145</f>
        <v>84</v>
      </c>
    </row>
    <row r="1194" spans="2:6" ht="15.75">
      <c r="B1194" s="53" t="s">
        <v>3047</v>
      </c>
      <c r="C1194" s="630">
        <f>C1192</f>
        <v>525.6</v>
      </c>
      <c r="D1194" s="630" t="e">
        <f>D1192+D1193</f>
        <v>#REF!</v>
      </c>
      <c r="E1194" s="54"/>
    </row>
    <row r="1195" spans="2:6" ht="15.75">
      <c r="B1195" s="53" t="s">
        <v>3053</v>
      </c>
      <c r="C1195" s="630"/>
      <c r="D1195" s="639" t="e">
        <f>(C1194-D1194)/SOP!G35</f>
        <v>#REF!</v>
      </c>
    </row>
    <row r="1196" spans="2:6" ht="15.75">
      <c r="B1196" s="53"/>
      <c r="C1196" s="53"/>
      <c r="D1196" s="53"/>
    </row>
    <row r="1197" spans="2:6" ht="15.75">
      <c r="B1197" s="58" t="s">
        <v>3211</v>
      </c>
      <c r="C1197" s="53"/>
      <c r="D1197" s="53"/>
    </row>
    <row r="1198" spans="2:6" ht="15.75">
      <c r="B1198" s="50" t="s">
        <v>3054</v>
      </c>
      <c r="C1198" s="50">
        <v>2017</v>
      </c>
      <c r="D1198" s="50">
        <f>C1198+1</f>
        <v>2018</v>
      </c>
      <c r="E1198" s="50">
        <f>D1198+1</f>
        <v>2019</v>
      </c>
      <c r="F1198" s="50">
        <f>E1198+1</f>
        <v>2020</v>
      </c>
    </row>
    <row r="1199" spans="2:6" ht="15.75">
      <c r="B1199" s="53" t="s">
        <v>1422</v>
      </c>
      <c r="C1199" s="53"/>
      <c r="D1199" s="53"/>
      <c r="E1199" s="53"/>
      <c r="F1199" s="53"/>
    </row>
    <row r="1200" spans="2:6" ht="15.75">
      <c r="B1200" s="53" t="s">
        <v>15</v>
      </c>
      <c r="C1200" s="630">
        <f>Master!I3</f>
        <v>3586.3178736517721</v>
      </c>
      <c r="D1200" s="630">
        <f>Master!J3</f>
        <v>3693.7671488858091</v>
      </c>
      <c r="E1200" s="630">
        <f>Master!K3</f>
        <v>3867.1</v>
      </c>
      <c r="F1200" s="630">
        <f>Master!L3</f>
        <v>3765</v>
      </c>
    </row>
    <row r="1201" spans="2:6" ht="15.75">
      <c r="B1201" s="53" t="s">
        <v>8</v>
      </c>
      <c r="C1201" s="630">
        <f>Master!I6</f>
        <v>1367.1</v>
      </c>
      <c r="D1201" s="630">
        <f>Master!J6</f>
        <v>1412.5717613715995</v>
      </c>
      <c r="E1201" s="630">
        <f>Master!K6</f>
        <v>1506.5</v>
      </c>
      <c r="F1201" s="630">
        <f>Master!L6</f>
        <v>1485</v>
      </c>
    </row>
    <row r="1202" spans="2:6" ht="15.75">
      <c r="B1202" s="53" t="s">
        <v>27</v>
      </c>
      <c r="C1202" s="630">
        <f>Master!I150</f>
        <v>590.55376078914901</v>
      </c>
      <c r="D1202" s="630">
        <f>Master!J150</f>
        <v>641.17176137159959</v>
      </c>
      <c r="E1202" s="630">
        <f>Master!K150</f>
        <v>779.40000000000009</v>
      </c>
      <c r="F1202" s="630">
        <f>Master!L150</f>
        <v>854</v>
      </c>
    </row>
    <row r="1203" spans="2:6" ht="15.75">
      <c r="B1203" s="53" t="s">
        <v>249</v>
      </c>
      <c r="C1203" s="630">
        <f>Valuation!H28</f>
        <v>93.865019728729806</v>
      </c>
      <c r="D1203" s="630">
        <f>Valuation!I28</f>
        <v>78.306080118971721</v>
      </c>
      <c r="E1203" s="630">
        <f>Valuation!J28</f>
        <v>142.40066666666672</v>
      </c>
      <c r="F1203" s="630">
        <f>Valuation!K28</f>
        <v>196.00200000000001</v>
      </c>
    </row>
    <row r="1204" spans="2:6" ht="15.75">
      <c r="B1204" s="53" t="s">
        <v>3055</v>
      </c>
      <c r="C1204" s="630">
        <f>Valuation!H32</f>
        <v>-112.5462392108509</v>
      </c>
      <c r="D1204" s="630">
        <f>Valuation!I32</f>
        <v>19.400000000000091</v>
      </c>
      <c r="E1204" s="630">
        <f>Valuation!J32</f>
        <v>223.30000000000018</v>
      </c>
      <c r="F1204" s="630">
        <f>Valuation!K32</f>
        <v>145.80000000000024</v>
      </c>
    </row>
    <row r="1205" spans="2:6" ht="15.75">
      <c r="B1205" s="53"/>
      <c r="C1205" s="630"/>
      <c r="D1205" s="630"/>
      <c r="E1205" s="53"/>
      <c r="F1205" s="756"/>
    </row>
    <row r="1206" spans="2:6" ht="15.75">
      <c r="B1206" s="53" t="s">
        <v>1423</v>
      </c>
      <c r="C1206" s="630"/>
      <c r="D1206" s="630"/>
      <c r="E1206" s="53"/>
      <c r="F1206" s="756"/>
    </row>
    <row r="1207" spans="2:6" ht="15.75">
      <c r="B1207" s="756" t="str">
        <f>B1200</f>
        <v>Revenue</v>
      </c>
      <c r="C1207" s="630">
        <v>3581.6303167161773</v>
      </c>
      <c r="D1207" s="630">
        <v>3569.4934077779203</v>
      </c>
      <c r="E1207" s="630">
        <v>3821.7076753395236</v>
      </c>
      <c r="F1207" s="630">
        <v>3943.2532326343226</v>
      </c>
    </row>
    <row r="1208" spans="2:6" ht="15.75">
      <c r="B1208" s="756" t="str">
        <f>B1201</f>
        <v>EBITDA</v>
      </c>
      <c r="C1208" s="630">
        <v>1383.8778798490787</v>
      </c>
      <c r="D1208" s="630">
        <v>1401.2956976153628</v>
      </c>
      <c r="E1208" s="630">
        <v>1580.4938157521142</v>
      </c>
      <c r="F1208" s="630">
        <v>1641.5285578553364</v>
      </c>
    </row>
    <row r="1209" spans="2:6" ht="15.75">
      <c r="B1209" s="756" t="str">
        <f>B1202</f>
        <v>OpFCF</v>
      </c>
      <c r="C1209" s="630">
        <v>633.1193738061005</v>
      </c>
      <c r="D1209" s="630">
        <v>420.05073633591769</v>
      </c>
      <c r="E1209" s="630">
        <v>859.95969525363114</v>
      </c>
      <c r="F1209" s="630">
        <v>961.42861278992723</v>
      </c>
    </row>
    <row r="1210" spans="2:6" ht="15.75">
      <c r="B1210" s="756" t="str">
        <f>B1203</f>
        <v>EFCF</v>
      </c>
      <c r="C1210" s="630">
        <v>10.18441047857101</v>
      </c>
      <c r="D1210" s="630">
        <v>-121.5030184791665</v>
      </c>
      <c r="E1210" s="630">
        <v>296.64810195534989</v>
      </c>
      <c r="F1210" s="630">
        <v>401.99262425423012</v>
      </c>
    </row>
    <row r="1211" spans="2:6" ht="15.75">
      <c r="B1211" s="756" t="str">
        <f>B1204</f>
        <v>LBTY FCF</v>
      </c>
      <c r="C1211" s="630">
        <v>50.367779680566173</v>
      </c>
      <c r="D1211" s="630">
        <v>199.60677078965182</v>
      </c>
      <c r="E1211" s="630">
        <v>994.08406619225173</v>
      </c>
      <c r="F1211" s="630">
        <v>557.32925566282086</v>
      </c>
    </row>
    <row r="1212" spans="2:6">
      <c r="B1212" s="756"/>
      <c r="C1212" s="786"/>
      <c r="D1212" s="786"/>
      <c r="E1212" s="756"/>
      <c r="F1212" s="756"/>
    </row>
    <row r="1213" spans="2:6">
      <c r="B1213" s="756" t="s">
        <v>158</v>
      </c>
      <c r="C1213" s="756"/>
      <c r="D1213" s="756"/>
      <c r="E1213" s="756"/>
      <c r="F1213" s="756"/>
    </row>
    <row r="1214" spans="2:6" ht="15.75">
      <c r="B1214" s="756" t="str">
        <f>B1207</f>
        <v>Revenue</v>
      </c>
      <c r="C1214" s="54">
        <f t="shared" ref="C1214:F1218" si="56">C1200/C1207-1</f>
        <v>1.3087774340407865E-3</v>
      </c>
      <c r="D1214" s="54">
        <f t="shared" si="56"/>
        <v>3.4815512150014438E-2</v>
      </c>
      <c r="E1214" s="54">
        <f t="shared" si="56"/>
        <v>1.1877497840397711E-2</v>
      </c>
      <c r="F1214" s="54">
        <f t="shared" si="56"/>
        <v>-4.5204612059682292E-2</v>
      </c>
    </row>
    <row r="1215" spans="2:6" ht="15.75">
      <c r="B1215" s="756" t="str">
        <f>B1208</f>
        <v>EBITDA</v>
      </c>
      <c r="C1215" s="54">
        <f t="shared" si="56"/>
        <v>-1.2123815326037679E-2</v>
      </c>
      <c r="D1215" s="54">
        <f t="shared" si="56"/>
        <v>8.0468838771328155E-3</v>
      </c>
      <c r="E1215" s="54">
        <f t="shared" si="56"/>
        <v>-4.6816896728509194E-2</v>
      </c>
      <c r="F1215" s="54">
        <f t="shared" si="56"/>
        <v>-9.5355366866015201E-2</v>
      </c>
    </row>
    <row r="1216" spans="2:6" ht="15.75">
      <c r="B1216" s="756" t="str">
        <f>B1209</f>
        <v>OpFCF</v>
      </c>
      <c r="C1216" s="54">
        <f t="shared" si="56"/>
        <v>-6.7231575557483492E-2</v>
      </c>
      <c r="D1216" s="54">
        <f t="shared" si="56"/>
        <v>0.52641503967951575</v>
      </c>
      <c r="E1216" s="54">
        <f t="shared" si="56"/>
        <v>-9.3678454581375803E-2</v>
      </c>
      <c r="F1216" s="54">
        <f t="shared" si="56"/>
        <v>-0.11173852261187123</v>
      </c>
    </row>
    <row r="1217" spans="2:6" ht="15.75">
      <c r="B1217" s="756" t="str">
        <f>B1210</f>
        <v>EFCF</v>
      </c>
      <c r="C1217" s="54">
        <f t="shared" si="56"/>
        <v>8.2165393300113863</v>
      </c>
      <c r="D1217" s="54">
        <f t="shared" si="56"/>
        <v>-1.6444784755071615</v>
      </c>
      <c r="E1217" s="54">
        <f t="shared" si="56"/>
        <v>-0.51996771350284843</v>
      </c>
      <c r="F1217" s="54">
        <f t="shared" si="56"/>
        <v>-0.5124238899566389</v>
      </c>
    </row>
    <row r="1218" spans="2:6" ht="15.75">
      <c r="B1218" s="756" t="str">
        <f>B1211</f>
        <v>LBTY FCF</v>
      </c>
      <c r="C1218" s="54">
        <f t="shared" si="56"/>
        <v>-3.2344887927286492</v>
      </c>
      <c r="D1218" s="54">
        <f t="shared" si="56"/>
        <v>-0.90280890811843217</v>
      </c>
      <c r="E1218" s="54">
        <f t="shared" si="56"/>
        <v>-0.77537111035756723</v>
      </c>
      <c r="F1218" s="54">
        <f t="shared" si="56"/>
        <v>-0.73839521518280404</v>
      </c>
    </row>
    <row r="1220" spans="2:6">
      <c r="B1220" s="785" t="s">
        <v>3058</v>
      </c>
    </row>
    <row r="1221" spans="2:6" ht="15.75">
      <c r="B1221" s="756" t="s">
        <v>3057</v>
      </c>
      <c r="C1221" s="630">
        <f>C1209-C1202</f>
        <v>42.565613016951488</v>
      </c>
      <c r="D1221" s="630">
        <f>D1209-D1202</f>
        <v>-221.1210250356819</v>
      </c>
      <c r="E1221" s="630">
        <f>E1209-E1202</f>
        <v>80.559695253631048</v>
      </c>
      <c r="F1221" s="630">
        <f>F1209-F1202</f>
        <v>107.42861278992723</v>
      </c>
    </row>
    <row r="1222" spans="2:6" ht="15.75">
      <c r="B1222" s="758" t="s">
        <v>3059</v>
      </c>
      <c r="C1222" s="632" t="e">
        <f>SUM(C1139:F1139)</f>
        <v>#REF!</v>
      </c>
      <c r="D1222" s="632" t="e">
        <f>SUM(G1139:J1139)</f>
        <v>#REF!</v>
      </c>
      <c r="E1222" s="632" t="e">
        <f>K1127</f>
        <v>#REF!</v>
      </c>
      <c r="F1222" s="632" t="e">
        <f>E1222</f>
        <v>#REF!</v>
      </c>
    </row>
    <row r="1223" spans="2:6" ht="15.75">
      <c r="B1223" s="756" t="s">
        <v>3060</v>
      </c>
      <c r="C1223" s="630" t="e">
        <f>C1221-C1222</f>
        <v>#REF!</v>
      </c>
      <c r="D1223" s="630" t="e">
        <f>D1221-D1222</f>
        <v>#REF!</v>
      </c>
      <c r="E1223" s="630" t="e">
        <f>E1221-E1222</f>
        <v>#REF!</v>
      </c>
      <c r="F1223" s="630" t="e">
        <f>F1221-F1222</f>
        <v>#REF!</v>
      </c>
    </row>
    <row r="1224" spans="2:6" ht="15.75">
      <c r="B1224" s="756" t="s">
        <v>1071</v>
      </c>
      <c r="D1224" s="630" t="e">
        <f>C1223+D1223</f>
        <v>#REF!</v>
      </c>
      <c r="F1224" s="630"/>
    </row>
    <row r="1225" spans="2:6" ht="15.75">
      <c r="B1225" s="756" t="s">
        <v>1072</v>
      </c>
      <c r="D1225" s="630" t="e">
        <f>D1224*0.8</f>
        <v>#REF!</v>
      </c>
    </row>
    <row r="1226" spans="2:6" ht="15.75">
      <c r="B1226" s="756" t="s">
        <v>3061</v>
      </c>
      <c r="D1226" s="639" t="e">
        <f>D1225/SOP!G35</f>
        <v>#REF!</v>
      </c>
    </row>
    <row r="1229" spans="2:6" ht="15.75">
      <c r="B1229" s="53" t="str">
        <f>'New quarts'!B5</f>
        <v>Jamaica</v>
      </c>
      <c r="C1229" s="481">
        <f>'New quarts'!P5</f>
        <v>87.9</v>
      </c>
    </row>
    <row r="1230" spans="2:6" ht="15.75">
      <c r="B1230" s="53" t="str">
        <f>'New quarts'!B7</f>
        <v>Seychelles</v>
      </c>
      <c r="C1230" s="481">
        <f>'New quarts'!P7</f>
        <v>15</v>
      </c>
    </row>
    <row r="1231" spans="2:6" ht="15.75">
      <c r="B1231" s="53" t="str">
        <f>'New quarts'!B8</f>
        <v>Networks/LatAm</v>
      </c>
      <c r="C1231" s="481">
        <f>'New quarts'!P8</f>
        <v>87.8</v>
      </c>
    </row>
    <row r="1232" spans="2:6" ht="15.75">
      <c r="B1232" s="53" t="str">
        <f>'New quarts'!B11</f>
        <v>Ventures/other</v>
      </c>
      <c r="C1232" s="481">
        <f>'New quarts'!P11</f>
        <v>85.8</v>
      </c>
    </row>
    <row r="1233" spans="2:7" ht="15.75">
      <c r="B1233" s="53" t="str">
        <f>'New quarts'!B12</f>
        <v>Trinidad &amp; Tobago</v>
      </c>
      <c r="C1233" s="481">
        <f>'New quarts'!P12</f>
        <v>41.4</v>
      </c>
    </row>
    <row r="1234" spans="2:7" ht="15.75">
      <c r="B1234" s="53" t="str">
        <f>'New quarts'!B13</f>
        <v>Panama</v>
      </c>
      <c r="C1234" s="481">
        <f>'New quarts'!P13</f>
        <v>154.1</v>
      </c>
    </row>
    <row r="1235" spans="2:7" ht="15.75">
      <c r="B1235" s="53" t="str">
        <f>'New quarts'!B14</f>
        <v>Bahamas</v>
      </c>
      <c r="C1235" s="481">
        <f>'New quarts'!P14</f>
        <v>66.2</v>
      </c>
    </row>
    <row r="1236" spans="2:7" ht="15.75">
      <c r="B1236" s="53" t="str">
        <f>'New quarts'!B15</f>
        <v>Barbados</v>
      </c>
      <c r="C1236" s="481">
        <f>'New quarts'!P15</f>
        <v>41.4</v>
      </c>
    </row>
    <row r="1237" spans="2:7" ht="15.75">
      <c r="B1237" s="53" t="str">
        <f>'New quarts'!B16</f>
        <v>Elims</v>
      </c>
      <c r="C1237" s="481">
        <f>'New quarts'!P16</f>
        <v>0.10000000000012221</v>
      </c>
    </row>
    <row r="1238" spans="2:7" ht="15.75">
      <c r="B1238" s="53" t="str">
        <f>'New quarts'!B18</f>
        <v>VTR</v>
      </c>
      <c r="C1238" s="481">
        <f>'New quarts'!P18</f>
        <v>231.1</v>
      </c>
    </row>
    <row r="1239" spans="2:7" ht="15.75">
      <c r="B1239" s="50" t="str">
        <f>'New quarts'!B19</f>
        <v>PR</v>
      </c>
      <c r="C1239" s="638">
        <f>'New quarts'!P19</f>
        <v>108.3</v>
      </c>
    </row>
    <row r="1240" spans="2:7" ht="15.75">
      <c r="B1240" s="53" t="s">
        <v>16</v>
      </c>
      <c r="C1240" s="481">
        <f>SUM(C1229:C1239)</f>
        <v>919.10000000000014</v>
      </c>
    </row>
    <row r="1242" spans="2:7" ht="15.75">
      <c r="B1242" s="53"/>
      <c r="C1242" s="79" t="s">
        <v>1071</v>
      </c>
      <c r="D1242" s="79" t="s">
        <v>483</v>
      </c>
      <c r="E1242" s="53"/>
      <c r="F1242" s="79" t="s">
        <v>1072</v>
      </c>
      <c r="G1242" s="79" t="s">
        <v>483</v>
      </c>
    </row>
    <row r="1243" spans="2:7" ht="15.75">
      <c r="B1243" s="53" t="s">
        <v>899</v>
      </c>
      <c r="C1243" s="481">
        <v>231.1</v>
      </c>
      <c r="D1243" s="54">
        <f t="shared" ref="D1243:D1253" si="57">C1243/C$1240</f>
        <v>0.25144162767925138</v>
      </c>
      <c r="E1243" s="53"/>
      <c r="F1243" s="481">
        <f>C1243</f>
        <v>231.1</v>
      </c>
      <c r="G1243" s="54">
        <f t="shared" ref="G1243:G1253" si="58">F1243/F$1254</f>
        <v>0.30791614980900145</v>
      </c>
    </row>
    <row r="1244" spans="2:7" ht="15.75">
      <c r="B1244" s="53" t="s">
        <v>0</v>
      </c>
      <c r="C1244" s="481">
        <v>154.1</v>
      </c>
      <c r="D1244" s="54">
        <f t="shared" si="57"/>
        <v>0.16766401914916762</v>
      </c>
      <c r="E1244" s="53"/>
      <c r="F1244" s="481">
        <f>C1244*0.5</f>
        <v>77.05</v>
      </c>
      <c r="G1244" s="54">
        <f t="shared" si="58"/>
        <v>0.10266092316219627</v>
      </c>
    </row>
    <row r="1245" spans="2:7" ht="15.75">
      <c r="B1245" s="53" t="s">
        <v>984</v>
      </c>
      <c r="C1245" s="481">
        <v>108.3</v>
      </c>
      <c r="D1245" s="54">
        <f t="shared" si="57"/>
        <v>0.11783266238711781</v>
      </c>
      <c r="E1245" s="53"/>
      <c r="F1245" s="481">
        <f>C1245*0.6</f>
        <v>64.97999999999999</v>
      </c>
      <c r="G1245" s="54">
        <f t="shared" si="58"/>
        <v>8.6578932992595892E-2</v>
      </c>
    </row>
    <row r="1246" spans="2:7" ht="15.75">
      <c r="B1246" s="53" t="s">
        <v>1930</v>
      </c>
      <c r="C1246" s="481">
        <v>103.7</v>
      </c>
      <c r="D1246" s="54">
        <f t="shared" si="57"/>
        <v>0.11282776629311281</v>
      </c>
      <c r="E1246" s="53"/>
      <c r="F1246" s="481">
        <f>C1246</f>
        <v>103.7</v>
      </c>
      <c r="G1246" s="54">
        <f t="shared" si="58"/>
        <v>0.13816921131628493</v>
      </c>
    </row>
    <row r="1247" spans="2:7" ht="15.75">
      <c r="B1247" s="53" t="s">
        <v>1416</v>
      </c>
      <c r="C1247" s="481">
        <v>88.6</v>
      </c>
      <c r="D1247" s="54">
        <f t="shared" si="57"/>
        <v>9.6398650854096379E-2</v>
      </c>
      <c r="E1247" s="53"/>
      <c r="F1247" s="481">
        <f>C1247</f>
        <v>88.6</v>
      </c>
      <c r="G1247" s="54">
        <f t="shared" si="58"/>
        <v>0.1180500686848876</v>
      </c>
    </row>
    <row r="1248" spans="2:7" ht="15.75">
      <c r="B1248" s="53" t="s">
        <v>32</v>
      </c>
      <c r="C1248" s="481">
        <v>87.9</v>
      </c>
      <c r="D1248" s="54">
        <f t="shared" si="57"/>
        <v>9.5637036231095623E-2</v>
      </c>
      <c r="E1248" s="53"/>
      <c r="F1248" s="481">
        <f>C1248*0.81</f>
        <v>71.199000000000012</v>
      </c>
      <c r="G1248" s="54">
        <f t="shared" si="58"/>
        <v>9.4865088490917765E-2</v>
      </c>
    </row>
    <row r="1249" spans="2:7" ht="15.75">
      <c r="B1249" s="53" t="s">
        <v>31</v>
      </c>
      <c r="C1249" s="481">
        <v>66.2</v>
      </c>
      <c r="D1249" s="54">
        <f t="shared" si="57"/>
        <v>7.2026982918072024E-2</v>
      </c>
      <c r="E1249" s="53"/>
      <c r="F1249" s="481">
        <f>C1249*0.5</f>
        <v>33.1</v>
      </c>
      <c r="G1249" s="54">
        <f t="shared" si="58"/>
        <v>4.4102226562864333E-2</v>
      </c>
    </row>
    <row r="1250" spans="2:7" ht="15.75">
      <c r="B1250" s="53" t="s">
        <v>1382</v>
      </c>
      <c r="C1250" s="481">
        <v>41.4</v>
      </c>
      <c r="D1250" s="54">
        <f t="shared" si="57"/>
        <v>4.5044064846045034E-2</v>
      </c>
      <c r="E1250" s="53"/>
      <c r="F1250" s="481">
        <f>C1250</f>
        <v>41.4</v>
      </c>
      <c r="G1250" s="54">
        <f t="shared" si="58"/>
        <v>5.5161093042374119E-2</v>
      </c>
    </row>
    <row r="1251" spans="2:7" ht="15.75">
      <c r="B1251" s="53" t="s">
        <v>33</v>
      </c>
      <c r="C1251" s="481">
        <v>41.4</v>
      </c>
      <c r="D1251" s="54">
        <f t="shared" si="57"/>
        <v>4.5044064846045034E-2</v>
      </c>
      <c r="E1251" s="53"/>
      <c r="F1251" s="481">
        <f>C1251</f>
        <v>41.4</v>
      </c>
      <c r="G1251" s="54">
        <f t="shared" si="58"/>
        <v>5.5161093042374119E-2</v>
      </c>
    </row>
    <row r="1252" spans="2:7" ht="15.75">
      <c r="B1252" s="53" t="s">
        <v>3</v>
      </c>
      <c r="C1252" s="481">
        <v>15</v>
      </c>
      <c r="D1252" s="54">
        <f t="shared" si="57"/>
        <v>1.6320313350016317E-2</v>
      </c>
      <c r="E1252" s="53"/>
      <c r="F1252" s="481">
        <f>C1252</f>
        <v>15</v>
      </c>
      <c r="G1252" s="54">
        <f t="shared" si="58"/>
        <v>1.9985903276222506E-2</v>
      </c>
    </row>
    <row r="1253" spans="2:7" ht="15.75">
      <c r="B1253" s="53" t="s">
        <v>1417</v>
      </c>
      <c r="C1253" s="481">
        <v>-17</v>
      </c>
      <c r="D1253" s="54">
        <f t="shared" si="57"/>
        <v>-1.8496355130018495E-2</v>
      </c>
      <c r="E1253" s="53"/>
      <c r="F1253" s="481">
        <f>C1253</f>
        <v>-17</v>
      </c>
      <c r="G1253" s="54">
        <f t="shared" si="58"/>
        <v>-2.2650690379718841E-2</v>
      </c>
    </row>
    <row r="1254" spans="2:7" ht="15.75">
      <c r="B1254" s="53"/>
      <c r="C1254" s="481">
        <f>SUM(C1243:C1253)</f>
        <v>920.7</v>
      </c>
      <c r="D1254" s="53"/>
      <c r="E1254" s="53"/>
      <c r="F1254" s="481">
        <f>SUM(F1243:F1253)</f>
        <v>750.52899999999988</v>
      </c>
      <c r="G1254" s="53"/>
    </row>
    <row r="1255" spans="2:7" ht="15.75">
      <c r="B1255" s="53" t="s">
        <v>3065</v>
      </c>
    </row>
    <row r="1256" spans="2:7" ht="15.75">
      <c r="B1256" s="53" t="s">
        <v>482</v>
      </c>
      <c r="C1256" s="481">
        <v>2017</v>
      </c>
      <c r="D1256" s="16">
        <f>C1256+1</f>
        <v>2018</v>
      </c>
      <c r="E1256" s="16">
        <f>D1256+1</f>
        <v>2019</v>
      </c>
      <c r="F1256" s="16">
        <f>E1256+1</f>
        <v>2020</v>
      </c>
    </row>
    <row r="1257" spans="2:7" ht="15.75">
      <c r="B1257" s="53" t="s">
        <v>3066</v>
      </c>
      <c r="C1257">
        <f>Master!I48</f>
        <v>320.5</v>
      </c>
      <c r="D1257">
        <f>Master!J48</f>
        <v>324.60000000000002</v>
      </c>
      <c r="E1257">
        <f>Master!K48</f>
        <v>410.3</v>
      </c>
      <c r="F1257">
        <f>Master!L48</f>
        <v>625</v>
      </c>
    </row>
    <row r="1258" spans="2:7" ht="15.75">
      <c r="B1258" s="53" t="s">
        <v>3040</v>
      </c>
      <c r="C1258">
        <v>433.82702478170393</v>
      </c>
      <c r="D1258">
        <v>444.60804529911042</v>
      </c>
      <c r="E1258">
        <v>461.83960683422828</v>
      </c>
      <c r="F1258">
        <v>479.16652826460978</v>
      </c>
    </row>
    <row r="1259" spans="2:7">
      <c r="C1259" s="5">
        <f>C1257/C1258-1</f>
        <v>-0.26122629137437581</v>
      </c>
      <c r="D1259" s="5">
        <f>D1257/D1258-1</f>
        <v>-0.26991874431416296</v>
      </c>
      <c r="E1259" s="5">
        <f>E1257/E1258-1</f>
        <v>-0.1115963336005692</v>
      </c>
      <c r="F1259" s="5">
        <f>F1257/F1258-1</f>
        <v>0.30434820283368524</v>
      </c>
    </row>
    <row r="1261" spans="2:7" ht="15.75">
      <c r="B1261" s="58" t="s">
        <v>925</v>
      </c>
    </row>
    <row r="1262" spans="2:7" ht="15.75">
      <c r="B1262" s="53" t="s">
        <v>3071</v>
      </c>
      <c r="C1262" s="787" t="s">
        <v>3072</v>
      </c>
      <c r="D1262" s="787" t="s">
        <v>3072</v>
      </c>
      <c r="F1262" s="787" t="s">
        <v>3210</v>
      </c>
      <c r="G1262" s="787"/>
    </row>
    <row r="1263" spans="2:7" ht="15.75">
      <c r="B1263" s="636"/>
      <c r="C1263" s="788" t="s">
        <v>3073</v>
      </c>
      <c r="D1263" s="788" t="s">
        <v>1317</v>
      </c>
      <c r="E1263" s="788"/>
      <c r="F1263" s="788" t="str">
        <f>C1263</f>
        <v>Carrying</v>
      </c>
      <c r="G1263" s="788"/>
    </row>
    <row r="1264" spans="2:7" ht="15.75">
      <c r="B1264" s="53" t="s">
        <v>3067</v>
      </c>
      <c r="C1264" s="481">
        <v>752.8</v>
      </c>
      <c r="D1264" s="481">
        <v>765</v>
      </c>
      <c r="G1264" s="481"/>
    </row>
    <row r="1265" spans="2:7" ht="15.75">
      <c r="B1265" s="50" t="s">
        <v>3068</v>
      </c>
      <c r="C1265" s="638">
        <v>174.4</v>
      </c>
      <c r="D1265" s="638">
        <v>177.5</v>
      </c>
      <c r="F1265" s="3"/>
      <c r="G1265" s="638"/>
    </row>
    <row r="1266" spans="2:7" ht="15.75">
      <c r="B1266" s="53" t="s">
        <v>2046</v>
      </c>
      <c r="C1266" s="481">
        <f>SUM(C1264:C1265)</f>
        <v>927.19999999999993</v>
      </c>
      <c r="D1266" s="481">
        <f>SUM(D1264:D1265)</f>
        <v>942.5</v>
      </c>
      <c r="F1266" s="481">
        <v>929.2</v>
      </c>
      <c r="G1266" s="481"/>
    </row>
    <row r="1267" spans="2:7" ht="15.75">
      <c r="B1267" s="53"/>
      <c r="C1267" s="481"/>
    </row>
    <row r="1268" spans="2:7" ht="15.75">
      <c r="B1268" s="50" t="s">
        <v>707</v>
      </c>
      <c r="C1268" s="638">
        <v>78.5</v>
      </c>
      <c r="F1268" s="638">
        <v>50</v>
      </c>
      <c r="G1268" s="638">
        <v>22.3</v>
      </c>
    </row>
    <row r="1269" spans="2:7" ht="15.75">
      <c r="B1269" s="53" t="s">
        <v>115</v>
      </c>
      <c r="C1269" s="481">
        <f>C1266-C1268</f>
        <v>848.69999999999993</v>
      </c>
      <c r="D1269" s="481"/>
      <c r="F1269" s="481">
        <f>F1266-F1268</f>
        <v>879.2</v>
      </c>
    </row>
    <row r="1270" spans="2:7" ht="15.75">
      <c r="B1270" s="53" t="s">
        <v>3069</v>
      </c>
      <c r="C1270" s="481">
        <v>40</v>
      </c>
      <c r="D1270" s="481"/>
      <c r="F1270" s="481">
        <f>40</f>
        <v>40</v>
      </c>
      <c r="G1270" s="481">
        <v>40</v>
      </c>
    </row>
    <row r="1271" spans="2:7" ht="15.75">
      <c r="B1271" s="789" t="s">
        <v>3070</v>
      </c>
      <c r="C1271" s="701">
        <f>C1270+C1268</f>
        <v>118.5</v>
      </c>
      <c r="D1271" s="701"/>
      <c r="E1271" s="548"/>
      <c r="F1271" s="701">
        <f>F1270+F1268</f>
        <v>90</v>
      </c>
      <c r="G1271" s="790">
        <f>G1268+G1270</f>
        <v>62.3</v>
      </c>
    </row>
    <row r="1273" spans="2:7" ht="15.75">
      <c r="B1273" s="58" t="s">
        <v>29</v>
      </c>
      <c r="G1273" s="774">
        <v>43617</v>
      </c>
    </row>
    <row r="1274" spans="2:7" ht="15.75">
      <c r="B1274" s="50" t="s">
        <v>3081</v>
      </c>
      <c r="C1274" s="3"/>
      <c r="D1274" s="3"/>
      <c r="E1274" s="3"/>
      <c r="F1274" s="51" t="s">
        <v>2353</v>
      </c>
      <c r="G1274" s="51" t="s">
        <v>2353</v>
      </c>
    </row>
    <row r="1275" spans="2:7" ht="15.75">
      <c r="B1275" s="53" t="s">
        <v>3080</v>
      </c>
      <c r="F1275" s="481">
        <v>1125</v>
      </c>
    </row>
    <row r="1276" spans="2:7" ht="15.75">
      <c r="B1276" s="53"/>
      <c r="F1276" s="481"/>
    </row>
    <row r="1277" spans="2:7" ht="15.75">
      <c r="B1277" s="53" t="s">
        <v>3082</v>
      </c>
      <c r="F1277" s="481"/>
    </row>
    <row r="1278" spans="2:7" ht="15.75">
      <c r="B1278" s="53" t="s">
        <v>3074</v>
      </c>
      <c r="F1278" s="481">
        <v>190.8</v>
      </c>
    </row>
    <row r="1279" spans="2:7" ht="15.75">
      <c r="B1279" s="53" t="s">
        <v>3075</v>
      </c>
      <c r="F1279" s="481">
        <v>1250</v>
      </c>
    </row>
    <row r="1280" spans="2:7" ht="15.75">
      <c r="B1280" s="50" t="s">
        <v>3076</v>
      </c>
      <c r="C1280" s="3"/>
      <c r="D1280" s="3"/>
      <c r="E1280" s="3"/>
      <c r="F1280" s="638">
        <v>750</v>
      </c>
    </row>
    <row r="1281" spans="2:7" ht="15.75">
      <c r="B1281" s="53" t="s">
        <v>16</v>
      </c>
      <c r="F1281" s="481">
        <f>SUM(F1278:F1280)</f>
        <v>2190.8000000000002</v>
      </c>
    </row>
    <row r="1282" spans="2:7" ht="15.75">
      <c r="B1282" s="58"/>
      <c r="F1282" s="481"/>
    </row>
    <row r="1283" spans="2:7" ht="15.75">
      <c r="B1283" s="53" t="s">
        <v>3077</v>
      </c>
      <c r="F1283" s="481">
        <v>393.3</v>
      </c>
    </row>
    <row r="1284" spans="2:7" ht="15.75">
      <c r="B1284" s="53" t="s">
        <v>2787</v>
      </c>
      <c r="F1284" s="481">
        <v>20</v>
      </c>
    </row>
    <row r="1285" spans="2:7" ht="15.75">
      <c r="B1285" s="53" t="s">
        <v>3078</v>
      </c>
      <c r="F1285" s="481">
        <v>15.1</v>
      </c>
    </row>
    <row r="1286" spans="2:7" ht="15.75">
      <c r="B1286" s="50" t="s">
        <v>3079</v>
      </c>
      <c r="C1286" s="3"/>
      <c r="D1286" s="3"/>
      <c r="E1286" s="3"/>
      <c r="F1286" s="638">
        <v>45.9</v>
      </c>
    </row>
    <row r="1287" spans="2:7" ht="15.75">
      <c r="B1287" s="53" t="s">
        <v>164</v>
      </c>
      <c r="F1287" s="481">
        <f>F1275+F1281+F1283+F1284+F1285-F1286</f>
        <v>3698.3</v>
      </c>
    </row>
    <row r="1289" spans="2:7" ht="15.75">
      <c r="B1289" s="53" t="s">
        <v>707</v>
      </c>
      <c r="F1289" s="481">
        <v>325.10000000000002</v>
      </c>
      <c r="G1289" s="481">
        <v>389.3</v>
      </c>
    </row>
    <row r="1290" spans="2:7" ht="15.75">
      <c r="B1290" s="53" t="s">
        <v>3086</v>
      </c>
      <c r="F1290" s="481">
        <v>691.5</v>
      </c>
      <c r="G1290" s="481">
        <v>750</v>
      </c>
    </row>
    <row r="1291" spans="2:7" ht="15.75">
      <c r="B1291" s="789" t="s">
        <v>3087</v>
      </c>
      <c r="C1291" s="548"/>
      <c r="D1291" s="548"/>
      <c r="E1291" s="548"/>
      <c r="F1291" s="701">
        <f>F1289+F1290</f>
        <v>1016.6</v>
      </c>
      <c r="G1291" s="790">
        <f>G1289+G1290</f>
        <v>1139.3</v>
      </c>
    </row>
    <row r="1293" spans="2:7" ht="15.75">
      <c r="B1293" s="58" t="s">
        <v>899</v>
      </c>
    </row>
    <row r="1294" spans="2:7" ht="15.75">
      <c r="B1294" s="53" t="s">
        <v>3083</v>
      </c>
      <c r="F1294" s="481">
        <v>929.4</v>
      </c>
    </row>
    <row r="1295" spans="2:7" ht="15.75">
      <c r="B1295" s="53"/>
      <c r="F1295" s="481"/>
    </row>
    <row r="1296" spans="2:7" ht="15.75">
      <c r="B1296" s="53" t="s">
        <v>2787</v>
      </c>
      <c r="F1296" s="481">
        <v>48.5</v>
      </c>
    </row>
    <row r="1297" spans="2:7" ht="15.75">
      <c r="B1297" s="53" t="s">
        <v>2526</v>
      </c>
      <c r="F1297" s="481">
        <v>0.6</v>
      </c>
    </row>
    <row r="1298" spans="2:7" ht="15.75">
      <c r="B1298" s="50" t="s">
        <v>3079</v>
      </c>
      <c r="C1298" s="3"/>
      <c r="D1298" s="3"/>
      <c r="E1298" s="3"/>
      <c r="F1298" s="638">
        <v>-15.6</v>
      </c>
    </row>
    <row r="1299" spans="2:7" ht="15.75">
      <c r="B1299" s="53" t="s">
        <v>164</v>
      </c>
      <c r="F1299" s="481">
        <f>F1294+F1296+F1297+F1298</f>
        <v>962.9</v>
      </c>
    </row>
    <row r="1300" spans="2:7" ht="15.75">
      <c r="B1300" s="53" t="s">
        <v>3084</v>
      </c>
      <c r="F1300" s="481">
        <v>109.7</v>
      </c>
      <c r="G1300" s="481">
        <f>82.1*1000/725</f>
        <v>113.24137931034483</v>
      </c>
    </row>
    <row r="1301" spans="2:7" ht="15.75">
      <c r="B1301" s="53" t="s">
        <v>115</v>
      </c>
      <c r="F1301" s="481">
        <f>F1299-F1300</f>
        <v>853.19999999999993</v>
      </c>
    </row>
    <row r="1303" spans="2:7" ht="15.75">
      <c r="B1303" s="53" t="s">
        <v>3088</v>
      </c>
      <c r="F1303" s="481">
        <f>160</f>
        <v>160</v>
      </c>
    </row>
    <row r="1304" spans="2:7" ht="15.75">
      <c r="B1304" s="50" t="s">
        <v>3089</v>
      </c>
      <c r="C1304" s="3"/>
      <c r="D1304" s="3"/>
      <c r="E1304" s="3"/>
      <c r="F1304" s="638">
        <f>44*160/106.2</f>
        <v>66.290018832391709</v>
      </c>
      <c r="G1304" s="3"/>
    </row>
    <row r="1305" spans="2:7" ht="15.75">
      <c r="B1305" s="53" t="s">
        <v>3090</v>
      </c>
      <c r="F1305" s="481">
        <f>F1303+F1304</f>
        <v>226.2900188323917</v>
      </c>
      <c r="G1305" s="481">
        <v>251.3</v>
      </c>
    </row>
    <row r="1306" spans="2:7" ht="15.75">
      <c r="B1306" s="53"/>
      <c r="F1306" s="481"/>
    </row>
    <row r="1307" spans="2:7" ht="15.75">
      <c r="B1307" s="789" t="s">
        <v>3070</v>
      </c>
      <c r="C1307" s="548"/>
      <c r="D1307" s="548"/>
      <c r="E1307" s="548"/>
      <c r="F1307" s="701">
        <f>F1300+F1305</f>
        <v>335.99001883239168</v>
      </c>
      <c r="G1307" s="790">
        <f>G1300+G1305</f>
        <v>364.54137931034484</v>
      </c>
    </row>
    <row r="1309" spans="2:7" ht="15.75">
      <c r="B1309" s="53" t="s">
        <v>4424</v>
      </c>
      <c r="G1309" s="481">
        <v>15</v>
      </c>
    </row>
    <row r="1310" spans="2:7" ht="15.75">
      <c r="B1310" s="53"/>
      <c r="G1310" s="481"/>
    </row>
    <row r="1311" spans="2:7" ht="15.75">
      <c r="B1311" s="53" t="s">
        <v>4426</v>
      </c>
      <c r="G1311" s="481">
        <f>G1270+G1290+G1305+G1309</f>
        <v>1056.3</v>
      </c>
    </row>
    <row r="1312" spans="2:7" ht="15.75">
      <c r="B1312" s="53" t="s">
        <v>4425</v>
      </c>
      <c r="G1312" s="481">
        <v>957.4</v>
      </c>
    </row>
    <row r="1313" spans="2:7" ht="15.75" thickBot="1"/>
    <row r="1314" spans="2:7" ht="16.5" thickBot="1">
      <c r="B1314" s="888" t="s">
        <v>3085</v>
      </c>
      <c r="C1314" s="988"/>
      <c r="D1314" s="988"/>
      <c r="E1314" s="988"/>
      <c r="F1314" s="989">
        <f>F1271+F1291+F1307</f>
        <v>1442.5900188323917</v>
      </c>
      <c r="G1314" s="990">
        <f>G1311+G1312</f>
        <v>2013.6999999999998</v>
      </c>
    </row>
    <row r="1316" spans="2:7" ht="15.75">
      <c r="B1316" s="50" t="s">
        <v>3070</v>
      </c>
      <c r="C1316" s="51" t="s">
        <v>325</v>
      </c>
      <c r="E1316" s="53"/>
      <c r="F1316" s="53"/>
    </row>
    <row r="1317" spans="2:7" ht="15.75">
      <c r="B1317" s="53" t="s">
        <v>29</v>
      </c>
      <c r="C1317" s="53"/>
      <c r="E1317" s="53"/>
      <c r="F1317" s="53"/>
    </row>
    <row r="1318" spans="2:7" ht="15.75">
      <c r="B1318" s="53" t="s">
        <v>707</v>
      </c>
      <c r="C1318" s="630">
        <f>G1289</f>
        <v>389.3</v>
      </c>
      <c r="E1318" s="53"/>
      <c r="F1318" s="53"/>
    </row>
    <row r="1319" spans="2:7" ht="15.75">
      <c r="B1319" s="53" t="s">
        <v>3141</v>
      </c>
      <c r="C1319" s="630">
        <f>G1290</f>
        <v>750</v>
      </c>
      <c r="E1319" s="53"/>
      <c r="F1319" s="53"/>
    </row>
    <row r="1320" spans="2:7" ht="15.75">
      <c r="B1320" s="53"/>
      <c r="C1320" s="630"/>
      <c r="E1320" s="53"/>
      <c r="F1320" s="53"/>
    </row>
    <row r="1321" spans="2:7" ht="15.75">
      <c r="B1321" s="53" t="s">
        <v>899</v>
      </c>
      <c r="C1321" s="630"/>
      <c r="E1321" s="53"/>
      <c r="F1321" s="53"/>
    </row>
    <row r="1322" spans="2:7" ht="15.75">
      <c r="B1322" s="53" t="str">
        <f>B1318</f>
        <v>Cash</v>
      </c>
      <c r="C1322" s="630">
        <f>G1300</f>
        <v>113.24137931034483</v>
      </c>
      <c r="E1322" s="53"/>
      <c r="F1322" s="53"/>
    </row>
    <row r="1323" spans="2:7" ht="15.75">
      <c r="B1323" s="53" t="str">
        <f>B1319</f>
        <v>Available to draw down</v>
      </c>
      <c r="C1323" s="630">
        <f>G1305</f>
        <v>251.3</v>
      </c>
      <c r="E1323" s="53"/>
      <c r="F1323" s="53"/>
    </row>
    <row r="1324" spans="2:7" ht="15.75">
      <c r="B1324" s="53"/>
      <c r="C1324" s="630"/>
      <c r="E1324" s="53"/>
      <c r="F1324" s="53"/>
    </row>
    <row r="1325" spans="2:7" ht="15.75">
      <c r="B1325" s="53" t="s">
        <v>925</v>
      </c>
      <c r="C1325" s="630"/>
      <c r="E1325" s="53"/>
      <c r="F1325" s="53"/>
    </row>
    <row r="1326" spans="2:7" ht="15.75">
      <c r="B1326" s="53" t="str">
        <f>B1322</f>
        <v>Cash</v>
      </c>
      <c r="C1326" s="630">
        <f>G1268</f>
        <v>22.3</v>
      </c>
      <c r="E1326" s="53"/>
      <c r="F1326" s="53"/>
    </row>
    <row r="1327" spans="2:7" ht="15.75">
      <c r="B1327" s="53" t="str">
        <f>B1323</f>
        <v>Available to draw down</v>
      </c>
      <c r="C1327" s="630">
        <f>G1270</f>
        <v>40</v>
      </c>
      <c r="E1327" s="53"/>
      <c r="F1327" s="53"/>
    </row>
    <row r="1328" spans="2:7" ht="15.75">
      <c r="B1328" s="50"/>
      <c r="C1328" s="632"/>
      <c r="E1328" s="53"/>
      <c r="F1328" s="53"/>
    </row>
    <row r="1329" spans="2:6" ht="15.75">
      <c r="B1329" s="53" t="s">
        <v>3087</v>
      </c>
      <c r="C1329" s="630">
        <f>C1318+C1319+C1322+C1323+C1326+C1327</f>
        <v>1566.1413793103447</v>
      </c>
      <c r="E1329" s="53"/>
      <c r="F1329" s="53"/>
    </row>
    <row r="1330" spans="2:6" ht="15.75">
      <c r="B1330" s="53"/>
      <c r="C1330" s="53"/>
      <c r="D1330" s="53"/>
      <c r="E1330" s="53"/>
      <c r="F1330" s="53"/>
    </row>
    <row r="1331" spans="2:6">
      <c r="B1331" s="14" t="s">
        <v>3092</v>
      </c>
    </row>
    <row r="1333" spans="2:6">
      <c r="B1333" s="12" t="s">
        <v>389</v>
      </c>
      <c r="C1333" t="s">
        <v>1169</v>
      </c>
      <c r="D1333" t="s">
        <v>2461</v>
      </c>
    </row>
    <row r="1334" spans="2:6">
      <c r="B1334" t="s">
        <v>3093</v>
      </c>
      <c r="C1334">
        <v>29.99</v>
      </c>
      <c r="D1334" t="s">
        <v>3096</v>
      </c>
    </row>
    <row r="1335" spans="2:6">
      <c r="B1335" t="s">
        <v>3094</v>
      </c>
      <c r="C1335">
        <v>35.99</v>
      </c>
      <c r="D1335" t="s">
        <v>3097</v>
      </c>
    </row>
    <row r="1336" spans="2:6">
      <c r="B1336" t="s">
        <v>3095</v>
      </c>
      <c r="C1336">
        <v>54.99</v>
      </c>
      <c r="D1336" t="s">
        <v>3098</v>
      </c>
    </row>
    <row r="1337" spans="2:6">
      <c r="B1337" t="s">
        <v>3099</v>
      </c>
      <c r="C1337">
        <v>64.989999999999995</v>
      </c>
      <c r="D1337" t="s">
        <v>3100</v>
      </c>
    </row>
    <row r="1339" spans="2:6">
      <c r="B1339" s="14" t="s">
        <v>1900</v>
      </c>
    </row>
    <row r="1341" spans="2:6">
      <c r="B1341" s="12" t="s">
        <v>3131</v>
      </c>
      <c r="C1341" t="s">
        <v>1169</v>
      </c>
      <c r="D1341" t="s">
        <v>3105</v>
      </c>
      <c r="E1341" s="80" t="s">
        <v>3106</v>
      </c>
    </row>
    <row r="1342" spans="2:6">
      <c r="C1342">
        <v>51.99</v>
      </c>
      <c r="D1342">
        <v>41.99</v>
      </c>
      <c r="E1342">
        <v>30</v>
      </c>
    </row>
    <row r="1343" spans="2:6">
      <c r="C1343">
        <v>71.989999999999995</v>
      </c>
      <c r="D1343">
        <v>61.99</v>
      </c>
      <c r="E1343">
        <v>60</v>
      </c>
    </row>
    <row r="1344" spans="2:6">
      <c r="C1344">
        <v>94.99</v>
      </c>
      <c r="D1344">
        <v>84.99</v>
      </c>
      <c r="E1344">
        <v>90</v>
      </c>
    </row>
    <row r="1345" spans="2:5">
      <c r="C1345">
        <v>114.99</v>
      </c>
      <c r="D1345">
        <v>104.99</v>
      </c>
      <c r="E1345">
        <v>150</v>
      </c>
    </row>
    <row r="1346" spans="2:5">
      <c r="C1346">
        <v>159.99</v>
      </c>
      <c r="D1346">
        <v>149.99</v>
      </c>
      <c r="E1346">
        <v>300</v>
      </c>
    </row>
    <row r="1348" spans="2:5">
      <c r="B1348" s="12" t="s">
        <v>3132</v>
      </c>
      <c r="C1348" t="s">
        <v>1169</v>
      </c>
      <c r="D1348" t="s">
        <v>3105</v>
      </c>
      <c r="E1348" t="s">
        <v>2461</v>
      </c>
    </row>
    <row r="1349" spans="2:5">
      <c r="B1349" t="s">
        <v>3101</v>
      </c>
      <c r="C1349">
        <v>30.99</v>
      </c>
      <c r="D1349">
        <v>20.99</v>
      </c>
    </row>
    <row r="1350" spans="2:5">
      <c r="B1350" t="s">
        <v>3102</v>
      </c>
      <c r="C1350">
        <v>39.99</v>
      </c>
    </row>
    <row r="1351" spans="2:5">
      <c r="B1351" t="s">
        <v>3103</v>
      </c>
      <c r="C1351">
        <v>67.989999999999995</v>
      </c>
      <c r="D1351">
        <v>57.99</v>
      </c>
    </row>
    <row r="1352" spans="2:5">
      <c r="B1352" t="s">
        <v>3104</v>
      </c>
      <c r="C1352">
        <v>159.99</v>
      </c>
      <c r="D1352">
        <v>149.99</v>
      </c>
    </row>
    <row r="1354" spans="2:5">
      <c r="C1354" t="s">
        <v>1169</v>
      </c>
      <c r="D1354" t="s">
        <v>1044</v>
      </c>
    </row>
    <row r="1355" spans="2:5">
      <c r="B1355" s="12" t="s">
        <v>1870</v>
      </c>
      <c r="C1355">
        <v>29.99</v>
      </c>
      <c r="D1355" t="s">
        <v>3107</v>
      </c>
    </row>
    <row r="1357" spans="2:5">
      <c r="B1357" s="14" t="s">
        <v>3111</v>
      </c>
    </row>
    <row r="1359" spans="2:5">
      <c r="B1359" t="s">
        <v>3109</v>
      </c>
      <c r="C1359" t="s">
        <v>1169</v>
      </c>
      <c r="D1359" t="s">
        <v>1044</v>
      </c>
      <c r="E1359" s="80" t="s">
        <v>3106</v>
      </c>
    </row>
    <row r="1360" spans="2:5">
      <c r="C1360">
        <v>29.99</v>
      </c>
      <c r="D1360" t="s">
        <v>3107</v>
      </c>
      <c r="E1360">
        <v>1</v>
      </c>
    </row>
    <row r="1361" spans="2:5">
      <c r="C1361">
        <v>34.99</v>
      </c>
      <c r="D1361" t="s">
        <v>3107</v>
      </c>
      <c r="E1361">
        <v>2</v>
      </c>
    </row>
    <row r="1362" spans="2:5">
      <c r="C1362">
        <v>37.99</v>
      </c>
      <c r="D1362" t="s">
        <v>3107</v>
      </c>
      <c r="E1362">
        <v>3</v>
      </c>
    </row>
    <row r="1363" spans="2:5">
      <c r="C1363">
        <v>39.99</v>
      </c>
      <c r="D1363" t="s">
        <v>3107</v>
      </c>
      <c r="E1363">
        <v>4</v>
      </c>
    </row>
    <row r="1364" spans="2:5">
      <c r="C1364">
        <v>44.99</v>
      </c>
      <c r="D1364" t="s">
        <v>3107</v>
      </c>
      <c r="E1364">
        <v>5</v>
      </c>
    </row>
    <row r="1365" spans="2:5">
      <c r="C1365">
        <v>47.99</v>
      </c>
      <c r="D1365" t="s">
        <v>3107</v>
      </c>
      <c r="E1365">
        <v>8</v>
      </c>
    </row>
    <row r="1366" spans="2:5">
      <c r="C1366">
        <v>54.99</v>
      </c>
      <c r="D1366" t="s">
        <v>3107</v>
      </c>
      <c r="E1366">
        <v>10</v>
      </c>
    </row>
    <row r="1368" spans="2:5">
      <c r="B1368" s="12" t="s">
        <v>1599</v>
      </c>
    </row>
    <row r="1369" spans="2:5">
      <c r="B1369" t="s">
        <v>2504</v>
      </c>
      <c r="C1369">
        <v>56.6</v>
      </c>
    </row>
    <row r="1370" spans="2:5">
      <c r="B1370" t="s">
        <v>3108</v>
      </c>
      <c r="C1370">
        <v>84.6</v>
      </c>
    </row>
    <row r="1372" spans="2:5">
      <c r="B1372" s="12" t="s">
        <v>3130</v>
      </c>
    </row>
    <row r="1373" spans="2:5">
      <c r="B1373" t="s">
        <v>3110</v>
      </c>
    </row>
    <row r="1375" spans="2:5">
      <c r="B1375" s="12" t="s">
        <v>3112</v>
      </c>
    </row>
    <row r="1376" spans="2:5">
      <c r="B1376" s="12" t="s">
        <v>1364</v>
      </c>
      <c r="C1376" t="s">
        <v>1122</v>
      </c>
      <c r="D1376" t="s">
        <v>3129</v>
      </c>
    </row>
    <row r="1377" spans="2:8" ht="17.25" customHeight="1">
      <c r="B1377" t="s">
        <v>3133</v>
      </c>
      <c r="C1377" t="s">
        <v>3114</v>
      </c>
      <c r="D1377" s="791" t="s">
        <v>3113</v>
      </c>
    </row>
    <row r="1378" spans="2:8">
      <c r="B1378" t="s">
        <v>3134</v>
      </c>
      <c r="C1378" t="s">
        <v>3116</v>
      </c>
      <c r="D1378" s="791" t="s">
        <v>3115</v>
      </c>
    </row>
    <row r="1379" spans="2:8">
      <c r="C1379" t="s">
        <v>3118</v>
      </c>
      <c r="D1379" s="791" t="s">
        <v>3117</v>
      </c>
    </row>
    <row r="1380" spans="2:8">
      <c r="C1380" t="s">
        <v>3120</v>
      </c>
      <c r="D1380" s="791" t="s">
        <v>3119</v>
      </c>
    </row>
    <row r="1381" spans="2:8">
      <c r="C1381" t="s">
        <v>3122</v>
      </c>
      <c r="D1381" s="791" t="s">
        <v>3121</v>
      </c>
    </row>
    <row r="1382" spans="2:8">
      <c r="C1382" t="s">
        <v>3124</v>
      </c>
      <c r="D1382" s="791" t="s">
        <v>3123</v>
      </c>
    </row>
    <row r="1383" spans="2:8">
      <c r="C1383" t="s">
        <v>3126</v>
      </c>
      <c r="D1383" s="791" t="s">
        <v>3125</v>
      </c>
    </row>
    <row r="1384" spans="2:8">
      <c r="C1384" t="s">
        <v>3128</v>
      </c>
      <c r="D1384" s="791" t="s">
        <v>3127</v>
      </c>
    </row>
    <row r="1387" spans="2:8">
      <c r="B1387" s="14" t="s">
        <v>3164</v>
      </c>
    </row>
    <row r="1389" spans="2:8">
      <c r="C1389" s="12" t="s">
        <v>3173</v>
      </c>
      <c r="F1389" s="12" t="s">
        <v>3171</v>
      </c>
    </row>
    <row r="1390" spans="2:8" ht="15.75">
      <c r="C1390" s="36" t="s">
        <v>3158</v>
      </c>
      <c r="D1390" s="53"/>
      <c r="F1390" s="36" t="s">
        <v>3159</v>
      </c>
      <c r="G1390" t="s">
        <v>3172</v>
      </c>
      <c r="H1390" t="s">
        <v>3160</v>
      </c>
    </row>
    <row r="1391" spans="2:8" ht="15.75">
      <c r="B1391" t="str">
        <f>'New quarts'!B201</f>
        <v>CWC</v>
      </c>
      <c r="C1391" s="6">
        <f>'New quarts'!Q201+(3/'New quarts'!M190)</f>
        <v>1.7277044854881268E-2</v>
      </c>
      <c r="D1391" s="53"/>
      <c r="F1391" s="481">
        <f>'New quarts'!Q211+9</f>
        <v>232.9</v>
      </c>
      <c r="G1391" s="6">
        <v>3.5999999999999997E-2</v>
      </c>
      <c r="H1391" s="6">
        <f>(G1391+9/'New quarts'!M209)</f>
        <v>7.786046511627906E-2</v>
      </c>
    </row>
    <row r="1392" spans="2:8" ht="15.75">
      <c r="B1392" t="str">
        <f>'New quarts'!B204</f>
        <v>Puerto Rico</v>
      </c>
      <c r="C1392" s="6">
        <f>'New quarts'!Q204+(19/'New quarts'!M19)</f>
        <v>2.629770992366412E-2</v>
      </c>
      <c r="D1392" s="53"/>
      <c r="F1392" s="481">
        <f>'New quarts'!Q242+15</f>
        <v>54.6</v>
      </c>
      <c r="G1392" s="6">
        <v>-0.29399999999999998</v>
      </c>
      <c r="H1392" s="6">
        <f>(G1392+15/'New quarts'!M242)</f>
        <v>-4.5792563600782765E-4</v>
      </c>
    </row>
    <row r="1393" spans="2:8" ht="15.75">
      <c r="B1393" t="str">
        <f>'New quarts'!B205</f>
        <v>Group</v>
      </c>
      <c r="C1393" s="6">
        <f>'New quarts'!Q205+((19+3)/'New quarts'!M194)</f>
        <v>2.8605748797673636E-2</v>
      </c>
      <c r="D1393" s="53"/>
      <c r="F1393" s="481">
        <f>'New quarts'!Q236+15+9</f>
        <v>383</v>
      </c>
      <c r="G1393" s="6">
        <v>2E-3</v>
      </c>
      <c r="H1393" s="6">
        <f>(G1393+(15+9)/'New quarts'!M236)</f>
        <v>7.0571428571428577E-2</v>
      </c>
    </row>
    <row r="1399" spans="2:8" ht="15.75">
      <c r="B1399" s="636" t="s">
        <v>984</v>
      </c>
      <c r="C1399" s="642" t="s">
        <v>3156</v>
      </c>
      <c r="D1399" s="642" t="s">
        <v>3359</v>
      </c>
      <c r="E1399" s="642" t="s">
        <v>3360</v>
      </c>
      <c r="F1399" s="642">
        <v>2017</v>
      </c>
      <c r="G1399" s="642" t="s">
        <v>3361</v>
      </c>
    </row>
    <row r="1400" spans="2:8" ht="15.75">
      <c r="B1400" s="53" t="s">
        <v>15</v>
      </c>
      <c r="C1400" s="79">
        <v>19</v>
      </c>
      <c r="D1400" s="79" t="s">
        <v>3166</v>
      </c>
      <c r="E1400" s="79">
        <v>90</v>
      </c>
      <c r="F1400" s="79"/>
    </row>
    <row r="1401" spans="2:8" ht="15.75">
      <c r="B1401" s="53" t="s">
        <v>8</v>
      </c>
      <c r="C1401" s="79">
        <v>15</v>
      </c>
      <c r="D1401" s="79" t="s">
        <v>3167</v>
      </c>
      <c r="E1401" s="79">
        <v>65</v>
      </c>
      <c r="F1401" s="79"/>
    </row>
    <row r="1402" spans="2:8" ht="15.75">
      <c r="B1402" s="53"/>
      <c r="C1402" s="79"/>
      <c r="D1402" s="79"/>
      <c r="E1402" s="79"/>
      <c r="F1402" s="79"/>
    </row>
    <row r="1403" spans="2:8" ht="15.75">
      <c r="B1403" s="58" t="s">
        <v>29</v>
      </c>
      <c r="C1403" s="816"/>
      <c r="D1403" s="816"/>
      <c r="E1403" s="816"/>
      <c r="F1403" s="816"/>
    </row>
    <row r="1404" spans="2:8" ht="15.75">
      <c r="B1404" s="53" t="str">
        <f>B1400</f>
        <v>Revenue</v>
      </c>
      <c r="C1404" s="79">
        <v>3</v>
      </c>
      <c r="D1404" s="79" t="s">
        <v>3168</v>
      </c>
      <c r="E1404" s="79">
        <v>7</v>
      </c>
      <c r="F1404" s="79"/>
    </row>
    <row r="1405" spans="2:8" ht="15.75">
      <c r="B1405" s="53" t="str">
        <f>B1401</f>
        <v>EBITDA</v>
      </c>
      <c r="C1405" s="79">
        <v>9</v>
      </c>
      <c r="D1405" s="79" t="s">
        <v>3168</v>
      </c>
      <c r="E1405" s="79">
        <v>8</v>
      </c>
      <c r="F1405" s="79"/>
    </row>
    <row r="1406" spans="2:8" ht="15.75">
      <c r="B1406" s="53"/>
      <c r="C1406" s="79"/>
      <c r="D1406" s="79"/>
      <c r="E1406" s="79"/>
      <c r="F1406" s="79"/>
    </row>
    <row r="1407" spans="2:8" ht="15.75">
      <c r="B1407" s="58" t="s">
        <v>16</v>
      </c>
      <c r="C1407" s="79"/>
      <c r="D1407" s="79"/>
      <c r="E1407" s="79"/>
      <c r="F1407" s="79"/>
    </row>
    <row r="1408" spans="2:8" ht="15.75">
      <c r="B1408" s="53" t="str">
        <f>B1404</f>
        <v>Revenue</v>
      </c>
      <c r="C1408" s="79">
        <f>C1400+C1404</f>
        <v>22</v>
      </c>
      <c r="D1408" s="79">
        <f>90+20</f>
        <v>110</v>
      </c>
      <c r="E1408" s="79">
        <f>E1400+E1404</f>
        <v>97</v>
      </c>
      <c r="F1408" s="79">
        <f>C1408+D1408</f>
        <v>132</v>
      </c>
      <c r="G1408" s="79">
        <f>C1408+E1408</f>
        <v>119</v>
      </c>
    </row>
    <row r="1409" spans="2:17" ht="15.75">
      <c r="B1409" s="53" t="str">
        <f>B1405</f>
        <v>EBITDA</v>
      </c>
      <c r="C1409" s="79">
        <f>C1401+C1405</f>
        <v>24</v>
      </c>
      <c r="D1409" s="79">
        <f>70+20</f>
        <v>90</v>
      </c>
      <c r="E1409" s="79">
        <f>E1401+E1405</f>
        <v>73</v>
      </c>
      <c r="F1409" s="79">
        <f>C1409+D1409</f>
        <v>114</v>
      </c>
      <c r="G1409" s="79">
        <f>C1409+E1409</f>
        <v>97</v>
      </c>
    </row>
    <row r="1410" spans="2:17" ht="15.75">
      <c r="B1410" s="53"/>
      <c r="C1410" s="53"/>
      <c r="D1410" s="53"/>
      <c r="F1410" s="53"/>
    </row>
    <row r="1411" spans="2:17" ht="15.75">
      <c r="B1411" s="53" t="s">
        <v>3169</v>
      </c>
      <c r="C1411" s="53"/>
      <c r="D1411" s="53"/>
      <c r="F1411" s="53"/>
    </row>
    <row r="1412" spans="2:17" ht="15.75">
      <c r="B1412" s="53" t="s">
        <v>984</v>
      </c>
      <c r="C1412" s="53"/>
      <c r="D1412" s="53"/>
      <c r="F1412" s="53">
        <v>100</v>
      </c>
    </row>
    <row r="1413" spans="2:17" ht="15.75">
      <c r="B1413" s="50" t="s">
        <v>29</v>
      </c>
      <c r="C1413" s="50"/>
      <c r="D1413" s="50"/>
      <c r="F1413" s="50">
        <v>50</v>
      </c>
    </row>
    <row r="1414" spans="2:17" ht="15.75">
      <c r="B1414" s="58" t="s">
        <v>16</v>
      </c>
      <c r="C1414" s="12"/>
      <c r="D1414" s="12"/>
      <c r="F1414" s="58">
        <f>SUM(F1412:F1413)</f>
        <v>150</v>
      </c>
    </row>
    <row r="1416" spans="2:17">
      <c r="B1416" s="14" t="s">
        <v>3212</v>
      </c>
    </row>
    <row r="1418" spans="2:17" ht="16.5" thickBot="1">
      <c r="B1418" s="809" t="s">
        <v>2353</v>
      </c>
      <c r="C1418" s="824" t="s">
        <v>2570</v>
      </c>
      <c r="D1418" s="824" t="s">
        <v>2866</v>
      </c>
      <c r="E1418" s="824" t="s">
        <v>3156</v>
      </c>
      <c r="F1418" s="824" t="s">
        <v>3165</v>
      </c>
      <c r="G1418" s="824" t="s">
        <v>3482</v>
      </c>
      <c r="H1418" s="824" t="s">
        <v>3779</v>
      </c>
      <c r="I1418" s="824" t="s">
        <v>3859</v>
      </c>
      <c r="J1418" s="824" t="s">
        <v>3860</v>
      </c>
      <c r="K1418" s="824" t="s">
        <v>3013</v>
      </c>
      <c r="L1418" s="824" t="s">
        <v>3671</v>
      </c>
      <c r="M1418" s="824" t="s">
        <v>3668</v>
      </c>
      <c r="N1418" s="824" t="s">
        <v>3669</v>
      </c>
      <c r="O1418" s="824" t="s">
        <v>3670</v>
      </c>
    </row>
    <row r="1419" spans="2:17" ht="15.75">
      <c r="B1419" s="825" t="s">
        <v>15</v>
      </c>
      <c r="C1419" s="826">
        <f>'LiLAC valuation'!R351</f>
        <v>106.7</v>
      </c>
      <c r="D1419" s="826">
        <f>'LiLAC valuation'!S351</f>
        <v>108.3</v>
      </c>
      <c r="E1419" s="826">
        <f>'LiLAC valuation'!T351</f>
        <v>88.6</v>
      </c>
      <c r="F1419" s="826">
        <f>'LiLAC valuation'!U351</f>
        <v>16.899999999999999</v>
      </c>
      <c r="G1419" s="826">
        <f>'LiLAC valuation'!V351</f>
        <v>61.8</v>
      </c>
      <c r="H1419" s="826">
        <f>'LiLAC valuation'!W351</f>
        <v>99.6</v>
      </c>
      <c r="I1419" s="826">
        <f>'LiLAC valuation'!X351</f>
        <v>88.6</v>
      </c>
      <c r="J1419" s="826">
        <f>'LiLAC valuation'!Y351</f>
        <v>93.9</v>
      </c>
      <c r="K1419" s="826" t="e">
        <f>'LiLAC valuation'!#REF!</f>
        <v>#REF!</v>
      </c>
      <c r="L1419" s="826" t="e">
        <f>AVERAGE(K1423,L1423)*L1428*3/1000</f>
        <v>#REF!</v>
      </c>
      <c r="M1419" s="826" t="e">
        <f>AVERAGE(L1423,M1423)*M1428*3/1000</f>
        <v>#REF!</v>
      </c>
      <c r="N1419" s="826" t="e">
        <f>AVERAGE(M1423,N1423)*N1428*3/1000</f>
        <v>#REF!</v>
      </c>
      <c r="O1419" s="827" t="e">
        <f>Master!K48-L1419-M1419-N1419</f>
        <v>#REF!</v>
      </c>
    </row>
    <row r="1420" spans="2:17" ht="15.75">
      <c r="B1420" s="828" t="s">
        <v>8</v>
      </c>
      <c r="C1420" s="728">
        <f>'LiLAC valuation'!R382</f>
        <v>51.3</v>
      </c>
      <c r="D1420" s="728">
        <f>'LiLAC valuation'!S382</f>
        <v>53.8</v>
      </c>
      <c r="E1420" s="728">
        <f>'LiLAC valuation'!T382</f>
        <v>39.6</v>
      </c>
      <c r="F1420" s="728">
        <f>'LiLAC valuation'!U382</f>
        <v>-12.1</v>
      </c>
      <c r="G1420" s="728">
        <f>'LiLAC valuation'!V382</f>
        <v>18</v>
      </c>
      <c r="H1420" s="728">
        <f>'LiLAC valuation'!W382</f>
        <v>35.700000000000003</v>
      </c>
      <c r="I1420" s="728">
        <f>'LiLAC valuation'!X382</f>
        <v>39</v>
      </c>
      <c r="J1420" s="728">
        <f>'LiLAC valuation'!Y382</f>
        <v>43.099999999999994</v>
      </c>
      <c r="K1420" s="728" t="e">
        <f>'LiLAC valuation'!#REF!</f>
        <v>#REF!</v>
      </c>
      <c r="L1420" s="728" t="e">
        <f>'LiLAC valuation'!#REF!</f>
        <v>#REF!</v>
      </c>
      <c r="M1420" s="728" t="e">
        <f>'LiLAC valuation'!#REF!</f>
        <v>#REF!</v>
      </c>
      <c r="N1420" s="728" t="e">
        <f>'LiLAC valuation'!#REF!</f>
        <v>#REF!</v>
      </c>
      <c r="O1420" s="829" t="e">
        <f>'LiLAC valuation'!#REF!</f>
        <v>#REF!</v>
      </c>
    </row>
    <row r="1421" spans="2:17" ht="16.5" thickBot="1">
      <c r="B1421" s="830" t="s">
        <v>251</v>
      </c>
      <c r="C1421" s="831">
        <f t="shared" ref="C1421:K1421" si="59">C1420/C1419</f>
        <v>0.48078725398313021</v>
      </c>
      <c r="D1421" s="831">
        <f t="shared" si="59"/>
        <v>0.49676823638042472</v>
      </c>
      <c r="E1421" s="831">
        <f t="shared" si="59"/>
        <v>0.44695259593679465</v>
      </c>
      <c r="F1421" s="831">
        <f t="shared" si="59"/>
        <v>-0.71597633136094674</v>
      </c>
      <c r="G1421" s="831">
        <f t="shared" si="59"/>
        <v>0.29126213592233013</v>
      </c>
      <c r="H1421" s="831">
        <f t="shared" si="59"/>
        <v>0.35843373493975911</v>
      </c>
      <c r="I1421" s="831">
        <f t="shared" si="59"/>
        <v>0.44018058690744921</v>
      </c>
      <c r="J1421" s="831">
        <f t="shared" si="59"/>
        <v>0.45899893503727363</v>
      </c>
      <c r="K1421" s="831" t="e">
        <f t="shared" si="59"/>
        <v>#REF!</v>
      </c>
      <c r="L1421" s="831">
        <v>0.45</v>
      </c>
      <c r="M1421" s="831">
        <v>0.45</v>
      </c>
      <c r="N1421" s="831">
        <v>0.45</v>
      </c>
      <c r="O1421" s="832" t="e">
        <f>O1420/O1419</f>
        <v>#REF!</v>
      </c>
    </row>
    <row r="1422" spans="2:17" ht="16.5" thickBot="1">
      <c r="B1422" s="809"/>
      <c r="C1422" s="809"/>
      <c r="D1422" s="809"/>
      <c r="E1422" s="809"/>
      <c r="F1422" s="809"/>
      <c r="G1422" s="809"/>
      <c r="H1422" s="809"/>
      <c r="I1422" s="809"/>
      <c r="J1422" s="809"/>
      <c r="K1422" s="809"/>
      <c r="L1422" s="603"/>
      <c r="M1422" s="603"/>
      <c r="N1422" s="603"/>
      <c r="O1422" s="603"/>
    </row>
    <row r="1423" spans="2:17" ht="16.5" thickBot="1">
      <c r="B1423" s="833" t="s">
        <v>3627</v>
      </c>
      <c r="C1423" s="851">
        <f>'LiLAC valuation'!R339</f>
        <v>805.6</v>
      </c>
      <c r="D1423" s="851">
        <f>'LiLAC valuation'!S339</f>
        <v>803.2</v>
      </c>
      <c r="E1423" s="851">
        <f>'LiLAC valuation'!T339</f>
        <v>803.5</v>
      </c>
      <c r="F1423" s="851">
        <f>'LiLAC valuation'!U339</f>
        <v>340</v>
      </c>
      <c r="G1423" s="851">
        <v>559</v>
      </c>
      <c r="H1423" s="851">
        <v>646.70000000000005</v>
      </c>
      <c r="I1423" s="851">
        <v>698.6</v>
      </c>
      <c r="J1423" s="851">
        <f t="shared" ref="J1423:O1423" si="60">J1424</f>
        <v>738.6</v>
      </c>
      <c r="K1423" s="851" t="e">
        <f t="shared" si="60"/>
        <v>#REF!</v>
      </c>
      <c r="L1423" s="851" t="e">
        <f t="shared" si="60"/>
        <v>#REF!</v>
      </c>
      <c r="M1423" s="851" t="e">
        <f t="shared" si="60"/>
        <v>#REF!</v>
      </c>
      <c r="N1423" s="851" t="e">
        <f t="shared" si="60"/>
        <v>#REF!</v>
      </c>
      <c r="O1423" s="852" t="e">
        <f t="shared" si="60"/>
        <v>#REF!</v>
      </c>
    </row>
    <row r="1424" spans="2:17" ht="15.75">
      <c r="B1424" s="809" t="s">
        <v>573</v>
      </c>
      <c r="C1424" s="728">
        <f>C1423</f>
        <v>805.6</v>
      </c>
      <c r="D1424" s="728">
        <f>D1423</f>
        <v>803.2</v>
      </c>
      <c r="E1424" s="728">
        <f>E1423</f>
        <v>803.5</v>
      </c>
      <c r="F1424" s="728">
        <v>739</v>
      </c>
      <c r="G1424" s="728">
        <v>723</v>
      </c>
      <c r="H1424" s="728">
        <v>711.2</v>
      </c>
      <c r="I1424" s="728">
        <v>698.6</v>
      </c>
      <c r="J1424" s="728">
        <f>'LiLAC valuation'!Y339</f>
        <v>738.6</v>
      </c>
      <c r="K1424" s="728" t="e">
        <f>'LiLAC valuation'!#REF!</f>
        <v>#REF!</v>
      </c>
      <c r="L1424" s="728" t="e">
        <f>'LiLAC valuation'!#REF!</f>
        <v>#REF!</v>
      </c>
      <c r="M1424" s="728" t="e">
        <f>'LiLAC valuation'!#REF!</f>
        <v>#REF!</v>
      </c>
      <c r="N1424" s="728" t="e">
        <f>'LiLAC valuation'!#REF!</f>
        <v>#REF!</v>
      </c>
      <c r="O1424" s="728" t="e">
        <f>'LiLAC valuation'!#REF!</f>
        <v>#REF!</v>
      </c>
      <c r="Q1424" s="16"/>
    </row>
    <row r="1425" spans="2:17" ht="15.75">
      <c r="B1425" s="809" t="s">
        <v>2807</v>
      </c>
      <c r="C1425" s="728"/>
      <c r="D1425" s="728">
        <f t="shared" ref="D1425:J1425" si="61">D1424-C1424</f>
        <v>-2.3999999999999773</v>
      </c>
      <c r="E1425" s="728">
        <f t="shared" si="61"/>
        <v>0.29999999999995453</v>
      </c>
      <c r="F1425" s="728">
        <f t="shared" si="61"/>
        <v>-64.5</v>
      </c>
      <c r="G1425" s="728">
        <f t="shared" si="61"/>
        <v>-16</v>
      </c>
      <c r="H1425" s="728">
        <f t="shared" si="61"/>
        <v>-11.799999999999955</v>
      </c>
      <c r="I1425" s="728">
        <f t="shared" si="61"/>
        <v>-12.600000000000023</v>
      </c>
      <c r="J1425" s="728">
        <f t="shared" si="61"/>
        <v>40</v>
      </c>
      <c r="K1425" s="728" t="e">
        <f>K1424-I1424</f>
        <v>#REF!</v>
      </c>
      <c r="L1425" s="728" t="e">
        <f>L1424-K1424</f>
        <v>#REF!</v>
      </c>
      <c r="M1425" s="728" t="e">
        <f>M1424-L1424</f>
        <v>#REF!</v>
      </c>
      <c r="N1425" s="728" t="e">
        <f>N1424-M1424</f>
        <v>#REF!</v>
      </c>
      <c r="O1425" s="728" t="e">
        <f>O1424-N1424</f>
        <v>#REF!</v>
      </c>
      <c r="Q1425" s="16"/>
    </row>
    <row r="1426" spans="2:17" ht="15.75">
      <c r="B1426" s="809" t="s">
        <v>3628</v>
      </c>
      <c r="C1426" s="728">
        <f t="shared" ref="C1426:O1426" si="62">C1424-C1423</f>
        <v>0</v>
      </c>
      <c r="D1426" s="728">
        <f t="shared" si="62"/>
        <v>0</v>
      </c>
      <c r="E1426" s="728">
        <f t="shared" si="62"/>
        <v>0</v>
      </c>
      <c r="F1426" s="728">
        <f t="shared" si="62"/>
        <v>399</v>
      </c>
      <c r="G1426" s="728">
        <f t="shared" si="62"/>
        <v>164</v>
      </c>
      <c r="H1426" s="728">
        <f t="shared" si="62"/>
        <v>64.5</v>
      </c>
      <c r="I1426" s="728">
        <f t="shared" si="62"/>
        <v>0</v>
      </c>
      <c r="J1426" s="728">
        <f t="shared" si="62"/>
        <v>0</v>
      </c>
      <c r="K1426" s="728" t="e">
        <f t="shared" si="62"/>
        <v>#REF!</v>
      </c>
      <c r="L1426" s="728" t="e">
        <f t="shared" si="62"/>
        <v>#REF!</v>
      </c>
      <c r="M1426" s="728" t="e">
        <f t="shared" si="62"/>
        <v>#REF!</v>
      </c>
      <c r="N1426" s="728" t="e">
        <f t="shared" si="62"/>
        <v>#REF!</v>
      </c>
      <c r="O1426" s="728" t="e">
        <f t="shared" si="62"/>
        <v>#REF!</v>
      </c>
    </row>
    <row r="1427" spans="2:17" ht="16.5" thickBot="1">
      <c r="B1427" s="809"/>
      <c r="C1427" s="809"/>
      <c r="D1427" s="809"/>
      <c r="E1427" s="809"/>
      <c r="F1427" s="809"/>
      <c r="G1427" s="809"/>
      <c r="I1427" s="809"/>
      <c r="J1427" s="809"/>
      <c r="K1427" s="809"/>
      <c r="L1427" s="603"/>
      <c r="M1427" s="603"/>
      <c r="N1427" s="603"/>
      <c r="O1427" s="603"/>
    </row>
    <row r="1428" spans="2:17" ht="16.5" thickBot="1">
      <c r="B1428" s="833" t="s">
        <v>3629</v>
      </c>
      <c r="C1428" s="834">
        <f>'LiLAC valuation'!R375</f>
        <v>44.149288315127443</v>
      </c>
      <c r="D1428" s="834">
        <f>'LiLAC valuation'!S375</f>
        <v>44.878170064644451</v>
      </c>
      <c r="E1428" s="834">
        <f>'LiLAC valuation'!T375</f>
        <v>36.762722765087858</v>
      </c>
      <c r="F1428" s="834">
        <f>'LiLAC valuation'!U375</f>
        <v>9.8527911383180289</v>
      </c>
      <c r="G1428" s="834">
        <f>'LiLAC valuation'!V375</f>
        <v>45.777777777777779</v>
      </c>
      <c r="H1428" s="834">
        <f>'LiLAC valuation'!W375</f>
        <v>55.026104251263774</v>
      </c>
      <c r="I1428" s="834">
        <f>'LiLAC valuation'!X375</f>
        <v>43.905944151242586</v>
      </c>
      <c r="J1428" s="834">
        <f>'LiLAC valuation'!Y375</f>
        <v>43.556916225994989</v>
      </c>
      <c r="K1428" s="834" t="e">
        <f>'LiLAC valuation'!#REF!</f>
        <v>#REF!</v>
      </c>
      <c r="L1428" s="834" t="e">
        <f>'LiLAC valuation'!#REF!</f>
        <v>#REF!</v>
      </c>
      <c r="M1428" s="834" t="e">
        <f>'LiLAC valuation'!#REF!</f>
        <v>#REF!</v>
      </c>
      <c r="N1428" s="834" t="e">
        <f>'LiLAC valuation'!#REF!</f>
        <v>#REF!</v>
      </c>
      <c r="O1428" s="835" t="e">
        <f>'LiLAC valuation'!#REF!</f>
        <v>#REF!</v>
      </c>
    </row>
    <row r="1429" spans="2:17" ht="15.75">
      <c r="B1429" s="809"/>
      <c r="C1429" s="809"/>
      <c r="D1429" s="809"/>
      <c r="E1429" s="809"/>
      <c r="F1429" s="809"/>
      <c r="G1429" s="809"/>
      <c r="I1429" s="809"/>
      <c r="J1429" s="809"/>
      <c r="K1429" s="809"/>
      <c r="L1429" s="603"/>
      <c r="M1429" s="603"/>
      <c r="N1429" s="603"/>
      <c r="O1429" s="603"/>
    </row>
    <row r="1430" spans="2:17" ht="15.75">
      <c r="B1430" s="809" t="s">
        <v>3622</v>
      </c>
      <c r="C1430" s="728">
        <f>'LiLAC valuation'!R398</f>
        <v>26.9</v>
      </c>
      <c r="D1430" s="728">
        <f>'LiLAC valuation'!S398</f>
        <v>21.200000000000003</v>
      </c>
      <c r="E1430" s="728">
        <f>'LiLAC valuation'!T398</f>
        <v>21.800000000000004</v>
      </c>
      <c r="F1430" s="728">
        <f>'LiLAC valuation'!U398</f>
        <v>20.999999999999993</v>
      </c>
      <c r="G1430" s="728">
        <f>'LiLAC valuation'!V398</f>
        <v>55</v>
      </c>
      <c r="H1430" s="728">
        <f>'LiLAC valuation'!W398</f>
        <v>45</v>
      </c>
      <c r="I1430" s="728">
        <f>'LiLAC valuation'!X398</f>
        <v>30</v>
      </c>
      <c r="J1430" s="728">
        <f>'LiLAC valuation'!Y398</f>
        <v>0</v>
      </c>
      <c r="K1430" s="728" t="e">
        <f>'LiLAC valuation'!#REF!</f>
        <v>#REF!</v>
      </c>
      <c r="L1430" s="728">
        <v>25</v>
      </c>
      <c r="M1430" s="728">
        <v>25</v>
      </c>
      <c r="N1430" s="728">
        <v>23</v>
      </c>
      <c r="O1430" s="728">
        <f>Master!K117-L1430-M1430-N1430</f>
        <v>121.625</v>
      </c>
    </row>
    <row r="1431" spans="2:17" ht="15.75">
      <c r="B1431" s="809" t="s">
        <v>91</v>
      </c>
      <c r="C1431" s="811">
        <f t="shared" ref="C1431:O1431" si="63">C1430/C1419</f>
        <v>0.2521087160262418</v>
      </c>
      <c r="D1431" s="811">
        <f t="shared" si="63"/>
        <v>0.19575253924284397</v>
      </c>
      <c r="E1431" s="811">
        <f t="shared" si="63"/>
        <v>0.24604966139954859</v>
      </c>
      <c r="F1431" s="811">
        <f t="shared" si="63"/>
        <v>1.2426035502958577</v>
      </c>
      <c r="G1431" s="811">
        <f t="shared" si="63"/>
        <v>0.88996763754045316</v>
      </c>
      <c r="H1431" s="811">
        <f t="shared" si="63"/>
        <v>0.45180722891566266</v>
      </c>
      <c r="I1431" s="811">
        <f t="shared" si="63"/>
        <v>0.33860045146726864</v>
      </c>
      <c r="J1431" s="811">
        <f t="shared" si="63"/>
        <v>0</v>
      </c>
      <c r="K1431" s="811" t="e">
        <f t="shared" si="63"/>
        <v>#REF!</v>
      </c>
      <c r="L1431" s="811" t="e">
        <f t="shared" si="63"/>
        <v>#REF!</v>
      </c>
      <c r="M1431" s="811" t="e">
        <f t="shared" si="63"/>
        <v>#REF!</v>
      </c>
      <c r="N1431" s="811" t="e">
        <f t="shared" si="63"/>
        <v>#REF!</v>
      </c>
      <c r="O1431" s="811" t="e">
        <f t="shared" si="63"/>
        <v>#REF!</v>
      </c>
    </row>
    <row r="1432" spans="2:17" ht="15.75">
      <c r="B1432" s="809" t="s">
        <v>3623</v>
      </c>
      <c r="C1432" s="728">
        <f>'LiLAC valuation'!R399</f>
        <v>23.3</v>
      </c>
      <c r="D1432" s="728">
        <f>'LiLAC valuation'!S399</f>
        <v>22.400000000000002</v>
      </c>
      <c r="E1432" s="728">
        <f>'LiLAC valuation'!T399</f>
        <v>19.899999999999995</v>
      </c>
      <c r="F1432" s="728">
        <f>'LiLAC valuation'!U399</f>
        <v>66.599999999999994</v>
      </c>
      <c r="G1432" s="728">
        <f>'LiLAC valuation'!V399</f>
        <v>70</v>
      </c>
      <c r="H1432" s="728">
        <f>'LiLAC valuation'!W399</f>
        <v>45</v>
      </c>
      <c r="I1432" s="728">
        <f>'LiLAC valuation'!X399</f>
        <v>25</v>
      </c>
      <c r="J1432" s="728">
        <f>'LiLAC valuation'!Y399</f>
        <v>0</v>
      </c>
      <c r="K1432" s="728" t="e">
        <f>'LiLAC valuation'!#REF!</f>
        <v>#REF!</v>
      </c>
      <c r="L1432" s="603"/>
      <c r="M1432" s="603"/>
      <c r="N1432" s="603"/>
      <c r="O1432" s="603"/>
    </row>
    <row r="1433" spans="2:17" ht="15.75">
      <c r="B1433" s="836" t="s">
        <v>3630</v>
      </c>
      <c r="C1433" s="728">
        <v>0</v>
      </c>
      <c r="D1433" s="728">
        <v>0</v>
      </c>
      <c r="E1433" s="728">
        <v>0</v>
      </c>
      <c r="F1433" s="728">
        <f>'LiLAC valuation'!U400</f>
        <v>50</v>
      </c>
      <c r="G1433" s="728">
        <f>'LiLAC valuation'!V400</f>
        <v>45</v>
      </c>
      <c r="H1433" s="728">
        <f>'LiLAC valuation'!W400</f>
        <v>47</v>
      </c>
      <c r="I1433" s="728">
        <f>'LiLAC valuation'!X400</f>
        <v>0</v>
      </c>
      <c r="J1433" s="728">
        <f>'LiLAC valuation'!Y400</f>
        <v>0</v>
      </c>
      <c r="K1433" s="728" t="e">
        <f>'LiLAC valuation'!#REF!</f>
        <v>#REF!</v>
      </c>
      <c r="L1433" s="603"/>
      <c r="M1433" s="603"/>
      <c r="N1433" s="603"/>
      <c r="O1433" s="603"/>
    </row>
    <row r="1434" spans="2:17" ht="15.75">
      <c r="B1434" s="809"/>
      <c r="C1434" s="809"/>
      <c r="D1434" s="809"/>
      <c r="E1434" s="809"/>
      <c r="F1434" s="809"/>
      <c r="G1434" s="809"/>
      <c r="I1434" s="809"/>
      <c r="J1434" s="809"/>
      <c r="K1434" s="809"/>
      <c r="L1434" s="603"/>
      <c r="M1434" s="603"/>
      <c r="N1434" s="603"/>
      <c r="O1434" s="603"/>
    </row>
    <row r="1435" spans="2:17" ht="15.75" hidden="1" outlineLevel="2">
      <c r="B1435" s="809" t="s">
        <v>56</v>
      </c>
      <c r="C1435" s="728">
        <v>20</v>
      </c>
      <c r="D1435" s="728">
        <f>41.3-C1435</f>
        <v>21.299999999999997</v>
      </c>
      <c r="E1435" s="728">
        <f>62.6-C1435-D1435</f>
        <v>21.300000000000004</v>
      </c>
      <c r="F1435" s="728">
        <f>87.5-C1435-D1435-E1435</f>
        <v>24.9</v>
      </c>
      <c r="G1435" s="643">
        <v>20</v>
      </c>
      <c r="H1435" s="643">
        <v>20</v>
      </c>
      <c r="I1435" s="643">
        <v>20</v>
      </c>
      <c r="J1435" s="643">
        <v>20</v>
      </c>
      <c r="K1435" s="643">
        <v>20</v>
      </c>
      <c r="L1435" s="643">
        <f>K1435</f>
        <v>20</v>
      </c>
      <c r="M1435" s="643">
        <f>L1435</f>
        <v>20</v>
      </c>
      <c r="N1435" s="643">
        <f>M1435</f>
        <v>20</v>
      </c>
      <c r="O1435" s="643">
        <f>N1435</f>
        <v>20</v>
      </c>
    </row>
    <row r="1436" spans="2:17" ht="15.75" hidden="1" outlineLevel="2">
      <c r="B1436" s="809" t="s">
        <v>83</v>
      </c>
      <c r="C1436" s="728">
        <f>C1420-C1435</f>
        <v>31.299999999999997</v>
      </c>
      <c r="D1436" s="728">
        <f>D1420-D1435</f>
        <v>32.5</v>
      </c>
      <c r="E1436" s="728">
        <f>E1420-E1435</f>
        <v>18.299999999999997</v>
      </c>
      <c r="F1436" s="728">
        <f>F1420-F1435</f>
        <v>-37</v>
      </c>
      <c r="G1436" s="728">
        <f>G1420-G1435</f>
        <v>-2</v>
      </c>
      <c r="I1436" s="728">
        <f t="shared" ref="I1436:O1436" si="64">I1420-I1435</f>
        <v>19</v>
      </c>
      <c r="J1436" s="728">
        <f t="shared" si="64"/>
        <v>23.099999999999994</v>
      </c>
      <c r="K1436" s="728" t="e">
        <f t="shared" si="64"/>
        <v>#REF!</v>
      </c>
      <c r="L1436" s="728" t="e">
        <f t="shared" si="64"/>
        <v>#REF!</v>
      </c>
      <c r="M1436" s="728" t="e">
        <f t="shared" si="64"/>
        <v>#REF!</v>
      </c>
      <c r="N1436" s="728" t="e">
        <f t="shared" si="64"/>
        <v>#REF!</v>
      </c>
      <c r="O1436" s="728" t="e">
        <f t="shared" si="64"/>
        <v>#REF!</v>
      </c>
    </row>
    <row r="1437" spans="2:17" ht="15.75" collapsed="1">
      <c r="B1437" s="809" t="s">
        <v>929</v>
      </c>
      <c r="C1437" s="728">
        <f>'LiLAC valuation'!R389</f>
        <v>12.5</v>
      </c>
      <c r="D1437" s="728">
        <f>'LiLAC valuation'!S389</f>
        <v>12.3</v>
      </c>
      <c r="E1437" s="728">
        <f>'LiLAC valuation'!T389</f>
        <v>11.599999999999998</v>
      </c>
      <c r="F1437" s="728">
        <f>'LiLAC valuation'!U389</f>
        <v>12.300000000000008</v>
      </c>
      <c r="G1437" s="809">
        <f>'LiLAC valuation'!V389</f>
        <v>12</v>
      </c>
      <c r="H1437" s="809">
        <f>'LiLAC valuation'!W389</f>
        <v>12</v>
      </c>
      <c r="I1437" s="809">
        <f>'LiLAC valuation'!X389</f>
        <v>12</v>
      </c>
      <c r="J1437" s="809">
        <f>'LiLAC valuation'!Y389</f>
        <v>12</v>
      </c>
      <c r="K1437" s="809" t="e">
        <f>'LiLAC valuation'!#REF!</f>
        <v>#REF!</v>
      </c>
      <c r="L1437" s="728" t="e">
        <f>K1437</f>
        <v>#REF!</v>
      </c>
      <c r="M1437" s="728" t="e">
        <f>L1437</f>
        <v>#REF!</v>
      </c>
      <c r="N1437" s="728" t="e">
        <f>M1437</f>
        <v>#REF!</v>
      </c>
      <c r="O1437" s="728" t="e">
        <f>N1437</f>
        <v>#REF!</v>
      </c>
    </row>
    <row r="1438" spans="2:17" ht="15.75" hidden="1" outlineLevel="1">
      <c r="B1438" s="809" t="s">
        <v>66</v>
      </c>
      <c r="C1438" s="728">
        <f t="shared" ref="C1438:O1438" si="65">C1436-C1437</f>
        <v>18.799999999999997</v>
      </c>
      <c r="D1438" s="728">
        <f t="shared" si="65"/>
        <v>20.2</v>
      </c>
      <c r="E1438" s="728">
        <f t="shared" si="65"/>
        <v>6.6999999999999993</v>
      </c>
      <c r="F1438" s="728">
        <f t="shared" si="65"/>
        <v>-49.300000000000011</v>
      </c>
      <c r="G1438" s="728">
        <f t="shared" si="65"/>
        <v>-14</v>
      </c>
      <c r="H1438" s="728">
        <f t="shared" si="65"/>
        <v>-12</v>
      </c>
      <c r="I1438" s="728">
        <f t="shared" si="65"/>
        <v>7</v>
      </c>
      <c r="J1438" s="728">
        <f t="shared" si="65"/>
        <v>11.099999999999994</v>
      </c>
      <c r="K1438" s="728" t="e">
        <f t="shared" si="65"/>
        <v>#REF!</v>
      </c>
      <c r="L1438" s="728" t="e">
        <f t="shared" si="65"/>
        <v>#REF!</v>
      </c>
      <c r="M1438" s="728" t="e">
        <f t="shared" si="65"/>
        <v>#REF!</v>
      </c>
      <c r="N1438" s="728" t="e">
        <f t="shared" si="65"/>
        <v>#REF!</v>
      </c>
      <c r="O1438" s="728" t="e">
        <f t="shared" si="65"/>
        <v>#REF!</v>
      </c>
    </row>
    <row r="1439" spans="2:17" ht="15.75" hidden="1" outlineLevel="1">
      <c r="B1439" s="809" t="s">
        <v>3673</v>
      </c>
      <c r="C1439" s="728">
        <f t="shared" ref="C1439:O1439" si="66">C1438*0.2</f>
        <v>3.76</v>
      </c>
      <c r="D1439" s="728">
        <f t="shared" si="66"/>
        <v>4.04</v>
      </c>
      <c r="E1439" s="728">
        <f t="shared" si="66"/>
        <v>1.3399999999999999</v>
      </c>
      <c r="F1439" s="728">
        <f t="shared" si="66"/>
        <v>-9.860000000000003</v>
      </c>
      <c r="G1439" s="728">
        <f t="shared" si="66"/>
        <v>-2.8000000000000003</v>
      </c>
      <c r="H1439" s="728">
        <f t="shared" si="66"/>
        <v>-2.4000000000000004</v>
      </c>
      <c r="I1439" s="728">
        <f t="shared" si="66"/>
        <v>1.4000000000000001</v>
      </c>
      <c r="J1439" s="728">
        <f t="shared" si="66"/>
        <v>2.2199999999999989</v>
      </c>
      <c r="K1439" s="728" t="e">
        <f t="shared" si="66"/>
        <v>#REF!</v>
      </c>
      <c r="L1439" s="728" t="e">
        <f t="shared" si="66"/>
        <v>#REF!</v>
      </c>
      <c r="M1439" s="728" t="e">
        <f t="shared" si="66"/>
        <v>#REF!</v>
      </c>
      <c r="N1439" s="728" t="e">
        <f t="shared" si="66"/>
        <v>#REF!</v>
      </c>
      <c r="O1439" s="728" t="e">
        <f t="shared" si="66"/>
        <v>#REF!</v>
      </c>
    </row>
    <row r="1440" spans="2:17" ht="15.75" collapsed="1">
      <c r="B1440" s="809" t="s">
        <v>3672</v>
      </c>
      <c r="C1440" s="728">
        <v>50.6</v>
      </c>
      <c r="D1440" s="728">
        <f>59.6-C1440</f>
        <v>9</v>
      </c>
      <c r="E1440" s="728">
        <f>65.1-C1440-D1440</f>
        <v>5.4999999999999929</v>
      </c>
      <c r="F1440" s="728">
        <f>90.1-C1440-D1440-E1440</f>
        <v>25</v>
      </c>
      <c r="G1440" s="728">
        <v>0</v>
      </c>
      <c r="H1440" s="728">
        <v>0</v>
      </c>
      <c r="I1440" s="728">
        <v>0</v>
      </c>
      <c r="J1440" s="728">
        <v>0</v>
      </c>
      <c r="K1440" s="728">
        <v>0</v>
      </c>
      <c r="L1440" s="728" t="e">
        <f>IF(L1439&gt;0,L1439, 0)</f>
        <v>#REF!</v>
      </c>
      <c r="M1440" s="728" t="e">
        <f>IF(M1439&gt;0,M1439, 0)</f>
        <v>#REF!</v>
      </c>
      <c r="N1440" s="728" t="e">
        <f>IF(N1439&gt;0,N1439, 0)</f>
        <v>#REF!</v>
      </c>
      <c r="O1440" s="728" t="e">
        <f>IF(O1439&gt;0,O1439, 0)</f>
        <v>#REF!</v>
      </c>
    </row>
    <row r="1441" spans="2:15" ht="15.75">
      <c r="B1441" s="809"/>
      <c r="C1441" s="728"/>
      <c r="D1441" s="728"/>
      <c r="E1441" s="728"/>
      <c r="F1441" s="728"/>
      <c r="G1441" s="728"/>
      <c r="I1441" s="728"/>
      <c r="J1441" s="728"/>
      <c r="K1441" s="728"/>
      <c r="L1441" s="728"/>
      <c r="M1441" s="728"/>
      <c r="N1441" s="728"/>
      <c r="O1441" s="728"/>
    </row>
    <row r="1442" spans="2:15" ht="15.75">
      <c r="B1442" s="809" t="s">
        <v>249</v>
      </c>
      <c r="C1442" s="728">
        <f t="shared" ref="C1442:O1442" si="67">C1420-C1430-C1437-C1440</f>
        <v>-38.700000000000003</v>
      </c>
      <c r="D1442" s="728">
        <f t="shared" si="67"/>
        <v>11.299999999999994</v>
      </c>
      <c r="E1442" s="728">
        <f t="shared" si="67"/>
        <v>0.70000000000000639</v>
      </c>
      <c r="F1442" s="728">
        <f t="shared" si="67"/>
        <v>-70.400000000000006</v>
      </c>
      <c r="G1442" s="728">
        <f t="shared" si="67"/>
        <v>-49</v>
      </c>
      <c r="H1442" s="728">
        <f t="shared" si="67"/>
        <v>-21.299999999999997</v>
      </c>
      <c r="I1442" s="728">
        <f t="shared" si="67"/>
        <v>-3</v>
      </c>
      <c r="J1442" s="728">
        <f t="shared" si="67"/>
        <v>31.099999999999994</v>
      </c>
      <c r="K1442" s="728" t="e">
        <f t="shared" si="67"/>
        <v>#REF!</v>
      </c>
      <c r="L1442" s="728" t="e">
        <f t="shared" si="67"/>
        <v>#REF!</v>
      </c>
      <c r="M1442" s="728" t="e">
        <f t="shared" si="67"/>
        <v>#REF!</v>
      </c>
      <c r="N1442" s="728" t="e">
        <f t="shared" si="67"/>
        <v>#REF!</v>
      </c>
      <c r="O1442" s="728" t="e">
        <f t="shared" si="67"/>
        <v>#REF!</v>
      </c>
    </row>
    <row r="1443" spans="2:15" ht="15.75">
      <c r="B1443" s="809" t="s">
        <v>3839</v>
      </c>
      <c r="C1443" s="728">
        <f>'LiLAC valuation'!R422</f>
        <v>0</v>
      </c>
      <c r="D1443" s="728">
        <f>'LiLAC valuation'!S422</f>
        <v>0</v>
      </c>
      <c r="E1443" s="728">
        <f>'LiLAC valuation'!T422</f>
        <v>0</v>
      </c>
      <c r="F1443" s="728">
        <f>'LiLAC valuation'!U422</f>
        <v>0</v>
      </c>
      <c r="G1443" s="728">
        <f>'LiLAC valuation'!V422</f>
        <v>30</v>
      </c>
      <c r="H1443" s="728">
        <f>'LiLAC valuation'!W422</f>
        <v>0</v>
      </c>
      <c r="I1443" s="728">
        <f>'LiLAC valuation'!X422</f>
        <v>31</v>
      </c>
      <c r="J1443" s="728">
        <f>'LiLAC valuation'!Y422</f>
        <v>0</v>
      </c>
      <c r="K1443" s="728" t="e">
        <f>'LiLAC valuation'!#REF!</f>
        <v>#REF!</v>
      </c>
      <c r="L1443" s="643">
        <v>20</v>
      </c>
      <c r="M1443" s="643">
        <v>20</v>
      </c>
      <c r="N1443" s="643">
        <v>20</v>
      </c>
      <c r="O1443" s="858" t="e">
        <f>120+11-K1443-L1443-M1443-N1443-I1443-H1443-G1443</f>
        <v>#REF!</v>
      </c>
    </row>
    <row r="1444" spans="2:15" ht="15.75">
      <c r="B1444" s="810" t="s">
        <v>3687</v>
      </c>
      <c r="C1444" s="729">
        <f>'LiLAC valuation'!R424</f>
        <v>0</v>
      </c>
      <c r="D1444" s="729">
        <f>'LiLAC valuation'!S424</f>
        <v>0</v>
      </c>
      <c r="E1444" s="729">
        <f>'LiLAC valuation'!T424</f>
        <v>0</v>
      </c>
      <c r="F1444" s="729">
        <f>'LiLAC valuation'!U424</f>
        <v>0</v>
      </c>
      <c r="G1444" s="729">
        <f>'LiLAC valuation'!V424</f>
        <v>25</v>
      </c>
      <c r="H1444" s="729">
        <f>'LiLAC valuation'!W424</f>
        <v>20</v>
      </c>
      <c r="I1444" s="729">
        <f>'LiLAC valuation'!X424</f>
        <v>0</v>
      </c>
      <c r="J1444" s="729">
        <f>'LiLAC valuation'!Y424</f>
        <v>0</v>
      </c>
      <c r="K1444" s="729" t="e">
        <f>'LiLAC valuation'!#REF!</f>
        <v>#REF!</v>
      </c>
      <c r="L1444" s="729">
        <v>0</v>
      </c>
      <c r="M1444" s="729">
        <v>0</v>
      </c>
      <c r="N1444" s="729">
        <v>0</v>
      </c>
      <c r="O1444" s="729">
        <v>0</v>
      </c>
    </row>
    <row r="1445" spans="2:15" ht="15.75">
      <c r="B1445" s="809" t="s">
        <v>116</v>
      </c>
      <c r="C1445" s="728">
        <f t="shared" ref="C1445:O1445" si="68">C1442+C1443+C1444</f>
        <v>-38.700000000000003</v>
      </c>
      <c r="D1445" s="728">
        <f t="shared" si="68"/>
        <v>11.299999999999994</v>
      </c>
      <c r="E1445" s="728">
        <f t="shared" si="68"/>
        <v>0.70000000000000639</v>
      </c>
      <c r="F1445" s="728">
        <f t="shared" si="68"/>
        <v>-70.400000000000006</v>
      </c>
      <c r="G1445" s="728">
        <f t="shared" si="68"/>
        <v>6</v>
      </c>
      <c r="H1445" s="728">
        <f t="shared" si="68"/>
        <v>-1.2999999999999972</v>
      </c>
      <c r="I1445" s="728">
        <f t="shared" si="68"/>
        <v>28</v>
      </c>
      <c r="J1445" s="728">
        <f t="shared" si="68"/>
        <v>31.099999999999994</v>
      </c>
      <c r="K1445" s="728" t="e">
        <f t="shared" si="68"/>
        <v>#REF!</v>
      </c>
      <c r="L1445" s="728" t="e">
        <f t="shared" si="68"/>
        <v>#REF!</v>
      </c>
      <c r="M1445" s="728" t="e">
        <f t="shared" si="68"/>
        <v>#REF!</v>
      </c>
      <c r="N1445" s="728" t="e">
        <f t="shared" si="68"/>
        <v>#REF!</v>
      </c>
      <c r="O1445" s="728" t="e">
        <f t="shared" si="68"/>
        <v>#REF!</v>
      </c>
    </row>
    <row r="1446" spans="2:15" ht="15.75">
      <c r="B1446" s="809"/>
      <c r="C1446" s="728"/>
      <c r="D1446" s="728"/>
      <c r="E1446" s="728"/>
      <c r="F1446" s="728"/>
      <c r="G1446" s="728"/>
      <c r="K1446" s="728"/>
      <c r="L1446" s="728"/>
      <c r="M1446" s="728"/>
      <c r="N1446" s="728"/>
      <c r="O1446" s="728"/>
    </row>
    <row r="1447" spans="2:15" ht="15.75">
      <c r="B1447" s="809" t="s">
        <v>164</v>
      </c>
      <c r="C1447" s="728">
        <f t="shared" ref="C1447:K1447" si="69">C1448+C1449</f>
        <v>927.9</v>
      </c>
      <c r="D1447" s="728">
        <f t="shared" si="69"/>
        <v>929.2</v>
      </c>
      <c r="E1447" s="728">
        <f t="shared" si="69"/>
        <v>930.6</v>
      </c>
      <c r="F1447" s="728">
        <f t="shared" si="69"/>
        <v>982</v>
      </c>
      <c r="G1447" s="728">
        <f t="shared" si="69"/>
        <v>982</v>
      </c>
      <c r="H1447" s="728">
        <f t="shared" si="69"/>
        <v>982.5</v>
      </c>
      <c r="I1447" s="728">
        <f t="shared" si="69"/>
        <v>982.5</v>
      </c>
      <c r="J1447" s="728">
        <f t="shared" si="69"/>
        <v>0</v>
      </c>
      <c r="K1447" s="728" t="e">
        <f t="shared" si="69"/>
        <v>#REF!</v>
      </c>
      <c r="L1447" s="728" t="e">
        <f>K1447</f>
        <v>#REF!</v>
      </c>
      <c r="M1447" s="728" t="e">
        <f>L1447</f>
        <v>#REF!</v>
      </c>
      <c r="N1447" s="728" t="e">
        <f>M1447</f>
        <v>#REF!</v>
      </c>
      <c r="O1447" s="728" t="e">
        <f>N1447</f>
        <v>#REF!</v>
      </c>
    </row>
    <row r="1448" spans="2:15" ht="15.75">
      <c r="B1448" s="809" t="s">
        <v>3690</v>
      </c>
      <c r="C1448" s="837">
        <f>'LiLAC valuation'!R410</f>
        <v>46</v>
      </c>
      <c r="D1448" s="837">
        <f>'LiLAC valuation'!S410</f>
        <v>50</v>
      </c>
      <c r="E1448" s="837">
        <f>'LiLAC valuation'!T410</f>
        <v>52.100000000000023</v>
      </c>
      <c r="F1448" s="837">
        <f>'LiLAC valuation'!U410</f>
        <v>41</v>
      </c>
      <c r="G1448" s="837">
        <f>'LiLAC valuation'!V410</f>
        <v>40.5</v>
      </c>
      <c r="H1448" s="837">
        <f>'LiLAC valuation'!W410</f>
        <v>15.9</v>
      </c>
      <c r="I1448" s="837">
        <f>'LiLAC valuation'!X410</f>
        <v>32.1</v>
      </c>
      <c r="J1448" s="837">
        <f>'LiLAC valuation'!Y410</f>
        <v>0</v>
      </c>
      <c r="K1448" s="837" t="e">
        <f>'LiLAC valuation'!#REF!</f>
        <v>#REF!</v>
      </c>
      <c r="L1448" s="837" t="e">
        <f>L1447-L1449</f>
        <v>#REF!</v>
      </c>
      <c r="M1448" s="837" t="e">
        <f>M1447-M1449</f>
        <v>#REF!</v>
      </c>
      <c r="N1448" s="837" t="e">
        <f>N1447-N1449</f>
        <v>#REF!</v>
      </c>
      <c r="O1448" s="837" t="e">
        <f>O1447-O1449</f>
        <v>#REF!</v>
      </c>
    </row>
    <row r="1449" spans="2:15" ht="15.75">
      <c r="B1449" s="809" t="s">
        <v>115</v>
      </c>
      <c r="C1449" s="837">
        <f>'LiLAC valuation'!R411</f>
        <v>881.9</v>
      </c>
      <c r="D1449" s="837">
        <f>'LiLAC valuation'!S411</f>
        <v>879.2</v>
      </c>
      <c r="E1449" s="837">
        <f>'LiLAC valuation'!T411</f>
        <v>878.5</v>
      </c>
      <c r="F1449" s="837">
        <f>'LiLAC valuation'!U411</f>
        <v>941</v>
      </c>
      <c r="G1449" s="837">
        <f>'LiLAC valuation'!V411</f>
        <v>941.5</v>
      </c>
      <c r="H1449" s="837">
        <f>'LiLAC valuation'!W411</f>
        <v>966.6</v>
      </c>
      <c r="I1449" s="837">
        <f>'LiLAC valuation'!X411</f>
        <v>950.4</v>
      </c>
      <c r="J1449" s="837">
        <f>'LiLAC valuation'!Y411</f>
        <v>0</v>
      </c>
      <c r="K1449" s="837" t="e">
        <f>'LiLAC valuation'!#REF!</f>
        <v>#REF!</v>
      </c>
      <c r="L1449" s="837" t="e">
        <f>K1449-L1445</f>
        <v>#REF!</v>
      </c>
      <c r="M1449" s="837" t="e">
        <f>L1449-M1445</f>
        <v>#REF!</v>
      </c>
      <c r="N1449" s="837" t="e">
        <f>M1449-N1445</f>
        <v>#REF!</v>
      </c>
      <c r="O1449" s="837" t="e">
        <f>N1449-O1445</f>
        <v>#REF!</v>
      </c>
    </row>
    <row r="1450" spans="2:15" ht="16.5" thickBot="1">
      <c r="B1450" s="603"/>
      <c r="C1450" s="603"/>
      <c r="D1450" s="603"/>
      <c r="E1450" s="603"/>
      <c r="F1450" s="603"/>
      <c r="G1450" s="838"/>
      <c r="K1450" s="603"/>
      <c r="L1450" s="603"/>
      <c r="M1450" s="837"/>
      <c r="N1450" s="837"/>
      <c r="O1450" s="837"/>
    </row>
    <row r="1451" spans="2:15" ht="16.5" thickBot="1">
      <c r="B1451" s="809" t="s">
        <v>3688</v>
      </c>
      <c r="C1451" s="809"/>
      <c r="D1451" s="839">
        <f t="shared" ref="D1451:J1451" si="70">D1449/((C1420+D1420)*2)</f>
        <v>4.1826831588962898</v>
      </c>
      <c r="E1451" s="839">
        <f t="shared" si="70"/>
        <v>4.7028907922912202</v>
      </c>
      <c r="F1451" s="839">
        <f t="shared" si="70"/>
        <v>17.109090909090909</v>
      </c>
      <c r="G1451" s="839">
        <f t="shared" si="70"/>
        <v>79.788135593220332</v>
      </c>
      <c r="H1451" s="839">
        <f t="shared" si="70"/>
        <v>9</v>
      </c>
      <c r="I1451" s="839">
        <f t="shared" si="70"/>
        <v>6.3614457831325293</v>
      </c>
      <c r="J1451" s="839">
        <f t="shared" si="70"/>
        <v>0</v>
      </c>
      <c r="K1451" s="839" t="e">
        <f>K1449/((I1420+K1420)*2)</f>
        <v>#REF!</v>
      </c>
      <c r="L1451" s="840" t="e">
        <f>L1449/((K1420+L1420)*2)</f>
        <v>#REF!</v>
      </c>
      <c r="M1451" s="839" t="e">
        <f>M1449/((L1420+M1420)*2)</f>
        <v>#REF!</v>
      </c>
      <c r="N1451" s="839" t="e">
        <f>N1449/((M1420+N1420)*2)</f>
        <v>#REF!</v>
      </c>
      <c r="O1451" s="839" t="e">
        <f>O1449/((N1420+O1420)*2)</f>
        <v>#REF!</v>
      </c>
    </row>
    <row r="1452" spans="2:15" ht="15.75">
      <c r="B1452" s="809" t="s">
        <v>3216</v>
      </c>
      <c r="C1452" s="837">
        <v>850</v>
      </c>
      <c r="D1452" s="837">
        <f t="shared" ref="D1452:J1452" si="71">C1452</f>
        <v>850</v>
      </c>
      <c r="E1452" s="837">
        <f t="shared" si="71"/>
        <v>850</v>
      </c>
      <c r="F1452" s="837">
        <f t="shared" si="71"/>
        <v>850</v>
      </c>
      <c r="G1452" s="837">
        <f t="shared" si="71"/>
        <v>850</v>
      </c>
      <c r="H1452" s="837">
        <f t="shared" si="71"/>
        <v>850</v>
      </c>
      <c r="I1452" s="837">
        <f t="shared" si="71"/>
        <v>850</v>
      </c>
      <c r="J1452" s="837">
        <f t="shared" si="71"/>
        <v>850</v>
      </c>
      <c r="K1452" s="837">
        <f>I1452</f>
        <v>850</v>
      </c>
      <c r="L1452" s="837">
        <f>K1452</f>
        <v>850</v>
      </c>
      <c r="M1452" s="837">
        <f>L1452</f>
        <v>850</v>
      </c>
      <c r="N1452" s="837">
        <f>M1452</f>
        <v>850</v>
      </c>
      <c r="O1452" s="837">
        <f>N1452</f>
        <v>850</v>
      </c>
    </row>
    <row r="1453" spans="2:15" ht="16.5" thickBot="1">
      <c r="B1453" s="809" t="s">
        <v>3691</v>
      </c>
      <c r="C1453" s="837">
        <f t="shared" ref="C1453:O1453" si="72">C1452-C1448</f>
        <v>804</v>
      </c>
      <c r="D1453" s="837">
        <f t="shared" si="72"/>
        <v>800</v>
      </c>
      <c r="E1453" s="837">
        <f t="shared" si="72"/>
        <v>797.9</v>
      </c>
      <c r="F1453" s="837">
        <f t="shared" si="72"/>
        <v>809</v>
      </c>
      <c r="G1453" s="837">
        <f t="shared" si="72"/>
        <v>809.5</v>
      </c>
      <c r="H1453" s="837">
        <f t="shared" si="72"/>
        <v>834.1</v>
      </c>
      <c r="I1453" s="837">
        <f t="shared" si="72"/>
        <v>817.9</v>
      </c>
      <c r="J1453" s="837">
        <f t="shared" si="72"/>
        <v>850</v>
      </c>
      <c r="K1453" s="837" t="e">
        <f t="shared" si="72"/>
        <v>#REF!</v>
      </c>
      <c r="L1453" s="837" t="e">
        <f t="shared" si="72"/>
        <v>#REF!</v>
      </c>
      <c r="M1453" s="837" t="e">
        <f t="shared" si="72"/>
        <v>#REF!</v>
      </c>
      <c r="N1453" s="837" t="e">
        <f t="shared" si="72"/>
        <v>#REF!</v>
      </c>
      <c r="O1453" s="837" t="e">
        <f t="shared" si="72"/>
        <v>#REF!</v>
      </c>
    </row>
    <row r="1454" spans="2:15" ht="16.5" thickBot="1">
      <c r="B1454" s="809" t="s">
        <v>3689</v>
      </c>
      <c r="C1454" s="839"/>
      <c r="D1454" s="839">
        <f t="shared" ref="D1454:J1454" si="73">D1453/((C1420+D1420)*2)</f>
        <v>3.805899143672693</v>
      </c>
      <c r="E1454" s="839">
        <f t="shared" si="73"/>
        <v>4.2714132762312627</v>
      </c>
      <c r="F1454" s="839">
        <f t="shared" si="73"/>
        <v>14.709090909090909</v>
      </c>
      <c r="G1454" s="839">
        <f t="shared" si="73"/>
        <v>68.601694915254228</v>
      </c>
      <c r="H1454" s="839">
        <f t="shared" si="73"/>
        <v>7.7662942271880819</v>
      </c>
      <c r="I1454" s="839">
        <f t="shared" si="73"/>
        <v>5.474564926372155</v>
      </c>
      <c r="J1454" s="839">
        <f t="shared" si="73"/>
        <v>5.1766138855054811</v>
      </c>
      <c r="K1454" s="839" t="e">
        <f>K1453/((I1420+K1420)*2)</f>
        <v>#REF!</v>
      </c>
      <c r="L1454" s="840" t="e">
        <f>L1453/((K1420+L1420)*2)</f>
        <v>#REF!</v>
      </c>
      <c r="M1454" s="839" t="e">
        <f>M1453/((L1420+M1420)*2)</f>
        <v>#REF!</v>
      </c>
      <c r="N1454" s="839" t="e">
        <f>N1453/((M1420+N1420)*2)</f>
        <v>#REF!</v>
      </c>
      <c r="O1454" s="839" t="e">
        <f>O1453/((N1420+O1420)*2)</f>
        <v>#REF!</v>
      </c>
    </row>
    <row r="1455" spans="2:15" ht="15.75">
      <c r="B1455" s="53"/>
      <c r="C1455" s="53"/>
      <c r="D1455" s="53"/>
      <c r="E1455" s="53"/>
      <c r="F1455" s="53"/>
      <c r="G1455" s="53"/>
      <c r="H1455" s="53"/>
      <c r="I1455" s="53"/>
      <c r="J1455" s="53"/>
    </row>
    <row r="1456" spans="2:15" ht="15.75">
      <c r="B1456" s="53" t="s">
        <v>3214</v>
      </c>
      <c r="C1456" s="53"/>
      <c r="D1456" s="53"/>
      <c r="E1456" s="53"/>
      <c r="F1456" s="53"/>
      <c r="G1456" s="53"/>
      <c r="H1456" s="53"/>
      <c r="I1456" s="53"/>
      <c r="J1456" s="53"/>
    </row>
    <row r="1457" spans="2:13" ht="15.75">
      <c r="B1457" s="53" t="s">
        <v>3213</v>
      </c>
      <c r="C1457" s="53"/>
      <c r="D1457" s="53"/>
      <c r="E1457" s="53"/>
      <c r="F1457" s="53"/>
      <c r="G1457" s="53"/>
      <c r="H1457" s="53"/>
      <c r="I1457" s="53"/>
      <c r="J1457" s="53"/>
    </row>
    <row r="1458" spans="2:13" ht="15.75">
      <c r="B1458" s="53"/>
      <c r="C1458" s="53"/>
      <c r="D1458" s="53"/>
      <c r="E1458" s="53"/>
      <c r="F1458" s="53"/>
      <c r="G1458" s="53"/>
      <c r="H1458" s="53"/>
      <c r="I1458" s="53"/>
      <c r="J1458" s="53"/>
    </row>
    <row r="1459" spans="2:13" ht="15.75">
      <c r="B1459" s="53" t="s">
        <v>3215</v>
      </c>
      <c r="C1459" s="53">
        <v>850</v>
      </c>
      <c r="D1459" s="53">
        <f>C1459</f>
        <v>850</v>
      </c>
      <c r="E1459" s="53">
        <f>D1459</f>
        <v>850</v>
      </c>
      <c r="F1459" s="53">
        <f>E1459</f>
        <v>850</v>
      </c>
      <c r="G1459" s="53"/>
      <c r="H1459" s="53"/>
      <c r="I1459" s="53"/>
      <c r="J1459" s="53"/>
    </row>
    <row r="1460" spans="2:13" ht="15.75">
      <c r="B1460" s="53"/>
      <c r="C1460" s="53"/>
      <c r="D1460" s="53"/>
      <c r="E1460" s="53"/>
      <c r="F1460" s="53"/>
      <c r="G1460" s="53"/>
      <c r="H1460" s="53"/>
      <c r="I1460" s="53"/>
      <c r="J1460" s="53"/>
    </row>
    <row r="1461" spans="2:13" ht="15.75">
      <c r="B1461" s="14" t="s">
        <v>3840</v>
      </c>
      <c r="C1461" s="53"/>
      <c r="D1461" s="53"/>
      <c r="E1461" s="53"/>
      <c r="F1461" s="53"/>
      <c r="G1461" s="53"/>
      <c r="H1461" s="53"/>
      <c r="I1461" s="53"/>
      <c r="J1461" s="53"/>
    </row>
    <row r="1462" spans="2:13" ht="15.75">
      <c r="B1462" s="53"/>
      <c r="C1462" s="53"/>
      <c r="D1462" s="53"/>
      <c r="E1462" s="53"/>
      <c r="F1462" s="53"/>
      <c r="G1462" s="53"/>
      <c r="H1462" s="53"/>
      <c r="I1462" s="53"/>
      <c r="J1462" s="53"/>
    </row>
    <row r="1463" spans="2:13" ht="15.75">
      <c r="B1463" s="50" t="s">
        <v>2353</v>
      </c>
      <c r="C1463" s="50">
        <v>2018</v>
      </c>
      <c r="D1463" s="50">
        <f>C1463+1</f>
        <v>2019</v>
      </c>
      <c r="E1463" s="50">
        <f>D1463+1</f>
        <v>2020</v>
      </c>
      <c r="F1463" s="53"/>
      <c r="G1463" s="53"/>
      <c r="H1463" s="53"/>
      <c r="I1463" s="53"/>
      <c r="J1463" s="53"/>
    </row>
    <row r="1464" spans="2:13" ht="15.75">
      <c r="B1464" s="53" t="s">
        <v>482</v>
      </c>
      <c r="C1464" s="630">
        <f>Master!J48</f>
        <v>324.60000000000002</v>
      </c>
      <c r="D1464" s="630">
        <f>Master!K48</f>
        <v>410.3</v>
      </c>
      <c r="E1464" s="630">
        <f>Master!L48</f>
        <v>625</v>
      </c>
      <c r="F1464" s="53"/>
      <c r="G1464" s="630">
        <f t="shared" ref="G1464:I1467" si="74">C1464-C1470</f>
        <v>-0.75362319570513137</v>
      </c>
      <c r="H1464" s="630">
        <f t="shared" si="74"/>
        <v>19.419967822852868</v>
      </c>
      <c r="I1464" s="630">
        <f t="shared" si="74"/>
        <v>226.65527793379613</v>
      </c>
      <c r="J1464" s="53"/>
      <c r="K1464" s="56">
        <f>G1464/G1470</f>
        <v>-1.9997736576006658E-4</v>
      </c>
      <c r="L1464" s="56">
        <f>H1464/H1470</f>
        <v>4.7784743939146349E-3</v>
      </c>
      <c r="M1464" s="56">
        <f>I1464/I1470</f>
        <v>5.388307646860184E-2</v>
      </c>
    </row>
    <row r="1465" spans="2:13" ht="15.75">
      <c r="B1465" s="53" t="s">
        <v>8</v>
      </c>
      <c r="C1465" s="630">
        <f>Master!J70</f>
        <v>410.17176137159947</v>
      </c>
      <c r="D1465" s="630">
        <f>Master!K70</f>
        <v>386.6</v>
      </c>
      <c r="E1465" s="630">
        <f>Master!L70</f>
        <v>306.43939393939394</v>
      </c>
      <c r="F1465" s="53"/>
      <c r="G1465" s="630">
        <f t="shared" si="74"/>
        <v>283.28384832527445</v>
      </c>
      <c r="H1465" s="630">
        <f t="shared" si="74"/>
        <v>214.6127858420553</v>
      </c>
      <c r="I1465" s="630">
        <f t="shared" si="74"/>
        <v>127.18426900960219</v>
      </c>
      <c r="J1465" s="53"/>
      <c r="K1465" s="56">
        <f>G1465/G1471</f>
        <v>0.19842266330539823</v>
      </c>
      <c r="L1465" s="56">
        <f t="shared" ref="L1465:M1467" si="75">H1465/H1471</f>
        <v>0.13460102148334696</v>
      </c>
      <c r="M1465" s="56">
        <f t="shared" si="75"/>
        <v>7.5076724179278687E-2</v>
      </c>
    </row>
    <row r="1466" spans="2:13" ht="15.75">
      <c r="B1466" s="53" t="s">
        <v>19</v>
      </c>
      <c r="C1466" s="630">
        <f>Master!J117</f>
        <v>206.7</v>
      </c>
      <c r="D1466" s="630">
        <f>Master!K117</f>
        <v>194.625</v>
      </c>
      <c r="E1466" s="630">
        <f>Master!L117</f>
        <v>171.84343434343435</v>
      </c>
      <c r="F1466" s="53"/>
      <c r="G1466" s="630">
        <f t="shared" si="74"/>
        <v>76.558550721717921</v>
      </c>
      <c r="H1466" s="630">
        <f t="shared" si="74"/>
        <v>108.63139292102763</v>
      </c>
      <c r="I1466" s="630">
        <f t="shared" si="74"/>
        <v>96.157937150855616</v>
      </c>
      <c r="J1466" s="53"/>
      <c r="K1466" s="56">
        <f>G1466/G1472</f>
        <v>0.10095926105292724</v>
      </c>
      <c r="L1466" s="56">
        <f t="shared" si="75"/>
        <v>0.14671535601665792</v>
      </c>
      <c r="M1466" s="56">
        <f t="shared" si="75"/>
        <v>0.12928241151394035</v>
      </c>
    </row>
    <row r="1467" spans="2:13" ht="15.75">
      <c r="B1467" s="53" t="s">
        <v>27</v>
      </c>
      <c r="C1467" s="630">
        <f>C1465-C1466</f>
        <v>203.47176137159948</v>
      </c>
      <c r="D1467" s="630">
        <f>D1465-D1466</f>
        <v>191.97500000000002</v>
      </c>
      <c r="E1467" s="630">
        <f>E1465-E1466</f>
        <v>134.59595959595958</v>
      </c>
      <c r="F1467" s="53"/>
      <c r="G1467" s="630">
        <f t="shared" si="74"/>
        <v>206.72529760355656</v>
      </c>
      <c r="H1467" s="630">
        <f t="shared" si="74"/>
        <v>105.98139292102768</v>
      </c>
      <c r="I1467" s="630">
        <f t="shared" si="74"/>
        <v>31.026331858746573</v>
      </c>
      <c r="J1467" s="53"/>
      <c r="K1467" s="56">
        <f>G1467/G1473</f>
        <v>0.30883673862455019</v>
      </c>
      <c r="L1467" s="56">
        <f t="shared" si="75"/>
        <v>0.1240979945546986</v>
      </c>
      <c r="M1467" s="56">
        <f t="shared" si="75"/>
        <v>3.2649838524416767E-2</v>
      </c>
    </row>
    <row r="1468" spans="2:13" ht="15.75">
      <c r="B1468" s="53"/>
      <c r="C1468" s="53"/>
      <c r="D1468" s="53"/>
      <c r="E1468" s="53"/>
      <c r="F1468" s="53"/>
      <c r="G1468" s="53"/>
      <c r="H1468" s="53"/>
      <c r="I1468" s="53"/>
      <c r="J1468" s="53"/>
    </row>
    <row r="1469" spans="2:13" ht="15.75" hidden="1">
      <c r="B1469" s="53" t="s">
        <v>1012</v>
      </c>
      <c r="C1469" s="53"/>
      <c r="D1469" s="53"/>
      <c r="E1469" s="53"/>
    </row>
    <row r="1470" spans="2:13" ht="15.75" hidden="1">
      <c r="B1470" s="53" t="str">
        <f>B1464</f>
        <v>Revs</v>
      </c>
      <c r="C1470" s="630">
        <v>325.35362319570515</v>
      </c>
      <c r="D1470" s="630">
        <v>390.88003217714714</v>
      </c>
      <c r="E1470" s="630">
        <v>398.34472206620387</v>
      </c>
      <c r="G1470" s="630">
        <v>3768.5424689978699</v>
      </c>
      <c r="H1470" s="630">
        <v>4064.0518755492562</v>
      </c>
      <c r="I1470" s="630">
        <v>4206.4279322631146</v>
      </c>
    </row>
    <row r="1471" spans="2:13" ht="15.75" hidden="1">
      <c r="B1471" s="53" t="str">
        <f>B1465</f>
        <v>EBITDA</v>
      </c>
      <c r="C1471" s="630">
        <v>126.88791304632501</v>
      </c>
      <c r="D1471" s="630">
        <v>171.98721415794472</v>
      </c>
      <c r="E1471" s="630">
        <v>179.25512492979175</v>
      </c>
      <c r="G1471" s="630">
        <v>1427.6788931578035</v>
      </c>
      <c r="H1471" s="630">
        <v>1594.4365315875966</v>
      </c>
      <c r="I1471" s="630">
        <v>1694.0572514311339</v>
      </c>
    </row>
    <row r="1472" spans="2:13" ht="15.75" hidden="1">
      <c r="B1472" s="53" t="str">
        <f>B1466</f>
        <v>Capex</v>
      </c>
      <c r="C1472" s="630">
        <v>130.14144927828207</v>
      </c>
      <c r="D1472" s="630">
        <v>85.993607078972374</v>
      </c>
      <c r="E1472" s="630">
        <v>75.685497192578737</v>
      </c>
      <c r="G1472" s="630">
        <v>758.31132204486516</v>
      </c>
      <c r="H1472" s="630">
        <v>740.42278784160624</v>
      </c>
      <c r="I1472" s="630">
        <v>743.78205066577857</v>
      </c>
    </row>
    <row r="1473" spans="2:9" ht="15.75" hidden="1">
      <c r="B1473" s="53" t="str">
        <f>B1467</f>
        <v>OpFCF</v>
      </c>
      <c r="C1473" s="630">
        <v>-3.2535362319570567</v>
      </c>
      <c r="D1473" s="630">
        <v>85.993607078972346</v>
      </c>
      <c r="E1473" s="630">
        <v>103.56962773721301</v>
      </c>
      <c r="G1473" s="630">
        <f>G1471-G1472</f>
        <v>669.36757111293832</v>
      </c>
      <c r="H1473" s="630">
        <f>H1471-H1472</f>
        <v>854.01374374599038</v>
      </c>
      <c r="I1473" s="630">
        <f>I1471-I1472</f>
        <v>950.27520076535529</v>
      </c>
    </row>
    <row r="1474" spans="2:9" ht="15.75" hidden="1">
      <c r="B1474" s="53"/>
      <c r="C1474" s="53"/>
      <c r="D1474" s="53"/>
      <c r="E1474" s="53"/>
    </row>
    <row r="1475" spans="2:9" ht="15.75">
      <c r="B1475" s="53" t="s">
        <v>158</v>
      </c>
      <c r="C1475" s="53"/>
      <c r="D1475" s="53"/>
      <c r="E1475" s="53"/>
    </row>
    <row r="1476" spans="2:9" ht="15.75">
      <c r="B1476" s="53" t="str">
        <f>B1470</f>
        <v>Revs</v>
      </c>
      <c r="C1476" s="56">
        <f t="shared" ref="C1476:E1478" si="76">C1464/C1470-1</f>
        <v>-2.3163202803855309E-3</v>
      </c>
      <c r="D1476" s="56">
        <f t="shared" si="76"/>
        <v>4.9682680680019242E-2</v>
      </c>
      <c r="E1476" s="56">
        <f t="shared" si="76"/>
        <v>0.56899279789158741</v>
      </c>
    </row>
    <row r="1477" spans="2:9" ht="15.75">
      <c r="B1477" s="53" t="str">
        <f>B1471</f>
        <v>EBITDA</v>
      </c>
      <c r="C1477" s="56">
        <f t="shared" si="76"/>
        <v>2.2325518760943881</v>
      </c>
      <c r="D1477" s="56">
        <f t="shared" si="76"/>
        <v>1.2478415148056605</v>
      </c>
      <c r="E1477" s="56">
        <f t="shared" si="76"/>
        <v>0.70951538517750068</v>
      </c>
    </row>
    <row r="1478" spans="2:9" ht="15.75">
      <c r="B1478" s="53" t="str">
        <f>B1472</f>
        <v>Capex</v>
      </c>
      <c r="C1478" s="56">
        <f t="shared" si="76"/>
        <v>0.5882718468734156</v>
      </c>
      <c r="D1478" s="56">
        <f t="shared" si="76"/>
        <v>1.2632496369324966</v>
      </c>
      <c r="E1478" s="56">
        <f t="shared" si="76"/>
        <v>1.2704935650509843</v>
      </c>
    </row>
    <row r="1479" spans="2:9" ht="15.75">
      <c r="B1479" s="53" t="str">
        <f>B1473</f>
        <v>OpFCF</v>
      </c>
      <c r="C1479" s="844" t="s">
        <v>3683</v>
      </c>
      <c r="D1479" s="56">
        <f>D1467/D1473-1</f>
        <v>1.2324333926788245</v>
      </c>
      <c r="E1479" s="56">
        <f>E1467/E1473-1</f>
        <v>0.29956979219303181</v>
      </c>
    </row>
    <row r="1481" spans="2:9">
      <c r="B1481" s="14" t="s">
        <v>3857</v>
      </c>
    </row>
    <row r="1483" spans="2:9" ht="15.75">
      <c r="B1483" s="50"/>
      <c r="C1483" s="51" t="s">
        <v>3482</v>
      </c>
      <c r="D1483" s="51" t="s">
        <v>3779</v>
      </c>
      <c r="E1483" s="51" t="s">
        <v>3859</v>
      </c>
      <c r="F1483" s="51" t="s">
        <v>3860</v>
      </c>
      <c r="G1483" s="51">
        <v>2019</v>
      </c>
    </row>
    <row r="1484" spans="2:9" ht="15.75">
      <c r="B1484" s="53" t="s">
        <v>3201</v>
      </c>
      <c r="C1484" s="53">
        <v>30</v>
      </c>
      <c r="D1484" s="53">
        <v>0</v>
      </c>
      <c r="E1484" s="53">
        <v>20</v>
      </c>
      <c r="F1484" s="53">
        <f>80-C1484-D1484-E1484</f>
        <v>30</v>
      </c>
      <c r="G1484" s="53">
        <v>40</v>
      </c>
    </row>
    <row r="1485" spans="2:9" ht="15.75">
      <c r="B1485" s="50" t="s">
        <v>3858</v>
      </c>
      <c r="C1485" s="50">
        <v>0</v>
      </c>
      <c r="D1485" s="50">
        <v>0</v>
      </c>
      <c r="E1485" s="50">
        <v>11</v>
      </c>
      <c r="F1485" s="50">
        <v>0</v>
      </c>
      <c r="G1485" s="50">
        <v>30</v>
      </c>
    </row>
    <row r="1486" spans="2:9" ht="15.75">
      <c r="B1486" s="53" t="s">
        <v>3861</v>
      </c>
      <c r="C1486" s="53">
        <f>C1484+C1485</f>
        <v>30</v>
      </c>
      <c r="D1486" s="53">
        <f>D1484+D1485</f>
        <v>0</v>
      </c>
      <c r="E1486" s="53">
        <f>E1484+E1485</f>
        <v>31</v>
      </c>
      <c r="F1486" s="53">
        <f>F1484+F1485</f>
        <v>30</v>
      </c>
      <c r="G1486" s="53">
        <f>G1484+G1485</f>
        <v>70</v>
      </c>
    </row>
    <row r="1487" spans="2:9" ht="15.75">
      <c r="B1487" s="53"/>
      <c r="C1487" s="53"/>
      <c r="D1487" s="53"/>
      <c r="E1487" s="53"/>
      <c r="F1487" s="53"/>
    </row>
    <row r="1488" spans="2:9" ht="15.75">
      <c r="B1488" s="53"/>
      <c r="C1488" s="53"/>
      <c r="D1488" s="53"/>
      <c r="E1488" s="53"/>
      <c r="F1488" s="53"/>
    </row>
    <row r="1491" spans="2:10" ht="15.75">
      <c r="B1491" s="684" t="s">
        <v>3391</v>
      </c>
      <c r="C1491" s="51" t="s">
        <v>2570</v>
      </c>
      <c r="D1491" s="3"/>
      <c r="E1491" s="3"/>
      <c r="F1491" s="51" t="s">
        <v>1560</v>
      </c>
      <c r="G1491" s="51" t="s">
        <v>3165</v>
      </c>
      <c r="H1491" s="51" t="s">
        <v>3841</v>
      </c>
      <c r="I1491" s="51" t="s">
        <v>3779</v>
      </c>
      <c r="J1491" s="51" t="s">
        <v>3859</v>
      </c>
    </row>
    <row r="1492" spans="2:10" ht="15.75">
      <c r="B1492" s="58" t="s">
        <v>469</v>
      </c>
      <c r="C1492" s="79"/>
      <c r="F1492" s="79"/>
      <c r="G1492" s="79"/>
      <c r="H1492" s="79"/>
      <c r="I1492" s="79"/>
    </row>
    <row r="1493" spans="2:10" ht="15.75">
      <c r="B1493" s="53" t="s">
        <v>17</v>
      </c>
      <c r="F1493" s="53">
        <f>F1501-F1500</f>
        <v>307</v>
      </c>
      <c r="G1493" s="481">
        <f>G1504/G1511</f>
        <v>233.33333333333334</v>
      </c>
      <c r="H1493" s="481">
        <f>H1504/H1511</f>
        <v>242.10526315789474</v>
      </c>
      <c r="I1493" s="481">
        <f>I1504/I1511</f>
        <v>227.94117647058823</v>
      </c>
      <c r="J1493" s="481">
        <v>221</v>
      </c>
    </row>
    <row r="1494" spans="2:10" ht="15.75">
      <c r="B1494" s="53" t="s">
        <v>3655</v>
      </c>
      <c r="F1494" s="53"/>
      <c r="G1494" s="481"/>
      <c r="H1494" s="481">
        <f>H1493-H1495</f>
        <v>36.10526315789474</v>
      </c>
      <c r="I1494" s="749">
        <f>H1494</f>
        <v>36.10526315789474</v>
      </c>
    </row>
    <row r="1495" spans="2:10" ht="15.75">
      <c r="B1495" s="53" t="s">
        <v>2108</v>
      </c>
      <c r="F1495" s="53"/>
      <c r="G1495" s="481"/>
      <c r="H1495" s="481">
        <v>206</v>
      </c>
      <c r="I1495" s="481">
        <f>I1493-I1494</f>
        <v>191.83591331269349</v>
      </c>
    </row>
    <row r="1496" spans="2:10" ht="15.75">
      <c r="B1496" s="821" t="s">
        <v>3849</v>
      </c>
      <c r="F1496" s="53"/>
      <c r="G1496" s="481"/>
      <c r="H1496" s="481">
        <v>27.4</v>
      </c>
      <c r="I1496" s="53">
        <v>41</v>
      </c>
    </row>
    <row r="1497" spans="2:10" ht="15.75">
      <c r="B1497" s="821" t="s">
        <v>3843</v>
      </c>
      <c r="F1497" s="53"/>
      <c r="G1497" s="481">
        <f>H1497/(1.177)</f>
        <v>151.74171622769754</v>
      </c>
      <c r="H1497" s="481">
        <f>H1495-H1496</f>
        <v>178.6</v>
      </c>
      <c r="I1497" s="481">
        <f>I1495-I1496</f>
        <v>150.83591331269349</v>
      </c>
    </row>
    <row r="1498" spans="2:10" ht="15.75">
      <c r="B1498" s="53" t="s">
        <v>3850</v>
      </c>
      <c r="F1498" s="53"/>
      <c r="G1498" s="481"/>
      <c r="H1498" s="56">
        <f>H1497/G1497-1</f>
        <v>0.17700000000000005</v>
      </c>
      <c r="I1498" s="56">
        <f>I1497/H1497-1</f>
        <v>-0.15545401280686733</v>
      </c>
    </row>
    <row r="1499" spans="2:10" ht="15.75">
      <c r="B1499" s="53"/>
      <c r="F1499" s="53"/>
      <c r="G1499" s="481"/>
      <c r="H1499" s="56"/>
      <c r="I1499" s="53"/>
    </row>
    <row r="1500" spans="2:10" ht="15.75">
      <c r="B1500" s="50" t="s">
        <v>3845</v>
      </c>
      <c r="C1500" s="3"/>
      <c r="D1500" s="3"/>
      <c r="E1500" s="3"/>
      <c r="F1500" s="842">
        <v>185</v>
      </c>
      <c r="G1500" s="638">
        <f>G1501-G1493</f>
        <v>214.66666666666666</v>
      </c>
      <c r="H1500" s="638">
        <f>H1501-H1493</f>
        <v>234.89473684210526</v>
      </c>
      <c r="I1500" s="638">
        <f>I1501-I1493</f>
        <v>244.05882352941177</v>
      </c>
    </row>
    <row r="1501" spans="2:10" ht="15.75">
      <c r="B1501" s="53" t="s">
        <v>3844</v>
      </c>
      <c r="F1501" s="53">
        <v>492</v>
      </c>
      <c r="G1501" s="53">
        <v>448</v>
      </c>
      <c r="H1501" s="53">
        <v>477</v>
      </c>
      <c r="I1501" s="53">
        <v>472</v>
      </c>
    </row>
    <row r="1502" spans="2:10" ht="15.75">
      <c r="B1502" s="53"/>
      <c r="F1502" s="53"/>
      <c r="G1502" s="53"/>
      <c r="H1502" s="53"/>
      <c r="I1502" s="53"/>
    </row>
    <row r="1503" spans="2:10" ht="15.75">
      <c r="B1503" s="58" t="s">
        <v>8</v>
      </c>
      <c r="F1503" s="54"/>
      <c r="G1503" s="54"/>
      <c r="H1503" s="53"/>
      <c r="I1503" s="53"/>
    </row>
    <row r="1504" spans="2:10" ht="15.75">
      <c r="B1504" s="53" t="s">
        <v>469</v>
      </c>
      <c r="C1504" s="53">
        <v>54</v>
      </c>
      <c r="F1504" s="481">
        <f>F1509-F1508</f>
        <v>59.18938700823422</v>
      </c>
      <c r="G1504" s="53">
        <v>-7</v>
      </c>
      <c r="H1504" s="53">
        <v>23</v>
      </c>
      <c r="I1504" s="53">
        <v>31</v>
      </c>
    </row>
    <row r="1505" spans="2:9" ht="15.75">
      <c r="B1505" s="821" t="s">
        <v>3842</v>
      </c>
      <c r="C1505" s="53">
        <v>0</v>
      </c>
      <c r="F1505" s="481">
        <v>0</v>
      </c>
      <c r="G1505" s="53">
        <v>0</v>
      </c>
      <c r="H1505" s="481">
        <f>H1496</f>
        <v>27.4</v>
      </c>
      <c r="I1505" s="481">
        <f>I1496</f>
        <v>41</v>
      </c>
    </row>
    <row r="1506" spans="2:9" ht="15.75">
      <c r="B1506" s="821" t="s">
        <v>3848</v>
      </c>
      <c r="C1506" s="53">
        <f>C1504-C1505</f>
        <v>54</v>
      </c>
      <c r="F1506" s="481">
        <f>F1504-F1505</f>
        <v>59.18938700823422</v>
      </c>
      <c r="G1506" s="53">
        <f>G1504-G1505</f>
        <v>-7</v>
      </c>
      <c r="H1506" s="481">
        <f>H1504-H1505</f>
        <v>-4.3999999999999986</v>
      </c>
      <c r="I1506" s="481">
        <f>I1504-I1505</f>
        <v>-10</v>
      </c>
    </row>
    <row r="1507" spans="2:9" ht="15.75">
      <c r="B1507" s="53"/>
      <c r="C1507" s="53"/>
      <c r="F1507" s="481"/>
      <c r="G1507" s="53"/>
      <c r="H1507" s="53"/>
      <c r="I1507" s="53"/>
    </row>
    <row r="1508" spans="2:9" ht="15.75">
      <c r="B1508" s="53" t="s">
        <v>3846</v>
      </c>
      <c r="D1508" s="3"/>
      <c r="F1508" s="638">
        <f>G1508/1.093</f>
        <v>98.81061299176578</v>
      </c>
      <c r="G1508" s="50">
        <f>108</f>
        <v>108</v>
      </c>
      <c r="H1508" s="50">
        <f>H1509-H1504</f>
        <v>83</v>
      </c>
      <c r="I1508" s="50">
        <f>I1509-I1504</f>
        <v>109</v>
      </c>
    </row>
    <row r="1509" spans="2:9" ht="15.75">
      <c r="B1509" s="53" t="s">
        <v>3847</v>
      </c>
      <c r="D1509" s="53">
        <v>156</v>
      </c>
      <c r="F1509" s="53">
        <v>158</v>
      </c>
      <c r="G1509" s="53">
        <v>100</v>
      </c>
      <c r="H1509" s="53">
        <v>106</v>
      </c>
      <c r="I1509" s="53">
        <v>140</v>
      </c>
    </row>
    <row r="1510" spans="2:9" ht="15.75">
      <c r="B1510" s="53"/>
      <c r="F1510" s="53"/>
      <c r="G1510" s="53"/>
      <c r="H1510" s="53"/>
      <c r="I1510" s="53"/>
    </row>
    <row r="1511" spans="2:9" ht="15.75">
      <c r="B1511" s="53" t="str">
        <f>B1504</f>
        <v>Puerto Rico</v>
      </c>
      <c r="F1511" s="54">
        <f>F1504/F1493</f>
        <v>0.19279930621574665</v>
      </c>
      <c r="G1511" s="54">
        <v>-0.03</v>
      </c>
      <c r="H1511" s="54">
        <v>9.5000000000000001E-2</v>
      </c>
      <c r="I1511" s="54">
        <v>0.13600000000000001</v>
      </c>
    </row>
    <row r="1512" spans="2:9" ht="15.75">
      <c r="B1512" s="53" t="str">
        <f>B1508</f>
        <v>Dom Rep</v>
      </c>
      <c r="F1512" s="57">
        <f t="shared" ref="F1512:I1513" si="77">F1508/F1500</f>
        <v>0.53411142157711233</v>
      </c>
      <c r="G1512" s="57">
        <f t="shared" si="77"/>
        <v>0.50310559006211186</v>
      </c>
      <c r="H1512" s="57">
        <f t="shared" si="77"/>
        <v>0.35334976473224289</v>
      </c>
      <c r="I1512" s="57">
        <f t="shared" si="77"/>
        <v>0.44661364184140756</v>
      </c>
    </row>
    <row r="1513" spans="2:9" ht="15.75">
      <c r="B1513" s="53" t="s">
        <v>3851</v>
      </c>
      <c r="F1513" s="54">
        <f t="shared" si="77"/>
        <v>0.32113821138211385</v>
      </c>
      <c r="G1513" s="54">
        <f t="shared" si="77"/>
        <v>0.22321428571428573</v>
      </c>
      <c r="H1513" s="54">
        <f t="shared" si="77"/>
        <v>0.22222222222222221</v>
      </c>
      <c r="I1513" s="54">
        <f t="shared" si="77"/>
        <v>0.29661016949152541</v>
      </c>
    </row>
    <row r="1514" spans="2:9" ht="15.75">
      <c r="B1514" s="53"/>
      <c r="F1514" s="54"/>
      <c r="G1514" s="54"/>
      <c r="H1514" s="54"/>
      <c r="I1514" s="54"/>
    </row>
    <row r="1515" spans="2:9" ht="15.75">
      <c r="B1515" s="50"/>
      <c r="C1515" s="3"/>
      <c r="D1515" s="3"/>
      <c r="E1515" s="57" t="s">
        <v>3852</v>
      </c>
      <c r="F1515" s="843" t="str">
        <f>F1491</f>
        <v>Q4 16</v>
      </c>
      <c r="G1515" s="843" t="str">
        <f>G1491</f>
        <v>Q4 17</v>
      </c>
      <c r="H1515" s="843" t="str">
        <f>H1491</f>
        <v xml:space="preserve">Q1 18 </v>
      </c>
      <c r="I1515" s="843" t="str">
        <f>I1491</f>
        <v>Q2 18</v>
      </c>
    </row>
    <row r="1516" spans="2:9" ht="15.75">
      <c r="B1516" s="53" t="s">
        <v>3853</v>
      </c>
      <c r="E1516" s="481">
        <f>C1504</f>
        <v>54</v>
      </c>
      <c r="F1516" s="481">
        <f>F1506</f>
        <v>59.18938700823422</v>
      </c>
      <c r="G1516" s="481">
        <f>G1506</f>
        <v>-7</v>
      </c>
      <c r="H1516" s="481">
        <f>H1506</f>
        <v>-4.3999999999999986</v>
      </c>
      <c r="I1516" s="481">
        <f>I1506</f>
        <v>-10</v>
      </c>
    </row>
    <row r="1517" spans="2:9" ht="15.75">
      <c r="B1517" s="53" t="s">
        <v>925</v>
      </c>
      <c r="E1517" s="481">
        <f>'LiLAC valuation'!S382</f>
        <v>53.8</v>
      </c>
      <c r="F1517" s="481">
        <f>'LiLAC valuation'!T382</f>
        <v>39.6</v>
      </c>
      <c r="G1517" s="481">
        <f>'LiLAC valuation'!U382</f>
        <v>-12.1</v>
      </c>
      <c r="H1517" s="481">
        <f>'LiLAC valuation'!V382</f>
        <v>18</v>
      </c>
      <c r="I1517" s="481">
        <f>'LiLAC valuation'!W382</f>
        <v>35.700000000000003</v>
      </c>
    </row>
    <row r="1518" spans="2:9" ht="15.75">
      <c r="B1518" s="53"/>
      <c r="F1518" s="54"/>
      <c r="G1518" s="54"/>
      <c r="H1518" s="54"/>
      <c r="I1518" s="54"/>
    </row>
    <row r="1520" spans="2:9" ht="15.75">
      <c r="B1520" s="50" t="s">
        <v>4758</v>
      </c>
      <c r="C1520" s="3"/>
      <c r="D1520" s="3"/>
      <c r="E1520" s="3"/>
      <c r="F1520" s="3"/>
      <c r="G1520" s="843" t="s">
        <v>4427</v>
      </c>
      <c r="H1520" s="843" t="s">
        <v>4535</v>
      </c>
      <c r="I1520" s="843" t="s">
        <v>4755</v>
      </c>
    </row>
    <row r="1521" spans="2:9" ht="15.75">
      <c r="B1521" s="53" t="s">
        <v>17</v>
      </c>
      <c r="G1521" s="481">
        <v>32</v>
      </c>
      <c r="H1521" s="721"/>
      <c r="I1521" s="721"/>
    </row>
    <row r="1522" spans="2:9" ht="15.75">
      <c r="B1522" s="53"/>
      <c r="G1522" s="721"/>
      <c r="H1522" s="721"/>
      <c r="I1522" s="721"/>
    </row>
    <row r="1523" spans="2:9" ht="15.75">
      <c r="B1523" s="53" t="s">
        <v>1919</v>
      </c>
      <c r="G1523" s="56">
        <v>-2.4E-2</v>
      </c>
      <c r="I1523" s="56">
        <v>-1.4E-2</v>
      </c>
    </row>
    <row r="1524" spans="2:9" ht="15.75">
      <c r="B1524" s="50" t="s">
        <v>733</v>
      </c>
      <c r="C1524" s="3"/>
      <c r="D1524" s="3"/>
      <c r="E1524" s="3"/>
      <c r="F1524" s="3"/>
      <c r="G1524" s="631">
        <v>3.1E-2</v>
      </c>
      <c r="H1524" s="3"/>
      <c r="I1524" s="631">
        <v>-9.4E-2</v>
      </c>
    </row>
    <row r="1525" spans="2:9" ht="15.75">
      <c r="B1525" s="53" t="s">
        <v>4756</v>
      </c>
      <c r="H1525" s="56">
        <v>-3.7999999999999999E-2</v>
      </c>
      <c r="I1525" s="56">
        <v>-5.2999999999999999E-2</v>
      </c>
    </row>
    <row r="1526" spans="2:9" ht="15.75">
      <c r="B1526" s="53" t="s">
        <v>17</v>
      </c>
      <c r="G1526" s="56">
        <v>8.0000000000000002E-3</v>
      </c>
      <c r="H1526" s="56">
        <v>-0.01</v>
      </c>
      <c r="I1526" s="56">
        <v>-4.9000000000000002E-2</v>
      </c>
    </row>
    <row r="1527" spans="2:9" ht="15.75">
      <c r="B1527" s="53"/>
      <c r="H1527" s="56"/>
      <c r="I1527" s="56"/>
    </row>
    <row r="1528" spans="2:9" ht="15.75">
      <c r="B1528" s="53" t="s">
        <v>4759</v>
      </c>
      <c r="G1528" s="481">
        <v>31</v>
      </c>
      <c r="H1528" s="56"/>
      <c r="I1528" s="56"/>
    </row>
    <row r="1529" spans="2:9" ht="15.75">
      <c r="B1529" s="53" t="s">
        <v>4757</v>
      </c>
      <c r="H1529" s="56"/>
      <c r="I1529" s="56">
        <v>-0.14399999999999999</v>
      </c>
    </row>
    <row r="1530" spans="2:9" ht="15.75">
      <c r="B1530" s="53" t="s">
        <v>251</v>
      </c>
      <c r="H1530" s="56">
        <v>0.115</v>
      </c>
      <c r="I1530" s="56">
        <v>0.159</v>
      </c>
    </row>
    <row r="1532" spans="2:9">
      <c r="B1532" s="14" t="s">
        <v>3856</v>
      </c>
    </row>
    <row r="1534" spans="2:9" ht="15.75">
      <c r="B1534" s="50" t="s">
        <v>3854</v>
      </c>
      <c r="C1534" s="50">
        <v>2018</v>
      </c>
      <c r="D1534" s="50">
        <f>C1534+1</f>
        <v>2019</v>
      </c>
      <c r="E1534" s="50">
        <f>D1534+1</f>
        <v>2020</v>
      </c>
    </row>
    <row r="1535" spans="2:9" ht="15.75">
      <c r="B1535" s="53" t="s">
        <v>15</v>
      </c>
      <c r="C1535" s="630">
        <f>Master!J52</f>
        <v>3693.7671488858091</v>
      </c>
      <c r="D1535" s="630">
        <f>Master!K52</f>
        <v>3867.1</v>
      </c>
      <c r="E1535" s="630">
        <f>Master!L52</f>
        <v>3765</v>
      </c>
    </row>
    <row r="1536" spans="2:9" ht="15.75">
      <c r="B1536" s="53" t="s">
        <v>8</v>
      </c>
      <c r="C1536" s="630">
        <f>Master!J74</f>
        <v>1412.5717613715995</v>
      </c>
      <c r="D1536" s="630">
        <f>Master!K74</f>
        <v>1506.5</v>
      </c>
      <c r="E1536" s="630">
        <f>Master!L74</f>
        <v>1485</v>
      </c>
    </row>
    <row r="1537" spans="2:5" ht="15.75">
      <c r="B1537" s="53" t="s">
        <v>19</v>
      </c>
      <c r="C1537" s="630">
        <f>Master!J121</f>
        <v>771.39999999999986</v>
      </c>
      <c r="D1537" s="630">
        <f>Master!K121</f>
        <v>727.09999999999991</v>
      </c>
      <c r="E1537" s="630">
        <f>Master!L121</f>
        <v>631</v>
      </c>
    </row>
    <row r="1538" spans="2:5" ht="15.75">
      <c r="B1538" s="53" t="s">
        <v>91</v>
      </c>
      <c r="C1538" s="56">
        <f>C1537/C1535</f>
        <v>0.20883828593058054</v>
      </c>
      <c r="D1538" s="56">
        <f>D1537/D1535</f>
        <v>0.18802203201365361</v>
      </c>
      <c r="E1538" s="56">
        <f>E1537/E1535</f>
        <v>0.16759628154050465</v>
      </c>
    </row>
    <row r="1539" spans="2:5" ht="15.75">
      <c r="B1539" s="53" t="s">
        <v>27</v>
      </c>
      <c r="C1539" s="630">
        <f>C1536-C1537</f>
        <v>641.17176137159959</v>
      </c>
      <c r="D1539" s="630">
        <f>D1536-D1537</f>
        <v>779.40000000000009</v>
      </c>
      <c r="E1539" s="630">
        <f>E1536-E1537</f>
        <v>854</v>
      </c>
    </row>
    <row r="1540" spans="2:5" ht="15.75">
      <c r="B1540" s="53"/>
      <c r="C1540" s="630"/>
      <c r="D1540" s="630"/>
      <c r="E1540" s="630"/>
    </row>
    <row r="1541" spans="2:5" ht="15.75" hidden="1" outlineLevel="1">
      <c r="B1541" s="53" t="s">
        <v>1423</v>
      </c>
      <c r="C1541" s="630"/>
      <c r="D1541" s="630"/>
      <c r="E1541" s="630"/>
    </row>
    <row r="1542" spans="2:5" ht="15.75" hidden="1" outlineLevel="1">
      <c r="B1542" s="53" t="s">
        <v>15</v>
      </c>
      <c r="C1542" s="630">
        <v>3717.1699846215552</v>
      </c>
      <c r="D1542" s="630">
        <v>3976.0444776345812</v>
      </c>
      <c r="E1542" s="630">
        <v>4113.3644390269537</v>
      </c>
    </row>
    <row r="1543" spans="2:5" ht="15.75" hidden="1" outlineLevel="1">
      <c r="B1543" s="53" t="s">
        <v>8</v>
      </c>
      <c r="C1543" s="630">
        <v>1402.9163532455166</v>
      </c>
      <c r="D1543" s="630">
        <v>1557.0050639737035</v>
      </c>
      <c r="E1543" s="630">
        <v>1647.0864817776412</v>
      </c>
    </row>
    <row r="1544" spans="2:5" ht="15.75" hidden="1" outlineLevel="1">
      <c r="B1544" s="53" t="s">
        <v>19</v>
      </c>
      <c r="C1544" s="630">
        <v>751.86572441460839</v>
      </c>
      <c r="D1544" s="630">
        <v>717.23949968952206</v>
      </c>
      <c r="E1544" s="630">
        <v>722.62326744387224</v>
      </c>
    </row>
    <row r="1545" spans="2:5" ht="15.75" hidden="1" outlineLevel="1">
      <c r="B1545" s="53" t="s">
        <v>91</v>
      </c>
      <c r="C1545" s="56">
        <f>C1544/C1542</f>
        <v>0.20226831905056281</v>
      </c>
      <c r="D1545" s="56">
        <f>D1544/D1542</f>
        <v>0.18039021035202818</v>
      </c>
      <c r="E1545" s="56">
        <f>E1544/E1542</f>
        <v>0.17567693749373056</v>
      </c>
    </row>
    <row r="1546" spans="2:5" ht="15.75" hidden="1" outlineLevel="1">
      <c r="B1546" s="53" t="s">
        <v>27</v>
      </c>
      <c r="C1546" s="630">
        <f>C1543-C1544</f>
        <v>651.05062883090818</v>
      </c>
      <c r="D1546" s="630">
        <f>D1543-D1544</f>
        <v>839.76556428418144</v>
      </c>
      <c r="E1546" s="630">
        <f>E1543-E1544</f>
        <v>924.46321433376897</v>
      </c>
    </row>
    <row r="1547" spans="2:5" ht="15.75" hidden="1" outlineLevel="1">
      <c r="B1547" s="53"/>
      <c r="C1547" s="53"/>
      <c r="D1547" s="53"/>
      <c r="E1547" s="53"/>
    </row>
    <row r="1548" spans="2:5" ht="15.75" collapsed="1">
      <c r="B1548" s="53" t="s">
        <v>3855</v>
      </c>
      <c r="C1548" s="53"/>
      <c r="D1548" s="53"/>
      <c r="E1548" s="53"/>
    </row>
    <row r="1549" spans="2:5" ht="15.75">
      <c r="B1549" s="53" t="s">
        <v>15</v>
      </c>
      <c r="C1549" s="56">
        <f t="shared" ref="C1549:E1551" si="78">C1535/C1542-1</f>
        <v>-6.2958745046814979E-3</v>
      </c>
      <c r="D1549" s="56">
        <f t="shared" si="78"/>
        <v>-2.7400216030630142E-2</v>
      </c>
      <c r="E1549" s="56">
        <f t="shared" si="78"/>
        <v>-8.4690876335130172E-2</v>
      </c>
    </row>
    <row r="1550" spans="2:5" ht="15.75">
      <c r="B1550" s="53" t="s">
        <v>8</v>
      </c>
      <c r="C1550" s="56">
        <f t="shared" si="78"/>
        <v>6.8823833322251282E-3</v>
      </c>
      <c r="D1550" s="56">
        <f t="shared" si="78"/>
        <v>-3.2437315165056213E-2</v>
      </c>
      <c r="E1550" s="56">
        <f t="shared" si="78"/>
        <v>-9.8407997133646008E-2</v>
      </c>
    </row>
    <row r="1551" spans="2:5" ht="15.75">
      <c r="B1551" s="53" t="s">
        <v>19</v>
      </c>
      <c r="C1551" s="56">
        <f t="shared" si="78"/>
        <v>2.5981069426459946E-2</v>
      </c>
      <c r="D1551" s="56">
        <f t="shared" si="78"/>
        <v>1.3747848960836917E-2</v>
      </c>
      <c r="E1551" s="56">
        <f t="shared" si="78"/>
        <v>-0.12679257861149462</v>
      </c>
    </row>
    <row r="1552" spans="2:5" ht="15.75">
      <c r="B1552" s="53" t="s">
        <v>27</v>
      </c>
      <c r="C1552" s="56">
        <f>C1539/C1546-1</f>
        <v>-1.5173731537665658E-2</v>
      </c>
      <c r="D1552" s="56">
        <f>D1539/D1546-1</f>
        <v>-7.1883829072745042E-2</v>
      </c>
      <c r="E1552" s="56">
        <f>E1539/E1546-1</f>
        <v>-7.6220679461593943E-2</v>
      </c>
    </row>
    <row r="1554" spans="2:10">
      <c r="B1554" s="14" t="s">
        <v>3411</v>
      </c>
    </row>
    <row r="1556" spans="2:10" ht="15.75">
      <c r="B1556" s="50" t="s">
        <v>3471</v>
      </c>
      <c r="C1556" s="50">
        <v>2018</v>
      </c>
      <c r="D1556" s="50">
        <v>2019</v>
      </c>
      <c r="E1556" s="50">
        <f t="shared" ref="E1556:J1556" si="79">D1556+1</f>
        <v>2020</v>
      </c>
      <c r="F1556" s="50">
        <f t="shared" si="79"/>
        <v>2021</v>
      </c>
      <c r="G1556" s="50">
        <f t="shared" si="79"/>
        <v>2022</v>
      </c>
      <c r="H1556" s="50">
        <f t="shared" si="79"/>
        <v>2023</v>
      </c>
      <c r="I1556" s="50">
        <f t="shared" si="79"/>
        <v>2024</v>
      </c>
      <c r="J1556" s="50">
        <f t="shared" si="79"/>
        <v>2025</v>
      </c>
    </row>
    <row r="1557" spans="2:10" ht="15.75">
      <c r="B1557" s="53" t="s">
        <v>3440</v>
      </c>
      <c r="C1557" s="481">
        <f>'Costa Rica'!C14</f>
        <v>562</v>
      </c>
      <c r="D1557" s="481">
        <f>'Costa Rica'!D14</f>
        <v>585.1</v>
      </c>
      <c r="E1557" s="481">
        <f>'Costa Rica'!E14</f>
        <v>603.4</v>
      </c>
      <c r="F1557" s="481">
        <f>'Costa Rica'!F14</f>
        <v>633</v>
      </c>
      <c r="G1557" s="481">
        <f>'Costa Rica'!G14</f>
        <v>663.1</v>
      </c>
      <c r="H1557" s="481">
        <f>'Costa Rica'!H14</f>
        <v>700.3</v>
      </c>
      <c r="I1557" s="481">
        <f>'Costa Rica'!I14</f>
        <v>749.5</v>
      </c>
      <c r="J1557" s="481">
        <f>'Costa Rica'!J14</f>
        <v>756.55777740489987</v>
      </c>
    </row>
    <row r="1558" spans="2:10" ht="15.75">
      <c r="B1558" s="53" t="s">
        <v>3472</v>
      </c>
      <c r="C1558" s="54">
        <f>'Costa Rica'!C15</f>
        <v>0.4</v>
      </c>
      <c r="D1558" s="54">
        <f>'Costa Rica'!D15</f>
        <v>0.41436943396894538</v>
      </c>
      <c r="E1558" s="54">
        <f>'Costa Rica'!E15</f>
        <v>0.42520352681450324</v>
      </c>
      <c r="F1558" s="54">
        <f>'Costa Rica'!F15</f>
        <v>0.44384282181004253</v>
      </c>
      <c r="G1558" s="54">
        <f>'Costa Rica'!G15</f>
        <v>0.46263496913888574</v>
      </c>
      <c r="H1558" s="54">
        <f>'Costa Rica'!H15</f>
        <v>0.48615806338232187</v>
      </c>
      <c r="I1558" s="54">
        <f>'Costa Rica'!I15</f>
        <v>0.51772476828345826</v>
      </c>
      <c r="J1558" s="54">
        <f>'Costa Rica'!J15</f>
        <v>0.52</v>
      </c>
    </row>
    <row r="1559" spans="2:10" ht="15.75">
      <c r="B1559" s="53" t="s">
        <v>3473</v>
      </c>
      <c r="C1559" s="481">
        <f>'Costa Rica'!C17</f>
        <v>267</v>
      </c>
      <c r="D1559" s="481">
        <f>'Costa Rica'!D17</f>
        <v>232.7</v>
      </c>
      <c r="E1559" s="481">
        <f>'Costa Rica'!E17</f>
        <v>256.5</v>
      </c>
      <c r="F1559" s="481">
        <f>'Costa Rica'!F17</f>
        <v>268.3</v>
      </c>
      <c r="G1559" s="481">
        <f>'Costa Rica'!G17</f>
        <v>283.2</v>
      </c>
      <c r="H1559" s="481">
        <f>'Costa Rica'!H17</f>
        <v>299.2</v>
      </c>
      <c r="I1559" s="481">
        <f>'Costa Rica'!I17</f>
        <v>277.5</v>
      </c>
      <c r="J1559" s="481">
        <f>'Costa Rica'!J17</f>
        <v>280.11311971962601</v>
      </c>
    </row>
    <row r="1560" spans="2:10" ht="15.75">
      <c r="B1560" s="53" t="s">
        <v>3474</v>
      </c>
      <c r="C1560" s="481">
        <f>'Costa Rica'!C21</f>
        <v>327</v>
      </c>
      <c r="D1560" s="481">
        <f>'Costa Rica'!D21</f>
        <v>381.29999999999995</v>
      </c>
      <c r="E1560" s="481">
        <f>'Costa Rica'!E21</f>
        <v>425</v>
      </c>
      <c r="F1560" s="481">
        <f>'Costa Rica'!F21</f>
        <v>443.20000000000005</v>
      </c>
      <c r="G1560" s="481">
        <f>'Costa Rica'!G21</f>
        <v>476.70000000000005</v>
      </c>
      <c r="H1560" s="481">
        <f>'Costa Rica'!H21</f>
        <v>528.4</v>
      </c>
      <c r="I1560" s="481">
        <f>'Costa Rica'!I21</f>
        <v>520.9</v>
      </c>
      <c r="J1560" s="481">
        <f>'Costa Rica'!J21</f>
        <v>537.00965654357128</v>
      </c>
    </row>
    <row r="1561" spans="2:10" ht="15.75">
      <c r="B1561" s="53" t="s">
        <v>2242</v>
      </c>
      <c r="C1561" s="685">
        <f t="shared" ref="C1561:J1561" si="80">C1560/C1559</f>
        <v>1.2247191011235956</v>
      </c>
      <c r="D1561" s="685">
        <f t="shared" si="80"/>
        <v>1.63859045981951</v>
      </c>
      <c r="E1561" s="685">
        <f t="shared" si="80"/>
        <v>1.6569200779727096</v>
      </c>
      <c r="F1561" s="685">
        <f t="shared" si="80"/>
        <v>1.6518822213939621</v>
      </c>
      <c r="G1561" s="685">
        <f t="shared" si="80"/>
        <v>1.683262711864407</v>
      </c>
      <c r="H1561" s="685">
        <f t="shared" si="80"/>
        <v>1.7660427807486632</v>
      </c>
      <c r="I1561" s="685">
        <f t="shared" si="80"/>
        <v>1.877117117117117</v>
      </c>
      <c r="J1561" s="685">
        <f t="shared" si="80"/>
        <v>1.9171171171171171</v>
      </c>
    </row>
    <row r="1562" spans="2:10" ht="15.75">
      <c r="B1562" s="53"/>
      <c r="C1562" s="53"/>
      <c r="D1562" s="53"/>
      <c r="E1562" s="53"/>
      <c r="F1562" s="53"/>
      <c r="G1562" s="53"/>
      <c r="H1562" s="53"/>
      <c r="I1562" s="53"/>
      <c r="J1562" s="53"/>
    </row>
    <row r="1563" spans="2:10" ht="15.75">
      <c r="B1563" s="53" t="s">
        <v>15</v>
      </c>
      <c r="C1563" s="621">
        <f>'Costa Rica'!D37</f>
        <v>74.568175820032678</v>
      </c>
      <c r="D1563" s="621">
        <f>'Costa Rica'!E37</f>
        <v>78.027599999999993</v>
      </c>
      <c r="E1563" s="621">
        <f>'Costa Rica'!F37</f>
        <v>83.655000000000001</v>
      </c>
      <c r="F1563" s="621">
        <f>'Costa Rica'!G37</f>
        <v>89.522894315825837</v>
      </c>
      <c r="G1563" s="621">
        <f>'Costa Rica'!H37</f>
        <v>101.72696980096752</v>
      </c>
      <c r="H1563" s="621">
        <f>'Costa Rica'!I37</f>
        <v>104.07647719024186</v>
      </c>
      <c r="I1563" s="621">
        <f>'Costa Rica'!J37</f>
        <v>105.97974396357526</v>
      </c>
      <c r="J1563" s="621">
        <f>'Costa Rica'!K37</f>
        <v>112.26035135776834</v>
      </c>
    </row>
    <row r="1564" spans="2:10" ht="15.75">
      <c r="B1564" s="53" t="s">
        <v>1092</v>
      </c>
      <c r="C1564" s="54">
        <f>'Costa Rica'!D38</f>
        <v>0.14800917431192673</v>
      </c>
      <c r="D1564" s="54">
        <f>'Costa Rica'!E38</f>
        <v>4.6392769327179062E-2</v>
      </c>
      <c r="E1564" s="54">
        <f>'Costa Rica'!F38</f>
        <v>7.2120634237116121E-2</v>
      </c>
      <c r="F1564" s="54">
        <f>'Costa Rica'!G38</f>
        <v>7.0143976042386313E-2</v>
      </c>
      <c r="G1564" s="54">
        <f>'Costa Rica'!H38</f>
        <v>0.13632351342537241</v>
      </c>
      <c r="H1564" s="54">
        <f>'Costa Rica'!I38</f>
        <v>2.3096209332404527E-2</v>
      </c>
      <c r="I1564" s="54">
        <f>'Costa Rica'!J38</f>
        <v>1.8287194423908248E-2</v>
      </c>
      <c r="J1564" s="54">
        <f>'Costa Rica'!K38</f>
        <v>5.92623378704491E-2</v>
      </c>
    </row>
    <row r="1565" spans="2:10" ht="15.75">
      <c r="B1565" s="53"/>
      <c r="C1565" s="53"/>
      <c r="D1565" s="53"/>
      <c r="E1565" s="53"/>
      <c r="F1565" s="53"/>
      <c r="G1565" s="53"/>
      <c r="H1565" s="53"/>
      <c r="I1565" s="53"/>
      <c r="J1565" s="53"/>
    </row>
    <row r="1566" spans="2:10" ht="15.75">
      <c r="B1566" s="53" t="s">
        <v>8</v>
      </c>
      <c r="C1566" s="481">
        <f>'Costa Rica'!D48</f>
        <v>23.861816262410457</v>
      </c>
      <c r="D1566" s="481">
        <f>'Costa Rica'!E48</f>
        <v>27.635999999999999</v>
      </c>
      <c r="E1566" s="481">
        <f>'Costa Rica'!F48</f>
        <v>32.76</v>
      </c>
      <c r="F1566" s="481">
        <f>'Costa Rica'!G48</f>
        <v>34.018699840013817</v>
      </c>
      <c r="G1566" s="481">
        <f>'Costa Rica'!H48</f>
        <v>36.621709128348307</v>
      </c>
      <c r="H1566" s="481">
        <f>'Costa Rica'!I48</f>
        <v>41.630590876096747</v>
      </c>
      <c r="I1566" s="481">
        <f>'Costa Rica'!J48</f>
        <v>43.451695025065852</v>
      </c>
      <c r="J1566" s="481">
        <f>'Costa Rica'!K48</f>
        <v>46.026744056685018</v>
      </c>
    </row>
    <row r="1567" spans="2:10" ht="15.75">
      <c r="B1567" s="53" t="s">
        <v>2048</v>
      </c>
      <c r="C1567" s="56">
        <f>'Costa Rica'!D49</f>
        <v>0.32</v>
      </c>
      <c r="D1567" s="56">
        <f>'Costa Rica'!E49</f>
        <v>0.35418236623963828</v>
      </c>
      <c r="E1567" s="56">
        <f>'Costa Rica'!F49</f>
        <v>0.39160839160839156</v>
      </c>
      <c r="F1567" s="56">
        <f>'Costa Rica'!G49</f>
        <v>0.38</v>
      </c>
      <c r="G1567" s="56">
        <f>'Costa Rica'!H49</f>
        <v>0.36</v>
      </c>
      <c r="H1567" s="56">
        <f>'Costa Rica'!I49</f>
        <v>0.4</v>
      </c>
      <c r="I1567" s="56">
        <f>'Costa Rica'!J49</f>
        <v>0.41</v>
      </c>
      <c r="J1567" s="56">
        <f>'Costa Rica'!K49</f>
        <v>0.41</v>
      </c>
    </row>
    <row r="1568" spans="2:10" ht="15.75">
      <c r="B1568" s="53"/>
      <c r="C1568" s="53"/>
      <c r="D1568" s="53"/>
      <c r="E1568" s="53"/>
      <c r="F1568" s="53"/>
      <c r="G1568" s="53"/>
      <c r="H1568" s="53"/>
      <c r="I1568" s="53"/>
      <c r="J1568" s="53"/>
    </row>
    <row r="1569" spans="2:10" ht="15.75">
      <c r="B1569" s="53" t="s">
        <v>19</v>
      </c>
      <c r="C1569" s="481">
        <f>'Costa Rica'!D51</f>
        <v>14.913635164006536</v>
      </c>
      <c r="D1569" s="481">
        <f>'Costa Rica'!E51</f>
        <v>19.506899999999998</v>
      </c>
      <c r="E1569" s="481">
        <f>'Costa Rica'!F51</f>
        <v>14.365590909090907</v>
      </c>
      <c r="F1569" s="481">
        <f>'Costa Rica'!G51</f>
        <v>16.11412097684865</v>
      </c>
      <c r="G1569" s="481">
        <f>'Costa Rica'!H51</f>
        <v>21.362663658203179</v>
      </c>
      <c r="H1569" s="481">
        <f>'Costa Rica'!I51</f>
        <v>20.815295438048373</v>
      </c>
      <c r="I1569" s="481">
        <f>'Costa Rica'!J51</f>
        <v>20.136151353079299</v>
      </c>
      <c r="J1569" s="481">
        <f>'Costa Rica'!K51</f>
        <v>20.206863244398303</v>
      </c>
    </row>
    <row r="1570" spans="2:10" ht="15.75">
      <c r="B1570" s="53" t="s">
        <v>91</v>
      </c>
      <c r="C1570" s="54">
        <f>'Costa Rica'!D52</f>
        <v>0.2</v>
      </c>
      <c r="D1570" s="54">
        <f>'Costa Rica'!E52</f>
        <v>0.25</v>
      </c>
      <c r="E1570" s="54">
        <f>'Costa Rica'!F52</f>
        <v>0.17172423536059897</v>
      </c>
      <c r="F1570" s="54">
        <f>'Costa Rica'!G52</f>
        <v>0.18</v>
      </c>
      <c r="G1570" s="54">
        <f>'Costa Rica'!H52</f>
        <v>0.21</v>
      </c>
      <c r="H1570" s="54">
        <f>'Costa Rica'!I52</f>
        <v>0.2</v>
      </c>
      <c r="I1570" s="54">
        <f>'Costa Rica'!J52</f>
        <v>0.19</v>
      </c>
      <c r="J1570" s="54">
        <f>'Costa Rica'!K52</f>
        <v>0.18</v>
      </c>
    </row>
    <row r="1571" spans="2:10" ht="15.75">
      <c r="B1571" s="53" t="s">
        <v>27</v>
      </c>
      <c r="C1571" s="481">
        <f t="shared" ref="C1571:J1571" si="81">C1566-C1569</f>
        <v>8.9481810984039214</v>
      </c>
      <c r="D1571" s="481">
        <f t="shared" si="81"/>
        <v>8.1291000000000011</v>
      </c>
      <c r="E1571" s="481">
        <f t="shared" si="81"/>
        <v>18.394409090909093</v>
      </c>
      <c r="F1571" s="481">
        <f t="shared" si="81"/>
        <v>17.904578863165167</v>
      </c>
      <c r="G1571" s="481">
        <f t="shared" si="81"/>
        <v>15.259045470145129</v>
      </c>
      <c r="H1571" s="481">
        <f t="shared" si="81"/>
        <v>20.815295438048373</v>
      </c>
      <c r="I1571" s="481">
        <f t="shared" si="81"/>
        <v>23.315543671986553</v>
      </c>
      <c r="J1571" s="481">
        <f t="shared" si="81"/>
        <v>25.819880812286716</v>
      </c>
    </row>
    <row r="1572" spans="2:10" ht="15.75">
      <c r="B1572" s="53"/>
    </row>
    <row r="1573" spans="2:10">
      <c r="B1573" s="14" t="s">
        <v>3477</v>
      </c>
    </row>
    <row r="1575" spans="2:10">
      <c r="B1575" s="3"/>
      <c r="C1575" s="4" t="s">
        <v>833</v>
      </c>
    </row>
    <row r="1576" spans="2:10" ht="15.75">
      <c r="B1576" s="53" t="s">
        <v>3476</v>
      </c>
      <c r="C1576" s="630">
        <f>SUM(SOP!G3:G8)+SOP!G10+SOP!G11</f>
        <v>9552.2861009825556</v>
      </c>
    </row>
    <row r="1577" spans="2:10" ht="15.75">
      <c r="B1577" s="78" t="s">
        <v>2732</v>
      </c>
      <c r="C1577" s="630"/>
    </row>
    <row r="1578" spans="2:10" ht="15.75">
      <c r="B1578" s="53" t="s">
        <v>674</v>
      </c>
      <c r="C1578" s="630" t="e">
        <f>-SOP!G21-SOP!#REF!-SOP!G22-SOP!#REF!</f>
        <v>#REF!</v>
      </c>
    </row>
    <row r="1579" spans="2:10" ht="15.75">
      <c r="B1579" s="50" t="s">
        <v>3478</v>
      </c>
      <c r="C1579" s="632">
        <f>-3612.5-250</f>
        <v>-3862.5</v>
      </c>
    </row>
    <row r="1580" spans="2:10" ht="15.75">
      <c r="B1580" s="53" t="s">
        <v>332</v>
      </c>
      <c r="C1580" s="630" t="e">
        <f>C1576+C1578+C1579</f>
        <v>#REF!</v>
      </c>
    </row>
    <row r="1582" spans="2:10" ht="15.75">
      <c r="B1582" s="53" t="s">
        <v>3481</v>
      </c>
      <c r="C1582" s="630">
        <f>'LiLAC valuation'!B690</f>
        <v>4438.5942329999998</v>
      </c>
    </row>
    <row r="1583" spans="2:10" ht="15.75">
      <c r="B1583" s="53" t="s">
        <v>3479</v>
      </c>
      <c r="C1583" s="820">
        <f>'LiLAC valuation'!B692</f>
        <v>1.5206</v>
      </c>
    </row>
    <row r="1584" spans="2:10" ht="15.75">
      <c r="B1584" s="53" t="s">
        <v>3480</v>
      </c>
      <c r="C1584" s="639" t="e">
        <f>(C1580/C1583)*100/C1582</f>
        <v>#REF!</v>
      </c>
    </row>
    <row r="1586" spans="1:9">
      <c r="B1586" s="14" t="s">
        <v>3674</v>
      </c>
    </row>
    <row r="1588" spans="1:9">
      <c r="A1588" s="488"/>
      <c r="E1588" s="801">
        <v>43140</v>
      </c>
      <c r="F1588" s="488" t="s">
        <v>3678</v>
      </c>
      <c r="G1588" s="488" t="s">
        <v>3677</v>
      </c>
      <c r="H1588" s="488" t="s">
        <v>3676</v>
      </c>
      <c r="I1588" s="488" t="s">
        <v>3675</v>
      </c>
    </row>
    <row r="1589" spans="1:9">
      <c r="B1589" t="s">
        <v>3680</v>
      </c>
      <c r="F1589" s="62">
        <v>7.3602236658212812</v>
      </c>
      <c r="G1589" s="62">
        <v>7.1064312427849456</v>
      </c>
      <c r="H1589" s="62">
        <v>7.2313433733665695</v>
      </c>
      <c r="I1589" s="62">
        <v>6.7910007593966846</v>
      </c>
    </row>
    <row r="1590" spans="1:9">
      <c r="B1590" t="s">
        <v>3681</v>
      </c>
      <c r="F1590" s="62">
        <v>9.3458433543704622</v>
      </c>
      <c r="G1590" s="62">
        <v>8.9263655964015864</v>
      </c>
      <c r="H1590" s="62">
        <v>9.0623543344115802</v>
      </c>
      <c r="I1590" s="62">
        <v>8.4298738519250094</v>
      </c>
    </row>
    <row r="1591" spans="1:9">
      <c r="B1591" t="s">
        <v>3682</v>
      </c>
      <c r="F1591" s="62">
        <v>7.2258202209448665</v>
      </c>
      <c r="G1591" s="62">
        <v>6.978519586512685</v>
      </c>
      <c r="H1591" s="62">
        <v>6.7574690546339387</v>
      </c>
      <c r="I1591" s="62">
        <v>6.4060215192636969</v>
      </c>
    </row>
    <row r="1592" spans="1:9">
      <c r="B1592" t="s">
        <v>3679</v>
      </c>
      <c r="F1592" s="62">
        <v>6.9</v>
      </c>
      <c r="G1592" s="62">
        <v>6.7</v>
      </c>
      <c r="H1592">
        <v>6.8</v>
      </c>
      <c r="I1592" s="62">
        <v>6.8</v>
      </c>
    </row>
    <row r="1593" spans="1:9">
      <c r="B1593" t="s">
        <v>3145</v>
      </c>
      <c r="E1593">
        <v>6.8</v>
      </c>
      <c r="F1593" s="62">
        <v>7</v>
      </c>
      <c r="G1593">
        <v>6.8</v>
      </c>
      <c r="H1593">
        <v>7.5</v>
      </c>
      <c r="I1593" s="62">
        <v>7.3</v>
      </c>
    </row>
    <row r="1595" spans="1:9">
      <c r="B1595" s="14" t="s">
        <v>3862</v>
      </c>
    </row>
    <row r="1597" spans="1:9">
      <c r="B1597" t="s">
        <v>3863</v>
      </c>
      <c r="C1597">
        <v>9.5</v>
      </c>
    </row>
    <row r="1598" spans="1:9">
      <c r="B1598" t="s">
        <v>1122</v>
      </c>
      <c r="C1598" s="36">
        <v>19.5</v>
      </c>
    </row>
    <row r="1599" spans="1:9">
      <c r="B1599" t="s">
        <v>332</v>
      </c>
      <c r="C1599" s="16">
        <f>C1597*C1598</f>
        <v>185.25</v>
      </c>
    </row>
    <row r="1600" spans="1:9">
      <c r="B1600" t="s">
        <v>820</v>
      </c>
      <c r="C1600" s="34">
        <v>0.4</v>
      </c>
    </row>
    <row r="1601" spans="2:6">
      <c r="B1601" t="s">
        <v>3864</v>
      </c>
      <c r="C1601" s="16">
        <f>C1599/C1600</f>
        <v>463.125</v>
      </c>
    </row>
    <row r="1603" spans="2:6">
      <c r="B1603" s="552" t="s">
        <v>3871</v>
      </c>
      <c r="C1603" s="552">
        <v>2018</v>
      </c>
      <c r="D1603" s="552">
        <v>2019</v>
      </c>
      <c r="F1603">
        <f>C1597/C1614</f>
        <v>5.2491117950304721E-2</v>
      </c>
    </row>
    <row r="1604" spans="2:6">
      <c r="B1604" t="s">
        <v>3865</v>
      </c>
      <c r="C1604" s="486" t="e">
        <f>Analysis!K1449</f>
        <v>#REF!</v>
      </c>
      <c r="D1604" s="486" t="e">
        <f>Analysis!O1449</f>
        <v>#REF!</v>
      </c>
    </row>
    <row r="1605" spans="2:6">
      <c r="B1605" t="s">
        <v>331</v>
      </c>
      <c r="C1605" s="16" t="e">
        <f>C1601+C1604</f>
        <v>#REF!</v>
      </c>
      <c r="D1605" s="486" t="e">
        <f>C1601+D1604</f>
        <v>#REF!</v>
      </c>
    </row>
    <row r="1606" spans="2:6">
      <c r="B1606" t="s">
        <v>298</v>
      </c>
      <c r="C1606" s="62" t="e">
        <f>C1605/Master!J$70</f>
        <v>#REF!</v>
      </c>
      <c r="D1606" s="62" t="e">
        <f>D1605/Master!K$70</f>
        <v>#REF!</v>
      </c>
    </row>
    <row r="1607" spans="2:6">
      <c r="C1607" s="62"/>
      <c r="D1607" s="62"/>
    </row>
    <row r="1608" spans="2:6">
      <c r="B1608" s="13" t="s">
        <v>3872</v>
      </c>
      <c r="C1608" s="62"/>
      <c r="D1608" s="62"/>
    </row>
    <row r="1609" spans="2:6">
      <c r="B1609" t="s">
        <v>115</v>
      </c>
      <c r="C1609" s="16" t="e">
        <f>Analysis!K1449+Analysis!K1443</f>
        <v>#REF!</v>
      </c>
      <c r="D1609" s="16" t="e">
        <f>D1604+SUM(K1443:O1443)</f>
        <v>#REF!</v>
      </c>
    </row>
    <row r="1610" spans="2:6">
      <c r="B1610" t="s">
        <v>331</v>
      </c>
      <c r="C1610" s="16" t="e">
        <f>$C$1601+C1609</f>
        <v>#REF!</v>
      </c>
      <c r="D1610" s="16" t="e">
        <f>$C$1601+D1609</f>
        <v>#REF!</v>
      </c>
    </row>
    <row r="1611" spans="2:6">
      <c r="B1611" t="s">
        <v>298</v>
      </c>
      <c r="C1611" s="62" t="e">
        <f>C1610/Master!J$70</f>
        <v>#REF!</v>
      </c>
      <c r="D1611" s="62" t="e">
        <f>D1610/Master!K$70</f>
        <v>#REF!</v>
      </c>
    </row>
    <row r="1614" spans="2:6">
      <c r="B1614" t="s">
        <v>306</v>
      </c>
      <c r="C1614" s="486">
        <f>Valuation!I5</f>
        <v>180.983</v>
      </c>
      <c r="D1614" s="486">
        <f>Valuation!J5</f>
        <v>181.92400000000001</v>
      </c>
    </row>
    <row r="1615" spans="2:6">
      <c r="B1615" t="s">
        <v>3866</v>
      </c>
      <c r="C1615" s="486">
        <f>Valuation!I28</f>
        <v>78.306080118971721</v>
      </c>
      <c r="D1615" s="486">
        <f>Valuation!J28</f>
        <v>142.40066666666672</v>
      </c>
    </row>
    <row r="1616" spans="2:6">
      <c r="B1616" t="s">
        <v>1948</v>
      </c>
      <c r="C1616" s="845">
        <f>C1615/C1614</f>
        <v>0.43267091450010065</v>
      </c>
      <c r="D1616" s="845">
        <f>D1615/D1614</f>
        <v>0.78274810726823685</v>
      </c>
    </row>
    <row r="1618" spans="2:4">
      <c r="B1618" t="s">
        <v>1166</v>
      </c>
      <c r="C1618" s="486">
        <f>Valuation!I5+Analysis!$C$1597</f>
        <v>190.483</v>
      </c>
      <c r="D1618" s="486">
        <f>Valuation!J5+Analysis!$C$1597</f>
        <v>191.42400000000001</v>
      </c>
    </row>
    <row r="1619" spans="2:4">
      <c r="B1619" t="s">
        <v>3867</v>
      </c>
      <c r="C1619" s="16" t="e">
        <f>SUM(Analysis!G1442:K1442)</f>
        <v>#REF!</v>
      </c>
      <c r="D1619" s="16" t="e">
        <f>SUM(Analysis!L1442:O1442)</f>
        <v>#REF!</v>
      </c>
    </row>
    <row r="1620" spans="2:4">
      <c r="B1620" t="s">
        <v>3868</v>
      </c>
      <c r="C1620" s="16" t="e">
        <f>0.4*C1619</f>
        <v>#REF!</v>
      </c>
      <c r="D1620" s="16" t="e">
        <f>0.4*D1619</f>
        <v>#REF!</v>
      </c>
    </row>
    <row r="1621" spans="2:4">
      <c r="B1621" t="s">
        <v>3869</v>
      </c>
      <c r="C1621" s="486" t="e">
        <f>C1615+C1620</f>
        <v>#REF!</v>
      </c>
      <c r="D1621" s="486" t="e">
        <f>D1615+D1620</f>
        <v>#REF!</v>
      </c>
    </row>
    <row r="1622" spans="2:4">
      <c r="B1622" t="s">
        <v>3870</v>
      </c>
      <c r="C1622" s="845" t="e">
        <f>C1621/C1618</f>
        <v>#REF!</v>
      </c>
      <c r="D1622" s="845" t="e">
        <f>D1621/D1618</f>
        <v>#REF!</v>
      </c>
    </row>
    <row r="1623" spans="2:4">
      <c r="C1623" s="6" t="e">
        <f>C1622/C1616-1</f>
        <v>#REF!</v>
      </c>
      <c r="D1623" s="6" t="e">
        <f>D1622/D1616-1</f>
        <v>#REF!</v>
      </c>
    </row>
    <row r="1624" spans="2:4">
      <c r="B1624" s="14" t="s">
        <v>1925</v>
      </c>
    </row>
    <row r="1626" spans="2:4">
      <c r="B1626" t="str">
        <f>'New quarts'!B5</f>
        <v>Jamaica</v>
      </c>
      <c r="C1626" s="486">
        <f>'New quarts'!AB5</f>
        <v>383.6</v>
      </c>
      <c r="D1626" s="5">
        <f t="shared" ref="D1626:D1637" si="82">C1626/C$1638</f>
        <v>9.9195779783300159E-2</v>
      </c>
    </row>
    <row r="1627" spans="2:4">
      <c r="B1627" t="str">
        <f>'New quarts'!B7</f>
        <v>Seychelles</v>
      </c>
      <c r="C1627" s="486">
        <f>'New quarts'!AB7</f>
        <v>50</v>
      </c>
      <c r="D1627" s="5">
        <f t="shared" si="82"/>
        <v>1.2929585477489592E-2</v>
      </c>
    </row>
    <row r="1628" spans="2:4">
      <c r="B1628" t="str">
        <f>'New quarts'!B8</f>
        <v>Networks/LatAm</v>
      </c>
      <c r="C1628" s="486">
        <f>'New quarts'!AB8</f>
        <v>346.4</v>
      </c>
      <c r="D1628" s="5">
        <f t="shared" si="82"/>
        <v>8.9576168188047881E-2</v>
      </c>
    </row>
    <row r="1629" spans="2:4">
      <c r="B1629" t="str">
        <f>'New quarts'!B11</f>
        <v>Ventures/other</v>
      </c>
      <c r="C1629" s="486">
        <f>'New quarts'!AB11</f>
        <v>503.79999999999995</v>
      </c>
      <c r="D1629" s="5">
        <f t="shared" si="82"/>
        <v>0.13027850327118512</v>
      </c>
    </row>
    <row r="1630" spans="2:4">
      <c r="B1630" t="str">
        <f>'New quarts'!B12</f>
        <v>Trinidad &amp; Tobago</v>
      </c>
      <c r="C1630" s="486">
        <f>'New quarts'!AB12</f>
        <v>161.30000000000001</v>
      </c>
      <c r="D1630" s="5">
        <f t="shared" si="82"/>
        <v>4.1710842750381429E-2</v>
      </c>
    </row>
    <row r="1631" spans="2:4">
      <c r="B1631" t="str">
        <f>'New quarts'!B13</f>
        <v>Panama</v>
      </c>
      <c r="C1631" s="486">
        <f>'New quarts'!AB13</f>
        <v>580.4</v>
      </c>
      <c r="D1631" s="5">
        <f t="shared" si="82"/>
        <v>0.15008662822269916</v>
      </c>
    </row>
    <row r="1632" spans="2:4">
      <c r="B1632" t="str">
        <f>'New quarts'!B14</f>
        <v>Bahamas</v>
      </c>
      <c r="C1632" s="486">
        <f>'New quarts'!AB14</f>
        <v>207.3</v>
      </c>
      <c r="D1632" s="5">
        <f t="shared" si="82"/>
        <v>5.3606061389671854E-2</v>
      </c>
    </row>
    <row r="1633" spans="2:4">
      <c r="B1633" t="str">
        <f>'New quarts'!B15</f>
        <v>Barbados</v>
      </c>
      <c r="C1633" s="486">
        <f>'New quarts'!AB15</f>
        <v>150.19999999999999</v>
      </c>
      <c r="D1633" s="5">
        <f t="shared" si="82"/>
        <v>3.8840474774378735E-2</v>
      </c>
    </row>
    <row r="1634" spans="2:4">
      <c r="B1634" t="s">
        <v>468</v>
      </c>
      <c r="C1634" s="486">
        <f>'New quarts'!AB18</f>
        <v>941.1</v>
      </c>
      <c r="D1634" s="5">
        <f t="shared" si="82"/>
        <v>0.24336065785730909</v>
      </c>
    </row>
    <row r="1635" spans="2:4">
      <c r="B1635" t="s">
        <v>469</v>
      </c>
      <c r="C1635" s="486">
        <f>'New quarts'!AB19</f>
        <v>410.3</v>
      </c>
      <c r="D1635" s="5">
        <f t="shared" si="82"/>
        <v>0.1061001784282796</v>
      </c>
    </row>
    <row r="1636" spans="2:4">
      <c r="B1636" t="s">
        <v>3411</v>
      </c>
      <c r="C1636" s="486">
        <f>'New quarts'!AB20</f>
        <v>132.69999999999999</v>
      </c>
      <c r="D1636" s="5">
        <f t="shared" si="82"/>
        <v>3.4315119857257374E-2</v>
      </c>
    </row>
    <row r="1637" spans="2:4">
      <c r="B1637" s="3" t="s">
        <v>1417</v>
      </c>
      <c r="C1637" s="487">
        <f>'New quarts'!AB21</f>
        <v>-6</v>
      </c>
      <c r="D1637" s="5">
        <f t="shared" si="82"/>
        <v>-1.5515502572987509E-3</v>
      </c>
    </row>
    <row r="1638" spans="2:4">
      <c r="B1638" t="s">
        <v>3679</v>
      </c>
      <c r="C1638" s="486">
        <f>'New quarts'!AB22</f>
        <v>3867.1</v>
      </c>
    </row>
    <row r="1640" spans="2:4">
      <c r="B1640" t="s">
        <v>3957</v>
      </c>
    </row>
    <row r="1641" spans="2:4">
      <c r="B1641" t="s">
        <v>3958</v>
      </c>
    </row>
    <row r="1642" spans="2:4">
      <c r="B1642" t="s">
        <v>3959</v>
      </c>
      <c r="C1642" s="486"/>
    </row>
    <row r="1643" spans="2:4">
      <c r="B1643" t="s">
        <v>0</v>
      </c>
      <c r="C1643" s="486"/>
    </row>
    <row r="1644" spans="2:4">
      <c r="B1644" t="s">
        <v>3960</v>
      </c>
    </row>
    <row r="1645" spans="2:4">
      <c r="B1645" t="s">
        <v>3961</v>
      </c>
    </row>
    <row r="1646" spans="2:4">
      <c r="B1646" t="s">
        <v>3962</v>
      </c>
    </row>
    <row r="1647" spans="2:4">
      <c r="B1647" t="s">
        <v>3963</v>
      </c>
    </row>
    <row r="1648" spans="2:4">
      <c r="B1648" t="s">
        <v>3964</v>
      </c>
    </row>
    <row r="1649" spans="2:10">
      <c r="B1649" s="3" t="s">
        <v>3965</v>
      </c>
      <c r="C1649" s="3"/>
    </row>
    <row r="1650" spans="2:10">
      <c r="B1650" t="s">
        <v>3966</v>
      </c>
      <c r="C1650">
        <f>SUM(C1640:C1649)</f>
        <v>0</v>
      </c>
    </row>
    <row r="1652" spans="2:10" ht="15.75">
      <c r="B1652" s="636"/>
      <c r="C1652" s="642" t="str">
        <f>'New quarts'!O390</f>
        <v>Q1 17</v>
      </c>
      <c r="D1652" s="642" t="str">
        <f>'New quarts'!P390</f>
        <v>Q2 17</v>
      </c>
      <c r="E1652" s="642" t="str">
        <f>'New quarts'!Q390</f>
        <v>Q3 17</v>
      </c>
      <c r="F1652" s="642" t="str">
        <f>'New quarts'!R390</f>
        <v>Q4 17</v>
      </c>
      <c r="G1652" s="642" t="str">
        <f>'New quarts'!S390</f>
        <v>Q1 18</v>
      </c>
      <c r="H1652" s="642" t="str">
        <f>'New quarts'!T390</f>
        <v>Q2 18</v>
      </c>
      <c r="I1652" s="642" t="str">
        <f>'New quarts'!U390</f>
        <v>Q3 18</v>
      </c>
      <c r="J1652" s="642" t="e">
        <f>'New quarts'!#REF!</f>
        <v>#REF!</v>
      </c>
    </row>
    <row r="1653" spans="2:10" ht="15.75">
      <c r="B1653" s="53" t="s">
        <v>3679</v>
      </c>
      <c r="C1653" s="860">
        <f>'New quarts'!O396</f>
        <v>3.9533060186493363</v>
      </c>
      <c r="D1653" s="860">
        <f>'New quarts'!P396</f>
        <v>3.884072022160665</v>
      </c>
      <c r="E1653" s="860">
        <f>'New quarts'!Q396</f>
        <v>4.1041782729805014</v>
      </c>
      <c r="F1653" s="860">
        <f>'New quarts'!R396</f>
        <v>5.0751949813496102</v>
      </c>
      <c r="G1653" s="860">
        <f>'New quarts'!S396</f>
        <v>4.4727112676056331</v>
      </c>
      <c r="H1653" s="860">
        <f>'New quarts'!T396</f>
        <v>4.2389643463497464</v>
      </c>
      <c r="I1653" s="860">
        <f>'New quarts'!U396</f>
        <v>4.181766704416761</v>
      </c>
      <c r="J1653" s="860" t="e">
        <f>'New quarts'!#REF!</f>
        <v>#REF!</v>
      </c>
    </row>
    <row r="1654" spans="2:10" ht="15.75">
      <c r="B1654" s="53" t="s">
        <v>1931</v>
      </c>
      <c r="C1654" s="860">
        <v>1.8842789863198026</v>
      </c>
      <c r="D1654" s="860">
        <v>1.9909543193125283</v>
      </c>
      <c r="E1654" s="860">
        <v>1.9551692589204026</v>
      </c>
      <c r="F1654" s="860">
        <v>1.8665749656121045</v>
      </c>
      <c r="G1654" s="860">
        <v>1.8695850433196535</v>
      </c>
      <c r="H1654" s="860">
        <v>1.7972911963882618</v>
      </c>
      <c r="I1654" s="860">
        <v>1.6909334524341224</v>
      </c>
      <c r="J1654" s="860">
        <v>2.2486409338806079</v>
      </c>
    </row>
    <row r="1657" spans="2:10">
      <c r="B1657" s="552"/>
      <c r="C1657" s="552" t="e">
        <f>#REF!+1</f>
        <v>#REF!</v>
      </c>
      <c r="D1657" s="552" t="e">
        <f>C1657+1</f>
        <v>#REF!</v>
      </c>
      <c r="E1657" s="552" t="e">
        <f>D1657+1</f>
        <v>#REF!</v>
      </c>
    </row>
    <row r="1658" spans="2:10">
      <c r="B1658" t="s">
        <v>3971</v>
      </c>
      <c r="C1658" s="6">
        <v>6.068031773834226E-2</v>
      </c>
      <c r="D1658" s="6">
        <v>6.8904996630301002E-2</v>
      </c>
      <c r="E1658" s="6">
        <v>7.7630997282939526E-2</v>
      </c>
    </row>
    <row r="1659" spans="2:10">
      <c r="B1659" t="s">
        <v>3679</v>
      </c>
      <c r="C1659" s="6">
        <f>Valuation!I63</f>
        <v>6.3628075661779512E-2</v>
      </c>
      <c r="D1659" s="6">
        <f>Valuation!J63</f>
        <v>0.11511001577474071</v>
      </c>
      <c r="E1659" s="6">
        <f>Valuation!K63</f>
        <v>0.12422455514119626</v>
      </c>
    </row>
    <row r="1662" spans="2:10" ht="15.75">
      <c r="B1662" s="795"/>
      <c r="C1662" s="796" t="s">
        <v>3978</v>
      </c>
      <c r="D1662" s="796" t="s">
        <v>3979</v>
      </c>
      <c r="E1662" s="796" t="s">
        <v>3977</v>
      </c>
    </row>
    <row r="1663" spans="2:10" ht="15.75">
      <c r="B1663" s="890" t="str">
        <f>'LiLAC valuation'!B999</f>
        <v>A</v>
      </c>
      <c r="C1663" s="898">
        <f>'LiLAC valuation'!C999</f>
        <v>48.415999999999997</v>
      </c>
      <c r="D1663" s="898"/>
      <c r="E1663" s="898">
        <f>C1663+D1663</f>
        <v>48.415999999999997</v>
      </c>
    </row>
    <row r="1664" spans="2:10" ht="15.75">
      <c r="B1664" s="92" t="s">
        <v>3981</v>
      </c>
      <c r="C1664" s="357">
        <f>'LiLAC valuation'!C1000</f>
        <v>1.9401930000000001</v>
      </c>
      <c r="D1664" s="357"/>
      <c r="E1664" s="357">
        <f>C1664+D1664</f>
        <v>1.9401930000000001</v>
      </c>
    </row>
    <row r="1665" spans="2:5" ht="15.75">
      <c r="B1665" s="892" t="str">
        <f>'LiLAC valuation'!B1001</f>
        <v>C</v>
      </c>
      <c r="C1665" s="899">
        <f>'LiLAC valuation'!C1001</f>
        <v>130.31938500000001</v>
      </c>
      <c r="D1665" s="899">
        <f>C164</f>
        <v>290.33333333333326</v>
      </c>
      <c r="E1665" s="899">
        <f>C1665+D1665</f>
        <v>420.65271833333327</v>
      </c>
    </row>
    <row r="1666" spans="2:5" ht="15.75">
      <c r="B1666" s="92" t="str">
        <f>'LiLAC valuation'!B1002</f>
        <v>Total</v>
      </c>
      <c r="C1666" s="357">
        <f>'LiLAC valuation'!C1002</f>
        <v>180.675578</v>
      </c>
      <c r="D1666" s="357">
        <f>D1663+D1664+D1665</f>
        <v>290.33333333333326</v>
      </c>
      <c r="E1666" s="357">
        <f>E1663+E1664+E1665</f>
        <v>471.00891133333329</v>
      </c>
    </row>
    <row r="1667" spans="2:5" ht="15.75">
      <c r="B1667" s="890" t="s">
        <v>3980</v>
      </c>
      <c r="C1667" s="898">
        <f>C1663+C1664*10</f>
        <v>67.81792999999999</v>
      </c>
      <c r="D1667" s="898"/>
      <c r="E1667" s="898">
        <f>E1663+E1664*10</f>
        <v>67.81792999999999</v>
      </c>
    </row>
    <row r="1668" spans="2:5" ht="15.75">
      <c r="B1668" s="92"/>
      <c r="C1668" s="897"/>
      <c r="D1668" s="897"/>
      <c r="E1668" s="897"/>
    </row>
    <row r="1669" spans="2:5" ht="15.75">
      <c r="B1669" s="890"/>
      <c r="C1669" s="900"/>
      <c r="D1669" s="900"/>
      <c r="E1669" s="900"/>
    </row>
    <row r="1670" spans="2:5" ht="15.75">
      <c r="B1670" s="92" t="str">
        <f>'LiLAC valuation'!B1006</f>
        <v>Malone stake (July-17)</v>
      </c>
      <c r="C1670" s="368"/>
      <c r="D1670" s="368"/>
      <c r="E1670" s="368"/>
    </row>
    <row r="1671" spans="2:5" ht="15.75">
      <c r="B1671" s="890" t="str">
        <f>'LiLAC valuation'!B1007</f>
        <v>A</v>
      </c>
      <c r="C1671" s="898">
        <f>'LiLAC valuation'!C1007</f>
        <v>1.9308339999999999</v>
      </c>
      <c r="D1671" s="898"/>
      <c r="E1671" s="898">
        <f>C1671+D1671</f>
        <v>1.9308339999999999</v>
      </c>
    </row>
    <row r="1672" spans="2:5" ht="15.75">
      <c r="B1672" s="92" t="str">
        <f>'LiLAC valuation'!B1008</f>
        <v>B</v>
      </c>
      <c r="C1672" s="357">
        <f>'LiLAC valuation'!C1008</f>
        <v>1.535757</v>
      </c>
      <c r="D1672" s="357"/>
      <c r="E1672" s="357">
        <f>C1672+D1672</f>
        <v>1.535757</v>
      </c>
    </row>
    <row r="1673" spans="2:5" ht="15.75">
      <c r="B1673" s="892" t="str">
        <f>'LiLAC valuation'!B1009</f>
        <v>C</v>
      </c>
      <c r="C1673" s="899">
        <f>'LiLAC valuation'!C1009</f>
        <v>6.7459290000000003</v>
      </c>
      <c r="D1673" s="899"/>
      <c r="E1673" s="899">
        <f>C1673+D1673</f>
        <v>6.7459290000000003</v>
      </c>
    </row>
    <row r="1674" spans="2:5" ht="15.75">
      <c r="B1674" s="92" t="str">
        <f>'LiLAC valuation'!B1010</f>
        <v>Total</v>
      </c>
      <c r="C1674" s="357">
        <f>C1671+C1672+C1673</f>
        <v>10.212520000000001</v>
      </c>
      <c r="D1674" s="357"/>
      <c r="E1674" s="357">
        <f>E1671+E1672+E1673</f>
        <v>10.212520000000001</v>
      </c>
    </row>
    <row r="1675" spans="2:5" ht="15.75">
      <c r="B1675" s="890" t="str">
        <f>'LiLAC valuation'!B1011</f>
        <v>Vote</v>
      </c>
      <c r="C1675" s="898">
        <f>C1671+10*C1672</f>
        <v>17.288404</v>
      </c>
      <c r="D1675" s="898"/>
      <c r="E1675" s="898">
        <f>E1671+10*E1672</f>
        <v>17.288404</v>
      </c>
    </row>
    <row r="1676" spans="2:5" ht="15.75">
      <c r="B1676" s="92"/>
      <c r="C1676" s="356"/>
      <c r="D1676" s="356"/>
      <c r="E1676" s="356"/>
    </row>
    <row r="1677" spans="2:5" ht="15.75">
      <c r="B1677" s="890" t="str">
        <f>'LiLAC valuation'!B1013</f>
        <v>Malone %</v>
      </c>
      <c r="C1677" s="901"/>
      <c r="D1677" s="901"/>
      <c r="E1677" s="901"/>
    </row>
    <row r="1678" spans="2:5" ht="15.75">
      <c r="B1678" s="92" t="str">
        <f>'LiLAC valuation'!B1014</f>
        <v>A</v>
      </c>
      <c r="C1678" s="897">
        <f>'LiLAC valuation'!C1014</f>
        <v>3.9880080964970262E-2</v>
      </c>
      <c r="D1678" s="897"/>
      <c r="E1678" s="897">
        <f>E1671/E1663</f>
        <v>3.9880080964970262E-2</v>
      </c>
    </row>
    <row r="1679" spans="2:5" ht="15.75">
      <c r="B1679" s="890" t="str">
        <f>'LiLAC valuation'!B1015</f>
        <v>B</v>
      </c>
      <c r="C1679" s="902">
        <f>'LiLAC valuation'!C1015</f>
        <v>0.79154857274508261</v>
      </c>
      <c r="D1679" s="902"/>
      <c r="E1679" s="902">
        <f>E1672/E1664</f>
        <v>0.79154857274508261</v>
      </c>
    </row>
    <row r="1680" spans="2:5" ht="16.5" thickBot="1">
      <c r="B1680" s="92" t="str">
        <f>'LiLAC valuation'!B1016</f>
        <v>C</v>
      </c>
      <c r="C1680" s="897">
        <f>'LiLAC valuation'!C1016</f>
        <v>5.1764585905619491E-2</v>
      </c>
      <c r="D1680" s="80"/>
      <c r="E1680" s="897">
        <f>E1673/E1665</f>
        <v>1.6036813043139298E-2</v>
      </c>
    </row>
    <row r="1681" spans="2:5" ht="15.75">
      <c r="B1681" s="896" t="str">
        <f>'LiLAC valuation'!B1017</f>
        <v>Economic</v>
      </c>
      <c r="C1681" s="903">
        <f>C1674/C1666</f>
        <v>5.6524075434257096E-2</v>
      </c>
      <c r="D1681" s="904"/>
      <c r="E1681" s="905">
        <f>E1674/E1666</f>
        <v>2.1682222468127774E-2</v>
      </c>
    </row>
    <row r="1682" spans="2:5" ht="16.5" thickBot="1">
      <c r="B1682" s="349" t="str">
        <f>'LiLAC valuation'!B1018</f>
        <v>Vote</v>
      </c>
      <c r="C1682" s="906">
        <f>C1675/C1667</f>
        <v>0.25492379375188834</v>
      </c>
      <c r="D1682" s="907"/>
      <c r="E1682" s="908">
        <f>E1675/E1667</f>
        <v>0.25492379375188834</v>
      </c>
    </row>
    <row r="1684" spans="2:5">
      <c r="B1684" s="14" t="s">
        <v>4160</v>
      </c>
    </row>
    <row r="1686" spans="2:5">
      <c r="B1686" t="s">
        <v>331</v>
      </c>
      <c r="C1686">
        <v>189</v>
      </c>
    </row>
    <row r="1687" spans="2:5">
      <c r="B1687" t="s">
        <v>2046</v>
      </c>
      <c r="C1687">
        <v>0</v>
      </c>
    </row>
    <row r="1688" spans="2:5">
      <c r="B1688" t="s">
        <v>332</v>
      </c>
      <c r="C1688">
        <f>C1686-C1687</f>
        <v>189</v>
      </c>
    </row>
    <row r="1690" spans="2:5">
      <c r="B1690" t="s">
        <v>847</v>
      </c>
      <c r="C1690">
        <v>6</v>
      </c>
    </row>
    <row r="1691" spans="2:5">
      <c r="B1691" t="s">
        <v>4161</v>
      </c>
      <c r="C1691">
        <f>C1688/C1690</f>
        <v>31.5</v>
      </c>
    </row>
    <row r="1692" spans="2:5">
      <c r="B1692" t="s">
        <v>4162</v>
      </c>
      <c r="C1692" s="5">
        <v>0.35</v>
      </c>
    </row>
    <row r="1693" spans="2:5">
      <c r="B1693" t="s">
        <v>15</v>
      </c>
      <c r="C1693">
        <f>C1691/C1692</f>
        <v>90</v>
      </c>
    </row>
    <row r="1695" spans="2:5" ht="15.75">
      <c r="B1695" s="684" t="s">
        <v>4163</v>
      </c>
    </row>
    <row r="1697" spans="2:25" ht="15.75">
      <c r="B1697" s="58" t="s">
        <v>3002</v>
      </c>
      <c r="C1697" s="53"/>
      <c r="D1697" s="53"/>
      <c r="E1697" s="53"/>
      <c r="F1697" s="53"/>
      <c r="G1697" s="53"/>
      <c r="K1697" s="58" t="s">
        <v>4179</v>
      </c>
      <c r="L1697" s="53"/>
      <c r="M1697" s="53"/>
      <c r="N1697" s="53"/>
      <c r="O1697" s="53"/>
      <c r="S1697" s="58" t="s">
        <v>2828</v>
      </c>
      <c r="T1697" s="53"/>
      <c r="U1697" s="53"/>
      <c r="V1697" s="53"/>
    </row>
    <row r="1698" spans="2:25" ht="15.75">
      <c r="B1698" s="53"/>
      <c r="C1698" s="53"/>
      <c r="D1698" s="53"/>
      <c r="E1698" s="53"/>
      <c r="F1698" s="53"/>
      <c r="G1698" s="53"/>
      <c r="K1698" s="53"/>
      <c r="L1698" s="53"/>
      <c r="M1698" s="53"/>
      <c r="N1698" s="53"/>
      <c r="O1698" s="53"/>
      <c r="S1698" s="53"/>
      <c r="T1698" s="53"/>
      <c r="U1698" s="53"/>
      <c r="V1698" s="53"/>
    </row>
    <row r="1699" spans="2:25" ht="15.75">
      <c r="B1699" s="636" t="s">
        <v>4177</v>
      </c>
      <c r="C1699" s="636">
        <v>2019</v>
      </c>
      <c r="D1699" s="636">
        <f t="shared" ref="D1699:I1699" si="83">C1699+1</f>
        <v>2020</v>
      </c>
      <c r="E1699" s="636">
        <f t="shared" si="83"/>
        <v>2021</v>
      </c>
      <c r="F1699" s="636">
        <f t="shared" si="83"/>
        <v>2022</v>
      </c>
      <c r="G1699" s="636">
        <f t="shared" si="83"/>
        <v>2023</v>
      </c>
      <c r="H1699" s="636">
        <f t="shared" si="83"/>
        <v>2024</v>
      </c>
      <c r="I1699" s="636">
        <f t="shared" si="83"/>
        <v>2025</v>
      </c>
      <c r="K1699" s="636">
        <v>2019</v>
      </c>
      <c r="L1699" s="636">
        <f t="shared" ref="L1699:Q1699" si="84">K1699+1</f>
        <v>2020</v>
      </c>
      <c r="M1699" s="636">
        <f t="shared" si="84"/>
        <v>2021</v>
      </c>
      <c r="N1699" s="636">
        <f t="shared" si="84"/>
        <v>2022</v>
      </c>
      <c r="O1699" s="636">
        <f t="shared" si="84"/>
        <v>2023</v>
      </c>
      <c r="P1699" s="636">
        <f t="shared" si="84"/>
        <v>2024</v>
      </c>
      <c r="Q1699" s="636">
        <f t="shared" si="84"/>
        <v>2025</v>
      </c>
      <c r="S1699" s="636">
        <v>2019</v>
      </c>
      <c r="T1699" s="636">
        <f t="shared" ref="T1699:Y1699" si="85">S1699+1</f>
        <v>2020</v>
      </c>
      <c r="U1699" s="636">
        <f t="shared" si="85"/>
        <v>2021</v>
      </c>
      <c r="V1699" s="636">
        <f t="shared" si="85"/>
        <v>2022</v>
      </c>
      <c r="W1699" s="636">
        <f t="shared" si="85"/>
        <v>2023</v>
      </c>
      <c r="X1699" s="636">
        <f t="shared" si="85"/>
        <v>2024</v>
      </c>
      <c r="Y1699" s="636">
        <f t="shared" si="85"/>
        <v>2025</v>
      </c>
    </row>
    <row r="1700" spans="2:25" ht="15.75">
      <c r="B1700" s="53" t="s">
        <v>15</v>
      </c>
      <c r="C1700" s="764">
        <v>21283.55297795399</v>
      </c>
      <c r="D1700" s="764">
        <v>23235.939147363839</v>
      </c>
      <c r="E1700" s="764">
        <v>25082.937694171425</v>
      </c>
      <c r="F1700" s="764">
        <v>27133.013385722807</v>
      </c>
      <c r="G1700" s="764">
        <v>29125.224529959047</v>
      </c>
      <c r="H1700" s="764">
        <v>31135.567599213697</v>
      </c>
      <c r="I1700" s="764">
        <v>33403.148138822551</v>
      </c>
      <c r="K1700" s="764">
        <v>41667.949999999997</v>
      </c>
      <c r="L1700" s="764">
        <v>45834.745000000003</v>
      </c>
      <c r="M1700" s="764">
        <v>49501.524600000004</v>
      </c>
      <c r="N1700" s="764">
        <v>53461.646568000011</v>
      </c>
      <c r="O1700" s="764">
        <v>57738.578293440012</v>
      </c>
      <c r="P1700" s="764">
        <v>62357.664556915217</v>
      </c>
      <c r="Q1700" s="764">
        <v>67346.277721468432</v>
      </c>
      <c r="S1700" s="630">
        <f t="shared" ref="S1700:Y1704" si="86">C1700+K1700</f>
        <v>62951.502977953991</v>
      </c>
      <c r="T1700" s="630">
        <f t="shared" si="86"/>
        <v>69070.684147363849</v>
      </c>
      <c r="U1700" s="630">
        <f t="shared" si="86"/>
        <v>74584.462294171433</v>
      </c>
      <c r="V1700" s="630">
        <f t="shared" si="86"/>
        <v>80594.659953722818</v>
      </c>
      <c r="W1700" s="630">
        <f t="shared" si="86"/>
        <v>86863.802823399063</v>
      </c>
      <c r="X1700" s="630">
        <f t="shared" si="86"/>
        <v>93493.232156128914</v>
      </c>
      <c r="Y1700" s="630">
        <f t="shared" si="86"/>
        <v>100749.42586029098</v>
      </c>
    </row>
    <row r="1701" spans="2:25" ht="15.75">
      <c r="B1701" s="53" t="s">
        <v>8</v>
      </c>
      <c r="C1701" s="764">
        <v>10151.006166499565</v>
      </c>
      <c r="D1701" s="764">
        <v>10868.339872494105</v>
      </c>
      <c r="E1701" s="764">
        <v>11630.993211156871</v>
      </c>
      <c r="F1701" s="764">
        <v>12596.475634837565</v>
      </c>
      <c r="G1701" s="764">
        <v>13523.649192283743</v>
      </c>
      <c r="H1701" s="764">
        <v>14529.301692545572</v>
      </c>
      <c r="I1701" s="764">
        <v>15661.25131216696</v>
      </c>
      <c r="K1701" s="764">
        <v>18125.558249999998</v>
      </c>
      <c r="L1701" s="764">
        <v>19938.114075000001</v>
      </c>
      <c r="M1701" s="764">
        <v>21533.163201000003</v>
      </c>
      <c r="N1701" s="764">
        <v>23255.816257080005</v>
      </c>
      <c r="O1701" s="764">
        <v>25116.281557646405</v>
      </c>
      <c r="P1701" s="764">
        <v>27125.584082258119</v>
      </c>
      <c r="Q1701" s="764">
        <v>29295.630808838767</v>
      </c>
      <c r="S1701" s="630">
        <f t="shared" si="86"/>
        <v>28276.564416499561</v>
      </c>
      <c r="T1701" s="630">
        <f t="shared" si="86"/>
        <v>30806.453947494105</v>
      </c>
      <c r="U1701" s="630">
        <f t="shared" si="86"/>
        <v>33164.156412156874</v>
      </c>
      <c r="V1701" s="630">
        <f t="shared" si="86"/>
        <v>35852.291891917572</v>
      </c>
      <c r="W1701" s="630">
        <f t="shared" si="86"/>
        <v>38639.93074993015</v>
      </c>
      <c r="X1701" s="630">
        <f t="shared" si="86"/>
        <v>41654.88577480369</v>
      </c>
      <c r="Y1701" s="630">
        <f t="shared" si="86"/>
        <v>44956.882121005729</v>
      </c>
    </row>
    <row r="1702" spans="2:25" ht="15.75">
      <c r="B1702" s="53" t="s">
        <v>19</v>
      </c>
      <c r="C1702" s="764">
        <v>6372.8442575629906</v>
      </c>
      <c r="D1702" s="764">
        <v>6649.0822466305517</v>
      </c>
      <c r="E1702" s="764">
        <v>6835.2215205398434</v>
      </c>
      <c r="F1702" s="764">
        <v>7054.9496650179817</v>
      </c>
      <c r="G1702" s="764">
        <v>7269.7168532408614</v>
      </c>
      <c r="H1702" s="764">
        <v>7197.1061884705587</v>
      </c>
      <c r="I1702" s="764">
        <v>7420.4508785086073</v>
      </c>
      <c r="K1702" s="764">
        <v>13750.423499999999</v>
      </c>
      <c r="L1702" s="764">
        <v>13750.423500000001</v>
      </c>
      <c r="M1702" s="764">
        <v>13860.426888000002</v>
      </c>
      <c r="N1702" s="764">
        <v>13365.411642000003</v>
      </c>
      <c r="O1702" s="764">
        <v>13279.873007491204</v>
      </c>
      <c r="P1702" s="764">
        <v>14342.2628480905</v>
      </c>
      <c r="Q1702" s="764">
        <v>15489.64387593774</v>
      </c>
      <c r="S1702" s="630">
        <f t="shared" si="86"/>
        <v>20123.26775756299</v>
      </c>
      <c r="T1702" s="630">
        <f t="shared" si="86"/>
        <v>20399.505746630552</v>
      </c>
      <c r="U1702" s="630">
        <f t="shared" si="86"/>
        <v>20695.648408539844</v>
      </c>
      <c r="V1702" s="630">
        <f t="shared" si="86"/>
        <v>20420.361307017985</v>
      </c>
      <c r="W1702" s="630">
        <f t="shared" si="86"/>
        <v>20549.589860732063</v>
      </c>
      <c r="X1702" s="630">
        <f t="shared" si="86"/>
        <v>21539.36903656106</v>
      </c>
      <c r="Y1702" s="630">
        <f t="shared" si="86"/>
        <v>22910.094754446349</v>
      </c>
    </row>
    <row r="1703" spans="2:25" ht="15.75">
      <c r="B1703" s="53" t="s">
        <v>249</v>
      </c>
      <c r="C1703" s="764">
        <v>1947.8409004383952</v>
      </c>
      <c r="D1703" s="764">
        <v>2188.3925210189764</v>
      </c>
      <c r="E1703" s="764">
        <v>2523.6633579052277</v>
      </c>
      <c r="F1703" s="764">
        <v>2926.3376283679022</v>
      </c>
      <c r="G1703" s="764">
        <v>3447.5348227144013</v>
      </c>
      <c r="H1703" s="764">
        <v>4304.0946881262826</v>
      </c>
      <c r="I1703" s="764">
        <v>4941.1156643688601</v>
      </c>
      <c r="K1703" s="764"/>
      <c r="L1703" s="764"/>
      <c r="M1703" s="764"/>
      <c r="N1703" s="764"/>
      <c r="O1703" s="764"/>
      <c r="P1703" s="764"/>
      <c r="Q1703" s="764"/>
      <c r="S1703" s="630">
        <f t="shared" si="86"/>
        <v>1947.8409004383952</v>
      </c>
      <c r="T1703" s="630">
        <f t="shared" si="86"/>
        <v>2188.3925210189764</v>
      </c>
      <c r="U1703" s="630">
        <f t="shared" si="86"/>
        <v>2523.6633579052277</v>
      </c>
      <c r="V1703" s="630">
        <f t="shared" si="86"/>
        <v>2926.3376283679022</v>
      </c>
      <c r="W1703" s="630">
        <f t="shared" si="86"/>
        <v>3447.5348227144013</v>
      </c>
      <c r="X1703" s="630">
        <f t="shared" si="86"/>
        <v>4304.0946881262826</v>
      </c>
      <c r="Y1703" s="630">
        <f t="shared" si="86"/>
        <v>4941.1156643688601</v>
      </c>
    </row>
    <row r="1704" spans="2:25" ht="15.75">
      <c r="B1704" s="53" t="s">
        <v>115</v>
      </c>
      <c r="C1704" s="764">
        <v>1272.5062658414979</v>
      </c>
      <c r="D1704" s="764">
        <v>718.84951114262799</v>
      </c>
      <c r="E1704" s="764">
        <v>-10.356929632987885</v>
      </c>
      <c r="F1704" s="764">
        <v>-948.88751043296588</v>
      </c>
      <c r="G1704" s="764">
        <v>-2185.5941613354507</v>
      </c>
      <c r="H1704" s="764">
        <v>-4050.7896395268262</v>
      </c>
      <c r="I1704" s="764">
        <v>-6290.1846071122454</v>
      </c>
      <c r="K1704" s="764"/>
      <c r="L1704" s="764"/>
      <c r="M1704" s="764"/>
      <c r="N1704" s="764"/>
      <c r="O1704" s="764"/>
      <c r="P1704" s="764"/>
      <c r="Q1704" s="764"/>
      <c r="S1704" s="630">
        <f t="shared" si="86"/>
        <v>1272.5062658414979</v>
      </c>
      <c r="T1704" s="630">
        <f t="shared" si="86"/>
        <v>718.84951114262799</v>
      </c>
      <c r="U1704" s="630">
        <f t="shared" si="86"/>
        <v>-10.356929632987885</v>
      </c>
      <c r="V1704" s="630">
        <f t="shared" si="86"/>
        <v>-948.88751043296588</v>
      </c>
      <c r="W1704" s="630">
        <f t="shared" si="86"/>
        <v>-2185.5941613354507</v>
      </c>
      <c r="X1704" s="630">
        <f t="shared" si="86"/>
        <v>-4050.7896395268262</v>
      </c>
      <c r="Y1704" s="630">
        <f t="shared" si="86"/>
        <v>-6290.1846071122454</v>
      </c>
    </row>
    <row r="1705" spans="2:25" ht="15.75">
      <c r="B1705" s="53"/>
      <c r="C1705" s="53"/>
      <c r="D1705" s="53"/>
      <c r="E1705" s="53"/>
      <c r="F1705" s="53"/>
      <c r="G1705" s="53"/>
      <c r="H1705" s="53"/>
      <c r="I1705" s="53"/>
      <c r="K1705" s="53"/>
      <c r="L1705" s="53"/>
      <c r="M1705" s="53"/>
      <c r="N1705" s="53"/>
      <c r="O1705" s="53"/>
      <c r="S1705" s="53"/>
      <c r="T1705" s="53"/>
      <c r="U1705" s="53"/>
      <c r="V1705" s="53"/>
      <c r="W1705" s="53"/>
      <c r="X1705" s="53"/>
      <c r="Y1705" s="53"/>
    </row>
    <row r="1706" spans="2:25" ht="15.75">
      <c r="B1706" s="53" t="s">
        <v>3871</v>
      </c>
      <c r="C1706" s="53"/>
      <c r="D1706" s="53"/>
      <c r="E1706" s="53"/>
      <c r="F1706" s="53"/>
      <c r="G1706" s="53"/>
      <c r="H1706" s="53"/>
      <c r="I1706" s="53"/>
      <c r="K1706" s="53"/>
      <c r="L1706" s="53"/>
      <c r="M1706" s="53"/>
      <c r="N1706" s="53"/>
      <c r="O1706" s="53"/>
      <c r="S1706" s="53"/>
      <c r="T1706" s="53"/>
      <c r="U1706" s="53"/>
      <c r="V1706" s="53"/>
      <c r="W1706" s="53"/>
      <c r="X1706" s="53"/>
      <c r="Y1706" s="53"/>
    </row>
    <row r="1707" spans="2:25" ht="15.75">
      <c r="B1707" s="53" t="str">
        <f>B1700</f>
        <v>Revenue</v>
      </c>
      <c r="C1707" s="630">
        <f t="shared" ref="C1707:I1709" si="87">C1700/$C$1723</f>
        <v>1097.0903596883502</v>
      </c>
      <c r="D1707" s="630">
        <f t="shared" si="87"/>
        <v>1197.7288220290638</v>
      </c>
      <c r="E1707" s="630">
        <f t="shared" si="87"/>
        <v>1292.9349326892489</v>
      </c>
      <c r="F1707" s="630">
        <f t="shared" si="87"/>
        <v>1398.6089374083922</v>
      </c>
      <c r="G1707" s="630">
        <f t="shared" si="87"/>
        <v>1501.3002335030437</v>
      </c>
      <c r="H1707" s="630">
        <f t="shared" si="87"/>
        <v>1604.9261649079226</v>
      </c>
      <c r="I1707" s="630">
        <f t="shared" si="87"/>
        <v>1721.8117597331213</v>
      </c>
      <c r="K1707" s="630">
        <f t="shared" ref="K1707:Q1709" si="88">K1700/$C$1723</f>
        <v>2147.8324742268042</v>
      </c>
      <c r="L1707" s="630">
        <f t="shared" si="88"/>
        <v>2362.6157216494848</v>
      </c>
      <c r="M1707" s="630">
        <f t="shared" si="88"/>
        <v>2551.6249793814436</v>
      </c>
      <c r="N1707" s="630">
        <f t="shared" si="88"/>
        <v>2755.7549777319596</v>
      </c>
      <c r="O1707" s="630">
        <f t="shared" si="88"/>
        <v>2976.2153759505163</v>
      </c>
      <c r="P1707" s="630">
        <f t="shared" si="88"/>
        <v>3214.3126060265577</v>
      </c>
      <c r="Q1707" s="630">
        <f t="shared" si="88"/>
        <v>3471.4576145086821</v>
      </c>
      <c r="S1707" s="630">
        <f t="shared" ref="S1707:Y1713" si="89">C1707+K1707</f>
        <v>3244.9228339151541</v>
      </c>
      <c r="T1707" s="630">
        <f t="shared" si="89"/>
        <v>3560.3445436785487</v>
      </c>
      <c r="U1707" s="630">
        <f t="shared" si="89"/>
        <v>3844.5599120706925</v>
      </c>
      <c r="V1707" s="630">
        <f t="shared" si="89"/>
        <v>4154.3639151403513</v>
      </c>
      <c r="W1707" s="630">
        <f t="shared" si="89"/>
        <v>4477.5156094535596</v>
      </c>
      <c r="X1707" s="630">
        <f t="shared" si="89"/>
        <v>4819.2387709344803</v>
      </c>
      <c r="Y1707" s="630">
        <f t="shared" si="89"/>
        <v>5193.2693742418032</v>
      </c>
    </row>
    <row r="1708" spans="2:25" ht="15.75">
      <c r="B1708" s="53" t="str">
        <f>B1701</f>
        <v>EBITDA</v>
      </c>
      <c r="C1708" s="630">
        <f t="shared" si="87"/>
        <v>523.24774054121474</v>
      </c>
      <c r="D1708" s="630">
        <f t="shared" si="87"/>
        <v>560.22370476773744</v>
      </c>
      <c r="E1708" s="630">
        <f t="shared" si="87"/>
        <v>599.53573253385935</v>
      </c>
      <c r="F1708" s="630">
        <f t="shared" si="87"/>
        <v>649.30286777513231</v>
      </c>
      <c r="G1708" s="630">
        <f t="shared" si="87"/>
        <v>697.09531918988375</v>
      </c>
      <c r="H1708" s="630">
        <f t="shared" si="87"/>
        <v>748.93307693533882</v>
      </c>
      <c r="I1708" s="630">
        <f t="shared" si="87"/>
        <v>807.28099547252373</v>
      </c>
      <c r="K1708" s="630">
        <f t="shared" si="88"/>
        <v>934.30712628865979</v>
      </c>
      <c r="L1708" s="630">
        <f t="shared" si="88"/>
        <v>1027.737838917526</v>
      </c>
      <c r="M1708" s="630">
        <f t="shared" si="88"/>
        <v>1109.956866030928</v>
      </c>
      <c r="N1708" s="630">
        <f t="shared" si="88"/>
        <v>1198.7534153134025</v>
      </c>
      <c r="O1708" s="630">
        <f t="shared" si="88"/>
        <v>1294.6536885384746</v>
      </c>
      <c r="P1708" s="630">
        <f t="shared" si="88"/>
        <v>1398.2259836215526</v>
      </c>
      <c r="Q1708" s="630">
        <f t="shared" si="88"/>
        <v>1510.0840623112767</v>
      </c>
      <c r="S1708" s="630">
        <f t="shared" si="89"/>
        <v>1457.5548668298745</v>
      </c>
      <c r="T1708" s="630">
        <f t="shared" si="89"/>
        <v>1587.9615436852635</v>
      </c>
      <c r="U1708" s="630">
        <f t="shared" si="89"/>
        <v>1709.4925985647874</v>
      </c>
      <c r="V1708" s="630">
        <f t="shared" si="89"/>
        <v>1848.0562830885347</v>
      </c>
      <c r="W1708" s="630">
        <f t="shared" si="89"/>
        <v>1991.7490077283583</v>
      </c>
      <c r="X1708" s="630">
        <f t="shared" si="89"/>
        <v>2147.1590605568913</v>
      </c>
      <c r="Y1708" s="630">
        <f t="shared" si="89"/>
        <v>2317.3650577838007</v>
      </c>
    </row>
    <row r="1709" spans="2:25" ht="15.75">
      <c r="B1709" s="53" t="str">
        <f>B1702</f>
        <v>Capex</v>
      </c>
      <c r="C1709" s="630">
        <f t="shared" si="87"/>
        <v>328.49712667850469</v>
      </c>
      <c r="D1709" s="630">
        <f t="shared" si="87"/>
        <v>342.73619827992536</v>
      </c>
      <c r="E1709" s="630">
        <f t="shared" si="87"/>
        <v>352.33100621339401</v>
      </c>
      <c r="F1709" s="630">
        <f t="shared" si="87"/>
        <v>363.65719922773104</v>
      </c>
      <c r="G1709" s="630">
        <f t="shared" si="87"/>
        <v>374.72767284746709</v>
      </c>
      <c r="H1709" s="630">
        <f t="shared" si="87"/>
        <v>370.98485507580205</v>
      </c>
      <c r="I1709" s="630">
        <f t="shared" si="87"/>
        <v>382.49746796436125</v>
      </c>
      <c r="K1709" s="630">
        <f t="shared" si="88"/>
        <v>708.78471649484538</v>
      </c>
      <c r="L1709" s="630">
        <f t="shared" si="88"/>
        <v>708.7847164948455</v>
      </c>
      <c r="M1709" s="630">
        <f t="shared" si="88"/>
        <v>714.45499422680427</v>
      </c>
      <c r="N1709" s="630">
        <f t="shared" si="88"/>
        <v>688.93874443298989</v>
      </c>
      <c r="O1709" s="630">
        <f t="shared" si="88"/>
        <v>684.52953646861874</v>
      </c>
      <c r="P1709" s="630">
        <f t="shared" si="88"/>
        <v>739.2918993861083</v>
      </c>
      <c r="Q1709" s="630">
        <f t="shared" si="88"/>
        <v>798.435251336997</v>
      </c>
      <c r="S1709" s="630">
        <f t="shared" si="89"/>
        <v>1037.2818431733501</v>
      </c>
      <c r="T1709" s="630">
        <f t="shared" si="89"/>
        <v>1051.520914774771</v>
      </c>
      <c r="U1709" s="630">
        <f t="shared" si="89"/>
        <v>1066.7860004401982</v>
      </c>
      <c r="V1709" s="630">
        <f t="shared" si="89"/>
        <v>1052.5959436607209</v>
      </c>
      <c r="W1709" s="630">
        <f t="shared" si="89"/>
        <v>1059.2572093160859</v>
      </c>
      <c r="X1709" s="630">
        <f t="shared" si="89"/>
        <v>1110.2767544619103</v>
      </c>
      <c r="Y1709" s="630">
        <f t="shared" si="89"/>
        <v>1180.9327193013582</v>
      </c>
    </row>
    <row r="1710" spans="2:25" ht="15.75">
      <c r="B1710" s="53" t="s">
        <v>27</v>
      </c>
      <c r="C1710" s="630">
        <f t="shared" ref="C1710:I1710" si="90">C1708-C1709</f>
        <v>194.75061386271005</v>
      </c>
      <c r="D1710" s="630">
        <f t="shared" si="90"/>
        <v>217.48750648781208</v>
      </c>
      <c r="E1710" s="630">
        <f t="shared" si="90"/>
        <v>247.20472632046534</v>
      </c>
      <c r="F1710" s="630">
        <f t="shared" si="90"/>
        <v>285.64566854740127</v>
      </c>
      <c r="G1710" s="630">
        <f t="shared" si="90"/>
        <v>322.36764634241666</v>
      </c>
      <c r="H1710" s="630">
        <f t="shared" si="90"/>
        <v>377.94822185953677</v>
      </c>
      <c r="I1710" s="630">
        <f t="shared" si="90"/>
        <v>424.78352750816248</v>
      </c>
      <c r="K1710" s="630">
        <f t="shared" ref="K1710:Q1710" si="91">K1708-K1709</f>
        <v>225.5224097938144</v>
      </c>
      <c r="L1710" s="630">
        <f t="shared" si="91"/>
        <v>318.95312242268051</v>
      </c>
      <c r="M1710" s="630">
        <f t="shared" si="91"/>
        <v>395.50187180412377</v>
      </c>
      <c r="N1710" s="630">
        <f t="shared" si="91"/>
        <v>509.81467088041256</v>
      </c>
      <c r="O1710" s="630">
        <f t="shared" si="91"/>
        <v>610.12415206985588</v>
      </c>
      <c r="P1710" s="630">
        <f t="shared" si="91"/>
        <v>658.93408423544429</v>
      </c>
      <c r="Q1710" s="630">
        <f t="shared" si="91"/>
        <v>711.64881097427974</v>
      </c>
      <c r="S1710" s="630">
        <f t="shared" si="89"/>
        <v>420.27302365652446</v>
      </c>
      <c r="T1710" s="630">
        <f t="shared" si="89"/>
        <v>536.44062891049259</v>
      </c>
      <c r="U1710" s="630">
        <f t="shared" si="89"/>
        <v>642.70659812458916</v>
      </c>
      <c r="V1710" s="630">
        <f t="shared" si="89"/>
        <v>795.46033942781378</v>
      </c>
      <c r="W1710" s="630">
        <f t="shared" si="89"/>
        <v>932.4917984122726</v>
      </c>
      <c r="X1710" s="630">
        <f t="shared" si="89"/>
        <v>1036.882306094981</v>
      </c>
      <c r="Y1710" s="630">
        <f t="shared" si="89"/>
        <v>1136.4323384824422</v>
      </c>
    </row>
    <row r="1711" spans="2:25" ht="15.75">
      <c r="B1711" s="53" t="s">
        <v>67</v>
      </c>
      <c r="C1711" s="630"/>
      <c r="D1711" s="630"/>
      <c r="E1711" s="630"/>
      <c r="F1711" s="630"/>
      <c r="G1711" s="630"/>
      <c r="H1711" s="630"/>
      <c r="I1711" s="630"/>
      <c r="K1711" s="630">
        <f t="shared" ref="K1711:Q1711" si="92">K1710*0.28</f>
        <v>63.146274742268041</v>
      </c>
      <c r="L1711" s="630">
        <f t="shared" si="92"/>
        <v>89.306874278350548</v>
      </c>
      <c r="M1711" s="630">
        <f t="shared" si="92"/>
        <v>110.74052410515466</v>
      </c>
      <c r="N1711" s="630">
        <f t="shared" si="92"/>
        <v>142.74810784651552</v>
      </c>
      <c r="O1711" s="630">
        <f t="shared" si="92"/>
        <v>170.83476257955965</v>
      </c>
      <c r="P1711" s="630">
        <f t="shared" si="92"/>
        <v>184.50154358592442</v>
      </c>
      <c r="Q1711" s="630">
        <f t="shared" si="92"/>
        <v>199.26166707279836</v>
      </c>
      <c r="S1711" s="630">
        <f t="shared" si="89"/>
        <v>63.146274742268041</v>
      </c>
      <c r="T1711" s="630">
        <f t="shared" si="89"/>
        <v>89.306874278350548</v>
      </c>
      <c r="U1711" s="630">
        <f t="shared" si="89"/>
        <v>110.74052410515466</v>
      </c>
      <c r="V1711" s="630">
        <f t="shared" si="89"/>
        <v>142.74810784651552</v>
      </c>
      <c r="W1711" s="630">
        <f t="shared" si="89"/>
        <v>170.83476257955965</v>
      </c>
      <c r="X1711" s="630">
        <f t="shared" si="89"/>
        <v>184.50154358592442</v>
      </c>
      <c r="Y1711" s="630">
        <f t="shared" si="89"/>
        <v>199.26166707279836</v>
      </c>
    </row>
    <row r="1712" spans="2:25" ht="15.75">
      <c r="B1712" s="53" t="str">
        <f>B1703</f>
        <v>EFCF</v>
      </c>
      <c r="C1712" s="630">
        <f t="shared" ref="C1712:I1713" si="93">C1703/$C$1723</f>
        <v>100.40417012569048</v>
      </c>
      <c r="D1712" s="630">
        <f t="shared" si="93"/>
        <v>112.80373819685445</v>
      </c>
      <c r="E1712" s="630">
        <f t="shared" si="93"/>
        <v>130.08574009820762</v>
      </c>
      <c r="F1712" s="630">
        <f t="shared" si="93"/>
        <v>150.84214579215993</v>
      </c>
      <c r="G1712" s="630">
        <f t="shared" si="93"/>
        <v>177.70798055228875</v>
      </c>
      <c r="H1712" s="630">
        <f t="shared" si="93"/>
        <v>221.86055093434447</v>
      </c>
      <c r="I1712" s="630">
        <f t="shared" si="93"/>
        <v>254.69668373035364</v>
      </c>
      <c r="K1712" s="630">
        <f t="shared" ref="K1712:Q1712" si="94">K1710-K1711</f>
        <v>162.37613505154636</v>
      </c>
      <c r="L1712" s="630">
        <f t="shared" si="94"/>
        <v>229.64624814432995</v>
      </c>
      <c r="M1712" s="630">
        <f t="shared" si="94"/>
        <v>284.76134769896908</v>
      </c>
      <c r="N1712" s="630">
        <f t="shared" si="94"/>
        <v>367.06656303389707</v>
      </c>
      <c r="O1712" s="630">
        <f t="shared" si="94"/>
        <v>439.28938949029623</v>
      </c>
      <c r="P1712" s="630">
        <f t="shared" si="94"/>
        <v>474.43254064951986</v>
      </c>
      <c r="Q1712" s="630">
        <f t="shared" si="94"/>
        <v>512.38714390148141</v>
      </c>
      <c r="S1712" s="630">
        <f t="shared" si="89"/>
        <v>262.78030517723687</v>
      </c>
      <c r="T1712" s="630">
        <f t="shared" si="89"/>
        <v>342.4499863411844</v>
      </c>
      <c r="U1712" s="630">
        <f t="shared" si="89"/>
        <v>414.8470877971767</v>
      </c>
      <c r="V1712" s="630">
        <f t="shared" si="89"/>
        <v>517.90870882605702</v>
      </c>
      <c r="W1712" s="630">
        <f t="shared" si="89"/>
        <v>616.99737004258498</v>
      </c>
      <c r="X1712" s="630">
        <f t="shared" si="89"/>
        <v>696.29309158386434</v>
      </c>
      <c r="Y1712" s="630">
        <f t="shared" si="89"/>
        <v>767.08382763183499</v>
      </c>
    </row>
    <row r="1713" spans="2:25" ht="15.75">
      <c r="B1713" s="53" t="str">
        <f>B1704</f>
        <v>Net debt</v>
      </c>
      <c r="C1713" s="630">
        <f t="shared" si="93"/>
        <v>65.593106486675154</v>
      </c>
      <c r="D1713" s="630">
        <f t="shared" si="93"/>
        <v>37.054098512506599</v>
      </c>
      <c r="E1713" s="630">
        <f t="shared" si="93"/>
        <v>-0.53386235221587042</v>
      </c>
      <c r="F1713" s="630">
        <f t="shared" si="93"/>
        <v>-48.911727341905461</v>
      </c>
      <c r="G1713" s="630">
        <f t="shared" si="93"/>
        <v>-112.65949285234284</v>
      </c>
      <c r="H1713" s="630">
        <f t="shared" si="93"/>
        <v>-208.80358966633128</v>
      </c>
      <c r="I1713" s="630">
        <f t="shared" si="93"/>
        <v>-324.23631995423949</v>
      </c>
      <c r="K1713" s="630">
        <f t="shared" ref="K1713:Q1713" si="95">K1704/$C$1723</f>
        <v>0</v>
      </c>
      <c r="L1713" s="630">
        <f t="shared" si="95"/>
        <v>0</v>
      </c>
      <c r="M1713" s="630">
        <f t="shared" si="95"/>
        <v>0</v>
      </c>
      <c r="N1713" s="630">
        <f t="shared" si="95"/>
        <v>0</v>
      </c>
      <c r="O1713" s="630">
        <f t="shared" si="95"/>
        <v>0</v>
      </c>
      <c r="P1713" s="630">
        <f t="shared" si="95"/>
        <v>0</v>
      </c>
      <c r="Q1713" s="630">
        <f t="shared" si="95"/>
        <v>0</v>
      </c>
      <c r="S1713" s="630">
        <f t="shared" si="89"/>
        <v>65.593106486675154</v>
      </c>
      <c r="T1713" s="630">
        <f t="shared" si="89"/>
        <v>37.054098512506599</v>
      </c>
      <c r="U1713" s="630">
        <f t="shared" si="89"/>
        <v>-0.53386235221587042</v>
      </c>
      <c r="V1713" s="630">
        <f t="shared" si="89"/>
        <v>-48.911727341905461</v>
      </c>
      <c r="W1713" s="630">
        <f t="shared" si="89"/>
        <v>-112.65949285234284</v>
      </c>
      <c r="X1713" s="630">
        <f t="shared" si="89"/>
        <v>-208.80358966633128</v>
      </c>
      <c r="Y1713" s="630">
        <f t="shared" si="89"/>
        <v>-324.23631995423949</v>
      </c>
    </row>
    <row r="1714" spans="2:25" ht="15.75">
      <c r="B1714" s="53"/>
      <c r="C1714" s="53"/>
      <c r="D1714" s="53"/>
      <c r="E1714" s="53"/>
      <c r="F1714" s="53"/>
      <c r="G1714" s="53"/>
      <c r="H1714" s="53"/>
      <c r="I1714" s="53"/>
      <c r="K1714" s="53"/>
      <c r="L1714" s="54"/>
      <c r="M1714" s="53"/>
      <c r="N1714" s="53"/>
      <c r="O1714" s="53"/>
      <c r="S1714" s="53"/>
      <c r="T1714" s="53"/>
      <c r="U1714" s="53"/>
      <c r="V1714" s="53"/>
      <c r="W1714" s="53"/>
      <c r="X1714" s="53"/>
      <c r="Y1714" s="53"/>
    </row>
    <row r="1715" spans="2:25" ht="15.75">
      <c r="B1715" s="53" t="s">
        <v>4164</v>
      </c>
      <c r="C1715" s="714">
        <v>80</v>
      </c>
      <c r="D1715" s="53"/>
      <c r="E1715" s="53"/>
      <c r="F1715" s="53"/>
      <c r="G1715" s="53"/>
      <c r="H1715" s="53"/>
      <c r="I1715" s="53"/>
      <c r="K1715" s="53"/>
      <c r="L1715" s="53"/>
      <c r="M1715" s="53"/>
      <c r="N1715" s="53"/>
      <c r="O1715" s="53"/>
      <c r="S1715" s="53"/>
      <c r="T1715" s="53"/>
      <c r="U1715" s="53"/>
      <c r="V1715" s="53"/>
      <c r="W1715" s="53"/>
      <c r="X1715" s="53"/>
      <c r="Y1715" s="53"/>
    </row>
    <row r="1716" spans="2:25" ht="15.75">
      <c r="B1716" s="53" t="s">
        <v>1668</v>
      </c>
      <c r="C1716" s="784">
        <v>0.25</v>
      </c>
      <c r="D1716" s="53"/>
      <c r="E1716" s="53"/>
      <c r="F1716" s="53"/>
      <c r="G1716" s="53"/>
      <c r="H1716" s="53"/>
      <c r="I1716" s="53"/>
      <c r="K1716" s="53"/>
      <c r="L1716" s="53"/>
      <c r="M1716" s="53"/>
      <c r="N1716" s="53"/>
      <c r="O1716" s="53"/>
      <c r="S1716" s="53"/>
      <c r="T1716" s="53"/>
      <c r="U1716" s="53"/>
      <c r="V1716" s="53"/>
      <c r="W1716" s="53"/>
      <c r="X1716" s="53"/>
      <c r="Y1716" s="53"/>
    </row>
    <row r="1717" spans="2:25" ht="15.75">
      <c r="B1717" s="53" t="s">
        <v>4165</v>
      </c>
      <c r="C1717" s="53">
        <f>(1+C1716)*C1715</f>
        <v>100</v>
      </c>
      <c r="D1717" s="53"/>
      <c r="E1717" s="53"/>
      <c r="F1717" s="53"/>
      <c r="G1717" s="53"/>
      <c r="H1717" s="53"/>
      <c r="I1717" s="53"/>
      <c r="K1717" s="53"/>
      <c r="L1717" s="53"/>
      <c r="M1717" s="53"/>
      <c r="N1717" s="53"/>
      <c r="O1717" s="53"/>
      <c r="S1717" s="53"/>
      <c r="T1717" s="53"/>
      <c r="U1717" s="53"/>
      <c r="V1717" s="53"/>
      <c r="W1717" s="53"/>
      <c r="X1717" s="53"/>
      <c r="Y1717" s="53"/>
    </row>
    <row r="1718" spans="2:25" ht="15.75">
      <c r="B1718" s="53" t="s">
        <v>306</v>
      </c>
      <c r="C1718" s="714">
        <v>859</v>
      </c>
      <c r="D1718" s="53"/>
      <c r="E1718" s="53"/>
      <c r="F1718" s="53"/>
      <c r="G1718" s="53"/>
      <c r="H1718" s="53"/>
      <c r="I1718" s="53"/>
      <c r="K1718" s="53"/>
      <c r="L1718" s="53"/>
      <c r="M1718" s="53"/>
      <c r="N1718" s="53"/>
      <c r="O1718" s="53"/>
      <c r="S1718" s="53"/>
      <c r="T1718" s="53"/>
      <c r="U1718" s="53"/>
      <c r="V1718" s="53"/>
      <c r="W1718" s="53"/>
      <c r="X1718" s="53"/>
      <c r="Y1718" s="53"/>
    </row>
    <row r="1719" spans="2:25" ht="15.75">
      <c r="B1719" s="53"/>
      <c r="C1719" s="53"/>
      <c r="D1719" s="53"/>
      <c r="E1719" s="53"/>
      <c r="F1719" s="53"/>
      <c r="G1719" s="53"/>
      <c r="H1719" s="53"/>
      <c r="I1719" s="53"/>
      <c r="K1719" s="53"/>
      <c r="L1719" s="53"/>
      <c r="M1719" s="53"/>
      <c r="N1719" s="53"/>
      <c r="O1719" s="53"/>
      <c r="S1719" s="53"/>
      <c r="T1719" s="53"/>
      <c r="U1719" s="53"/>
      <c r="V1719" s="53"/>
      <c r="W1719" s="53"/>
      <c r="X1719" s="53"/>
      <c r="Y1719" s="53"/>
    </row>
    <row r="1720" spans="2:25" ht="15.75">
      <c r="B1720" s="53" t="s">
        <v>4166</v>
      </c>
      <c r="C1720" s="630">
        <f>C1718*C1717</f>
        <v>85900</v>
      </c>
      <c r="D1720" s="53"/>
      <c r="E1720" s="53"/>
      <c r="F1720" s="53"/>
      <c r="G1720" s="53"/>
      <c r="H1720" s="53"/>
      <c r="I1720" s="53"/>
      <c r="K1720" s="630">
        <f>K1722-K1721</f>
        <v>154665.94903109962</v>
      </c>
      <c r="L1720" s="53"/>
      <c r="M1720" s="53"/>
      <c r="N1720" s="53"/>
      <c r="O1720" s="53"/>
      <c r="S1720" s="630">
        <f>C1720+K1720</f>
        <v>240565.94903109962</v>
      </c>
      <c r="T1720" s="53"/>
      <c r="U1720" s="53"/>
      <c r="V1720" s="53"/>
      <c r="W1720" s="53"/>
      <c r="X1720" s="53"/>
      <c r="Y1720" s="53"/>
    </row>
    <row r="1721" spans="2:25" ht="15.75">
      <c r="B1721" s="53" t="s">
        <v>115</v>
      </c>
      <c r="C1721" s="630">
        <f>D1704</f>
        <v>718.84951114262799</v>
      </c>
      <c r="D1721" s="53"/>
      <c r="E1721" s="53"/>
      <c r="F1721" s="53"/>
      <c r="G1721" s="53"/>
      <c r="H1721" s="53"/>
      <c r="I1721" s="53"/>
      <c r="K1721" s="764">
        <v>0</v>
      </c>
      <c r="L1721" s="53"/>
      <c r="M1721" s="53"/>
      <c r="N1721" s="53"/>
      <c r="O1721" s="53"/>
      <c r="S1721" s="630">
        <f>C1721+K1721</f>
        <v>718.84951114262799</v>
      </c>
      <c r="T1721" s="53"/>
      <c r="U1721" s="53"/>
      <c r="V1721" s="53"/>
      <c r="W1721" s="53"/>
      <c r="X1721" s="53"/>
      <c r="Y1721" s="53"/>
    </row>
    <row r="1722" spans="2:25" ht="15.75">
      <c r="B1722" s="53" t="s">
        <v>4167</v>
      </c>
      <c r="C1722" s="630">
        <f>C1720+C1721</f>
        <v>86618.849511142631</v>
      </c>
      <c r="D1722" s="53"/>
      <c r="E1722" s="53"/>
      <c r="F1722" s="53"/>
      <c r="G1722" s="53"/>
      <c r="H1722" s="53"/>
      <c r="I1722" s="53"/>
      <c r="K1722" s="630">
        <f>K1725*K1701</f>
        <v>154665.94903109962</v>
      </c>
      <c r="L1722" s="53"/>
      <c r="M1722" s="53"/>
      <c r="N1722" s="53"/>
      <c r="O1722" s="53"/>
      <c r="S1722" s="630">
        <f>C1722+K1722</f>
        <v>241284.79854224226</v>
      </c>
      <c r="T1722" s="53"/>
      <c r="U1722" s="53"/>
      <c r="V1722" s="53"/>
      <c r="W1722" s="53"/>
      <c r="X1722" s="53"/>
      <c r="Y1722" s="53"/>
    </row>
    <row r="1723" spans="2:25" ht="15.75">
      <c r="B1723" s="53" t="s">
        <v>4168</v>
      </c>
      <c r="C1723" s="714">
        <v>19.399999999999999</v>
      </c>
      <c r="D1723" s="53"/>
      <c r="E1723" s="53"/>
      <c r="F1723" s="53"/>
      <c r="G1723" s="53"/>
      <c r="H1723" s="53"/>
      <c r="I1723" s="53"/>
      <c r="K1723" s="53">
        <f>C1723</f>
        <v>19.399999999999999</v>
      </c>
      <c r="L1723" s="53"/>
      <c r="M1723" s="53"/>
      <c r="N1723" s="53"/>
      <c r="O1723" s="53"/>
      <c r="S1723" s="53">
        <f>K1723</f>
        <v>19.399999999999999</v>
      </c>
      <c r="T1723" s="53"/>
      <c r="U1723" s="53"/>
      <c r="V1723" s="53"/>
      <c r="W1723" s="53"/>
      <c r="X1723" s="53"/>
      <c r="Y1723" s="53"/>
    </row>
    <row r="1724" spans="2:25" ht="15.75">
      <c r="B1724" s="53"/>
      <c r="C1724" s="53"/>
      <c r="D1724" s="53"/>
      <c r="E1724" s="53"/>
      <c r="F1724" s="53"/>
      <c r="G1724" s="53"/>
      <c r="H1724" s="53"/>
      <c r="I1724" s="53"/>
      <c r="K1724" s="53"/>
      <c r="L1724" s="53"/>
      <c r="M1724" s="53"/>
      <c r="N1724" s="53"/>
      <c r="O1724" s="53"/>
      <c r="S1724" s="53"/>
      <c r="T1724" s="53"/>
      <c r="U1724" s="53"/>
      <c r="V1724" s="53"/>
      <c r="W1724" s="53"/>
      <c r="X1724" s="53"/>
      <c r="Y1724" s="53"/>
    </row>
    <row r="1725" spans="2:25" ht="15.75">
      <c r="B1725" s="53" t="s">
        <v>4173</v>
      </c>
      <c r="C1725" s="621">
        <f>C1722/C1701</f>
        <v>8.5330309222944702</v>
      </c>
      <c r="D1725" s="53"/>
      <c r="E1725" s="53"/>
      <c r="F1725" s="53"/>
      <c r="G1725" s="53"/>
      <c r="H1725" s="53"/>
      <c r="I1725" s="53"/>
      <c r="K1725" s="621">
        <f>C1725</f>
        <v>8.5330309222944702</v>
      </c>
      <c r="L1725" s="53"/>
      <c r="M1725" s="53"/>
      <c r="N1725" s="53"/>
      <c r="O1725" s="53"/>
      <c r="S1725" s="621">
        <f>K1725</f>
        <v>8.5330309222944702</v>
      </c>
      <c r="T1725" s="53"/>
      <c r="U1725" s="53"/>
      <c r="V1725" s="53"/>
      <c r="W1725" s="53"/>
      <c r="X1725" s="53"/>
      <c r="Y1725" s="53"/>
    </row>
    <row r="1726" spans="2:25" ht="15.75">
      <c r="B1726" s="53" t="s">
        <v>4297</v>
      </c>
      <c r="C1726" s="56">
        <f t="shared" ref="C1726:I1726" si="96">C1703/$C$1720</f>
        <v>2.267567986540623E-2</v>
      </c>
      <c r="D1726" s="56">
        <f t="shared" si="96"/>
        <v>2.5476047974609735E-2</v>
      </c>
      <c r="E1726" s="56">
        <f t="shared" si="96"/>
        <v>2.937908449249392E-2</v>
      </c>
      <c r="F1726" s="56">
        <f t="shared" si="96"/>
        <v>3.4066794276692694E-2</v>
      </c>
      <c r="G1726" s="56">
        <f t="shared" si="96"/>
        <v>4.0134281987362068E-2</v>
      </c>
      <c r="H1726" s="56">
        <f t="shared" si="96"/>
        <v>5.010587529832692E-2</v>
      </c>
      <c r="I1726" s="56">
        <f t="shared" si="96"/>
        <v>5.7521719026412808E-2</v>
      </c>
      <c r="K1726" s="56">
        <f t="shared" ref="K1726:Q1726" si="97">K1712*$K$1723/$K$1720</f>
        <v>2.0367101095837132E-2</v>
      </c>
      <c r="L1726" s="56">
        <f t="shared" si="97"/>
        <v>2.8804900121255382E-2</v>
      </c>
      <c r="M1726" s="56">
        <f t="shared" si="97"/>
        <v>3.5718076150356673E-2</v>
      </c>
      <c r="N1726" s="56">
        <f t="shared" si="97"/>
        <v>4.6041752353814622E-2</v>
      </c>
      <c r="O1726" s="56">
        <f t="shared" si="97"/>
        <v>5.5100778222348948E-2</v>
      </c>
      <c r="P1726" s="56">
        <f t="shared" si="97"/>
        <v>5.9508840480136854E-2</v>
      </c>
      <c r="Q1726" s="56">
        <f t="shared" si="97"/>
        <v>6.4269547718547801E-2</v>
      </c>
      <c r="S1726" s="56">
        <f t="shared" ref="S1726:Y1726" si="98">S1712*$S$1723/$S$1720</f>
        <v>2.1191436032284641E-2</v>
      </c>
      <c r="T1726" s="56">
        <f t="shared" si="98"/>
        <v>2.7616251434487604E-2</v>
      </c>
      <c r="U1726" s="56">
        <f t="shared" si="98"/>
        <v>3.3454582976848495E-2</v>
      </c>
      <c r="V1726" s="56">
        <f t="shared" si="98"/>
        <v>4.1765798491816497E-2</v>
      </c>
      <c r="W1726" s="56">
        <f t="shared" si="98"/>
        <v>4.975662194518949E-2</v>
      </c>
      <c r="X1726" s="56">
        <f t="shared" si="98"/>
        <v>5.6151280059093832E-2</v>
      </c>
      <c r="Y1726" s="56">
        <f t="shared" si="98"/>
        <v>6.1860069207607483E-2</v>
      </c>
    </row>
    <row r="1727" spans="2:25" ht="15.75">
      <c r="B1727" s="53"/>
      <c r="C1727" s="53"/>
      <c r="D1727" s="53"/>
      <c r="E1727" s="53"/>
      <c r="F1727" s="53"/>
      <c r="G1727" s="53"/>
      <c r="H1727" s="53"/>
      <c r="I1727" s="53"/>
      <c r="K1727" s="53"/>
      <c r="L1727" s="53"/>
      <c r="M1727" s="53"/>
      <c r="N1727" s="53"/>
      <c r="O1727" s="53"/>
      <c r="P1727" s="53"/>
      <c r="Q1727" s="53"/>
      <c r="S1727" s="53"/>
      <c r="T1727" s="53"/>
      <c r="U1727" s="53"/>
      <c r="V1727" s="53"/>
      <c r="W1727" s="53"/>
      <c r="X1727" s="53"/>
      <c r="Y1727" s="53"/>
    </row>
    <row r="1728" spans="2:25" ht="15.75">
      <c r="B1728" s="53" t="s">
        <v>4213</v>
      </c>
      <c r="C1728" s="630">
        <f>C1720/$C$1723</f>
        <v>4427.8350515463917</v>
      </c>
      <c r="D1728" s="53"/>
      <c r="E1728" s="53"/>
      <c r="F1728" s="53"/>
      <c r="G1728" s="53"/>
      <c r="H1728" s="53"/>
      <c r="I1728" s="53"/>
      <c r="K1728" s="630">
        <f>K1720/$K$1723</f>
        <v>7972.471599541218</v>
      </c>
      <c r="L1728" s="53"/>
      <c r="M1728" s="53"/>
      <c r="N1728" s="53"/>
      <c r="O1728" s="53"/>
      <c r="P1728" s="53"/>
      <c r="Q1728" s="53"/>
      <c r="S1728" s="630">
        <f>S1720/$S$1723</f>
        <v>12400.306651087611</v>
      </c>
      <c r="T1728" s="53"/>
      <c r="U1728" s="53"/>
      <c r="V1728" s="53"/>
      <c r="W1728" s="53"/>
      <c r="X1728" s="53"/>
      <c r="Y1728" s="53"/>
    </row>
    <row r="1729" spans="2:25" ht="15.75">
      <c r="B1729" s="53"/>
      <c r="C1729" s="53"/>
      <c r="D1729" s="53"/>
      <c r="E1729" s="53"/>
      <c r="F1729" s="53"/>
      <c r="G1729" s="53"/>
      <c r="H1729" s="53"/>
      <c r="I1729" s="53"/>
      <c r="K1729" s="53"/>
      <c r="L1729" s="53"/>
      <c r="M1729" s="53"/>
      <c r="N1729" s="53"/>
      <c r="O1729" s="53"/>
      <c r="P1729" s="53"/>
      <c r="Q1729" s="53"/>
      <c r="S1729" s="53"/>
      <c r="T1729" s="53"/>
      <c r="U1729" s="53"/>
      <c r="V1729" s="53"/>
      <c r="W1729" s="53"/>
      <c r="X1729" s="53"/>
      <c r="Y1729" s="53"/>
    </row>
    <row r="1730" spans="2:25" ht="15.75">
      <c r="B1730" s="53"/>
      <c r="C1730" s="53"/>
      <c r="D1730" s="53"/>
      <c r="E1730" s="53"/>
      <c r="F1730" s="53"/>
      <c r="G1730" s="53"/>
      <c r="H1730" s="53"/>
      <c r="I1730" s="53"/>
      <c r="K1730" s="53"/>
      <c r="L1730" s="53"/>
      <c r="M1730" s="53"/>
      <c r="N1730" s="53"/>
      <c r="O1730" s="53"/>
      <c r="P1730" s="53"/>
      <c r="Q1730" s="53"/>
      <c r="S1730" s="53"/>
      <c r="T1730" s="53"/>
      <c r="U1730" s="53"/>
      <c r="V1730" s="53"/>
      <c r="W1730" s="53"/>
      <c r="X1730" s="53"/>
      <c r="Y1730" s="53"/>
    </row>
    <row r="1731" spans="2:25" ht="15.75">
      <c r="B1731" s="53"/>
      <c r="C1731" s="53"/>
      <c r="D1731" s="53"/>
      <c r="E1731" s="53"/>
      <c r="F1731" s="53"/>
      <c r="G1731" s="53"/>
      <c r="H1731" s="53"/>
      <c r="I1731" s="53"/>
      <c r="K1731" s="53"/>
      <c r="L1731" s="53"/>
      <c r="M1731" s="53"/>
      <c r="N1731" s="53"/>
      <c r="O1731" s="53"/>
      <c r="P1731" s="53"/>
      <c r="Q1731" s="53"/>
      <c r="S1731" s="53"/>
      <c r="T1731" s="53"/>
      <c r="U1731" s="53"/>
      <c r="V1731" s="53"/>
      <c r="W1731" s="53"/>
      <c r="X1731" s="53"/>
      <c r="Y1731" s="53"/>
    </row>
    <row r="1732" spans="2:25" ht="15.75">
      <c r="B1732" s="53"/>
      <c r="C1732" s="53"/>
      <c r="D1732" s="53"/>
      <c r="E1732" s="53"/>
      <c r="F1732" s="53"/>
      <c r="G1732" s="53"/>
      <c r="H1732" s="53"/>
      <c r="I1732" s="53"/>
      <c r="K1732" s="53"/>
      <c r="L1732" s="53"/>
      <c r="M1732" s="53"/>
      <c r="N1732" s="53"/>
      <c r="O1732" s="53"/>
      <c r="P1732" s="53"/>
      <c r="Q1732" s="53"/>
      <c r="S1732" s="53"/>
      <c r="T1732" s="53"/>
      <c r="U1732" s="53"/>
      <c r="V1732" s="53"/>
      <c r="W1732" s="53"/>
      <c r="X1732" s="53"/>
      <c r="Y1732" s="53"/>
    </row>
    <row r="1733" spans="2:25" ht="15.75">
      <c r="B1733" s="53" t="s">
        <v>4169</v>
      </c>
      <c r="C1733" s="784">
        <v>1</v>
      </c>
      <c r="D1733" s="53"/>
      <c r="E1733" s="53"/>
      <c r="F1733" s="53"/>
      <c r="G1733" s="53"/>
      <c r="H1733" s="53"/>
      <c r="I1733" s="53"/>
      <c r="K1733" s="784">
        <v>1</v>
      </c>
      <c r="L1733" s="53"/>
      <c r="M1733" s="53"/>
      <c r="N1733" s="53"/>
      <c r="O1733" s="53"/>
      <c r="P1733" s="53"/>
      <c r="Q1733" s="53"/>
      <c r="S1733" s="784">
        <v>1</v>
      </c>
      <c r="T1733" s="53"/>
      <c r="U1733" s="53"/>
      <c r="V1733" s="53"/>
      <c r="W1733" s="53"/>
      <c r="X1733" s="53"/>
      <c r="Y1733" s="53"/>
    </row>
    <row r="1734" spans="2:25" ht="15.75">
      <c r="B1734" s="53" t="s">
        <v>1665</v>
      </c>
      <c r="C1734" s="630">
        <f>C1733*C1728</f>
        <v>4427.8350515463917</v>
      </c>
      <c r="D1734" s="53"/>
      <c r="E1734" s="53"/>
      <c r="F1734" s="53"/>
      <c r="G1734" s="53"/>
      <c r="H1734" s="53"/>
      <c r="I1734" s="53"/>
      <c r="K1734" s="630">
        <f>K1733*K1728</f>
        <v>7972.471599541218</v>
      </c>
      <c r="L1734" s="53"/>
      <c r="M1734" s="53"/>
      <c r="N1734" s="53"/>
      <c r="O1734" s="53"/>
      <c r="P1734" s="53"/>
      <c r="Q1734" s="53"/>
      <c r="S1734" s="630">
        <f>S1733*S1728</f>
        <v>12400.306651087611</v>
      </c>
      <c r="T1734" s="53"/>
      <c r="U1734" s="53"/>
      <c r="V1734" s="53"/>
      <c r="W1734" s="53"/>
      <c r="X1734" s="53"/>
      <c r="Y1734" s="53"/>
    </row>
    <row r="1735" spans="2:25" ht="15.75">
      <c r="B1735" s="53" t="s">
        <v>4170</v>
      </c>
      <c r="C1735" s="630">
        <f>C1728-C1734</f>
        <v>0</v>
      </c>
      <c r="D1735" s="53"/>
      <c r="E1735" s="53"/>
      <c r="F1735" s="53"/>
      <c r="G1735" s="53"/>
      <c r="H1735" s="53"/>
      <c r="I1735" s="53"/>
      <c r="K1735" s="630">
        <f>K1728-K1734</f>
        <v>0</v>
      </c>
      <c r="L1735" s="53"/>
      <c r="M1735" s="53"/>
      <c r="N1735" s="53"/>
      <c r="O1735" s="53"/>
      <c r="P1735" s="53"/>
      <c r="Q1735" s="53"/>
      <c r="S1735" s="630">
        <f>S1728-S1734</f>
        <v>0</v>
      </c>
      <c r="T1735" s="53"/>
      <c r="U1735" s="53"/>
      <c r="V1735" s="53"/>
      <c r="W1735" s="53"/>
      <c r="X1735" s="53"/>
      <c r="Y1735" s="53"/>
    </row>
    <row r="1736" spans="2:25" ht="15.75">
      <c r="B1736" s="53"/>
      <c r="C1736" s="630"/>
      <c r="D1736" s="53"/>
      <c r="E1736" s="53"/>
      <c r="F1736" s="53"/>
      <c r="G1736" s="53"/>
      <c r="H1736" s="53"/>
      <c r="I1736" s="53"/>
      <c r="K1736" s="53"/>
      <c r="L1736" s="53"/>
      <c r="M1736" s="53"/>
      <c r="N1736" s="53"/>
      <c r="O1736" s="53"/>
      <c r="P1736" s="53"/>
      <c r="Q1736" s="53"/>
      <c r="S1736" s="53"/>
      <c r="T1736" s="53"/>
      <c r="U1736" s="53"/>
      <c r="V1736" s="53"/>
      <c r="W1736" s="53"/>
      <c r="X1736" s="53"/>
      <c r="Y1736" s="53"/>
    </row>
    <row r="1737" spans="2:25" ht="15.75">
      <c r="B1737" s="53" t="s">
        <v>4172</v>
      </c>
      <c r="C1737" s="749">
        <v>20</v>
      </c>
      <c r="D1737" s="53"/>
      <c r="E1737" s="53"/>
      <c r="F1737" s="53"/>
      <c r="G1737" s="53"/>
      <c r="H1737" s="53"/>
      <c r="I1737" s="53"/>
      <c r="K1737" s="481">
        <f>C1737</f>
        <v>20</v>
      </c>
      <c r="L1737" s="53"/>
      <c r="M1737" s="53"/>
      <c r="N1737" s="53"/>
      <c r="O1737" s="53"/>
      <c r="P1737" s="53"/>
      <c r="Q1737" s="53"/>
      <c r="S1737" s="481">
        <f>K1737</f>
        <v>20</v>
      </c>
      <c r="T1737" s="53"/>
      <c r="U1737" s="53"/>
      <c r="V1737" s="53"/>
      <c r="W1737" s="53"/>
      <c r="X1737" s="53"/>
      <c r="Y1737" s="53"/>
    </row>
    <row r="1738" spans="2:25" ht="15.75">
      <c r="B1738" s="53" t="s">
        <v>4171</v>
      </c>
      <c r="C1738" s="481">
        <f>C1735/C1737</f>
        <v>0</v>
      </c>
      <c r="D1738" s="53"/>
      <c r="E1738" s="53"/>
      <c r="F1738" s="53"/>
      <c r="G1738" s="53"/>
      <c r="H1738" s="53"/>
      <c r="I1738" s="53"/>
      <c r="K1738" s="481">
        <f>K1735/K1737</f>
        <v>0</v>
      </c>
      <c r="L1738" s="53"/>
      <c r="M1738" s="53"/>
      <c r="N1738" s="53"/>
      <c r="O1738" s="53"/>
      <c r="P1738" s="53"/>
      <c r="Q1738" s="53"/>
      <c r="S1738" s="481">
        <f>S1735/S1737</f>
        <v>0</v>
      </c>
      <c r="T1738" s="53"/>
      <c r="U1738" s="53"/>
      <c r="V1738" s="53"/>
      <c r="W1738" s="53"/>
      <c r="X1738" s="53"/>
      <c r="Y1738" s="53"/>
    </row>
    <row r="1739" spans="2:25" ht="15.75">
      <c r="B1739" s="53" t="s">
        <v>4199</v>
      </c>
      <c r="C1739" s="481">
        <f>Valuation!I5</f>
        <v>180.983</v>
      </c>
      <c r="D1739" s="53"/>
      <c r="E1739" s="53"/>
      <c r="F1739" s="53"/>
      <c r="G1739" s="53"/>
      <c r="H1739" s="53"/>
      <c r="I1739" s="53"/>
      <c r="K1739" s="481">
        <f>C1739</f>
        <v>180.983</v>
      </c>
      <c r="L1739" s="53"/>
      <c r="M1739" s="53"/>
      <c r="N1739" s="53"/>
      <c r="O1739" s="53"/>
      <c r="P1739" s="53"/>
      <c r="Q1739" s="53"/>
      <c r="S1739" s="481">
        <f>K1739</f>
        <v>180.983</v>
      </c>
      <c r="T1739" s="53"/>
      <c r="U1739" s="53"/>
      <c r="V1739" s="53"/>
      <c r="W1739" s="53"/>
      <c r="X1739" s="53"/>
      <c r="Y1739" s="53"/>
    </row>
    <row r="1740" spans="2:25" ht="15.75">
      <c r="B1740" s="53" t="s">
        <v>4174</v>
      </c>
      <c r="C1740" s="54">
        <f>C1738/C1739</f>
        <v>0</v>
      </c>
      <c r="D1740" s="53"/>
      <c r="E1740" s="53"/>
      <c r="F1740" s="53"/>
      <c r="G1740" s="53"/>
      <c r="H1740" s="53"/>
      <c r="I1740" s="53"/>
      <c r="K1740" s="54">
        <f>K1738/K1739</f>
        <v>0</v>
      </c>
      <c r="L1740" s="53"/>
      <c r="M1740" s="53"/>
      <c r="N1740" s="53"/>
      <c r="O1740" s="53"/>
      <c r="P1740" s="53"/>
      <c r="Q1740" s="53"/>
      <c r="S1740" s="54">
        <f>S1738/S1739</f>
        <v>0</v>
      </c>
      <c r="T1740" s="53"/>
      <c r="U1740" s="53"/>
      <c r="V1740" s="53"/>
      <c r="W1740" s="53"/>
      <c r="X1740" s="53"/>
      <c r="Y1740" s="53"/>
    </row>
    <row r="1741" spans="2:25" ht="15.75">
      <c r="B1741" s="53" t="s">
        <v>1166</v>
      </c>
      <c r="C1741" s="481">
        <f>C1738+C1739</f>
        <v>180.983</v>
      </c>
      <c r="D1741" s="53"/>
      <c r="E1741" s="53"/>
      <c r="F1741" s="53"/>
      <c r="G1741" s="53"/>
      <c r="H1741" s="53"/>
      <c r="I1741" s="53"/>
      <c r="K1741" s="481">
        <f>K1738+K1739</f>
        <v>180.983</v>
      </c>
      <c r="L1741" s="53"/>
      <c r="M1741" s="53"/>
      <c r="N1741" s="53"/>
      <c r="O1741" s="53"/>
      <c r="P1741" s="53"/>
      <c r="Q1741" s="53"/>
      <c r="S1741" s="481">
        <f>S1738+S1739</f>
        <v>180.983</v>
      </c>
      <c r="T1741" s="53"/>
      <c r="U1741" s="53"/>
      <c r="V1741" s="53"/>
      <c r="W1741" s="53"/>
      <c r="X1741" s="53"/>
      <c r="Y1741" s="53"/>
    </row>
    <row r="1742" spans="2:25" ht="15.75">
      <c r="B1742" s="53"/>
      <c r="C1742" s="54"/>
      <c r="D1742" s="53"/>
      <c r="E1742" s="53"/>
      <c r="F1742" s="53"/>
      <c r="G1742" s="53"/>
      <c r="H1742" s="53"/>
      <c r="I1742" s="53"/>
      <c r="K1742" s="53"/>
      <c r="L1742" s="53"/>
      <c r="M1742" s="53"/>
      <c r="N1742" s="53"/>
      <c r="O1742" s="53"/>
      <c r="P1742" s="53"/>
      <c r="Q1742" s="53"/>
      <c r="S1742" s="53"/>
      <c r="T1742" s="53"/>
      <c r="U1742" s="53"/>
      <c r="V1742" s="53"/>
      <c r="W1742" s="53"/>
      <c r="X1742" s="53"/>
      <c r="Y1742" s="53"/>
    </row>
    <row r="1743" spans="2:25" ht="15.75">
      <c r="B1743" s="53" t="s">
        <v>4175</v>
      </c>
      <c r="C1743" s="630">
        <f>C1734</f>
        <v>4427.8350515463917</v>
      </c>
      <c r="D1743" s="53"/>
      <c r="E1743" s="53"/>
      <c r="F1743" s="53"/>
      <c r="G1743" s="53"/>
      <c r="H1743" s="53"/>
      <c r="I1743" s="53"/>
      <c r="K1743" s="630">
        <f>K1734</f>
        <v>7972.471599541218</v>
      </c>
      <c r="L1743" s="53"/>
      <c r="M1743" s="53"/>
      <c r="N1743" s="53"/>
      <c r="O1743" s="53"/>
      <c r="P1743" s="53"/>
      <c r="Q1743" s="53"/>
      <c r="S1743" s="630">
        <f>S1734</f>
        <v>12400.306651087611</v>
      </c>
      <c r="T1743" s="53"/>
      <c r="U1743" s="53"/>
      <c r="V1743" s="53"/>
      <c r="W1743" s="53"/>
      <c r="X1743" s="53"/>
      <c r="Y1743" s="53"/>
    </row>
    <row r="1744" spans="2:25" ht="15.75">
      <c r="B1744" s="53" t="s">
        <v>4176</v>
      </c>
      <c r="C1744" s="752">
        <v>6.4000000000000001E-2</v>
      </c>
      <c r="D1744" s="53"/>
      <c r="E1744" s="53"/>
      <c r="F1744" s="53"/>
      <c r="G1744" s="53"/>
      <c r="H1744" s="53"/>
      <c r="I1744" s="53"/>
      <c r="K1744" s="56">
        <f>C1744</f>
        <v>6.4000000000000001E-2</v>
      </c>
      <c r="L1744" s="53"/>
      <c r="M1744" s="53"/>
      <c r="N1744" s="53"/>
      <c r="O1744" s="53"/>
      <c r="P1744" s="53"/>
      <c r="Q1744" s="53"/>
      <c r="S1744" s="56">
        <f>K1744</f>
        <v>6.4000000000000001E-2</v>
      </c>
      <c r="T1744" s="53"/>
      <c r="U1744" s="53"/>
      <c r="V1744" s="53"/>
      <c r="W1744" s="53"/>
      <c r="X1744" s="53"/>
      <c r="Y1744" s="53"/>
    </row>
    <row r="1745" spans="2:25" ht="15.75">
      <c r="B1745" s="53" t="s">
        <v>4204</v>
      </c>
      <c r="C1745" s="481">
        <f>C1743*C1744*(1-0.28)</f>
        <v>204.03463917525772</v>
      </c>
      <c r="D1745" s="481">
        <f t="shared" ref="D1745:I1745" si="99">C1745</f>
        <v>204.03463917525772</v>
      </c>
      <c r="E1745" s="481">
        <f t="shared" si="99"/>
        <v>204.03463917525772</v>
      </c>
      <c r="F1745" s="481">
        <f t="shared" si="99"/>
        <v>204.03463917525772</v>
      </c>
      <c r="G1745" s="481">
        <f t="shared" si="99"/>
        <v>204.03463917525772</v>
      </c>
      <c r="H1745" s="481">
        <f t="shared" si="99"/>
        <v>204.03463917525772</v>
      </c>
      <c r="I1745" s="481">
        <f t="shared" si="99"/>
        <v>204.03463917525772</v>
      </c>
      <c r="K1745" s="481">
        <f>K1743*K1744*(1-0.28)</f>
        <v>367.3714913068593</v>
      </c>
      <c r="L1745" s="481">
        <f t="shared" ref="L1745:Q1745" si="100">K1745</f>
        <v>367.3714913068593</v>
      </c>
      <c r="M1745" s="481">
        <f t="shared" si="100"/>
        <v>367.3714913068593</v>
      </c>
      <c r="N1745" s="481">
        <f t="shared" si="100"/>
        <v>367.3714913068593</v>
      </c>
      <c r="O1745" s="481">
        <f t="shared" si="100"/>
        <v>367.3714913068593</v>
      </c>
      <c r="P1745" s="481">
        <f t="shared" si="100"/>
        <v>367.3714913068593</v>
      </c>
      <c r="Q1745" s="481">
        <f t="shared" si="100"/>
        <v>367.3714913068593</v>
      </c>
      <c r="S1745" s="481">
        <f>S1743*S1744*(1-0.28)</f>
        <v>571.40613048211708</v>
      </c>
      <c r="T1745" s="481">
        <f t="shared" ref="T1745:Y1745" si="101">S1745</f>
        <v>571.40613048211708</v>
      </c>
      <c r="U1745" s="481">
        <f t="shared" si="101"/>
        <v>571.40613048211708</v>
      </c>
      <c r="V1745" s="481">
        <f t="shared" si="101"/>
        <v>571.40613048211708</v>
      </c>
      <c r="W1745" s="481">
        <f t="shared" si="101"/>
        <v>571.40613048211708</v>
      </c>
      <c r="X1745" s="481">
        <f t="shared" si="101"/>
        <v>571.40613048211708</v>
      </c>
      <c r="Y1745" s="481">
        <f t="shared" si="101"/>
        <v>571.40613048211708</v>
      </c>
    </row>
    <row r="1746" spans="2:25" ht="15.75">
      <c r="B1746" s="53" t="s">
        <v>1664</v>
      </c>
      <c r="C1746" s="481">
        <f>C1745</f>
        <v>204.03463917525772</v>
      </c>
      <c r="D1746" s="481">
        <f t="shared" ref="D1746:I1746" si="102">C1746+D1745</f>
        <v>408.06927835051545</v>
      </c>
      <c r="E1746" s="481">
        <f t="shared" si="102"/>
        <v>612.10391752577311</v>
      </c>
      <c r="F1746" s="481">
        <f t="shared" si="102"/>
        <v>816.13855670103089</v>
      </c>
      <c r="G1746" s="481">
        <f t="shared" si="102"/>
        <v>1020.1731958762887</v>
      </c>
      <c r="H1746" s="481">
        <f t="shared" si="102"/>
        <v>1224.2078350515465</v>
      </c>
      <c r="I1746" s="481">
        <f t="shared" si="102"/>
        <v>1428.2424742268042</v>
      </c>
      <c r="K1746" s="481">
        <f>K1745</f>
        <v>367.3714913068593</v>
      </c>
      <c r="L1746" s="481">
        <f t="shared" ref="L1746:Q1746" si="103">K1746+L1745</f>
        <v>734.7429826137186</v>
      </c>
      <c r="M1746" s="481">
        <f t="shared" si="103"/>
        <v>1102.1144739205779</v>
      </c>
      <c r="N1746" s="481">
        <f t="shared" si="103"/>
        <v>1469.4859652274372</v>
      </c>
      <c r="O1746" s="481">
        <f t="shared" si="103"/>
        <v>1836.8574565342965</v>
      </c>
      <c r="P1746" s="481">
        <f t="shared" si="103"/>
        <v>2204.2289478411558</v>
      </c>
      <c r="Q1746" s="481">
        <f t="shared" si="103"/>
        <v>2571.6004391480151</v>
      </c>
      <c r="S1746" s="481">
        <f>S1745</f>
        <v>571.40613048211708</v>
      </c>
      <c r="T1746" s="481">
        <f t="shared" ref="T1746:Y1746" si="104">S1746+T1745</f>
        <v>1142.8122609642342</v>
      </c>
      <c r="U1746" s="481">
        <f t="shared" si="104"/>
        <v>1714.2183914463512</v>
      </c>
      <c r="V1746" s="481">
        <f t="shared" si="104"/>
        <v>2285.6245219284683</v>
      </c>
      <c r="W1746" s="481">
        <f t="shared" si="104"/>
        <v>2857.0306524105854</v>
      </c>
      <c r="X1746" s="481">
        <f t="shared" si="104"/>
        <v>3428.4367828927025</v>
      </c>
      <c r="Y1746" s="481">
        <f t="shared" si="104"/>
        <v>3999.8429133748195</v>
      </c>
    </row>
    <row r="1747" spans="2:25" ht="15.75">
      <c r="B1747" s="53"/>
      <c r="C1747" s="53"/>
      <c r="D1747" s="53"/>
      <c r="E1747" s="53"/>
      <c r="F1747" s="53"/>
      <c r="G1747" s="53"/>
      <c r="H1747" s="53"/>
      <c r="I1747" s="53"/>
      <c r="K1747" s="53"/>
      <c r="L1747" s="53"/>
      <c r="M1747" s="53"/>
      <c r="N1747" s="53"/>
      <c r="O1747" s="53"/>
      <c r="P1747" s="53"/>
      <c r="Q1747" s="53"/>
      <c r="S1747" s="53"/>
      <c r="T1747" s="53"/>
      <c r="U1747" s="53"/>
      <c r="V1747" s="53"/>
      <c r="W1747" s="53"/>
      <c r="X1747" s="53"/>
      <c r="Y1747" s="53"/>
    </row>
    <row r="1748" spans="2:25" ht="15.75">
      <c r="B1748" s="636" t="s">
        <v>4178</v>
      </c>
      <c r="C1748" s="636">
        <f t="shared" ref="C1748:I1748" si="105">C1699</f>
        <v>2019</v>
      </c>
      <c r="D1748" s="636">
        <f t="shared" si="105"/>
        <v>2020</v>
      </c>
      <c r="E1748" s="636">
        <f t="shared" si="105"/>
        <v>2021</v>
      </c>
      <c r="F1748" s="636">
        <f t="shared" si="105"/>
        <v>2022</v>
      </c>
      <c r="G1748" s="636">
        <f t="shared" si="105"/>
        <v>2023</v>
      </c>
      <c r="H1748" s="636">
        <f t="shared" si="105"/>
        <v>2024</v>
      </c>
      <c r="I1748" s="636">
        <f t="shared" si="105"/>
        <v>2025</v>
      </c>
      <c r="K1748" s="636">
        <f t="shared" ref="K1748:Q1748" si="106">K1699</f>
        <v>2019</v>
      </c>
      <c r="L1748" s="636">
        <f t="shared" si="106"/>
        <v>2020</v>
      </c>
      <c r="M1748" s="636">
        <f t="shared" si="106"/>
        <v>2021</v>
      </c>
      <c r="N1748" s="636">
        <f t="shared" si="106"/>
        <v>2022</v>
      </c>
      <c r="O1748" s="636">
        <f t="shared" si="106"/>
        <v>2023</v>
      </c>
      <c r="P1748" s="636">
        <f t="shared" si="106"/>
        <v>2024</v>
      </c>
      <c r="Q1748" s="636">
        <f t="shared" si="106"/>
        <v>2025</v>
      </c>
      <c r="S1748" s="636">
        <f t="shared" ref="S1748:Y1748" si="107">S1699</f>
        <v>2019</v>
      </c>
      <c r="T1748" s="636">
        <f t="shared" si="107"/>
        <v>2020</v>
      </c>
      <c r="U1748" s="636">
        <f t="shared" si="107"/>
        <v>2021</v>
      </c>
      <c r="V1748" s="636">
        <f t="shared" si="107"/>
        <v>2022</v>
      </c>
      <c r="W1748" s="636">
        <f t="shared" si="107"/>
        <v>2023</v>
      </c>
      <c r="X1748" s="636">
        <f t="shared" si="107"/>
        <v>2024</v>
      </c>
      <c r="Y1748" s="636">
        <f t="shared" si="107"/>
        <v>2025</v>
      </c>
    </row>
    <row r="1749" spans="2:25" ht="15.75">
      <c r="B1749" s="53" t="s">
        <v>2541</v>
      </c>
      <c r="C1749" s="630">
        <f>Valuation!J82</f>
        <v>6037.64</v>
      </c>
      <c r="D1749" s="630">
        <f>Valuation!K82</f>
        <v>7205.4250000000011</v>
      </c>
      <c r="E1749" s="630">
        <f>Valuation!L82</f>
        <v>7752.1</v>
      </c>
      <c r="F1749" s="630">
        <f>Valuation!M82</f>
        <v>5985.04</v>
      </c>
      <c r="G1749" s="630">
        <f>Valuation!N82</f>
        <v>6965.1</v>
      </c>
      <c r="H1749" s="630">
        <f ca="1">Valuation!O82</f>
        <v>7014.3337002453673</v>
      </c>
      <c r="I1749" s="630">
        <f ca="1">Valuation!P82</f>
        <v>6324.4399585298033</v>
      </c>
      <c r="K1749" s="630">
        <f t="shared" ref="K1749:Q1750" si="108">C1749</f>
        <v>6037.64</v>
      </c>
      <c r="L1749" s="630">
        <f t="shared" si="108"/>
        <v>7205.4250000000011</v>
      </c>
      <c r="M1749" s="630">
        <f t="shared" si="108"/>
        <v>7752.1</v>
      </c>
      <c r="N1749" s="630">
        <f t="shared" si="108"/>
        <v>5985.04</v>
      </c>
      <c r="O1749" s="630">
        <f t="shared" si="108"/>
        <v>6965.1</v>
      </c>
      <c r="P1749" s="630">
        <f t="shared" ca="1" si="108"/>
        <v>7014.3337002453673</v>
      </c>
      <c r="Q1749" s="630">
        <f t="shared" ca="1" si="108"/>
        <v>6324.4399585298033</v>
      </c>
      <c r="S1749" s="630">
        <f t="shared" ref="S1749:V1750" si="109">K1749</f>
        <v>6037.64</v>
      </c>
      <c r="T1749" s="630">
        <f t="shared" si="109"/>
        <v>7205.4250000000011</v>
      </c>
      <c r="U1749" s="630">
        <f t="shared" si="109"/>
        <v>7752.1</v>
      </c>
      <c r="V1749" s="630">
        <f>N1749</f>
        <v>5985.04</v>
      </c>
      <c r="W1749" s="630">
        <f>O1749</f>
        <v>6965.1</v>
      </c>
      <c r="X1749" s="630">
        <f ca="1">P1749</f>
        <v>7014.3337002453673</v>
      </c>
      <c r="Y1749" s="630">
        <f ca="1">Q1749</f>
        <v>6324.4399585298033</v>
      </c>
    </row>
    <row r="1750" spans="2:25" ht="15.75">
      <c r="B1750" s="53" t="s">
        <v>1408</v>
      </c>
      <c r="C1750" s="630">
        <f>Valuation!J84</f>
        <v>1328.2097159999998</v>
      </c>
      <c r="D1750" s="630">
        <f>Valuation!K84</f>
        <v>1601.1351066666668</v>
      </c>
      <c r="E1750" s="630">
        <f>Valuation!L84</f>
        <v>1687.1845060877336</v>
      </c>
      <c r="F1750" s="630">
        <f>Valuation!M84</f>
        <v>1550.9752100000001</v>
      </c>
      <c r="G1750" s="630">
        <f>Valuation!N84</f>
        <v>1506.91075</v>
      </c>
      <c r="H1750" s="630">
        <f>Valuation!O84</f>
        <v>1368.1546169601884</v>
      </c>
      <c r="I1750" s="630">
        <f>Valuation!P84</f>
        <v>1578.5005985688013</v>
      </c>
      <c r="K1750" s="630">
        <f t="shared" si="108"/>
        <v>1328.2097159999998</v>
      </c>
      <c r="L1750" s="630">
        <f t="shared" si="108"/>
        <v>1601.1351066666668</v>
      </c>
      <c r="M1750" s="630">
        <f t="shared" si="108"/>
        <v>1687.1845060877336</v>
      </c>
      <c r="N1750" s="630">
        <f t="shared" si="108"/>
        <v>1550.9752100000001</v>
      </c>
      <c r="O1750" s="630">
        <f t="shared" si="108"/>
        <v>1506.91075</v>
      </c>
      <c r="P1750" s="630">
        <f t="shared" si="108"/>
        <v>1368.1546169601884</v>
      </c>
      <c r="Q1750" s="630">
        <f t="shared" si="108"/>
        <v>1578.5005985688013</v>
      </c>
      <c r="S1750" s="630">
        <f t="shared" si="109"/>
        <v>1328.2097159999998</v>
      </c>
      <c r="T1750" s="630">
        <f t="shared" si="109"/>
        <v>1601.1351066666668</v>
      </c>
      <c r="U1750" s="630">
        <f t="shared" si="109"/>
        <v>1687.1845060877336</v>
      </c>
      <c r="V1750" s="630">
        <f t="shared" si="109"/>
        <v>1550.9752100000001</v>
      </c>
      <c r="W1750" s="630">
        <f>O1750</f>
        <v>1506.91075</v>
      </c>
      <c r="X1750" s="630">
        <f>P1750</f>
        <v>1368.1546169601884</v>
      </c>
      <c r="Y1750" s="630">
        <f>Q1750</f>
        <v>1578.5005985688013</v>
      </c>
    </row>
    <row r="1751" spans="2:25" ht="15.75">
      <c r="B1751" s="53" t="s">
        <v>3091</v>
      </c>
      <c r="C1751" s="713">
        <f t="shared" ref="C1751:I1751" si="110">C1749/C1750</f>
        <v>4.545697812076539</v>
      </c>
      <c r="D1751" s="713">
        <f t="shared" si="110"/>
        <v>4.5001979970326556</v>
      </c>
      <c r="E1751" s="713">
        <f t="shared" si="110"/>
        <v>4.594696058450463</v>
      </c>
      <c r="F1751" s="713">
        <f t="shared" si="110"/>
        <v>3.8588882410312668</v>
      </c>
      <c r="G1751" s="713">
        <f t="shared" si="110"/>
        <v>4.6221051910340414</v>
      </c>
      <c r="H1751" s="713">
        <f t="shared" ca="1" si="110"/>
        <v>5.1268574569664125</v>
      </c>
      <c r="I1751" s="713">
        <f t="shared" ca="1" si="110"/>
        <v>4.0066123283475861</v>
      </c>
      <c r="K1751" s="713">
        <f t="shared" ref="K1751:Q1751" si="111">K1749/K1750</f>
        <v>4.545697812076539</v>
      </c>
      <c r="L1751" s="713">
        <f t="shared" si="111"/>
        <v>4.5001979970326556</v>
      </c>
      <c r="M1751" s="713">
        <f t="shared" si="111"/>
        <v>4.594696058450463</v>
      </c>
      <c r="N1751" s="713">
        <f t="shared" si="111"/>
        <v>3.8588882410312668</v>
      </c>
      <c r="O1751" s="713">
        <f t="shared" si="111"/>
        <v>4.6221051910340414</v>
      </c>
      <c r="P1751" s="713">
        <f t="shared" ca="1" si="111"/>
        <v>5.1268574569664125</v>
      </c>
      <c r="Q1751" s="713">
        <f t="shared" ca="1" si="111"/>
        <v>4.0066123283475861</v>
      </c>
      <c r="S1751" s="713">
        <f t="shared" ref="S1751:Y1751" si="112">S1749/S1750</f>
        <v>4.545697812076539</v>
      </c>
      <c r="T1751" s="713">
        <f t="shared" si="112"/>
        <v>4.5001979970326556</v>
      </c>
      <c r="U1751" s="713">
        <f t="shared" si="112"/>
        <v>4.594696058450463</v>
      </c>
      <c r="V1751" s="713">
        <f t="shared" si="112"/>
        <v>3.8588882410312668</v>
      </c>
      <c r="W1751" s="713">
        <f t="shared" si="112"/>
        <v>4.6221051910340414</v>
      </c>
      <c r="X1751" s="713">
        <f t="shared" ca="1" si="112"/>
        <v>5.1268574569664125</v>
      </c>
      <c r="Y1751" s="713">
        <f t="shared" ca="1" si="112"/>
        <v>4.0066123283475861</v>
      </c>
    </row>
    <row r="1752" spans="2:25" ht="15.75">
      <c r="B1752" s="53" t="s">
        <v>249</v>
      </c>
      <c r="C1752" s="630">
        <f>Valuation!J28</f>
        <v>142.40066666666672</v>
      </c>
      <c r="D1752" s="630">
        <f>Valuation!K28</f>
        <v>196.00200000000001</v>
      </c>
      <c r="E1752" s="630">
        <f>Valuation!L28</f>
        <v>243.97968593955338</v>
      </c>
      <c r="F1752" s="630">
        <f>Valuation!M28</f>
        <v>229.24999999999997</v>
      </c>
      <c r="G1752" s="630">
        <f>Valuation!N28</f>
        <v>193.96999999999989</v>
      </c>
      <c r="H1752" s="630">
        <f ca="1">Valuation!O28</f>
        <v>136.49958891740317</v>
      </c>
      <c r="I1752" s="630">
        <f ca="1">Valuation!P28</f>
        <v>249.28592382841885</v>
      </c>
      <c r="K1752" s="630">
        <f t="shared" ref="K1752:Q1752" si="113">C1752</f>
        <v>142.40066666666672</v>
      </c>
      <c r="L1752" s="630">
        <f t="shared" si="113"/>
        <v>196.00200000000001</v>
      </c>
      <c r="M1752" s="630">
        <f t="shared" si="113"/>
        <v>243.97968593955338</v>
      </c>
      <c r="N1752" s="630">
        <f t="shared" si="113"/>
        <v>229.24999999999997</v>
      </c>
      <c r="O1752" s="630">
        <f t="shared" si="113"/>
        <v>193.96999999999989</v>
      </c>
      <c r="P1752" s="630">
        <f t="shared" ca="1" si="113"/>
        <v>136.49958891740317</v>
      </c>
      <c r="Q1752" s="630">
        <f t="shared" ca="1" si="113"/>
        <v>249.28592382841885</v>
      </c>
      <c r="S1752" s="630">
        <f t="shared" ref="S1752:Y1752" si="114">K1752</f>
        <v>142.40066666666672</v>
      </c>
      <c r="T1752" s="630">
        <f t="shared" si="114"/>
        <v>196.00200000000001</v>
      </c>
      <c r="U1752" s="630">
        <f t="shared" si="114"/>
        <v>243.97968593955338</v>
      </c>
      <c r="V1752" s="630">
        <f t="shared" si="114"/>
        <v>229.24999999999997</v>
      </c>
      <c r="W1752" s="630">
        <f t="shared" si="114"/>
        <v>193.96999999999989</v>
      </c>
      <c r="X1752" s="630">
        <f t="shared" ca="1" si="114"/>
        <v>136.49958891740317</v>
      </c>
      <c r="Y1752" s="630">
        <f t="shared" ca="1" si="114"/>
        <v>249.28592382841885</v>
      </c>
    </row>
    <row r="1753" spans="2:25" ht="15.75">
      <c r="B1753" s="53" t="s">
        <v>1948</v>
      </c>
      <c r="C1753" s="639">
        <f t="shared" ref="C1753:I1753" si="115">C1752/$C$1739</f>
        <v>0.78681791475810836</v>
      </c>
      <c r="D1753" s="639">
        <f t="shared" si="115"/>
        <v>1.0829856947890133</v>
      </c>
      <c r="E1753" s="639">
        <f t="shared" si="115"/>
        <v>1.3480806812769894</v>
      </c>
      <c r="F1753" s="639">
        <f t="shared" si="115"/>
        <v>1.2666935568534059</v>
      </c>
      <c r="G1753" s="639">
        <f t="shared" si="115"/>
        <v>1.0717581209284843</v>
      </c>
      <c r="H1753" s="639">
        <f t="shared" ca="1" si="115"/>
        <v>0.75421221284542284</v>
      </c>
      <c r="I1753" s="639">
        <f t="shared" ca="1" si="115"/>
        <v>1.3773996664240225</v>
      </c>
      <c r="K1753" s="639">
        <f t="shared" ref="K1753:Q1753" si="116">K1752/$K$1739</f>
        <v>0.78681791475810836</v>
      </c>
      <c r="L1753" s="639">
        <f t="shared" si="116"/>
        <v>1.0829856947890133</v>
      </c>
      <c r="M1753" s="639">
        <f t="shared" si="116"/>
        <v>1.3480806812769894</v>
      </c>
      <c r="N1753" s="639">
        <f t="shared" si="116"/>
        <v>1.2666935568534059</v>
      </c>
      <c r="O1753" s="639">
        <f t="shared" si="116"/>
        <v>1.0717581209284843</v>
      </c>
      <c r="P1753" s="639">
        <f t="shared" ca="1" si="116"/>
        <v>0.75421221284542284</v>
      </c>
      <c r="Q1753" s="639">
        <f t="shared" ca="1" si="116"/>
        <v>1.3773996664240225</v>
      </c>
      <c r="S1753" s="639">
        <f t="shared" ref="S1753:Y1753" si="117">S1752/$K$1739</f>
        <v>0.78681791475810836</v>
      </c>
      <c r="T1753" s="639">
        <f t="shared" si="117"/>
        <v>1.0829856947890133</v>
      </c>
      <c r="U1753" s="639">
        <f t="shared" si="117"/>
        <v>1.3480806812769894</v>
      </c>
      <c r="V1753" s="639">
        <f t="shared" si="117"/>
        <v>1.2666935568534059</v>
      </c>
      <c r="W1753" s="639">
        <f t="shared" si="117"/>
        <v>1.0717581209284843</v>
      </c>
      <c r="X1753" s="639">
        <f t="shared" ca="1" si="117"/>
        <v>0.75421221284542284</v>
      </c>
      <c r="Y1753" s="639">
        <f t="shared" ca="1" si="117"/>
        <v>1.3773996664240225</v>
      </c>
    </row>
    <row r="1754" spans="2:25" ht="15.75">
      <c r="B1754" s="53"/>
      <c r="C1754" s="713"/>
      <c r="D1754" s="713"/>
      <c r="E1754" s="713"/>
      <c r="F1754" s="713"/>
      <c r="G1754" s="713"/>
      <c r="H1754" s="713"/>
      <c r="I1754" s="713"/>
      <c r="K1754" s="713"/>
      <c r="L1754" s="713"/>
      <c r="M1754" s="713"/>
      <c r="N1754" s="713"/>
      <c r="O1754" s="713"/>
      <c r="P1754" s="713"/>
      <c r="Q1754" s="713"/>
      <c r="S1754" s="713"/>
      <c r="T1754" s="713"/>
      <c r="U1754" s="713"/>
      <c r="V1754" s="713"/>
      <c r="W1754" s="713"/>
      <c r="X1754" s="713"/>
      <c r="Y1754" s="713"/>
    </row>
    <row r="1755" spans="2:25" ht="15.75">
      <c r="B1755" s="58" t="s">
        <v>3977</v>
      </c>
      <c r="C1755" s="53"/>
      <c r="D1755" s="53"/>
      <c r="E1755" s="53"/>
      <c r="F1755" s="53"/>
      <c r="G1755" s="53"/>
      <c r="H1755" s="53"/>
      <c r="I1755" s="53"/>
      <c r="K1755" s="53"/>
      <c r="L1755" s="53"/>
      <c r="M1755" s="53"/>
      <c r="N1755" s="53"/>
      <c r="O1755" s="53"/>
      <c r="P1755" s="53"/>
      <c r="Q1755" s="53"/>
      <c r="S1755" s="53"/>
      <c r="T1755" s="53"/>
      <c r="U1755" s="53"/>
      <c r="V1755" s="53"/>
      <c r="W1755" s="53"/>
      <c r="X1755" s="53"/>
      <c r="Y1755" s="53"/>
    </row>
    <row r="1756" spans="2:25" ht="15.75">
      <c r="B1756" s="53" t="str">
        <f>B1749</f>
        <v>Prop net debt</v>
      </c>
      <c r="C1756" s="630">
        <f t="shared" ref="C1756:I1756" si="118">C1749+$C$1743+C1746+C1713</f>
        <v>10735.102797208325</v>
      </c>
      <c r="D1756" s="630">
        <f t="shared" si="118"/>
        <v>12078.383428409414</v>
      </c>
      <c r="E1756" s="630">
        <f t="shared" si="118"/>
        <v>12791.505106719949</v>
      </c>
      <c r="F1756" s="630">
        <f t="shared" si="118"/>
        <v>11180.101880905517</v>
      </c>
      <c r="G1756" s="630">
        <f t="shared" si="118"/>
        <v>12300.448754570338</v>
      </c>
      <c r="H1756" s="630">
        <f t="shared" ca="1" si="118"/>
        <v>12457.572997176974</v>
      </c>
      <c r="I1756" s="630">
        <f t="shared" ca="1" si="118"/>
        <v>11856.28116434876</v>
      </c>
      <c r="K1756" s="630">
        <f t="shared" ref="K1756:Q1756" si="119">K1749+$K$1743+K1746+K1713</f>
        <v>14377.483090848078</v>
      </c>
      <c r="L1756" s="630">
        <f t="shared" si="119"/>
        <v>15912.639582154938</v>
      </c>
      <c r="M1756" s="630">
        <f t="shared" si="119"/>
        <v>16826.686073461795</v>
      </c>
      <c r="N1756" s="630">
        <f t="shared" si="119"/>
        <v>15426.997564768655</v>
      </c>
      <c r="O1756" s="630">
        <f t="shared" si="119"/>
        <v>16774.429056075514</v>
      </c>
      <c r="P1756" s="630">
        <f t="shared" ca="1" si="119"/>
        <v>17191.03424762774</v>
      </c>
      <c r="Q1756" s="630">
        <f t="shared" ca="1" si="119"/>
        <v>16868.511997219037</v>
      </c>
      <c r="S1756" s="630">
        <f t="shared" ref="S1756:Y1756" si="120">S1749+$S$1743+S1746+S1713</f>
        <v>19074.945888056405</v>
      </c>
      <c r="T1756" s="630">
        <f t="shared" si="120"/>
        <v>20785.598010564354</v>
      </c>
      <c r="U1756" s="630">
        <f t="shared" si="120"/>
        <v>21866.091180181746</v>
      </c>
      <c r="V1756" s="630">
        <f t="shared" si="120"/>
        <v>20622.059445674171</v>
      </c>
      <c r="W1756" s="630">
        <f t="shared" si="120"/>
        <v>22109.777810645854</v>
      </c>
      <c r="X1756" s="630">
        <f t="shared" ca="1" si="120"/>
        <v>22634.27354455935</v>
      </c>
      <c r="Y1756" s="630">
        <f t="shared" ca="1" si="120"/>
        <v>22400.353203037994</v>
      </c>
    </row>
    <row r="1757" spans="2:25" ht="15.75">
      <c r="B1757" s="53" t="str">
        <f>B1750</f>
        <v>Prop EBITDA</v>
      </c>
      <c r="C1757" s="630">
        <f t="shared" ref="C1757:I1757" si="121">C1750+C1708</f>
        <v>1851.4574565412145</v>
      </c>
      <c r="D1757" s="630">
        <f t="shared" si="121"/>
        <v>2161.3588114344043</v>
      </c>
      <c r="E1757" s="630">
        <f t="shared" si="121"/>
        <v>2286.7202386215931</v>
      </c>
      <c r="F1757" s="630">
        <f t="shared" si="121"/>
        <v>2200.2780777751323</v>
      </c>
      <c r="G1757" s="630">
        <f t="shared" si="121"/>
        <v>2204.0060691898839</v>
      </c>
      <c r="H1757" s="630">
        <f t="shared" si="121"/>
        <v>2117.0876938955271</v>
      </c>
      <c r="I1757" s="630">
        <f t="shared" si="121"/>
        <v>2385.7815940413248</v>
      </c>
      <c r="K1757" s="630">
        <f t="shared" ref="K1757:Q1757" si="122">K1750+K1708</f>
        <v>2262.5168422886595</v>
      </c>
      <c r="L1757" s="630">
        <f t="shared" si="122"/>
        <v>2628.8729455841931</v>
      </c>
      <c r="M1757" s="630">
        <f t="shared" si="122"/>
        <v>2797.1413721186618</v>
      </c>
      <c r="N1757" s="630">
        <f t="shared" si="122"/>
        <v>2749.7286253134025</v>
      </c>
      <c r="O1757" s="630">
        <f t="shared" si="122"/>
        <v>2801.5644385384749</v>
      </c>
      <c r="P1757" s="630">
        <f t="shared" si="122"/>
        <v>2766.380600581741</v>
      </c>
      <c r="Q1757" s="630">
        <f t="shared" si="122"/>
        <v>3088.584660880078</v>
      </c>
      <c r="S1757" s="630">
        <f t="shared" ref="S1757:Y1757" si="123">S1750+S1708</f>
        <v>2785.7645828298746</v>
      </c>
      <c r="T1757" s="630">
        <f t="shared" si="123"/>
        <v>3189.0966503519303</v>
      </c>
      <c r="U1757" s="630">
        <f t="shared" si="123"/>
        <v>3396.6771046525209</v>
      </c>
      <c r="V1757" s="630">
        <f t="shared" si="123"/>
        <v>3399.0314930885347</v>
      </c>
      <c r="W1757" s="630">
        <f t="shared" si="123"/>
        <v>3498.6597577283583</v>
      </c>
      <c r="X1757" s="630">
        <f t="shared" si="123"/>
        <v>3515.3136775170797</v>
      </c>
      <c r="Y1757" s="630">
        <f t="shared" si="123"/>
        <v>3895.8656563526019</v>
      </c>
    </row>
    <row r="1758" spans="2:25" ht="15.75">
      <c r="B1758" s="53" t="s">
        <v>3091</v>
      </c>
      <c r="C1758" s="713">
        <f t="shared" ref="C1758:I1758" si="124">C1756/C1757</f>
        <v>5.7981903712024909</v>
      </c>
      <c r="D1758" s="713">
        <f t="shared" si="124"/>
        <v>5.5883286775477554</v>
      </c>
      <c r="E1758" s="713">
        <f t="shared" si="124"/>
        <v>5.5938216186998506</v>
      </c>
      <c r="F1758" s="713">
        <f t="shared" si="124"/>
        <v>5.0812222299694794</v>
      </c>
      <c r="G1758" s="713">
        <f t="shared" si="124"/>
        <v>5.5809504912532093</v>
      </c>
      <c r="H1758" s="713">
        <f t="shared" ca="1" si="124"/>
        <v>5.8842971092305278</v>
      </c>
      <c r="I1758" s="713">
        <f t="shared" ca="1" si="124"/>
        <v>4.9695584851357495</v>
      </c>
      <c r="K1758" s="713">
        <f t="shared" ref="K1758:Q1758" si="125">K1756/K1757</f>
        <v>6.3546413543178168</v>
      </c>
      <c r="L1758" s="713">
        <f t="shared" si="125"/>
        <v>6.0530272521857462</v>
      </c>
      <c r="M1758" s="713">
        <f t="shared" si="125"/>
        <v>6.0156723722250121</v>
      </c>
      <c r="N1758" s="713">
        <f t="shared" si="125"/>
        <v>5.6103709372448893</v>
      </c>
      <c r="O1758" s="713">
        <f t="shared" si="125"/>
        <v>5.9875221234698524</v>
      </c>
      <c r="P1758" s="713">
        <f t="shared" ca="1" si="125"/>
        <v>6.2142693756645944</v>
      </c>
      <c r="Q1758" s="713">
        <f t="shared" ca="1" si="125"/>
        <v>5.4615669794890556</v>
      </c>
      <c r="S1758" s="713">
        <f t="shared" ref="S1758:Y1758" si="126">S1756/S1757</f>
        <v>6.8472928421968184</v>
      </c>
      <c r="T1758" s="713">
        <f t="shared" si="126"/>
        <v>6.5177071407574223</v>
      </c>
      <c r="U1758" s="713">
        <f t="shared" si="126"/>
        <v>6.4374947946129959</v>
      </c>
      <c r="V1758" s="713">
        <f t="shared" si="126"/>
        <v>6.0670398281411355</v>
      </c>
      <c r="W1758" s="713">
        <f t="shared" si="126"/>
        <v>6.3194992773465604</v>
      </c>
      <c r="X1758" s="713">
        <f t="shared" ca="1" si="126"/>
        <v>6.4387635417349971</v>
      </c>
      <c r="Y1758" s="713">
        <f t="shared" ca="1" si="126"/>
        <v>5.7497755772229873</v>
      </c>
    </row>
    <row r="1759" spans="2:25" ht="15.75">
      <c r="B1759" s="53" t="s">
        <v>249</v>
      </c>
      <c r="C1759" s="630">
        <f t="shared" ref="C1759:I1759" si="127">C1712+C1752-C1745</f>
        <v>38.770197617099484</v>
      </c>
      <c r="D1759" s="630">
        <f t="shared" si="127"/>
        <v>104.77109902159674</v>
      </c>
      <c r="E1759" s="630">
        <f t="shared" si="127"/>
        <v>170.03078686250325</v>
      </c>
      <c r="F1759" s="630">
        <f t="shared" si="127"/>
        <v>176.05750661690217</v>
      </c>
      <c r="G1759" s="630">
        <f t="shared" si="127"/>
        <v>167.64334137703094</v>
      </c>
      <c r="H1759" s="630">
        <f t="shared" ca="1" si="127"/>
        <v>154.32550067648992</v>
      </c>
      <c r="I1759" s="630">
        <f t="shared" ca="1" si="127"/>
        <v>299.94796838351476</v>
      </c>
      <c r="K1759" s="630">
        <f t="shared" ref="K1759:Q1759" si="128">K1712+K1752-K1745</f>
        <v>-62.594689588646247</v>
      </c>
      <c r="L1759" s="630">
        <f t="shared" si="128"/>
        <v>58.276756837470657</v>
      </c>
      <c r="M1759" s="630">
        <f t="shared" si="128"/>
        <v>161.36954233166318</v>
      </c>
      <c r="N1759" s="630">
        <f t="shared" si="128"/>
        <v>228.94507172703777</v>
      </c>
      <c r="O1759" s="630">
        <f t="shared" si="128"/>
        <v>265.88789818343685</v>
      </c>
      <c r="P1759" s="630">
        <f t="shared" ca="1" si="128"/>
        <v>243.5606382600638</v>
      </c>
      <c r="Q1759" s="630">
        <f t="shared" ca="1" si="128"/>
        <v>394.30157642304096</v>
      </c>
      <c r="S1759" s="764">
        <f t="shared" ref="S1759:Y1759" si="129">S1712+S1752-S1745+D1926</f>
        <v>-166.22515863821349</v>
      </c>
      <c r="T1759" s="764">
        <f t="shared" si="129"/>
        <v>-32.954144140932613</v>
      </c>
      <c r="U1759" s="764">
        <f t="shared" si="129"/>
        <v>135.04903664339253</v>
      </c>
      <c r="V1759" s="764">
        <f t="shared" si="129"/>
        <v>250.52302757497523</v>
      </c>
      <c r="W1759" s="764">
        <f t="shared" si="129"/>
        <v>344.64235214291739</v>
      </c>
      <c r="X1759" s="764">
        <f t="shared" ca="1" si="129"/>
        <v>429.83380699666543</v>
      </c>
      <c r="Y1759" s="764">
        <f t="shared" ca="1" si="129"/>
        <v>622.24115146584143</v>
      </c>
    </row>
    <row r="1760" spans="2:25" ht="15.75">
      <c r="B1760" s="53" t="s">
        <v>1948</v>
      </c>
      <c r="C1760" s="639">
        <f t="shared" ref="C1760:I1760" si="130">C1759/$C$1741</f>
        <v>0.21422010695534655</v>
      </c>
      <c r="D1760" s="639">
        <f t="shared" si="130"/>
        <v>0.5789002227921779</v>
      </c>
      <c r="E1760" s="639">
        <f t="shared" si="130"/>
        <v>0.93948485140871374</v>
      </c>
      <c r="F1760" s="639">
        <f t="shared" si="130"/>
        <v>0.97278477324888069</v>
      </c>
      <c r="G1760" s="639">
        <f t="shared" si="130"/>
        <v>0.92629330587420333</v>
      </c>
      <c r="H1760" s="639">
        <f t="shared" ca="1" si="130"/>
        <v>0.85270716407889091</v>
      </c>
      <c r="I1760" s="639">
        <f t="shared" ca="1" si="130"/>
        <v>1.6573267565656153</v>
      </c>
      <c r="K1760" s="639">
        <f t="shared" ref="K1760:Q1760" si="131">K1759/$K$1741</f>
        <v>-0.34585949834319379</v>
      </c>
      <c r="L1760" s="639">
        <f t="shared" si="131"/>
        <v>0.32200127546493679</v>
      </c>
      <c r="M1760" s="639">
        <f t="shared" si="131"/>
        <v>0.89162817685452878</v>
      </c>
      <c r="N1760" s="639">
        <f t="shared" si="131"/>
        <v>1.2650087120173594</v>
      </c>
      <c r="O1760" s="639">
        <f t="shared" si="131"/>
        <v>1.4691318973795153</v>
      </c>
      <c r="P1760" s="639">
        <f t="shared" ca="1" si="131"/>
        <v>1.345765283259001</v>
      </c>
      <c r="Q1760" s="639">
        <f t="shared" ca="1" si="131"/>
        <v>2.1786663743171508</v>
      </c>
      <c r="S1760" s="639">
        <f t="shared" ref="S1760:Y1760" si="132">S1759/$S$1741</f>
        <v>-0.91845730614595555</v>
      </c>
      <c r="T1760" s="639">
        <f t="shared" si="132"/>
        <v>-0.18208419653189864</v>
      </c>
      <c r="U1760" s="639">
        <f t="shared" si="132"/>
        <v>0.74619735910772023</v>
      </c>
      <c r="V1760" s="639">
        <f t="shared" si="132"/>
        <v>1.3842351357584703</v>
      </c>
      <c r="W1760" s="639">
        <f t="shared" si="132"/>
        <v>1.9042802481057193</v>
      </c>
      <c r="X1760" s="639">
        <f t="shared" ca="1" si="132"/>
        <v>2.3749954802200506</v>
      </c>
      <c r="Y1760" s="639">
        <f t="shared" ca="1" si="132"/>
        <v>3.4381193342238854</v>
      </c>
    </row>
    <row r="1761" spans="2:25" ht="15.75">
      <c r="B1761" s="53" t="s">
        <v>3063</v>
      </c>
      <c r="C1761" s="54">
        <f t="shared" ref="C1761:I1761" si="133">C1760/C1753-1</f>
        <v>-0.72773865091619794</v>
      </c>
      <c r="D1761" s="54">
        <f t="shared" si="133"/>
        <v>-0.46545903092010932</v>
      </c>
      <c r="E1761" s="54">
        <f t="shared" si="133"/>
        <v>-0.30309449244627351</v>
      </c>
      <c r="F1761" s="54">
        <f t="shared" si="133"/>
        <v>-0.23202832446280386</v>
      </c>
      <c r="G1761" s="54">
        <f t="shared" si="133"/>
        <v>-0.13572541435773033</v>
      </c>
      <c r="H1761" s="54">
        <f t="shared" ca="1" si="133"/>
        <v>0.13059315343340216</v>
      </c>
      <c r="I1761" s="54">
        <f t="shared" ca="1" si="133"/>
        <v>0.20322866119775829</v>
      </c>
      <c r="K1761" s="54">
        <f t="shared" ref="K1761:Q1761" si="134">K1760/K1753-1</f>
        <v>-1.4395673914586979</v>
      </c>
      <c r="L1761" s="54">
        <f t="shared" si="134"/>
        <v>-0.7026726419247219</v>
      </c>
      <c r="M1761" s="54">
        <f t="shared" si="134"/>
        <v>-0.33859435177876684</v>
      </c>
      <c r="N1761" s="54">
        <f t="shared" si="134"/>
        <v>-1.3301124229539996E-3</v>
      </c>
      <c r="O1761" s="54">
        <f t="shared" si="134"/>
        <v>0.37076815065957103</v>
      </c>
      <c r="P1761" s="54">
        <f t="shared" ca="1" si="134"/>
        <v>0.78433239390518605</v>
      </c>
      <c r="Q1761" s="54">
        <f t="shared" ca="1" si="134"/>
        <v>0.5817241919140006</v>
      </c>
      <c r="S1761" s="54">
        <f t="shared" ref="S1761:Y1761" si="135">S1760/S1753-1</f>
        <v>-2.1673060423748955</v>
      </c>
      <c r="T1761" s="54">
        <f t="shared" si="135"/>
        <v>-1.1681316728448312</v>
      </c>
      <c r="U1761" s="54">
        <f t="shared" si="135"/>
        <v>-0.44647425820176156</v>
      </c>
      <c r="V1761" s="54">
        <f t="shared" si="135"/>
        <v>9.2794013413196375E-2</v>
      </c>
      <c r="W1761" s="54">
        <f t="shared" si="135"/>
        <v>0.7767817298701738</v>
      </c>
      <c r="X1761" s="54">
        <f t="shared" ca="1" si="135"/>
        <v>2.1489751024580799</v>
      </c>
      <c r="Y1761" s="54">
        <f t="shared" ca="1" si="135"/>
        <v>1.4960942114570583</v>
      </c>
    </row>
    <row r="1762" spans="2:25" ht="15.75">
      <c r="B1762" s="53"/>
      <c r="C1762" s="53"/>
      <c r="D1762" s="53"/>
      <c r="E1762" s="53"/>
      <c r="F1762" s="53"/>
      <c r="G1762" s="53"/>
      <c r="H1762" s="53"/>
      <c r="I1762" s="53"/>
      <c r="K1762" s="53"/>
      <c r="L1762" s="53"/>
      <c r="M1762" s="53"/>
      <c r="N1762" s="53"/>
      <c r="O1762" s="53"/>
      <c r="S1762" s="53"/>
      <c r="T1762" s="53"/>
      <c r="U1762" s="53"/>
      <c r="V1762" s="53"/>
    </row>
    <row r="1763" spans="2:25" ht="15.75">
      <c r="B1763" s="53" t="s">
        <v>4277</v>
      </c>
      <c r="C1763" s="53"/>
      <c r="D1763" s="53"/>
      <c r="E1763" s="53"/>
      <c r="F1763" s="53"/>
      <c r="G1763" s="53"/>
      <c r="K1763" s="53"/>
      <c r="L1763" s="53"/>
      <c r="M1763" s="53"/>
      <c r="N1763" s="53"/>
      <c r="O1763" s="53"/>
      <c r="S1763" s="53"/>
      <c r="T1763" s="53"/>
      <c r="U1763" s="53"/>
      <c r="V1763" s="53"/>
    </row>
    <row r="1764" spans="2:25" ht="15.75">
      <c r="B1764" s="53"/>
      <c r="C1764" s="53"/>
      <c r="D1764" s="53"/>
      <c r="E1764" s="53"/>
      <c r="F1764" s="53"/>
      <c r="G1764" s="53"/>
      <c r="K1764" s="53"/>
      <c r="L1764" s="53"/>
      <c r="M1764" s="53"/>
      <c r="N1764" s="53"/>
      <c r="O1764" s="53"/>
      <c r="S1764" s="53"/>
      <c r="T1764" s="53"/>
      <c r="U1764" s="53"/>
      <c r="V1764" s="53"/>
    </row>
    <row r="1765" spans="2:25" ht="15.75">
      <c r="B1765" s="636" t="str">
        <f t="shared" ref="B1765:I1767" si="136">B1748</f>
        <v>LLA base case, USD m</v>
      </c>
      <c r="C1765" s="636">
        <f t="shared" si="136"/>
        <v>2019</v>
      </c>
      <c r="D1765" s="636">
        <f t="shared" si="136"/>
        <v>2020</v>
      </c>
      <c r="E1765" s="636">
        <f t="shared" si="136"/>
        <v>2021</v>
      </c>
      <c r="F1765" s="636">
        <f t="shared" si="136"/>
        <v>2022</v>
      </c>
      <c r="G1765" s="636">
        <f t="shared" si="136"/>
        <v>2023</v>
      </c>
      <c r="H1765" s="636">
        <f t="shared" si="136"/>
        <v>2024</v>
      </c>
      <c r="I1765" s="636">
        <f t="shared" si="136"/>
        <v>2025</v>
      </c>
      <c r="K1765" s="53"/>
      <c r="L1765" s="53"/>
      <c r="M1765" s="53"/>
      <c r="N1765" s="53"/>
      <c r="O1765" s="53"/>
      <c r="S1765" s="53"/>
      <c r="T1765" s="53"/>
      <c r="U1765" s="53"/>
      <c r="V1765" s="53"/>
    </row>
    <row r="1766" spans="2:25" ht="15.75">
      <c r="B1766" s="53" t="str">
        <f t="shared" si="136"/>
        <v>Prop net debt</v>
      </c>
      <c r="C1766" s="630">
        <f t="shared" si="136"/>
        <v>6037.64</v>
      </c>
      <c r="D1766" s="630">
        <f t="shared" si="136"/>
        <v>7205.4250000000011</v>
      </c>
      <c r="E1766" s="630">
        <f t="shared" si="136"/>
        <v>7752.1</v>
      </c>
      <c r="F1766" s="630">
        <f t="shared" si="136"/>
        <v>5985.04</v>
      </c>
      <c r="G1766" s="630">
        <f t="shared" si="136"/>
        <v>6965.1</v>
      </c>
      <c r="H1766" s="630">
        <f t="shared" ca="1" si="136"/>
        <v>7014.3337002453673</v>
      </c>
      <c r="I1766" s="630">
        <f t="shared" ca="1" si="136"/>
        <v>6324.4399585298033</v>
      </c>
      <c r="K1766" s="53"/>
      <c r="L1766" s="53"/>
      <c r="M1766" s="53"/>
      <c r="N1766" s="53"/>
      <c r="O1766" s="53"/>
      <c r="S1766" s="53"/>
      <c r="T1766" s="53"/>
      <c r="U1766" s="53"/>
      <c r="V1766" s="53"/>
    </row>
    <row r="1767" spans="2:25" ht="15.75">
      <c r="B1767" s="53" t="str">
        <f t="shared" si="136"/>
        <v>Prop EBITDA</v>
      </c>
      <c r="C1767" s="630">
        <f t="shared" si="136"/>
        <v>1328.2097159999998</v>
      </c>
      <c r="D1767" s="630">
        <f t="shared" si="136"/>
        <v>1601.1351066666668</v>
      </c>
      <c r="E1767" s="630">
        <f t="shared" si="136"/>
        <v>1687.1845060877336</v>
      </c>
      <c r="F1767" s="630">
        <f t="shared" si="136"/>
        <v>1550.9752100000001</v>
      </c>
      <c r="G1767" s="630">
        <f t="shared" si="136"/>
        <v>1506.91075</v>
      </c>
      <c r="H1767" s="630">
        <f t="shared" si="136"/>
        <v>1368.1546169601884</v>
      </c>
      <c r="I1767" s="630">
        <f t="shared" si="136"/>
        <v>1578.5005985688013</v>
      </c>
      <c r="K1767" s="53"/>
      <c r="L1767" s="53"/>
      <c r="M1767" s="53"/>
      <c r="N1767" s="53"/>
      <c r="O1767" s="53"/>
      <c r="S1767" s="53"/>
      <c r="T1767" s="53"/>
      <c r="U1767" s="53"/>
      <c r="V1767" s="53"/>
    </row>
    <row r="1768" spans="2:25" ht="15.75">
      <c r="B1768" s="53" t="str">
        <f t="shared" ref="B1768:E1770" si="137">B1751</f>
        <v>Leverage</v>
      </c>
      <c r="C1768" s="713">
        <f t="shared" si="137"/>
        <v>4.545697812076539</v>
      </c>
      <c r="D1768" s="713">
        <f t="shared" si="137"/>
        <v>4.5001979970326556</v>
      </c>
      <c r="E1768" s="713">
        <f t="shared" si="137"/>
        <v>4.594696058450463</v>
      </c>
      <c r="F1768" s="713">
        <f t="shared" ref="F1768:I1770" si="138">F1751</f>
        <v>3.8588882410312668</v>
      </c>
      <c r="G1768" s="713">
        <f t="shared" si="138"/>
        <v>4.6221051910340414</v>
      </c>
      <c r="H1768" s="713">
        <f t="shared" ca="1" si="138"/>
        <v>5.1268574569664125</v>
      </c>
      <c r="I1768" s="713">
        <f t="shared" ca="1" si="138"/>
        <v>4.0066123283475861</v>
      </c>
      <c r="K1768" s="53"/>
      <c r="L1768" s="53"/>
      <c r="M1768" s="53"/>
      <c r="N1768" s="53"/>
      <c r="O1768" s="53"/>
      <c r="S1768" s="53"/>
      <c r="T1768" s="53"/>
      <c r="U1768" s="53"/>
      <c r="V1768" s="53"/>
    </row>
    <row r="1769" spans="2:25" ht="15.75">
      <c r="B1769" s="53" t="str">
        <f t="shared" si="137"/>
        <v>EFCF</v>
      </c>
      <c r="C1769" s="630">
        <f t="shared" si="137"/>
        <v>142.40066666666672</v>
      </c>
      <c r="D1769" s="630">
        <f t="shared" si="137"/>
        <v>196.00200000000001</v>
      </c>
      <c r="E1769" s="630">
        <f t="shared" si="137"/>
        <v>243.97968593955338</v>
      </c>
      <c r="F1769" s="630">
        <f t="shared" si="138"/>
        <v>229.24999999999997</v>
      </c>
      <c r="G1769" s="630">
        <f t="shared" si="138"/>
        <v>193.96999999999989</v>
      </c>
      <c r="H1769" s="630">
        <f t="shared" ca="1" si="138"/>
        <v>136.49958891740317</v>
      </c>
      <c r="I1769" s="630">
        <f t="shared" ca="1" si="138"/>
        <v>249.28592382841885</v>
      </c>
      <c r="K1769" s="53"/>
      <c r="L1769" s="53"/>
      <c r="M1769" s="53"/>
      <c r="N1769" s="53"/>
      <c r="O1769" s="53"/>
      <c r="S1769" s="53"/>
      <c r="T1769" s="53"/>
      <c r="U1769" s="53"/>
      <c r="V1769" s="53"/>
    </row>
    <row r="1770" spans="2:25" ht="15.75">
      <c r="B1770" s="53" t="str">
        <f t="shared" si="137"/>
        <v>EFCF/share</v>
      </c>
      <c r="C1770" s="639">
        <f t="shared" si="137"/>
        <v>0.78681791475810836</v>
      </c>
      <c r="D1770" s="639">
        <f t="shared" si="137"/>
        <v>1.0829856947890133</v>
      </c>
      <c r="E1770" s="639">
        <f t="shared" si="137"/>
        <v>1.3480806812769894</v>
      </c>
      <c r="F1770" s="639">
        <f t="shared" si="138"/>
        <v>1.2666935568534059</v>
      </c>
      <c r="G1770" s="639">
        <f t="shared" si="138"/>
        <v>1.0717581209284843</v>
      </c>
      <c r="H1770" s="639">
        <f t="shared" ca="1" si="138"/>
        <v>0.75421221284542284</v>
      </c>
      <c r="I1770" s="639">
        <f t="shared" ca="1" si="138"/>
        <v>1.3773996664240225</v>
      </c>
      <c r="K1770" s="53"/>
      <c r="L1770" s="53"/>
      <c r="M1770" s="53"/>
      <c r="N1770" s="53"/>
      <c r="O1770" s="53"/>
      <c r="S1770" s="53"/>
      <c r="T1770" s="53"/>
      <c r="U1770" s="53"/>
      <c r="V1770" s="53"/>
    </row>
    <row r="1771" spans="2:25" ht="15.75">
      <c r="B1771" s="53"/>
      <c r="C1771" s="713"/>
      <c r="D1771" s="713"/>
      <c r="E1771" s="713"/>
      <c r="F1771" s="713"/>
      <c r="G1771" s="53"/>
      <c r="K1771" s="713"/>
      <c r="L1771" s="713"/>
      <c r="M1771" s="713"/>
      <c r="N1771" s="713"/>
      <c r="O1771" s="53"/>
      <c r="S1771" s="713"/>
      <c r="T1771" s="713"/>
      <c r="U1771" s="713"/>
      <c r="V1771" s="713"/>
    </row>
    <row r="1772" spans="2:25" ht="15.75">
      <c r="B1772" s="53"/>
      <c r="C1772" s="1873"/>
      <c r="D1772" s="1873"/>
      <c r="E1772" s="1873"/>
      <c r="F1772" s="1873"/>
      <c r="G1772" s="1873"/>
      <c r="H1772" s="1873"/>
      <c r="I1772" s="1873"/>
      <c r="K1772" s="1873" t="s">
        <v>4278</v>
      </c>
      <c r="L1772" s="1873"/>
      <c r="M1772" s="1873"/>
      <c r="N1772" s="1873"/>
      <c r="O1772" s="1873"/>
      <c r="P1772" s="1873"/>
      <c r="Q1772" s="1873"/>
      <c r="S1772" s="1873" t="s">
        <v>4279</v>
      </c>
      <c r="T1772" s="1873"/>
      <c r="U1772" s="1873"/>
      <c r="V1772" s="1873"/>
      <c r="W1772" s="1873"/>
      <c r="X1772" s="1873"/>
      <c r="Y1772" s="1873"/>
    </row>
    <row r="1773" spans="2:25" ht="15.75">
      <c r="B1773" s="636"/>
      <c r="C1773" s="636">
        <f t="shared" ref="C1773:I1773" si="139">C1765</f>
        <v>2019</v>
      </c>
      <c r="D1773" s="636">
        <f t="shared" si="139"/>
        <v>2020</v>
      </c>
      <c r="E1773" s="636">
        <f t="shared" si="139"/>
        <v>2021</v>
      </c>
      <c r="F1773" s="636">
        <f t="shared" si="139"/>
        <v>2022</v>
      </c>
      <c r="G1773" s="636">
        <f t="shared" si="139"/>
        <v>2023</v>
      </c>
      <c r="H1773" s="636">
        <f t="shared" si="139"/>
        <v>2024</v>
      </c>
      <c r="I1773" s="636">
        <f t="shared" si="139"/>
        <v>2025</v>
      </c>
      <c r="K1773" s="636">
        <f t="shared" ref="K1773:Q1773" si="140">C1773</f>
        <v>2019</v>
      </c>
      <c r="L1773" s="636">
        <f t="shared" si="140"/>
        <v>2020</v>
      </c>
      <c r="M1773" s="636">
        <f t="shared" si="140"/>
        <v>2021</v>
      </c>
      <c r="N1773" s="636">
        <f t="shared" si="140"/>
        <v>2022</v>
      </c>
      <c r="O1773" s="636">
        <f t="shared" si="140"/>
        <v>2023</v>
      </c>
      <c r="P1773" s="636">
        <f t="shared" si="140"/>
        <v>2024</v>
      </c>
      <c r="Q1773" s="636">
        <f t="shared" si="140"/>
        <v>2025</v>
      </c>
      <c r="S1773" s="636">
        <f t="shared" ref="S1773:Y1773" si="141">K1773</f>
        <v>2019</v>
      </c>
      <c r="T1773" s="636">
        <f t="shared" si="141"/>
        <v>2020</v>
      </c>
      <c r="U1773" s="636">
        <f t="shared" si="141"/>
        <v>2021</v>
      </c>
      <c r="V1773" s="636">
        <f t="shared" si="141"/>
        <v>2022</v>
      </c>
      <c r="W1773" s="636">
        <f t="shared" si="141"/>
        <v>2023</v>
      </c>
      <c r="X1773" s="636">
        <f t="shared" si="141"/>
        <v>2024</v>
      </c>
      <c r="Y1773" s="636">
        <f t="shared" si="141"/>
        <v>2025</v>
      </c>
    </row>
    <row r="1774" spans="2:25" ht="15.75">
      <c r="B1774" s="58" t="s">
        <v>3091</v>
      </c>
      <c r="C1774" s="58"/>
      <c r="D1774" s="58"/>
      <c r="E1774" s="58"/>
      <c r="F1774" s="58"/>
      <c r="G1774" s="58"/>
      <c r="H1774" s="58"/>
      <c r="I1774" s="58"/>
      <c r="K1774" s="58"/>
      <c r="L1774" s="58"/>
      <c r="M1774" s="58"/>
      <c r="N1774" s="58"/>
      <c r="O1774" s="58"/>
      <c r="P1774" s="58"/>
      <c r="Q1774" s="58"/>
      <c r="S1774" s="58"/>
      <c r="T1774" s="58"/>
      <c r="U1774" s="58"/>
      <c r="V1774" s="58"/>
      <c r="W1774" s="58"/>
      <c r="X1774" s="58"/>
      <c r="Y1774" s="58"/>
    </row>
    <row r="1775" spans="2:25" ht="15.75">
      <c r="B1775" s="53" t="s">
        <v>4308</v>
      </c>
      <c r="C1775" s="713">
        <f t="shared" ref="C1775:I1775" si="142">C1758</f>
        <v>5.7981903712024909</v>
      </c>
      <c r="D1775" s="713">
        <f t="shared" si="142"/>
        <v>5.5883286775477554</v>
      </c>
      <c r="E1775" s="713">
        <f t="shared" si="142"/>
        <v>5.5938216186998506</v>
      </c>
      <c r="F1775" s="713">
        <f t="shared" si="142"/>
        <v>5.0812222299694794</v>
      </c>
      <c r="G1775" s="713">
        <f t="shared" si="142"/>
        <v>5.5809504912532093</v>
      </c>
      <c r="H1775" s="713">
        <f t="shared" ca="1" si="142"/>
        <v>5.8842971092305278</v>
      </c>
      <c r="I1775" s="713">
        <f t="shared" ca="1" si="142"/>
        <v>4.9695584851357495</v>
      </c>
      <c r="K1775" s="630">
        <f t="shared" ref="K1775:N1777" si="143">K1756</f>
        <v>14377.483090848078</v>
      </c>
      <c r="L1775" s="630">
        <f t="shared" si="143"/>
        <v>15912.639582154938</v>
      </c>
      <c r="M1775" s="630">
        <f t="shared" si="143"/>
        <v>16826.686073461795</v>
      </c>
      <c r="N1775" s="630">
        <f>N1756</f>
        <v>15426.997564768655</v>
      </c>
      <c r="O1775" s="630">
        <f>O1756</f>
        <v>16774.429056075514</v>
      </c>
      <c r="P1775" s="630">
        <f ca="1">P1756</f>
        <v>17191.03424762774</v>
      </c>
      <c r="Q1775" s="630">
        <f ca="1">Q1756</f>
        <v>16868.511997219037</v>
      </c>
      <c r="S1775" s="630">
        <f t="shared" ref="S1775:V1777" si="144">S1756</f>
        <v>19074.945888056405</v>
      </c>
      <c r="T1775" s="630">
        <f t="shared" si="144"/>
        <v>20785.598010564354</v>
      </c>
      <c r="U1775" s="630">
        <f t="shared" si="144"/>
        <v>21866.091180181746</v>
      </c>
      <c r="V1775" s="630">
        <f>V1756</f>
        <v>20622.059445674171</v>
      </c>
      <c r="W1775" s="630">
        <f>W1756</f>
        <v>22109.777810645854</v>
      </c>
      <c r="X1775" s="630">
        <f ca="1">X1756</f>
        <v>22634.27354455935</v>
      </c>
      <c r="Y1775" s="630">
        <f ca="1">Y1756</f>
        <v>22400.353203037994</v>
      </c>
    </row>
    <row r="1776" spans="2:25" ht="15.75">
      <c r="B1776" s="53" t="s">
        <v>4309</v>
      </c>
      <c r="C1776" s="713">
        <f t="shared" ref="C1776:I1776" si="145">K1758</f>
        <v>6.3546413543178168</v>
      </c>
      <c r="D1776" s="713">
        <f t="shared" si="145"/>
        <v>6.0530272521857462</v>
      </c>
      <c r="E1776" s="713">
        <f t="shared" si="145"/>
        <v>6.0156723722250121</v>
      </c>
      <c r="F1776" s="713">
        <f t="shared" si="145"/>
        <v>5.6103709372448893</v>
      </c>
      <c r="G1776" s="713">
        <f t="shared" si="145"/>
        <v>5.9875221234698524</v>
      </c>
      <c r="H1776" s="713">
        <f t="shared" ca="1" si="145"/>
        <v>6.2142693756645944</v>
      </c>
      <c r="I1776" s="713">
        <f t="shared" ca="1" si="145"/>
        <v>5.4615669794890556</v>
      </c>
      <c r="K1776" s="630">
        <f t="shared" si="143"/>
        <v>2262.5168422886595</v>
      </c>
      <c r="L1776" s="630">
        <f t="shared" si="143"/>
        <v>2628.8729455841931</v>
      </c>
      <c r="M1776" s="630">
        <f t="shared" si="143"/>
        <v>2797.1413721186618</v>
      </c>
      <c r="N1776" s="630">
        <f t="shared" si="143"/>
        <v>2749.7286253134025</v>
      </c>
      <c r="O1776" s="630">
        <f t="shared" ref="O1776:Q1777" si="146">O1757</f>
        <v>2801.5644385384749</v>
      </c>
      <c r="P1776" s="630">
        <f t="shared" si="146"/>
        <v>2766.380600581741</v>
      </c>
      <c r="Q1776" s="630">
        <f t="shared" si="146"/>
        <v>3088.584660880078</v>
      </c>
      <c r="S1776" s="630">
        <f t="shared" si="144"/>
        <v>2785.7645828298746</v>
      </c>
      <c r="T1776" s="630">
        <f t="shared" si="144"/>
        <v>3189.0966503519303</v>
      </c>
      <c r="U1776" s="630">
        <f t="shared" si="144"/>
        <v>3396.6771046525209</v>
      </c>
      <c r="V1776" s="630">
        <f t="shared" si="144"/>
        <v>3399.0314930885347</v>
      </c>
      <c r="W1776" s="630">
        <f t="shared" ref="W1776:Y1777" si="147">W1757</f>
        <v>3498.6597577283583</v>
      </c>
      <c r="X1776" s="630">
        <f t="shared" si="147"/>
        <v>3515.3136775170797</v>
      </c>
      <c r="Y1776" s="630">
        <f t="shared" si="147"/>
        <v>3895.8656563526019</v>
      </c>
    </row>
    <row r="1777" spans="2:25" ht="15.75">
      <c r="B1777" s="53" t="s">
        <v>4310</v>
      </c>
      <c r="C1777" s="713">
        <f t="shared" ref="C1777:I1777" si="148">S1758</f>
        <v>6.8472928421968184</v>
      </c>
      <c r="D1777" s="713">
        <f t="shared" si="148"/>
        <v>6.5177071407574223</v>
      </c>
      <c r="E1777" s="713">
        <f t="shared" si="148"/>
        <v>6.4374947946129959</v>
      </c>
      <c r="F1777" s="713">
        <f t="shared" si="148"/>
        <v>6.0670398281411355</v>
      </c>
      <c r="G1777" s="713">
        <f t="shared" si="148"/>
        <v>6.3194992773465604</v>
      </c>
      <c r="H1777" s="713">
        <f t="shared" ca="1" si="148"/>
        <v>6.4387635417349971</v>
      </c>
      <c r="I1777" s="713">
        <f t="shared" ca="1" si="148"/>
        <v>5.7497755772229873</v>
      </c>
      <c r="K1777" s="713">
        <f t="shared" si="143"/>
        <v>6.3546413543178168</v>
      </c>
      <c r="L1777" s="713">
        <f t="shared" si="143"/>
        <v>6.0530272521857462</v>
      </c>
      <c r="M1777" s="713">
        <f t="shared" si="143"/>
        <v>6.0156723722250121</v>
      </c>
      <c r="N1777" s="713">
        <f>N1758</f>
        <v>5.6103709372448893</v>
      </c>
      <c r="O1777" s="713">
        <f t="shared" si="146"/>
        <v>5.9875221234698524</v>
      </c>
      <c r="P1777" s="713">
        <f t="shared" ca="1" si="146"/>
        <v>6.2142693756645944</v>
      </c>
      <c r="Q1777" s="713">
        <f t="shared" ca="1" si="146"/>
        <v>5.4615669794890556</v>
      </c>
      <c r="S1777" s="713">
        <f t="shared" si="144"/>
        <v>6.8472928421968184</v>
      </c>
      <c r="T1777" s="713">
        <f t="shared" si="144"/>
        <v>6.5177071407574223</v>
      </c>
      <c r="U1777" s="713">
        <f t="shared" si="144"/>
        <v>6.4374947946129959</v>
      </c>
      <c r="V1777" s="713">
        <f>V1758</f>
        <v>6.0670398281411355</v>
      </c>
      <c r="W1777" s="713">
        <f t="shared" si="147"/>
        <v>6.3194992773465604</v>
      </c>
      <c r="X1777" s="713">
        <f t="shared" ca="1" si="147"/>
        <v>6.4387635417349971</v>
      </c>
      <c r="Y1777" s="713">
        <f t="shared" ca="1" si="147"/>
        <v>5.7497755772229873</v>
      </c>
    </row>
    <row r="1778" spans="2:25" ht="15.75">
      <c r="B1778" s="58" t="s">
        <v>4312</v>
      </c>
      <c r="K1778" s="713"/>
      <c r="L1778" s="713"/>
      <c r="M1778" s="713"/>
      <c r="N1778" s="713"/>
      <c r="O1778" s="713"/>
      <c r="P1778" s="713"/>
      <c r="Q1778" s="713"/>
      <c r="S1778" s="713"/>
      <c r="T1778" s="713"/>
      <c r="U1778" s="713"/>
      <c r="V1778" s="713"/>
      <c r="W1778" s="713"/>
      <c r="X1778" s="713"/>
      <c r="Y1778" s="713"/>
    </row>
    <row r="1779" spans="2:25" ht="15.75">
      <c r="B1779" s="53" t="str">
        <f>B1775</f>
        <v>LiLAC - MEGA</v>
      </c>
      <c r="C1779" s="639">
        <f t="shared" ref="C1779:I1779" si="149">C1760</f>
        <v>0.21422010695534655</v>
      </c>
      <c r="D1779" s="639">
        <f t="shared" si="149"/>
        <v>0.5789002227921779</v>
      </c>
      <c r="E1779" s="639">
        <f t="shared" si="149"/>
        <v>0.93948485140871374</v>
      </c>
      <c r="F1779" s="639">
        <f t="shared" si="149"/>
        <v>0.97278477324888069</v>
      </c>
      <c r="G1779" s="639">
        <f t="shared" si="149"/>
        <v>0.92629330587420333</v>
      </c>
      <c r="H1779" s="639">
        <f t="shared" ca="1" si="149"/>
        <v>0.85270716407889091</v>
      </c>
      <c r="I1779" s="639">
        <f t="shared" ca="1" si="149"/>
        <v>1.6573267565656153</v>
      </c>
      <c r="K1779" s="630">
        <f t="shared" ref="K1779:M1781" si="150">K1759</f>
        <v>-62.594689588646247</v>
      </c>
      <c r="L1779" s="630">
        <f t="shared" si="150"/>
        <v>58.276756837470657</v>
      </c>
      <c r="M1779" s="630">
        <f t="shared" si="150"/>
        <v>161.36954233166318</v>
      </c>
      <c r="N1779" s="630">
        <f t="shared" ref="N1779:Q1781" si="151">N1759</f>
        <v>228.94507172703777</v>
      </c>
      <c r="O1779" s="630">
        <f t="shared" si="151"/>
        <v>265.88789818343685</v>
      </c>
      <c r="P1779" s="630">
        <f t="shared" ca="1" si="151"/>
        <v>243.5606382600638</v>
      </c>
      <c r="Q1779" s="630">
        <f t="shared" ca="1" si="151"/>
        <v>394.30157642304096</v>
      </c>
      <c r="S1779" s="630">
        <f t="shared" ref="S1779:U1781" si="152">S1759</f>
        <v>-166.22515863821349</v>
      </c>
      <c r="T1779" s="630">
        <f t="shared" si="152"/>
        <v>-32.954144140932613</v>
      </c>
      <c r="U1779" s="630">
        <f t="shared" si="152"/>
        <v>135.04903664339253</v>
      </c>
      <c r="V1779" s="630">
        <f t="shared" ref="V1779:Y1781" si="153">V1759</f>
        <v>250.52302757497523</v>
      </c>
      <c r="W1779" s="630">
        <f t="shared" si="153"/>
        <v>344.64235214291739</v>
      </c>
      <c r="X1779" s="630">
        <f t="shared" ca="1" si="153"/>
        <v>429.83380699666543</v>
      </c>
      <c r="Y1779" s="630">
        <f t="shared" ca="1" si="153"/>
        <v>622.24115146584143</v>
      </c>
    </row>
    <row r="1780" spans="2:25" ht="15.75">
      <c r="B1780" s="53" t="str">
        <f>B1776</f>
        <v>LiLAC - TV Cable</v>
      </c>
      <c r="C1780" s="639">
        <f t="shared" ref="C1780:I1780" si="154">K1760</f>
        <v>-0.34585949834319379</v>
      </c>
      <c r="D1780" s="639">
        <f t="shared" si="154"/>
        <v>0.32200127546493679</v>
      </c>
      <c r="E1780" s="639">
        <f t="shared" si="154"/>
        <v>0.89162817685452878</v>
      </c>
      <c r="F1780" s="639">
        <f t="shared" si="154"/>
        <v>1.2650087120173594</v>
      </c>
      <c r="G1780" s="639">
        <f t="shared" si="154"/>
        <v>1.4691318973795153</v>
      </c>
      <c r="H1780" s="639">
        <f t="shared" ca="1" si="154"/>
        <v>1.345765283259001</v>
      </c>
      <c r="I1780" s="639">
        <f t="shared" ca="1" si="154"/>
        <v>2.1786663743171508</v>
      </c>
      <c r="K1780" s="639">
        <f t="shared" si="150"/>
        <v>-0.34585949834319379</v>
      </c>
      <c r="L1780" s="639">
        <f t="shared" si="150"/>
        <v>0.32200127546493679</v>
      </c>
      <c r="M1780" s="639">
        <f t="shared" si="150"/>
        <v>0.89162817685452878</v>
      </c>
      <c r="N1780" s="639">
        <f t="shared" si="151"/>
        <v>1.2650087120173594</v>
      </c>
      <c r="O1780" s="639">
        <f t="shared" si="151"/>
        <v>1.4691318973795153</v>
      </c>
      <c r="P1780" s="639">
        <f t="shared" ca="1" si="151"/>
        <v>1.345765283259001</v>
      </c>
      <c r="Q1780" s="639">
        <f t="shared" ca="1" si="151"/>
        <v>2.1786663743171508</v>
      </c>
      <c r="S1780" s="639">
        <f t="shared" si="152"/>
        <v>-0.91845730614595555</v>
      </c>
      <c r="T1780" s="639">
        <f t="shared" si="152"/>
        <v>-0.18208419653189864</v>
      </c>
      <c r="U1780" s="639">
        <f t="shared" si="152"/>
        <v>0.74619735910772023</v>
      </c>
      <c r="V1780" s="639">
        <f t="shared" si="153"/>
        <v>1.3842351357584703</v>
      </c>
      <c r="W1780" s="639">
        <f t="shared" si="153"/>
        <v>1.9042802481057193</v>
      </c>
      <c r="X1780" s="639">
        <f t="shared" ca="1" si="153"/>
        <v>2.3749954802200506</v>
      </c>
      <c r="Y1780" s="639">
        <f t="shared" ca="1" si="153"/>
        <v>3.4381193342238854</v>
      </c>
    </row>
    <row r="1781" spans="2:25" ht="15.75">
      <c r="B1781" s="53" t="s">
        <v>4313</v>
      </c>
      <c r="C1781" s="639">
        <f t="shared" ref="C1781:I1781" si="155">S1760</f>
        <v>-0.91845730614595555</v>
      </c>
      <c r="D1781" s="639">
        <f t="shared" si="155"/>
        <v>-0.18208419653189864</v>
      </c>
      <c r="E1781" s="639">
        <f t="shared" si="155"/>
        <v>0.74619735910772023</v>
      </c>
      <c r="F1781" s="639">
        <f t="shared" si="155"/>
        <v>1.3842351357584703</v>
      </c>
      <c r="G1781" s="639">
        <f t="shared" si="155"/>
        <v>1.9042802481057193</v>
      </c>
      <c r="H1781" s="639">
        <f t="shared" ca="1" si="155"/>
        <v>2.3749954802200506</v>
      </c>
      <c r="I1781" s="639">
        <f t="shared" ca="1" si="155"/>
        <v>3.4381193342238854</v>
      </c>
      <c r="K1781" s="54">
        <f t="shared" si="150"/>
        <v>-1.4395673914586979</v>
      </c>
      <c r="L1781" s="54">
        <f t="shared" si="150"/>
        <v>-0.7026726419247219</v>
      </c>
      <c r="M1781" s="54">
        <f t="shared" si="150"/>
        <v>-0.33859435177876684</v>
      </c>
      <c r="N1781" s="54">
        <f t="shared" si="151"/>
        <v>-1.3301124229539996E-3</v>
      </c>
      <c r="O1781" s="54">
        <f t="shared" si="151"/>
        <v>0.37076815065957103</v>
      </c>
      <c r="P1781" s="54">
        <f t="shared" ca="1" si="151"/>
        <v>0.78433239390518605</v>
      </c>
      <c r="Q1781" s="54">
        <f t="shared" ca="1" si="151"/>
        <v>0.5817241919140006</v>
      </c>
      <c r="S1781" s="54">
        <f t="shared" si="152"/>
        <v>-2.1673060423748955</v>
      </c>
      <c r="T1781" s="54">
        <f t="shared" si="152"/>
        <v>-1.1681316728448312</v>
      </c>
      <c r="U1781" s="54">
        <f t="shared" si="152"/>
        <v>-0.44647425820176156</v>
      </c>
      <c r="V1781" s="54">
        <f t="shared" si="153"/>
        <v>9.2794013413196375E-2</v>
      </c>
      <c r="W1781" s="54">
        <f t="shared" si="153"/>
        <v>0.7767817298701738</v>
      </c>
      <c r="X1781" s="54">
        <f t="shared" ca="1" si="153"/>
        <v>2.1489751024580799</v>
      </c>
      <c r="Y1781" s="54">
        <f t="shared" ca="1" si="153"/>
        <v>1.4960942114570583</v>
      </c>
    </row>
    <row r="1782" spans="2:25" ht="15.75">
      <c r="B1782" s="58" t="s">
        <v>4311</v>
      </c>
      <c r="C1782" s="639"/>
      <c r="D1782" s="639"/>
      <c r="E1782" s="639"/>
      <c r="F1782" s="639"/>
      <c r="G1782" s="639"/>
      <c r="H1782" s="639"/>
      <c r="I1782" s="639"/>
      <c r="K1782" s="54"/>
      <c r="L1782" s="54"/>
      <c r="M1782" s="54"/>
      <c r="N1782" s="54"/>
      <c r="O1782" s="54"/>
      <c r="P1782" s="54"/>
      <c r="Q1782" s="54"/>
      <c r="S1782" s="54"/>
      <c r="T1782" s="54"/>
      <c r="U1782" s="54"/>
      <c r="V1782" s="54"/>
      <c r="W1782" s="54"/>
      <c r="X1782" s="54"/>
      <c r="Y1782" s="54"/>
    </row>
    <row r="1783" spans="2:25" ht="15.75">
      <c r="B1783" s="53" t="str">
        <f>B1779</f>
        <v>LiLAC - MEGA</v>
      </c>
      <c r="C1783" s="54">
        <f t="shared" ref="C1783:I1783" si="156">C1761</f>
        <v>-0.72773865091619794</v>
      </c>
      <c r="D1783" s="54">
        <f t="shared" si="156"/>
        <v>-0.46545903092010932</v>
      </c>
      <c r="E1783" s="54">
        <f t="shared" si="156"/>
        <v>-0.30309449244627351</v>
      </c>
      <c r="F1783" s="54">
        <f t="shared" si="156"/>
        <v>-0.23202832446280386</v>
      </c>
      <c r="G1783" s="54">
        <f t="shared" si="156"/>
        <v>-0.13572541435773033</v>
      </c>
      <c r="H1783" s="54">
        <f t="shared" ca="1" si="156"/>
        <v>0.13059315343340216</v>
      </c>
      <c r="I1783" s="54">
        <f t="shared" ca="1" si="156"/>
        <v>0.20322866119775829</v>
      </c>
      <c r="K1783" s="54"/>
      <c r="L1783" s="54"/>
      <c r="M1783" s="54"/>
      <c r="N1783" s="54"/>
      <c r="O1783" s="54"/>
      <c r="P1783" s="54"/>
      <c r="Q1783" s="54"/>
      <c r="S1783" s="54"/>
      <c r="T1783" s="54"/>
      <c r="U1783" s="54"/>
      <c r="V1783" s="54"/>
      <c r="W1783" s="54"/>
      <c r="X1783" s="54"/>
      <c r="Y1783" s="54"/>
    </row>
    <row r="1784" spans="2:25" ht="15.75">
      <c r="B1784" s="53" t="str">
        <f>B1780</f>
        <v>LiLAC - TV Cable</v>
      </c>
      <c r="C1784" s="54">
        <f t="shared" ref="C1784:I1784" si="157">K1761</f>
        <v>-1.4395673914586979</v>
      </c>
      <c r="D1784" s="54">
        <f t="shared" si="157"/>
        <v>-0.7026726419247219</v>
      </c>
      <c r="E1784" s="54">
        <f t="shared" si="157"/>
        <v>-0.33859435177876684</v>
      </c>
      <c r="F1784" s="54">
        <f t="shared" si="157"/>
        <v>-1.3301124229539996E-3</v>
      </c>
      <c r="G1784" s="54">
        <f t="shared" si="157"/>
        <v>0.37076815065957103</v>
      </c>
      <c r="H1784" s="54">
        <f t="shared" ca="1" si="157"/>
        <v>0.78433239390518605</v>
      </c>
      <c r="I1784" s="54">
        <f t="shared" ca="1" si="157"/>
        <v>0.5817241919140006</v>
      </c>
      <c r="K1784" s="54"/>
      <c r="L1784" s="54"/>
      <c r="M1784" s="54"/>
      <c r="N1784" s="54"/>
      <c r="O1784" s="54"/>
      <c r="P1784" s="54"/>
      <c r="Q1784" s="54"/>
      <c r="S1784" s="54"/>
      <c r="T1784" s="54"/>
      <c r="U1784" s="54"/>
      <c r="V1784" s="54"/>
      <c r="W1784" s="54"/>
      <c r="X1784" s="54"/>
      <c r="Y1784" s="54"/>
    </row>
    <row r="1785" spans="2:25" ht="15.75">
      <c r="B1785" s="53" t="str">
        <f>B1781</f>
        <v>LiLAC - MEGA / TV Cable post-synergies</v>
      </c>
      <c r="C1785" s="54">
        <f t="shared" ref="C1785:I1785" si="158">S1761</f>
        <v>-2.1673060423748955</v>
      </c>
      <c r="D1785" s="54">
        <f t="shared" si="158"/>
        <v>-1.1681316728448312</v>
      </c>
      <c r="E1785" s="54">
        <f t="shared" si="158"/>
        <v>-0.44647425820176156</v>
      </c>
      <c r="F1785" s="54">
        <f t="shared" si="158"/>
        <v>9.2794013413196375E-2</v>
      </c>
      <c r="G1785" s="54">
        <f t="shared" si="158"/>
        <v>0.7767817298701738</v>
      </c>
      <c r="H1785" s="54">
        <f t="shared" ca="1" si="158"/>
        <v>2.1489751024580799</v>
      </c>
      <c r="I1785" s="54">
        <f t="shared" ca="1" si="158"/>
        <v>1.4960942114570583</v>
      </c>
      <c r="J1785" s="53"/>
      <c r="K1785" s="53"/>
      <c r="L1785" s="53"/>
      <c r="M1785" s="53"/>
      <c r="N1785" s="53"/>
      <c r="O1785" s="53"/>
      <c r="S1785" s="53"/>
      <c r="T1785" s="53"/>
    </row>
    <row r="1786" spans="2:25" ht="15.75">
      <c r="B1786" s="53"/>
      <c r="C1786" s="53"/>
      <c r="D1786" s="53"/>
      <c r="E1786" s="53"/>
      <c r="F1786" s="53"/>
      <c r="G1786" s="53"/>
      <c r="H1786" s="53"/>
      <c r="I1786" s="53"/>
      <c r="J1786" s="53"/>
      <c r="K1786" s="53"/>
      <c r="L1786" s="53"/>
      <c r="M1786" s="53"/>
      <c r="N1786" s="53"/>
      <c r="O1786" s="53"/>
      <c r="S1786" s="53"/>
      <c r="T1786" s="53"/>
    </row>
    <row r="1787" spans="2:25" ht="15.75">
      <c r="B1787" s="976" t="s">
        <v>4506</v>
      </c>
      <c r="C1787" s="53"/>
      <c r="D1787" s="53"/>
      <c r="E1787" s="53"/>
      <c r="F1787" s="53"/>
      <c r="G1787" s="53"/>
      <c r="H1787" s="53"/>
      <c r="I1787" s="53"/>
      <c r="J1787" s="53"/>
      <c r="K1787" s="53"/>
      <c r="L1787" s="53"/>
      <c r="M1787" s="53"/>
      <c r="N1787" s="53"/>
      <c r="O1787" s="53"/>
      <c r="S1787" s="53"/>
      <c r="T1787" s="53"/>
    </row>
    <row r="1788" spans="2:25" ht="15.75">
      <c r="B1788" s="53"/>
      <c r="C1788" s="53"/>
      <c r="D1788" s="53"/>
      <c r="E1788" s="53"/>
      <c r="F1788" s="53"/>
      <c r="G1788" s="53"/>
      <c r="H1788" s="53"/>
      <c r="I1788" s="53"/>
      <c r="J1788" s="53"/>
      <c r="K1788" s="53"/>
      <c r="L1788" s="53"/>
      <c r="M1788" s="53"/>
      <c r="N1788" s="53"/>
      <c r="O1788" s="53"/>
      <c r="S1788" s="53"/>
      <c r="T1788" s="53"/>
    </row>
    <row r="1789" spans="2:25" ht="15.75">
      <c r="B1789" s="948" t="s">
        <v>4180</v>
      </c>
      <c r="C1789" s="948">
        <v>2018</v>
      </c>
      <c r="D1789" s="948">
        <v>2019</v>
      </c>
      <c r="E1789" s="948">
        <v>2020</v>
      </c>
      <c r="F1789" s="948">
        <v>2021</v>
      </c>
      <c r="G1789" s="948">
        <v>2022</v>
      </c>
      <c r="H1789" s="948">
        <v>2023</v>
      </c>
      <c r="I1789" s="948">
        <v>2024</v>
      </c>
      <c r="J1789" s="53"/>
      <c r="K1789" s="53"/>
      <c r="L1789" s="53"/>
      <c r="M1789" s="53"/>
      <c r="N1789" s="53"/>
      <c r="O1789" s="53"/>
      <c r="S1789" s="53"/>
      <c r="T1789" s="53"/>
    </row>
    <row r="1790" spans="2:25" ht="15.75">
      <c r="B1790" s="53" t="s">
        <v>653</v>
      </c>
      <c r="C1790" s="53"/>
      <c r="D1790" s="630">
        <v>4944.0400919341018</v>
      </c>
      <c r="E1790" s="630">
        <v>5009.3158623419604</v>
      </c>
      <c r="F1790" s="630">
        <v>5107.7097856420669</v>
      </c>
      <c r="G1790" s="630">
        <v>5233.0393832527398</v>
      </c>
      <c r="H1790" s="630">
        <v>5390.6341698152055</v>
      </c>
      <c r="I1790" s="630">
        <v>5533.7044624770597</v>
      </c>
      <c r="J1790" s="53"/>
      <c r="K1790" s="53"/>
      <c r="L1790" s="53"/>
      <c r="M1790" s="53"/>
      <c r="N1790" s="53"/>
      <c r="O1790" s="53"/>
      <c r="S1790" s="53"/>
      <c r="T1790" s="53"/>
    </row>
    <row r="1791" spans="2:25" ht="15.75">
      <c r="B1791" s="53" t="s">
        <v>4181</v>
      </c>
      <c r="C1791" s="53"/>
      <c r="D1791" s="630">
        <v>-2875.4721670390936</v>
      </c>
      <c r="E1791" s="630">
        <v>-2757.7370928983037</v>
      </c>
      <c r="F1791" s="630">
        <v>-2701.5227783076621</v>
      </c>
      <c r="G1791" s="630">
        <v>-2716.401407292039</v>
      </c>
      <c r="H1791" s="630">
        <v>-2736.8653690579076</v>
      </c>
      <c r="I1791" s="630">
        <v>-2448.0307489320139</v>
      </c>
      <c r="J1791" s="53"/>
      <c r="K1791" s="53"/>
      <c r="L1791" s="53"/>
      <c r="M1791" s="53"/>
      <c r="N1791" s="53"/>
      <c r="O1791" s="53"/>
      <c r="S1791" s="53"/>
      <c r="T1791" s="53"/>
    </row>
    <row r="1792" spans="2:25" ht="15.75">
      <c r="B1792" s="53" t="s">
        <v>192</v>
      </c>
      <c r="C1792" s="630"/>
      <c r="D1792" s="630">
        <v>-786.4429241370533</v>
      </c>
      <c r="E1792" s="630">
        <v>-966.6105975750063</v>
      </c>
      <c r="F1792" s="630">
        <v>-1161.3557702156838</v>
      </c>
      <c r="G1792" s="630">
        <v>-1191.8266932067236</v>
      </c>
      <c r="H1792" s="630">
        <v>-1221.7794858463583</v>
      </c>
      <c r="I1792" s="630">
        <v>-1247.5995414919305</v>
      </c>
      <c r="J1792" s="53"/>
      <c r="K1792" s="53"/>
      <c r="L1792" s="53"/>
      <c r="M1792" s="53"/>
      <c r="N1792" s="53"/>
      <c r="O1792" s="53"/>
      <c r="S1792" s="53"/>
      <c r="T1792" s="53"/>
    </row>
    <row r="1793" spans="2:20" ht="15.75">
      <c r="B1793" s="53" t="s">
        <v>4182</v>
      </c>
      <c r="C1793" s="630"/>
      <c r="D1793" s="630">
        <v>0</v>
      </c>
      <c r="E1793" s="630">
        <v>0</v>
      </c>
      <c r="F1793" s="630">
        <v>0</v>
      </c>
      <c r="G1793" s="630">
        <v>0</v>
      </c>
      <c r="H1793" s="630">
        <v>0</v>
      </c>
      <c r="I1793" s="630">
        <v>0</v>
      </c>
      <c r="J1793" s="53"/>
      <c r="K1793" s="53"/>
      <c r="L1793" s="53"/>
      <c r="M1793" s="53"/>
      <c r="N1793" s="53"/>
      <c r="O1793" s="53"/>
      <c r="S1793" s="53"/>
      <c r="T1793" s="53"/>
    </row>
    <row r="1794" spans="2:20" ht="15.75">
      <c r="B1794" s="53" t="s">
        <v>4183</v>
      </c>
      <c r="C1794" s="630"/>
      <c r="D1794" s="630">
        <v>218.26985276649205</v>
      </c>
      <c r="E1794" s="630">
        <v>120.77969160801227</v>
      </c>
      <c r="F1794" s="630">
        <v>223.66627648853773</v>
      </c>
      <c r="G1794" s="630">
        <v>146.31669159234002</v>
      </c>
      <c r="H1794" s="630">
        <v>226.39247424337935</v>
      </c>
      <c r="I1794" s="630">
        <v>153.42337461646201</v>
      </c>
      <c r="J1794" s="53"/>
      <c r="K1794" s="53"/>
      <c r="L1794" s="53"/>
      <c r="M1794" s="53"/>
      <c r="N1794" s="53"/>
      <c r="O1794" s="53"/>
      <c r="S1794" s="53"/>
      <c r="T1794" s="53"/>
    </row>
    <row r="1795" spans="2:20" ht="15.75">
      <c r="B1795" s="53" t="s">
        <v>4184</v>
      </c>
      <c r="C1795" s="630"/>
      <c r="D1795" s="630">
        <v>-72.028618200000025</v>
      </c>
      <c r="E1795" s="630">
        <v>-184.8625453814052</v>
      </c>
      <c r="F1795" s="630">
        <v>-110.70025762448033</v>
      </c>
      <c r="G1795" s="630">
        <v>-108.83648895315282</v>
      </c>
      <c r="H1795" s="630">
        <v>-159.74774392024923</v>
      </c>
      <c r="I1795" s="630">
        <v>-265.3666725509255</v>
      </c>
      <c r="J1795" s="53"/>
      <c r="K1795" s="53"/>
      <c r="L1795" s="53"/>
      <c r="M1795" s="53"/>
      <c r="N1795" s="53"/>
      <c r="O1795" s="53"/>
      <c r="S1795" s="53"/>
      <c r="T1795" s="53"/>
    </row>
    <row r="1796" spans="2:20" ht="15.75">
      <c r="B1796" s="53" t="s">
        <v>4185</v>
      </c>
      <c r="C1796" s="630"/>
      <c r="D1796" s="630">
        <v>161.54648878500001</v>
      </c>
      <c r="E1796" s="630">
        <v>152.741105</v>
      </c>
      <c r="F1796" s="630">
        <v>146.63610500000001</v>
      </c>
      <c r="G1796" s="630">
        <v>140.531105</v>
      </c>
      <c r="H1796" s="630">
        <v>134.42610500000001</v>
      </c>
      <c r="I1796" s="630">
        <v>128.32110500000002</v>
      </c>
      <c r="J1796" s="53"/>
      <c r="K1796" s="53"/>
      <c r="L1796" s="53"/>
      <c r="M1796" s="53"/>
      <c r="N1796" s="53"/>
      <c r="O1796" s="53"/>
      <c r="S1796" s="53"/>
      <c r="T1796" s="53"/>
    </row>
    <row r="1797" spans="2:20" ht="15.75">
      <c r="B1797" s="53" t="s">
        <v>4186</v>
      </c>
      <c r="C1797" s="630"/>
      <c r="D1797" s="630">
        <v>-200</v>
      </c>
      <c r="E1797" s="630">
        <v>-200</v>
      </c>
      <c r="F1797" s="630">
        <v>-200</v>
      </c>
      <c r="G1797" s="630">
        <v>-200</v>
      </c>
      <c r="H1797" s="630">
        <v>-200</v>
      </c>
      <c r="I1797" s="630">
        <v>-200</v>
      </c>
      <c r="J1797" s="53"/>
      <c r="K1797" s="53"/>
      <c r="L1797" s="53"/>
      <c r="M1797" s="53"/>
      <c r="N1797" s="53"/>
      <c r="O1797" s="53"/>
      <c r="S1797" s="53"/>
      <c r="T1797" s="53"/>
    </row>
    <row r="1798" spans="2:20" ht="15.75">
      <c r="B1798" s="53" t="s">
        <v>4187</v>
      </c>
      <c r="C1798" s="630"/>
      <c r="D1798" s="630">
        <v>-307.76655559277566</v>
      </c>
      <c r="E1798" s="630">
        <v>-301.5449370850917</v>
      </c>
      <c r="F1798" s="630">
        <v>-285.76596934232015</v>
      </c>
      <c r="G1798" s="630">
        <v>-295.41724694273194</v>
      </c>
      <c r="H1798" s="630">
        <v>-312.18480354136665</v>
      </c>
      <c r="I1798" s="630">
        <v>-404.39824038811668</v>
      </c>
      <c r="J1798" s="53"/>
      <c r="K1798" s="53"/>
      <c r="L1798" s="53"/>
      <c r="M1798" s="53"/>
      <c r="N1798" s="53"/>
      <c r="O1798" s="53"/>
      <c r="S1798" s="53"/>
      <c r="T1798" s="53"/>
    </row>
    <row r="1799" spans="2:20" ht="15.75">
      <c r="B1799" s="53" t="s">
        <v>4188</v>
      </c>
      <c r="C1799" s="630"/>
      <c r="D1799" s="630">
        <v>-3200</v>
      </c>
      <c r="E1799" s="630"/>
      <c r="F1799" s="630"/>
      <c r="G1799" s="630"/>
      <c r="H1799" s="630"/>
      <c r="I1799" s="630"/>
      <c r="J1799" s="53"/>
      <c r="K1799" s="53"/>
      <c r="L1799" s="630">
        <v>-8000</v>
      </c>
      <c r="M1799" s="630">
        <v>-4250</v>
      </c>
      <c r="N1799" s="630" t="s">
        <v>4321</v>
      </c>
      <c r="O1799" s="630"/>
      <c r="P1799" s="630"/>
      <c r="Q1799" s="630"/>
      <c r="S1799" s="53"/>
      <c r="T1799" s="53"/>
    </row>
    <row r="1800" spans="2:20" ht="15.75">
      <c r="B1800" s="53" t="s">
        <v>4494</v>
      </c>
      <c r="C1800" s="630"/>
      <c r="D1800" s="630">
        <v>126</v>
      </c>
      <c r="E1800" s="630"/>
      <c r="F1800" s="630"/>
      <c r="G1800" s="630"/>
      <c r="H1800" s="630"/>
      <c r="I1800" s="630"/>
      <c r="J1800" s="53"/>
      <c r="K1800" s="53"/>
      <c r="L1800" s="630">
        <v>-8000</v>
      </c>
      <c r="M1800" s="630">
        <v>-2650</v>
      </c>
      <c r="N1800" s="630" t="s">
        <v>4320</v>
      </c>
      <c r="O1800" s="53"/>
      <c r="S1800" s="53"/>
      <c r="T1800" s="53"/>
    </row>
    <row r="1801" spans="2:20" ht="15.75">
      <c r="B1801" s="53" t="s">
        <v>4189</v>
      </c>
      <c r="C1801" s="630"/>
      <c r="D1801" s="630">
        <v>20807</v>
      </c>
      <c r="E1801" s="630"/>
      <c r="F1801" s="630"/>
      <c r="G1801" s="630"/>
      <c r="H1801" s="630"/>
      <c r="I1801" s="630"/>
      <c r="J1801" s="53"/>
      <c r="K1801" s="53"/>
      <c r="L1801" s="53"/>
      <c r="M1801" s="53"/>
      <c r="N1801" s="53"/>
      <c r="O1801" s="53"/>
      <c r="S1801" s="53"/>
      <c r="T1801" s="53"/>
    </row>
    <row r="1802" spans="2:20" ht="15.75">
      <c r="B1802" s="53" t="s">
        <v>4190</v>
      </c>
      <c r="C1802" s="630"/>
      <c r="D1802" s="630"/>
      <c r="E1802" s="630"/>
      <c r="F1802" s="630"/>
      <c r="G1802" s="630"/>
      <c r="H1802" s="630"/>
      <c r="I1802" s="630"/>
      <c r="J1802" s="53"/>
      <c r="K1802" s="53"/>
      <c r="L1802" s="53"/>
      <c r="M1802" s="53"/>
      <c r="N1802" s="53"/>
      <c r="O1802" s="53"/>
      <c r="S1802" s="53"/>
      <c r="T1802" s="53"/>
    </row>
    <row r="1803" spans="2:20" ht="15.75">
      <c r="B1803" s="53" t="s">
        <v>4191</v>
      </c>
      <c r="C1803" s="630"/>
      <c r="D1803" s="632">
        <v>205</v>
      </c>
      <c r="E1803" s="632"/>
      <c r="F1803" s="632"/>
      <c r="G1803" s="632"/>
      <c r="H1803" s="632"/>
      <c r="I1803" s="632"/>
      <c r="J1803" s="53"/>
      <c r="K1803" s="53"/>
      <c r="L1803" s="53"/>
      <c r="M1803" s="53"/>
      <c r="N1803" s="53"/>
      <c r="O1803" s="53"/>
      <c r="S1803" s="53"/>
      <c r="T1803" s="53"/>
    </row>
    <row r="1804" spans="2:20" ht="15.75">
      <c r="B1804" s="58" t="s">
        <v>116</v>
      </c>
      <c r="C1804" s="718"/>
      <c r="D1804" s="718">
        <f>SUM(D1790:D1803)</f>
        <v>19020.146168516672</v>
      </c>
      <c r="E1804" s="1006">
        <v>956.34119412980363</v>
      </c>
      <c r="F1804" s="1006">
        <v>991.30264950401693</v>
      </c>
      <c r="G1804" s="1006">
        <v>1495.262536156752</v>
      </c>
      <c r="H1804" s="1006">
        <v>1726.2501723138753</v>
      </c>
      <c r="I1804" s="1006">
        <v>2016.14259122167</v>
      </c>
      <c r="J1804" s="53"/>
      <c r="K1804" s="53"/>
      <c r="L1804" s="53"/>
      <c r="M1804" s="53"/>
      <c r="N1804" s="53"/>
      <c r="O1804" s="53"/>
      <c r="S1804" s="53"/>
      <c r="T1804" s="53"/>
    </row>
    <row r="1805" spans="2:20" ht="15.75">
      <c r="B1805" s="53"/>
      <c r="C1805" s="630"/>
      <c r="D1805" s="630"/>
      <c r="E1805" s="630"/>
      <c r="F1805" s="630"/>
      <c r="G1805" s="630"/>
      <c r="H1805" s="630"/>
      <c r="I1805" s="630"/>
      <c r="J1805" s="53"/>
      <c r="K1805" s="53"/>
      <c r="L1805" s="53"/>
      <c r="M1805" s="53"/>
      <c r="N1805" s="53"/>
      <c r="O1805" s="53"/>
      <c r="S1805" s="53"/>
      <c r="T1805" s="53"/>
    </row>
    <row r="1806" spans="2:20" ht="15.75">
      <c r="B1806" s="53" t="s">
        <v>115</v>
      </c>
      <c r="C1806" s="630">
        <v>35625.599999999999</v>
      </c>
      <c r="D1806" s="764">
        <v>16805</v>
      </c>
      <c r="E1806" s="630">
        <f>D1806-E1804</f>
        <v>15848.658805870196</v>
      </c>
      <c r="F1806" s="630">
        <f>E1806-F1804</f>
        <v>14857.356156366179</v>
      </c>
      <c r="G1806" s="630">
        <f>F1806-G1804</f>
        <v>13362.093620209427</v>
      </c>
      <c r="H1806" s="630">
        <f>G1806-H1804</f>
        <v>11635.843447895551</v>
      </c>
      <c r="I1806" s="630">
        <f>H1806-I1804</f>
        <v>9619.7008566738805</v>
      </c>
      <c r="J1806" s="53"/>
      <c r="K1806" s="53"/>
      <c r="L1806" s="53"/>
      <c r="M1806" s="53"/>
      <c r="N1806" s="53"/>
      <c r="O1806" s="53"/>
      <c r="S1806" s="53"/>
      <c r="T1806" s="53"/>
    </row>
    <row r="1807" spans="2:20" ht="15.75">
      <c r="B1807" s="53" t="s">
        <v>4192</v>
      </c>
      <c r="C1807" s="975"/>
      <c r="D1807" s="975">
        <f t="shared" ref="D1807:I1807" si="159">D1806/D1790</f>
        <v>3.3990420157426162</v>
      </c>
      <c r="E1807" s="975">
        <f t="shared" si="159"/>
        <v>3.1638369872049985</v>
      </c>
      <c r="F1807" s="975">
        <f t="shared" si="159"/>
        <v>2.9088097757884905</v>
      </c>
      <c r="G1807" s="975">
        <f t="shared" si="159"/>
        <v>2.5534097188284202</v>
      </c>
      <c r="H1807" s="975">
        <f t="shared" si="159"/>
        <v>2.1585296054869247</v>
      </c>
      <c r="I1807" s="975">
        <f t="shared" si="159"/>
        <v>1.7383835587720926</v>
      </c>
      <c r="J1807" s="53"/>
      <c r="K1807" s="53"/>
      <c r="L1807" s="53"/>
      <c r="M1807" s="53"/>
      <c r="N1807" s="53" t="s">
        <v>4323</v>
      </c>
      <c r="O1807" s="978">
        <v>4.099966222601644</v>
      </c>
      <c r="P1807" s="978">
        <v>3.8934021638465572</v>
      </c>
      <c r="Q1807" s="978">
        <v>3.4825989129660075</v>
      </c>
      <c r="R1807" s="978">
        <v>3.0771446793917354</v>
      </c>
      <c r="S1807" s="978">
        <v>2.6688788290290568</v>
      </c>
      <c r="T1807" s="978">
        <v>2.2362486382390552</v>
      </c>
    </row>
    <row r="1808" spans="2:20" ht="15.75">
      <c r="B1808" s="53" t="s">
        <v>4193</v>
      </c>
      <c r="C1808" s="53"/>
      <c r="D1808" s="749">
        <v>22</v>
      </c>
      <c r="E1808" s="481">
        <f>D1808</f>
        <v>22</v>
      </c>
      <c r="F1808" s="481">
        <f>E1808</f>
        <v>22</v>
      </c>
      <c r="G1808" s="481">
        <f>F1808</f>
        <v>22</v>
      </c>
      <c r="H1808" s="481">
        <f>G1808</f>
        <v>22</v>
      </c>
      <c r="I1808" s="481">
        <f>H1808</f>
        <v>22</v>
      </c>
      <c r="J1808" s="53"/>
      <c r="K1808" s="53"/>
      <c r="L1808" s="53"/>
      <c r="M1808" s="53"/>
      <c r="N1808" s="53" t="s">
        <v>4324</v>
      </c>
      <c r="O1808" s="975">
        <v>4.0999662225951337</v>
      </c>
      <c r="P1808" s="975">
        <v>3.5316649846771488</v>
      </c>
      <c r="Q1808" s="975">
        <v>3.1188825751605633</v>
      </c>
      <c r="R1808" s="975">
        <v>2.7125351237167354</v>
      </c>
      <c r="S1808" s="975">
        <v>2.3041766013029203</v>
      </c>
      <c r="T1808" s="978">
        <v>1.8686379184316739</v>
      </c>
    </row>
    <row r="1809" spans="2:23" ht="15.75">
      <c r="B1809" s="53" t="s">
        <v>4194</v>
      </c>
      <c r="C1809" s="53"/>
      <c r="D1809" s="481">
        <f t="shared" ref="D1809:I1809" si="160">-D1799/D1808</f>
        <v>145.45454545454547</v>
      </c>
      <c r="E1809" s="481">
        <f t="shared" si="160"/>
        <v>0</v>
      </c>
      <c r="F1809" s="481">
        <f t="shared" si="160"/>
        <v>0</v>
      </c>
      <c r="G1809" s="481">
        <f t="shared" si="160"/>
        <v>0</v>
      </c>
      <c r="H1809" s="481">
        <f t="shared" si="160"/>
        <v>0</v>
      </c>
      <c r="I1809" s="481">
        <f t="shared" si="160"/>
        <v>0</v>
      </c>
      <c r="J1809" s="53"/>
      <c r="K1809" s="53"/>
      <c r="L1809" s="53"/>
      <c r="M1809" s="53"/>
      <c r="N1809" s="53"/>
      <c r="O1809" s="481"/>
      <c r="P1809" s="481"/>
      <c r="Q1809" s="481"/>
      <c r="R1809" s="481"/>
      <c r="S1809" s="481"/>
      <c r="T1809" s="481"/>
    </row>
    <row r="1810" spans="2:23" ht="15.75">
      <c r="B1810" s="53" t="s">
        <v>4195</v>
      </c>
      <c r="C1810" s="53"/>
      <c r="D1810" s="54">
        <f t="shared" ref="D1810:I1810" si="161">D1809/C1811</f>
        <v>0.19600264848578769</v>
      </c>
      <c r="E1810" s="54">
        <f t="shared" si="161"/>
        <v>0</v>
      </c>
      <c r="F1810" s="54">
        <f t="shared" si="161"/>
        <v>0</v>
      </c>
      <c r="G1810" s="54">
        <f t="shared" si="161"/>
        <v>0</v>
      </c>
      <c r="H1810" s="54">
        <f t="shared" si="161"/>
        <v>0</v>
      </c>
      <c r="I1810" s="54">
        <f t="shared" si="161"/>
        <v>0</v>
      </c>
      <c r="J1810" s="53"/>
      <c r="K1810" s="53"/>
      <c r="L1810" s="53"/>
      <c r="M1810" s="53"/>
      <c r="N1810" s="53"/>
      <c r="O1810" s="53"/>
      <c r="S1810" s="53"/>
      <c r="T1810" s="53"/>
    </row>
    <row r="1811" spans="2:23" ht="15.75">
      <c r="B1811" s="53" t="s">
        <v>4196</v>
      </c>
      <c r="C1811" s="481">
        <f>M1816</f>
        <v>742.10500000000002</v>
      </c>
      <c r="D1811" s="749">
        <v>677</v>
      </c>
      <c r="E1811" s="481">
        <f>D1811-E1809</f>
        <v>677</v>
      </c>
      <c r="F1811" s="481">
        <f>E1811-F1809</f>
        <v>677</v>
      </c>
      <c r="G1811" s="481">
        <f>F1811-G1809</f>
        <v>677</v>
      </c>
      <c r="H1811" s="481">
        <f>G1811-H1809</f>
        <v>677</v>
      </c>
      <c r="I1811" s="481">
        <f>H1811-I1809</f>
        <v>677</v>
      </c>
      <c r="J1811" s="53"/>
      <c r="K1811" s="53"/>
      <c r="L1811" s="53"/>
      <c r="M1811" s="53"/>
      <c r="N1811" s="53"/>
      <c r="O1811" s="621"/>
      <c r="P1811" s="621"/>
      <c r="Q1811" s="621"/>
      <c r="R1811" s="621"/>
      <c r="S1811" s="621"/>
      <c r="T1811" s="621"/>
    </row>
    <row r="1812" spans="2:23" ht="15.75">
      <c r="B1812" s="53" t="s">
        <v>4197</v>
      </c>
      <c r="C1812" s="53"/>
      <c r="D1812" s="630">
        <f t="shared" ref="D1812:I1812" si="162">D1808*D1811</f>
        <v>14894</v>
      </c>
      <c r="E1812" s="630">
        <f t="shared" si="162"/>
        <v>14894</v>
      </c>
      <c r="F1812" s="630">
        <f t="shared" si="162"/>
        <v>14894</v>
      </c>
      <c r="G1812" s="630">
        <f t="shared" si="162"/>
        <v>14894</v>
      </c>
      <c r="H1812" s="630">
        <f t="shared" si="162"/>
        <v>14894</v>
      </c>
      <c r="I1812" s="630">
        <f t="shared" si="162"/>
        <v>14894</v>
      </c>
      <c r="J1812" s="53"/>
      <c r="K1812" s="53"/>
      <c r="L1812" s="53"/>
      <c r="M1812" s="53"/>
      <c r="N1812" s="53"/>
      <c r="O1812" s="53"/>
      <c r="S1812" s="53"/>
      <c r="T1812" s="53"/>
    </row>
    <row r="1813" spans="2:23" ht="15.75">
      <c r="B1813" s="53" t="s">
        <v>4198</v>
      </c>
      <c r="C1813" s="53"/>
      <c r="D1813" s="53"/>
      <c r="E1813" s="56">
        <f>-SUM(E1799:E1799)/E1812</f>
        <v>0</v>
      </c>
      <c r="F1813" s="56">
        <f>-SUM(F1799:F1799)/F1812</f>
        <v>0</v>
      </c>
      <c r="G1813" s="56">
        <f>-SUM(G1799:G1799)/G1812</f>
        <v>0</v>
      </c>
      <c r="H1813" s="56">
        <f>-SUM(H1799:H1799)/H1812</f>
        <v>0</v>
      </c>
      <c r="I1813" s="56">
        <f>-SUM(I1799:I1799)/I1812</f>
        <v>0</v>
      </c>
      <c r="J1813" s="53"/>
      <c r="K1813" s="53"/>
      <c r="L1813" s="53" t="s">
        <v>1160</v>
      </c>
      <c r="M1813" s="977">
        <v>204.483</v>
      </c>
      <c r="N1813" s="53"/>
      <c r="O1813" s="53"/>
      <c r="S1813" s="53"/>
      <c r="T1813" s="53"/>
    </row>
    <row r="1814" spans="2:23" ht="15.75">
      <c r="B1814" s="53"/>
      <c r="C1814" s="53"/>
      <c r="D1814" s="53"/>
      <c r="E1814" s="53"/>
      <c r="F1814" s="53"/>
      <c r="G1814" s="53"/>
      <c r="H1814" s="53"/>
      <c r="I1814" s="53"/>
      <c r="J1814" s="53"/>
      <c r="K1814" s="53"/>
      <c r="L1814" s="53" t="s">
        <v>1161</v>
      </c>
      <c r="M1814" s="977">
        <v>11.1</v>
      </c>
      <c r="N1814" s="53"/>
      <c r="O1814" s="53"/>
      <c r="S1814" s="53"/>
      <c r="T1814" s="53"/>
    </row>
    <row r="1815" spans="2:23" ht="15.75">
      <c r="B1815" s="53" t="s">
        <v>249</v>
      </c>
      <c r="C1815" s="53"/>
      <c r="D1815" s="764">
        <v>893.18806754196851</v>
      </c>
      <c r="E1815" s="764">
        <v>1087.720723506992</v>
      </c>
      <c r="F1815" s="764">
        <v>1186.7354784235058</v>
      </c>
      <c r="G1815" s="764">
        <v>1214.7396013740781</v>
      </c>
      <c r="H1815" s="764">
        <v>1265.1603692453314</v>
      </c>
      <c r="I1815" s="764">
        <v>1572.8665206407197</v>
      </c>
      <c r="J1815" s="53"/>
      <c r="K1815" s="53"/>
      <c r="L1815" s="53" t="s">
        <v>1162</v>
      </c>
      <c r="M1815" s="977">
        <v>526.52200000000005</v>
      </c>
      <c r="N1815" s="53"/>
      <c r="O1815" s="53"/>
      <c r="S1815" s="53"/>
      <c r="T1815" s="53"/>
    </row>
    <row r="1816" spans="2:23" ht="15.75">
      <c r="B1816" s="53"/>
      <c r="C1816" s="53"/>
      <c r="D1816" s="630"/>
      <c r="E1816" s="630"/>
      <c r="F1816" s="630"/>
      <c r="G1816" s="630"/>
      <c r="H1816" s="630"/>
      <c r="I1816" s="630"/>
      <c r="J1816" s="53"/>
      <c r="K1816" s="53"/>
      <c r="L1816" s="53" t="s">
        <v>1833</v>
      </c>
      <c r="M1816" s="977">
        <f>M1813+M1814+M1815</f>
        <v>742.10500000000002</v>
      </c>
      <c r="N1816" s="53"/>
      <c r="O1816" s="53">
        <v>2019</v>
      </c>
      <c r="P1816" s="53">
        <f>O1816+1</f>
        <v>2020</v>
      </c>
      <c r="Q1816" s="53">
        <f>P1816+1</f>
        <v>2021</v>
      </c>
      <c r="R1816" s="53">
        <f>Q1816+1</f>
        <v>2022</v>
      </c>
      <c r="S1816" s="53">
        <f>R1816+1</f>
        <v>2023</v>
      </c>
      <c r="T1816" s="53">
        <f>S1816+1</f>
        <v>2024</v>
      </c>
    </row>
    <row r="1817" spans="2:23" ht="15.75">
      <c r="B1817" s="58" t="s">
        <v>4312</v>
      </c>
      <c r="C1817" s="53"/>
      <c r="D1817" s="979">
        <f t="shared" ref="D1817:I1817" si="163">D1815/D1811</f>
        <v>1.3193324483633213</v>
      </c>
      <c r="E1817" s="979">
        <f t="shared" si="163"/>
        <v>1.6066775827282009</v>
      </c>
      <c r="F1817" s="979">
        <f t="shared" si="163"/>
        <v>1.752932759857468</v>
      </c>
      <c r="G1817" s="979">
        <f t="shared" si="163"/>
        <v>1.7942977863723457</v>
      </c>
      <c r="H1817" s="979">
        <f t="shared" si="163"/>
        <v>1.8687745483682885</v>
      </c>
      <c r="I1817" s="979">
        <f t="shared" si="163"/>
        <v>2.3232888044914621</v>
      </c>
      <c r="J1817" s="53"/>
      <c r="K1817" s="53"/>
      <c r="L1817" s="53"/>
      <c r="M1817" s="977"/>
      <c r="N1817" s="53" t="s">
        <v>4323</v>
      </c>
      <c r="O1817" s="979">
        <v>1.4059193659774309</v>
      </c>
      <c r="P1817" s="979">
        <v>1.2386211628635073</v>
      </c>
      <c r="Q1817" s="979">
        <v>2.9008714099509674</v>
      </c>
      <c r="R1817" s="979">
        <v>3.0162915620124457</v>
      </c>
      <c r="S1817" s="979">
        <v>3.3687256952446969</v>
      </c>
      <c r="T1817" s="979">
        <v>4.593375127470555</v>
      </c>
    </row>
    <row r="1818" spans="2:23" ht="15.75">
      <c r="B1818" s="58" t="s">
        <v>855</v>
      </c>
      <c r="C1818" s="58"/>
      <c r="D1818" s="946">
        <f t="shared" ref="D1818:I1818" si="164">D1815/D1812</f>
        <v>5.9969656743787333E-2</v>
      </c>
      <c r="E1818" s="946">
        <f t="shared" si="164"/>
        <v>7.3030799214918229E-2</v>
      </c>
      <c r="F1818" s="946">
        <f t="shared" si="164"/>
        <v>7.9678761811703094E-2</v>
      </c>
      <c r="G1818" s="946">
        <f t="shared" si="164"/>
        <v>8.1558990289652078E-2</v>
      </c>
      <c r="H1818" s="946">
        <f t="shared" si="164"/>
        <v>8.4944297653104031E-2</v>
      </c>
      <c r="I1818" s="946">
        <f t="shared" si="164"/>
        <v>0.10560403656779373</v>
      </c>
      <c r="J1818" s="53"/>
      <c r="K1818" s="53"/>
      <c r="L1818" s="53"/>
      <c r="M1818" s="53"/>
      <c r="N1818" s="53" t="s">
        <v>4323</v>
      </c>
      <c r="O1818" s="946">
        <v>5.4073821768362729E-2</v>
      </c>
      <c r="P1818" s="946">
        <v>4.4110440272916926E-2</v>
      </c>
      <c r="Q1818" s="946">
        <v>9.5654987402097408E-2</v>
      </c>
      <c r="R1818" s="946">
        <v>9.2093441932406442E-2</v>
      </c>
      <c r="S1818" s="946">
        <v>9.5235151995666886E-2</v>
      </c>
      <c r="T1818" s="946">
        <v>0.12023745882420127</v>
      </c>
    </row>
    <row r="1819" spans="2:23" ht="15.75">
      <c r="B1819" s="636"/>
      <c r="C1819" s="636"/>
      <c r="D1819" s="947"/>
      <c r="E1819" s="947"/>
      <c r="F1819" s="947"/>
      <c r="G1819" s="947"/>
      <c r="H1819" s="947"/>
      <c r="I1819" s="947"/>
      <c r="J1819" s="53"/>
      <c r="K1819" s="53"/>
      <c r="L1819" s="53"/>
      <c r="M1819" s="53"/>
      <c r="N1819" s="53"/>
      <c r="V1819" s="707"/>
      <c r="W1819" s="707"/>
    </row>
    <row r="1820" spans="2:23" ht="15.75">
      <c r="B1820" s="53"/>
      <c r="C1820" s="53"/>
      <c r="D1820" s="53"/>
      <c r="E1820" s="53"/>
      <c r="F1820" s="53"/>
      <c r="G1820" s="53"/>
      <c r="H1820" s="53"/>
      <c r="I1820" s="53"/>
      <c r="J1820" s="53"/>
      <c r="K1820" s="53"/>
      <c r="L1820" s="53"/>
      <c r="M1820" s="53"/>
      <c r="N1820" s="53" t="s">
        <v>4322</v>
      </c>
      <c r="O1820" s="979">
        <v>1.4059193660522542</v>
      </c>
      <c r="P1820" s="979">
        <v>1.1209775974885778</v>
      </c>
      <c r="Q1820" s="979">
        <v>2.5980332837235069</v>
      </c>
      <c r="R1820" s="979">
        <v>2.7011160878327454</v>
      </c>
      <c r="S1820" s="979">
        <v>3.0017643402537515</v>
      </c>
      <c r="T1820" s="979">
        <v>4.0287495726723419</v>
      </c>
    </row>
    <row r="1821" spans="2:23" ht="15.75">
      <c r="B1821" s="976" t="s">
        <v>4227</v>
      </c>
      <c r="C1821" s="53"/>
      <c r="D1821" s="53"/>
      <c r="E1821" s="56"/>
      <c r="F1821" s="56"/>
      <c r="G1821" s="56"/>
      <c r="H1821" s="56"/>
      <c r="I1821" s="56"/>
      <c r="J1821" s="53"/>
      <c r="K1821" s="53"/>
      <c r="L1821" s="53"/>
      <c r="M1821" s="53"/>
      <c r="N1821" s="53" t="s">
        <v>4322</v>
      </c>
      <c r="O1821" s="946">
        <v>5.4073821771240538E-2</v>
      </c>
      <c r="P1821" s="946">
        <v>3.992085461141659E-2</v>
      </c>
      <c r="Q1821" s="946">
        <v>8.5669030406626129E-2</v>
      </c>
      <c r="R1821" s="946">
        <v>8.2470501433073148E-2</v>
      </c>
      <c r="S1821" s="946">
        <v>8.4861015428706055E-2</v>
      </c>
      <c r="T1821" s="946">
        <v>0.10545766400837339</v>
      </c>
      <c r="U1821" s="707"/>
    </row>
    <row r="1822" spans="2:23" ht="15.75">
      <c r="B1822" s="53"/>
      <c r="C1822" s="53"/>
      <c r="D1822" s="53"/>
      <c r="E1822" s="56"/>
      <c r="F1822" s="56"/>
      <c r="G1822" s="56"/>
      <c r="H1822" s="56"/>
      <c r="I1822" s="56"/>
      <c r="J1822" s="53"/>
      <c r="K1822" s="53"/>
      <c r="L1822" s="53"/>
      <c r="M1822" s="53"/>
      <c r="N1822" s="53"/>
      <c r="O1822" s="53"/>
      <c r="P1822" s="53"/>
      <c r="Q1822" s="53"/>
      <c r="R1822" s="53"/>
      <c r="S1822" s="53"/>
      <c r="T1822" s="53"/>
      <c r="U1822" s="53"/>
    </row>
    <row r="1823" spans="2:23" ht="15.75">
      <c r="B1823" s="53"/>
      <c r="C1823" s="1873" t="s">
        <v>4280</v>
      </c>
      <c r="D1823" s="1873"/>
      <c r="E1823" s="1873" t="s">
        <v>28</v>
      </c>
      <c r="F1823" s="1873"/>
      <c r="G1823" s="56"/>
      <c r="H1823" s="56"/>
      <c r="I1823" s="56"/>
      <c r="J1823" s="53"/>
      <c r="K1823" s="53"/>
      <c r="L1823" s="53"/>
      <c r="M1823" s="53"/>
      <c r="N1823" s="53"/>
      <c r="O1823" s="707"/>
      <c r="P1823" s="707"/>
      <c r="Q1823" s="707"/>
      <c r="R1823" s="707"/>
      <c r="S1823" s="707"/>
      <c r="T1823" s="707"/>
      <c r="U1823" s="707"/>
    </row>
    <row r="1824" spans="2:23" ht="15.75">
      <c r="B1824" s="636" t="s">
        <v>4283</v>
      </c>
      <c r="C1824" s="642" t="s">
        <v>1146</v>
      </c>
      <c r="D1824" s="642" t="s">
        <v>3145</v>
      </c>
      <c r="E1824" s="642" t="str">
        <f>C1824</f>
        <v>LILA</v>
      </c>
      <c r="F1824" s="642" t="str">
        <f>D1824</f>
        <v>LBTY</v>
      </c>
      <c r="G1824" s="53"/>
      <c r="H1824" s="53"/>
      <c r="I1824" s="53"/>
      <c r="J1824" s="53"/>
      <c r="K1824" s="53"/>
      <c r="L1824" s="53"/>
      <c r="M1824" s="53"/>
      <c r="N1824" s="53"/>
      <c r="O1824" s="53"/>
      <c r="S1824" s="53"/>
      <c r="T1824" s="53"/>
    </row>
    <row r="1825" spans="2:20" ht="15.75">
      <c r="B1825" s="53" t="s">
        <v>3142</v>
      </c>
      <c r="C1825" s="621">
        <f>'LiLAC valuation'!C1007</f>
        <v>1.9308339999999999</v>
      </c>
      <c r="D1825" s="621">
        <f>'LiLAC valuation'!D1007</f>
        <v>4.6173570000000002</v>
      </c>
      <c r="E1825" s="56">
        <f>'LiLAC valuation'!C1014</f>
        <v>3.9880080964970262E-2</v>
      </c>
      <c r="F1825" s="56">
        <f>'LiLAC valuation'!D1014</f>
        <v>2.0884450371907157E-2</v>
      </c>
      <c r="G1825" s="53"/>
      <c r="H1825" s="53"/>
      <c r="I1825" s="53"/>
      <c r="J1825" s="53"/>
      <c r="K1825" s="53"/>
      <c r="L1825" s="53"/>
      <c r="M1825" s="53"/>
      <c r="N1825" s="53"/>
      <c r="O1825" s="53"/>
      <c r="S1825" s="53"/>
      <c r="T1825" s="53"/>
    </row>
    <row r="1826" spans="2:20" ht="15.75">
      <c r="B1826" s="53" t="s">
        <v>3143</v>
      </c>
      <c r="C1826" s="621">
        <f>'LiLAC valuation'!C1008</f>
        <v>1.535757</v>
      </c>
      <c r="D1826" s="621">
        <f>'LiLAC valuation'!D1008</f>
        <v>8.7873730000000005</v>
      </c>
      <c r="E1826" s="56">
        <f>'LiLAC valuation'!C1015</f>
        <v>0.79154857274508261</v>
      </c>
      <c r="F1826" s="56">
        <f>'LiLAC valuation'!D1015</f>
        <v>0.79146848144568416</v>
      </c>
      <c r="G1826" s="53"/>
      <c r="H1826" s="53"/>
      <c r="I1826" s="53"/>
      <c r="J1826" s="53"/>
      <c r="K1826" s="53"/>
      <c r="L1826" s="53"/>
      <c r="M1826" s="53"/>
      <c r="N1826" s="53"/>
      <c r="O1826" s="53"/>
      <c r="S1826" s="53"/>
      <c r="T1826" s="53"/>
    </row>
    <row r="1827" spans="2:20" ht="15.75">
      <c r="B1827" s="50" t="s">
        <v>3144</v>
      </c>
      <c r="C1827" s="622">
        <f>'LiLAC valuation'!C1009</f>
        <v>6.7459290000000003</v>
      </c>
      <c r="D1827" s="622">
        <f>'LiLAC valuation'!D1009</f>
        <v>12.249883000000001</v>
      </c>
      <c r="E1827" s="631">
        <f>'LiLAC valuation'!C1016</f>
        <v>5.1764585905619491E-2</v>
      </c>
      <c r="F1827" s="631">
        <f>'LiLAC valuation'!D1016</f>
        <v>2.0822032244453823E-2</v>
      </c>
      <c r="G1827" s="53"/>
      <c r="H1827" s="53"/>
      <c r="I1827" s="53"/>
      <c r="J1827" s="53"/>
      <c r="K1827" s="53"/>
      <c r="L1827" s="53"/>
      <c r="M1827" s="53"/>
      <c r="N1827" s="53"/>
      <c r="O1827" s="53"/>
      <c r="S1827" s="53"/>
      <c r="T1827" s="53"/>
    </row>
    <row r="1828" spans="2:20" ht="15.75">
      <c r="B1828" s="53" t="s">
        <v>4281</v>
      </c>
      <c r="C1828" s="621">
        <f>C1825+C1826+C1827</f>
        <v>10.212520000000001</v>
      </c>
      <c r="D1828" s="621">
        <f>D1825+D1826+D1827</f>
        <v>25.654613000000001</v>
      </c>
      <c r="E1828" s="56">
        <f>'LiLAC valuation'!C1017</f>
        <v>5.6524075434257096E-2</v>
      </c>
      <c r="F1828" s="56">
        <f>'LiLAC valuation'!D1017</f>
        <v>3.1266789051921068E-2</v>
      </c>
      <c r="G1828" s="53"/>
      <c r="H1828" s="56">
        <f>D1828/742</f>
        <v>3.4574950134770889E-2</v>
      </c>
      <c r="I1828" s="53"/>
      <c r="J1828" s="53"/>
      <c r="K1828" s="53"/>
      <c r="L1828" s="53"/>
      <c r="M1828" s="53"/>
      <c r="N1828" s="53"/>
      <c r="O1828" s="53"/>
      <c r="S1828" s="53"/>
      <c r="T1828" s="53"/>
    </row>
    <row r="1829" spans="2:20" ht="15.75">
      <c r="B1829" s="53" t="s">
        <v>4282</v>
      </c>
      <c r="C1829" s="621"/>
      <c r="D1829" s="621"/>
      <c r="E1829" s="56">
        <f>'LiLAC valuation'!C1018</f>
        <v>0.25492379375188834</v>
      </c>
      <c r="F1829" s="56">
        <f>'LiLAC valuation'!D1018</f>
        <v>0.27848959149781666</v>
      </c>
      <c r="G1829" s="53"/>
      <c r="H1829" s="53"/>
      <c r="I1829" s="53"/>
      <c r="J1829" s="53"/>
      <c r="K1829" s="53"/>
      <c r="L1829" s="53"/>
      <c r="M1829" s="53"/>
      <c r="N1829" s="53"/>
      <c r="O1829" s="53"/>
      <c r="S1829" s="53"/>
      <c r="T1829" s="53"/>
    </row>
    <row r="1830" spans="2:20" ht="15.75">
      <c r="B1830" s="53"/>
      <c r="C1830" s="621"/>
      <c r="D1830" s="621"/>
      <c r="E1830" s="56"/>
      <c r="F1830" s="56"/>
      <c r="G1830" s="53"/>
      <c r="H1830" s="53"/>
      <c r="I1830" s="53"/>
      <c r="J1830" s="53"/>
      <c r="K1830" s="53"/>
      <c r="L1830" s="53"/>
      <c r="M1830" s="53"/>
      <c r="N1830" s="53"/>
      <c r="O1830" s="53"/>
      <c r="S1830" s="53"/>
      <c r="T1830" s="53"/>
    </row>
    <row r="1831" spans="2:20" ht="15.75">
      <c r="B1831" s="58" t="s">
        <v>4327</v>
      </c>
      <c r="C1831" s="621"/>
      <c r="D1831" s="621"/>
      <c r="E1831" s="56"/>
      <c r="F1831" s="56"/>
      <c r="G1831" s="53"/>
      <c r="H1831" s="53"/>
      <c r="I1831" s="53"/>
      <c r="J1831" s="53"/>
      <c r="K1831" s="53"/>
      <c r="L1831" s="53"/>
      <c r="M1831" s="53"/>
      <c r="N1831" s="53"/>
      <c r="O1831" s="53"/>
      <c r="S1831" s="53"/>
      <c r="T1831" s="53"/>
    </row>
    <row r="1832" spans="2:20" ht="15.75">
      <c r="B1832" s="53" t="s">
        <v>4230</v>
      </c>
      <c r="C1832" s="980" t="s">
        <v>1122</v>
      </c>
      <c r="D1832" s="980" t="s">
        <v>306</v>
      </c>
      <c r="E1832" s="980" t="s">
        <v>44</v>
      </c>
      <c r="F1832" s="56"/>
      <c r="G1832" s="53"/>
      <c r="H1832" s="53"/>
      <c r="I1832" s="53"/>
      <c r="J1832" s="53"/>
      <c r="K1832" s="53"/>
      <c r="L1832" s="53"/>
      <c r="M1832" s="53"/>
      <c r="N1832" s="53"/>
      <c r="O1832" s="53"/>
      <c r="S1832" s="53"/>
      <c r="T1832" s="53"/>
    </row>
    <row r="1833" spans="2:20" ht="15.75">
      <c r="B1833" s="53" t="s">
        <v>467</v>
      </c>
      <c r="C1833" s="702">
        <v>18</v>
      </c>
      <c r="D1833" s="639">
        <f>C1828</f>
        <v>10.212520000000001</v>
      </c>
      <c r="E1833" s="621">
        <f>C1833*D1833</f>
        <v>183.82536000000002</v>
      </c>
      <c r="F1833" s="56"/>
      <c r="G1833" s="53"/>
      <c r="H1833" s="53"/>
      <c r="I1833" s="53"/>
      <c r="J1833" s="53"/>
      <c r="K1833" s="53"/>
      <c r="L1833" s="53"/>
      <c r="M1833" s="53"/>
      <c r="N1833" s="53"/>
      <c r="O1833" s="53"/>
      <c r="S1833" s="53"/>
      <c r="T1833" s="53"/>
    </row>
    <row r="1834" spans="2:20" ht="15.75">
      <c r="B1834" s="50" t="s">
        <v>3145</v>
      </c>
      <c r="C1834" s="932">
        <v>26</v>
      </c>
      <c r="D1834" s="981">
        <f>D1828</f>
        <v>25.654613000000001</v>
      </c>
      <c r="E1834" s="622">
        <f>C1834*D1834</f>
        <v>667.01993800000002</v>
      </c>
      <c r="F1834" s="56"/>
      <c r="G1834" s="53"/>
      <c r="H1834" s="53"/>
      <c r="I1834" s="53"/>
      <c r="J1834" s="53"/>
      <c r="K1834" s="53"/>
      <c r="L1834" s="53"/>
      <c r="M1834" s="53"/>
      <c r="N1834" s="53"/>
      <c r="O1834" s="53"/>
      <c r="S1834" s="53"/>
      <c r="T1834" s="53"/>
    </row>
    <row r="1835" spans="2:20" ht="15.75">
      <c r="B1835" s="53" t="s">
        <v>16</v>
      </c>
      <c r="C1835" s="621"/>
      <c r="D1835" s="639"/>
      <c r="E1835" s="621">
        <f>E1833+E1834</f>
        <v>850.84529800000007</v>
      </c>
      <c r="F1835" s="56"/>
      <c r="G1835" s="53"/>
      <c r="H1835" s="53"/>
      <c r="I1835" s="53"/>
      <c r="J1835" s="53"/>
      <c r="K1835" s="53"/>
      <c r="L1835" s="53"/>
      <c r="M1835" s="53"/>
      <c r="N1835" s="53"/>
      <c r="O1835" s="53"/>
      <c r="S1835" s="53"/>
      <c r="T1835" s="53"/>
    </row>
    <row r="1836" spans="2:20" ht="15.75">
      <c r="B1836" s="53"/>
      <c r="C1836" s="621"/>
      <c r="E1836" s="621"/>
      <c r="F1836" s="56"/>
      <c r="G1836" s="53"/>
      <c r="H1836" s="53"/>
      <c r="I1836" s="53"/>
      <c r="J1836" s="53"/>
      <c r="K1836" s="53"/>
      <c r="L1836" s="53"/>
      <c r="M1836" s="53"/>
      <c r="N1836" s="53"/>
      <c r="O1836" s="53"/>
      <c r="S1836" s="53"/>
      <c r="T1836" s="53"/>
    </row>
    <row r="1837" spans="2:20" ht="15.75">
      <c r="B1837" s="53" t="s">
        <v>4328</v>
      </c>
      <c r="C1837" s="621"/>
      <c r="E1837" s="621"/>
      <c r="F1837" s="56"/>
      <c r="G1837" s="53"/>
      <c r="H1837" s="53"/>
      <c r="I1837" s="53"/>
      <c r="J1837" s="53"/>
      <c r="K1837" s="53"/>
      <c r="L1837" s="53"/>
      <c r="M1837" s="53"/>
      <c r="N1837" s="53"/>
      <c r="O1837" s="53"/>
      <c r="S1837" s="53"/>
      <c r="T1837" s="53"/>
    </row>
    <row r="1838" spans="2:20" ht="15.75">
      <c r="B1838" s="821" t="s">
        <v>4329</v>
      </c>
      <c r="C1838" s="62"/>
      <c r="E1838" s="481">
        <f>(C1833-C1843)*SOP!G35</f>
        <v>-1187.8999999999999</v>
      </c>
      <c r="F1838" s="56"/>
      <c r="G1838" s="53"/>
      <c r="H1838" s="53"/>
      <c r="I1838" s="53"/>
      <c r="J1838" s="53"/>
      <c r="K1838" s="53"/>
      <c r="L1838" s="53"/>
      <c r="M1838" s="53"/>
      <c r="N1838" s="53"/>
      <c r="O1838" s="53"/>
      <c r="S1838" s="53"/>
      <c r="T1838" s="53"/>
    </row>
    <row r="1839" spans="2:20" ht="15.75">
      <c r="B1839" s="821" t="s">
        <v>4330</v>
      </c>
      <c r="C1839" s="621">
        <f>E1839/D1811</f>
        <v>24.245347119645494</v>
      </c>
      <c r="D1839" s="481">
        <f>E1839/C1839</f>
        <v>677</v>
      </c>
      <c r="E1839" s="481">
        <f>(C1834*D1811)+E1838</f>
        <v>16414.099999999999</v>
      </c>
      <c r="F1839" s="56"/>
      <c r="G1839" s="53"/>
      <c r="H1839" s="53"/>
      <c r="I1839" s="53"/>
      <c r="J1839" s="53"/>
      <c r="K1839" s="53"/>
      <c r="L1839" s="53"/>
      <c r="M1839" s="53"/>
      <c r="N1839" s="53"/>
      <c r="O1839" s="53"/>
      <c r="S1839" s="53"/>
      <c r="T1839" s="53"/>
    </row>
    <row r="1840" spans="2:20" ht="15.75">
      <c r="B1840" s="53"/>
      <c r="C1840" s="621"/>
      <c r="E1840" s="621"/>
      <c r="F1840" s="56"/>
      <c r="G1840" s="53"/>
      <c r="H1840" s="53"/>
      <c r="I1840" s="53"/>
      <c r="J1840" s="53"/>
      <c r="K1840" s="53"/>
      <c r="L1840" s="53"/>
      <c r="M1840" s="53"/>
      <c r="N1840" s="53"/>
      <c r="O1840" s="53"/>
      <c r="S1840" s="53"/>
      <c r="T1840" s="53"/>
    </row>
    <row r="1841" spans="2:20 16384:16384" ht="15.75">
      <c r="B1841" s="58" t="s">
        <v>4327</v>
      </c>
      <c r="C1841" s="621"/>
      <c r="E1841" s="621"/>
      <c r="F1841" s="56"/>
      <c r="G1841" s="53"/>
      <c r="H1841" s="53"/>
      <c r="I1841" s="53"/>
      <c r="J1841" s="53"/>
      <c r="K1841" s="53"/>
      <c r="L1841" s="53"/>
      <c r="M1841" s="53"/>
      <c r="N1841" s="53"/>
      <c r="O1841" s="53"/>
      <c r="S1841" s="53"/>
      <c r="T1841" s="53"/>
    </row>
    <row r="1842" spans="2:20 16384:16384" ht="15.75">
      <c r="B1842" s="53" t="s">
        <v>4230</v>
      </c>
      <c r="C1842" s="621"/>
      <c r="E1842" s="621"/>
      <c r="F1842" s="56"/>
      <c r="G1842" s="53"/>
      <c r="H1842" s="53"/>
      <c r="I1842" s="53"/>
      <c r="J1842" s="53"/>
      <c r="K1842" s="53"/>
      <c r="L1842" s="53"/>
      <c r="M1842" s="53"/>
      <c r="N1842" s="53"/>
      <c r="O1842" s="53"/>
      <c r="S1842" s="53"/>
      <c r="T1842" s="53"/>
    </row>
    <row r="1843" spans="2:20 16384:16384" ht="15.75">
      <c r="B1843" s="53" t="s">
        <v>467</v>
      </c>
      <c r="C1843" s="702">
        <v>25</v>
      </c>
      <c r="D1843" s="621">
        <f>D1833</f>
        <v>10.212520000000001</v>
      </c>
      <c r="E1843" s="621">
        <f>C1843*D1843</f>
        <v>255.31300000000005</v>
      </c>
      <c r="F1843" s="56"/>
      <c r="G1843" s="53"/>
      <c r="H1843" s="53"/>
      <c r="I1843" s="53"/>
      <c r="J1843" s="53"/>
      <c r="K1843" s="53"/>
      <c r="L1843" s="53"/>
      <c r="M1843" s="53"/>
      <c r="N1843" s="53"/>
      <c r="O1843" s="53"/>
      <c r="S1843" s="53"/>
      <c r="T1843" s="53"/>
    </row>
    <row r="1844" spans="2:20 16384:16384" ht="15.75">
      <c r="B1844" s="50" t="s">
        <v>3145</v>
      </c>
      <c r="C1844" s="622">
        <f>C1839</f>
        <v>24.245347119645494</v>
      </c>
      <c r="D1844" s="622">
        <f>D1834</f>
        <v>25.654613000000001</v>
      </c>
      <c r="E1844" s="622">
        <f>C1844*D1844</f>
        <v>622.00499740516989</v>
      </c>
      <c r="F1844" s="56"/>
      <c r="G1844" s="53"/>
      <c r="H1844" s="53"/>
      <c r="I1844" s="53"/>
      <c r="J1844" s="53"/>
      <c r="K1844" s="53"/>
      <c r="L1844" s="53"/>
      <c r="M1844" s="53"/>
      <c r="N1844" s="53"/>
      <c r="O1844" s="53"/>
      <c r="S1844" s="53"/>
      <c r="T1844" s="53"/>
    </row>
    <row r="1845" spans="2:20 16384:16384" ht="15.75">
      <c r="B1845" s="53" t="s">
        <v>16</v>
      </c>
      <c r="C1845" s="621"/>
      <c r="E1845" s="621">
        <f>E1843+E1844</f>
        <v>877.31799740516999</v>
      </c>
      <c r="F1845" s="56"/>
      <c r="G1845" s="53"/>
      <c r="H1845" s="53"/>
      <c r="I1845" s="53"/>
      <c r="J1845" s="53"/>
      <c r="K1845" s="53"/>
      <c r="L1845" s="53"/>
      <c r="M1845" s="53"/>
      <c r="N1845" s="53"/>
      <c r="O1845" s="53"/>
      <c r="S1845" s="53"/>
      <c r="T1845" s="53"/>
    </row>
    <row r="1846" spans="2:20 16384:16384" ht="15.75">
      <c r="B1846" s="53"/>
      <c r="C1846" s="621"/>
      <c r="E1846" s="621">
        <f>E1845-E1835</f>
        <v>26.472699405169919</v>
      </c>
      <c r="F1846" s="56"/>
      <c r="G1846" s="53"/>
      <c r="H1846" s="53"/>
      <c r="I1846" s="53"/>
      <c r="J1846" s="53"/>
      <c r="K1846" s="53"/>
      <c r="L1846" s="53"/>
      <c r="M1846" s="53"/>
      <c r="N1846" s="53"/>
      <c r="O1846" s="53"/>
      <c r="S1846" s="53"/>
      <c r="T1846" s="53"/>
    </row>
    <row r="1847" spans="2:20 16384:16384" ht="15.75">
      <c r="B1847" s="53"/>
      <c r="C1847" s="53"/>
      <c r="D1847" s="53"/>
      <c r="E1847" s="53"/>
      <c r="F1847" s="53"/>
      <c r="G1847" s="53"/>
      <c r="H1847" s="53"/>
      <c r="I1847" s="53"/>
      <c r="J1847" s="53"/>
      <c r="K1847" s="53"/>
      <c r="L1847" s="53"/>
      <c r="M1847" s="53"/>
      <c r="N1847" s="53"/>
      <c r="O1847" s="53"/>
      <c r="S1847" s="53"/>
      <c r="T1847" s="53"/>
    </row>
    <row r="1848" spans="2:20 16384:16384" ht="15.75">
      <c r="B1848" s="976" t="s">
        <v>4206</v>
      </c>
      <c r="C1848" s="53"/>
      <c r="D1848" s="53"/>
      <c r="E1848" s="53"/>
      <c r="F1848" s="53"/>
      <c r="G1848" s="53"/>
      <c r="H1848" s="53"/>
      <c r="I1848" s="53"/>
      <c r="J1848" s="53"/>
      <c r="K1848" s="53"/>
      <c r="L1848" s="53"/>
      <c r="M1848" s="53"/>
      <c r="N1848" s="53"/>
      <c r="O1848" s="53"/>
      <c r="S1848" s="53"/>
      <c r="T1848" s="53"/>
    </row>
    <row r="1849" spans="2:20 16384:16384" ht="15.75">
      <c r="C1849" s="53"/>
      <c r="D1849" s="53"/>
      <c r="E1849" s="53"/>
      <c r="F1849" s="53"/>
      <c r="G1849" s="53"/>
      <c r="H1849" s="53"/>
      <c r="I1849" s="53"/>
      <c r="J1849" s="53"/>
      <c r="K1849" s="53"/>
      <c r="L1849" s="53"/>
      <c r="M1849" s="53"/>
      <c r="N1849" s="53"/>
      <c r="O1849" s="53"/>
      <c r="S1849" s="53"/>
      <c r="T1849" s="53"/>
    </row>
    <row r="1850" spans="2:20 16384:16384" ht="15.75">
      <c r="B1850" s="50" t="s">
        <v>4316</v>
      </c>
      <c r="C1850" s="50">
        <v>2019</v>
      </c>
      <c r="D1850" s="50">
        <f>C1850+1</f>
        <v>2020</v>
      </c>
      <c r="E1850" s="50">
        <f>D1850+1</f>
        <v>2021</v>
      </c>
      <c r="F1850" s="50">
        <f>E1850+1</f>
        <v>2022</v>
      </c>
      <c r="G1850" s="50">
        <f>F1850+1</f>
        <v>2023</v>
      </c>
      <c r="H1850" s="50">
        <f>G1850+1</f>
        <v>2024</v>
      </c>
      <c r="I1850" s="53"/>
      <c r="J1850" s="53"/>
      <c r="K1850" s="53"/>
      <c r="L1850" s="53"/>
      <c r="M1850" s="53"/>
      <c r="N1850" s="53"/>
      <c r="O1850" s="53"/>
      <c r="S1850" s="53"/>
      <c r="T1850" s="53"/>
      <c r="XFD1850" s="53"/>
    </row>
    <row r="1851" spans="2:20 16384:16384" ht="15.75">
      <c r="B1851" s="53" t="s">
        <v>4306</v>
      </c>
      <c r="C1851" s="621">
        <f>O1817</f>
        <v>1.4059193659774309</v>
      </c>
      <c r="D1851" s="621">
        <f>P1817</f>
        <v>1.2386211628635073</v>
      </c>
      <c r="E1851" s="621">
        <f>Q1817</f>
        <v>2.9008714099509674</v>
      </c>
      <c r="F1851" s="621"/>
      <c r="G1851" s="621"/>
      <c r="H1851" s="621"/>
      <c r="I1851" s="53"/>
      <c r="J1851" s="53"/>
      <c r="K1851" s="53"/>
      <c r="L1851" s="53"/>
      <c r="M1851" s="53"/>
      <c r="N1851" s="53"/>
      <c r="O1851" s="53"/>
      <c r="S1851" s="53"/>
      <c r="T1851" s="53"/>
    </row>
    <row r="1852" spans="2:20 16384:16384" ht="15.75">
      <c r="B1852" s="53" t="s">
        <v>4307</v>
      </c>
      <c r="C1852" s="621">
        <f>D1817</f>
        <v>1.3193324483633213</v>
      </c>
      <c r="D1852" s="621">
        <f>E1817</f>
        <v>1.6066775827282009</v>
      </c>
      <c r="E1852" s="621">
        <f>F1817</f>
        <v>1.752932759857468</v>
      </c>
      <c r="F1852" s="621"/>
      <c r="G1852" s="621"/>
      <c r="H1852" s="621"/>
      <c r="I1852" s="53"/>
      <c r="J1852" s="53"/>
      <c r="K1852" s="53"/>
      <c r="L1852" s="53"/>
      <c r="M1852" s="53"/>
      <c r="N1852" s="53"/>
      <c r="O1852" s="53"/>
      <c r="S1852" s="53"/>
      <c r="T1852" s="53"/>
    </row>
    <row r="1853" spans="2:20 16384:16384" ht="15.75">
      <c r="B1853" s="53"/>
      <c r="C1853" s="53"/>
      <c r="D1853" s="53"/>
      <c r="E1853" s="53"/>
      <c r="F1853" s="53"/>
      <c r="G1853" s="53"/>
      <c r="H1853" s="53"/>
      <c r="I1853" s="53"/>
      <c r="J1853" s="53"/>
      <c r="K1853" s="53"/>
      <c r="L1853" s="53"/>
      <c r="M1853" s="53"/>
      <c r="N1853" s="53"/>
      <c r="O1853" s="53"/>
      <c r="S1853" s="53"/>
      <c r="T1853" s="53"/>
    </row>
    <row r="1854" spans="2:20 16384:16384" ht="15.75">
      <c r="B1854" s="53"/>
      <c r="C1854" s="53"/>
      <c r="D1854" s="53"/>
      <c r="E1854" s="53"/>
      <c r="F1854" s="53"/>
      <c r="G1854" s="53"/>
      <c r="H1854" s="53"/>
      <c r="I1854" s="53"/>
      <c r="J1854" s="53"/>
      <c r="K1854" s="53"/>
      <c r="L1854" s="53"/>
      <c r="M1854" s="53"/>
      <c r="N1854" s="53"/>
      <c r="O1854" s="53"/>
      <c r="S1854" s="53"/>
      <c r="T1854" s="53"/>
    </row>
    <row r="1855" spans="2:20 16384:16384" ht="15.75">
      <c r="B1855" s="976" t="s">
        <v>4206</v>
      </c>
      <c r="C1855" s="53"/>
      <c r="D1855" s="53"/>
      <c r="E1855" s="53"/>
      <c r="F1855" s="53"/>
      <c r="G1855" s="53"/>
      <c r="H1855" s="53"/>
      <c r="I1855" s="53"/>
      <c r="J1855" s="53"/>
      <c r="K1855" s="53"/>
      <c r="L1855" s="53"/>
      <c r="M1855" s="53"/>
      <c r="N1855" s="53"/>
      <c r="O1855" s="53"/>
      <c r="S1855" s="53"/>
      <c r="T1855" s="53"/>
    </row>
    <row r="1856" spans="2:20 16384:16384" ht="15.75">
      <c r="B1856" s="53"/>
      <c r="C1856" s="53"/>
      <c r="D1856" s="53"/>
      <c r="E1856" s="53"/>
      <c r="F1856" s="53"/>
      <c r="G1856" s="53"/>
      <c r="H1856" s="53"/>
      <c r="I1856" s="53"/>
      <c r="J1856" s="53"/>
      <c r="K1856" s="53"/>
      <c r="L1856" s="53"/>
      <c r="M1856" s="53"/>
      <c r="N1856" s="53"/>
      <c r="O1856" s="53"/>
      <c r="S1856" s="53"/>
      <c r="T1856" s="53"/>
    </row>
    <row r="1857" spans="2:20" ht="15.75">
      <c r="B1857" s="53" t="s">
        <v>4284</v>
      </c>
      <c r="C1857" s="630">
        <f>Valuation!I5</f>
        <v>180.983</v>
      </c>
      <c r="D1857" s="53"/>
      <c r="E1857" s="53"/>
      <c r="F1857" s="53"/>
      <c r="G1857" s="53"/>
      <c r="H1857" s="53"/>
      <c r="I1857" s="53"/>
      <c r="J1857" s="53"/>
      <c r="K1857" s="53"/>
      <c r="L1857" s="53"/>
      <c r="M1857" s="53"/>
      <c r="N1857" s="53"/>
      <c r="O1857" s="53"/>
      <c r="S1857" s="53"/>
      <c r="T1857" s="53"/>
    </row>
    <row r="1858" spans="2:20" ht="15.75">
      <c r="B1858" s="53" t="s">
        <v>4207</v>
      </c>
      <c r="C1858" s="648">
        <v>22</v>
      </c>
      <c r="D1858" s="53"/>
      <c r="E1858" s="53"/>
      <c r="F1858" s="53"/>
      <c r="G1858" s="53"/>
      <c r="H1858" s="53"/>
      <c r="I1858" s="53"/>
      <c r="J1858" s="53"/>
      <c r="K1858" s="53"/>
      <c r="L1858" s="53"/>
      <c r="M1858" s="53"/>
      <c r="N1858" s="53"/>
      <c r="O1858" s="53"/>
      <c r="S1858" s="53"/>
      <c r="T1858" s="53"/>
    </row>
    <row r="1859" spans="2:20" ht="15.75">
      <c r="B1859" s="53" t="s">
        <v>332</v>
      </c>
      <c r="C1859" s="630">
        <f>C1857*C1858</f>
        <v>3981.6260000000002</v>
      </c>
      <c r="D1859" s="53"/>
      <c r="E1859" s="53"/>
      <c r="F1859" s="53"/>
      <c r="G1859" s="53"/>
      <c r="H1859" s="53"/>
      <c r="I1859" s="53"/>
      <c r="J1859" s="53"/>
      <c r="K1859" s="53"/>
      <c r="L1859" s="53"/>
      <c r="M1859" s="53"/>
      <c r="N1859" s="53"/>
      <c r="O1859" s="53"/>
      <c r="S1859" s="53"/>
      <c r="T1859" s="53"/>
    </row>
    <row r="1860" spans="2:20" ht="15.75">
      <c r="B1860" s="50" t="s">
        <v>115</v>
      </c>
      <c r="C1860" s="632">
        <f>Valuation!I13</f>
        <v>6066</v>
      </c>
      <c r="D1860" s="53"/>
      <c r="E1860" s="53"/>
      <c r="F1860" s="53"/>
      <c r="G1860" s="53"/>
      <c r="H1860" s="53"/>
      <c r="I1860" s="53"/>
      <c r="J1860" s="53"/>
      <c r="K1860" s="53"/>
      <c r="L1860" s="53"/>
      <c r="M1860" s="53"/>
      <c r="N1860" s="53"/>
      <c r="O1860" s="53"/>
      <c r="S1860" s="53"/>
      <c r="T1860" s="53"/>
    </row>
    <row r="1861" spans="2:20" ht="15.75">
      <c r="B1861" s="53" t="s">
        <v>331</v>
      </c>
      <c r="C1861" s="630">
        <f>C1859+C1860</f>
        <v>10047.626</v>
      </c>
      <c r="D1861" s="53"/>
      <c r="E1861" s="53"/>
      <c r="F1861" s="53"/>
      <c r="G1861" s="53"/>
      <c r="H1861" s="53"/>
      <c r="I1861" s="53"/>
      <c r="J1861" s="53"/>
      <c r="K1861" s="53"/>
      <c r="L1861" s="53"/>
      <c r="M1861" s="53"/>
      <c r="N1861" s="53"/>
      <c r="O1861" s="53"/>
      <c r="S1861" s="53"/>
      <c r="T1861" s="53"/>
    </row>
    <row r="1862" spans="2:20" ht="15.75">
      <c r="B1862" s="53"/>
      <c r="C1862" s="53"/>
      <c r="D1862" s="53"/>
      <c r="E1862" s="53"/>
      <c r="F1862" s="53"/>
      <c r="G1862" s="53"/>
      <c r="H1862" s="53"/>
      <c r="I1862" s="53"/>
      <c r="J1862" s="53"/>
      <c r="K1862" s="53"/>
      <c r="L1862" s="53"/>
      <c r="M1862" s="53"/>
      <c r="N1862" s="53"/>
      <c r="O1862" s="53"/>
      <c r="S1862" s="53"/>
      <c r="T1862" s="53"/>
    </row>
    <row r="1863" spans="2:20" ht="15.75">
      <c r="B1863" s="53" t="s">
        <v>4202</v>
      </c>
      <c r="C1863" s="651">
        <f>1-E1828</f>
        <v>0.94347592456574292</v>
      </c>
      <c r="D1863" s="53"/>
      <c r="E1863" s="53"/>
      <c r="F1863" s="53"/>
      <c r="G1863" s="53"/>
      <c r="H1863" s="53"/>
      <c r="I1863" s="53"/>
      <c r="J1863" s="53"/>
      <c r="K1863" s="53"/>
      <c r="L1863" s="53"/>
      <c r="M1863" s="53"/>
      <c r="N1863" s="53"/>
      <c r="O1863" s="53"/>
      <c r="S1863" s="53"/>
      <c r="T1863" s="53"/>
    </row>
    <row r="1864" spans="2:20" ht="15.75">
      <c r="B1864" s="53" t="s">
        <v>4289</v>
      </c>
      <c r="C1864" s="630">
        <f>C1863*C1859</f>
        <v>3756.5682716250008</v>
      </c>
      <c r="D1864" s="53"/>
      <c r="E1864" s="53"/>
      <c r="F1864" s="53"/>
      <c r="G1864" s="53"/>
      <c r="H1864" s="53"/>
      <c r="I1864" s="53"/>
      <c r="J1864" s="53"/>
      <c r="K1864" s="53"/>
      <c r="L1864" s="53"/>
      <c r="M1864" s="53"/>
      <c r="N1864" s="53"/>
      <c r="O1864" s="53"/>
      <c r="P1864" s="53"/>
      <c r="Q1864" s="53"/>
    </row>
    <row r="1865" spans="2:20" ht="15.75">
      <c r="B1865" s="53" t="s">
        <v>4288</v>
      </c>
      <c r="C1865" s="630">
        <f>C1859-C1864</f>
        <v>225.05772837499944</v>
      </c>
      <c r="D1865" s="53"/>
      <c r="E1865" s="53"/>
      <c r="F1865" s="53"/>
      <c r="G1865" s="53"/>
      <c r="H1865" s="53"/>
      <c r="I1865" s="53"/>
      <c r="J1865" s="53"/>
      <c r="K1865" s="53"/>
      <c r="L1865" s="53"/>
      <c r="M1865" s="53"/>
      <c r="N1865" s="53"/>
      <c r="O1865" s="53"/>
      <c r="P1865" s="53"/>
      <c r="Q1865" s="53"/>
    </row>
    <row r="1866" spans="2:20" ht="15.75">
      <c r="B1866" s="53" t="s">
        <v>4285</v>
      </c>
      <c r="C1866" s="649">
        <f>D1808</f>
        <v>22</v>
      </c>
      <c r="D1866" s="79"/>
      <c r="E1866" s="79"/>
      <c r="F1866" s="79"/>
      <c r="G1866" s="53"/>
      <c r="H1866" s="53"/>
      <c r="I1866" s="53"/>
      <c r="J1866" s="53"/>
      <c r="K1866" s="53"/>
      <c r="L1866" s="53"/>
      <c r="M1866" s="53"/>
      <c r="N1866" s="53"/>
      <c r="O1866" s="53"/>
      <c r="P1866" s="53"/>
      <c r="Q1866" s="53"/>
    </row>
    <row r="1867" spans="2:20" ht="15.75">
      <c r="B1867" s="53" t="s">
        <v>4286</v>
      </c>
      <c r="C1867" s="621">
        <f>C1865/C1866</f>
        <v>10.229896744318156</v>
      </c>
      <c r="D1867" s="53"/>
      <c r="E1867" s="53"/>
      <c r="F1867" s="53"/>
      <c r="G1867" s="53"/>
      <c r="H1867" s="53"/>
      <c r="I1867" s="53"/>
      <c r="J1867" s="53"/>
      <c r="K1867" s="53"/>
      <c r="L1867" s="53"/>
      <c r="M1867" s="53"/>
      <c r="N1867" s="53"/>
      <c r="O1867" s="53"/>
      <c r="P1867" s="53"/>
      <c r="Q1867" s="53"/>
    </row>
    <row r="1868" spans="2:20" ht="15.75">
      <c r="B1868" s="53" t="s">
        <v>4287</v>
      </c>
      <c r="C1868" s="481">
        <f>C1867+D1811</f>
        <v>687.22989674431813</v>
      </c>
      <c r="D1868" s="53"/>
      <c r="E1868" s="53"/>
      <c r="F1868" s="53"/>
      <c r="G1868" s="53"/>
      <c r="H1868" s="53"/>
      <c r="I1868" s="53"/>
      <c r="J1868" s="53"/>
      <c r="K1868" s="53"/>
      <c r="L1868" s="53"/>
      <c r="M1868" s="53"/>
      <c r="N1868" s="53"/>
      <c r="O1868" s="53"/>
      <c r="P1868" s="53"/>
      <c r="Q1868" s="53"/>
    </row>
    <row r="1869" spans="2:20" ht="15.75">
      <c r="B1869" s="53"/>
      <c r="C1869" s="53"/>
      <c r="D1869" s="53"/>
      <c r="E1869" s="53"/>
      <c r="F1869" s="53"/>
      <c r="G1869" s="53"/>
      <c r="H1869" s="53"/>
      <c r="I1869" s="53"/>
      <c r="J1869" s="53"/>
      <c r="K1869" s="53"/>
      <c r="L1869" s="53"/>
      <c r="M1869" s="53"/>
      <c r="N1869" s="53"/>
      <c r="O1869" s="53"/>
      <c r="P1869" s="53"/>
      <c r="Q1869" s="53"/>
    </row>
    <row r="1870" spans="2:20" ht="15.75">
      <c r="B1870" s="53" t="s">
        <v>4388</v>
      </c>
      <c r="C1870" s="853">
        <v>4.2999999999999997E-2</v>
      </c>
      <c r="D1870" s="53"/>
      <c r="E1870" s="53"/>
      <c r="F1870" s="53"/>
      <c r="G1870" s="53"/>
      <c r="H1870" s="53"/>
      <c r="I1870" s="53"/>
      <c r="J1870" s="53"/>
      <c r="K1870" s="53"/>
      <c r="L1870" s="53"/>
      <c r="M1870" s="53"/>
      <c r="N1870" s="53"/>
      <c r="O1870" s="53"/>
      <c r="P1870" s="53"/>
      <c r="Q1870" s="53"/>
    </row>
    <row r="1871" spans="2:20" ht="15.75">
      <c r="B1871" s="53"/>
      <c r="C1871" s="53"/>
      <c r="D1871" s="53"/>
      <c r="E1871" s="53"/>
      <c r="F1871" s="53"/>
      <c r="G1871" s="53"/>
      <c r="H1871" s="53"/>
      <c r="I1871" s="53"/>
      <c r="J1871" s="53"/>
      <c r="K1871" s="53"/>
      <c r="L1871" s="53"/>
      <c r="M1871" s="53"/>
      <c r="N1871" s="53"/>
      <c r="O1871" s="53"/>
      <c r="P1871" s="53"/>
      <c r="Q1871" s="53"/>
    </row>
    <row r="1872" spans="2:20" ht="15.75">
      <c r="B1872" s="636" t="s">
        <v>4377</v>
      </c>
      <c r="C1872" s="636"/>
      <c r="D1872" s="636">
        <v>2020</v>
      </c>
      <c r="E1872" s="636">
        <f>D1872+1</f>
        <v>2021</v>
      </c>
      <c r="F1872" s="636">
        <f>E1872+1</f>
        <v>2022</v>
      </c>
      <c r="G1872" s="636">
        <f>F1872+1</f>
        <v>2023</v>
      </c>
      <c r="H1872" s="636">
        <f>G1872+1</f>
        <v>2024</v>
      </c>
      <c r="J1872" s="53"/>
      <c r="K1872" s="53"/>
      <c r="L1872" s="53"/>
      <c r="M1872" s="53"/>
      <c r="N1872" s="53"/>
      <c r="O1872" s="53"/>
      <c r="P1872" s="53"/>
      <c r="Q1872" s="53"/>
    </row>
    <row r="1873" spans="2:18" ht="15.75">
      <c r="B1873" s="53" t="s">
        <v>4205</v>
      </c>
      <c r="C1873" s="53"/>
      <c r="D1873" s="630">
        <f>C1870*C1864*(1-0.28)</f>
        <v>116.30335368951</v>
      </c>
      <c r="E1873" s="630">
        <f>D1873</f>
        <v>116.30335368951</v>
      </c>
      <c r="F1873" s="630">
        <f>E1873</f>
        <v>116.30335368951</v>
      </c>
      <c r="G1873" s="630">
        <f>F1873</f>
        <v>116.30335368951</v>
      </c>
      <c r="H1873" s="630">
        <f>G1873</f>
        <v>116.30335368951</v>
      </c>
      <c r="J1873" s="53"/>
      <c r="K1873" s="53"/>
      <c r="L1873" s="53"/>
      <c r="M1873" s="53"/>
      <c r="N1873" s="53"/>
      <c r="O1873" s="53"/>
      <c r="P1873" s="53"/>
      <c r="Q1873" s="53"/>
    </row>
    <row r="1874" spans="2:18" ht="15.75">
      <c r="B1874" s="53" t="s">
        <v>1664</v>
      </c>
      <c r="C1874" s="53"/>
      <c r="D1874" s="630">
        <f>D1873</f>
        <v>116.30335368951</v>
      </c>
      <c r="E1874" s="630">
        <f>D1874+E1873</f>
        <v>232.60670737902001</v>
      </c>
      <c r="F1874" s="630">
        <f>E1874+F1873</f>
        <v>348.91006106853001</v>
      </c>
      <c r="G1874" s="630">
        <f>F1874+G1873</f>
        <v>465.21341475804002</v>
      </c>
      <c r="H1874" s="630">
        <f>G1874+H1873</f>
        <v>581.51676844755002</v>
      </c>
      <c r="J1874" s="53"/>
      <c r="K1874" s="53"/>
      <c r="L1874" s="53"/>
      <c r="M1874" s="53"/>
      <c r="N1874" s="53"/>
      <c r="O1874" s="53"/>
      <c r="P1874" s="53"/>
      <c r="Q1874" s="53"/>
    </row>
    <row r="1875" spans="2:18" ht="15.75">
      <c r="B1875" s="53"/>
      <c r="C1875" s="53"/>
      <c r="D1875" s="53"/>
      <c r="E1875" s="53"/>
      <c r="F1875" s="53"/>
      <c r="G1875" s="53"/>
      <c r="H1875" s="53"/>
      <c r="J1875" s="53"/>
      <c r="K1875" s="53"/>
      <c r="L1875" s="53"/>
      <c r="M1875" s="53"/>
      <c r="N1875" s="53"/>
      <c r="O1875" s="53"/>
      <c r="P1875" s="53"/>
      <c r="Q1875" s="53"/>
    </row>
    <row r="1876" spans="2:18" ht="15.75">
      <c r="B1876" s="53" t="s">
        <v>1076</v>
      </c>
      <c r="C1876" s="53"/>
      <c r="D1876" s="630">
        <f>E1806+$C$1864+D1874+Valuation!K13</f>
        <v>27502.930431184708</v>
      </c>
      <c r="E1876" s="630">
        <f>F1806+$C$1864+E1874+Valuation!L13</f>
        <v>26877.631135370197</v>
      </c>
      <c r="F1876" s="630">
        <f>G1806+$C$1864+F1874+Valuation!M13</f>
        <v>23737.071952902959</v>
      </c>
      <c r="G1876" s="630">
        <f>H1806+$C$1864+G1874+Valuation!N13</f>
        <v>23108.725134278593</v>
      </c>
      <c r="H1876" s="630">
        <f ca="1">I1806+$C$1864+H1874+Valuation!O13</f>
        <v>21258.119596991797</v>
      </c>
      <c r="J1876" s="53"/>
      <c r="K1876" s="53"/>
      <c r="L1876" s="53"/>
      <c r="M1876" s="53"/>
      <c r="N1876" s="53"/>
      <c r="O1876" s="53"/>
      <c r="P1876" s="53"/>
      <c r="Q1876" s="53"/>
    </row>
    <row r="1877" spans="2:18" ht="15.75">
      <c r="B1877" s="53" t="s">
        <v>1414</v>
      </c>
      <c r="C1877" s="53"/>
      <c r="D1877" s="630">
        <f>E1790+Valuation!K23</f>
        <v>6494.3158623419604</v>
      </c>
      <c r="E1877" s="630">
        <f>F1790+Valuation!L23</f>
        <v>6926.2033467458778</v>
      </c>
      <c r="F1877" s="630">
        <f>G1790+Valuation!M23</f>
        <v>6951.0393832527398</v>
      </c>
      <c r="G1877" s="630">
        <f>H1790+Valuation!N23</f>
        <v>7092.234169815205</v>
      </c>
      <c r="H1877" s="630">
        <f>I1790+Valuation!O23</f>
        <v>7112.8034960236819</v>
      </c>
      <c r="J1877" s="53"/>
      <c r="K1877" s="53"/>
      <c r="L1877" s="53"/>
      <c r="M1877" s="53"/>
      <c r="N1877" s="53"/>
      <c r="O1877" s="53"/>
      <c r="P1877" s="53"/>
      <c r="Q1877" s="53"/>
    </row>
    <row r="1878" spans="2:18" ht="15.75">
      <c r="B1878" s="53" t="s">
        <v>273</v>
      </c>
      <c r="C1878" s="53"/>
      <c r="D1878" s="639">
        <f>D1876/D1877</f>
        <v>4.2349234336850818</v>
      </c>
      <c r="E1878" s="639">
        <f>E1876/E1877</f>
        <v>3.8805720522193523</v>
      </c>
      <c r="F1878" s="639">
        <f>F1876/F1877</f>
        <v>3.4148953335084102</v>
      </c>
      <c r="G1878" s="639">
        <f>G1876/G1877</f>
        <v>3.2583138938968106</v>
      </c>
      <c r="H1878" s="639">
        <f ca="1">H1876/H1877</f>
        <v>2.988711779943853</v>
      </c>
      <c r="J1878" s="53"/>
      <c r="K1878" s="53"/>
      <c r="L1878" s="53"/>
      <c r="M1878" s="53"/>
      <c r="N1878" s="53"/>
      <c r="O1878" s="53"/>
      <c r="P1878" s="53"/>
      <c r="Q1878" s="53"/>
    </row>
    <row r="1879" spans="2:18" ht="15.75">
      <c r="B1879" s="53"/>
      <c r="C1879" s="53"/>
      <c r="D1879" s="53"/>
      <c r="E1879" s="53"/>
      <c r="F1879" s="53"/>
      <c r="G1879" s="53"/>
      <c r="H1879" s="53"/>
      <c r="J1879" s="53"/>
      <c r="K1879" s="53"/>
      <c r="L1879" s="53"/>
      <c r="M1879" s="53"/>
      <c r="N1879" s="53"/>
      <c r="O1879" s="53"/>
      <c r="P1879" s="53"/>
      <c r="Q1879" s="53"/>
    </row>
    <row r="1880" spans="2:18" ht="15.75">
      <c r="B1880" s="53" t="s">
        <v>3986</v>
      </c>
      <c r="C1880" s="53"/>
      <c r="D1880" s="630">
        <f>E1815-D1873+Valuation!K28</f>
        <v>1167.419369817482</v>
      </c>
      <c r="E1880" s="630">
        <f>F1815-E1873+Valuation!L28</f>
        <v>1314.4118106735491</v>
      </c>
      <c r="F1880" s="630">
        <f>G1815-F1873+Valuation!M28</f>
        <v>1327.6862476845681</v>
      </c>
      <c r="G1880" s="630">
        <f>H1815-G1873+Valuation!N28</f>
        <v>1342.8270155558212</v>
      </c>
      <c r="H1880" s="630">
        <f ca="1">I1815-H1873+Valuation!O28</f>
        <v>1593.0627558686128</v>
      </c>
      <c r="J1880" s="53"/>
      <c r="K1880" s="53"/>
      <c r="L1880" s="53"/>
      <c r="M1880" s="53"/>
      <c r="N1880" s="53"/>
      <c r="O1880" s="53"/>
      <c r="P1880" s="53"/>
      <c r="Q1880" s="53"/>
    </row>
    <row r="1881" spans="2:18" ht="15.75">
      <c r="B1881" s="53" t="s">
        <v>4209</v>
      </c>
      <c r="C1881" s="53"/>
      <c r="D1881" s="630">
        <f>$C$1867+E1811</f>
        <v>687.22989674431813</v>
      </c>
      <c r="E1881" s="630">
        <f>$C$1867+F1811</f>
        <v>687.22989674431813</v>
      </c>
      <c r="F1881" s="630">
        <f>$C$1867+G1811</f>
        <v>687.22989674431813</v>
      </c>
      <c r="G1881" s="630">
        <f>$C$1867+H1811</f>
        <v>687.22989674431813</v>
      </c>
      <c r="H1881" s="630">
        <f>$C$1867+I1811</f>
        <v>687.22989674431813</v>
      </c>
      <c r="J1881" s="53"/>
      <c r="K1881" s="53"/>
      <c r="L1881" s="53"/>
      <c r="M1881" s="53"/>
      <c r="N1881" s="53"/>
      <c r="O1881" s="53"/>
      <c r="P1881" s="53"/>
      <c r="Q1881" s="53"/>
    </row>
    <row r="1882" spans="2:18" ht="15.75">
      <c r="B1882" s="53" t="s">
        <v>4210</v>
      </c>
      <c r="C1882" s="53"/>
      <c r="D1882" s="630">
        <f>D1881*E1808</f>
        <v>15119.057728374999</v>
      </c>
      <c r="E1882" s="630">
        <f>E1881*F1808</f>
        <v>15119.057728374999</v>
      </c>
      <c r="F1882" s="630">
        <f>F1881*G1808</f>
        <v>15119.057728374999</v>
      </c>
      <c r="G1882" s="630">
        <f>G1881*H1808</f>
        <v>15119.057728374999</v>
      </c>
      <c r="H1882" s="630">
        <f>H1881*I1808</f>
        <v>15119.057728374999</v>
      </c>
      <c r="J1882" s="53"/>
      <c r="K1882" s="53"/>
      <c r="L1882" s="53"/>
      <c r="M1882" s="50"/>
      <c r="N1882" s="50">
        <f>D1872</f>
        <v>2020</v>
      </c>
      <c r="O1882" s="50">
        <f>N1882+1</f>
        <v>2021</v>
      </c>
      <c r="P1882" s="50">
        <f>O1882+1</f>
        <v>2022</v>
      </c>
      <c r="Q1882" s="50">
        <f>P1882+1</f>
        <v>2023</v>
      </c>
      <c r="R1882" s="50">
        <f>Q1882+1</f>
        <v>2024</v>
      </c>
    </row>
    <row r="1883" spans="2:18" ht="15.75">
      <c r="B1883" s="53" t="s">
        <v>4208</v>
      </c>
      <c r="C1883" s="53"/>
      <c r="D1883" s="56">
        <f>D1880/D1882</f>
        <v>7.7215087791251955E-2</v>
      </c>
      <c r="E1883" s="56">
        <f>E1880/E1882</f>
        <v>8.6937415961227532E-2</v>
      </c>
      <c r="F1883" s="56">
        <f>F1880/F1882</f>
        <v>8.7815409633154984E-2</v>
      </c>
      <c r="G1883" s="56">
        <f>G1880/G1882</f>
        <v>8.8816845578652909E-2</v>
      </c>
      <c r="H1883" s="56">
        <f ca="1">H1880/H1882</f>
        <v>0.10536785985536651</v>
      </c>
      <c r="J1883" s="53"/>
      <c r="K1883" s="53"/>
      <c r="L1883" s="53"/>
      <c r="M1883" s="53" t="s">
        <v>4507</v>
      </c>
      <c r="N1883" s="820">
        <f>E1817</f>
        <v>1.6066775827282009</v>
      </c>
      <c r="O1883" s="820">
        <f>F1817</f>
        <v>1.752932759857468</v>
      </c>
      <c r="P1883" s="820">
        <f>G1817</f>
        <v>1.7942977863723457</v>
      </c>
      <c r="Q1883" s="820">
        <f>H1817</f>
        <v>1.8687745483682885</v>
      </c>
      <c r="R1883" s="820">
        <f>I1817</f>
        <v>2.3232888044914621</v>
      </c>
    </row>
    <row r="1884" spans="2:18" ht="15.75">
      <c r="B1884" s="53" t="s">
        <v>4314</v>
      </c>
      <c r="C1884" s="53"/>
      <c r="D1884" s="820">
        <f>D1880/D1881</f>
        <v>1.6987319314075431</v>
      </c>
      <c r="E1884" s="820">
        <f>E1880/E1881</f>
        <v>1.9126231511470058</v>
      </c>
      <c r="F1884" s="820">
        <f>F1880/F1881</f>
        <v>1.9319390119294095</v>
      </c>
      <c r="G1884" s="820">
        <f>G1880/G1881</f>
        <v>1.953970602730364</v>
      </c>
      <c r="H1884" s="820">
        <f ca="1">H1880/H1881</f>
        <v>2.3180929168180633</v>
      </c>
      <c r="J1884" s="53"/>
      <c r="K1884" s="53"/>
      <c r="L1884" s="53"/>
      <c r="M1884" s="53" t="s">
        <v>4379</v>
      </c>
      <c r="N1884" s="820">
        <f>D1884</f>
        <v>1.6987319314075431</v>
      </c>
      <c r="O1884" s="820">
        <f>E1884</f>
        <v>1.9126231511470058</v>
      </c>
      <c r="P1884" s="820">
        <f>F1884</f>
        <v>1.9319390119294095</v>
      </c>
      <c r="Q1884" s="820">
        <f>G1884</f>
        <v>1.953970602730364</v>
      </c>
      <c r="R1884" s="820">
        <f ca="1">H1884</f>
        <v>2.3180929168180633</v>
      </c>
    </row>
    <row r="1885" spans="2:18" ht="15.75">
      <c r="B1885" s="53" t="s">
        <v>4378</v>
      </c>
      <c r="C1885" s="53"/>
      <c r="D1885" s="56">
        <f>D1884/E1817-1</f>
        <v>5.7294848492894346E-2</v>
      </c>
      <c r="E1885" s="56">
        <f>E1884/F1817-1</f>
        <v>9.1098982771320003E-2</v>
      </c>
      <c r="F1885" s="56">
        <f>F1884/G1817-1</f>
        <v>7.6710358003251322E-2</v>
      </c>
      <c r="G1885" s="56">
        <f>G1884/H1817-1</f>
        <v>4.5589262994010671E-2</v>
      </c>
      <c r="H1885" s="56">
        <f ca="1">H1884/I1817-1</f>
        <v>-2.2364364100382339E-3</v>
      </c>
      <c r="J1885" s="53"/>
      <c r="K1885" s="53"/>
      <c r="L1885" s="53"/>
      <c r="M1885" s="53" t="s">
        <v>4380</v>
      </c>
      <c r="N1885" s="820">
        <f>E1918</f>
        <v>1.6383976709614871</v>
      </c>
      <c r="O1885" s="820">
        <f>F1918</f>
        <v>2.0269400451594217</v>
      </c>
      <c r="P1885" s="820">
        <f>G1918</f>
        <v>2.2357175074931592</v>
      </c>
      <c r="Q1885" s="820">
        <f>H1918</f>
        <v>2.4460402730246642</v>
      </c>
      <c r="R1885" s="820">
        <f ca="1">I1918</f>
        <v>3.017752313071886</v>
      </c>
    </row>
    <row r="1886" spans="2:18" ht="15.75">
      <c r="B1886" s="53" t="s">
        <v>4304</v>
      </c>
      <c r="C1886" s="53"/>
      <c r="D1886" s="56">
        <f>D1884/P1817-1</f>
        <v>0.371470133354034</v>
      </c>
      <c r="E1886" s="56">
        <f>E1884/Q1817-1</f>
        <v>-0.3406728941565409</v>
      </c>
      <c r="F1886" s="56">
        <f>F1884/R1817-1</f>
        <v>-0.35949858552784097</v>
      </c>
      <c r="G1886" s="56">
        <f>G1884/S1817-1</f>
        <v>-0.41996743590949104</v>
      </c>
      <c r="H1886" s="56">
        <f ca="1">H1884/T1817-1</f>
        <v>-0.49533995101885508</v>
      </c>
      <c r="J1886" s="53"/>
      <c r="K1886" s="53"/>
      <c r="L1886" s="53"/>
      <c r="M1886" s="53" t="s">
        <v>4381</v>
      </c>
      <c r="N1886" s="820">
        <f>E2030</f>
        <v>1.5853729346229408</v>
      </c>
      <c r="O1886" s="820">
        <f>F2030</f>
        <v>1.7842961645766773</v>
      </c>
      <c r="P1886" s="820">
        <f>G2030</f>
        <v>1.8727018938392821</v>
      </c>
      <c r="Q1886" s="820">
        <f>H2030</f>
        <v>1.9851881360816133</v>
      </c>
      <c r="R1886" s="820">
        <f>I2030</f>
        <v>2.4411586696848291</v>
      </c>
    </row>
    <row r="1887" spans="2:18" ht="15.75">
      <c r="B1887" s="53"/>
      <c r="C1887" s="53"/>
      <c r="D1887" s="53"/>
      <c r="E1887" s="56"/>
      <c r="F1887" s="56"/>
      <c r="G1887" s="56"/>
      <c r="H1887" s="56"/>
      <c r="I1887" s="56"/>
      <c r="J1887" s="53"/>
      <c r="K1887" s="53"/>
      <c r="L1887" s="53"/>
      <c r="M1887" s="53" t="s">
        <v>4510</v>
      </c>
      <c r="N1887" s="820">
        <f>E1981</f>
        <v>1.9049233403068666</v>
      </c>
      <c r="O1887" s="820">
        <f>F1981</f>
        <v>2.1659120107636922</v>
      </c>
      <c r="P1887" s="820">
        <f>G1981</f>
        <v>2.2766829431180065</v>
      </c>
      <c r="Q1887" s="820">
        <f>H1981</f>
        <v>2.3668365361502985</v>
      </c>
      <c r="R1887" s="820">
        <f ca="1">I1981</f>
        <v>2.8170166150298535</v>
      </c>
    </row>
    <row r="1888" spans="2:18" ht="15.75">
      <c r="B1888" s="53"/>
      <c r="C1888" s="53"/>
      <c r="D1888" s="53"/>
      <c r="E1888" s="56"/>
      <c r="F1888" s="56"/>
      <c r="G1888" s="56"/>
      <c r="H1888" s="56"/>
      <c r="I1888" s="56"/>
      <c r="J1888" s="53"/>
      <c r="K1888" s="53"/>
      <c r="L1888" s="53"/>
      <c r="M1888" s="53" t="s">
        <v>4512</v>
      </c>
      <c r="N1888" s="820">
        <f>E2000</f>
        <v>1.6964002195994887</v>
      </c>
      <c r="O1888" s="820">
        <f>F2000</f>
        <v>1.854607677450105</v>
      </c>
      <c r="P1888" s="820">
        <f>G2000</f>
        <v>1.9191819578029108</v>
      </c>
      <c r="Q1888" s="820">
        <f>H2000</f>
        <v>2.0109465619552265</v>
      </c>
      <c r="R1888" s="820">
        <f>I2000</f>
        <v>2.4873003560444094</v>
      </c>
    </row>
    <row r="1889" spans="2:18" ht="15.75">
      <c r="B1889" s="53"/>
      <c r="C1889" s="53"/>
      <c r="D1889" s="53"/>
      <c r="E1889" s="56"/>
      <c r="F1889" s="56"/>
      <c r="G1889" s="56"/>
      <c r="H1889" s="56"/>
      <c r="I1889" s="56"/>
      <c r="J1889" s="53"/>
      <c r="K1889" s="53"/>
      <c r="L1889" s="53"/>
    </row>
    <row r="1890" spans="2:18" ht="15.75">
      <c r="B1890" s="53"/>
      <c r="C1890" s="53"/>
      <c r="D1890" s="53"/>
      <c r="E1890" s="56"/>
      <c r="F1890" s="56"/>
      <c r="G1890" s="56"/>
      <c r="H1890" s="56"/>
      <c r="I1890" s="56"/>
      <c r="J1890" s="53"/>
      <c r="K1890" s="53"/>
      <c r="L1890" s="53"/>
    </row>
    <row r="1891" spans="2:18" ht="15.75">
      <c r="B1891" s="976" t="s">
        <v>4211</v>
      </c>
      <c r="C1891" s="53"/>
      <c r="D1891" s="53"/>
      <c r="E1891" s="53"/>
      <c r="F1891" s="53"/>
      <c r="G1891" s="53"/>
      <c r="H1891" s="53"/>
      <c r="I1891" s="53"/>
      <c r="J1891" s="53"/>
      <c r="K1891" s="53"/>
      <c r="L1891" s="53"/>
      <c r="M1891" s="3"/>
      <c r="N1891" s="50">
        <f>N1882</f>
        <v>2020</v>
      </c>
      <c r="O1891" s="50">
        <f>O1882</f>
        <v>2021</v>
      </c>
      <c r="P1891" s="50">
        <f>P1882</f>
        <v>2022</v>
      </c>
      <c r="Q1891" s="50">
        <f>Q1882</f>
        <v>2023</v>
      </c>
      <c r="R1891" s="50">
        <f>R1882</f>
        <v>2024</v>
      </c>
    </row>
    <row r="1892" spans="2:18" ht="15.75">
      <c r="B1892" s="53"/>
      <c r="C1892" s="53"/>
      <c r="D1892" s="53"/>
      <c r="E1892" s="53"/>
      <c r="F1892" s="53"/>
      <c r="G1892" s="53"/>
      <c r="H1892" s="53"/>
      <c r="I1892" s="53"/>
      <c r="J1892" s="53"/>
      <c r="K1892" s="53"/>
      <c r="L1892" s="53"/>
      <c r="M1892" s="53" t="str">
        <f>M1883</f>
        <v>LBTY Global (no buy back)</v>
      </c>
      <c r="N1892" s="713">
        <f>E1807</f>
        <v>3.1638369872049985</v>
      </c>
      <c r="O1892" s="713">
        <f>F1807</f>
        <v>2.9088097757884905</v>
      </c>
      <c r="P1892" s="713">
        <f>G1807</f>
        <v>2.5534097188284202</v>
      </c>
      <c r="Q1892" s="713">
        <f>H1807</f>
        <v>2.1585296054869247</v>
      </c>
      <c r="R1892" s="713">
        <f>I1807</f>
        <v>1.7383835587720926</v>
      </c>
    </row>
    <row r="1893" spans="2:18" ht="15.75">
      <c r="B1893" s="53" t="s">
        <v>4212</v>
      </c>
      <c r="C1893" s="630">
        <f>C1728</f>
        <v>4427.8350515463917</v>
      </c>
      <c r="D1893" s="53"/>
      <c r="E1893" s="53"/>
      <c r="F1893" s="53"/>
      <c r="G1893" s="53"/>
      <c r="H1893" s="53"/>
      <c r="I1893" s="53"/>
      <c r="J1893" s="53"/>
      <c r="K1893" s="53"/>
      <c r="L1893" s="53"/>
      <c r="M1893" s="53" t="str">
        <f>M1884</f>
        <v>LILA acquisition</v>
      </c>
      <c r="N1893" s="713">
        <f>D1878</f>
        <v>4.2349234336850818</v>
      </c>
      <c r="O1893" s="713">
        <f>E1878</f>
        <v>3.8805720522193523</v>
      </c>
      <c r="P1893" s="713">
        <f>F1878</f>
        <v>3.4148953335084102</v>
      </c>
      <c r="Q1893" s="713">
        <f>G1878</f>
        <v>3.2583138938968106</v>
      </c>
      <c r="R1893" s="713">
        <f ca="1">H1878</f>
        <v>2.988711779943853</v>
      </c>
    </row>
    <row r="1894" spans="2:18" ht="15.75">
      <c r="B1894" s="50" t="s">
        <v>4179</v>
      </c>
      <c r="C1894" s="632">
        <f>K1743</f>
        <v>7972.471599541218</v>
      </c>
      <c r="D1894" s="53"/>
      <c r="E1894" s="53"/>
      <c r="F1894" s="53"/>
      <c r="G1894" s="53"/>
      <c r="H1894" s="53"/>
      <c r="I1894" s="53"/>
      <c r="J1894" s="53"/>
      <c r="K1894" s="53"/>
      <c r="L1894" s="53"/>
      <c r="M1894" s="53" t="str">
        <f>M1885</f>
        <v>LILA and Cable acquisition</v>
      </c>
      <c r="N1894" s="713">
        <f>E1911</f>
        <v>4.9892131448781241</v>
      </c>
      <c r="O1894" s="713">
        <f>F1911</f>
        <v>4.6371747182328944</v>
      </c>
      <c r="P1894" s="713">
        <f>G1911</f>
        <v>4.2322766759832744</v>
      </c>
      <c r="Q1894" s="713">
        <f>H1911</f>
        <v>4.0656202842255249</v>
      </c>
      <c r="R1894" s="713">
        <f ca="1">I1911</f>
        <v>3.8195824131995439</v>
      </c>
    </row>
    <row r="1895" spans="2:18" ht="15.75">
      <c r="B1895" s="53" t="s">
        <v>4214</v>
      </c>
      <c r="C1895" s="630">
        <f>C1893+C1894</f>
        <v>12400.306651087609</v>
      </c>
      <c r="D1895" s="53"/>
      <c r="E1895" s="53"/>
      <c r="F1895" s="53"/>
      <c r="G1895" s="53"/>
      <c r="H1895" s="53"/>
      <c r="I1895" s="53"/>
      <c r="J1895" s="53"/>
      <c r="K1895" s="53"/>
      <c r="L1895" s="53"/>
      <c r="M1895" s="53" t="s">
        <v>4381</v>
      </c>
      <c r="N1895" s="713">
        <f>E2032</f>
        <v>3.5952000414384693</v>
      </c>
      <c r="O1895" s="713">
        <f>F2032</f>
        <v>3.3439935809154653</v>
      </c>
      <c r="P1895" s="713">
        <f>G2032</f>
        <v>2.9900109371016619</v>
      </c>
      <c r="Q1895" s="713">
        <f>H2032</f>
        <v>2.5938606047857413</v>
      </c>
      <c r="R1895" s="713">
        <f>I2032</f>
        <v>2.1736559818537189</v>
      </c>
    </row>
    <row r="1896" spans="2:18" ht="15.75">
      <c r="B1896" s="53"/>
      <c r="C1896" s="630"/>
      <c r="D1896" s="53"/>
      <c r="E1896" s="53"/>
      <c r="F1896" s="53"/>
      <c r="G1896" s="53"/>
      <c r="H1896" s="53"/>
      <c r="I1896" s="53"/>
      <c r="J1896" s="53"/>
      <c r="K1896" s="53"/>
      <c r="L1896" s="53"/>
      <c r="M1896" s="53" t="str">
        <f>M1887</f>
        <v>LILA + Roll-up Millicom</v>
      </c>
      <c r="N1896" s="713">
        <f>E1974</f>
        <v>4.6482097554107913</v>
      </c>
      <c r="O1896" s="713">
        <f>F1974</f>
        <v>4.3414562937529766</v>
      </c>
      <c r="P1896" s="713">
        <f>G1974</f>
        <v>3.9767549840019387</v>
      </c>
      <c r="Q1896" s="713">
        <f>H1974</f>
        <v>3.8174965237916823</v>
      </c>
      <c r="R1896" s="713">
        <f ca="1">I1974</f>
        <v>3.5845491484940628</v>
      </c>
    </row>
    <row r="1897" spans="2:18" ht="15.75">
      <c r="B1897" s="53" t="str">
        <f t="shared" ref="B1897:B1902" si="165">B1863</f>
        <v>% cash offer</v>
      </c>
      <c r="C1897" s="651">
        <v>1</v>
      </c>
      <c r="D1897" s="53"/>
      <c r="E1897" s="53"/>
      <c r="F1897" s="53"/>
      <c r="G1897" s="53"/>
      <c r="H1897" s="53"/>
      <c r="I1897" s="53"/>
      <c r="J1897" s="53"/>
      <c r="K1897" s="53"/>
      <c r="L1897" s="53"/>
      <c r="M1897" s="53" t="str">
        <f>M1888</f>
        <v>LBTY min TIGO bid (only)</v>
      </c>
      <c r="N1897" s="713">
        <f>E2002</f>
        <v>3.4078932682613958</v>
      </c>
      <c r="O1897" s="713">
        <f>F2002</f>
        <v>3.1550277585593953</v>
      </c>
      <c r="P1897" s="713">
        <f>G2002</f>
        <v>2.8004296445979278</v>
      </c>
      <c r="Q1897" s="713">
        <f>H2002</f>
        <v>2.4048308676713543</v>
      </c>
      <c r="R1897" s="713">
        <f>I2002</f>
        <v>1.9846516797461531</v>
      </c>
    </row>
    <row r="1898" spans="2:18" ht="15.75">
      <c r="B1898" s="53" t="str">
        <f t="shared" si="165"/>
        <v>Cash, USD million</v>
      </c>
      <c r="C1898" s="630">
        <f>C1897*C1895</f>
        <v>12400.306651087609</v>
      </c>
      <c r="D1898" s="53"/>
      <c r="E1898" s="53"/>
      <c r="F1898" s="53"/>
      <c r="G1898" s="53"/>
      <c r="H1898" s="53"/>
      <c r="I1898" s="53"/>
      <c r="J1898" s="53"/>
      <c r="K1898" s="53"/>
      <c r="L1898" s="53"/>
      <c r="M1898" s="53"/>
      <c r="N1898" s="53"/>
      <c r="O1898" s="53"/>
      <c r="P1898" s="53"/>
      <c r="Q1898" s="53"/>
    </row>
    <row r="1899" spans="2:18" ht="15.75">
      <c r="B1899" s="53" t="str">
        <f t="shared" si="165"/>
        <v>Stock, USD million</v>
      </c>
      <c r="C1899" s="630">
        <f>C1895-C1898</f>
        <v>0</v>
      </c>
      <c r="D1899" s="53"/>
      <c r="E1899" s="53"/>
      <c r="F1899" s="53"/>
      <c r="G1899" s="53"/>
      <c r="H1899" s="53"/>
      <c r="I1899" s="53"/>
      <c r="J1899" s="53"/>
      <c r="K1899" s="53"/>
      <c r="L1899" s="53"/>
      <c r="M1899" s="53"/>
      <c r="N1899" s="53"/>
      <c r="O1899" s="53"/>
      <c r="P1899" s="53"/>
      <c r="Q1899" s="53"/>
    </row>
    <row r="1900" spans="2:18" ht="15.75">
      <c r="B1900" s="53" t="str">
        <f t="shared" si="165"/>
        <v>Issue price for LBTY, USD</v>
      </c>
      <c r="C1900" s="649">
        <f>C1866</f>
        <v>22</v>
      </c>
      <c r="D1900" s="53"/>
      <c r="E1900" s="53"/>
      <c r="F1900" s="53"/>
      <c r="G1900" s="53"/>
      <c r="H1900" s="53"/>
      <c r="I1900" s="53"/>
      <c r="J1900" s="53"/>
      <c r="K1900" s="53"/>
      <c r="L1900" s="53"/>
      <c r="M1900" s="53"/>
      <c r="N1900" s="53"/>
      <c r="O1900" s="53"/>
      <c r="P1900" s="53"/>
      <c r="Q1900" s="53"/>
    </row>
    <row r="1901" spans="2:18" ht="15.75">
      <c r="B1901" s="53" t="str">
        <f t="shared" si="165"/>
        <v>Shares issued, million</v>
      </c>
      <c r="C1901" s="621">
        <f>C1899/C1900</f>
        <v>0</v>
      </c>
      <c r="D1901" s="53"/>
      <c r="E1901" s="53"/>
      <c r="F1901" s="53"/>
      <c r="G1901" s="53"/>
      <c r="H1901" s="53"/>
      <c r="I1901" s="53"/>
      <c r="J1901" s="53"/>
      <c r="K1901" s="53"/>
      <c r="L1901" s="53"/>
      <c r="M1901" s="53"/>
      <c r="N1901" s="53"/>
      <c r="O1901" s="53"/>
      <c r="P1901" s="53"/>
      <c r="Q1901" s="53"/>
    </row>
    <row r="1902" spans="2:18" ht="15.75">
      <c r="B1902" s="53" t="str">
        <f t="shared" si="165"/>
        <v>New SHOUT, million</v>
      </c>
      <c r="C1902" s="481">
        <f>C1901+D1881</f>
        <v>687.22989674431813</v>
      </c>
      <c r="D1902" s="53"/>
      <c r="E1902" s="53"/>
      <c r="F1902" s="53"/>
      <c r="G1902" s="53"/>
      <c r="H1902" s="53"/>
      <c r="I1902" s="53"/>
      <c r="J1902" s="53"/>
      <c r="K1902" s="53"/>
      <c r="L1902" s="53"/>
      <c r="M1902" s="53"/>
      <c r="N1902" s="53"/>
      <c r="O1902" s="53"/>
      <c r="P1902" s="53"/>
      <c r="Q1902" s="53"/>
    </row>
    <row r="1903" spans="2:18" ht="15.75">
      <c r="B1903" s="53"/>
      <c r="C1903" s="53"/>
      <c r="D1903" s="53"/>
      <c r="E1903" s="53"/>
      <c r="F1903" s="53"/>
      <c r="G1903" s="53"/>
      <c r="H1903" s="53"/>
      <c r="I1903" s="53"/>
      <c r="J1903" s="53"/>
      <c r="K1903" s="53"/>
      <c r="L1903" s="53"/>
      <c r="M1903" s="53"/>
      <c r="N1903" s="53"/>
      <c r="O1903" s="53"/>
      <c r="P1903" s="53"/>
      <c r="Q1903" s="53"/>
    </row>
    <row r="1904" spans="2:18" ht="15.75">
      <c r="B1904" s="53" t="s">
        <v>4203</v>
      </c>
      <c r="C1904" s="53"/>
      <c r="D1904" s="53"/>
      <c r="E1904" s="853">
        <v>4.2999999999999997E-2</v>
      </c>
      <c r="F1904" s="53"/>
      <c r="G1904" s="53"/>
      <c r="H1904" s="53"/>
      <c r="I1904" s="53"/>
      <c r="J1904" s="53"/>
      <c r="K1904" s="53"/>
      <c r="L1904" s="53"/>
      <c r="M1904" s="53"/>
      <c r="N1904" s="53"/>
      <c r="O1904" s="53"/>
      <c r="P1904" s="53"/>
      <c r="Q1904" s="53"/>
    </row>
    <row r="1905" spans="2:17" ht="15.75">
      <c r="B1905" s="53" t="s">
        <v>4205</v>
      </c>
      <c r="C1905" s="53"/>
      <c r="D1905" s="53"/>
      <c r="E1905" s="630">
        <f>E1904*C1898*(1-0.28)</f>
        <v>383.91349391767233</v>
      </c>
      <c r="F1905" s="630">
        <f>E1905</f>
        <v>383.91349391767233</v>
      </c>
      <c r="G1905" s="630">
        <f>F1905</f>
        <v>383.91349391767233</v>
      </c>
      <c r="H1905" s="630">
        <f>G1905</f>
        <v>383.91349391767233</v>
      </c>
      <c r="I1905" s="630">
        <f>H1905</f>
        <v>383.91349391767233</v>
      </c>
      <c r="J1905" s="53"/>
      <c r="K1905" s="53"/>
      <c r="L1905" s="53"/>
      <c r="M1905" s="53"/>
      <c r="N1905" s="53"/>
      <c r="O1905" s="53"/>
      <c r="P1905" s="53"/>
      <c r="Q1905" s="53"/>
    </row>
    <row r="1906" spans="2:17" ht="15.75">
      <c r="B1906" s="53" t="s">
        <v>1664</v>
      </c>
      <c r="C1906" s="53"/>
      <c r="D1906" s="53"/>
      <c r="E1906" s="630">
        <f>E1905</f>
        <v>383.91349391767233</v>
      </c>
      <c r="F1906" s="630">
        <f>E1906+F1905</f>
        <v>767.82698783534465</v>
      </c>
      <c r="G1906" s="630">
        <f>F1906+G1905</f>
        <v>1151.7404817530169</v>
      </c>
      <c r="H1906" s="630">
        <f>G1906+H1905</f>
        <v>1535.6539756706893</v>
      </c>
      <c r="I1906" s="630">
        <f>H1906+I1905</f>
        <v>1919.5674695883617</v>
      </c>
      <c r="J1906" s="53"/>
      <c r="K1906" s="53"/>
      <c r="L1906" s="53"/>
      <c r="M1906" s="53"/>
      <c r="N1906" s="53"/>
      <c r="O1906" s="53"/>
      <c r="P1906" s="53"/>
      <c r="Q1906" s="53"/>
    </row>
    <row r="1907" spans="2:17" ht="15.75">
      <c r="B1907" s="53"/>
      <c r="C1907" s="53"/>
      <c r="D1907" s="53"/>
      <c r="E1907" s="53"/>
      <c r="F1907" s="53"/>
      <c r="G1907" s="53"/>
      <c r="H1907" s="53"/>
      <c r="I1907" s="53"/>
      <c r="J1907" s="53"/>
      <c r="K1907" s="53"/>
      <c r="L1907" s="53"/>
      <c r="M1907" s="53"/>
      <c r="N1907" s="53"/>
      <c r="O1907" s="53"/>
      <c r="P1907" s="53"/>
      <c r="Q1907" s="53"/>
    </row>
    <row r="1908" spans="2:17" ht="15.75">
      <c r="B1908" s="636" t="s">
        <v>3871</v>
      </c>
      <c r="C1908" s="636"/>
      <c r="D1908" s="636"/>
      <c r="E1908" s="636">
        <v>2020</v>
      </c>
      <c r="F1908" s="636">
        <f>E1908+1</f>
        <v>2021</v>
      </c>
      <c r="G1908" s="636">
        <f>F1908+1</f>
        <v>2022</v>
      </c>
      <c r="H1908" s="636">
        <f>G1908+1</f>
        <v>2023</v>
      </c>
      <c r="I1908" s="636">
        <f>H1908+1</f>
        <v>2024</v>
      </c>
      <c r="J1908" s="53"/>
      <c r="K1908" s="53"/>
      <c r="L1908" s="53"/>
      <c r="M1908" s="53"/>
      <c r="N1908" s="53"/>
      <c r="O1908" s="53"/>
      <c r="P1908" s="53"/>
      <c r="Q1908" s="53"/>
    </row>
    <row r="1909" spans="2:17" ht="15.75">
      <c r="B1909" s="53" t="s">
        <v>1076</v>
      </c>
      <c r="C1909" s="53"/>
      <c r="D1909" s="53"/>
      <c r="E1909" s="630">
        <f>D1876+$C$1898+D1713+L1713+E1906</f>
        <v>40324.204674702494</v>
      </c>
      <c r="F1909" s="630">
        <f>E1876+$C$1898+E1713+M1713+F1906</f>
        <v>40045.230911940933</v>
      </c>
      <c r="G1909" s="630">
        <f>F1876+$C$1898+F1713+N1713+G1906</f>
        <v>37240.207358401683</v>
      </c>
      <c r="H1909" s="630">
        <f>G1876+$C$1898+G1713+O1713+H1906</f>
        <v>36932.026268184549</v>
      </c>
      <c r="I1909" s="630">
        <f ca="1">H1876+$C$1898+H1713+P1713+I1906</f>
        <v>35369.190128001443</v>
      </c>
      <c r="J1909" s="53"/>
      <c r="K1909" s="53"/>
      <c r="L1909" s="53"/>
      <c r="M1909" s="53"/>
      <c r="N1909" s="53"/>
      <c r="O1909" s="53"/>
      <c r="P1909" s="53"/>
      <c r="Q1909" s="53"/>
    </row>
    <row r="1910" spans="2:17" ht="15.75">
      <c r="B1910" s="53" t="s">
        <v>1414</v>
      </c>
      <c r="C1910" s="53"/>
      <c r="D1910" s="53"/>
      <c r="E1910" s="630">
        <f>D1877+D1708+L1708</f>
        <v>8082.2774060272241</v>
      </c>
      <c r="F1910" s="630">
        <f>E1877+E1708+M1708</f>
        <v>8635.6959453106647</v>
      </c>
      <c r="G1910" s="630">
        <f>F1877+F1708+N1708</f>
        <v>8799.0956663412744</v>
      </c>
      <c r="H1910" s="630">
        <f>G1877+G1708+O1708</f>
        <v>9083.9831775435632</v>
      </c>
      <c r="I1910" s="630">
        <f>H1877+H1708+P1708</f>
        <v>9259.9625565805727</v>
      </c>
      <c r="J1910" s="53"/>
      <c r="K1910" s="53"/>
      <c r="L1910" s="53"/>
      <c r="M1910" s="53"/>
      <c r="N1910" s="53"/>
      <c r="O1910" s="53"/>
      <c r="P1910" s="53"/>
      <c r="Q1910" s="53"/>
    </row>
    <row r="1911" spans="2:17" ht="15.75">
      <c r="B1911" s="53" t="s">
        <v>273</v>
      </c>
      <c r="C1911" s="53"/>
      <c r="D1911" s="53"/>
      <c r="E1911" s="639">
        <f>E1909/E1910</f>
        <v>4.9892131448781241</v>
      </c>
      <c r="F1911" s="639">
        <f>F1909/F1910</f>
        <v>4.6371747182328944</v>
      </c>
      <c r="G1911" s="639">
        <f>G1909/G1910</f>
        <v>4.2322766759832744</v>
      </c>
      <c r="H1911" s="639">
        <f>H1909/H1910</f>
        <v>4.0656202842255249</v>
      </c>
      <c r="I1911" s="639">
        <f ca="1">I1909/I1910</f>
        <v>3.8195824131995439</v>
      </c>
      <c r="J1911" s="53"/>
      <c r="K1911" s="53"/>
      <c r="L1911" s="53"/>
      <c r="M1911" s="53"/>
      <c r="N1911" s="53"/>
      <c r="O1911" s="53"/>
      <c r="P1911" s="53"/>
      <c r="Q1911" s="53"/>
    </row>
    <row r="1912" spans="2:17" ht="15.75">
      <c r="B1912" s="53"/>
      <c r="C1912" s="53"/>
      <c r="D1912" s="53"/>
      <c r="E1912" s="53"/>
      <c r="F1912" s="53"/>
      <c r="G1912" s="53"/>
      <c r="H1912" s="53"/>
      <c r="I1912" s="53"/>
      <c r="J1912" s="53"/>
      <c r="K1912" s="53"/>
      <c r="L1912" s="53"/>
      <c r="M1912" s="53"/>
      <c r="N1912" s="53"/>
      <c r="O1912" s="53"/>
      <c r="P1912" s="53"/>
      <c r="Q1912" s="53"/>
    </row>
    <row r="1913" spans="2:17" ht="15.75">
      <c r="B1913" s="53" t="s">
        <v>4299</v>
      </c>
      <c r="C1913" s="53"/>
      <c r="D1913" s="53"/>
      <c r="E1913" s="630">
        <f>D1880-E1905+D1712+L1712</f>
        <v>1125.9558622409941</v>
      </c>
      <c r="F1913" s="630">
        <f>E1880-F1905+E1712+M1712</f>
        <v>1345.3454045530534</v>
      </c>
      <c r="G1913" s="630">
        <f>F1880-G1905+F1712+N1712</f>
        <v>1461.6814625929528</v>
      </c>
      <c r="H1913" s="630">
        <f>G1880-H1905+G1712+O1712</f>
        <v>1575.910891680734</v>
      </c>
      <c r="I1913" s="630">
        <f ca="1">H1880-I1905+H1712+P1712</f>
        <v>1905.4423535348046</v>
      </c>
      <c r="J1913" s="53"/>
      <c r="K1913" s="53"/>
      <c r="L1913" s="53"/>
      <c r="M1913" s="53"/>
      <c r="N1913" s="53"/>
      <c r="O1913" s="53"/>
      <c r="P1913" s="53"/>
      <c r="Q1913" s="53"/>
    </row>
    <row r="1914" spans="2:17" ht="15.75">
      <c r="B1914" s="53" t="s">
        <v>4300</v>
      </c>
      <c r="C1914" s="53"/>
      <c r="D1914" s="53"/>
      <c r="E1914" s="630">
        <f>E1913+E1926</f>
        <v>1125.9558622409941</v>
      </c>
      <c r="F1914" s="630">
        <f>F1913+F1926</f>
        <v>1392.973797941833</v>
      </c>
      <c r="G1914" s="630">
        <f>G1913+G1926</f>
        <v>1536.4519118239882</v>
      </c>
      <c r="H1914" s="630">
        <f>H1913+H1926</f>
        <v>1680.9920042631836</v>
      </c>
      <c r="I1914" s="630">
        <f ca="1">I1913+I1926</f>
        <v>2073.8896105123195</v>
      </c>
      <c r="J1914" s="53"/>
      <c r="K1914" s="53"/>
      <c r="L1914" s="53"/>
      <c r="M1914" s="53"/>
      <c r="N1914" s="53"/>
      <c r="O1914" s="53"/>
      <c r="P1914" s="53"/>
      <c r="Q1914" s="53"/>
    </row>
    <row r="1915" spans="2:17" ht="15.75">
      <c r="B1915" s="53" t="s">
        <v>4209</v>
      </c>
      <c r="C1915" s="53"/>
      <c r="D1915" s="53"/>
      <c r="E1915" s="630">
        <f>D1881+$C$1901</f>
        <v>687.22989674431813</v>
      </c>
      <c r="F1915" s="630">
        <f>E1881+$C$1901</f>
        <v>687.22989674431813</v>
      </c>
      <c r="G1915" s="630">
        <f>F1881+$C$1901</f>
        <v>687.22989674431813</v>
      </c>
      <c r="H1915" s="630">
        <f>G1881+$C$1901</f>
        <v>687.22989674431813</v>
      </c>
      <c r="I1915" s="630">
        <f>H1881+$C$1901</f>
        <v>687.22989674431813</v>
      </c>
      <c r="J1915" s="53"/>
      <c r="K1915" s="53"/>
      <c r="L1915" s="53"/>
      <c r="M1915" s="53"/>
      <c r="N1915" s="53"/>
      <c r="O1915" s="53"/>
      <c r="P1915" s="53"/>
      <c r="Q1915" s="53"/>
    </row>
    <row r="1916" spans="2:17" ht="15.75">
      <c r="B1916" s="53" t="s">
        <v>4210</v>
      </c>
      <c r="C1916" s="53"/>
      <c r="D1916" s="53"/>
      <c r="E1916" s="630">
        <f>E1915*E1808</f>
        <v>15119.057728374999</v>
      </c>
      <c r="F1916" s="630">
        <f>F1915*F1808</f>
        <v>15119.057728374999</v>
      </c>
      <c r="G1916" s="630">
        <f>G1915*G1808</f>
        <v>15119.057728374999</v>
      </c>
      <c r="H1916" s="630">
        <f>H1915*H1808</f>
        <v>15119.057728374999</v>
      </c>
      <c r="I1916" s="630">
        <f>I1915*I1808</f>
        <v>15119.057728374999</v>
      </c>
      <c r="J1916" s="53"/>
      <c r="K1916" s="53"/>
      <c r="L1916" s="53"/>
      <c r="M1916" s="53"/>
      <c r="N1916" s="53"/>
      <c r="O1916" s="53"/>
      <c r="P1916" s="53"/>
      <c r="Q1916" s="53"/>
    </row>
    <row r="1917" spans="2:17" ht="15.75">
      <c r="B1917" s="53" t="s">
        <v>4208</v>
      </c>
      <c r="C1917" s="53"/>
      <c r="D1917" s="53"/>
      <c r="E1917" s="56">
        <f>E1914/E1916</f>
        <v>7.4472621407340317E-2</v>
      </c>
      <c r="F1917" s="56">
        <f>F1914/F1916</f>
        <v>9.2133638416337357E-2</v>
      </c>
      <c r="G1917" s="56">
        <f>G1914/G1916</f>
        <v>0.10162352306787088</v>
      </c>
      <c r="H1917" s="56">
        <f>H1914/H1916</f>
        <v>0.11118364877384837</v>
      </c>
      <c r="I1917" s="56">
        <f ca="1">I1914/I1916</f>
        <v>0.13717055968508574</v>
      </c>
      <c r="J1917" s="53"/>
      <c r="K1917" s="53"/>
      <c r="L1917" s="53"/>
      <c r="M1917" s="53"/>
      <c r="N1917" s="53"/>
      <c r="O1917" s="53"/>
      <c r="P1917" s="53"/>
      <c r="Q1917" s="53"/>
    </row>
    <row r="1918" spans="2:17" ht="15.75">
      <c r="B1918" s="53" t="s">
        <v>4315</v>
      </c>
      <c r="C1918" s="53"/>
      <c r="D1918" s="53"/>
      <c r="E1918" s="820">
        <f>E1913/E1915</f>
        <v>1.6383976709614871</v>
      </c>
      <c r="F1918" s="820">
        <f>F1914/F1915</f>
        <v>2.0269400451594217</v>
      </c>
      <c r="G1918" s="820">
        <f>G1914/G1915</f>
        <v>2.2357175074931592</v>
      </c>
      <c r="H1918" s="820">
        <f>H1914/H1915</f>
        <v>2.4460402730246642</v>
      </c>
      <c r="I1918" s="820">
        <f ca="1">I1914/I1915</f>
        <v>3.017752313071886</v>
      </c>
      <c r="J1918" s="53"/>
      <c r="K1918" s="53"/>
      <c r="L1918" s="53"/>
      <c r="M1918" s="53"/>
      <c r="N1918" s="53"/>
      <c r="O1918" s="53"/>
      <c r="P1918" s="53"/>
      <c r="Q1918" s="53"/>
    </row>
    <row r="1919" spans="2:17" ht="15.75">
      <c r="B1919" s="53" t="s">
        <v>4305</v>
      </c>
      <c r="C1919" s="53"/>
      <c r="D1919" s="53"/>
      <c r="E1919" s="56">
        <f>E1918/E1817-1</f>
        <v>1.9742659370042492E-2</v>
      </c>
      <c r="F1919" s="56">
        <f>F1918/F1817-1</f>
        <v>0.15631363140491117</v>
      </c>
      <c r="G1919" s="56">
        <f>G1918/G1817-1</f>
        <v>0.24601252059350864</v>
      </c>
      <c r="H1919" s="56">
        <f>H1918/H1817-1</f>
        <v>0.30890067780536312</v>
      </c>
      <c r="I1919" s="56">
        <f ca="1">I1918/I1817-1</f>
        <v>0.29891398229865485</v>
      </c>
      <c r="J1919" s="53"/>
      <c r="K1919" s="53"/>
      <c r="L1919" s="53"/>
      <c r="M1919" s="53"/>
      <c r="N1919" s="53"/>
      <c r="O1919" s="53"/>
      <c r="P1919" s="53"/>
      <c r="Q1919" s="53"/>
    </row>
    <row r="1920" spans="2:17" ht="15.75">
      <c r="B1920" s="53" t="s">
        <v>4325</v>
      </c>
      <c r="C1920" s="53"/>
      <c r="D1920" s="53"/>
      <c r="E1920" s="56">
        <f>E1918/P1817-1</f>
        <v>0.32275930694883015</v>
      </c>
      <c r="F1920" s="56">
        <f>F1918/Q1817-1</f>
        <v>-0.30126511702437631</v>
      </c>
      <c r="G1920" s="56">
        <f>G1918/R1817-1</f>
        <v>-0.25878600873666657</v>
      </c>
      <c r="H1920" s="56">
        <f>H1918/S1817-1</f>
        <v>-0.27389746322251707</v>
      </c>
      <c r="I1920" s="56">
        <f ca="1">I1918/T1817-1</f>
        <v>-0.3430207136742871</v>
      </c>
      <c r="J1920" s="53"/>
      <c r="K1920" s="53"/>
      <c r="L1920" s="53"/>
      <c r="M1920" s="53"/>
      <c r="N1920" s="53"/>
      <c r="O1920" s="53"/>
      <c r="P1920" s="53"/>
      <c r="Q1920" s="53"/>
    </row>
    <row r="1921" spans="2:17" ht="15.75">
      <c r="B1921" s="53"/>
      <c r="C1921" s="53"/>
      <c r="D1921" s="53"/>
      <c r="E1921" s="53"/>
      <c r="F1921" s="53"/>
      <c r="G1921" s="53"/>
      <c r="H1921" s="53"/>
      <c r="I1921" s="53"/>
      <c r="J1921" s="53"/>
      <c r="K1921" s="53"/>
      <c r="L1921" s="53"/>
      <c r="M1921" s="53"/>
      <c r="N1921" s="53"/>
      <c r="O1921" s="53"/>
      <c r="P1921" s="53"/>
      <c r="Q1921" s="53"/>
    </row>
    <row r="1922" spans="2:17" ht="15.75">
      <c r="B1922" s="976" t="s">
        <v>4290</v>
      </c>
      <c r="C1922" s="53"/>
      <c r="D1922" s="53"/>
      <c r="E1922" s="53"/>
      <c r="F1922" s="53"/>
      <c r="G1922" s="53"/>
      <c r="H1922" s="53"/>
      <c r="I1922" s="53"/>
      <c r="J1922" s="53"/>
      <c r="K1922" s="53"/>
      <c r="L1922" s="53"/>
      <c r="M1922" s="53"/>
      <c r="N1922" s="53"/>
      <c r="O1922" s="53"/>
      <c r="P1922" s="53"/>
      <c r="Q1922" s="53"/>
    </row>
    <row r="1923" spans="2:17" ht="15.75">
      <c r="C1923" s="53"/>
      <c r="D1923" s="53"/>
      <c r="E1923" s="53"/>
      <c r="F1923" s="53"/>
      <c r="G1923" s="53"/>
      <c r="H1923" s="53"/>
      <c r="I1923" s="53"/>
      <c r="J1923" s="53"/>
      <c r="K1923" s="53"/>
      <c r="L1923" s="53"/>
      <c r="M1923" s="53"/>
      <c r="N1923" s="53"/>
      <c r="O1923" s="53"/>
      <c r="P1923" s="53"/>
      <c r="Q1923" s="53"/>
    </row>
    <row r="1924" spans="2:17" ht="15.75">
      <c r="B1924" s="53" t="s">
        <v>4301</v>
      </c>
      <c r="C1924" s="53"/>
      <c r="D1924" s="53"/>
      <c r="E1924" s="53"/>
      <c r="F1924" s="53"/>
      <c r="G1924" s="53"/>
      <c r="H1924" s="53"/>
      <c r="I1924" s="53"/>
      <c r="J1924" s="53"/>
      <c r="K1924" s="53"/>
      <c r="L1924" s="53"/>
      <c r="M1924" s="53"/>
      <c r="N1924" s="53"/>
      <c r="O1924" s="53"/>
      <c r="P1924" s="53"/>
      <c r="Q1924" s="53"/>
    </row>
    <row r="1925" spans="2:17" ht="15.75">
      <c r="B1925" s="53" t="s">
        <v>4302</v>
      </c>
      <c r="C1925" s="630">
        <v>0</v>
      </c>
      <c r="D1925" s="630">
        <v>0</v>
      </c>
      <c r="E1925" s="630">
        <v>0</v>
      </c>
      <c r="F1925" s="630">
        <v>923.99083174232328</v>
      </c>
      <c r="G1925" s="630">
        <v>1450.5467150820843</v>
      </c>
      <c r="H1925" s="630">
        <v>2038.5735840995219</v>
      </c>
      <c r="I1925" s="630">
        <v>3267.8767853637896</v>
      </c>
      <c r="J1925" s="630">
        <v>3439.18409146147</v>
      </c>
      <c r="K1925" s="53"/>
      <c r="L1925" s="53"/>
      <c r="M1925" s="53"/>
      <c r="N1925" s="53"/>
      <c r="O1925" s="53"/>
      <c r="P1925" s="53"/>
      <c r="Q1925" s="53"/>
    </row>
    <row r="1926" spans="2:17" ht="15.75">
      <c r="B1926" s="53" t="s">
        <v>4303</v>
      </c>
      <c r="C1926" s="630">
        <f t="shared" ref="C1926:J1926" si="166">C1925/$C$1723</f>
        <v>0</v>
      </c>
      <c r="D1926" s="630">
        <f t="shared" si="166"/>
        <v>0</v>
      </c>
      <c r="E1926" s="630">
        <f t="shared" si="166"/>
        <v>0</v>
      </c>
      <c r="F1926" s="630">
        <f t="shared" si="166"/>
        <v>47.628393388779557</v>
      </c>
      <c r="G1926" s="630">
        <f t="shared" si="166"/>
        <v>74.770449231035286</v>
      </c>
      <c r="H1926" s="630">
        <f t="shared" si="166"/>
        <v>105.08111258244959</v>
      </c>
      <c r="I1926" s="630">
        <f t="shared" si="166"/>
        <v>168.44725697751494</v>
      </c>
      <c r="J1926" s="630">
        <f t="shared" si="166"/>
        <v>177.27753048770464</v>
      </c>
      <c r="K1926" s="53"/>
      <c r="L1926" s="53"/>
      <c r="M1926" s="53"/>
      <c r="N1926" s="53"/>
      <c r="O1926" s="53"/>
      <c r="P1926" s="53"/>
      <c r="Q1926" s="53"/>
    </row>
    <row r="1927" spans="2:17" ht="15.75">
      <c r="B1927" s="53"/>
      <c r="C1927" s="53"/>
      <c r="D1927" s="53"/>
      <c r="E1927" s="53"/>
      <c r="F1927" s="53"/>
      <c r="G1927" s="53"/>
      <c r="H1927" s="53"/>
      <c r="I1927" s="53"/>
      <c r="J1927" s="53"/>
      <c r="K1927" s="53"/>
      <c r="L1927" s="53"/>
      <c r="M1927" s="53"/>
      <c r="N1927" s="53"/>
      <c r="O1927" s="53"/>
      <c r="P1927" s="53"/>
      <c r="Q1927" s="53"/>
    </row>
    <row r="1928" spans="2:17" ht="15.75">
      <c r="B1928" s="636" t="s">
        <v>4200</v>
      </c>
      <c r="C1928" s="50"/>
      <c r="D1928" s="50"/>
      <c r="E1928" s="636">
        <f>E1789</f>
        <v>2020</v>
      </c>
      <c r="F1928" s="53"/>
      <c r="G1928" s="53"/>
      <c r="H1928" s="53"/>
      <c r="I1928" s="53"/>
      <c r="J1928" s="53"/>
      <c r="K1928" s="53"/>
      <c r="L1928" s="53"/>
      <c r="M1928" s="53"/>
      <c r="N1928" s="53"/>
      <c r="O1928" s="53"/>
      <c r="P1928" s="53"/>
      <c r="Q1928" s="53"/>
    </row>
    <row r="1929" spans="2:17" ht="15.75">
      <c r="B1929" s="53" t="s">
        <v>893</v>
      </c>
      <c r="C1929" s="53"/>
      <c r="D1929" s="53"/>
      <c r="E1929" s="630">
        <f>E1790*4</f>
        <v>20037.263449367842</v>
      </c>
      <c r="F1929" s="53"/>
      <c r="G1929" s="53"/>
      <c r="H1929" s="53"/>
      <c r="I1929" s="53"/>
      <c r="J1929" s="53"/>
      <c r="K1929" s="53"/>
      <c r="L1929" s="53"/>
      <c r="M1929" s="53"/>
      <c r="N1929" s="53"/>
      <c r="O1929" s="53"/>
      <c r="P1929" s="53"/>
      <c r="Q1929" s="53"/>
    </row>
    <row r="1930" spans="2:17" ht="15.75">
      <c r="B1930" s="53" t="s">
        <v>4201</v>
      </c>
      <c r="C1930" s="53"/>
      <c r="D1930" s="53"/>
      <c r="E1930" s="630">
        <f>E1929-E1806</f>
        <v>4188.6046434976452</v>
      </c>
      <c r="F1930" s="53"/>
      <c r="G1930" s="53"/>
      <c r="H1930" s="53"/>
      <c r="I1930" s="53"/>
      <c r="J1930" s="53"/>
      <c r="K1930" s="53"/>
      <c r="L1930" s="53"/>
      <c r="M1930" s="53"/>
      <c r="N1930" s="53"/>
      <c r="O1930" s="53"/>
      <c r="P1930" s="53"/>
      <c r="Q1930" s="53"/>
    </row>
    <row r="1931" spans="2:17" ht="15.75">
      <c r="B1931" s="53"/>
      <c r="C1931" s="53"/>
      <c r="D1931" s="53"/>
      <c r="E1931" s="53"/>
      <c r="F1931" s="53"/>
      <c r="G1931" s="53"/>
      <c r="H1931" s="53"/>
      <c r="I1931" s="53"/>
      <c r="J1931" s="53"/>
      <c r="K1931" s="53"/>
      <c r="L1931" s="53"/>
      <c r="M1931" s="53"/>
      <c r="N1931" s="53"/>
      <c r="O1931" s="53"/>
      <c r="P1931" s="53"/>
      <c r="Q1931" s="53"/>
    </row>
    <row r="1932" spans="2:17" ht="15.75">
      <c r="B1932" s="976" t="s">
        <v>4290</v>
      </c>
      <c r="C1932" s="53"/>
      <c r="D1932" s="53"/>
      <c r="E1932" s="53"/>
      <c r="F1932" s="53"/>
      <c r="G1932" s="53"/>
      <c r="H1932" s="53"/>
      <c r="I1932" s="53"/>
      <c r="J1932" s="53"/>
      <c r="K1932" s="53"/>
      <c r="L1932" s="53"/>
      <c r="M1932" s="53"/>
      <c r="N1932" s="53"/>
      <c r="O1932" s="53"/>
      <c r="P1932" s="53"/>
      <c r="Q1932" s="53"/>
    </row>
    <row r="1933" spans="2:17" ht="15.75">
      <c r="B1933" s="53"/>
      <c r="C1933" s="53"/>
      <c r="D1933" s="53"/>
      <c r="E1933" s="53"/>
      <c r="F1933" s="53"/>
      <c r="G1933" s="53"/>
      <c r="H1933" s="53"/>
      <c r="I1933" s="53"/>
      <c r="J1933" s="53"/>
      <c r="K1933" s="53"/>
      <c r="L1933" s="53"/>
      <c r="M1933" s="53"/>
      <c r="N1933" s="53"/>
      <c r="O1933" s="53"/>
      <c r="P1933" s="53"/>
      <c r="Q1933" s="53"/>
    </row>
    <row r="1934" spans="2:17" ht="15.75">
      <c r="B1934" s="50" t="s">
        <v>4292</v>
      </c>
      <c r="C1934" s="642" t="s">
        <v>3871</v>
      </c>
      <c r="D1934" s="53"/>
      <c r="E1934" s="53"/>
      <c r="F1934" s="53"/>
      <c r="G1934" s="53"/>
      <c r="H1934" s="53"/>
      <c r="I1934" s="53"/>
      <c r="J1934" s="53"/>
      <c r="K1934" s="53"/>
      <c r="L1934" s="53"/>
      <c r="M1934" s="53"/>
      <c r="N1934" s="53"/>
      <c r="O1934" s="53"/>
      <c r="P1934" s="53"/>
      <c r="Q1934" s="53"/>
    </row>
    <row r="1935" spans="2:17" ht="15.75">
      <c r="B1935" s="53" t="s">
        <v>4291</v>
      </c>
      <c r="C1935" s="630">
        <f>(28-20)*C1857</f>
        <v>1447.864</v>
      </c>
      <c r="D1935" s="53"/>
      <c r="E1935" s="53"/>
      <c r="F1935" s="53"/>
      <c r="G1935" s="53"/>
      <c r="H1935" s="53"/>
      <c r="I1935" s="53"/>
      <c r="J1935" s="53"/>
      <c r="K1935" s="53"/>
      <c r="L1935" s="53"/>
      <c r="M1935" s="53"/>
      <c r="N1935" s="53"/>
      <c r="O1935" s="53"/>
      <c r="P1935" s="53"/>
      <c r="Q1935" s="53"/>
    </row>
    <row r="1936" spans="2:17" ht="15.75">
      <c r="B1936" s="53" t="s">
        <v>4387</v>
      </c>
      <c r="C1936" s="630">
        <f>(90-100)*C1718/19.5</f>
        <v>-440.5128205128205</v>
      </c>
      <c r="D1936" s="53"/>
      <c r="E1936" s="53"/>
      <c r="F1936" s="53"/>
      <c r="G1936" s="53"/>
      <c r="H1936" s="53"/>
      <c r="I1936" s="53"/>
      <c r="J1936" s="53"/>
      <c r="K1936" s="53"/>
      <c r="L1936" s="53"/>
      <c r="M1936" s="53"/>
      <c r="N1936" s="53"/>
      <c r="O1936" s="53"/>
      <c r="P1936" s="53"/>
      <c r="Q1936" s="53"/>
    </row>
    <row r="1937" spans="2:17" ht="15.75">
      <c r="B1937" s="50" t="s">
        <v>4386</v>
      </c>
      <c r="C1937" s="632">
        <f>7342-C1894</f>
        <v>-630.47159954121798</v>
      </c>
      <c r="D1937" s="53"/>
      <c r="E1937" s="53"/>
      <c r="F1937" s="53"/>
      <c r="G1937" s="53"/>
      <c r="H1937" s="53"/>
      <c r="I1937" s="53"/>
      <c r="J1937" s="53"/>
      <c r="K1937" s="53"/>
      <c r="L1937" s="53"/>
      <c r="M1937" s="53"/>
      <c r="N1937" s="53"/>
      <c r="O1937" s="53"/>
      <c r="P1937" s="53"/>
      <c r="Q1937" s="53"/>
    </row>
    <row r="1938" spans="2:17" ht="15.75">
      <c r="B1938" s="53" t="s">
        <v>4293</v>
      </c>
      <c r="C1938" s="630">
        <f>C1935+C1936+C1937</f>
        <v>376.8795799459615</v>
      </c>
      <c r="D1938" s="53"/>
      <c r="E1938" s="53"/>
      <c r="F1938" s="53"/>
      <c r="G1938" s="53"/>
      <c r="H1938" s="53"/>
      <c r="I1938" s="53"/>
      <c r="J1938" s="53"/>
      <c r="K1938" s="53"/>
      <c r="L1938" s="53"/>
      <c r="M1938" s="53"/>
      <c r="N1938" s="53"/>
      <c r="O1938" s="53"/>
      <c r="P1938" s="53"/>
      <c r="Q1938" s="53"/>
    </row>
    <row r="1939" spans="2:17" ht="15.75">
      <c r="B1939" s="53"/>
      <c r="C1939" s="630"/>
      <c r="D1939" s="53"/>
      <c r="E1939" s="53"/>
      <c r="F1939" s="53"/>
      <c r="G1939" s="53"/>
      <c r="H1939" s="53"/>
      <c r="I1939" s="53"/>
      <c r="J1939" s="53"/>
      <c r="K1939" s="53"/>
      <c r="L1939" s="53"/>
      <c r="M1939" s="53"/>
      <c r="N1939" s="53"/>
      <c r="O1939" s="53"/>
      <c r="P1939" s="53"/>
      <c r="Q1939" s="53"/>
    </row>
    <row r="1940" spans="2:17" ht="15.75">
      <c r="B1940" s="50" t="s">
        <v>4294</v>
      </c>
      <c r="C1940" s="632">
        <v>2028</v>
      </c>
      <c r="D1940" s="53"/>
      <c r="E1940" s="53"/>
      <c r="F1940" s="53"/>
      <c r="G1940" s="53"/>
      <c r="H1940" s="53"/>
      <c r="I1940" s="53"/>
      <c r="J1940" s="53"/>
      <c r="K1940" s="53"/>
      <c r="L1940" s="53"/>
      <c r="M1940" s="53"/>
      <c r="N1940" s="53"/>
      <c r="O1940" s="53"/>
      <c r="P1940" s="53"/>
      <c r="Q1940" s="53"/>
    </row>
    <row r="1941" spans="2:17" ht="15.75">
      <c r="B1941" s="53" t="s">
        <v>4295</v>
      </c>
      <c r="C1941" s="630">
        <f>C1940+C1938</f>
        <v>2404.8795799459613</v>
      </c>
      <c r="D1941" s="53"/>
      <c r="E1941" s="630">
        <f>C1940+C1937+C1936</f>
        <v>957.01557994596146</v>
      </c>
      <c r="F1941" s="53"/>
      <c r="G1941" s="53"/>
      <c r="H1941" s="53"/>
      <c r="I1941" s="53"/>
      <c r="J1941" s="53"/>
      <c r="K1941" s="53"/>
      <c r="L1941" s="53"/>
      <c r="M1941" s="53"/>
      <c r="N1941" s="53"/>
      <c r="O1941" s="53"/>
      <c r="P1941" s="53"/>
      <c r="Q1941" s="53"/>
    </row>
    <row r="1942" spans="2:17" ht="15.75">
      <c r="B1942" s="53" t="s">
        <v>4296</v>
      </c>
      <c r="C1942" s="639">
        <f>C1941/$C$1811</f>
        <v>3.2406190228417291</v>
      </c>
      <c r="D1942" s="53"/>
      <c r="E1942" s="639">
        <f>E1941/$C$1811</f>
        <v>1.2895959196420472</v>
      </c>
      <c r="F1942" s="53"/>
      <c r="G1942" s="53"/>
      <c r="H1942" s="53"/>
      <c r="I1942" s="53"/>
      <c r="J1942" s="53"/>
      <c r="K1942" s="53"/>
      <c r="L1942" s="53"/>
      <c r="M1942" s="53"/>
      <c r="N1942" s="53"/>
      <c r="O1942" s="53"/>
      <c r="P1942" s="53"/>
      <c r="Q1942" s="53"/>
    </row>
    <row r="1943" spans="2:17" ht="15.75">
      <c r="B1943" s="53"/>
      <c r="C1943" s="639"/>
      <c r="D1943" s="53"/>
      <c r="E1943" s="53"/>
      <c r="F1943" s="53"/>
      <c r="G1943" s="53"/>
      <c r="H1943" s="53"/>
      <c r="I1943" s="53"/>
      <c r="J1943" s="53"/>
      <c r="K1943" s="53"/>
      <c r="L1943" s="53"/>
      <c r="M1943" s="53"/>
      <c r="N1943" s="53"/>
      <c r="O1943" s="53"/>
      <c r="P1943" s="53"/>
      <c r="Q1943" s="53"/>
    </row>
    <row r="1944" spans="2:17" ht="15.75">
      <c r="B1944" s="976" t="s">
        <v>4317</v>
      </c>
      <c r="C1944" s="53"/>
      <c r="D1944" s="53"/>
      <c r="E1944" s="53"/>
      <c r="F1944" s="53"/>
      <c r="G1944" s="53"/>
      <c r="H1944" s="53"/>
      <c r="I1944" s="53"/>
      <c r="J1944" s="53"/>
      <c r="K1944" s="53"/>
      <c r="L1944" s="53"/>
      <c r="M1944" s="53"/>
      <c r="N1944" s="53"/>
      <c r="O1944" s="53"/>
      <c r="P1944" s="53"/>
      <c r="Q1944" s="53"/>
    </row>
    <row r="1945" spans="2:17" ht="15.75">
      <c r="B1945" s="53"/>
      <c r="C1945" s="53"/>
      <c r="D1945" s="53"/>
      <c r="E1945" s="53"/>
      <c r="F1945" s="53"/>
      <c r="G1945" s="53"/>
      <c r="H1945" s="53"/>
      <c r="I1945" s="53"/>
      <c r="J1945" s="53"/>
      <c r="K1945" s="53"/>
      <c r="L1945" s="53"/>
      <c r="M1945" s="53"/>
      <c r="N1945" s="53"/>
      <c r="O1945" s="53"/>
      <c r="P1945" s="53"/>
      <c r="Q1945" s="53"/>
    </row>
    <row r="1946" spans="2:17" ht="15.75">
      <c r="B1946" s="58" t="s">
        <v>4318</v>
      </c>
      <c r="C1946" s="53"/>
      <c r="D1946" s="53"/>
      <c r="E1946" s="53"/>
      <c r="F1946" s="53"/>
      <c r="G1946" s="53"/>
      <c r="J1946" s="53"/>
      <c r="K1946" s="53"/>
      <c r="L1946" s="53"/>
      <c r="M1946" s="53"/>
      <c r="N1946" s="53"/>
      <c r="O1946" s="53"/>
      <c r="P1946" s="53"/>
      <c r="Q1946" s="53"/>
    </row>
    <row r="1947" spans="2:17" ht="15.75">
      <c r="B1947" s="53"/>
      <c r="C1947" s="53"/>
      <c r="D1947" s="53"/>
      <c r="E1947" s="53"/>
      <c r="F1947" s="53"/>
      <c r="G1947" s="53"/>
      <c r="J1947" s="53"/>
      <c r="K1947" s="53"/>
      <c r="L1947" s="53"/>
      <c r="M1947" s="53"/>
      <c r="N1947" s="53"/>
      <c r="O1947" s="53"/>
      <c r="P1947" s="53"/>
      <c r="Q1947" s="53"/>
    </row>
    <row r="1948" spans="2:17" ht="15.75">
      <c r="B1948" s="636" t="s">
        <v>3871</v>
      </c>
      <c r="C1948" s="3"/>
      <c r="D1948" s="636">
        <v>2019</v>
      </c>
      <c r="E1948" s="636">
        <f t="shared" ref="E1948:J1948" si="167">D1948+1</f>
        <v>2020</v>
      </c>
      <c r="F1948" s="636">
        <f t="shared" si="167"/>
        <v>2021</v>
      </c>
      <c r="G1948" s="636">
        <f t="shared" si="167"/>
        <v>2022</v>
      </c>
      <c r="H1948" s="636">
        <f t="shared" si="167"/>
        <v>2023</v>
      </c>
      <c r="I1948" s="636">
        <f t="shared" si="167"/>
        <v>2024</v>
      </c>
      <c r="J1948" s="636">
        <f t="shared" si="167"/>
        <v>2025</v>
      </c>
      <c r="K1948" s="53"/>
      <c r="L1948" s="53"/>
      <c r="M1948" s="53"/>
      <c r="N1948" s="53"/>
      <c r="O1948" s="53"/>
      <c r="P1948" s="53"/>
      <c r="Q1948" s="53"/>
    </row>
    <row r="1949" spans="2:17" ht="15.75">
      <c r="B1949" s="53" t="s">
        <v>15</v>
      </c>
      <c r="D1949" s="764">
        <v>6337.879366879286</v>
      </c>
      <c r="E1949" s="764">
        <v>6913.0835174801095</v>
      </c>
      <c r="F1949" s="764">
        <v>7097.4553698982063</v>
      </c>
      <c r="G1949" s="764">
        <v>7254.4409189516064</v>
      </c>
      <c r="H1949" s="764">
        <v>7446.866131222132</v>
      </c>
      <c r="I1949" s="764">
        <v>7647.0111693488907</v>
      </c>
      <c r="J1949" s="764">
        <v>7856.9514649705197</v>
      </c>
      <c r="K1949" s="53"/>
      <c r="L1949" s="53"/>
      <c r="M1949" s="53"/>
      <c r="N1949" s="53"/>
      <c r="O1949" s="53"/>
      <c r="P1949" s="53"/>
      <c r="Q1949" s="53"/>
    </row>
    <row r="1950" spans="2:17" ht="15.75">
      <c r="B1950" s="53" t="s">
        <v>8</v>
      </c>
      <c r="D1950" s="764">
        <v>2556.1603330393436</v>
      </c>
      <c r="E1950" s="764">
        <v>2809.5803639764081</v>
      </c>
      <c r="F1950" s="764">
        <v>2915.0486691497581</v>
      </c>
      <c r="G1950" s="764">
        <v>3013.0897386751217</v>
      </c>
      <c r="H1950" s="764">
        <v>3117.0119430957211</v>
      </c>
      <c r="I1950" s="764">
        <v>3220.8536176750299</v>
      </c>
      <c r="J1950" s="764">
        <v>3317.0341846718566</v>
      </c>
      <c r="K1950" s="53"/>
      <c r="L1950" s="53"/>
      <c r="M1950" s="53"/>
      <c r="N1950" s="53"/>
      <c r="O1950" s="53"/>
      <c r="P1950" s="53"/>
      <c r="Q1950" s="53"/>
    </row>
    <row r="1951" spans="2:17" ht="15.75">
      <c r="B1951" s="53" t="s">
        <v>19</v>
      </c>
      <c r="D1951" s="764">
        <v>1055.9367959023405</v>
      </c>
      <c r="E1951" s="764">
        <v>1142.436287167031</v>
      </c>
      <c r="F1951" s="764">
        <v>1158.5819106879021</v>
      </c>
      <c r="G1951" s="764">
        <v>1146.4942013569448</v>
      </c>
      <c r="H1951" s="764">
        <v>1139.5373134747467</v>
      </c>
      <c r="I1951" s="764">
        <v>1150.9504229173881</v>
      </c>
      <c r="J1951" s="764">
        <v>1172.9208068515436</v>
      </c>
      <c r="K1951" s="53"/>
      <c r="L1951" s="53"/>
      <c r="M1951" s="53"/>
      <c r="N1951" s="53"/>
      <c r="O1951" s="53"/>
      <c r="P1951" s="53"/>
      <c r="Q1951" s="53"/>
    </row>
    <row r="1952" spans="2:17" ht="15.75">
      <c r="B1952" s="53" t="s">
        <v>249</v>
      </c>
      <c r="D1952" s="764">
        <v>283.5303646383698</v>
      </c>
      <c r="E1952" s="764">
        <v>383.1889006474475</v>
      </c>
      <c r="F1952" s="764">
        <v>415.55567684086168</v>
      </c>
      <c r="G1952" s="764">
        <v>478.40633623396991</v>
      </c>
      <c r="H1952" s="764">
        <v>525.22181279342817</v>
      </c>
      <c r="I1952" s="764">
        <v>584.36328160538199</v>
      </c>
      <c r="J1952" s="764">
        <v>628.8117240757374</v>
      </c>
      <c r="K1952" s="53"/>
      <c r="L1952" s="53"/>
      <c r="M1952" s="53"/>
      <c r="N1952" s="53"/>
      <c r="O1952" s="53"/>
      <c r="P1952" s="53"/>
      <c r="Q1952" s="53"/>
    </row>
    <row r="1953" spans="2:17" ht="15.75">
      <c r="B1953" s="53" t="s">
        <v>115</v>
      </c>
      <c r="D1953" s="764">
        <v>7621.6868106248858</v>
      </c>
      <c r="E1953" s="764">
        <v>7702.0427713179843</v>
      </c>
      <c r="F1953" s="764">
        <v>7564.7583674490816</v>
      </c>
      <c r="G1953" s="764">
        <v>7363.3641939625268</v>
      </c>
      <c r="H1953" s="764">
        <v>7099.0844122926082</v>
      </c>
      <c r="I1953" s="764">
        <v>6775.9422107465271</v>
      </c>
      <c r="J1953" s="764">
        <v>6387.0937835969653</v>
      </c>
      <c r="K1953" s="53"/>
      <c r="L1953" s="53"/>
      <c r="M1953" s="53"/>
      <c r="N1953" s="53"/>
      <c r="O1953" s="53"/>
      <c r="P1953" s="53"/>
      <c r="Q1953" s="53"/>
    </row>
    <row r="1954" spans="2:17" ht="15.75">
      <c r="B1954" s="53"/>
      <c r="C1954" s="53"/>
      <c r="D1954" s="53"/>
      <c r="E1954" s="53"/>
      <c r="F1954" s="53"/>
      <c r="G1954" s="53"/>
      <c r="H1954" s="53"/>
      <c r="I1954" s="53"/>
      <c r="J1954" s="53"/>
      <c r="K1954" s="53"/>
      <c r="L1954" s="53"/>
      <c r="M1954" s="53"/>
      <c r="N1954" s="53"/>
      <c r="O1954" s="53"/>
      <c r="P1954" s="53"/>
      <c r="Q1954" s="53"/>
    </row>
    <row r="1955" spans="2:17" ht="15.75">
      <c r="B1955" s="53"/>
      <c r="C1955" s="53"/>
      <c r="D1955" s="53"/>
      <c r="E1955" s="53"/>
      <c r="F1955" s="53"/>
      <c r="G1955" s="53"/>
      <c r="H1955" s="53"/>
      <c r="I1955" s="53"/>
      <c r="J1955" s="53"/>
      <c r="K1955" s="53"/>
      <c r="L1955" s="53"/>
      <c r="M1955" s="53"/>
      <c r="N1955" s="53"/>
      <c r="O1955" s="53"/>
      <c r="P1955" s="53"/>
      <c r="Q1955" s="53"/>
    </row>
    <row r="1956" spans="2:17" ht="15.75">
      <c r="B1956" s="53" t="s">
        <v>4319</v>
      </c>
      <c r="C1956" s="887">
        <f>C137</f>
        <v>78</v>
      </c>
      <c r="D1956" s="53"/>
      <c r="E1956" s="53"/>
      <c r="F1956" s="53"/>
      <c r="G1956" s="53"/>
      <c r="H1956" s="53"/>
      <c r="I1956" s="53"/>
      <c r="J1956" s="53"/>
      <c r="K1956" s="53"/>
      <c r="L1956" s="53"/>
      <c r="M1956" s="53"/>
      <c r="N1956" s="53"/>
      <c r="O1956" s="53"/>
      <c r="P1956" s="53"/>
      <c r="Q1956" s="53"/>
    </row>
    <row r="1957" spans="2:17" ht="15.75">
      <c r="B1957" s="53" t="s">
        <v>306</v>
      </c>
      <c r="C1957" s="630">
        <v>100</v>
      </c>
      <c r="D1957" s="53"/>
      <c r="E1957" s="53"/>
      <c r="F1957" s="53"/>
      <c r="G1957" s="53"/>
      <c r="H1957" s="53"/>
      <c r="I1957" s="53"/>
      <c r="J1957" s="53"/>
      <c r="K1957" s="53"/>
      <c r="L1957" s="53"/>
      <c r="M1957" s="53"/>
      <c r="N1957" s="53"/>
      <c r="O1957" s="53"/>
      <c r="P1957" s="53"/>
      <c r="Q1957" s="53"/>
    </row>
    <row r="1958" spans="2:17" ht="15.75">
      <c r="B1958" s="53" t="s">
        <v>332</v>
      </c>
      <c r="C1958" s="630">
        <f>C1956*C1957</f>
        <v>7800</v>
      </c>
      <c r="D1958" s="53"/>
      <c r="E1958" s="53"/>
      <c r="F1958" s="53"/>
      <c r="G1958" s="53"/>
      <c r="H1958" s="53"/>
      <c r="I1958" s="53"/>
      <c r="J1958" s="53"/>
      <c r="K1958" s="53"/>
      <c r="L1958" s="53"/>
      <c r="M1958" s="53"/>
      <c r="N1958" s="53"/>
      <c r="O1958" s="53"/>
      <c r="P1958" s="53"/>
      <c r="Q1958" s="53"/>
    </row>
    <row r="1959" spans="2:17" ht="15.75">
      <c r="B1959" s="53"/>
      <c r="C1959" s="630"/>
      <c r="D1959" s="53"/>
      <c r="E1959" s="53"/>
      <c r="F1959" s="53"/>
      <c r="G1959" s="53"/>
      <c r="H1959" s="53"/>
      <c r="I1959" s="53"/>
      <c r="J1959" s="53"/>
      <c r="K1959" s="53"/>
      <c r="L1959" s="53"/>
      <c r="M1959" s="53"/>
      <c r="N1959" s="53"/>
      <c r="O1959" s="53"/>
      <c r="P1959" s="53"/>
      <c r="Q1959" s="53"/>
    </row>
    <row r="1960" spans="2:17" ht="15.75">
      <c r="B1960" s="53" t="s">
        <v>4202</v>
      </c>
      <c r="C1960" s="651">
        <v>1</v>
      </c>
      <c r="D1960" s="53"/>
      <c r="E1960" s="53"/>
      <c r="F1960" s="53"/>
      <c r="G1960" s="53"/>
      <c r="H1960" s="53"/>
      <c r="I1960" s="53"/>
      <c r="J1960" s="53"/>
      <c r="K1960" s="53"/>
      <c r="L1960" s="53"/>
      <c r="M1960" s="53"/>
      <c r="N1960" s="53"/>
      <c r="O1960" s="53"/>
      <c r="P1960" s="53"/>
      <c r="Q1960" s="53"/>
    </row>
    <row r="1961" spans="2:17" ht="15.75">
      <c r="B1961" s="53" t="s">
        <v>4289</v>
      </c>
      <c r="C1961" s="630">
        <f>C1960*C1958</f>
        <v>7800</v>
      </c>
      <c r="D1961" s="53"/>
      <c r="E1961" s="53"/>
      <c r="F1961" s="53"/>
      <c r="G1961" s="53"/>
      <c r="H1961" s="53"/>
      <c r="I1961" s="53"/>
      <c r="J1961" s="53"/>
      <c r="K1961" s="53"/>
      <c r="L1961" s="53"/>
      <c r="M1961" s="53"/>
      <c r="N1961" s="53"/>
      <c r="O1961" s="53"/>
      <c r="P1961" s="53"/>
      <c r="Q1961" s="53"/>
    </row>
    <row r="1962" spans="2:17" ht="15.75">
      <c r="B1962" s="53" t="s">
        <v>4288</v>
      </c>
      <c r="C1962" s="630">
        <f>C1961-C1958</f>
        <v>0</v>
      </c>
      <c r="D1962" s="53"/>
      <c r="E1962" s="53"/>
      <c r="F1962" s="53"/>
      <c r="G1962" s="53"/>
      <c r="H1962" s="53"/>
      <c r="I1962" s="53"/>
      <c r="J1962" s="53"/>
      <c r="K1962" s="53"/>
      <c r="L1962" s="53"/>
      <c r="M1962" s="53"/>
      <c r="N1962" s="53"/>
      <c r="O1962" s="53"/>
      <c r="P1962" s="53"/>
      <c r="Q1962" s="53"/>
    </row>
    <row r="1963" spans="2:17" ht="15.75">
      <c r="B1963" s="53" t="s">
        <v>4285</v>
      </c>
      <c r="C1963" s="649">
        <f>C1900</f>
        <v>22</v>
      </c>
      <c r="D1963" s="53"/>
      <c r="E1963" s="53"/>
      <c r="F1963" s="53"/>
      <c r="G1963" s="53"/>
      <c r="H1963" s="53"/>
      <c r="I1963" s="53"/>
      <c r="J1963" s="53"/>
      <c r="K1963" s="53"/>
      <c r="L1963" s="53"/>
      <c r="M1963" s="53"/>
      <c r="N1963" s="53"/>
      <c r="O1963" s="53"/>
      <c r="P1963" s="53"/>
      <c r="Q1963" s="53"/>
    </row>
    <row r="1964" spans="2:17" ht="15.75">
      <c r="B1964" s="53" t="s">
        <v>4286</v>
      </c>
      <c r="C1964" s="621">
        <f>C1962/C1963</f>
        <v>0</v>
      </c>
      <c r="D1964" s="53"/>
      <c r="E1964" s="53"/>
      <c r="F1964" s="53"/>
      <c r="G1964" s="53"/>
      <c r="H1964" s="53"/>
      <c r="I1964" s="53"/>
      <c r="J1964" s="53"/>
      <c r="K1964" s="53"/>
      <c r="L1964" s="53"/>
      <c r="M1964" s="53"/>
      <c r="N1964" s="53"/>
      <c r="O1964" s="53"/>
      <c r="P1964" s="53"/>
      <c r="Q1964" s="53"/>
    </row>
    <row r="1965" spans="2:17" ht="15.75">
      <c r="B1965" s="53" t="s">
        <v>4287</v>
      </c>
      <c r="C1965" s="481">
        <f>C1964+D1881</f>
        <v>687.22989674431813</v>
      </c>
      <c r="D1965" s="53"/>
      <c r="E1965" s="53"/>
      <c r="F1965" s="53"/>
      <c r="G1965" s="53"/>
      <c r="H1965" s="53"/>
      <c r="I1965" s="53"/>
      <c r="J1965" s="53"/>
      <c r="K1965" s="53"/>
      <c r="L1965" s="53"/>
      <c r="M1965" s="53"/>
      <c r="N1965" s="53"/>
      <c r="O1965" s="53"/>
      <c r="P1965" s="53"/>
      <c r="Q1965" s="53"/>
    </row>
    <row r="1966" spans="2:17" ht="15.75">
      <c r="B1966" s="53"/>
      <c r="C1966" s="53"/>
      <c r="D1966" s="53"/>
      <c r="E1966" s="53"/>
      <c r="F1966" s="53"/>
      <c r="G1966" s="53"/>
      <c r="H1966" s="53"/>
      <c r="I1966" s="53"/>
      <c r="J1966" s="53"/>
      <c r="K1966" s="53"/>
      <c r="L1966" s="53"/>
      <c r="M1966" s="53"/>
      <c r="N1966" s="53"/>
      <c r="O1966" s="53"/>
      <c r="P1966" s="53"/>
      <c r="Q1966" s="53"/>
    </row>
    <row r="1967" spans="2:17" ht="15.75">
      <c r="B1967" s="53" t="s">
        <v>4203</v>
      </c>
      <c r="C1967" s="53"/>
      <c r="D1967" s="53"/>
      <c r="E1967" s="853">
        <v>4.2999999999999997E-2</v>
      </c>
      <c r="F1967" s="53"/>
      <c r="G1967" s="53"/>
      <c r="H1967" s="53"/>
      <c r="I1967" s="53"/>
      <c r="J1967" s="53"/>
      <c r="K1967" s="53"/>
      <c r="L1967" s="53"/>
      <c r="M1967" s="53"/>
      <c r="N1967" s="53"/>
      <c r="O1967" s="53"/>
      <c r="P1967" s="53"/>
      <c r="Q1967" s="53"/>
    </row>
    <row r="1968" spans="2:17" ht="15.75">
      <c r="B1968" s="53" t="s">
        <v>4205</v>
      </c>
      <c r="C1968" s="53"/>
      <c r="D1968" s="53"/>
      <c r="E1968" s="630">
        <f>E1967*C1961*(1-0.28)</f>
        <v>241.48799999999997</v>
      </c>
      <c r="F1968" s="630">
        <f>E1968</f>
        <v>241.48799999999997</v>
      </c>
      <c r="G1968" s="630">
        <f>F1968</f>
        <v>241.48799999999997</v>
      </c>
      <c r="H1968" s="630">
        <f>G1968</f>
        <v>241.48799999999997</v>
      </c>
      <c r="I1968" s="630">
        <f>H1968</f>
        <v>241.48799999999997</v>
      </c>
      <c r="J1968" s="53"/>
      <c r="K1968" s="53"/>
      <c r="L1968" s="53"/>
      <c r="M1968" s="53"/>
      <c r="N1968" s="53"/>
      <c r="O1968" s="53"/>
      <c r="P1968" s="53"/>
      <c r="Q1968" s="53"/>
    </row>
    <row r="1969" spans="2:17" ht="15.75">
      <c r="B1969" s="53" t="s">
        <v>1664</v>
      </c>
      <c r="C1969" s="53"/>
      <c r="D1969" s="53"/>
      <c r="E1969" s="630">
        <f>E1968</f>
        <v>241.48799999999997</v>
      </c>
      <c r="F1969" s="630">
        <f>E1969+F1968</f>
        <v>482.97599999999994</v>
      </c>
      <c r="G1969" s="630">
        <f>F1969+G1968</f>
        <v>724.46399999999994</v>
      </c>
      <c r="H1969" s="630">
        <f>G1969+H1968</f>
        <v>965.95199999999988</v>
      </c>
      <c r="I1969" s="630">
        <f>H1969+I1968</f>
        <v>1207.4399999999998</v>
      </c>
      <c r="J1969" s="53"/>
      <c r="K1969" s="53"/>
      <c r="L1969" s="53"/>
      <c r="M1969" s="53"/>
      <c r="N1969" s="53"/>
      <c r="O1969" s="53"/>
      <c r="P1969" s="53"/>
      <c r="Q1969" s="53"/>
    </row>
    <row r="1970" spans="2:17" ht="15.75">
      <c r="B1970" s="53"/>
      <c r="C1970" s="53"/>
      <c r="D1970" s="53"/>
      <c r="E1970" s="53"/>
      <c r="F1970" s="53"/>
      <c r="G1970" s="53"/>
      <c r="H1970" s="53"/>
      <c r="I1970" s="53"/>
      <c r="J1970" s="53"/>
      <c r="K1970" s="53"/>
      <c r="L1970" s="53"/>
      <c r="M1970" s="53"/>
      <c r="N1970" s="53"/>
      <c r="O1970" s="53"/>
      <c r="P1970" s="53"/>
      <c r="Q1970" s="53"/>
    </row>
    <row r="1971" spans="2:17" ht="15.75">
      <c r="B1971" s="636" t="s">
        <v>3871</v>
      </c>
      <c r="C1971" s="636"/>
      <c r="D1971" s="636"/>
      <c r="E1971" s="636">
        <v>2020</v>
      </c>
      <c r="F1971" s="636">
        <f>E1971+1</f>
        <v>2021</v>
      </c>
      <c r="G1971" s="636">
        <f>F1971+1</f>
        <v>2022</v>
      </c>
      <c r="H1971" s="636">
        <f>G1971+1</f>
        <v>2023</v>
      </c>
      <c r="I1971" s="636">
        <f>H1971+1</f>
        <v>2024</v>
      </c>
      <c r="J1971" s="53"/>
      <c r="K1971" s="53"/>
      <c r="L1971" s="53"/>
      <c r="M1971" s="53"/>
      <c r="N1971" s="53"/>
      <c r="O1971" s="53"/>
      <c r="P1971" s="53"/>
      <c r="Q1971" s="53"/>
    </row>
    <row r="1972" spans="2:17" ht="15.75">
      <c r="B1972" s="53" t="s">
        <v>1076</v>
      </c>
      <c r="C1972" s="53"/>
      <c r="D1972" s="53"/>
      <c r="E1972" s="630">
        <f>E1953+$C$1961+D1876+E1969</f>
        <v>43246.461202502687</v>
      </c>
      <c r="F1972" s="630">
        <f>F1953+$C$1961+E1876+F1969</f>
        <v>42725.365502819281</v>
      </c>
      <c r="G1972" s="630">
        <f>G1953+$C$1961+F1876+G1969</f>
        <v>39624.900146865482</v>
      </c>
      <c r="H1972" s="630">
        <f>H1953+$C$1961+G1876+H1969</f>
        <v>38973.761546571201</v>
      </c>
      <c r="I1972" s="630">
        <f ca="1">I1953+$C$1961+H1876+I1969</f>
        <v>37041.501807738328</v>
      </c>
      <c r="J1972" s="53"/>
      <c r="K1972" s="53"/>
      <c r="L1972" s="53"/>
      <c r="M1972" s="53"/>
      <c r="N1972" s="53"/>
      <c r="O1972" s="53"/>
      <c r="P1972" s="53"/>
      <c r="Q1972" s="53"/>
    </row>
    <row r="1973" spans="2:17" ht="15.75">
      <c r="B1973" s="53" t="s">
        <v>1414</v>
      </c>
      <c r="C1973" s="53"/>
      <c r="D1973" s="53"/>
      <c r="E1973" s="630">
        <f>E1950+D1877</f>
        <v>9303.8962263183676</v>
      </c>
      <c r="F1973" s="630">
        <f>F1950+E1877</f>
        <v>9841.2520158956359</v>
      </c>
      <c r="G1973" s="630">
        <f>G1950+F1877</f>
        <v>9964.129121927861</v>
      </c>
      <c r="H1973" s="630">
        <f>H1950+G1877</f>
        <v>10209.246112910925</v>
      </c>
      <c r="I1973" s="630">
        <f>I1950+H1877</f>
        <v>10333.657113698711</v>
      </c>
      <c r="J1973" s="53"/>
      <c r="K1973" s="53"/>
      <c r="L1973" s="53"/>
      <c r="M1973" s="53"/>
      <c r="N1973" s="53"/>
      <c r="O1973" s="53"/>
      <c r="P1973" s="53"/>
      <c r="Q1973" s="53"/>
    </row>
    <row r="1974" spans="2:17" ht="15.75">
      <c r="B1974" s="53" t="s">
        <v>273</v>
      </c>
      <c r="C1974" s="53"/>
      <c r="D1974" s="53"/>
      <c r="E1974" s="639">
        <f>E1972/E1973</f>
        <v>4.6482097554107913</v>
      </c>
      <c r="F1974" s="639">
        <f>F1972/F1973</f>
        <v>4.3414562937529766</v>
      </c>
      <c r="G1974" s="639">
        <f>G1972/G1973</f>
        <v>3.9767549840019387</v>
      </c>
      <c r="H1974" s="639">
        <f>H1972/H1973</f>
        <v>3.8174965237916823</v>
      </c>
      <c r="I1974" s="639">
        <f ca="1">I1972/I1973</f>
        <v>3.5845491484940628</v>
      </c>
      <c r="J1974" s="53"/>
      <c r="K1974" s="53"/>
      <c r="L1974" s="53"/>
      <c r="M1974" s="53"/>
      <c r="N1974" s="53"/>
      <c r="O1974" s="53"/>
      <c r="P1974" s="53"/>
      <c r="Q1974" s="53"/>
    </row>
    <row r="1975" spans="2:17" ht="15.75">
      <c r="B1975" s="53"/>
      <c r="C1975" s="53"/>
      <c r="D1975" s="53"/>
      <c r="E1975" s="53"/>
      <c r="F1975" s="53"/>
      <c r="G1975" s="53"/>
      <c r="H1975" s="53"/>
      <c r="I1975" s="53"/>
      <c r="J1975" s="53"/>
      <c r="K1975" s="53"/>
      <c r="L1975" s="53"/>
      <c r="M1975" s="53"/>
      <c r="N1975" s="53"/>
      <c r="O1975" s="53"/>
      <c r="P1975" s="53"/>
      <c r="Q1975" s="53"/>
    </row>
    <row r="1976" spans="2:17" ht="15.75">
      <c r="B1976" s="53" t="s">
        <v>4299</v>
      </c>
      <c r="C1976" s="53"/>
      <c r="D1976" s="53"/>
      <c r="E1976" s="630">
        <f>D1880+E1952-E1968</f>
        <v>1309.1202704649295</v>
      </c>
      <c r="F1976" s="630">
        <f>E1880+F1952-F1968</f>
        <v>1488.4794875144107</v>
      </c>
      <c r="G1976" s="630">
        <f>F1880+G1952-G1968</f>
        <v>1564.6045839185379</v>
      </c>
      <c r="H1976" s="630">
        <f>G1880+H1952-H1968</f>
        <v>1626.5608283492493</v>
      </c>
      <c r="I1976" s="630">
        <f ca="1">H1880+I1952-I1968</f>
        <v>1935.9380374739947</v>
      </c>
      <c r="J1976" s="53"/>
      <c r="K1976" s="53"/>
      <c r="L1976" s="53"/>
      <c r="M1976" s="53"/>
      <c r="N1976" s="53"/>
      <c r="O1976" s="53"/>
      <c r="P1976" s="53"/>
      <c r="Q1976" s="53"/>
    </row>
    <row r="1977" spans="2:17" ht="15.75">
      <c r="B1977" s="53" t="s">
        <v>4300</v>
      </c>
      <c r="C1977" s="53"/>
      <c r="D1977" s="53"/>
      <c r="E1977" s="630">
        <f>E1976</f>
        <v>1309.1202704649295</v>
      </c>
      <c r="F1977" s="630">
        <f>F1976</f>
        <v>1488.4794875144107</v>
      </c>
      <c r="G1977" s="630">
        <f>G1976</f>
        <v>1564.6045839185379</v>
      </c>
      <c r="H1977" s="630">
        <f>H1976</f>
        <v>1626.5608283492493</v>
      </c>
      <c r="I1977" s="630">
        <f ca="1">I1976</f>
        <v>1935.9380374739947</v>
      </c>
      <c r="J1977" s="53"/>
      <c r="K1977" s="53"/>
      <c r="L1977" s="53"/>
      <c r="M1977" s="53"/>
      <c r="N1977" s="53"/>
      <c r="O1977" s="53"/>
      <c r="P1977" s="53"/>
      <c r="Q1977" s="53"/>
    </row>
    <row r="1978" spans="2:17" ht="15.75">
      <c r="B1978" s="53" t="s">
        <v>4209</v>
      </c>
      <c r="C1978" s="53"/>
      <c r="D1978" s="53"/>
      <c r="E1978" s="630">
        <f>D1881+$C$1964</f>
        <v>687.22989674431813</v>
      </c>
      <c r="F1978" s="630">
        <f>E1881+$C$1964</f>
        <v>687.22989674431813</v>
      </c>
      <c r="G1978" s="630">
        <f>F1881+$C$1964</f>
        <v>687.22989674431813</v>
      </c>
      <c r="H1978" s="630">
        <f>G1881+$C$1964</f>
        <v>687.22989674431813</v>
      </c>
      <c r="I1978" s="630">
        <f>H1881+$C$1964</f>
        <v>687.22989674431813</v>
      </c>
      <c r="J1978" s="53"/>
      <c r="K1978" s="53"/>
      <c r="L1978" s="53"/>
      <c r="M1978" s="53"/>
      <c r="N1978" s="53"/>
      <c r="O1978" s="53"/>
      <c r="P1978" s="53"/>
      <c r="Q1978" s="53"/>
    </row>
    <row r="1979" spans="2:17" ht="15.75">
      <c r="B1979" s="53" t="s">
        <v>4210</v>
      </c>
      <c r="C1979" s="53"/>
      <c r="D1979" s="53"/>
      <c r="E1979" s="630">
        <f>E1978*E1808</f>
        <v>15119.057728374999</v>
      </c>
      <c r="F1979" s="630">
        <f>F1978*F1808</f>
        <v>15119.057728374999</v>
      </c>
      <c r="G1979" s="630">
        <f>G1978*G1808</f>
        <v>15119.057728374999</v>
      </c>
      <c r="H1979" s="630">
        <f>H1978*H1808</f>
        <v>15119.057728374999</v>
      </c>
      <c r="I1979" s="630">
        <f>I1978*I1808</f>
        <v>15119.057728374999</v>
      </c>
      <c r="J1979" s="53"/>
      <c r="K1979" s="53"/>
      <c r="L1979" s="53"/>
      <c r="M1979" s="53"/>
      <c r="N1979" s="53"/>
      <c r="O1979" s="53"/>
      <c r="P1979" s="53"/>
      <c r="Q1979" s="53"/>
    </row>
    <row r="1980" spans="2:17" ht="15.75">
      <c r="B1980" s="53" t="s">
        <v>4208</v>
      </c>
      <c r="C1980" s="53"/>
      <c r="D1980" s="53"/>
      <c r="E1980" s="56">
        <f>E1977/E1979</f>
        <v>8.658742455940302E-2</v>
      </c>
      <c r="F1980" s="56">
        <f>F1977/F1979</f>
        <v>9.8450545943804188E-2</v>
      </c>
      <c r="G1980" s="56">
        <f>G1977/G1979</f>
        <v>0.10348558832354575</v>
      </c>
      <c r="H1980" s="56">
        <f>H1977/H1979</f>
        <v>0.10758347891592267</v>
      </c>
      <c r="I1980" s="56">
        <f ca="1">I1977/I1979</f>
        <v>0.12804620977408424</v>
      </c>
      <c r="J1980" s="53"/>
      <c r="K1980" s="53"/>
      <c r="L1980" s="53"/>
      <c r="M1980" s="53"/>
      <c r="N1980" s="53"/>
      <c r="O1980" s="53"/>
      <c r="P1980" s="53"/>
      <c r="Q1980" s="53"/>
    </row>
    <row r="1981" spans="2:17" ht="15.75">
      <c r="B1981" s="53" t="s">
        <v>4315</v>
      </c>
      <c r="C1981" s="53"/>
      <c r="D1981" s="53"/>
      <c r="E1981" s="820">
        <f>E1977/E1978</f>
        <v>1.9049233403068666</v>
      </c>
      <c r="F1981" s="820">
        <f>F1977/F1978</f>
        <v>2.1659120107636922</v>
      </c>
      <c r="G1981" s="820">
        <f>G1977/G1978</f>
        <v>2.2766829431180065</v>
      </c>
      <c r="H1981" s="820">
        <f>H1977/H1978</f>
        <v>2.3668365361502985</v>
      </c>
      <c r="I1981" s="820">
        <f ca="1">I1977/I1978</f>
        <v>2.8170166150298535</v>
      </c>
      <c r="J1981" s="53"/>
      <c r="K1981" s="53"/>
      <c r="L1981" s="53"/>
      <c r="M1981" s="53"/>
      <c r="N1981" s="53"/>
      <c r="O1981" s="53"/>
      <c r="P1981" s="53"/>
      <c r="Q1981" s="53"/>
    </row>
    <row r="1982" spans="2:17" ht="15.75">
      <c r="B1982" s="53" t="s">
        <v>4305</v>
      </c>
      <c r="C1982" s="53"/>
      <c r="D1982" s="53"/>
      <c r="E1982" s="56">
        <f>E1981/E1817-1</f>
        <v>0.18562887836664332</v>
      </c>
      <c r="F1982" s="56">
        <f>F1981/F1817-1</f>
        <v>0.23559332129762001</v>
      </c>
      <c r="G1982" s="56">
        <f>G1981/G1817-1</f>
        <v>0.26884342187198018</v>
      </c>
      <c r="H1982" s="56">
        <f>H1981/H1817-1</f>
        <v>0.26651796398709005</v>
      </c>
      <c r="I1982" s="56">
        <f ca="1">I1981/I1817-1</f>
        <v>0.21251245630069748</v>
      </c>
      <c r="J1982" s="53"/>
      <c r="K1982" s="53"/>
      <c r="L1982" s="53"/>
      <c r="M1982" s="53"/>
      <c r="N1982" s="53"/>
      <c r="O1982" s="53"/>
      <c r="P1982" s="53"/>
      <c r="Q1982" s="53"/>
    </row>
    <row r="1983" spans="2:17" ht="15.75">
      <c r="B1983" s="53" t="s">
        <v>4326</v>
      </c>
      <c r="C1983" s="53"/>
      <c r="D1983" s="53"/>
      <c r="E1983" s="56">
        <f>E1981/P1820-1</f>
        <v>0.69934113275290199</v>
      </c>
      <c r="F1983" s="56">
        <f>F1981/Q1820-1</f>
        <v>-0.16632630369557755</v>
      </c>
      <c r="G1983" s="56">
        <f>G1981/R1820-1</f>
        <v>-0.15713250779061672</v>
      </c>
      <c r="H1983" s="56">
        <f>H1981/S1820-1</f>
        <v>-0.21151820467351545</v>
      </c>
      <c r="I1983" s="56">
        <f ca="1">I1981/T1820-1</f>
        <v>-0.30077147655487657</v>
      </c>
      <c r="J1983" s="53"/>
      <c r="K1983" s="53"/>
      <c r="L1983" s="53"/>
      <c r="M1983" s="53"/>
      <c r="N1983" s="53"/>
      <c r="O1983" s="53"/>
      <c r="P1983" s="53"/>
      <c r="Q1983" s="53"/>
    </row>
    <row r="1984" spans="2:17" ht="15.75">
      <c r="B1984" s="53"/>
      <c r="C1984" s="53"/>
      <c r="D1984" s="53"/>
      <c r="E1984" s="53"/>
      <c r="F1984" s="53"/>
      <c r="G1984" s="53"/>
      <c r="H1984" s="53"/>
      <c r="I1984" s="53"/>
      <c r="J1984" s="53"/>
      <c r="K1984" s="53"/>
      <c r="L1984" s="53"/>
      <c r="M1984" s="53"/>
      <c r="N1984" s="53"/>
      <c r="O1984" s="53"/>
      <c r="P1984" s="53"/>
      <c r="Q1984" s="53"/>
    </row>
    <row r="1985" spans="2:17" ht="15.75">
      <c r="B1985" s="976" t="s">
        <v>4508</v>
      </c>
      <c r="C1985" s="53"/>
      <c r="D1985" s="53"/>
      <c r="E1985" s="53"/>
      <c r="F1985" s="53"/>
      <c r="G1985" s="53"/>
      <c r="H1985" s="53"/>
      <c r="I1985" s="53"/>
      <c r="J1985" s="53"/>
      <c r="K1985" s="53"/>
      <c r="L1985" s="53"/>
      <c r="M1985" s="53"/>
      <c r="N1985" s="53"/>
      <c r="O1985" s="53"/>
      <c r="P1985" s="53"/>
      <c r="Q1985" s="53"/>
    </row>
    <row r="1986" spans="2:17" ht="15.75">
      <c r="B1986" s="53"/>
      <c r="C1986" s="53"/>
      <c r="D1986" s="53"/>
      <c r="E1986" s="53"/>
      <c r="F1986" s="53"/>
      <c r="G1986" s="53"/>
      <c r="H1986" s="53"/>
      <c r="I1986" s="53"/>
      <c r="J1986" s="53"/>
      <c r="K1986" s="53"/>
      <c r="L1986" s="53"/>
      <c r="M1986" s="53"/>
      <c r="N1986" s="53"/>
      <c r="O1986" s="53"/>
      <c r="P1986" s="53"/>
      <c r="Q1986" s="53"/>
    </row>
    <row r="1987" spans="2:17" ht="15.75">
      <c r="B1987" s="53" t="s">
        <v>306</v>
      </c>
      <c r="C1987" s="53">
        <v>100</v>
      </c>
      <c r="D1987" s="53"/>
      <c r="E1987" s="53"/>
      <c r="F1987" s="53"/>
      <c r="G1987" s="53"/>
      <c r="H1987" s="53"/>
      <c r="I1987" s="53"/>
      <c r="J1987" s="53"/>
      <c r="K1987" s="53"/>
      <c r="L1987" s="53"/>
      <c r="M1987" s="53"/>
      <c r="N1987" s="53"/>
      <c r="O1987" s="53"/>
      <c r="P1987" s="53"/>
      <c r="Q1987" s="53"/>
    </row>
    <row r="1988" spans="2:17" ht="15.75">
      <c r="B1988" s="53" t="s">
        <v>332</v>
      </c>
      <c r="C1988" s="630">
        <f>C1990*C1987</f>
        <v>4750</v>
      </c>
      <c r="D1988" s="53"/>
      <c r="E1988" s="53"/>
      <c r="F1988" s="53"/>
      <c r="G1988" s="53"/>
      <c r="H1988" s="53"/>
      <c r="I1988" s="53"/>
      <c r="J1988" s="53"/>
      <c r="K1988" s="53"/>
      <c r="L1988" s="53"/>
      <c r="M1988" s="53"/>
      <c r="N1988" s="53"/>
      <c r="O1988" s="53"/>
      <c r="P1988" s="53"/>
      <c r="Q1988" s="53"/>
    </row>
    <row r="1989" spans="2:17" ht="15.75">
      <c r="B1989" s="53"/>
      <c r="C1989" s="53"/>
      <c r="D1989" s="53"/>
      <c r="E1989" s="53"/>
      <c r="F1989" s="53"/>
      <c r="G1989" s="53"/>
      <c r="H1989" s="53"/>
      <c r="I1989" s="53"/>
      <c r="J1989" s="53"/>
      <c r="K1989" s="53"/>
      <c r="L1989" s="53"/>
      <c r="M1989" s="53"/>
      <c r="N1989" s="53"/>
      <c r="O1989" s="53"/>
      <c r="P1989" s="53"/>
      <c r="Q1989" s="53"/>
    </row>
    <row r="1990" spans="2:17" ht="15.75">
      <c r="B1990" s="53" t="s">
        <v>4511</v>
      </c>
      <c r="C1990" s="702">
        <v>47.5</v>
      </c>
      <c r="D1990" s="53"/>
      <c r="E1990" s="53"/>
      <c r="F1990" s="53"/>
      <c r="G1990" s="53"/>
      <c r="H1990" s="53"/>
      <c r="I1990" s="53"/>
      <c r="J1990" s="53"/>
      <c r="K1990" s="53"/>
      <c r="L1990" s="53"/>
      <c r="M1990" s="53"/>
      <c r="N1990" s="53"/>
      <c r="O1990" s="53"/>
      <c r="P1990" s="53"/>
      <c r="Q1990" s="53"/>
    </row>
    <row r="1991" spans="2:17" ht="15.75">
      <c r="B1991" s="53" t="s">
        <v>4369</v>
      </c>
      <c r="C1991" s="784">
        <v>0.25</v>
      </c>
      <c r="D1991" s="53"/>
      <c r="E1991" s="53"/>
      <c r="F1991" s="53"/>
      <c r="G1991" s="53"/>
      <c r="H1991" s="53"/>
      <c r="I1991" s="53"/>
      <c r="J1991" s="53"/>
      <c r="K1991" s="53"/>
      <c r="L1991" s="53"/>
      <c r="M1991" s="53"/>
      <c r="N1991" s="53"/>
      <c r="O1991" s="53"/>
      <c r="P1991" s="53"/>
      <c r="Q1991" s="53"/>
    </row>
    <row r="1992" spans="2:17" ht="15.75">
      <c r="B1992" s="53" t="s">
        <v>306</v>
      </c>
      <c r="C1992" s="53">
        <f>C1987*C1991</f>
        <v>25</v>
      </c>
      <c r="D1992" s="53"/>
      <c r="E1992" s="53"/>
      <c r="F1992" s="53"/>
      <c r="G1992" s="53"/>
      <c r="H1992" s="53"/>
      <c r="I1992" s="53"/>
      <c r="J1992" s="53"/>
      <c r="K1992" s="53"/>
      <c r="L1992" s="53"/>
      <c r="M1992" s="53"/>
      <c r="N1992" s="53"/>
      <c r="O1992" s="53"/>
      <c r="P1992" s="53"/>
      <c r="Q1992" s="53"/>
    </row>
    <row r="1993" spans="2:17" ht="15.75">
      <c r="B1993" s="53" t="s">
        <v>4366</v>
      </c>
      <c r="C1993" s="630">
        <f>C1992*C1990</f>
        <v>1187.5</v>
      </c>
      <c r="D1993" s="53"/>
      <c r="E1993" s="53"/>
      <c r="F1993" s="53"/>
      <c r="G1993" s="53"/>
      <c r="H1993" s="53"/>
      <c r="I1993" s="53"/>
      <c r="J1993" s="53"/>
      <c r="K1993" s="53"/>
      <c r="L1993" s="53"/>
      <c r="M1993" s="53"/>
      <c r="N1993" s="53"/>
      <c r="O1993" s="53"/>
      <c r="P1993" s="53"/>
      <c r="Q1993" s="53"/>
    </row>
    <row r="1994" spans="2:17" ht="15.75">
      <c r="B1994" s="53"/>
      <c r="C1994" s="630"/>
      <c r="D1994" s="53"/>
      <c r="E1994" s="53"/>
      <c r="F1994" s="53"/>
      <c r="G1994" s="53"/>
      <c r="H1994" s="53"/>
      <c r="I1994" s="53"/>
      <c r="J1994" s="53"/>
      <c r="K1994" s="53"/>
      <c r="L1994" s="53"/>
      <c r="M1994" s="53"/>
      <c r="N1994" s="53"/>
      <c r="O1994" s="53"/>
      <c r="P1994" s="53"/>
      <c r="Q1994" s="53"/>
    </row>
    <row r="1995" spans="2:17" ht="15.75">
      <c r="B1995" s="53" t="s">
        <v>4383</v>
      </c>
      <c r="E1995" s="56">
        <v>4.1000000000000002E-2</v>
      </c>
      <c r="F1995" s="53"/>
      <c r="G1995" s="53"/>
      <c r="H1995" s="53"/>
      <c r="I1995" s="53"/>
      <c r="J1995" s="53"/>
      <c r="K1995" s="53"/>
      <c r="L1995" s="53"/>
      <c r="M1995" s="53"/>
      <c r="N1995" s="53"/>
      <c r="O1995" s="53"/>
      <c r="P1995" s="53"/>
      <c r="Q1995" s="53"/>
    </row>
    <row r="1996" spans="2:17" ht="15.75">
      <c r="B1996" s="53" t="s">
        <v>4370</v>
      </c>
      <c r="E1996" s="56">
        <f>E1995*(1-0.28)</f>
        <v>2.9520000000000001E-2</v>
      </c>
      <c r="F1996" s="53"/>
      <c r="G1996" s="53"/>
      <c r="H1996" s="53"/>
      <c r="I1996" s="53"/>
      <c r="J1996" s="53"/>
      <c r="K1996" s="53"/>
      <c r="L1996" s="53"/>
      <c r="M1996" s="53"/>
      <c r="N1996" s="53"/>
      <c r="O1996" s="53"/>
      <c r="P1996" s="53"/>
      <c r="Q1996" s="53"/>
    </row>
    <row r="1997" spans="2:17" ht="15.75">
      <c r="B1997" s="53" t="s">
        <v>4371</v>
      </c>
      <c r="E1997" s="630">
        <f>E1996*$C$1993</f>
        <v>35.055</v>
      </c>
      <c r="F1997" s="630">
        <f>E1997</f>
        <v>35.055</v>
      </c>
      <c r="G1997" s="630">
        <f>F1997</f>
        <v>35.055</v>
      </c>
      <c r="H1997" s="630">
        <f>G1997</f>
        <v>35.055</v>
      </c>
      <c r="I1997" s="630">
        <f>H1997</f>
        <v>35.055</v>
      </c>
      <c r="J1997" s="53"/>
      <c r="K1997" s="53"/>
      <c r="L1997" s="53"/>
      <c r="M1997" s="53"/>
      <c r="N1997" s="53"/>
      <c r="O1997" s="53"/>
      <c r="P1997" s="53"/>
      <c r="Q1997" s="53"/>
    </row>
    <row r="1998" spans="2:17" ht="15.75">
      <c r="B1998" s="53" t="s">
        <v>4372</v>
      </c>
      <c r="E1998" s="630">
        <f>E1997</f>
        <v>35.055</v>
      </c>
      <c r="F1998" s="630">
        <f>E1998+F1997</f>
        <v>70.11</v>
      </c>
      <c r="G1998" s="630">
        <f>F1998+G1997</f>
        <v>105.16499999999999</v>
      </c>
      <c r="H1998" s="630">
        <f>G1998+H1997</f>
        <v>140.22</v>
      </c>
      <c r="I1998" s="630">
        <f>H1998+I1997</f>
        <v>175.27500000000001</v>
      </c>
      <c r="J1998" s="53"/>
      <c r="K1998" s="53"/>
      <c r="L1998" s="53"/>
      <c r="M1998" s="53"/>
      <c r="N1998" s="53"/>
      <c r="O1998" s="53"/>
      <c r="P1998" s="53"/>
      <c r="Q1998" s="53"/>
    </row>
    <row r="1999" spans="2:17" ht="15.75">
      <c r="B1999" s="53" t="s">
        <v>4382</v>
      </c>
      <c r="E1999" s="630">
        <f>$C$1991*E1952</f>
        <v>95.797225161861874</v>
      </c>
      <c r="F1999" s="630">
        <f>$C$1991*F1952</f>
        <v>103.88891921021542</v>
      </c>
      <c r="G1999" s="630">
        <f>$C$1991*G1952</f>
        <v>119.60158405849248</v>
      </c>
      <c r="H1999" s="630">
        <f>$C$1991*H1952</f>
        <v>131.30545319835704</v>
      </c>
      <c r="I1999" s="630">
        <f>$C$1991*I1952</f>
        <v>146.0908204013455</v>
      </c>
      <c r="J1999" s="53"/>
      <c r="K1999" s="53"/>
      <c r="L1999" s="53"/>
      <c r="M1999" s="53"/>
      <c r="N1999" s="53"/>
      <c r="O1999" s="53"/>
      <c r="P1999" s="53"/>
      <c r="Q1999" s="53"/>
    </row>
    <row r="2000" spans="2:17" ht="15.75">
      <c r="B2000" s="53" t="s">
        <v>3870</v>
      </c>
      <c r="E2000" s="639">
        <f>(E1815+E1999-E1997)/E1811</f>
        <v>1.6964002195994887</v>
      </c>
      <c r="F2000" s="639">
        <f>(F1815+F1999-F1997)/F1811</f>
        <v>1.854607677450105</v>
      </c>
      <c r="G2000" s="639">
        <f>(G1815+G1999-G1997)/G1811</f>
        <v>1.9191819578029108</v>
      </c>
      <c r="H2000" s="639">
        <f>(H1815+H1999-H1997)/H1811</f>
        <v>2.0109465619552265</v>
      </c>
      <c r="I2000" s="639">
        <f>(I1815+I1999-I1997)/I1811</f>
        <v>2.4873003560444094</v>
      </c>
      <c r="J2000" s="53"/>
      <c r="K2000" s="53"/>
      <c r="L2000" s="53"/>
      <c r="M2000" s="53"/>
      <c r="N2000" s="53"/>
      <c r="O2000" s="53"/>
      <c r="P2000" s="53"/>
      <c r="Q2000" s="53"/>
    </row>
    <row r="2001" spans="2:17" ht="15.75">
      <c r="B2001" s="53" t="s">
        <v>4385</v>
      </c>
      <c r="E2001" s="56">
        <f>E2000/E1817-1</f>
        <v>5.5843585443530852E-2</v>
      </c>
      <c r="F2001" s="56">
        <f>F2000/F1817-1</f>
        <v>5.8002748263375592E-2</v>
      </c>
      <c r="G2001" s="56">
        <f>G2000/G1817-1</f>
        <v>6.9600582678671197E-2</v>
      </c>
      <c r="H2001" s="56">
        <f>H2000/H1817-1</f>
        <v>7.6077670102621342E-2</v>
      </c>
      <c r="I2001" s="56">
        <f>I2000/I1817-1</f>
        <v>7.0594560278461449E-2</v>
      </c>
      <c r="J2001" s="53"/>
      <c r="K2001" s="53"/>
      <c r="L2001" s="53"/>
      <c r="M2001" s="53"/>
      <c r="N2001" s="53"/>
      <c r="O2001" s="53"/>
      <c r="P2001" s="53"/>
      <c r="Q2001" s="53"/>
    </row>
    <row r="2002" spans="2:17" ht="15.75">
      <c r="B2002" s="53" t="s">
        <v>4384</v>
      </c>
      <c r="E2002" s="639">
        <f>(E1806+$C$1993+E1998)/E1790</f>
        <v>3.4078932682613958</v>
      </c>
      <c r="F2002" s="639">
        <f>(F1806+$C$1993+F1998)/F1790</f>
        <v>3.1550277585593953</v>
      </c>
      <c r="G2002" s="639">
        <f>(G1806+$C$1993+G1998)/G1790</f>
        <v>2.8004296445979278</v>
      </c>
      <c r="H2002" s="639">
        <f>(H1806+$C$1993+H1998)/H1790</f>
        <v>2.4048308676713543</v>
      </c>
      <c r="I2002" s="639">
        <f>(I1806+$C$1993+I1998)/I1790</f>
        <v>1.9846516797461531</v>
      </c>
      <c r="J2002" s="53"/>
      <c r="K2002" s="53"/>
      <c r="L2002" s="53"/>
      <c r="M2002" s="53"/>
      <c r="N2002" s="53"/>
      <c r="O2002" s="53"/>
      <c r="P2002" s="53"/>
      <c r="Q2002" s="53"/>
    </row>
    <row r="2003" spans="2:17" ht="15.75">
      <c r="B2003" s="53"/>
      <c r="C2003" s="53"/>
      <c r="D2003" s="53"/>
      <c r="E2003" s="53"/>
      <c r="F2003" s="53"/>
      <c r="G2003" s="53"/>
      <c r="H2003" s="53"/>
      <c r="I2003" s="53"/>
      <c r="J2003" s="53"/>
      <c r="K2003" s="53"/>
      <c r="L2003" s="53"/>
      <c r="M2003" s="53"/>
      <c r="N2003" s="53"/>
      <c r="O2003" s="53"/>
      <c r="P2003" s="53"/>
      <c r="Q2003" s="53"/>
    </row>
    <row r="2004" spans="2:17" ht="15.75">
      <c r="B2004" s="53"/>
      <c r="C2004" s="53"/>
      <c r="D2004" s="53"/>
      <c r="E2004" s="53"/>
      <c r="F2004" s="53"/>
      <c r="G2004" s="53"/>
      <c r="H2004" s="53"/>
      <c r="I2004" s="53"/>
      <c r="J2004" s="53"/>
      <c r="K2004" s="53"/>
      <c r="L2004" s="53"/>
      <c r="M2004" s="53"/>
      <c r="N2004" s="53"/>
      <c r="O2004" s="53"/>
      <c r="P2004" s="53"/>
      <c r="Q2004" s="53"/>
    </row>
    <row r="2005" spans="2:17" ht="15.75">
      <c r="B2005" s="976" t="s">
        <v>4365</v>
      </c>
      <c r="C2005" s="53"/>
      <c r="D2005" s="53"/>
      <c r="E2005" s="53"/>
      <c r="F2005" s="53"/>
      <c r="G2005" s="53"/>
      <c r="H2005" s="53"/>
      <c r="I2005" s="53"/>
      <c r="J2005" s="53"/>
      <c r="K2005" s="53"/>
      <c r="L2005" s="53"/>
      <c r="M2005" s="53"/>
      <c r="N2005" s="53"/>
      <c r="O2005" s="53"/>
      <c r="P2005" s="53"/>
      <c r="Q2005" s="53"/>
    </row>
    <row r="2006" spans="2:17" ht="15.75">
      <c r="B2006" s="53"/>
      <c r="C2006" s="53"/>
      <c r="D2006" s="53"/>
      <c r="E2006" s="53"/>
      <c r="F2006" s="53"/>
      <c r="G2006" s="53"/>
      <c r="H2006" s="53"/>
      <c r="I2006" s="53"/>
      <c r="J2006" s="53"/>
      <c r="K2006" s="53"/>
      <c r="L2006" s="53"/>
      <c r="M2006" s="53"/>
      <c r="N2006" s="53"/>
      <c r="O2006" s="53"/>
      <c r="P2006" s="53"/>
      <c r="Q2006" s="53"/>
    </row>
    <row r="2007" spans="2:17" ht="15.75">
      <c r="B2007" s="53" t="s">
        <v>306</v>
      </c>
      <c r="C2007" s="53">
        <v>579</v>
      </c>
      <c r="D2007" s="53"/>
      <c r="E2007" s="53"/>
      <c r="F2007" s="53"/>
      <c r="G2007" s="53"/>
      <c r="H2007" s="53"/>
      <c r="I2007" s="53"/>
      <c r="J2007" s="53"/>
      <c r="K2007" s="53"/>
      <c r="L2007" s="53"/>
      <c r="M2007" s="53"/>
      <c r="N2007" s="53"/>
      <c r="O2007" s="53"/>
      <c r="P2007" s="53"/>
      <c r="Q2007" s="53"/>
    </row>
    <row r="2008" spans="2:17" ht="15.75">
      <c r="B2008" s="53" t="s">
        <v>332</v>
      </c>
      <c r="C2008" s="630">
        <f>C2010*C2007</f>
        <v>7237.5</v>
      </c>
      <c r="D2008" s="53"/>
      <c r="E2008" s="53"/>
      <c r="F2008" s="53"/>
      <c r="G2008" s="53"/>
      <c r="H2008" s="53"/>
      <c r="I2008" s="53"/>
      <c r="J2008" s="53"/>
      <c r="K2008" s="53"/>
      <c r="L2008" s="53"/>
      <c r="M2008" s="53"/>
      <c r="N2008" s="53"/>
      <c r="O2008" s="53"/>
      <c r="P2008" s="53"/>
      <c r="Q2008" s="53"/>
    </row>
    <row r="2009" spans="2:17" ht="15.75">
      <c r="B2009" s="53"/>
      <c r="C2009" s="53"/>
      <c r="D2009" s="53"/>
      <c r="E2009" s="53"/>
      <c r="F2009" s="53"/>
      <c r="G2009" s="53"/>
      <c r="H2009" s="53"/>
      <c r="I2009" s="53"/>
      <c r="J2009" s="53"/>
      <c r="K2009" s="53"/>
      <c r="L2009" s="53"/>
      <c r="M2009" s="53"/>
      <c r="N2009" s="53"/>
      <c r="O2009" s="53"/>
      <c r="P2009" s="53"/>
      <c r="Q2009" s="53"/>
    </row>
    <row r="2010" spans="2:17" ht="15.75">
      <c r="B2010" s="53" t="s">
        <v>4367</v>
      </c>
      <c r="C2010" s="702">
        <v>12.5</v>
      </c>
      <c r="D2010" s="53"/>
      <c r="E2010" s="53"/>
      <c r="F2010" s="53"/>
      <c r="G2010" s="53"/>
      <c r="H2010" s="53"/>
      <c r="I2010" s="53"/>
      <c r="J2010" s="53"/>
      <c r="K2010" s="53"/>
      <c r="L2010" s="53"/>
      <c r="M2010" s="53"/>
      <c r="N2010" s="53"/>
      <c r="O2010" s="53"/>
      <c r="P2010" s="53"/>
      <c r="Q2010" s="53"/>
    </row>
    <row r="2011" spans="2:17" ht="15.75">
      <c r="B2011" s="53" t="s">
        <v>4369</v>
      </c>
      <c r="C2011" s="784">
        <v>0.28999999999999998</v>
      </c>
      <c r="D2011" s="53"/>
      <c r="E2011" s="53"/>
      <c r="F2011" s="53"/>
      <c r="G2011" s="53"/>
      <c r="H2011" s="53"/>
      <c r="I2011" s="53"/>
      <c r="J2011" s="53"/>
      <c r="K2011" s="53"/>
      <c r="L2011" s="53"/>
      <c r="M2011" s="53"/>
      <c r="N2011" s="53"/>
      <c r="O2011" s="53"/>
      <c r="P2011" s="53"/>
      <c r="Q2011" s="53"/>
    </row>
    <row r="2012" spans="2:17" ht="15.75">
      <c r="B2012" s="53" t="s">
        <v>306</v>
      </c>
      <c r="C2012" s="53">
        <f>C2007*C2011</f>
        <v>167.91</v>
      </c>
      <c r="D2012" s="53"/>
      <c r="E2012" s="53"/>
      <c r="F2012" s="53"/>
      <c r="G2012" s="53"/>
      <c r="H2012" s="53"/>
      <c r="I2012" s="53"/>
      <c r="J2012" s="53"/>
      <c r="K2012" s="53"/>
      <c r="L2012" s="53"/>
      <c r="M2012" s="53"/>
      <c r="N2012" s="53"/>
      <c r="O2012" s="53"/>
      <c r="P2012" s="53"/>
      <c r="Q2012" s="53"/>
    </row>
    <row r="2013" spans="2:17" ht="15.75">
      <c r="B2013" s="53" t="s">
        <v>4366</v>
      </c>
      <c r="C2013" s="630">
        <f>C2012*C2010</f>
        <v>2098.875</v>
      </c>
      <c r="D2013" s="53"/>
      <c r="E2013" s="53"/>
      <c r="F2013" s="53"/>
      <c r="G2013" s="53"/>
      <c r="H2013" s="53"/>
      <c r="I2013" s="53"/>
      <c r="J2013" s="53"/>
      <c r="K2013" s="53"/>
      <c r="L2013" s="53"/>
      <c r="M2013" s="53"/>
      <c r="N2013" s="53"/>
      <c r="O2013" s="53"/>
      <c r="P2013" s="53"/>
      <c r="Q2013" s="53"/>
    </row>
    <row r="2014" spans="2:17" ht="15.75">
      <c r="B2014" s="53"/>
      <c r="C2014" s="53"/>
      <c r="D2014" s="53"/>
      <c r="E2014" s="53"/>
      <c r="F2014" s="53"/>
      <c r="G2014" s="53"/>
      <c r="H2014" s="53"/>
      <c r="I2014" s="53"/>
      <c r="J2014" s="53"/>
      <c r="K2014" s="53"/>
      <c r="L2014" s="53"/>
      <c r="M2014" s="53"/>
      <c r="N2014" s="53"/>
      <c r="O2014" s="53"/>
      <c r="P2014" s="53"/>
      <c r="Q2014" s="53"/>
    </row>
    <row r="2015" spans="2:17" ht="15.75">
      <c r="B2015" s="636" t="s">
        <v>4368</v>
      </c>
      <c r="C2015" s="3"/>
      <c r="D2015" s="636">
        <v>2019</v>
      </c>
      <c r="E2015" s="636">
        <v>2020</v>
      </c>
      <c r="F2015" s="636">
        <f>E2015+1</f>
        <v>2021</v>
      </c>
      <c r="G2015" s="636">
        <f>F2015+1</f>
        <v>2022</v>
      </c>
      <c r="H2015" s="636">
        <f>G2015+1</f>
        <v>2023</v>
      </c>
      <c r="I2015" s="636">
        <f>H2015+1</f>
        <v>2024</v>
      </c>
      <c r="J2015" s="53"/>
      <c r="K2015" s="53"/>
      <c r="L2015" s="53"/>
      <c r="M2015" s="53"/>
      <c r="N2015" s="53"/>
      <c r="O2015" s="53"/>
      <c r="P2015" s="53"/>
      <c r="Q2015" s="53"/>
    </row>
    <row r="2016" spans="2:17" ht="15.75">
      <c r="B2016" s="53" t="s">
        <v>15</v>
      </c>
      <c r="D2016" s="764">
        <v>5303.5565574168795</v>
      </c>
      <c r="E2016" s="764">
        <v>5452.4749868730569</v>
      </c>
      <c r="F2016" s="764">
        <v>5561.1814954032852</v>
      </c>
      <c r="G2016" s="764">
        <v>5673.7962512821186</v>
      </c>
      <c r="H2016" s="764">
        <v>5797.4887779279179</v>
      </c>
      <c r="I2016" s="764">
        <v>5940.8171496124123</v>
      </c>
      <c r="J2016" s="53"/>
      <c r="K2016" s="53"/>
      <c r="L2016" s="53"/>
      <c r="M2016" s="53"/>
      <c r="N2016" s="53"/>
      <c r="O2016" s="53"/>
      <c r="P2016" s="53"/>
      <c r="Q2016" s="53"/>
    </row>
    <row r="2017" spans="2:17" ht="15.75">
      <c r="B2017" s="53" t="s">
        <v>8</v>
      </c>
      <c r="D2017" s="764">
        <v>1984.6060001046278</v>
      </c>
      <c r="E2017" s="764">
        <v>2030.7909269182253</v>
      </c>
      <c r="F2017" s="764">
        <v>2085.1104588262438</v>
      </c>
      <c r="G2017" s="764">
        <v>2131.7487490297908</v>
      </c>
      <c r="H2017" s="764">
        <v>2179.0734275119503</v>
      </c>
      <c r="I2017" s="764">
        <v>2239.3030578107814</v>
      </c>
      <c r="J2017" s="53"/>
      <c r="K2017" s="53"/>
      <c r="L2017" s="53"/>
      <c r="M2017" s="53"/>
      <c r="N2017" s="53"/>
      <c r="O2017" s="53"/>
      <c r="P2017" s="53"/>
      <c r="Q2017" s="53"/>
    </row>
    <row r="2018" spans="2:17" ht="15.75">
      <c r="B2018" s="53" t="s">
        <v>251</v>
      </c>
      <c r="D2018" s="56">
        <f t="shared" ref="D2018:I2018" si="168">D2017/D2016</f>
        <v>0.37420285399412029</v>
      </c>
      <c r="E2018" s="56">
        <f t="shared" si="168"/>
        <v>0.37245304780075017</v>
      </c>
      <c r="F2018" s="56">
        <f t="shared" si="168"/>
        <v>0.37494019221450275</v>
      </c>
      <c r="G2018" s="56">
        <f t="shared" si="168"/>
        <v>0.37571824130062398</v>
      </c>
      <c r="H2018" s="56">
        <f t="shared" si="168"/>
        <v>0.37586505312577312</v>
      </c>
      <c r="I2018" s="56">
        <f t="shared" si="168"/>
        <v>0.3769351928222327</v>
      </c>
      <c r="J2018" s="53"/>
      <c r="K2018" s="53"/>
      <c r="L2018" s="53"/>
      <c r="M2018" s="53"/>
      <c r="N2018" s="53"/>
      <c r="O2018" s="53"/>
      <c r="P2018" s="53"/>
      <c r="Q2018" s="53"/>
    </row>
    <row r="2019" spans="2:17" ht="15.75">
      <c r="B2019" s="53" t="s">
        <v>19</v>
      </c>
      <c r="D2019" s="764">
        <v>1028.2097824862249</v>
      </c>
      <c r="E2019" s="764">
        <v>1024.8027183170752</v>
      </c>
      <c r="F2019" s="764">
        <v>992.54648227972086</v>
      </c>
      <c r="G2019" s="764">
        <v>943.09433132543529</v>
      </c>
      <c r="H2019" s="764">
        <v>916.64670560512718</v>
      </c>
      <c r="I2019" s="764">
        <v>972.88053019205995</v>
      </c>
      <c r="J2019" s="53"/>
      <c r="K2019" s="53"/>
      <c r="L2019" s="53"/>
      <c r="M2019" s="53"/>
      <c r="N2019" s="53"/>
      <c r="O2019" s="53"/>
      <c r="P2019" s="53"/>
      <c r="Q2019" s="53"/>
    </row>
    <row r="2020" spans="2:17" ht="15.75">
      <c r="B2020" s="53" t="s">
        <v>27</v>
      </c>
      <c r="D2020" s="630">
        <f t="shared" ref="D2020:I2020" si="169">D2017-D2019</f>
        <v>956.39621761840294</v>
      </c>
      <c r="E2020" s="630">
        <f t="shared" si="169"/>
        <v>1005.9882086011501</v>
      </c>
      <c r="F2020" s="630">
        <f t="shared" si="169"/>
        <v>1092.563976546523</v>
      </c>
      <c r="G2020" s="630">
        <f t="shared" si="169"/>
        <v>1188.6544177043556</v>
      </c>
      <c r="H2020" s="630">
        <f t="shared" si="169"/>
        <v>1262.4267219068231</v>
      </c>
      <c r="I2020" s="630">
        <f t="shared" si="169"/>
        <v>1266.4225276187215</v>
      </c>
      <c r="J2020" s="53"/>
      <c r="K2020" s="53"/>
      <c r="L2020" s="53"/>
      <c r="M2020" s="53"/>
      <c r="N2020" s="53"/>
      <c r="O2020" s="53"/>
      <c r="P2020" s="53"/>
      <c r="Q2020" s="53"/>
    </row>
    <row r="2021" spans="2:17" ht="15.75">
      <c r="B2021" s="53" t="s">
        <v>249</v>
      </c>
      <c r="D2021" s="749">
        <v>109.41410972459482</v>
      </c>
      <c r="E2021" s="749">
        <v>163.91566631978867</v>
      </c>
      <c r="F2021" s="749">
        <v>286.86832756863703</v>
      </c>
      <c r="G2021" s="749">
        <v>396.68403708660577</v>
      </c>
      <c r="H2021" s="749">
        <v>485.4165133859334</v>
      </c>
      <c r="I2021" s="749">
        <v>488.8161680548601</v>
      </c>
      <c r="J2021" s="53"/>
      <c r="K2021" s="53"/>
      <c r="L2021" s="53"/>
      <c r="M2021" s="53"/>
      <c r="N2021" s="53"/>
      <c r="O2021" s="53"/>
      <c r="P2021" s="53"/>
      <c r="Q2021" s="53"/>
    </row>
    <row r="2022" spans="2:17" ht="15.75">
      <c r="B2022" s="53" t="s">
        <v>115</v>
      </c>
      <c r="D2022" s="764">
        <v>4361.167074214789</v>
      </c>
      <c r="E2022" s="764">
        <v>4158.1148221821004</v>
      </c>
      <c r="F2022" s="764">
        <v>3939.0339256495458</v>
      </c>
      <c r="G2022" s="764">
        <v>3583.8569807639738</v>
      </c>
      <c r="H2022" s="764">
        <v>3180.7456223898266</v>
      </c>
      <c r="I2022" s="764">
        <v>2811.2503238169375</v>
      </c>
      <c r="J2022" s="53"/>
      <c r="K2022" s="53"/>
      <c r="L2022" s="53"/>
      <c r="M2022" s="53"/>
      <c r="N2022" s="53"/>
      <c r="O2022" s="53"/>
      <c r="P2022" s="53"/>
      <c r="Q2022" s="53"/>
    </row>
    <row r="2023" spans="2:17" ht="15.75">
      <c r="B2023" s="53" t="s">
        <v>895</v>
      </c>
      <c r="D2023" s="713">
        <f t="shared" ref="D2023:I2023" si="170">D2022/D2017</f>
        <v>2.1974976766092964</v>
      </c>
      <c r="E2023" s="713">
        <f t="shared" si="170"/>
        <v>2.0475346659599967</v>
      </c>
      <c r="F2023" s="713">
        <f t="shared" si="170"/>
        <v>1.889124822608639</v>
      </c>
      <c r="G2023" s="713">
        <f t="shared" si="170"/>
        <v>1.681181697606283</v>
      </c>
      <c r="H2023" s="713">
        <f t="shared" si="170"/>
        <v>1.4596780366513753</v>
      </c>
      <c r="I2023" s="713">
        <f t="shared" si="170"/>
        <v>1.2554130688167375</v>
      </c>
      <c r="J2023" s="53"/>
      <c r="K2023" s="53"/>
      <c r="L2023" s="53"/>
      <c r="M2023" s="53"/>
      <c r="N2023" s="53"/>
      <c r="O2023" s="53"/>
      <c r="P2023" s="53"/>
      <c r="Q2023" s="53"/>
    </row>
    <row r="2024" spans="2:17" ht="15.75">
      <c r="B2024" s="53"/>
      <c r="E2024" s="53"/>
      <c r="F2024" s="53"/>
      <c r="G2024" s="53"/>
      <c r="H2024" s="53"/>
      <c r="I2024" s="53"/>
      <c r="J2024" s="53"/>
      <c r="K2024" s="53"/>
      <c r="L2024" s="53"/>
      <c r="M2024" s="53"/>
      <c r="N2024" s="53"/>
      <c r="O2024" s="53"/>
      <c r="P2024" s="53"/>
      <c r="Q2024" s="53"/>
    </row>
    <row r="2025" spans="2:17" ht="15.75">
      <c r="B2025" s="53" t="s">
        <v>4383</v>
      </c>
      <c r="E2025" s="56">
        <v>4.1000000000000002E-2</v>
      </c>
      <c r="F2025" s="53"/>
      <c r="G2025" s="53"/>
      <c r="H2025" s="53"/>
      <c r="I2025" s="53"/>
      <c r="J2025" s="53"/>
      <c r="K2025" s="53"/>
      <c r="L2025" s="53"/>
      <c r="M2025" s="53"/>
      <c r="N2025" s="53"/>
      <c r="O2025" s="53"/>
      <c r="P2025" s="53"/>
      <c r="Q2025" s="53"/>
    </row>
    <row r="2026" spans="2:17" ht="15.75">
      <c r="B2026" s="53" t="s">
        <v>4370</v>
      </c>
      <c r="E2026" s="56">
        <f>E2025*(1-0.28)</f>
        <v>2.9520000000000001E-2</v>
      </c>
      <c r="F2026" s="53"/>
      <c r="G2026" s="53"/>
      <c r="H2026" s="53"/>
      <c r="I2026" s="53"/>
      <c r="J2026" s="53"/>
      <c r="K2026" s="53"/>
      <c r="L2026" s="53"/>
      <c r="M2026" s="53"/>
      <c r="N2026" s="53"/>
      <c r="O2026" s="53"/>
      <c r="P2026" s="53"/>
      <c r="Q2026" s="53"/>
    </row>
    <row r="2027" spans="2:17" ht="15.75">
      <c r="B2027" s="53" t="s">
        <v>4371</v>
      </c>
      <c r="E2027" s="630">
        <f>E2026*$C$2013</f>
        <v>61.95879</v>
      </c>
      <c r="F2027" s="630">
        <f>E2027</f>
        <v>61.95879</v>
      </c>
      <c r="G2027" s="630">
        <f>F2027</f>
        <v>61.95879</v>
      </c>
      <c r="H2027" s="630">
        <f>G2027</f>
        <v>61.95879</v>
      </c>
      <c r="I2027" s="630">
        <f>H2027</f>
        <v>61.95879</v>
      </c>
      <c r="J2027" s="53"/>
      <c r="K2027" s="53"/>
      <c r="L2027" s="53"/>
      <c r="M2027" s="53"/>
      <c r="N2027" s="53"/>
      <c r="O2027" s="53"/>
      <c r="P2027" s="53"/>
      <c r="Q2027" s="53"/>
    </row>
    <row r="2028" spans="2:17" ht="15.75">
      <c r="B2028" s="53" t="s">
        <v>4372</v>
      </c>
      <c r="E2028" s="630">
        <f>E2027</f>
        <v>61.95879</v>
      </c>
      <c r="F2028" s="630">
        <f>E2028+F2027</f>
        <v>123.91758</v>
      </c>
      <c r="G2028" s="630">
        <f>F2028+G2027</f>
        <v>185.87637000000001</v>
      </c>
      <c r="H2028" s="630">
        <f>G2028+H2027</f>
        <v>247.83516</v>
      </c>
      <c r="I2028" s="630">
        <f>H2028+I2027</f>
        <v>309.79395</v>
      </c>
      <c r="J2028" s="53"/>
      <c r="K2028" s="53"/>
      <c r="L2028" s="53"/>
      <c r="M2028" s="53"/>
      <c r="N2028" s="53"/>
      <c r="O2028" s="53"/>
      <c r="P2028" s="53"/>
      <c r="Q2028" s="53"/>
    </row>
    <row r="2029" spans="2:17" ht="15.75">
      <c r="B2029" s="53" t="s">
        <v>4382</v>
      </c>
      <c r="E2029" s="630">
        <f>$C$2011*E2021</f>
        <v>47.535543232738711</v>
      </c>
      <c r="F2029" s="630">
        <f>$C$2011*F2021</f>
        <v>83.191814994904732</v>
      </c>
      <c r="G2029" s="630">
        <f>$C$2011*G2021</f>
        <v>115.03837075511566</v>
      </c>
      <c r="H2029" s="630">
        <f>$C$2011*H2021</f>
        <v>140.77078888192068</v>
      </c>
      <c r="I2029" s="630">
        <f>$C$2011*I2021</f>
        <v>141.75668873590942</v>
      </c>
      <c r="J2029" s="53"/>
      <c r="K2029" s="53"/>
      <c r="L2029" s="53"/>
      <c r="M2029" s="53"/>
      <c r="N2029" s="53"/>
      <c r="O2029" s="53"/>
      <c r="P2029" s="53"/>
      <c r="Q2029" s="53"/>
    </row>
    <row r="2030" spans="2:17" ht="15.75">
      <c r="B2030" s="53" t="s">
        <v>3870</v>
      </c>
      <c r="E2030" s="820">
        <f>(E1815+E2029-E2027)/E1811</f>
        <v>1.5853729346229408</v>
      </c>
      <c r="F2030" s="820">
        <f>(F1815+F2029-F2027)/F1811</f>
        <v>1.7842961645766773</v>
      </c>
      <c r="G2030" s="820">
        <f>(G1815+G2029-G2027)/G1811</f>
        <v>1.8727018938392821</v>
      </c>
      <c r="H2030" s="820">
        <f>(H1815+H2029-H2027)/H1811</f>
        <v>1.9851881360816133</v>
      </c>
      <c r="I2030" s="820">
        <f>(I1815+I2029-I2027)/I1811</f>
        <v>2.4411586696848291</v>
      </c>
      <c r="J2030" s="53"/>
      <c r="K2030" s="53"/>
      <c r="L2030" s="53"/>
      <c r="M2030" s="53"/>
      <c r="N2030" s="53"/>
      <c r="O2030" s="53"/>
      <c r="P2030" s="53"/>
      <c r="Q2030" s="53"/>
    </row>
    <row r="2031" spans="2:17" ht="15.75">
      <c r="B2031" s="53" t="s">
        <v>4385</v>
      </c>
      <c r="E2031" s="56">
        <f>E2030/E1817-1</f>
        <v>-1.3260064330445243E-2</v>
      </c>
      <c r="F2031" s="56">
        <f>F2030/F1817-1</f>
        <v>1.7891961082271868E-2</v>
      </c>
      <c r="G2031" s="56">
        <f>G2030/G1817-1</f>
        <v>4.3696262717601186E-2</v>
      </c>
      <c r="H2031" s="56">
        <f>H2030/H1817-1</f>
        <v>6.2294078124603525E-2</v>
      </c>
      <c r="I2031" s="56">
        <f>I2030/I1817-1</f>
        <v>5.0734056379687642E-2</v>
      </c>
      <c r="J2031" s="53"/>
      <c r="K2031" s="53"/>
      <c r="L2031" s="53"/>
      <c r="M2031" s="53"/>
      <c r="N2031" s="53"/>
      <c r="O2031" s="53"/>
      <c r="P2031" s="53"/>
      <c r="Q2031" s="53"/>
    </row>
    <row r="2032" spans="2:17" ht="15.75">
      <c r="B2032" s="53" t="s">
        <v>4384</v>
      </c>
      <c r="E2032" s="639">
        <f>(E1806+$C$2013+E2028)/E1790</f>
        <v>3.5952000414384693</v>
      </c>
      <c r="F2032" s="639">
        <f>(F1806+$C$2013+F2028)/F1790</f>
        <v>3.3439935809154653</v>
      </c>
      <c r="G2032" s="639">
        <f>(G1806+$C$2013+G2028)/G1790</f>
        <v>2.9900109371016619</v>
      </c>
      <c r="H2032" s="639">
        <f>(H1806+$C$2013+H2028)/H1790</f>
        <v>2.5938606047857413</v>
      </c>
      <c r="I2032" s="639">
        <f>(I1806+$C$2013+I2028)/I1790</f>
        <v>2.1736559818537189</v>
      </c>
      <c r="J2032" s="53"/>
      <c r="K2032" s="53"/>
      <c r="L2032" s="53"/>
      <c r="M2032" s="53"/>
      <c r="N2032" s="53"/>
      <c r="O2032" s="53"/>
      <c r="P2032" s="53"/>
      <c r="Q2032" s="53"/>
    </row>
    <row r="2033" spans="2:17" ht="15.75">
      <c r="B2033" s="53"/>
      <c r="C2033" s="53"/>
      <c r="D2033" s="53"/>
      <c r="E2033" s="53"/>
      <c r="F2033" s="53"/>
      <c r="G2033" s="53"/>
      <c r="H2033" s="53"/>
      <c r="I2033" s="53"/>
      <c r="J2033" s="53"/>
      <c r="K2033" s="53"/>
      <c r="L2033" s="53"/>
      <c r="M2033" s="53"/>
      <c r="N2033" s="53"/>
      <c r="O2033" s="53"/>
      <c r="P2033" s="53"/>
      <c r="Q2033" s="53"/>
    </row>
    <row r="2034" spans="2:17" ht="15.75">
      <c r="B2034" s="58" t="s">
        <v>4373</v>
      </c>
      <c r="C2034" s="53"/>
      <c r="D2034" s="53"/>
      <c r="E2034" s="53"/>
      <c r="F2034" s="53"/>
      <c r="G2034" s="53"/>
      <c r="H2034" s="53"/>
      <c r="I2034" s="53"/>
      <c r="J2034" s="53"/>
      <c r="K2034" s="53"/>
      <c r="L2034" s="53"/>
      <c r="M2034" s="53"/>
      <c r="N2034" s="53"/>
      <c r="O2034" s="53"/>
      <c r="P2034" s="53"/>
      <c r="Q2034" s="53"/>
    </row>
    <row r="2035" spans="2:17" ht="15.75">
      <c r="B2035" s="53" t="str">
        <f>B1715</f>
        <v>Share price</v>
      </c>
      <c r="D2035" s="714">
        <v>80</v>
      </c>
      <c r="E2035" s="53"/>
      <c r="F2035" s="53"/>
      <c r="G2035" s="53"/>
      <c r="H2035" s="53"/>
      <c r="I2035" s="53"/>
      <c r="J2035" s="53"/>
      <c r="K2035" s="53"/>
      <c r="L2035" s="53"/>
      <c r="M2035" s="53"/>
      <c r="N2035" s="53"/>
      <c r="O2035" s="53"/>
      <c r="P2035" s="53"/>
      <c r="Q2035" s="53"/>
    </row>
    <row r="2036" spans="2:17" ht="15.75">
      <c r="B2036" s="53" t="str">
        <f>B1716</f>
        <v>Premium</v>
      </c>
      <c r="D2036" s="784">
        <v>0.25</v>
      </c>
      <c r="E2036" s="53"/>
      <c r="F2036" s="53"/>
      <c r="G2036" s="53"/>
      <c r="H2036" s="53"/>
      <c r="I2036" s="53"/>
      <c r="J2036" s="53"/>
      <c r="K2036" s="53"/>
      <c r="L2036" s="53"/>
      <c r="M2036" s="53"/>
      <c r="N2036" s="53"/>
      <c r="O2036" s="53"/>
      <c r="P2036" s="53"/>
      <c r="Q2036" s="53"/>
    </row>
    <row r="2037" spans="2:17" ht="15.75">
      <c r="B2037" s="53" t="str">
        <f>B1717</f>
        <v>Bid price</v>
      </c>
      <c r="D2037" s="53">
        <f>(1+D2036)*D2035</f>
        <v>100</v>
      </c>
      <c r="E2037" s="53"/>
      <c r="F2037" s="53"/>
      <c r="G2037" s="53"/>
      <c r="H2037" s="53"/>
      <c r="I2037" s="53"/>
      <c r="J2037" s="53"/>
      <c r="K2037" s="53"/>
      <c r="L2037" s="53"/>
      <c r="M2037" s="53"/>
      <c r="N2037" s="53"/>
      <c r="O2037" s="53"/>
      <c r="P2037" s="53"/>
      <c r="Q2037" s="53"/>
    </row>
    <row r="2038" spans="2:17" ht="15.75">
      <c r="B2038" s="53" t="str">
        <f>B1718</f>
        <v>SHOUT</v>
      </c>
      <c r="D2038" s="714">
        <v>859</v>
      </c>
      <c r="E2038" s="53"/>
      <c r="F2038" s="53"/>
      <c r="G2038" s="53"/>
      <c r="H2038" s="53"/>
      <c r="I2038" s="53"/>
      <c r="J2038" s="53"/>
      <c r="K2038" s="53"/>
      <c r="L2038" s="53"/>
      <c r="M2038" s="53"/>
      <c r="N2038" s="53"/>
      <c r="O2038" s="53"/>
      <c r="P2038" s="53"/>
      <c r="Q2038" s="53"/>
    </row>
    <row r="2039" spans="2:17" ht="15.75">
      <c r="B2039" s="53"/>
      <c r="D2039" s="53"/>
      <c r="E2039" s="53"/>
      <c r="F2039" s="53"/>
      <c r="G2039" s="53"/>
      <c r="H2039" s="53"/>
      <c r="I2039" s="53"/>
      <c r="J2039" s="53"/>
      <c r="K2039" s="53"/>
      <c r="L2039" s="53"/>
      <c r="M2039" s="53"/>
      <c r="N2039" s="53"/>
      <c r="O2039" s="53"/>
      <c r="P2039" s="53"/>
      <c r="Q2039" s="53"/>
    </row>
    <row r="2040" spans="2:17" ht="15.75">
      <c r="B2040" s="53" t="str">
        <f>B1720</f>
        <v>Equity value, MXN m</v>
      </c>
      <c r="D2040" s="630">
        <f>D2037*D2038</f>
        <v>85900</v>
      </c>
      <c r="E2040" s="53"/>
      <c r="F2040" s="53"/>
      <c r="G2040" s="53"/>
      <c r="H2040" s="53"/>
      <c r="I2040" s="53"/>
      <c r="J2040" s="53"/>
      <c r="K2040" s="53"/>
      <c r="L2040" s="53"/>
      <c r="M2040" s="53"/>
      <c r="N2040" s="53"/>
      <c r="O2040" s="53"/>
      <c r="P2040" s="53"/>
      <c r="Q2040" s="53"/>
    </row>
    <row r="2041" spans="2:17" ht="15.75">
      <c r="B2041" s="53" t="str">
        <f>B1721</f>
        <v>Net debt</v>
      </c>
      <c r="D2041" s="630">
        <f>C1721</f>
        <v>718.84951114262799</v>
      </c>
      <c r="E2041" s="53"/>
      <c r="F2041" s="53"/>
      <c r="G2041" s="53"/>
      <c r="H2041" s="53"/>
      <c r="I2041" s="53"/>
      <c r="J2041" s="53"/>
      <c r="K2041" s="53"/>
      <c r="L2041" s="53"/>
      <c r="M2041" s="53"/>
      <c r="N2041" s="53"/>
      <c r="O2041" s="53"/>
      <c r="P2041" s="53"/>
      <c r="Q2041" s="53"/>
    </row>
    <row r="2042" spans="2:17" ht="15.75">
      <c r="B2042" s="53" t="str">
        <f>B1722</f>
        <v>EV, MXN m</v>
      </c>
      <c r="D2042" s="630">
        <f>D2040+D2041</f>
        <v>86618.849511142631</v>
      </c>
      <c r="E2042" s="53"/>
      <c r="F2042" s="53"/>
      <c r="G2042" s="53"/>
      <c r="H2042" s="53"/>
      <c r="I2042" s="53"/>
      <c r="J2042" s="53"/>
      <c r="K2042" s="53"/>
      <c r="L2042" s="53"/>
      <c r="M2042" s="53"/>
      <c r="N2042" s="53"/>
      <c r="O2042" s="53"/>
      <c r="P2042" s="53"/>
      <c r="Q2042" s="53"/>
    </row>
    <row r="2043" spans="2:17" ht="15.75">
      <c r="B2043" s="53" t="str">
        <f>B1723</f>
        <v>MXN / USD</v>
      </c>
      <c r="D2043" s="53">
        <f>C1723</f>
        <v>19.399999999999999</v>
      </c>
      <c r="E2043" s="53"/>
      <c r="F2043" s="53"/>
      <c r="G2043" s="53"/>
      <c r="H2043" s="53"/>
      <c r="I2043" s="53"/>
      <c r="J2043" s="53"/>
      <c r="K2043" s="53"/>
      <c r="L2043" s="53"/>
      <c r="M2043" s="53"/>
      <c r="N2043" s="53"/>
      <c r="O2043" s="53"/>
      <c r="P2043" s="53"/>
      <c r="Q2043" s="53"/>
    </row>
    <row r="2044" spans="2:17" ht="15.75">
      <c r="B2044" s="53" t="s">
        <v>4374</v>
      </c>
      <c r="D2044" s="630">
        <f>D2042/D2043</f>
        <v>4464.8891500588988</v>
      </c>
      <c r="E2044" s="53"/>
      <c r="F2044" s="53"/>
      <c r="G2044" s="53"/>
      <c r="H2044" s="53"/>
      <c r="I2044" s="53"/>
      <c r="J2044" s="53"/>
      <c r="K2044" s="53"/>
      <c r="L2044" s="53"/>
      <c r="M2044" s="53"/>
      <c r="N2044" s="53"/>
      <c r="O2044" s="53"/>
      <c r="P2044" s="53"/>
      <c r="Q2044" s="53"/>
    </row>
    <row r="2045" spans="2:17" ht="15.75">
      <c r="B2045" s="53" t="str">
        <f>B1725</f>
        <v>Implied multiple</v>
      </c>
      <c r="D2045" s="621">
        <f>D2042/D1701</f>
        <v>7.9698326080471595</v>
      </c>
      <c r="E2045" s="53"/>
      <c r="F2045" s="53"/>
      <c r="G2045" s="53"/>
      <c r="H2045" s="53"/>
      <c r="I2045" s="53"/>
      <c r="J2045" s="53"/>
      <c r="K2045" s="53"/>
      <c r="L2045" s="53"/>
      <c r="M2045" s="53"/>
      <c r="N2045" s="53"/>
      <c r="O2045" s="53"/>
      <c r="P2045" s="53"/>
      <c r="Q2045" s="53"/>
    </row>
    <row r="2046" spans="2:17" ht="15.75">
      <c r="B2046" s="53"/>
      <c r="C2046" s="53"/>
      <c r="D2046" s="53"/>
      <c r="E2046" s="53"/>
      <c r="F2046" s="53"/>
      <c r="G2046" s="53"/>
      <c r="H2046" s="53"/>
      <c r="I2046" s="53"/>
      <c r="J2046" s="53"/>
      <c r="K2046" s="53"/>
      <c r="L2046" s="53"/>
      <c r="M2046" s="53"/>
      <c r="N2046" s="53"/>
      <c r="O2046" s="53"/>
      <c r="P2046" s="53"/>
      <c r="Q2046" s="53"/>
    </row>
    <row r="2047" spans="2:17" ht="15.75">
      <c r="B2047" s="53" t="s">
        <v>1665</v>
      </c>
      <c r="C2047" s="53"/>
      <c r="D2047" s="784">
        <v>1</v>
      </c>
      <c r="E2047" s="53"/>
      <c r="F2047" s="53"/>
      <c r="G2047" s="53"/>
      <c r="H2047" s="53"/>
      <c r="I2047" s="53"/>
      <c r="J2047" s="53"/>
      <c r="K2047" s="53"/>
      <c r="L2047" s="53"/>
      <c r="M2047" s="53"/>
      <c r="N2047" s="53"/>
      <c r="O2047" s="53"/>
      <c r="P2047" s="53"/>
      <c r="Q2047" s="53"/>
    </row>
    <row r="2048" spans="2:17" ht="15.75">
      <c r="B2048" s="53" t="s">
        <v>4366</v>
      </c>
      <c r="C2048" s="53"/>
      <c r="D2048" s="630">
        <f>D2047*D2044</f>
        <v>4464.8891500588988</v>
      </c>
      <c r="E2048" s="53"/>
      <c r="F2048" s="53"/>
      <c r="G2048" s="53"/>
      <c r="H2048" s="53"/>
      <c r="I2048" s="53"/>
      <c r="J2048" s="53"/>
      <c r="K2048" s="53"/>
      <c r="L2048" s="53"/>
      <c r="M2048" s="53"/>
      <c r="N2048" s="53"/>
      <c r="O2048" s="53"/>
      <c r="P2048" s="53"/>
      <c r="Q2048" s="53"/>
    </row>
    <row r="2049" spans="2:17" ht="15.75">
      <c r="B2049" s="53"/>
      <c r="C2049" s="53"/>
      <c r="D2049" s="53"/>
      <c r="E2049" s="53"/>
      <c r="F2049" s="53"/>
      <c r="G2049" s="53"/>
      <c r="H2049" s="53"/>
      <c r="I2049" s="53"/>
      <c r="J2049" s="53"/>
      <c r="K2049" s="53"/>
      <c r="L2049" s="53"/>
      <c r="M2049" s="53"/>
      <c r="N2049" s="53"/>
      <c r="O2049" s="53"/>
      <c r="P2049" s="53"/>
      <c r="Q2049" s="53"/>
    </row>
    <row r="2050" spans="2:17" ht="15.75">
      <c r="B2050" s="53" t="str">
        <f>B2025</f>
        <v>LBTY borrowing cost</v>
      </c>
      <c r="C2050" s="53"/>
      <c r="D2050" s="56">
        <f>E2025</f>
        <v>4.1000000000000002E-2</v>
      </c>
      <c r="E2050" s="53"/>
      <c r="F2050" s="53"/>
      <c r="G2050" s="53"/>
      <c r="H2050" s="53"/>
      <c r="I2050" s="53"/>
      <c r="J2050" s="53"/>
      <c r="K2050" s="53"/>
      <c r="L2050" s="53"/>
      <c r="M2050" s="53"/>
      <c r="N2050" s="53"/>
      <c r="O2050" s="53"/>
      <c r="P2050" s="53"/>
      <c r="Q2050" s="53"/>
    </row>
    <row r="2051" spans="2:17" ht="15.75">
      <c r="B2051" s="53" t="str">
        <f>B2026</f>
        <v>Post-tax interest cost</v>
      </c>
      <c r="C2051" s="53"/>
      <c r="D2051" s="56">
        <f>E2026</f>
        <v>2.9520000000000001E-2</v>
      </c>
      <c r="E2051" s="53"/>
      <c r="F2051" s="53"/>
      <c r="G2051" s="53"/>
      <c r="H2051" s="53"/>
      <c r="I2051" s="53"/>
      <c r="J2051" s="53"/>
      <c r="K2051" s="53"/>
      <c r="L2051" s="53"/>
      <c r="M2051" s="53"/>
      <c r="N2051" s="53"/>
      <c r="O2051" s="53"/>
      <c r="P2051" s="53"/>
      <c r="Q2051" s="53"/>
    </row>
    <row r="2052" spans="2:17" ht="15.75">
      <c r="B2052" s="53" t="str">
        <f>B2027</f>
        <v>Interest charge</v>
      </c>
      <c r="C2052" s="53"/>
      <c r="D2052" s="630">
        <f>D2051*$D$2048</f>
        <v>131.80352770973869</v>
      </c>
      <c r="E2052" s="630">
        <f>D2052</f>
        <v>131.80352770973869</v>
      </c>
      <c r="F2052" s="630">
        <f>E2052</f>
        <v>131.80352770973869</v>
      </c>
      <c r="G2052" s="630">
        <f>F2052</f>
        <v>131.80352770973869</v>
      </c>
      <c r="H2052" s="630">
        <f>G2052</f>
        <v>131.80352770973869</v>
      </c>
      <c r="I2052" s="630">
        <f>H2052</f>
        <v>131.80352770973869</v>
      </c>
      <c r="J2052" s="53"/>
      <c r="K2052" s="53"/>
      <c r="L2052" s="53"/>
      <c r="M2052" s="53"/>
      <c r="N2052" s="53"/>
      <c r="O2052" s="53"/>
      <c r="P2052" s="53"/>
      <c r="Q2052" s="53"/>
    </row>
    <row r="2053" spans="2:17" ht="15.75">
      <c r="B2053" s="53" t="str">
        <f>B2028</f>
        <v>Cumulative interest charge</v>
      </c>
      <c r="C2053" s="53"/>
      <c r="D2053" s="630">
        <f>D2052</f>
        <v>131.80352770973869</v>
      </c>
      <c r="E2053" s="630">
        <f>D2053+E2052</f>
        <v>263.60705541947738</v>
      </c>
      <c r="F2053" s="630">
        <f>E2053+F2052</f>
        <v>395.41058312921609</v>
      </c>
      <c r="G2053" s="630">
        <f>F2053+G2052</f>
        <v>527.21411083895475</v>
      </c>
      <c r="H2053" s="630">
        <f>G2053+H2052</f>
        <v>659.01763854869341</v>
      </c>
      <c r="I2053" s="630">
        <f>H2053+I2052</f>
        <v>790.82116625843207</v>
      </c>
      <c r="J2053" s="53"/>
      <c r="K2053" s="53"/>
      <c r="L2053" s="53"/>
      <c r="M2053" s="53"/>
      <c r="N2053" s="53"/>
      <c r="O2053" s="53"/>
      <c r="P2053" s="53"/>
      <c r="Q2053" s="53"/>
    </row>
    <row r="2054" spans="2:17" ht="15.75">
      <c r="B2054" s="53"/>
      <c r="C2054" s="53"/>
      <c r="D2054" s="53"/>
      <c r="E2054" s="53"/>
      <c r="F2054" s="53"/>
      <c r="G2054" s="53"/>
      <c r="H2054" s="53"/>
      <c r="I2054" s="53"/>
      <c r="J2054" s="53"/>
      <c r="K2054" s="53"/>
      <c r="L2054" s="53"/>
      <c r="M2054" s="53"/>
      <c r="N2054" s="53"/>
      <c r="O2054" s="53"/>
      <c r="P2054" s="53"/>
      <c r="Q2054" s="53"/>
    </row>
    <row r="2055" spans="2:17" ht="15.75">
      <c r="B2055" s="53" t="s">
        <v>4375</v>
      </c>
      <c r="C2055" s="53"/>
      <c r="D2055" s="630">
        <f t="shared" ref="D2055:I2055" si="171">E2029+$D$2048+D2053</f>
        <v>4644.2282210013764</v>
      </c>
      <c r="E2055" s="630">
        <f t="shared" si="171"/>
        <v>4811.6880204732815</v>
      </c>
      <c r="F2055" s="630">
        <f t="shared" si="171"/>
        <v>4975.3381039432306</v>
      </c>
      <c r="G2055" s="630">
        <f t="shared" si="171"/>
        <v>5132.8740497797744</v>
      </c>
      <c r="H2055" s="630">
        <f t="shared" si="171"/>
        <v>5265.6634773435017</v>
      </c>
      <c r="I2055" s="630">
        <f t="shared" si="171"/>
        <v>5255.7103163173306</v>
      </c>
      <c r="J2055" s="53"/>
      <c r="K2055" s="53"/>
      <c r="L2055" s="53"/>
      <c r="M2055" s="53"/>
      <c r="N2055" s="53"/>
      <c r="O2055" s="53"/>
      <c r="P2055" s="53"/>
      <c r="Q2055" s="53"/>
    </row>
    <row r="2056" spans="2:17" ht="15.75">
      <c r="B2056" s="53" t="s">
        <v>4376</v>
      </c>
      <c r="C2056" s="53"/>
      <c r="D2056" s="630">
        <f t="shared" ref="D2056:I2056" si="172">E2017+D1708</f>
        <v>2591.0146316859627</v>
      </c>
      <c r="E2056" s="630">
        <f t="shared" si="172"/>
        <v>2684.6461913601033</v>
      </c>
      <c r="F2056" s="630">
        <f t="shared" si="172"/>
        <v>2781.051616804923</v>
      </c>
      <c r="G2056" s="630">
        <f t="shared" si="172"/>
        <v>2876.1687467018342</v>
      </c>
      <c r="H2056" s="630">
        <f t="shared" si="172"/>
        <v>2988.2361347461201</v>
      </c>
      <c r="I2056" s="630">
        <f t="shared" si="172"/>
        <v>807.28099547252373</v>
      </c>
      <c r="J2056" s="53"/>
      <c r="K2056" s="53"/>
      <c r="L2056" s="53"/>
      <c r="M2056" s="53"/>
      <c r="N2056" s="53"/>
      <c r="O2056" s="53"/>
      <c r="P2056" s="53"/>
      <c r="Q2056" s="53"/>
    </row>
    <row r="2057" spans="2:17" ht="15.75">
      <c r="B2057" s="53" t="s">
        <v>895</v>
      </c>
      <c r="C2057" s="53"/>
      <c r="D2057" s="713">
        <f t="shared" ref="D2057:I2057" si="173">D2055/D2056</f>
        <v>1.7924361229791264</v>
      </c>
      <c r="E2057" s="713">
        <f t="shared" si="173"/>
        <v>1.7922987527960137</v>
      </c>
      <c r="F2057" s="713">
        <f t="shared" si="173"/>
        <v>1.7890132185533707</v>
      </c>
      <c r="G2057" s="713">
        <f t="shared" si="173"/>
        <v>1.7846220099796835</v>
      </c>
      <c r="H2057" s="713">
        <f t="shared" si="173"/>
        <v>1.7621309829287877</v>
      </c>
      <c r="I2057" s="713">
        <f t="shared" si="173"/>
        <v>6.5103852881375204</v>
      </c>
      <c r="J2057" s="53"/>
      <c r="K2057" s="53"/>
      <c r="L2057" s="53"/>
      <c r="M2057" s="53"/>
      <c r="N2057" s="53"/>
      <c r="O2057" s="53"/>
      <c r="P2057" s="53"/>
      <c r="Q2057" s="53"/>
    </row>
    <row r="2058" spans="2:17" ht="15.75">
      <c r="B2058" s="53"/>
      <c r="C2058" s="53"/>
      <c r="D2058" s="53"/>
      <c r="E2058" s="53"/>
      <c r="F2058" s="53"/>
      <c r="G2058" s="53"/>
      <c r="H2058" s="53"/>
      <c r="I2058" s="53"/>
      <c r="J2058" s="53"/>
      <c r="K2058" s="53"/>
      <c r="L2058" s="53"/>
      <c r="M2058" s="53"/>
      <c r="N2058" s="53"/>
      <c r="O2058" s="53"/>
      <c r="P2058" s="53"/>
      <c r="Q2058" s="53"/>
    </row>
    <row r="2060" spans="2:17" ht="15.75">
      <c r="B2060" s="684" t="s">
        <v>4227</v>
      </c>
    </row>
    <row r="2062" spans="2:17">
      <c r="C2062" s="4" t="s">
        <v>4228</v>
      </c>
      <c r="D2062" s="4" t="s">
        <v>4229</v>
      </c>
      <c r="E2062" s="4" t="s">
        <v>4230</v>
      </c>
    </row>
    <row r="2063" spans="2:17">
      <c r="B2063" t="s">
        <v>467</v>
      </c>
      <c r="C2063" s="6">
        <f>'LiLAC valuation'!C1017</f>
        <v>5.6524075434257096E-2</v>
      </c>
      <c r="D2063" s="486">
        <f>Valuation!J8</f>
        <v>1237.0832</v>
      </c>
      <c r="E2063" s="486">
        <f>C2063*D2063</f>
        <v>69.924984115252158</v>
      </c>
    </row>
    <row r="2064" spans="2:17">
      <c r="B2064" t="s">
        <v>3145</v>
      </c>
      <c r="C2064" s="6">
        <f>'LiLAC valuation'!D1017</f>
        <v>3.1266789051921068E-2</v>
      </c>
      <c r="D2064" s="486">
        <v>18442</v>
      </c>
      <c r="E2064" s="486">
        <f>C2064*D2064</f>
        <v>576.62212369552833</v>
      </c>
    </row>
    <row r="2066" spans="2:13 16384:16384" ht="15.75">
      <c r="B2066" s="684" t="s">
        <v>4240</v>
      </c>
    </row>
    <row r="2068" spans="2:13 16384:16384" ht="15.75">
      <c r="B2068" s="810" t="s">
        <v>3871</v>
      </c>
      <c r="C2068" s="957" t="s">
        <v>29</v>
      </c>
      <c r="D2068" s="957" t="s">
        <v>899</v>
      </c>
      <c r="E2068" s="957" t="s">
        <v>984</v>
      </c>
      <c r="F2068" s="957" t="s">
        <v>4234</v>
      </c>
      <c r="G2068" s="957" t="s">
        <v>16</v>
      </c>
      <c r="I2068" s="957" t="str">
        <f>C2068</f>
        <v>CWC</v>
      </c>
      <c r="J2068" s="957" t="str">
        <f>D2068</f>
        <v>VTR</v>
      </c>
      <c r="K2068" s="957" t="str">
        <f>E2068</f>
        <v>PR</v>
      </c>
      <c r="L2068" s="957" t="str">
        <f>F2068</f>
        <v>CR</v>
      </c>
      <c r="M2068" s="957" t="str">
        <f>G2068</f>
        <v>Total</v>
      </c>
    </row>
    <row r="2069" spans="2:13 16384:16384" ht="15.75">
      <c r="B2069" s="809" t="s">
        <v>4231</v>
      </c>
      <c r="C2069" s="481">
        <f>'New quarts'!X95</f>
        <v>128.4</v>
      </c>
      <c r="D2069" s="481">
        <f>'New quarts'!X132+'New quarts'!X133+'New quarts'!X134</f>
        <v>211.35751752282167</v>
      </c>
      <c r="E2069" s="481">
        <f>'LiLAC valuation'!Z357</f>
        <v>82.5</v>
      </c>
      <c r="F2069" s="481">
        <f>'New quarts'!X20</f>
        <v>32.5</v>
      </c>
      <c r="G2069" s="481">
        <f t="shared" ref="G2069:G2074" si="174">C2069+D2069+E2069+F2069</f>
        <v>454.75751752282167</v>
      </c>
      <c r="I2069" s="56">
        <v>4.9000000000000002E-2</v>
      </c>
      <c r="J2069" s="56">
        <f>'New quarts'!BW118</f>
        <v>1.510791366906461E-2</v>
      </c>
      <c r="K2069" s="752">
        <f>'Puerto Rico'!H43</f>
        <v>9.9195710455764141E-2</v>
      </c>
      <c r="L2069" s="752">
        <v>0.05</v>
      </c>
      <c r="M2069" s="56">
        <f>((C2069*I2069)+(D2069*J2069)+(E2069*K2069)+(F2069*L2069))/G2069</f>
        <v>4.2425724693324986E-2</v>
      </c>
      <c r="XFD2069" s="56"/>
    </row>
    <row r="2070" spans="2:13 16384:16384" ht="15.75">
      <c r="B2070" s="809" t="s">
        <v>4232</v>
      </c>
      <c r="C2070" s="481">
        <f>'New quarts'!X104</f>
        <v>212.5</v>
      </c>
      <c r="D2070" s="481">
        <f>'New quarts'!X135</f>
        <v>15.72823482629077</v>
      </c>
      <c r="E2070" s="481">
        <f>'LiLAC valuation'!Z360</f>
        <v>6.8000000000000007</v>
      </c>
      <c r="F2070" s="481">
        <v>0</v>
      </c>
      <c r="G2070" s="481">
        <f t="shared" si="174"/>
        <v>235.02823482629077</v>
      </c>
      <c r="I2070" s="56">
        <v>2.1999999999999999E-2</v>
      </c>
      <c r="J2070" s="56">
        <f>'New quarts'!BW114</f>
        <v>0.4411764705882355</v>
      </c>
      <c r="K2070" s="752">
        <f>K2069</f>
        <v>9.9195710455764141E-2</v>
      </c>
      <c r="L2070" s="752">
        <f>L2069</f>
        <v>0.05</v>
      </c>
      <c r="M2070" s="56">
        <f>((C2070*I2070)+(D2070*J2070)+(E2070*K2070)+(F2070*L2070))/G2070</f>
        <v>5.2285028517648179E-2</v>
      </c>
    </row>
    <row r="2071" spans="2:13 16384:16384" ht="15.75">
      <c r="B2071" s="809" t="s">
        <v>4233</v>
      </c>
      <c r="C2071" s="481">
        <f>'New quarts'!X99</f>
        <v>135</v>
      </c>
      <c r="D2071" s="481">
        <f>'New quarts'!X113*1000/'New quarts'!X129</f>
        <v>15.72823482629077</v>
      </c>
      <c r="E2071" s="481">
        <v>0</v>
      </c>
      <c r="F2071" s="481">
        <v>0</v>
      </c>
      <c r="G2071" s="481">
        <f t="shared" si="174"/>
        <v>150.72823482629076</v>
      </c>
      <c r="I2071" s="56">
        <f>'New quarts'!BT99</f>
        <v>-0.12959381044487428</v>
      </c>
      <c r="J2071" s="56">
        <f>'New quarts'!X113/'New quarts'!S113-1</f>
        <v>7.1428571428571397E-2</v>
      </c>
    </row>
    <row r="2072" spans="2:13 16384:16384" ht="15.75">
      <c r="B2072" s="810" t="s">
        <v>4</v>
      </c>
      <c r="C2072" s="638">
        <f>C2073-C2071-C2070-C2069</f>
        <v>59.899999999999949</v>
      </c>
      <c r="D2072" s="638">
        <v>0</v>
      </c>
      <c r="E2072" s="638">
        <v>0</v>
      </c>
      <c r="F2072" s="638">
        <v>0</v>
      </c>
      <c r="G2072" s="638">
        <f t="shared" si="174"/>
        <v>59.899999999999949</v>
      </c>
      <c r="I2072" s="631"/>
      <c r="J2072" s="3"/>
      <c r="K2072" s="3"/>
      <c r="L2072" s="3"/>
      <c r="M2072" s="3"/>
    </row>
    <row r="2073" spans="2:13 16384:16384" ht="15.75">
      <c r="B2073" s="809" t="s">
        <v>1840</v>
      </c>
      <c r="C2073" s="481">
        <f>C2074-'New quarts'!X100-'New quarts'!X96</f>
        <v>535.79999999999995</v>
      </c>
      <c r="D2073" s="481">
        <f>D2069+D2070+D2071+D2072</f>
        <v>242.81398717540318</v>
      </c>
      <c r="E2073" s="481">
        <f>SUM(E2069:E2072)</f>
        <v>89.3</v>
      </c>
      <c r="F2073" s="481">
        <f>SUM(F2069:F2072)</f>
        <v>32.5</v>
      </c>
      <c r="G2073" s="481">
        <f t="shared" si="174"/>
        <v>900.41398717540312</v>
      </c>
      <c r="I2073" s="56">
        <v>-1.7000000000000001E-2</v>
      </c>
      <c r="J2073" s="56">
        <f>'New quarts'!BW117</f>
        <v>2.8252299605781683E-2</v>
      </c>
      <c r="K2073" s="752">
        <f>K2069</f>
        <v>9.9195710455764141E-2</v>
      </c>
      <c r="L2073" s="752">
        <v>0.05</v>
      </c>
      <c r="M2073" s="56">
        <f>((C2073*I2073)+(D2073*J2073)+(E2073*K2073)+(F2073*L2073))/G2073</f>
        <v>9.1453826519129044E-3</v>
      </c>
    </row>
    <row r="2074" spans="2:13 16384:16384" ht="15.75">
      <c r="B2074" s="809" t="s">
        <v>4235</v>
      </c>
      <c r="C2074" s="481">
        <f>'New quarts'!X106</f>
        <v>569.79999999999995</v>
      </c>
      <c r="D2074" s="481">
        <f>D2073+'New quarts'!X115*1000/'New quarts'!X129</f>
        <v>252.25092807117767</v>
      </c>
      <c r="E2074" s="481">
        <f>'LiLAC valuation'!Z367</f>
        <v>98.6</v>
      </c>
      <c r="F2074" s="481">
        <f>F2073</f>
        <v>32.5</v>
      </c>
      <c r="G2074" s="481">
        <f t="shared" si="174"/>
        <v>953.15092807117765</v>
      </c>
    </row>
    <row r="2075" spans="2:13 16384:16384" ht="15.75">
      <c r="B2075" s="956" t="s">
        <v>4236</v>
      </c>
      <c r="C2075" s="909">
        <f>C2069/C2073</f>
        <v>0.23964165733482645</v>
      </c>
      <c r="D2075" s="909">
        <f>D2069/D2073</f>
        <v>0.87045033929673044</v>
      </c>
      <c r="E2075" s="909">
        <f>E2069/E2073</f>
        <v>0.92385218365061594</v>
      </c>
      <c r="F2075" s="909">
        <f>F2069/F2073</f>
        <v>1</v>
      </c>
      <c r="G2075" s="909">
        <f>G2069/G2073</f>
        <v>0.50505381302371266</v>
      </c>
    </row>
    <row r="2076" spans="2:13 16384:16384" ht="15.75">
      <c r="B2076" s="814" t="s">
        <v>4239</v>
      </c>
      <c r="C2076" s="958">
        <f>C2069*0.66/C2073</f>
        <v>0.15816349384098549</v>
      </c>
      <c r="D2076" s="958">
        <f>D2075</f>
        <v>0.87045033929673044</v>
      </c>
      <c r="E2076" s="958">
        <f>E2075</f>
        <v>0.92385218365061594</v>
      </c>
      <c r="F2076" s="958">
        <f>F2075</f>
        <v>1</v>
      </c>
      <c r="G2076" s="958">
        <f>((C2069*0.66)+D2069+E2069+F2069)/G2073</f>
        <v>0.45656944847385844</v>
      </c>
    </row>
    <row r="2077" spans="2:13 16384:16384" ht="15.75">
      <c r="B2077" s="809" t="s">
        <v>4237</v>
      </c>
      <c r="C2077" s="54">
        <f>(C2069+C2070)/C2073</f>
        <v>0.63624486748786857</v>
      </c>
      <c r="D2077" s="54">
        <f>(D2069+D2070)/D2073</f>
        <v>0.93522516964836522</v>
      </c>
      <c r="E2077" s="54">
        <f>(E2069+E2070)/E2073</f>
        <v>1</v>
      </c>
      <c r="F2077" s="54">
        <f>(F2069+F2070)/F2073</f>
        <v>1</v>
      </c>
      <c r="G2077" s="54">
        <f>(G2069+G2070)/G2073</f>
        <v>0.76607622957187615</v>
      </c>
    </row>
    <row r="2078" spans="2:13 16384:16384" ht="15.75">
      <c r="B2078" s="809" t="s">
        <v>4238</v>
      </c>
      <c r="C2078" s="54">
        <f>C2071/C2073</f>
        <v>0.25195968645016797</v>
      </c>
      <c r="D2078" s="54">
        <f>D2071/D2073</f>
        <v>6.4774830351634796E-2</v>
      </c>
      <c r="E2078" s="54">
        <f>E2071/E2073</f>
        <v>0</v>
      </c>
      <c r="F2078" s="54">
        <f>F2071/F2073</f>
        <v>0</v>
      </c>
      <c r="G2078" s="54">
        <f>G2071/G2073</f>
        <v>0.16739881540392873</v>
      </c>
    </row>
    <row r="2080" spans="2:13 16384:16384" ht="15.75">
      <c r="B2080" s="813" t="s">
        <v>4242</v>
      </c>
    </row>
    <row r="2081" spans="2:13" ht="15.75">
      <c r="B2081" s="809" t="s">
        <v>1840</v>
      </c>
      <c r="I2081" s="56">
        <f>(C2071*(-I2071))/C2073</f>
        <v>3.2652415845573032E-2</v>
      </c>
      <c r="M2081" s="56">
        <f>(G2071*(-I2071))/G2073</f>
        <v>2.1693850352153241E-2</v>
      </c>
    </row>
    <row r="2099" spans="1:8" ht="15.75">
      <c r="B2099" s="959"/>
      <c r="C2099" s="960" t="s">
        <v>2340</v>
      </c>
      <c r="D2099" s="960" t="s">
        <v>4255</v>
      </c>
      <c r="E2099" s="961"/>
      <c r="F2099" s="961"/>
      <c r="G2099" s="961"/>
      <c r="H2099" s="962" t="s">
        <v>4252</v>
      </c>
    </row>
    <row r="2100" spans="1:8" ht="15.75">
      <c r="B2100" s="963"/>
      <c r="C2100" s="642" t="s">
        <v>4254</v>
      </c>
      <c r="D2100" s="642" t="s">
        <v>4256</v>
      </c>
      <c r="E2100" s="642" t="s">
        <v>4246</v>
      </c>
      <c r="F2100" s="642" t="s">
        <v>1569</v>
      </c>
      <c r="G2100" s="642" t="s">
        <v>1374</v>
      </c>
      <c r="H2100" s="964" t="s">
        <v>4248</v>
      </c>
    </row>
    <row r="2101" spans="1:8" ht="15.75">
      <c r="B2101" s="874" t="s">
        <v>3002</v>
      </c>
      <c r="C2101" s="621">
        <f>8057/1000</f>
        <v>8.0570000000000004</v>
      </c>
      <c r="D2101" s="844" t="s">
        <v>4267</v>
      </c>
      <c r="E2101" s="621">
        <v>20</v>
      </c>
      <c r="F2101" s="621">
        <v>3.5859999999999999</v>
      </c>
      <c r="G2101" s="54">
        <f>F2101/C2101</f>
        <v>0.44507881345413924</v>
      </c>
      <c r="H2101" s="965">
        <f>E2101*12*F2101</f>
        <v>860.64</v>
      </c>
    </row>
    <row r="2102" spans="1:8" ht="15.75">
      <c r="B2102" s="797"/>
      <c r="C2102" s="621"/>
      <c r="D2102" s="844" t="s">
        <v>4245</v>
      </c>
      <c r="E2102" s="53"/>
      <c r="F2102" s="53"/>
      <c r="G2102" s="53"/>
      <c r="H2102" s="965"/>
    </row>
    <row r="2103" spans="1:8" ht="15.75">
      <c r="A2103">
        <v>13.8</v>
      </c>
      <c r="B2103" s="874" t="s">
        <v>4253</v>
      </c>
      <c r="C2103" s="53">
        <v>14.6</v>
      </c>
      <c r="D2103" s="79" t="s">
        <v>4268</v>
      </c>
      <c r="E2103" s="621">
        <v>28.5</v>
      </c>
      <c r="F2103" s="621">
        <v>5.3890000000000002</v>
      </c>
      <c r="G2103" s="54">
        <f>F2103/C2103</f>
        <v>0.36910958904109592</v>
      </c>
      <c r="H2103" s="965">
        <f>E2103*12*F2103</f>
        <v>1843.038</v>
      </c>
    </row>
    <row r="2104" spans="1:8" ht="15.75">
      <c r="B2104" s="797"/>
      <c r="C2104" s="53"/>
      <c r="D2104" s="79"/>
      <c r="E2104" s="53"/>
      <c r="F2104" s="53"/>
      <c r="G2104" s="54"/>
      <c r="H2104" s="965"/>
    </row>
    <row r="2105" spans="1:8" ht="15.75">
      <c r="B2105" s="874" t="s">
        <v>1146</v>
      </c>
      <c r="C2105" s="621">
        <v>7.226</v>
      </c>
      <c r="D2105" s="844" t="s">
        <v>4244</v>
      </c>
      <c r="E2105" s="621">
        <f>H2105/F2105/12</f>
        <v>50.393197801678298</v>
      </c>
      <c r="F2105" s="621">
        <f>SUM(F2106:F2108)</f>
        <v>3.0268000000000002</v>
      </c>
      <c r="G2105" s="54">
        <f>F2105/C2105</f>
        <v>0.41887628009964023</v>
      </c>
      <c r="H2105" s="965">
        <f>SUM(H2106:H2109)</f>
        <v>1830.3615732734386</v>
      </c>
    </row>
    <row r="2106" spans="1:8" ht="15.75">
      <c r="B2106" s="966" t="s">
        <v>4249</v>
      </c>
      <c r="C2106" s="621">
        <f>'New quarts'!O491/1000</f>
        <v>2.5746000000000002</v>
      </c>
      <c r="D2106" s="844" t="s">
        <v>4269</v>
      </c>
      <c r="E2106" s="621">
        <f>'New quarts'!O505</f>
        <v>37.06750963495432</v>
      </c>
      <c r="F2106" s="621">
        <f>'New quarts'!O493/1000</f>
        <v>1.1626999999999998</v>
      </c>
      <c r="G2106" s="54">
        <f>F2106/C2106</f>
        <v>0.45160413268080468</v>
      </c>
      <c r="H2106" s="965">
        <f>E2106*12*F2106</f>
        <v>517.18072143073653</v>
      </c>
    </row>
    <row r="2107" spans="1:8" ht="15.75">
      <c r="B2107" s="966" t="s">
        <v>4250</v>
      </c>
      <c r="C2107" s="621">
        <f>'LiLAC valuation'!Z224/1000</f>
        <v>3.5585</v>
      </c>
      <c r="D2107" s="844"/>
      <c r="E2107" s="621">
        <f>'LiLAC valuation'!Z269</f>
        <v>55.116060616349209</v>
      </c>
      <c r="F2107" s="621">
        <f>'LiLAC valuation'!Z226/1000</f>
        <v>1.4767999999999999</v>
      </c>
      <c r="G2107" s="54">
        <f>F2107/C2107</f>
        <v>0.41500632288885764</v>
      </c>
      <c r="H2107" s="965">
        <f>E2107*12*F2107</f>
        <v>976.74477981869404</v>
      </c>
    </row>
    <row r="2108" spans="1:8" ht="15.75">
      <c r="B2108" s="966" t="s">
        <v>4251</v>
      </c>
      <c r="C2108" s="621">
        <f>'LiLAC valuation'!Z324/1000</f>
        <v>1.0937999999999999</v>
      </c>
      <c r="D2108" s="844"/>
      <c r="E2108" s="621">
        <f>'LiLAC valuation'!Z375</f>
        <v>43.836834500389017</v>
      </c>
      <c r="F2108" s="621">
        <f>'LiLAC valuation'!Z326/1000</f>
        <v>0.38730000000000003</v>
      </c>
      <c r="G2108" s="54">
        <f>F2108/C2108</f>
        <v>0.35408667032364244</v>
      </c>
      <c r="H2108" s="965">
        <f>E2108*12*F2108</f>
        <v>203.73607202400802</v>
      </c>
    </row>
    <row r="2109" spans="1:8" ht="15.75">
      <c r="B2109" s="966" t="s">
        <v>4258</v>
      </c>
      <c r="C2109" s="621">
        <f>C2105-C2106-C2107-C2108</f>
        <v>-9.0000000000012292E-4</v>
      </c>
      <c r="D2109" s="844"/>
      <c r="E2109" s="621">
        <f>H2109/F2109/12</f>
        <v>47.521845007878532</v>
      </c>
      <c r="F2109" s="621">
        <f>'Costa Rica'!D17/1000</f>
        <v>0.23269999999999999</v>
      </c>
      <c r="G2109" s="54">
        <f>F2109/C2109</f>
        <v>-258.55555555552024</v>
      </c>
      <c r="H2109" s="965">
        <f>'Costa Rica'!E57</f>
        <v>132.69999999999999</v>
      </c>
    </row>
    <row r="2110" spans="1:8" ht="15.75">
      <c r="B2110" s="797"/>
      <c r="C2110" s="621"/>
      <c r="D2110" s="844"/>
      <c r="E2110" s="621"/>
      <c r="F2110" s="53"/>
      <c r="G2110" s="53"/>
      <c r="H2110" s="965"/>
    </row>
    <row r="2111" spans="1:8" ht="15.75">
      <c r="B2111" s="874" t="s">
        <v>4243</v>
      </c>
      <c r="C2111" s="53">
        <v>11.2</v>
      </c>
      <c r="D2111" s="79" t="s">
        <v>4259</v>
      </c>
      <c r="E2111" s="621">
        <v>29.5</v>
      </c>
      <c r="F2111" s="621">
        <v>4.1870000000000003</v>
      </c>
      <c r="G2111" s="54">
        <f>F2111/C2111</f>
        <v>0.37383928571428576</v>
      </c>
      <c r="H2111" s="965">
        <f>E2111*12*F2111</f>
        <v>1482.1980000000001</v>
      </c>
    </row>
    <row r="2112" spans="1:8" ht="15.75">
      <c r="B2112" s="967"/>
      <c r="C2112" s="50"/>
      <c r="D2112" s="51" t="s">
        <v>4257</v>
      </c>
      <c r="E2112" s="50"/>
      <c r="F2112" s="50"/>
      <c r="G2112" s="50"/>
      <c r="H2112" s="968"/>
    </row>
    <row r="2113" spans="2:10" ht="15.75">
      <c r="B2113" s="969" t="s">
        <v>4264</v>
      </c>
      <c r="C2113" s="970">
        <f>C2101+C2103+C2105+C2111</f>
        <v>41.082999999999998</v>
      </c>
      <c r="D2113" s="971"/>
      <c r="E2113" s="970"/>
      <c r="F2113" s="970">
        <f>F2101+F2103+F2105+F2111</f>
        <v>16.188800000000001</v>
      </c>
      <c r="G2113" s="972"/>
      <c r="H2113" s="973">
        <f>H2101+H2103+H2105+H2111</f>
        <v>6016.237573273439</v>
      </c>
    </row>
    <row r="2114" spans="2:10" ht="15.75">
      <c r="B2114" s="53" t="s">
        <v>4266</v>
      </c>
    </row>
    <row r="2115" spans="2:10" ht="15.75">
      <c r="B2115" s="53" t="s">
        <v>4265</v>
      </c>
    </row>
    <row r="2117" spans="2:10" ht="15.75">
      <c r="B2117" s="53" t="s">
        <v>4231</v>
      </c>
    </row>
    <row r="2118" spans="2:10" ht="15.75">
      <c r="B2118" s="50" t="s">
        <v>3871</v>
      </c>
      <c r="C2118" s="50">
        <v>2018</v>
      </c>
      <c r="D2118" s="50">
        <f t="shared" ref="D2118:J2118" si="175">C2118+1</f>
        <v>2019</v>
      </c>
      <c r="E2118" s="50">
        <f t="shared" si="175"/>
        <v>2020</v>
      </c>
      <c r="F2118" s="50">
        <f t="shared" si="175"/>
        <v>2021</v>
      </c>
      <c r="G2118" s="50">
        <f t="shared" si="175"/>
        <v>2022</v>
      </c>
      <c r="H2118" s="50">
        <f t="shared" si="175"/>
        <v>2023</v>
      </c>
      <c r="I2118" s="50">
        <f t="shared" si="175"/>
        <v>2024</v>
      </c>
      <c r="J2118" s="50">
        <f t="shared" si="175"/>
        <v>2025</v>
      </c>
    </row>
    <row r="2119" spans="2:10" ht="15.75">
      <c r="B2119" s="53" t="s">
        <v>3966</v>
      </c>
      <c r="C2119" s="630">
        <v>1808</v>
      </c>
      <c r="D2119" s="630">
        <v>2243.3001986846039</v>
      </c>
      <c r="E2119" s="630">
        <v>2536.0790511901382</v>
      </c>
      <c r="F2119" s="630">
        <v>2840.8115161791193</v>
      </c>
      <c r="G2119" s="630">
        <v>3110.833201108901</v>
      </c>
      <c r="H2119" s="630">
        <v>3303.9002981853337</v>
      </c>
      <c r="I2119" s="630">
        <v>3497.9011340474153</v>
      </c>
      <c r="J2119" s="630">
        <v>3694.5841286410282</v>
      </c>
    </row>
    <row r="2120" spans="2:10" ht="15.75">
      <c r="B2120" s="53" t="s">
        <v>467</v>
      </c>
      <c r="C2120" s="630">
        <f t="shared" ref="C2120:J2120" si="176">C2136</f>
        <v>1682.1308267281247</v>
      </c>
      <c r="D2120" s="630">
        <f t="shared" si="176"/>
        <v>1770.0004307254621</v>
      </c>
      <c r="E2120" s="630">
        <f t="shared" si="176"/>
        <v>1708.7307575757575</v>
      </c>
      <c r="F2120" s="630">
        <f t="shared" si="176"/>
        <v>1767.8489656706167</v>
      </c>
      <c r="G2120" s="630">
        <f t="shared" si="176"/>
        <v>1656.8802652988134</v>
      </c>
      <c r="H2120" s="630">
        <f t="shared" si="176"/>
        <v>1697.7824150418814</v>
      </c>
      <c r="I2120" s="630">
        <f t="shared" si="176"/>
        <v>1730.8298345944615</v>
      </c>
      <c r="J2120" s="630">
        <f t="shared" si="176"/>
        <v>1774.0076358593813</v>
      </c>
    </row>
    <row r="2121" spans="2:10" ht="15.75">
      <c r="B2121" s="53" t="s">
        <v>3002</v>
      </c>
      <c r="C2121" s="630">
        <f t="shared" ref="C2121:J2121" si="177">C2127/C2129</f>
        <v>891.75374131538467</v>
      </c>
      <c r="D2121" s="630">
        <f t="shared" si="177"/>
        <v>979.24080307561701</v>
      </c>
      <c r="E2121" s="630">
        <f t="shared" si="177"/>
        <v>1064.8122761494958</v>
      </c>
      <c r="F2121" s="630">
        <f t="shared" si="177"/>
        <v>1135.6516544345936</v>
      </c>
      <c r="G2121" s="630">
        <f t="shared" si="177"/>
        <v>1211.9533086323445</v>
      </c>
      <c r="H2121" s="630">
        <f t="shared" si="177"/>
        <v>1295.4541275055092</v>
      </c>
      <c r="I2121" s="630">
        <f t="shared" si="177"/>
        <v>1389.8910297114066</v>
      </c>
      <c r="J2121" s="630">
        <f t="shared" si="177"/>
        <v>1496.9598496929068</v>
      </c>
    </row>
    <row r="2122" spans="2:10" ht="15.75">
      <c r="B2122" s="50" t="s">
        <v>389</v>
      </c>
      <c r="C2122" s="632">
        <f t="shared" ref="C2122:J2122" si="178">C2126/C2129</f>
        <v>1655.3743589743592</v>
      </c>
      <c r="D2122" s="632">
        <f t="shared" si="178"/>
        <v>1895.4036410256413</v>
      </c>
      <c r="E2122" s="632">
        <f t="shared" si="178"/>
        <v>2065.9899687179495</v>
      </c>
      <c r="F2122" s="632">
        <f t="shared" si="178"/>
        <v>2231.2691662153857</v>
      </c>
      <c r="G2122" s="632">
        <f t="shared" si="178"/>
        <v>2409.7706995126164</v>
      </c>
      <c r="H2122" s="632">
        <f t="shared" si="178"/>
        <v>2602.552355473626</v>
      </c>
      <c r="I2122" s="632">
        <f t="shared" si="178"/>
        <v>2810.7565439115165</v>
      </c>
      <c r="J2122" s="632">
        <f t="shared" si="178"/>
        <v>3035.6170674244381</v>
      </c>
    </row>
    <row r="2123" spans="2:10" ht="15.75">
      <c r="B2123" s="53" t="s">
        <v>16</v>
      </c>
      <c r="C2123" s="630">
        <f t="shared" ref="C2123:J2123" si="179">SUM(C2119:C2122)</f>
        <v>6037.2589270178687</v>
      </c>
      <c r="D2123" s="630">
        <f t="shared" si="179"/>
        <v>6887.9450735113242</v>
      </c>
      <c r="E2123" s="630">
        <f t="shared" si="179"/>
        <v>7375.612053633341</v>
      </c>
      <c r="F2123" s="630">
        <f t="shared" si="179"/>
        <v>7975.581302499716</v>
      </c>
      <c r="G2123" s="630">
        <f t="shared" si="179"/>
        <v>8389.4374745526766</v>
      </c>
      <c r="H2123" s="630">
        <f t="shared" si="179"/>
        <v>8899.689196206351</v>
      </c>
      <c r="I2123" s="630">
        <f t="shared" si="179"/>
        <v>9429.3785422647998</v>
      </c>
      <c r="J2123" s="630">
        <f t="shared" si="179"/>
        <v>10001.168681617753</v>
      </c>
    </row>
    <row r="2124" spans="2:10" ht="15.75">
      <c r="B2124" s="53"/>
      <c r="C2124" s="53"/>
      <c r="D2124" s="53"/>
      <c r="E2124" s="53"/>
      <c r="F2124" s="53"/>
      <c r="G2124" s="53"/>
      <c r="H2124" s="53"/>
      <c r="I2124" s="53"/>
      <c r="J2124" s="53"/>
    </row>
    <row r="2125" spans="2:10" ht="15.75">
      <c r="B2125" s="53" t="s">
        <v>4177</v>
      </c>
      <c r="C2125" s="53"/>
      <c r="D2125" s="53"/>
      <c r="E2125" s="53"/>
      <c r="F2125" s="53"/>
      <c r="G2125" s="53"/>
      <c r="H2125" s="53"/>
      <c r="I2125" s="53"/>
      <c r="J2125" s="53"/>
    </row>
    <row r="2126" spans="2:10" ht="15.75">
      <c r="B2126" s="53" t="s">
        <v>389</v>
      </c>
      <c r="C2126" s="630">
        <v>32279.800000000003</v>
      </c>
      <c r="D2126" s="630">
        <v>36960.371000000006</v>
      </c>
      <c r="E2126" s="630">
        <v>40286.804390000012</v>
      </c>
      <c r="F2126" s="630">
        <v>43509.748741200019</v>
      </c>
      <c r="G2126" s="630">
        <v>46990.528640496021</v>
      </c>
      <c r="H2126" s="630">
        <v>50749.770931735708</v>
      </c>
      <c r="I2126" s="630">
        <v>54809.752606274567</v>
      </c>
      <c r="J2126" s="630">
        <v>59194.532814776539</v>
      </c>
    </row>
    <row r="2127" spans="2:10" ht="15.75">
      <c r="B2127" s="53" t="s">
        <v>3002</v>
      </c>
      <c r="C2127" s="630">
        <v>17389.197955650001</v>
      </c>
      <c r="D2127" s="630">
        <v>19095.195659974532</v>
      </c>
      <c r="E2127" s="630">
        <v>20763.839384915169</v>
      </c>
      <c r="F2127" s="630">
        <v>22145.207261474574</v>
      </c>
      <c r="G2127" s="630">
        <v>23633.089518330718</v>
      </c>
      <c r="H2127" s="630">
        <v>25261.355486357428</v>
      </c>
      <c r="I2127" s="630">
        <v>27102.875079372428</v>
      </c>
      <c r="J2127" s="630">
        <v>29190.717069011684</v>
      </c>
    </row>
    <row r="2129" spans="2:10" ht="15.75">
      <c r="B2129" s="53" t="s">
        <v>4270</v>
      </c>
      <c r="C2129" s="53">
        <f>D2129</f>
        <v>19.5</v>
      </c>
      <c r="D2129" s="714">
        <v>19.5</v>
      </c>
      <c r="E2129" s="53">
        <f t="shared" ref="E2129:J2129" si="180">D2129</f>
        <v>19.5</v>
      </c>
      <c r="F2129" s="53">
        <f t="shared" si="180"/>
        <v>19.5</v>
      </c>
      <c r="G2129" s="53">
        <f t="shared" si="180"/>
        <v>19.5</v>
      </c>
      <c r="H2129" s="53">
        <f t="shared" si="180"/>
        <v>19.5</v>
      </c>
      <c r="I2129" s="53">
        <f t="shared" si="180"/>
        <v>19.5</v>
      </c>
      <c r="J2129" s="53">
        <f t="shared" si="180"/>
        <v>19.5</v>
      </c>
    </row>
    <row r="2132" spans="2:10" ht="15.75">
      <c r="B2132" s="53" t="s">
        <v>29</v>
      </c>
      <c r="C2132" s="630">
        <f>'New Format'!E226</f>
        <v>498.29999999999995</v>
      </c>
      <c r="D2132" s="630">
        <f>'New Format'!F226</f>
        <v>543</v>
      </c>
      <c r="E2132" s="630">
        <f>'New Format'!G226</f>
        <v>552.6</v>
      </c>
      <c r="F2132" s="630">
        <f>'New Format'!H226</f>
        <v>561.29999999999995</v>
      </c>
      <c r="G2132" s="630">
        <f>'New Format'!I226</f>
        <v>602.24835896042293</v>
      </c>
      <c r="H2132" s="630">
        <f>'New Format'!J226</f>
        <v>637.5868518158012</v>
      </c>
      <c r="I2132" s="630">
        <f>'New Format'!K226</f>
        <v>662.46567746387427</v>
      </c>
      <c r="J2132" s="630">
        <f>'New Format'!L226</f>
        <v>682.84758887966905</v>
      </c>
    </row>
    <row r="2133" spans="2:10" ht="15.75">
      <c r="B2133" s="53" t="s">
        <v>899</v>
      </c>
      <c r="C2133" s="630">
        <f>(Chile!F31+Chile!F36+Chile!F41)*1000/Chile!F85</f>
        <v>881.23082672812495</v>
      </c>
      <c r="D2133" s="630">
        <f>(Chile!G31+Chile!G36+Chile!G41)*1000/Chile!G85</f>
        <v>809.67283072546218</v>
      </c>
      <c r="E2133" s="630">
        <f>(Chile!H31+Chile!H36+Chile!H41)*1000/Chile!H85</f>
        <v>695.07575757575762</v>
      </c>
      <c r="F2133" s="630">
        <f>(Chile!I31+Chile!I36+Chile!I41)*1000/Chile!I85</f>
        <v>681.07752956636011</v>
      </c>
      <c r="G2133" s="630">
        <f>(Chile!J31+Chile!J36+Chile!J41)*1000/Chile!J85</f>
        <v>496.14129354506355</v>
      </c>
      <c r="H2133" s="630">
        <f>(Chile!K31+Chile!K36+Chile!K41)*1000/Chile!K85</f>
        <v>478.62210179146092</v>
      </c>
      <c r="I2133" s="630">
        <f>(Chile!L31+Chile!L36+Chile!L41)*1000/Chile!L85</f>
        <v>474.01650397040049</v>
      </c>
      <c r="J2133" s="630">
        <f>(Chile!M31+Chile!M36+Chile!M41)*1000/Chile!M85</f>
        <v>482.95865429056875</v>
      </c>
    </row>
    <row r="2134" spans="2:10" ht="15.75">
      <c r="B2134" s="53" t="s">
        <v>984</v>
      </c>
      <c r="C2134" s="630">
        <f>'Puerto Rico'!F42-'Puerto Rico'!F39</f>
        <v>270.00000000000006</v>
      </c>
      <c r="D2134" s="630">
        <f>'Puerto Rico'!G42-'Puerto Rico'!G39</f>
        <v>339.30000000000007</v>
      </c>
      <c r="E2134" s="630">
        <f>'Puerto Rico'!H42-'Puerto Rico'!H39</f>
        <v>377.4</v>
      </c>
      <c r="F2134" s="630">
        <f>'Puerto Rico'!I42-'Puerto Rico'!I39</f>
        <v>435.94854178843099</v>
      </c>
      <c r="G2134" s="630">
        <f>'Puerto Rico'!J42-'Puerto Rico'!J39</f>
        <v>456.76364299235928</v>
      </c>
      <c r="H2134" s="630">
        <f>'Puerto Rico'!K42-'Puerto Rico'!K39</f>
        <v>477.49698424437736</v>
      </c>
      <c r="I2134" s="630">
        <f>'Puerto Rico'!L42-'Puerto Rico'!L39</f>
        <v>488.36790919661155</v>
      </c>
      <c r="J2134" s="630">
        <f>'Puerto Rico'!M42-'Puerto Rico'!M39</f>
        <v>495.94104133137512</v>
      </c>
    </row>
    <row r="2135" spans="2:10" ht="15.75">
      <c r="B2135" s="50" t="s">
        <v>4234</v>
      </c>
      <c r="C2135" s="632">
        <f>'New quarts'!V20</f>
        <v>32.6</v>
      </c>
      <c r="D2135" s="632">
        <f>'Costa Rica'!E37</f>
        <v>78.027599999999993</v>
      </c>
      <c r="E2135" s="632">
        <f>'Costa Rica'!F37</f>
        <v>83.655000000000001</v>
      </c>
      <c r="F2135" s="632">
        <f>'Costa Rica'!G37</f>
        <v>89.522894315825837</v>
      </c>
      <c r="G2135" s="632">
        <f>'Costa Rica'!H37</f>
        <v>101.72696980096752</v>
      </c>
      <c r="H2135" s="632">
        <f>'Costa Rica'!I37</f>
        <v>104.07647719024186</v>
      </c>
      <c r="I2135" s="632">
        <f>'Costa Rica'!J37</f>
        <v>105.97974396357526</v>
      </c>
      <c r="J2135" s="632">
        <f>'Costa Rica'!K37</f>
        <v>112.26035135776834</v>
      </c>
    </row>
    <row r="2136" spans="2:10" ht="15.75">
      <c r="B2136" s="53" t="s">
        <v>467</v>
      </c>
      <c r="C2136" s="630">
        <f t="shared" ref="C2136:J2136" si="181">SUM(C2132:C2135)</f>
        <v>1682.1308267281247</v>
      </c>
      <c r="D2136" s="630">
        <f t="shared" si="181"/>
        <v>1770.0004307254621</v>
      </c>
      <c r="E2136" s="630">
        <f t="shared" si="181"/>
        <v>1708.7307575757575</v>
      </c>
      <c r="F2136" s="630">
        <f t="shared" si="181"/>
        <v>1767.8489656706167</v>
      </c>
      <c r="G2136" s="630">
        <f t="shared" si="181"/>
        <v>1656.8802652988134</v>
      </c>
      <c r="H2136" s="630">
        <f t="shared" si="181"/>
        <v>1697.7824150418814</v>
      </c>
      <c r="I2136" s="630">
        <f t="shared" si="181"/>
        <v>1730.8298345944615</v>
      </c>
      <c r="J2136" s="630">
        <f t="shared" si="181"/>
        <v>1774.0076358593813</v>
      </c>
    </row>
    <row r="2138" spans="2:10" ht="15.75">
      <c r="B2138" s="58" t="s">
        <v>4335</v>
      </c>
      <c r="C2138" s="53"/>
      <c r="D2138" s="53"/>
      <c r="E2138" s="53"/>
      <c r="F2138" s="53"/>
    </row>
    <row r="2139" spans="2:10" ht="15.75">
      <c r="B2139" s="53"/>
      <c r="C2139" s="53"/>
      <c r="D2139" s="53"/>
      <c r="E2139" s="53"/>
      <c r="F2139" s="53"/>
    </row>
    <row r="2140" spans="2:10" ht="15.75">
      <c r="B2140" s="53" t="s">
        <v>4336</v>
      </c>
      <c r="C2140" s="949">
        <v>18.149999999999999</v>
      </c>
      <c r="D2140" s="53"/>
      <c r="E2140" s="53"/>
      <c r="F2140" s="53"/>
    </row>
    <row r="2141" spans="2:10" ht="15.75">
      <c r="B2141" s="53" t="s">
        <v>4337</v>
      </c>
      <c r="C2141" s="949">
        <v>22.23</v>
      </c>
      <c r="D2141" s="53"/>
      <c r="E2141" s="53">
        <v>350</v>
      </c>
      <c r="F2141" s="621">
        <f>E2141/C2141</f>
        <v>15.744489428699955</v>
      </c>
    </row>
    <row r="2142" spans="2:10" ht="15.75">
      <c r="B2142" s="53" t="s">
        <v>4338</v>
      </c>
      <c r="C2142" s="949">
        <v>31.76</v>
      </c>
      <c r="D2142" s="53"/>
      <c r="E2142" s="53"/>
      <c r="F2142" s="53"/>
    </row>
    <row r="2143" spans="2:10" ht="15.75">
      <c r="B2143" s="53"/>
      <c r="C2143" s="53"/>
      <c r="D2143" s="53"/>
      <c r="E2143" s="53"/>
      <c r="F2143" s="53"/>
    </row>
    <row r="2144" spans="2:10" ht="15.75">
      <c r="B2144" s="50"/>
      <c r="C2144" s="50" t="s">
        <v>4339</v>
      </c>
      <c r="D2144" s="50" t="s">
        <v>4340</v>
      </c>
      <c r="E2144" s="53"/>
      <c r="F2144" s="53"/>
    </row>
    <row r="2145" spans="2:6" ht="15.75">
      <c r="B2145" s="53" t="s">
        <v>4344</v>
      </c>
      <c r="C2145" s="53" t="s">
        <v>4341</v>
      </c>
      <c r="D2145" s="53" t="s">
        <v>4342</v>
      </c>
      <c r="E2145" s="53"/>
      <c r="F2145" s="53"/>
    </row>
    <row r="2146" spans="2:6" ht="15.75">
      <c r="B2146" s="982">
        <v>22.23</v>
      </c>
      <c r="C2146" s="53" t="s">
        <v>4343</v>
      </c>
      <c r="D2146" s="53" t="s">
        <v>4343</v>
      </c>
      <c r="E2146" s="53"/>
      <c r="F2146" s="53"/>
    </row>
    <row r="2147" spans="2:6" ht="15.75">
      <c r="B2147" s="53" t="s">
        <v>4345</v>
      </c>
      <c r="C2147" s="53" t="s">
        <v>4342</v>
      </c>
      <c r="D2147" s="53" t="s">
        <v>4341</v>
      </c>
      <c r="E2147" s="53"/>
      <c r="F2147" s="53"/>
    </row>
    <row r="2148" spans="2:6" ht="15.75">
      <c r="B2148" s="53"/>
      <c r="C2148" s="53"/>
      <c r="D2148" s="53"/>
      <c r="E2148" s="53"/>
      <c r="F2148" s="53"/>
    </row>
    <row r="2149" spans="2:6" ht="15.75">
      <c r="B2149" s="53"/>
      <c r="C2149" s="621">
        <f>1.3*C2141</f>
        <v>28.899000000000001</v>
      </c>
      <c r="D2149" s="53"/>
      <c r="E2149" s="53"/>
      <c r="F2149" s="53"/>
    </row>
    <row r="2150" spans="2:6" ht="15.75">
      <c r="B2150" s="53"/>
      <c r="C2150" s="53"/>
      <c r="D2150" s="53"/>
      <c r="E2150" s="53"/>
      <c r="F2150" s="53"/>
    </row>
    <row r="2151" spans="2:6" ht="15.75">
      <c r="B2151" s="636" t="s">
        <v>4346</v>
      </c>
      <c r="C2151" s="636"/>
      <c r="D2151" s="636" t="s">
        <v>1156</v>
      </c>
      <c r="E2151" s="642" t="s">
        <v>4353</v>
      </c>
      <c r="F2151" s="58"/>
    </row>
    <row r="2152" spans="2:6" ht="15.75">
      <c r="B2152" s="53" t="s">
        <v>4355</v>
      </c>
      <c r="C2152" s="980">
        <v>25</v>
      </c>
      <c r="D2152" s="53"/>
      <c r="E2152" s="53"/>
      <c r="F2152" s="58"/>
    </row>
    <row r="2153" spans="2:6" ht="15.75">
      <c r="B2153" s="53" t="s">
        <v>4354</v>
      </c>
      <c r="C2153" s="621">
        <f>C2152-C2141</f>
        <v>2.7699999999999996</v>
      </c>
      <c r="D2153" s="621">
        <f>F2141</f>
        <v>15.744489428699955</v>
      </c>
      <c r="E2153" s="621">
        <f>C2153*D2153</f>
        <v>43.612235717498869</v>
      </c>
      <c r="F2153" s="53"/>
    </row>
    <row r="2154" spans="2:6" ht="15.75">
      <c r="B2154" s="50" t="s">
        <v>4351</v>
      </c>
      <c r="C2154" s="3"/>
      <c r="D2154" s="622"/>
      <c r="E2154" s="638">
        <f>E2141</f>
        <v>350</v>
      </c>
      <c r="F2154" s="53"/>
    </row>
    <row r="2155" spans="2:6" ht="15.75">
      <c r="B2155" s="53" t="s">
        <v>4352</v>
      </c>
      <c r="C2155" s="53"/>
      <c r="D2155" s="53"/>
      <c r="E2155" s="481">
        <f>E2153+E2154</f>
        <v>393.61223571749889</v>
      </c>
      <c r="F2155" s="53"/>
    </row>
    <row r="2156" spans="2:6" ht="15.75">
      <c r="B2156" s="53"/>
      <c r="C2156" s="53"/>
      <c r="D2156" s="53"/>
      <c r="E2156" s="481"/>
      <c r="F2156" s="53"/>
    </row>
    <row r="2157" spans="2:6" ht="15.75">
      <c r="B2157" s="53" t="s">
        <v>4347</v>
      </c>
      <c r="C2157" s="53">
        <f>C2152</f>
        <v>25</v>
      </c>
      <c r="D2157" s="621">
        <f>D2153</f>
        <v>15.744489428699955</v>
      </c>
      <c r="E2157" s="481">
        <f>D2157*C2157</f>
        <v>393.61223571749889</v>
      </c>
    </row>
    <row r="2158" spans="2:6" ht="15.75">
      <c r="B2158" s="53" t="s">
        <v>4348</v>
      </c>
      <c r="E2158" s="481">
        <f>E2155</f>
        <v>393.61223571749889</v>
      </c>
    </row>
    <row r="2159" spans="2:6" ht="15.75">
      <c r="B2159" s="53" t="s">
        <v>4349</v>
      </c>
    </row>
    <row r="2160" spans="2:6" ht="15.75">
      <c r="B2160" s="53" t="s">
        <v>4530</v>
      </c>
      <c r="E2160" s="481">
        <f>E2141</f>
        <v>350</v>
      </c>
    </row>
    <row r="2161" spans="2:13" ht="15.75">
      <c r="B2161" s="50" t="s">
        <v>4350</v>
      </c>
      <c r="C2161" s="3"/>
      <c r="D2161" s="622">
        <f>E2161/C2152</f>
        <v>1.7444894286999548</v>
      </c>
      <c r="E2161" s="622">
        <f>E2153</f>
        <v>43.612235717498869</v>
      </c>
    </row>
    <row r="2162" spans="2:13" ht="15.75">
      <c r="E2162" s="481">
        <f>E2160+E2161</f>
        <v>393.61223571749889</v>
      </c>
    </row>
    <row r="2167" spans="2:13" ht="15.75">
      <c r="B2167" s="976" t="s">
        <v>4391</v>
      </c>
      <c r="C2167" s="53"/>
      <c r="D2167" s="53"/>
      <c r="E2167" s="53"/>
      <c r="F2167" s="53"/>
      <c r="G2167" s="53"/>
      <c r="J2167" s="53"/>
    </row>
    <row r="2168" spans="2:13" ht="15.75">
      <c r="B2168" s="53"/>
      <c r="C2168" s="53"/>
      <c r="D2168" s="53"/>
      <c r="E2168" s="53"/>
      <c r="F2168" s="53"/>
      <c r="G2168" s="53"/>
      <c r="J2168" s="53"/>
    </row>
    <row r="2169" spans="2:13" ht="15.75">
      <c r="B2169" s="636" t="s">
        <v>4420</v>
      </c>
      <c r="C2169" s="636">
        <v>2018</v>
      </c>
      <c r="D2169" s="636">
        <v>2019</v>
      </c>
      <c r="E2169" s="636">
        <f t="shared" ref="E2169:J2169" si="182">D2169+1</f>
        <v>2020</v>
      </c>
      <c r="F2169" s="636">
        <f t="shared" si="182"/>
        <v>2021</v>
      </c>
      <c r="G2169" s="636">
        <f t="shared" si="182"/>
        <v>2022</v>
      </c>
      <c r="H2169" s="636">
        <f t="shared" si="182"/>
        <v>2023</v>
      </c>
      <c r="I2169" s="636">
        <f t="shared" si="182"/>
        <v>2024</v>
      </c>
      <c r="J2169" s="636">
        <f t="shared" si="182"/>
        <v>2025</v>
      </c>
    </row>
    <row r="2170" spans="2:13" ht="15.75">
      <c r="B2170" s="53" t="s">
        <v>15</v>
      </c>
      <c r="C2170" s="764">
        <f>(1200-'Puerto Rico'!F42)</f>
        <v>875.4</v>
      </c>
      <c r="D2170" s="630">
        <f t="shared" ref="D2170:J2170" si="183">(1+D2171)*C2170</f>
        <v>875.4</v>
      </c>
      <c r="E2170" s="630">
        <f t="shared" si="183"/>
        <v>875.4</v>
      </c>
      <c r="F2170" s="630">
        <f t="shared" si="183"/>
        <v>892.90800000000002</v>
      </c>
      <c r="G2170" s="630">
        <f t="shared" si="183"/>
        <v>910.76616000000001</v>
      </c>
      <c r="H2170" s="630">
        <f t="shared" si="183"/>
        <v>928.98148320000007</v>
      </c>
      <c r="I2170" s="630">
        <f t="shared" si="183"/>
        <v>947.56111286400005</v>
      </c>
      <c r="J2170" s="630">
        <f t="shared" si="183"/>
        <v>966.5123351212801</v>
      </c>
    </row>
    <row r="2171" spans="2:13" ht="15.75">
      <c r="B2171" s="53" t="s">
        <v>78</v>
      </c>
      <c r="D2171" s="784">
        <v>0</v>
      </c>
      <c r="E2171" s="784">
        <v>0</v>
      </c>
      <c r="F2171" s="784">
        <v>0.02</v>
      </c>
      <c r="G2171" s="784">
        <v>0.02</v>
      </c>
      <c r="H2171" s="784">
        <v>0.02</v>
      </c>
      <c r="I2171" s="784">
        <v>0.02</v>
      </c>
      <c r="J2171" s="784">
        <v>0.02</v>
      </c>
    </row>
    <row r="2172" spans="2:13" ht="15.75">
      <c r="B2172" s="53" t="s">
        <v>5274</v>
      </c>
      <c r="C2172" s="6"/>
      <c r="D2172" s="764">
        <v>300</v>
      </c>
      <c r="E2172" s="630">
        <f t="shared" ref="E2172:J2172" si="184">E2173*E2170</f>
        <v>280.12799999999999</v>
      </c>
      <c r="F2172" s="630">
        <f t="shared" si="184"/>
        <v>250.01424000000003</v>
      </c>
      <c r="G2172" s="630">
        <f t="shared" si="184"/>
        <v>300.55283280000003</v>
      </c>
      <c r="H2172" s="630">
        <f t="shared" si="184"/>
        <v>306.56388945600003</v>
      </c>
      <c r="I2172" s="630">
        <f t="shared" si="184"/>
        <v>312.69516724512005</v>
      </c>
      <c r="J2172" s="630">
        <f t="shared" si="184"/>
        <v>318.94907059002247</v>
      </c>
    </row>
    <row r="2173" spans="2:13" ht="15.75">
      <c r="B2173" s="53" t="s">
        <v>251</v>
      </c>
      <c r="C2173" s="5"/>
      <c r="D2173" s="54">
        <f>D2172/D2170</f>
        <v>0.3427004797806717</v>
      </c>
      <c r="E2173" s="784">
        <v>0.32</v>
      </c>
      <c r="F2173" s="784">
        <v>0.28000000000000003</v>
      </c>
      <c r="G2173" s="784">
        <v>0.33</v>
      </c>
      <c r="H2173" s="784">
        <f>G2173</f>
        <v>0.33</v>
      </c>
      <c r="I2173" s="784">
        <f>H2173</f>
        <v>0.33</v>
      </c>
      <c r="J2173" s="784">
        <f>I2173</f>
        <v>0.33</v>
      </c>
      <c r="M2173">
        <f>300*2/12</f>
        <v>50</v>
      </c>
    </row>
    <row r="2174" spans="2:13" ht="15.75">
      <c r="B2174" s="53" t="s">
        <v>5285</v>
      </c>
      <c r="C2174" s="5"/>
      <c r="D2174" s="630">
        <f t="shared" ref="D2174:J2174" si="185">D2172+D2176</f>
        <v>300</v>
      </c>
      <c r="E2174" s="630">
        <f t="shared" si="185"/>
        <v>300.12799999999999</v>
      </c>
      <c r="F2174" s="630">
        <f t="shared" si="185"/>
        <v>300.01424000000003</v>
      </c>
      <c r="G2174" s="630">
        <f t="shared" si="185"/>
        <v>300.55283280000003</v>
      </c>
      <c r="H2174" s="630">
        <f t="shared" si="185"/>
        <v>306.56388945600003</v>
      </c>
      <c r="I2174" s="630">
        <f t="shared" si="185"/>
        <v>312.69516724512005</v>
      </c>
      <c r="J2174" s="630">
        <f t="shared" si="185"/>
        <v>318.94907059002247</v>
      </c>
    </row>
    <row r="2175" spans="2:13" ht="15.75">
      <c r="B2175" s="53" t="s">
        <v>251</v>
      </c>
      <c r="C2175" s="5"/>
      <c r="D2175" s="54">
        <f t="shared" ref="D2175:J2175" si="186">D2174/D2170</f>
        <v>0.3427004797806717</v>
      </c>
      <c r="E2175" s="54">
        <f t="shared" si="186"/>
        <v>0.34284669865204476</v>
      </c>
      <c r="F2175" s="54">
        <f t="shared" si="186"/>
        <v>0.33599681042167839</v>
      </c>
      <c r="G2175" s="54">
        <f t="shared" si="186"/>
        <v>0.33</v>
      </c>
      <c r="H2175" s="54">
        <f t="shared" si="186"/>
        <v>0.33</v>
      </c>
      <c r="I2175" s="54">
        <f t="shared" si="186"/>
        <v>0.33</v>
      </c>
      <c r="J2175" s="54">
        <f t="shared" si="186"/>
        <v>0.33</v>
      </c>
    </row>
    <row r="2176" spans="2:13" ht="15.75">
      <c r="B2176" s="53" t="s">
        <v>5284</v>
      </c>
      <c r="C2176" s="5"/>
      <c r="D2176" s="54"/>
      <c r="E2176" s="764">
        <v>20</v>
      </c>
      <c r="F2176" s="764">
        <v>50</v>
      </c>
      <c r="G2176" s="764">
        <v>0</v>
      </c>
      <c r="H2176" s="764">
        <v>0</v>
      </c>
      <c r="I2176" s="764">
        <v>0</v>
      </c>
      <c r="J2176" s="764">
        <v>0</v>
      </c>
    </row>
    <row r="2177" spans="2:15" ht="15.75">
      <c r="B2177" s="53" t="s">
        <v>19</v>
      </c>
      <c r="D2177" s="630">
        <f t="shared" ref="D2177:J2177" si="187">D2178*D2170</f>
        <v>131.31</v>
      </c>
      <c r="E2177" s="630">
        <f t="shared" si="187"/>
        <v>131.31</v>
      </c>
      <c r="F2177" s="630">
        <f t="shared" si="187"/>
        <v>133.93619999999999</v>
      </c>
      <c r="G2177" s="630">
        <f t="shared" si="187"/>
        <v>136.614924</v>
      </c>
      <c r="H2177" s="630">
        <f t="shared" si="187"/>
        <v>139.34722248</v>
      </c>
      <c r="I2177" s="630">
        <f t="shared" si="187"/>
        <v>142.13416692960001</v>
      </c>
      <c r="J2177" s="630">
        <f t="shared" si="187"/>
        <v>144.97685026819201</v>
      </c>
      <c r="M2177" s="16">
        <f>2/12*E2172</f>
        <v>46.687999999999995</v>
      </c>
    </row>
    <row r="2178" spans="2:15" ht="15.75">
      <c r="B2178" s="53" t="s">
        <v>4390</v>
      </c>
      <c r="D2178" s="784">
        <v>0.15</v>
      </c>
      <c r="E2178" s="784">
        <f t="shared" ref="E2178:J2178" si="188">D2178</f>
        <v>0.15</v>
      </c>
      <c r="F2178" s="784">
        <f t="shared" si="188"/>
        <v>0.15</v>
      </c>
      <c r="G2178" s="784">
        <f t="shared" si="188"/>
        <v>0.15</v>
      </c>
      <c r="H2178" s="784">
        <f t="shared" si="188"/>
        <v>0.15</v>
      </c>
      <c r="I2178" s="784">
        <f t="shared" si="188"/>
        <v>0.15</v>
      </c>
      <c r="J2178" s="784">
        <f t="shared" si="188"/>
        <v>0.15</v>
      </c>
    </row>
    <row r="2179" spans="2:15" ht="15.75">
      <c r="B2179" s="53" t="s">
        <v>27</v>
      </c>
      <c r="D2179" s="630">
        <f t="shared" ref="D2179:J2179" si="189">D2174-D2177</f>
        <v>168.69</v>
      </c>
      <c r="E2179" s="630">
        <f t="shared" si="189"/>
        <v>168.81799999999998</v>
      </c>
      <c r="F2179" s="630">
        <f t="shared" si="189"/>
        <v>166.07804000000004</v>
      </c>
      <c r="G2179" s="630">
        <f t="shared" si="189"/>
        <v>163.93790880000003</v>
      </c>
      <c r="H2179" s="630">
        <f t="shared" si="189"/>
        <v>167.21666697600003</v>
      </c>
      <c r="I2179" s="630">
        <f t="shared" si="189"/>
        <v>170.56100031552003</v>
      </c>
      <c r="J2179" s="630">
        <f t="shared" si="189"/>
        <v>173.97222032183046</v>
      </c>
      <c r="O2179">
        <v>1000</v>
      </c>
    </row>
    <row r="2180" spans="2:15" ht="15.75">
      <c r="B2180" s="53" t="s">
        <v>4395</v>
      </c>
      <c r="D2180" s="54">
        <f t="shared" ref="D2180:J2180" si="190">D2179/D2170</f>
        <v>0.1927004797806717</v>
      </c>
      <c r="E2180" s="54">
        <f t="shared" si="190"/>
        <v>0.19284669865204476</v>
      </c>
      <c r="F2180" s="54">
        <f t="shared" si="190"/>
        <v>0.18599681042167843</v>
      </c>
      <c r="G2180" s="54">
        <f t="shared" si="190"/>
        <v>0.18000000000000002</v>
      </c>
      <c r="H2180" s="54">
        <f t="shared" si="190"/>
        <v>0.18000000000000002</v>
      </c>
      <c r="I2180" s="54">
        <f t="shared" si="190"/>
        <v>0.18000000000000002</v>
      </c>
      <c r="J2180" s="54">
        <f t="shared" si="190"/>
        <v>0.18000000000000005</v>
      </c>
    </row>
    <row r="2181" spans="2:15" ht="15.75">
      <c r="B2181" s="53" t="s">
        <v>249</v>
      </c>
      <c r="D2181" s="984">
        <f t="shared" ref="D2181:J2181" si="191">D2179*(1-0.37)</f>
        <v>106.2747</v>
      </c>
      <c r="E2181" s="984">
        <f t="shared" si="191"/>
        <v>106.35533999999998</v>
      </c>
      <c r="F2181" s="984">
        <f t="shared" si="191"/>
        <v>104.62916520000003</v>
      </c>
      <c r="G2181" s="984">
        <f t="shared" si="191"/>
        <v>103.28088254400002</v>
      </c>
      <c r="H2181" s="984">
        <f t="shared" si="191"/>
        <v>105.34650019488002</v>
      </c>
      <c r="I2181" s="984">
        <f t="shared" si="191"/>
        <v>107.45343019877762</v>
      </c>
      <c r="J2181" s="984">
        <f t="shared" si="191"/>
        <v>109.60249880275319</v>
      </c>
      <c r="N2181" t="s">
        <v>27</v>
      </c>
      <c r="O2181">
        <v>100</v>
      </c>
    </row>
    <row r="2182" spans="2:15" ht="15.75">
      <c r="B2182" s="53" t="s">
        <v>4399</v>
      </c>
      <c r="D2182" s="984"/>
      <c r="E2182" s="837">
        <f>E2181</f>
        <v>106.35533999999998</v>
      </c>
      <c r="F2182" s="837">
        <f>E2182+F2181</f>
        <v>210.9845052</v>
      </c>
      <c r="G2182" s="837">
        <f>F2182+G2181</f>
        <v>314.26538774400001</v>
      </c>
      <c r="H2182" s="837">
        <f>G2182+H2181</f>
        <v>419.61188793888005</v>
      </c>
      <c r="I2182" s="837">
        <f>H2182+I2181</f>
        <v>527.06531813765764</v>
      </c>
      <c r="J2182" s="837">
        <f>I2182+J2181</f>
        <v>636.66781694041083</v>
      </c>
      <c r="O2182" s="5">
        <v>0.25</v>
      </c>
    </row>
    <row r="2183" spans="2:15" ht="15.75">
      <c r="B2183" s="53" t="s">
        <v>115</v>
      </c>
      <c r="D2183" s="764">
        <v>0</v>
      </c>
      <c r="E2183" s="630">
        <f t="shared" ref="E2183:J2183" si="192">D2183-E2181</f>
        <v>-106.35533999999998</v>
      </c>
      <c r="F2183" s="630">
        <f t="shared" si="192"/>
        <v>-210.9845052</v>
      </c>
      <c r="G2183" s="630">
        <f t="shared" si="192"/>
        <v>-314.26538774400001</v>
      </c>
      <c r="H2183" s="630">
        <f t="shared" si="192"/>
        <v>-419.61188793888005</v>
      </c>
      <c r="I2183" s="630">
        <f t="shared" si="192"/>
        <v>-527.06531813765764</v>
      </c>
      <c r="J2183" s="630">
        <f t="shared" si="192"/>
        <v>-636.66781694041083</v>
      </c>
      <c r="N2183" t="s">
        <v>377</v>
      </c>
      <c r="O2183">
        <f>O2181*(1-O2182)</f>
        <v>75</v>
      </c>
    </row>
    <row r="2184" spans="2:15" ht="16.5" thickBot="1">
      <c r="B2184" s="53"/>
      <c r="C2184" s="53"/>
      <c r="D2184" s="53"/>
      <c r="E2184" s="630"/>
      <c r="F2184" s="630"/>
      <c r="G2184" s="53"/>
      <c r="H2184" s="53"/>
      <c r="I2184" s="53"/>
      <c r="J2184" s="53"/>
    </row>
    <row r="2185" spans="2:15" ht="15.75">
      <c r="B2185" s="652" t="s">
        <v>4584</v>
      </c>
      <c r="C2185" s="986">
        <v>1950</v>
      </c>
      <c r="D2185" s="53"/>
      <c r="E2185" s="53"/>
      <c r="F2185" s="53"/>
      <c r="G2185" s="53"/>
      <c r="H2185" s="53"/>
      <c r="I2185" s="53"/>
      <c r="J2185" s="53"/>
    </row>
    <row r="2186" spans="2:15" ht="16.5" thickBot="1">
      <c r="B2186" s="659" t="s">
        <v>4414</v>
      </c>
      <c r="C2186" s="987">
        <f>C2185/D2172</f>
        <v>6.5</v>
      </c>
      <c r="D2186" s="53"/>
      <c r="E2186" s="53"/>
      <c r="F2186" s="53"/>
      <c r="G2186" s="53"/>
      <c r="H2186" s="53"/>
      <c r="I2186" s="53"/>
      <c r="J2186" s="53"/>
      <c r="N2186" t="s">
        <v>4421</v>
      </c>
      <c r="O2186" s="6">
        <v>6.5000000000000002E-2</v>
      </c>
    </row>
    <row r="2187" spans="2:15" ht="15.75">
      <c r="B2187" s="53"/>
      <c r="C2187" s="630"/>
      <c r="D2187" s="53"/>
      <c r="E2187" s="53"/>
      <c r="F2187" s="53"/>
      <c r="G2187" s="53"/>
      <c r="H2187" s="53"/>
      <c r="I2187" s="53"/>
      <c r="J2187" s="53"/>
      <c r="N2187" t="s">
        <v>4422</v>
      </c>
      <c r="O2187" s="5">
        <f>O2182</f>
        <v>0.25</v>
      </c>
    </row>
    <row r="2188" spans="2:15" ht="15.75">
      <c r="B2188" s="53" t="s">
        <v>4694</v>
      </c>
      <c r="C2188" s="630">
        <v>922.5</v>
      </c>
      <c r="D2188" s="53"/>
      <c r="E2188" s="53"/>
      <c r="F2188" s="53"/>
      <c r="G2188" s="53"/>
      <c r="H2188" s="53"/>
      <c r="I2188" s="53"/>
      <c r="J2188" s="53"/>
      <c r="O2188" s="5"/>
    </row>
    <row r="2189" spans="2:15" ht="15.75">
      <c r="B2189" s="53" t="s">
        <v>4693</v>
      </c>
      <c r="C2189" s="630">
        <f>2200-C2188</f>
        <v>1277.5</v>
      </c>
      <c r="D2189" s="53"/>
      <c r="E2189" s="53"/>
      <c r="F2189" s="53"/>
      <c r="G2189" s="53"/>
      <c r="H2189" s="53"/>
      <c r="I2189" s="53"/>
      <c r="J2189" s="53"/>
      <c r="O2189" s="5"/>
    </row>
    <row r="2190" spans="2:15" ht="15.75">
      <c r="B2190" s="53" t="s">
        <v>4695</v>
      </c>
      <c r="C2190" s="630">
        <f>C2185-C2189</f>
        <v>672.5</v>
      </c>
      <c r="D2190" s="53"/>
      <c r="E2190" s="53"/>
      <c r="F2190" s="53"/>
      <c r="G2190" s="53"/>
      <c r="H2190" s="53"/>
      <c r="I2190" s="53"/>
      <c r="J2190" s="53"/>
      <c r="O2190" s="5"/>
    </row>
    <row r="2191" spans="2:15" ht="15.75">
      <c r="B2191" s="53"/>
      <c r="C2191" s="630"/>
      <c r="D2191" s="53"/>
      <c r="E2191" s="53"/>
      <c r="F2191" s="53"/>
      <c r="G2191" s="53"/>
      <c r="H2191" s="53"/>
      <c r="I2191" s="53"/>
      <c r="J2191" s="53"/>
      <c r="O2191" s="5"/>
    </row>
    <row r="2192" spans="2:15" ht="15.75">
      <c r="B2192" s="58" t="s">
        <v>4585</v>
      </c>
      <c r="C2192" s="630"/>
      <c r="D2192" s="53"/>
      <c r="E2192" s="53"/>
      <c r="F2192" s="53"/>
      <c r="G2192" s="53"/>
      <c r="H2192" s="53"/>
      <c r="I2192" s="53"/>
      <c r="J2192" s="53"/>
      <c r="O2192" s="5"/>
    </row>
    <row r="2193" spans="2:15" ht="15.75">
      <c r="B2193" s="53" t="s">
        <v>377</v>
      </c>
      <c r="C2193" s="630"/>
      <c r="D2193" s="481">
        <f t="shared" ref="D2193:J2193" si="193">D2179*0.63</f>
        <v>106.2747</v>
      </c>
      <c r="E2193" s="481">
        <f t="shared" si="193"/>
        <v>106.35533999999998</v>
      </c>
      <c r="F2193" s="481">
        <f t="shared" si="193"/>
        <v>104.62916520000003</v>
      </c>
      <c r="G2193" s="481">
        <f t="shared" si="193"/>
        <v>103.28088254400002</v>
      </c>
      <c r="H2193" s="481">
        <f t="shared" si="193"/>
        <v>105.34650019488002</v>
      </c>
      <c r="I2193" s="481">
        <f t="shared" si="193"/>
        <v>107.45343019877762</v>
      </c>
      <c r="J2193" s="481">
        <f t="shared" si="193"/>
        <v>109.60249880275319</v>
      </c>
      <c r="O2193" s="5"/>
    </row>
    <row r="2194" spans="2:15" ht="15.75">
      <c r="B2194" s="53" t="s">
        <v>1117</v>
      </c>
      <c r="C2194" s="630">
        <f>NPV(C2252,F2193:J2193)</f>
        <v>425.45264333016701</v>
      </c>
      <c r="D2194" s="53"/>
      <c r="E2194" s="53"/>
      <c r="F2194" s="53"/>
      <c r="G2194" s="53"/>
      <c r="H2194" s="53"/>
      <c r="I2194" s="53"/>
      <c r="J2194" s="53"/>
      <c r="O2194" s="5"/>
    </row>
    <row r="2195" spans="2:15" ht="15.75">
      <c r="B2195" s="53" t="s">
        <v>389</v>
      </c>
      <c r="C2195" s="630">
        <f>J2193*C2255</f>
        <v>1414.225791003267</v>
      </c>
      <c r="D2195" s="53"/>
      <c r="E2195" s="53"/>
      <c r="F2195" s="53"/>
      <c r="G2195" s="53"/>
      <c r="H2195" s="53"/>
      <c r="I2195" s="53"/>
      <c r="J2195" s="53"/>
      <c r="O2195" s="5"/>
    </row>
    <row r="2196" spans="2:15" ht="15.75">
      <c r="B2196" s="50" t="s">
        <v>1119</v>
      </c>
      <c r="C2196" s="632">
        <f>C2195/(1+C2252)^4</f>
        <v>1049.1791171369439</v>
      </c>
      <c r="D2196" s="53"/>
      <c r="E2196" s="53"/>
      <c r="F2196" s="53"/>
      <c r="G2196" s="53"/>
      <c r="H2196" s="53"/>
      <c r="I2196" s="53"/>
      <c r="J2196" s="53"/>
      <c r="O2196" s="5"/>
    </row>
    <row r="2197" spans="2:15" ht="15.75">
      <c r="B2197" s="53" t="s">
        <v>331</v>
      </c>
      <c r="C2197" s="630">
        <f>C2194+C2196</f>
        <v>1474.6317604671108</v>
      </c>
      <c r="D2197" s="53"/>
      <c r="E2197" s="53"/>
      <c r="F2197" s="53"/>
      <c r="G2197" s="53"/>
      <c r="H2197" s="53"/>
      <c r="I2197" s="53"/>
      <c r="J2197" s="53"/>
      <c r="O2197" s="5"/>
    </row>
    <row r="2198" spans="2:15" ht="15.75">
      <c r="B2198" s="53"/>
      <c r="C2198" s="630"/>
      <c r="D2198" s="53"/>
      <c r="E2198" s="53"/>
      <c r="F2198" s="53"/>
      <c r="G2198" s="53"/>
      <c r="H2198" s="53"/>
      <c r="I2198" s="53"/>
      <c r="J2198" s="53"/>
      <c r="O2198" s="5"/>
    </row>
    <row r="2199" spans="2:15" ht="15.75">
      <c r="B2199" s="53" t="s">
        <v>4202</v>
      </c>
      <c r="C2199" s="651">
        <v>1</v>
      </c>
      <c r="D2199" s="53"/>
      <c r="E2199" s="53"/>
      <c r="F2199" s="53"/>
      <c r="G2199" s="53"/>
      <c r="H2199" s="53"/>
      <c r="I2199" s="53"/>
      <c r="J2199" s="53"/>
      <c r="N2199" t="s">
        <v>4423</v>
      </c>
      <c r="O2199" s="6">
        <f>O2186*(1-O2187)</f>
        <v>4.8750000000000002E-2</v>
      </c>
    </row>
    <row r="2200" spans="2:15" ht="15.75">
      <c r="B2200" s="53" t="s">
        <v>4289</v>
      </c>
      <c r="C2200" s="630">
        <f>C2199*C2185</f>
        <v>1950</v>
      </c>
      <c r="D2200" s="53"/>
      <c r="E2200" s="53"/>
      <c r="F2200" s="53"/>
      <c r="G2200" s="53"/>
      <c r="H2200" s="53"/>
      <c r="I2200" s="53"/>
      <c r="J2200" s="53"/>
    </row>
    <row r="2201" spans="2:15" ht="15.75" outlineLevel="1">
      <c r="B2201" s="53" t="s">
        <v>4288</v>
      </c>
      <c r="C2201" s="630">
        <f>C2200-C2185</f>
        <v>0</v>
      </c>
      <c r="D2201" s="53"/>
      <c r="E2201" s="53"/>
      <c r="F2201" s="53"/>
      <c r="G2201" s="53"/>
      <c r="H2201" s="53"/>
      <c r="I2201" s="53"/>
      <c r="J2201" s="53"/>
      <c r="O2201" s="16">
        <f>O2199*O2179</f>
        <v>48.75</v>
      </c>
    </row>
    <row r="2202" spans="2:15" ht="15.75" outlineLevel="1">
      <c r="B2202" s="53" t="s">
        <v>4285</v>
      </c>
      <c r="C2202" s="649">
        <v>20</v>
      </c>
      <c r="D2202" s="53"/>
      <c r="E2202" s="53"/>
      <c r="F2202" s="53"/>
      <c r="G2202" s="53"/>
      <c r="H2202" s="53"/>
      <c r="I2202" s="53"/>
      <c r="J2202" s="53"/>
    </row>
    <row r="2203" spans="2:15" ht="15.75" outlineLevel="1">
      <c r="B2203" s="53" t="s">
        <v>4286</v>
      </c>
      <c r="C2203" s="621">
        <f>C2201/C2202</f>
        <v>0</v>
      </c>
      <c r="D2203" s="53"/>
      <c r="E2203" s="53"/>
      <c r="F2203" s="53"/>
      <c r="G2203" s="53"/>
      <c r="H2203" s="53"/>
      <c r="I2203" s="53"/>
      <c r="J2203" s="53"/>
    </row>
    <row r="2204" spans="2:15" ht="15.75" outlineLevel="1">
      <c r="B2204" s="53" t="s">
        <v>4287</v>
      </c>
      <c r="C2204" s="481">
        <f>C2203+Valuation!K5</f>
        <v>232.03</v>
      </c>
      <c r="D2204" s="53"/>
      <c r="E2204" s="53"/>
      <c r="F2204" s="53"/>
      <c r="G2204" s="53"/>
      <c r="H2204" s="53"/>
      <c r="I2204" s="53"/>
      <c r="J2204" s="53"/>
    </row>
    <row r="2205" spans="2:15" ht="15.75">
      <c r="B2205" s="53"/>
      <c r="C2205" s="53"/>
      <c r="D2205" s="53"/>
      <c r="E2205" s="53"/>
      <c r="F2205" s="53"/>
      <c r="G2205" s="53"/>
      <c r="H2205" s="53"/>
      <c r="I2205" s="53"/>
      <c r="J2205" s="53"/>
    </row>
    <row r="2206" spans="2:15" ht="15.75">
      <c r="B2206" s="53" t="s">
        <v>4495</v>
      </c>
      <c r="C2206" s="53"/>
      <c r="D2206" s="53"/>
      <c r="E2206" s="853">
        <f>(1.75%+5%)*0.63</f>
        <v>4.2525E-2</v>
      </c>
      <c r="F2206" s="630"/>
      <c r="G2206" s="53"/>
      <c r="H2206" s="53"/>
      <c r="I2206" s="53"/>
      <c r="J2206" s="53"/>
      <c r="L2206" s="853">
        <v>6.4000000000000001E-2</v>
      </c>
      <c r="M2206" s="6">
        <f>L2206*0.71</f>
        <v>4.5440000000000001E-2</v>
      </c>
    </row>
    <row r="2207" spans="2:15" ht="15.75" outlineLevel="1">
      <c r="B2207" s="53" t="s">
        <v>4205</v>
      </c>
      <c r="C2207" s="53"/>
      <c r="D2207" s="53"/>
      <c r="E2207" s="630">
        <f>E2206*C2200</f>
        <v>82.923749999999998</v>
      </c>
      <c r="F2207" s="630">
        <f>E2207</f>
        <v>82.923749999999998</v>
      </c>
      <c r="G2207" s="630">
        <f>F2207</f>
        <v>82.923749999999998</v>
      </c>
      <c r="H2207" s="630">
        <f>G2207</f>
        <v>82.923749999999998</v>
      </c>
      <c r="I2207" s="630">
        <f>H2207</f>
        <v>82.923749999999998</v>
      </c>
      <c r="J2207" s="630">
        <f>I2207</f>
        <v>82.923749999999998</v>
      </c>
      <c r="L2207" s="853">
        <v>6.0999999999999999E-2</v>
      </c>
      <c r="M2207" s="6">
        <f>L2207*0.63</f>
        <v>3.8429999999999999E-2</v>
      </c>
    </row>
    <row r="2208" spans="2:15" ht="15.75" outlineLevel="1">
      <c r="B2208" s="53" t="s">
        <v>1664</v>
      </c>
      <c r="C2208" s="53"/>
      <c r="D2208" s="53"/>
      <c r="E2208" s="630">
        <f>E2207</f>
        <v>82.923749999999998</v>
      </c>
      <c r="F2208" s="630">
        <f>E2208+F2207</f>
        <v>165.8475</v>
      </c>
      <c r="G2208" s="630">
        <f>F2208+G2207</f>
        <v>248.77125000000001</v>
      </c>
      <c r="H2208" s="630">
        <f>G2208+H2207</f>
        <v>331.69499999999999</v>
      </c>
      <c r="I2208" s="630">
        <f>H2208+I2207</f>
        <v>414.61874999999998</v>
      </c>
      <c r="J2208" s="630">
        <f>I2208+J2207</f>
        <v>497.54249999999996</v>
      </c>
      <c r="M2208" s="6">
        <f>AVERAGE(M2206:M2207)</f>
        <v>4.1935E-2</v>
      </c>
    </row>
    <row r="2209" spans="2:10" ht="15.75">
      <c r="B2209" s="53"/>
      <c r="C2209" s="53"/>
      <c r="D2209" s="53"/>
      <c r="E2209" s="53"/>
      <c r="F2209" s="53"/>
      <c r="G2209" s="53"/>
      <c r="H2209" s="53"/>
      <c r="I2209" s="53"/>
      <c r="J2209" s="53"/>
    </row>
    <row r="2210" spans="2:10" ht="15.75">
      <c r="B2210" s="53" t="s">
        <v>249</v>
      </c>
      <c r="C2210" s="53"/>
      <c r="D2210" s="53"/>
      <c r="E2210" s="481">
        <f>E2181*0.5-E2207</f>
        <v>-29.746080000000006</v>
      </c>
      <c r="F2210" s="481">
        <f>F2181-F2207</f>
        <v>21.705415200000033</v>
      </c>
      <c r="G2210" s="481">
        <f>G2181-G2207</f>
        <v>20.357132544000024</v>
      </c>
      <c r="H2210" s="481">
        <f>H2181-H2207</f>
        <v>22.422750194880024</v>
      </c>
      <c r="I2210" s="481">
        <f>I2181-I2207</f>
        <v>24.529680198777626</v>
      </c>
      <c r="J2210" s="481">
        <f>J2181-J2207</f>
        <v>26.678748802753191</v>
      </c>
    </row>
    <row r="2211" spans="2:10" ht="15.75">
      <c r="B2211" s="53"/>
      <c r="C2211" s="53"/>
      <c r="D2211" s="53"/>
      <c r="E2211" s="53"/>
      <c r="F2211" s="53"/>
      <c r="G2211" s="53"/>
      <c r="H2211" s="53"/>
      <c r="I2211" s="53"/>
      <c r="J2211" s="53"/>
    </row>
    <row r="2212" spans="2:10" ht="15.75">
      <c r="B2212" s="58" t="s">
        <v>5362</v>
      </c>
      <c r="C2212" s="53"/>
      <c r="D2212" s="79" t="s">
        <v>5364</v>
      </c>
      <c r="E2212" s="79" t="s">
        <v>5363</v>
      </c>
      <c r="F2212" s="53"/>
      <c r="G2212" s="53"/>
      <c r="H2212" s="53"/>
      <c r="I2212" s="53"/>
      <c r="J2212" s="53"/>
    </row>
    <row r="2213" spans="2:10" ht="15.75">
      <c r="B2213" s="53"/>
      <c r="C2213" s="53"/>
      <c r="D2213" s="53"/>
      <c r="E2213" s="53"/>
      <c r="F2213" s="53"/>
      <c r="G2213" s="53"/>
      <c r="H2213" s="53"/>
      <c r="I2213" s="53"/>
      <c r="J2213" s="53"/>
    </row>
    <row r="2214" spans="2:10" ht="15.75">
      <c r="B2214" s="636" t="s">
        <v>5369</v>
      </c>
      <c r="C2214" s="636"/>
      <c r="D2214" s="636"/>
      <c r="E2214" s="642" t="s">
        <v>4963</v>
      </c>
      <c r="F2214" s="53"/>
      <c r="G2214" s="53"/>
      <c r="H2214" s="53"/>
      <c r="I2214" s="53"/>
      <c r="J2214" s="53"/>
    </row>
    <row r="2215" spans="2:10" ht="15.75">
      <c r="B2215" s="53" t="s">
        <v>668</v>
      </c>
      <c r="C2215" s="53"/>
      <c r="D2215" s="53"/>
      <c r="E2215" s="53">
        <v>51.9</v>
      </c>
      <c r="F2215" s="53"/>
      <c r="G2215" s="53"/>
      <c r="H2215" s="53"/>
      <c r="I2215" s="53"/>
      <c r="J2215" s="53"/>
    </row>
    <row r="2216" spans="2:10" ht="15.75">
      <c r="B2216" s="53" t="s">
        <v>56</v>
      </c>
      <c r="C2216" s="53"/>
      <c r="D2216" s="53"/>
      <c r="E2216" s="53">
        <v>95.1</v>
      </c>
      <c r="F2216" s="53"/>
      <c r="G2216" s="53"/>
      <c r="H2216" s="53"/>
      <c r="I2216" s="53"/>
      <c r="J2216" s="53"/>
    </row>
    <row r="2217" spans="2:10" ht="15.75">
      <c r="B2217" s="53" t="s">
        <v>5366</v>
      </c>
      <c r="C2217" s="53"/>
      <c r="D2217" s="53"/>
      <c r="E2217" s="53">
        <v>47.5</v>
      </c>
      <c r="F2217" s="53"/>
      <c r="G2217" s="53"/>
      <c r="H2217" s="53"/>
      <c r="I2217" s="53"/>
      <c r="J2217" s="53"/>
    </row>
    <row r="2218" spans="2:10" ht="15.75">
      <c r="B2218" s="53"/>
      <c r="C2218" s="53"/>
      <c r="D2218" s="53"/>
      <c r="E2218" s="53"/>
      <c r="F2218" s="53"/>
      <c r="G2218" s="53"/>
      <c r="H2218" s="53"/>
      <c r="I2218" s="53"/>
      <c r="J2218" s="53"/>
    </row>
    <row r="2219" spans="2:10" ht="15.75">
      <c r="B2219" s="53" t="s">
        <v>5367</v>
      </c>
      <c r="C2219" s="53"/>
      <c r="D2219" s="53"/>
      <c r="E2219" s="621">
        <v>2</v>
      </c>
      <c r="F2219" s="53"/>
      <c r="G2219" s="53"/>
      <c r="H2219" s="53"/>
      <c r="I2219" s="53"/>
      <c r="J2219" s="53"/>
    </row>
    <row r="2220" spans="2:10" ht="15.75">
      <c r="B2220" s="53" t="s">
        <v>5368</v>
      </c>
      <c r="C2220" s="53"/>
      <c r="D2220" s="53"/>
      <c r="E2220" s="53">
        <v>6</v>
      </c>
      <c r="F2220" s="53"/>
      <c r="G2220" s="53"/>
      <c r="H2220" s="53"/>
      <c r="I2220" s="53"/>
      <c r="J2220" s="53"/>
    </row>
    <row r="2221" spans="2:10" ht="15.75">
      <c r="B2221" s="50" t="s">
        <v>4</v>
      </c>
      <c r="C2221" s="50"/>
      <c r="D2221" s="50"/>
      <c r="E2221" s="50">
        <v>-2.2999999999999998</v>
      </c>
      <c r="F2221" s="53"/>
      <c r="G2221" s="53"/>
      <c r="H2221" s="53"/>
      <c r="I2221" s="53"/>
      <c r="J2221" s="53"/>
    </row>
    <row r="2222" spans="2:10" ht="15.75">
      <c r="B2222" s="53" t="s">
        <v>5365</v>
      </c>
      <c r="C2222" s="53"/>
      <c r="D2222" s="53"/>
      <c r="E2222" s="53">
        <f>SUM(E2215:E2221)</f>
        <v>200.2</v>
      </c>
      <c r="F2222" s="53"/>
      <c r="G2222" s="53"/>
      <c r="H2222" s="53"/>
      <c r="I2222" s="53"/>
      <c r="J2222" s="53"/>
    </row>
    <row r="2223" spans="2:10" ht="15.75">
      <c r="B2223" s="53"/>
      <c r="C2223" s="53"/>
      <c r="D2223" s="53"/>
      <c r="E2223" s="53"/>
      <c r="F2223" s="53"/>
      <c r="G2223" s="53"/>
      <c r="H2223" s="53"/>
      <c r="I2223" s="53"/>
      <c r="J2223" s="53"/>
    </row>
    <row r="2224" spans="2:10" ht="15.75">
      <c r="B2224" s="53" t="s">
        <v>5370</v>
      </c>
      <c r="C2224" s="53"/>
      <c r="D2224" s="53"/>
      <c r="E2224" s="53">
        <v>246.9</v>
      </c>
      <c r="F2224" s="53">
        <f>E2224*4/3</f>
        <v>329.2</v>
      </c>
      <c r="G2224" s="53">
        <f>F2224-22.5</f>
        <v>306.7</v>
      </c>
      <c r="H2224" s="53"/>
      <c r="I2224" s="53"/>
      <c r="J2224" s="53"/>
    </row>
    <row r="2225" spans="2:10" ht="15.75">
      <c r="B2225" s="53"/>
      <c r="C2225" s="53"/>
      <c r="D2225" s="53"/>
      <c r="E2225" s="53"/>
      <c r="F2225" s="53"/>
      <c r="G2225" s="53"/>
      <c r="H2225" s="53"/>
      <c r="I2225" s="53"/>
      <c r="J2225" s="53"/>
    </row>
    <row r="2226" spans="2:10" ht="15.75">
      <c r="B2226" s="636" t="s">
        <v>3871</v>
      </c>
      <c r="C2226" s="636"/>
      <c r="D2226" s="636"/>
      <c r="E2226" s="636">
        <v>2020</v>
      </c>
      <c r="F2226" s="636">
        <f>E2226+1</f>
        <v>2021</v>
      </c>
      <c r="G2226" s="636">
        <f>F2226+1</f>
        <v>2022</v>
      </c>
      <c r="H2226" s="636">
        <f>G2226+1</f>
        <v>2023</v>
      </c>
      <c r="I2226" s="636">
        <f>H2226+1</f>
        <v>2024</v>
      </c>
      <c r="J2226" s="636">
        <f>I2226+1</f>
        <v>2025</v>
      </c>
    </row>
    <row r="2227" spans="2:10" ht="15.75">
      <c r="B2227" s="58" t="s">
        <v>4415</v>
      </c>
      <c r="C2227" s="58"/>
      <c r="D2227" s="58"/>
      <c r="E2227" s="58"/>
      <c r="F2227" s="58"/>
      <c r="G2227" s="58"/>
      <c r="H2227" s="58"/>
      <c r="I2227" s="58"/>
      <c r="J2227" s="58"/>
    </row>
    <row r="2228" spans="2:10" ht="15.75">
      <c r="B2228" s="53" t="s">
        <v>2541</v>
      </c>
      <c r="C2228" s="53"/>
      <c r="D2228" s="53"/>
      <c r="E2228" s="630">
        <f>Valuation!K82</f>
        <v>7205.4250000000011</v>
      </c>
      <c r="F2228" s="630">
        <f>Valuation!L82</f>
        <v>7752.1</v>
      </c>
      <c r="G2228" s="630">
        <f>Valuation!M82</f>
        <v>5985.04</v>
      </c>
      <c r="H2228" s="630">
        <f>Valuation!N82</f>
        <v>6965.1</v>
      </c>
      <c r="I2228" s="630">
        <f ca="1">Valuation!O82</f>
        <v>7014.3337002453673</v>
      </c>
      <c r="J2228" s="630">
        <f ca="1">Valuation!P82</f>
        <v>6324.4399585298033</v>
      </c>
    </row>
    <row r="2229" spans="2:10" ht="15.75">
      <c r="B2229" s="53" t="s">
        <v>1408</v>
      </c>
      <c r="C2229" s="53"/>
      <c r="D2229" s="53"/>
      <c r="E2229" s="630">
        <f>Valuation!K84</f>
        <v>1601.1351066666668</v>
      </c>
      <c r="F2229" s="630">
        <f>Valuation!L84</f>
        <v>1687.1845060877336</v>
      </c>
      <c r="G2229" s="630">
        <f>Valuation!M84</f>
        <v>1550.9752100000001</v>
      </c>
      <c r="H2229" s="630">
        <f>Valuation!N84</f>
        <v>1506.91075</v>
      </c>
      <c r="I2229" s="630">
        <f>Valuation!O84</f>
        <v>1368.1546169601884</v>
      </c>
      <c r="J2229" s="630">
        <f>Valuation!P84</f>
        <v>1578.5005985688013</v>
      </c>
    </row>
    <row r="2230" spans="2:10" ht="15.75">
      <c r="B2230" s="53" t="s">
        <v>273</v>
      </c>
      <c r="C2230" s="53"/>
      <c r="D2230" s="53"/>
      <c r="E2230" s="639">
        <f t="shared" ref="E2230:J2230" si="194">E2228/E2229</f>
        <v>4.5001979970326556</v>
      </c>
      <c r="F2230" s="639">
        <f t="shared" si="194"/>
        <v>4.594696058450463</v>
      </c>
      <c r="G2230" s="639">
        <f t="shared" si="194"/>
        <v>3.8588882410312668</v>
      </c>
      <c r="H2230" s="639">
        <f t="shared" si="194"/>
        <v>4.6221051910340414</v>
      </c>
      <c r="I2230" s="639">
        <f t="shared" ca="1" si="194"/>
        <v>5.1268574569664125</v>
      </c>
      <c r="J2230" s="639">
        <f t="shared" ca="1" si="194"/>
        <v>4.0066123283475861</v>
      </c>
    </row>
    <row r="2231" spans="2:10" ht="15.75">
      <c r="B2231" s="53"/>
      <c r="C2231" s="53"/>
      <c r="D2231" s="53"/>
      <c r="E2231" s="53"/>
      <c r="F2231" s="53"/>
      <c r="G2231" s="53"/>
      <c r="H2231" s="53"/>
      <c r="I2231" s="53"/>
      <c r="J2231" s="53"/>
    </row>
    <row r="2232" spans="2:10" ht="15.75">
      <c r="B2232" s="58" t="s">
        <v>4416</v>
      </c>
      <c r="C2232" s="53"/>
      <c r="D2232" s="53"/>
      <c r="E2232" s="53"/>
      <c r="F2232" s="53"/>
      <c r="G2232" s="53"/>
      <c r="H2232" s="53"/>
      <c r="I2232" s="53"/>
      <c r="J2232" s="53"/>
    </row>
    <row r="2233" spans="2:10" ht="15.75">
      <c r="B2233" s="53" t="s">
        <v>4392</v>
      </c>
      <c r="C2233" s="53"/>
      <c r="D2233" s="53"/>
      <c r="E2233" s="630">
        <f t="shared" ref="E2233:J2233" si="195">E2228+$C$2185+E2208+E2183</f>
        <v>9131.9934100000009</v>
      </c>
      <c r="F2233" s="630">
        <f t="shared" si="195"/>
        <v>9656.9629948000002</v>
      </c>
      <c r="G2233" s="630">
        <f t="shared" si="195"/>
        <v>7869.545862256</v>
      </c>
      <c r="H2233" s="630">
        <f t="shared" si="195"/>
        <v>8827.1831120611205</v>
      </c>
      <c r="I2233" s="630">
        <f t="shared" ca="1" si="195"/>
        <v>8851.8871321077077</v>
      </c>
      <c r="J2233" s="630">
        <f t="shared" ca="1" si="195"/>
        <v>8135.3146415893916</v>
      </c>
    </row>
    <row r="2234" spans="2:10" ht="15.75">
      <c r="B2234" s="53" t="s">
        <v>4393</v>
      </c>
      <c r="C2234" s="53"/>
      <c r="D2234" s="53"/>
      <c r="E2234" s="630">
        <f t="shared" ref="E2234:J2234" si="196">E2229+E2172</f>
        <v>1881.2631066666668</v>
      </c>
      <c r="F2234" s="630">
        <f t="shared" si="196"/>
        <v>1937.1987460877335</v>
      </c>
      <c r="G2234" s="630">
        <f t="shared" si="196"/>
        <v>1851.5280428000001</v>
      </c>
      <c r="H2234" s="630">
        <f t="shared" si="196"/>
        <v>1813.474639456</v>
      </c>
      <c r="I2234" s="630">
        <f t="shared" si="196"/>
        <v>1680.8497842053084</v>
      </c>
      <c r="J2234" s="630">
        <f t="shared" si="196"/>
        <v>1897.4496691588238</v>
      </c>
    </row>
    <row r="2235" spans="2:10" ht="15.75">
      <c r="B2235" s="53" t="s">
        <v>273</v>
      </c>
      <c r="C2235" s="53"/>
      <c r="D2235" s="53"/>
      <c r="E2235" s="639">
        <f t="shared" ref="E2235:J2235" si="197">E2233/E2234</f>
        <v>4.8541819470327079</v>
      </c>
      <c r="F2235" s="639">
        <f t="shared" si="197"/>
        <v>4.9850140644075385</v>
      </c>
      <c r="G2235" s="639">
        <f t="shared" si="197"/>
        <v>4.2502979594925092</v>
      </c>
      <c r="H2235" s="639">
        <f t="shared" si="197"/>
        <v>4.8675525535383661</v>
      </c>
      <c r="I2235" s="639">
        <f t="shared" ca="1" si="197"/>
        <v>5.2663166068066012</v>
      </c>
      <c r="J2235" s="639">
        <f t="shared" ca="1" si="197"/>
        <v>4.2874995705134751</v>
      </c>
    </row>
    <row r="2236" spans="2:10" ht="15.75">
      <c r="B2236" s="53"/>
      <c r="C2236" s="53"/>
      <c r="D2236" s="53"/>
      <c r="E2236" s="53"/>
      <c r="F2236" s="53"/>
      <c r="G2236" s="53"/>
      <c r="H2236" s="53"/>
      <c r="I2236" s="53"/>
      <c r="J2236" s="53"/>
    </row>
    <row r="2237" spans="2:10" ht="15.75">
      <c r="B2237" s="53" t="s">
        <v>4394</v>
      </c>
      <c r="C2237" s="53"/>
      <c r="D2237" s="53"/>
      <c r="E2237" s="630">
        <f>Valuation!K28</f>
        <v>196.00200000000001</v>
      </c>
      <c r="F2237" s="630">
        <f>Valuation!L28</f>
        <v>243.97968593955338</v>
      </c>
      <c r="G2237" s="630">
        <f>Valuation!M28</f>
        <v>229.24999999999997</v>
      </c>
      <c r="H2237" s="630">
        <f>Valuation!N28</f>
        <v>193.96999999999989</v>
      </c>
      <c r="I2237" s="630">
        <f ca="1">Valuation!O28</f>
        <v>136.49958891740317</v>
      </c>
      <c r="J2237" s="630">
        <f ca="1">Valuation!P28</f>
        <v>249.28592382841885</v>
      </c>
    </row>
    <row r="2238" spans="2:10" ht="15.75">
      <c r="B2238" s="53" t="s">
        <v>2865</v>
      </c>
      <c r="C2238" s="53"/>
      <c r="D2238" s="53"/>
      <c r="E2238" s="630">
        <f t="shared" ref="E2238:J2238" si="198">E2237+E2181-E2207</f>
        <v>219.43359000000004</v>
      </c>
      <c r="F2238" s="630">
        <f t="shared" si="198"/>
        <v>265.68510113955341</v>
      </c>
      <c r="G2238" s="630">
        <f t="shared" si="198"/>
        <v>249.60713254400002</v>
      </c>
      <c r="H2238" s="630">
        <f t="shared" si="198"/>
        <v>216.39275019487991</v>
      </c>
      <c r="I2238" s="630">
        <f t="shared" ca="1" si="198"/>
        <v>161.02926911618079</v>
      </c>
      <c r="J2238" s="630">
        <f t="shared" ca="1" si="198"/>
        <v>275.96467263117205</v>
      </c>
    </row>
    <row r="2239" spans="2:10" ht="15.75">
      <c r="B2239" s="53" t="s">
        <v>78</v>
      </c>
      <c r="C2239" s="53"/>
      <c r="D2239" s="53"/>
      <c r="E2239" s="54">
        <f t="shared" ref="E2239:J2239" si="199">E2238/E2237-1</f>
        <v>0.11954770869685016</v>
      </c>
      <c r="F2239" s="54">
        <f t="shared" si="199"/>
        <v>8.8964026313967937E-2</v>
      </c>
      <c r="G2239" s="54">
        <f t="shared" si="199"/>
        <v>8.8798833343511685E-2</v>
      </c>
      <c r="H2239" s="54">
        <f t="shared" si="199"/>
        <v>0.11559906271526543</v>
      </c>
      <c r="I2239" s="54">
        <f t="shared" ca="1" si="199"/>
        <v>0.17970515803985809</v>
      </c>
      <c r="J2239" s="54">
        <f t="shared" ca="1" si="199"/>
        <v>0.10702067887762468</v>
      </c>
    </row>
    <row r="2240" spans="2:10" ht="15.75">
      <c r="B2240" s="53"/>
      <c r="C2240" s="53"/>
      <c r="D2240" s="53"/>
      <c r="E2240" s="56"/>
      <c r="F2240" s="630"/>
      <c r="G2240" s="630"/>
      <c r="H2240" s="630"/>
      <c r="I2240" s="630"/>
      <c r="J2240" s="53"/>
    </row>
    <row r="2241" spans="2:11" ht="15.75">
      <c r="B2241" s="53" t="s">
        <v>4417</v>
      </c>
      <c r="C2241" s="53"/>
      <c r="D2241" s="53"/>
      <c r="E2241" s="630"/>
      <c r="F2241" s="630"/>
      <c r="G2241" s="630"/>
      <c r="H2241" s="630"/>
      <c r="I2241" s="630"/>
      <c r="J2241" s="53"/>
    </row>
    <row r="2242" spans="2:11" ht="15.75">
      <c r="B2242" s="53" t="s">
        <v>4396</v>
      </c>
      <c r="C2242" s="53"/>
      <c r="D2242" s="53"/>
      <c r="E2242" s="630">
        <f>(E2170-E2172)*0.9+('Puerto Rico'!H42-'Puerto Rico'!H49)</f>
        <v>765.84479999999996</v>
      </c>
      <c r="F2242" s="630">
        <f>(F2170-F2172)*0.9+('Puerto Rico'!I42-'Puerto Rico'!I49)</f>
        <v>948.40438399999994</v>
      </c>
      <c r="G2242" s="630">
        <f>(G2170-G2172)*0.9+('Puerto Rico'!J42-'Puerto Rico'!J49)</f>
        <v>948.09199448000004</v>
      </c>
      <c r="H2242" s="630">
        <f>(H2170-H2172)*0.9+('Puerto Rico'!K42-'Puerto Rico'!K49)</f>
        <v>1333.9758343696001</v>
      </c>
      <c r="I2242" s="630">
        <f>(I2170-I2172)*0.9+('Puerto Rico'!L42-'Puerto Rico'!L49)</f>
        <v>1370.8654267970073</v>
      </c>
      <c r="J2242" s="630">
        <f>(J2170-J2172)*0.9+('Puerto Rico'!M42-'Puerto Rico'!M49)</f>
        <v>1405.4220542800808</v>
      </c>
    </row>
    <row r="2243" spans="2:11" ht="15.75">
      <c r="B2243" s="50" t="s">
        <v>4397</v>
      </c>
      <c r="C2243" s="50"/>
      <c r="D2243" s="50"/>
      <c r="E2243" s="632">
        <f>E2177*0.9+'Puerto Rico'!H52</f>
        <v>192.22899999999998</v>
      </c>
      <c r="F2243" s="632">
        <f>F2177+'Puerto Rico'!I52</f>
        <v>242.99119999999999</v>
      </c>
      <c r="G2243" s="632">
        <f>G2177+'Puerto Rico'!J52</f>
        <v>255.49092400000001</v>
      </c>
      <c r="H2243" s="632">
        <f>H2177+'Puerto Rico'!K52</f>
        <v>139.34722248</v>
      </c>
      <c r="I2243" s="632">
        <f>I2177+'Puerto Rico'!L52</f>
        <v>142.13416692960001</v>
      </c>
      <c r="J2243" s="632">
        <f>J2177+'Puerto Rico'!M52</f>
        <v>144.97685026819201</v>
      </c>
    </row>
    <row r="2244" spans="2:11" ht="15.75">
      <c r="B2244" s="53" t="s">
        <v>16</v>
      </c>
      <c r="C2244" s="53"/>
      <c r="D2244" s="53"/>
      <c r="E2244" s="630">
        <f t="shared" ref="E2244:J2244" si="200">E2242+E2243</f>
        <v>958.07379999999989</v>
      </c>
      <c r="F2244" s="630">
        <f t="shared" si="200"/>
        <v>1191.3955839999999</v>
      </c>
      <c r="G2244" s="630">
        <f t="shared" si="200"/>
        <v>1203.58291848</v>
      </c>
      <c r="H2244" s="630">
        <f t="shared" si="200"/>
        <v>1473.3230568496001</v>
      </c>
      <c r="I2244" s="630">
        <f t="shared" si="200"/>
        <v>1512.9995937266074</v>
      </c>
      <c r="J2244" s="630">
        <f t="shared" si="200"/>
        <v>1550.3989045482729</v>
      </c>
    </row>
    <row r="2245" spans="2:11" ht="15.75">
      <c r="B2245" s="53" t="s">
        <v>1975</v>
      </c>
      <c r="C2245" s="53"/>
      <c r="D2245" s="53"/>
      <c r="E2245" s="752">
        <v>0</v>
      </c>
      <c r="F2245" s="752">
        <v>0.01</v>
      </c>
      <c r="G2245" s="752">
        <v>0.02</v>
      </c>
      <c r="H2245" s="752">
        <v>0.03</v>
      </c>
      <c r="I2245" s="752">
        <v>0.04</v>
      </c>
      <c r="J2245" s="752">
        <v>5.8000000000000003E-2</v>
      </c>
    </row>
    <row r="2246" spans="2:11" ht="15.75">
      <c r="B2246" s="53"/>
      <c r="C2246" s="53"/>
      <c r="D2246" s="53"/>
      <c r="E2246" s="53"/>
      <c r="F2246" s="53"/>
      <c r="G2246" s="53"/>
      <c r="H2246" s="53"/>
      <c r="I2246" s="53"/>
      <c r="J2246" s="53"/>
    </row>
    <row r="2247" spans="2:11" ht="15.75">
      <c r="B2247" s="53" t="s">
        <v>4582</v>
      </c>
      <c r="C2247" s="53"/>
      <c r="D2247" s="53"/>
      <c r="E2247" s="630">
        <f t="shared" ref="E2247:J2247" si="201">E2245*E2242</f>
        <v>0</v>
      </c>
      <c r="F2247" s="630">
        <f t="shared" si="201"/>
        <v>9.48404384</v>
      </c>
      <c r="G2247" s="630">
        <f t="shared" si="201"/>
        <v>18.9618398896</v>
      </c>
      <c r="H2247" s="630">
        <f t="shared" si="201"/>
        <v>40.019275031088</v>
      </c>
      <c r="I2247" s="630">
        <f t="shared" si="201"/>
        <v>54.834617071880295</v>
      </c>
      <c r="J2247" s="630">
        <f t="shared" si="201"/>
        <v>81.514479148244689</v>
      </c>
    </row>
    <row r="2248" spans="2:11" ht="15.75">
      <c r="B2248" s="50" t="s">
        <v>4583</v>
      </c>
      <c r="C2248" s="50"/>
      <c r="D2248" s="50"/>
      <c r="E2248" s="632">
        <f t="shared" ref="E2248:J2248" si="202">E2245*E2243</f>
        <v>0</v>
      </c>
      <c r="F2248" s="632">
        <f t="shared" si="202"/>
        <v>2.4299119999999998</v>
      </c>
      <c r="G2248" s="632">
        <f t="shared" si="202"/>
        <v>5.1098184800000004</v>
      </c>
      <c r="H2248" s="632">
        <f t="shared" si="202"/>
        <v>4.1804166744</v>
      </c>
      <c r="I2248" s="632">
        <f t="shared" si="202"/>
        <v>5.6853666771840006</v>
      </c>
      <c r="J2248" s="632">
        <f t="shared" si="202"/>
        <v>8.4086573155551374</v>
      </c>
    </row>
    <row r="2249" spans="2:11" ht="15.75">
      <c r="B2249" s="53" t="s">
        <v>16</v>
      </c>
      <c r="E2249" s="630">
        <f t="shared" ref="E2249:J2249" si="203">E2247+E2248</f>
        <v>0</v>
      </c>
      <c r="F2249" s="630">
        <f t="shared" si="203"/>
        <v>11.91395584</v>
      </c>
      <c r="G2249" s="630">
        <f t="shared" si="203"/>
        <v>24.071658369600001</v>
      </c>
      <c r="H2249" s="630">
        <f t="shared" si="203"/>
        <v>44.199691705488</v>
      </c>
      <c r="I2249" s="630">
        <f t="shared" si="203"/>
        <v>60.519983749064295</v>
      </c>
      <c r="J2249" s="630">
        <f t="shared" si="203"/>
        <v>89.923136463799821</v>
      </c>
      <c r="K2249" s="56"/>
    </row>
    <row r="2250" spans="2:11" ht="15.75">
      <c r="B2250" s="53" t="s">
        <v>4398</v>
      </c>
      <c r="D2250" s="630">
        <v>0</v>
      </c>
      <c r="E2250" s="630">
        <f t="shared" ref="E2250:J2250" si="204">(1-0.37)*E2249</f>
        <v>0</v>
      </c>
      <c r="F2250" s="630">
        <f t="shared" si="204"/>
        <v>7.5057921792000002</v>
      </c>
      <c r="G2250" s="630">
        <f t="shared" si="204"/>
        <v>15.165144772848</v>
      </c>
      <c r="H2250" s="630">
        <f t="shared" si="204"/>
        <v>27.845805774457439</v>
      </c>
      <c r="I2250" s="630">
        <f t="shared" si="204"/>
        <v>38.127589761910507</v>
      </c>
      <c r="J2250" s="630">
        <f t="shared" si="204"/>
        <v>56.651575972193889</v>
      </c>
    </row>
    <row r="2252" spans="2:11" ht="15.75">
      <c r="B2252" s="53" t="s">
        <v>378</v>
      </c>
      <c r="C2252" s="56">
        <v>7.7499999999999999E-2</v>
      </c>
      <c r="J2252" s="630">
        <f>70*(1-0.37)</f>
        <v>44.1</v>
      </c>
    </row>
    <row r="2253" spans="2:11" ht="15.75">
      <c r="B2253" s="53" t="s">
        <v>1117</v>
      </c>
      <c r="C2253" s="630">
        <f>NPV(C2252,D2250:J2250)</f>
        <v>94.382363095342996</v>
      </c>
      <c r="J2253" s="630">
        <f>J2252/(C2252-C2254)</f>
        <v>569.0322580645161</v>
      </c>
    </row>
    <row r="2254" spans="2:11" ht="15.75">
      <c r="B2254" s="53" t="s">
        <v>1406</v>
      </c>
      <c r="C2254" s="56">
        <v>0</v>
      </c>
    </row>
    <row r="2255" spans="2:11" ht="15.75">
      <c r="B2255" s="53" t="s">
        <v>817</v>
      </c>
      <c r="C2255" s="630">
        <f>1/(C2252-C2254)</f>
        <v>12.903225806451614</v>
      </c>
    </row>
    <row r="2256" spans="2:11" ht="15.75">
      <c r="B2256" s="53" t="s">
        <v>389</v>
      </c>
      <c r="C2256" s="630">
        <f>C2255*J2250</f>
        <v>730.98807706056641</v>
      </c>
    </row>
    <row r="2257" spans="2:20" ht="16.5" thickBot="1">
      <c r="B2257" s="53" t="s">
        <v>390</v>
      </c>
      <c r="C2257" s="630">
        <f>C2256/(1+C2252)^6</f>
        <v>467.09650782559078</v>
      </c>
    </row>
    <row r="2258" spans="2:20" ht="16.5" thickBot="1">
      <c r="B2258" s="775" t="s">
        <v>1980</v>
      </c>
      <c r="C2258" s="985">
        <f>C2253+C2257</f>
        <v>561.47887092093379</v>
      </c>
    </row>
    <row r="2259" spans="2:20" ht="15.75">
      <c r="B2259" s="53"/>
      <c r="C2259" s="630"/>
    </row>
    <row r="2260" spans="2:20" ht="15.75">
      <c r="B2260" s="53" t="s">
        <v>4418</v>
      </c>
      <c r="C2260" s="639">
        <f>(C2200-C2258)/D2172</f>
        <v>4.6284037635968875</v>
      </c>
    </row>
    <row r="2261" spans="2:20" ht="15.75">
      <c r="B2261" s="53"/>
      <c r="C2261" s="639"/>
    </row>
    <row r="2262" spans="2:20" ht="15.75">
      <c r="B2262" s="976" t="s">
        <v>5066</v>
      </c>
    </row>
    <row r="2264" spans="2:20" ht="15.75">
      <c r="B2264" s="636" t="s">
        <v>5075</v>
      </c>
      <c r="C2264" s="636">
        <v>2015</v>
      </c>
      <c r="D2264" s="636">
        <v>2016</v>
      </c>
      <c r="E2264" s="636">
        <v>2017</v>
      </c>
      <c r="F2264" s="636">
        <v>2018</v>
      </c>
      <c r="G2264" s="636">
        <v>2019</v>
      </c>
      <c r="H2264" s="636">
        <f t="shared" ref="H2264:R2264" si="205">G2264+1</f>
        <v>2020</v>
      </c>
      <c r="I2264" s="636">
        <f t="shared" si="205"/>
        <v>2021</v>
      </c>
      <c r="J2264" s="636">
        <f t="shared" si="205"/>
        <v>2022</v>
      </c>
      <c r="K2264" s="636">
        <f t="shared" si="205"/>
        <v>2023</v>
      </c>
      <c r="L2264" s="636">
        <f t="shared" si="205"/>
        <v>2024</v>
      </c>
      <c r="M2264" s="636">
        <f t="shared" si="205"/>
        <v>2025</v>
      </c>
      <c r="N2264" s="636">
        <f t="shared" si="205"/>
        <v>2026</v>
      </c>
      <c r="O2264" s="636">
        <f t="shared" si="205"/>
        <v>2027</v>
      </c>
      <c r="P2264" s="636">
        <f t="shared" si="205"/>
        <v>2028</v>
      </c>
      <c r="Q2264" s="636">
        <f t="shared" si="205"/>
        <v>2029</v>
      </c>
      <c r="R2264" s="636">
        <f t="shared" si="205"/>
        <v>2030</v>
      </c>
    </row>
    <row r="2265" spans="2:20" ht="15.75">
      <c r="B2265" s="53" t="s">
        <v>15</v>
      </c>
      <c r="C2265" s="630">
        <f>C2278*C2275</f>
        <v>94160</v>
      </c>
      <c r="D2265" s="630">
        <f>D2278*D2275</f>
        <v>108108</v>
      </c>
      <c r="E2265" s="630">
        <f>E2278*E2275</f>
        <v>131439</v>
      </c>
      <c r="F2265" s="630">
        <f>F2278*F2275</f>
        <v>146234</v>
      </c>
      <c r="G2265" s="630">
        <f>G2278*G2275</f>
        <v>154761.60000000003</v>
      </c>
      <c r="H2265" s="630">
        <f t="shared" ref="H2265:R2265" si="206">(1+H2266)*G2265</f>
        <v>156309.21600000004</v>
      </c>
      <c r="I2265" s="630">
        <f t="shared" si="206"/>
        <v>164124.67680000004</v>
      </c>
      <c r="J2265" s="630">
        <f>J2278*J2275</f>
        <v>183794.13019903249</v>
      </c>
      <c r="K2265" s="630">
        <f>K2278*K2275</f>
        <v>195624.82280975813</v>
      </c>
      <c r="L2265" s="630">
        <f t="shared" si="206"/>
        <v>197581.07103785573</v>
      </c>
      <c r="M2265" s="630">
        <f t="shared" si="206"/>
        <v>203508.50316899142</v>
      </c>
      <c r="N2265" s="630">
        <f t="shared" si="206"/>
        <v>211648.84329575108</v>
      </c>
      <c r="O2265" s="630">
        <f t="shared" si="206"/>
        <v>220114.79702758114</v>
      </c>
      <c r="P2265" s="630">
        <f t="shared" si="206"/>
        <v>228919.3889086844</v>
      </c>
      <c r="Q2265" s="630">
        <f t="shared" si="206"/>
        <v>238076.16446503179</v>
      </c>
      <c r="R2265" s="630">
        <f t="shared" si="206"/>
        <v>247599.21104363308</v>
      </c>
      <c r="T2265" s="595" t="s">
        <v>7761</v>
      </c>
    </row>
    <row r="2266" spans="2:20" ht="15.75">
      <c r="B2266" s="53" t="s">
        <v>78</v>
      </c>
      <c r="C2266" s="56"/>
      <c r="D2266" s="56">
        <f>D2265/C2265-1</f>
        <v>0.14813084112149544</v>
      </c>
      <c r="E2266" s="56">
        <f>E2265/D2265-1</f>
        <v>0.21581196581196571</v>
      </c>
      <c r="F2266" s="56">
        <f>F2265/E2265-1</f>
        <v>0.11256172064607917</v>
      </c>
      <c r="G2266" s="56">
        <f>G2265/F2265-1</f>
        <v>5.8314755802344465E-2</v>
      </c>
      <c r="H2266" s="784">
        <v>0.01</v>
      </c>
      <c r="I2266" s="784">
        <v>0.05</v>
      </c>
      <c r="J2266" s="54">
        <f>J2265/I2265-1</f>
        <v>0.1198445826827208</v>
      </c>
      <c r="K2266" s="54">
        <f>K2265/J2265-1</f>
        <v>6.4369262489036405E-2</v>
      </c>
      <c r="L2266" s="784">
        <v>0.01</v>
      </c>
      <c r="M2266" s="784">
        <v>0.03</v>
      </c>
      <c r="N2266" s="784">
        <v>0.04</v>
      </c>
      <c r="O2266" s="784">
        <v>0.04</v>
      </c>
      <c r="P2266" s="784">
        <v>0.04</v>
      </c>
      <c r="Q2266" s="784">
        <v>0.04</v>
      </c>
      <c r="R2266" s="784">
        <v>0.04</v>
      </c>
    </row>
    <row r="2267" spans="2:20" ht="15.75">
      <c r="B2267" s="53" t="s">
        <v>8</v>
      </c>
      <c r="C2267" s="630">
        <f>C2280*C2275</f>
        <v>5885</v>
      </c>
      <c r="D2267" s="630">
        <f>D2280*D2275</f>
        <v>14196</v>
      </c>
      <c r="E2267" s="630">
        <f>E2280*E2275</f>
        <v>25605</v>
      </c>
      <c r="F2267" s="630">
        <f>F2280*F2275</f>
        <v>34680</v>
      </c>
      <c r="G2267" s="630">
        <f>G2280*G2275</f>
        <v>39729.729729729726</v>
      </c>
      <c r="H2267" s="630">
        <f t="shared" ref="H2267:M2267" si="207">H2268*H2265</f>
        <v>42203.488320000011</v>
      </c>
      <c r="I2267" s="630">
        <f t="shared" si="207"/>
        <v>41031.169200000011</v>
      </c>
      <c r="J2267" s="630">
        <f>J2280*J2275</f>
        <v>50529.190871651685</v>
      </c>
      <c r="K2267" s="630">
        <f>K2280*K2275</f>
        <v>69465.109123903254</v>
      </c>
      <c r="L2267" s="630">
        <f t="shared" si="207"/>
        <v>71129.185573628056</v>
      </c>
      <c r="M2267" s="630">
        <f t="shared" si="207"/>
        <v>75298.146172526816</v>
      </c>
      <c r="N2267" s="630">
        <f>N2268*N2265</f>
        <v>80426.560452385413</v>
      </c>
      <c r="O2267" s="630">
        <f>O2268*O2265</f>
        <v>83643.622870480831</v>
      </c>
      <c r="P2267" s="630">
        <f>P2268*P2265</f>
        <v>86989.36778530007</v>
      </c>
      <c r="Q2267" s="630">
        <f>Q2268*Q2265</f>
        <v>90468.942496712087</v>
      </c>
      <c r="R2267" s="630">
        <f>R2268*R2265</f>
        <v>94087.700196580568</v>
      </c>
    </row>
    <row r="2268" spans="2:20" ht="15.75">
      <c r="B2268" s="53" t="s">
        <v>251</v>
      </c>
      <c r="C2268" s="54">
        <f>C2267/C2265</f>
        <v>6.25E-2</v>
      </c>
      <c r="D2268" s="54">
        <f>D2267/D2265</f>
        <v>0.13131313131313133</v>
      </c>
      <c r="E2268" s="54">
        <f>E2267/E2265</f>
        <v>0.19480519480519481</v>
      </c>
      <c r="F2268" s="54">
        <f>F2267/F2265</f>
        <v>0.23715415019762845</v>
      </c>
      <c r="G2268" s="54">
        <f>G2267/G2265</f>
        <v>0.25671568224759705</v>
      </c>
      <c r="H2268" s="784">
        <v>0.27</v>
      </c>
      <c r="I2268" s="784">
        <v>0.25</v>
      </c>
      <c r="J2268" s="54">
        <f>J2267/J2265</f>
        <v>0.27492276721206016</v>
      </c>
      <c r="K2268" s="54">
        <f>K2267/K2265</f>
        <v>0.35509353121028464</v>
      </c>
      <c r="L2268" s="784">
        <v>0.36</v>
      </c>
      <c r="M2268" s="784">
        <v>0.37</v>
      </c>
      <c r="N2268" s="784">
        <v>0.38</v>
      </c>
      <c r="O2268" s="784">
        <v>0.38</v>
      </c>
      <c r="P2268" s="784">
        <v>0.38</v>
      </c>
      <c r="Q2268" s="784">
        <v>0.38</v>
      </c>
      <c r="R2268" s="784">
        <v>0.38</v>
      </c>
    </row>
    <row r="2269" spans="2:20" ht="15.75">
      <c r="B2269" s="53" t="s">
        <v>19</v>
      </c>
      <c r="C2269" s="630">
        <f>C2282*C2275</f>
        <v>11359.418604651162</v>
      </c>
      <c r="D2269" s="630">
        <f>D2282*D2275</f>
        <v>13042.098837209303</v>
      </c>
      <c r="E2269" s="630">
        <f>E2282*E2275</f>
        <v>15856.739825581397</v>
      </c>
      <c r="F2269" s="630">
        <f>F2282*F2275</f>
        <v>16294.056417489421</v>
      </c>
      <c r="G2269" s="630">
        <f>G2282*G2275</f>
        <v>18073.944000000003</v>
      </c>
      <c r="H2269" s="630">
        <f t="shared" ref="H2269:R2269" si="208">H2270*H2265</f>
        <v>20320.198080000006</v>
      </c>
      <c r="I2269" s="630">
        <f t="shared" si="208"/>
        <v>19694.961216000003</v>
      </c>
      <c r="J2269" s="630">
        <f>J2282*J2275</f>
        <v>21015.836341796821</v>
      </c>
      <c r="K2269" s="630">
        <f>K2282*K2275</f>
        <v>20319.104561951626</v>
      </c>
      <c r="L2269" s="630">
        <f t="shared" si="208"/>
        <v>23709.728524542687</v>
      </c>
      <c r="M2269" s="630">
        <f t="shared" si="208"/>
        <v>24421.020380278969</v>
      </c>
      <c r="N2269" s="630">
        <f t="shared" si="208"/>
        <v>25397.861195490128</v>
      </c>
      <c r="O2269" s="630">
        <f t="shared" si="208"/>
        <v>26413.775643309735</v>
      </c>
      <c r="P2269" s="630">
        <f t="shared" si="208"/>
        <v>27470.326669042126</v>
      </c>
      <c r="Q2269" s="630">
        <f t="shared" si="208"/>
        <v>28569.139735803812</v>
      </c>
      <c r="R2269" s="630">
        <f t="shared" si="208"/>
        <v>29711.90532523597</v>
      </c>
    </row>
    <row r="2270" spans="2:20" ht="15.75">
      <c r="B2270" s="53" t="s">
        <v>4390</v>
      </c>
      <c r="C2270" s="54">
        <f>C2269/C2265</f>
        <v>0.12063953488372092</v>
      </c>
      <c r="D2270" s="54">
        <f>D2269/D2265</f>
        <v>0.12063953488372094</v>
      </c>
      <c r="E2270" s="54">
        <f>E2269/E2265</f>
        <v>0.12063953488372094</v>
      </c>
      <c r="F2270" s="54">
        <f>F2269/F2265</f>
        <v>0.11142454160789844</v>
      </c>
      <c r="G2270" s="54">
        <f>G2269/G2265</f>
        <v>0.11678571428571428</v>
      </c>
      <c r="H2270" s="784">
        <v>0.13</v>
      </c>
      <c r="I2270" s="784">
        <v>0.12</v>
      </c>
      <c r="J2270" s="784">
        <v>0.12</v>
      </c>
      <c r="K2270" s="784">
        <v>0.12</v>
      </c>
      <c r="L2270" s="784">
        <v>0.12</v>
      </c>
      <c r="M2270" s="784">
        <v>0.12</v>
      </c>
      <c r="N2270" s="784">
        <v>0.12</v>
      </c>
      <c r="O2270" s="784">
        <v>0.12</v>
      </c>
      <c r="P2270" s="784">
        <v>0.12</v>
      </c>
      <c r="Q2270" s="784">
        <v>0.12</v>
      </c>
      <c r="R2270" s="784">
        <v>0.12</v>
      </c>
    </row>
    <row r="2271" spans="2:20" ht="15.75">
      <c r="B2271" s="53" t="s">
        <v>27</v>
      </c>
      <c r="C2271" s="630">
        <f>C2267-C2269</f>
        <v>-5474.4186046511622</v>
      </c>
      <c r="D2271" s="630">
        <f>D2267-D2269</f>
        <v>1153.9011627906966</v>
      </c>
      <c r="E2271" s="630">
        <f>E2267-E2269</f>
        <v>9748.2601744186031</v>
      </c>
      <c r="F2271" s="630">
        <f t="shared" ref="F2271:M2271" si="209">F2267-F2269</f>
        <v>18385.943582510579</v>
      </c>
      <c r="G2271" s="630">
        <f t="shared" si="209"/>
        <v>21655.785729729723</v>
      </c>
      <c r="H2271" s="630">
        <f t="shared" si="209"/>
        <v>21883.290240000006</v>
      </c>
      <c r="I2271" s="630">
        <f t="shared" si="209"/>
        <v>21336.207984000008</v>
      </c>
      <c r="J2271" s="630">
        <f t="shared" si="209"/>
        <v>29513.354529854863</v>
      </c>
      <c r="K2271" s="630">
        <f t="shared" si="209"/>
        <v>49146.004561951631</v>
      </c>
      <c r="L2271" s="630">
        <f t="shared" si="209"/>
        <v>47419.457049085366</v>
      </c>
      <c r="M2271" s="630">
        <f t="shared" si="209"/>
        <v>50877.125792247847</v>
      </c>
      <c r="N2271" s="630">
        <f>N2267-N2269</f>
        <v>55028.699256895285</v>
      </c>
      <c r="O2271" s="630">
        <f>O2267-O2269</f>
        <v>57229.847227171093</v>
      </c>
      <c r="P2271" s="630">
        <f>P2267-P2269</f>
        <v>59519.04111625794</v>
      </c>
      <c r="Q2271" s="630">
        <f>Q2267-Q2269</f>
        <v>61899.802760908278</v>
      </c>
      <c r="R2271" s="630">
        <f>R2267-R2269</f>
        <v>64375.794871344595</v>
      </c>
    </row>
    <row r="2272" spans="2:20" ht="15.75">
      <c r="B2272" s="53" t="s">
        <v>4395</v>
      </c>
      <c r="C2272" s="54">
        <f>C2271/C2265</f>
        <v>-5.8139534883720922E-2</v>
      </c>
      <c r="D2272" s="54">
        <f>D2271/D2265</f>
        <v>1.0673596429410372E-2</v>
      </c>
      <c r="E2272" s="54">
        <f>E2271/E2265</f>
        <v>7.4165659921473864E-2</v>
      </c>
      <c r="F2272" s="54">
        <f>F2271/F2265</f>
        <v>0.12572960858973001</v>
      </c>
      <c r="G2272" s="54">
        <f t="shared" ref="G2272:M2272" si="210">G2271/G2265</f>
        <v>0.13992996796188278</v>
      </c>
      <c r="H2272" s="54">
        <f t="shared" si="210"/>
        <v>0.13999999999999999</v>
      </c>
      <c r="I2272" s="54">
        <f t="shared" si="210"/>
        <v>0.13</v>
      </c>
      <c r="J2272" s="54">
        <f t="shared" si="210"/>
        <v>0.16057833021051629</v>
      </c>
      <c r="K2272" s="54">
        <f t="shared" si="210"/>
        <v>0.25122580997681104</v>
      </c>
      <c r="L2272" s="54">
        <f t="shared" si="210"/>
        <v>0.23999999999999996</v>
      </c>
      <c r="M2272" s="54">
        <f t="shared" si="210"/>
        <v>0.24999999999999997</v>
      </c>
      <c r="N2272" s="54">
        <f>N2271/N2265</f>
        <v>0.26</v>
      </c>
      <c r="O2272" s="54">
        <f>O2271/O2265</f>
        <v>0.26</v>
      </c>
      <c r="P2272" s="54">
        <f>P2271/P2265</f>
        <v>0.26</v>
      </c>
      <c r="Q2272" s="54">
        <f>Q2271/Q2265</f>
        <v>0.26000000000000006</v>
      </c>
      <c r="R2272" s="54">
        <f>R2271/R2265</f>
        <v>0.25999999999999995</v>
      </c>
    </row>
    <row r="2273" spans="2:22" ht="15.75">
      <c r="B2273" s="53" t="s">
        <v>377</v>
      </c>
      <c r="F2273" s="53"/>
      <c r="G2273" s="53"/>
      <c r="H2273" s="630"/>
      <c r="I2273" s="630">
        <f t="shared" ref="I2273:R2273" si="211">(I2284-I2288)*I2275</f>
        <v>17619.183348480008</v>
      </c>
      <c r="J2273" s="630">
        <f t="shared" si="211"/>
        <v>23597.448861495501</v>
      </c>
      <c r="K2273" s="630">
        <f t="shared" si="211"/>
        <v>37370.076884605165</v>
      </c>
      <c r="L2273" s="630">
        <f t="shared" si="211"/>
        <v>36027.714995341463</v>
      </c>
      <c r="M2273" s="630">
        <f t="shared" si="211"/>
        <v>38554.95060881845</v>
      </c>
      <c r="N2273" s="630">
        <f t="shared" si="211"/>
        <v>39620.663464964608</v>
      </c>
      <c r="O2273" s="630">
        <f t="shared" si="211"/>
        <v>41205.490003563187</v>
      </c>
      <c r="P2273" s="630">
        <f t="shared" si="211"/>
        <v>42853.70960370572</v>
      </c>
      <c r="Q2273" s="630">
        <f t="shared" si="211"/>
        <v>44567.857987853953</v>
      </c>
      <c r="R2273" s="630">
        <f t="shared" si="211"/>
        <v>46350.572307368107</v>
      </c>
    </row>
    <row r="2274" spans="2:22" ht="15.75">
      <c r="B2274" s="53"/>
      <c r="F2274" s="53"/>
      <c r="G2274" s="53"/>
      <c r="H2274" s="53"/>
      <c r="I2274" s="53"/>
      <c r="J2274" s="53"/>
      <c r="K2274" s="53"/>
      <c r="L2274" s="53"/>
      <c r="M2274" s="53"/>
      <c r="N2274" s="53"/>
      <c r="O2274" s="53"/>
      <c r="P2274" s="53"/>
      <c r="Q2274" s="53"/>
      <c r="R2274" s="53"/>
      <c r="V2274" s="5">
        <f>(G2265/C2265)^(1/4)-1</f>
        <v>0.13226788731325034</v>
      </c>
    </row>
    <row r="2275" spans="2:22" ht="15.75">
      <c r="B2275" s="53" t="s">
        <v>6725</v>
      </c>
      <c r="C2275" s="630">
        <v>535</v>
      </c>
      <c r="D2275" s="630">
        <v>546</v>
      </c>
      <c r="E2275" s="630">
        <f>'Costa Rica'!C29</f>
        <v>569</v>
      </c>
      <c r="F2275" s="630">
        <f>'Costa Rica'!D29</f>
        <v>578</v>
      </c>
      <c r="G2275" s="630">
        <f>'Costa Rica'!E29</f>
        <v>588</v>
      </c>
      <c r="H2275" s="630">
        <f>'Costa Rica'!F29</f>
        <v>585</v>
      </c>
      <c r="I2275" s="630">
        <f>'Costa Rica'!G29</f>
        <v>622</v>
      </c>
      <c r="J2275" s="630">
        <f>'Costa Rica'!H29</f>
        <v>647</v>
      </c>
      <c r="K2275" s="630">
        <f>'Costa Rica'!I29</f>
        <v>547</v>
      </c>
      <c r="L2275" s="630">
        <f>'Costa Rica'!J29</f>
        <v>519.65</v>
      </c>
      <c r="M2275" s="630">
        <f>'Costa Rica'!K29</f>
        <v>530.04300000000001</v>
      </c>
      <c r="N2275" s="630">
        <f>'Costa Rica'!L29</f>
        <v>540.64386000000002</v>
      </c>
      <c r="O2275" s="630">
        <f>'Costa Rica'!M29</f>
        <v>551.45673720000002</v>
      </c>
      <c r="P2275" s="630">
        <f>'Costa Rica'!N29</f>
        <v>562.485871944</v>
      </c>
      <c r="Q2275" s="630">
        <f>'Costa Rica'!O29</f>
        <v>573.73558938287999</v>
      </c>
      <c r="R2275" s="630">
        <f>'Costa Rica'!P29</f>
        <v>585.2103011705376</v>
      </c>
      <c r="V2275" s="5">
        <f>(G2267/C2267)^(1/4)-1</f>
        <v>0.61191555359365069</v>
      </c>
    </row>
    <row r="2276" spans="2:22" ht="15.75">
      <c r="B2276" s="53"/>
    </row>
    <row r="2277" spans="2:22" ht="15.75">
      <c r="B2277" s="636" t="s">
        <v>3871</v>
      </c>
      <c r="C2277" s="636">
        <f>D2277-1</f>
        <v>2015</v>
      </c>
      <c r="D2277" s="636">
        <f>E2277-1</f>
        <v>2016</v>
      </c>
      <c r="E2277" s="636">
        <v>2017</v>
      </c>
      <c r="F2277" s="636">
        <v>2018</v>
      </c>
      <c r="G2277" s="636">
        <v>2019</v>
      </c>
      <c r="H2277" s="636">
        <f t="shared" ref="H2277:R2277" si="212">G2277+1</f>
        <v>2020</v>
      </c>
      <c r="I2277" s="636">
        <f t="shared" si="212"/>
        <v>2021</v>
      </c>
      <c r="J2277" s="636">
        <f t="shared" si="212"/>
        <v>2022</v>
      </c>
      <c r="K2277" s="636">
        <f t="shared" si="212"/>
        <v>2023</v>
      </c>
      <c r="L2277" s="636">
        <f t="shared" si="212"/>
        <v>2024</v>
      </c>
      <c r="M2277" s="636">
        <f t="shared" si="212"/>
        <v>2025</v>
      </c>
      <c r="N2277" s="636">
        <f t="shared" si="212"/>
        <v>2026</v>
      </c>
      <c r="O2277" s="636">
        <f t="shared" si="212"/>
        <v>2027</v>
      </c>
      <c r="P2277" s="636">
        <f t="shared" si="212"/>
        <v>2028</v>
      </c>
      <c r="Q2277" s="636">
        <f t="shared" si="212"/>
        <v>2029</v>
      </c>
      <c r="R2277" s="636">
        <f t="shared" si="212"/>
        <v>2030</v>
      </c>
    </row>
    <row r="2278" spans="2:22" ht="15.75">
      <c r="B2278" s="53" t="s">
        <v>15</v>
      </c>
      <c r="C2278" s="764">
        <v>176</v>
      </c>
      <c r="D2278" s="764">
        <v>198</v>
      </c>
      <c r="E2278" s="764">
        <v>231</v>
      </c>
      <c r="F2278" s="764">
        <v>253</v>
      </c>
      <c r="G2278" s="764">
        <f>235*1.12</f>
        <v>263.20000000000005</v>
      </c>
      <c r="H2278" s="630">
        <f t="shared" ref="H2278:R2278" si="213">H2265/H2275</f>
        <v>267.19524102564111</v>
      </c>
      <c r="I2278" s="630">
        <f t="shared" si="213"/>
        <v>263.86603987138272</v>
      </c>
      <c r="J2278" s="764">
        <f>441.3-'Costa Rica'!H57</f>
        <v>284.07129860746909</v>
      </c>
      <c r="K2278" s="764">
        <f>547.9-'Costa Rica'!I57</f>
        <v>357.63221720248288</v>
      </c>
      <c r="L2278" s="630">
        <f t="shared" si="213"/>
        <v>380.2195151310608</v>
      </c>
      <c r="M2278" s="630">
        <f t="shared" si="213"/>
        <v>383.94715743626728</v>
      </c>
      <c r="N2278" s="630">
        <f t="shared" si="213"/>
        <v>391.47553307227253</v>
      </c>
      <c r="O2278" s="630">
        <f t="shared" si="213"/>
        <v>399.15152391682693</v>
      </c>
      <c r="P2278" s="630">
        <f t="shared" si="213"/>
        <v>406.97802438578435</v>
      </c>
      <c r="Q2278" s="630">
        <f t="shared" si="213"/>
        <v>414.95798564825071</v>
      </c>
      <c r="R2278" s="630">
        <f t="shared" si="213"/>
        <v>423.09441673939295</v>
      </c>
    </row>
    <row r="2279" spans="2:22" ht="15.75">
      <c r="B2279" s="53" t="s">
        <v>78</v>
      </c>
      <c r="D2279" s="54">
        <f t="shared" ref="D2279:R2279" si="214">D2278/C2278-1</f>
        <v>0.125</v>
      </c>
      <c r="E2279" s="54">
        <f t="shared" si="214"/>
        <v>0.16666666666666674</v>
      </c>
      <c r="F2279" s="54">
        <f t="shared" si="214"/>
        <v>9.5238095238095344E-2</v>
      </c>
      <c r="G2279" s="54">
        <f t="shared" si="214"/>
        <v>4.0316205533597049E-2</v>
      </c>
      <c r="H2279" s="54">
        <f t="shared" si="214"/>
        <v>1.517948717948725E-2</v>
      </c>
      <c r="I2279" s="54">
        <f t="shared" si="214"/>
        <v>-1.2459807073954998E-2</v>
      </c>
      <c r="J2279" s="54">
        <f t="shared" si="214"/>
        <v>7.6573926473960441E-2</v>
      </c>
      <c r="K2279" s="54">
        <f t="shared" si="214"/>
        <v>0.25895230864790952</v>
      </c>
      <c r="L2279" s="54">
        <f t="shared" si="214"/>
        <v>6.3157894736842302E-2</v>
      </c>
      <c r="M2279" s="54">
        <f t="shared" si="214"/>
        <v>9.8039215686274161E-3</v>
      </c>
      <c r="N2279" s="54">
        <f t="shared" si="214"/>
        <v>1.9607843137254832E-2</v>
      </c>
      <c r="O2279" s="54">
        <f t="shared" si="214"/>
        <v>1.9607843137255054E-2</v>
      </c>
      <c r="P2279" s="54">
        <f t="shared" si="214"/>
        <v>1.9607843137255054E-2</v>
      </c>
      <c r="Q2279" s="54">
        <f t="shared" si="214"/>
        <v>1.9607843137254832E-2</v>
      </c>
      <c r="R2279" s="54">
        <f t="shared" si="214"/>
        <v>1.9607843137255054E-2</v>
      </c>
    </row>
    <row r="2280" spans="2:22" ht="15.75">
      <c r="B2280" s="53" t="s">
        <v>8</v>
      </c>
      <c r="C2280" s="764">
        <v>11</v>
      </c>
      <c r="D2280" s="764">
        <v>26</v>
      </c>
      <c r="E2280" s="764">
        <v>45</v>
      </c>
      <c r="F2280" s="764">
        <v>60</v>
      </c>
      <c r="G2280" s="764">
        <f>C2299/C2300</f>
        <v>67.567567567567565</v>
      </c>
      <c r="H2280" s="630">
        <f t="shared" ref="H2280:R2280" si="215">H2267/H2275</f>
        <v>72.142715076923096</v>
      </c>
      <c r="I2280" s="630">
        <f t="shared" si="215"/>
        <v>65.966509967845681</v>
      </c>
      <c r="J2280" s="764">
        <f>134.7-'Costa Rica'!H59</f>
        <v>78.09766749868885</v>
      </c>
      <c r="K2280" s="764">
        <f>203.1-'Costa Rica'!I59</f>
        <v>126.99288688099314</v>
      </c>
      <c r="L2280" s="630">
        <f t="shared" si="215"/>
        <v>136.87902544718187</v>
      </c>
      <c r="M2280" s="630">
        <f t="shared" si="215"/>
        <v>142.06044825141888</v>
      </c>
      <c r="N2280" s="630">
        <f t="shared" si="215"/>
        <v>148.76070256746357</v>
      </c>
      <c r="O2280" s="630">
        <f t="shared" si="215"/>
        <v>151.67757908839422</v>
      </c>
      <c r="P2280" s="630">
        <f t="shared" si="215"/>
        <v>154.65164926659804</v>
      </c>
      <c r="Q2280" s="630">
        <f t="shared" si="215"/>
        <v>157.68403454633528</v>
      </c>
      <c r="R2280" s="630">
        <f t="shared" si="215"/>
        <v>160.7758783609693</v>
      </c>
    </row>
    <row r="2281" spans="2:22" ht="15.75">
      <c r="B2281" s="53" t="s">
        <v>251</v>
      </c>
      <c r="C2281" s="54">
        <f t="shared" ref="C2281:H2281" si="216">C2280/C2278</f>
        <v>6.25E-2</v>
      </c>
      <c r="D2281" s="54">
        <f t="shared" si="216"/>
        <v>0.13131313131313133</v>
      </c>
      <c r="E2281" s="54">
        <f t="shared" si="216"/>
        <v>0.19480519480519481</v>
      </c>
      <c r="F2281" s="54">
        <f t="shared" si="216"/>
        <v>0.23715415019762845</v>
      </c>
      <c r="G2281" s="54">
        <f t="shared" si="216"/>
        <v>0.25671568224759711</v>
      </c>
      <c r="H2281" s="54">
        <f t="shared" si="216"/>
        <v>0.26999999999999996</v>
      </c>
      <c r="I2281" s="54">
        <f t="shared" ref="I2281:R2281" si="217">I2280/I2278</f>
        <v>0.25</v>
      </c>
      <c r="J2281" s="54">
        <f t="shared" si="217"/>
        <v>0.27492276721206016</v>
      </c>
      <c r="K2281" s="54">
        <f t="shared" si="217"/>
        <v>0.35509353121028464</v>
      </c>
      <c r="L2281" s="54">
        <f t="shared" si="217"/>
        <v>0.36</v>
      </c>
      <c r="M2281" s="54">
        <f t="shared" si="217"/>
        <v>0.36999999999999994</v>
      </c>
      <c r="N2281" s="54">
        <f t="shared" si="217"/>
        <v>0.38</v>
      </c>
      <c r="O2281" s="54">
        <f t="shared" si="217"/>
        <v>0.38</v>
      </c>
      <c r="P2281" s="54">
        <f t="shared" si="217"/>
        <v>0.37999999999999995</v>
      </c>
      <c r="Q2281" s="54">
        <f t="shared" si="217"/>
        <v>0.38</v>
      </c>
      <c r="R2281" s="54">
        <f t="shared" si="217"/>
        <v>0.37999999999999995</v>
      </c>
    </row>
    <row r="2282" spans="2:22" ht="15.75">
      <c r="B2282" s="53" t="s">
        <v>19</v>
      </c>
      <c r="C2282" s="630">
        <f>C2283*C2278</f>
        <v>21.232558139534884</v>
      </c>
      <c r="D2282" s="630">
        <f>D2283*D2278</f>
        <v>23.886627906976745</v>
      </c>
      <c r="E2282" s="764">
        <v>27.867732558139537</v>
      </c>
      <c r="F2282" s="764">
        <v>28.190409026798307</v>
      </c>
      <c r="G2282" s="764">
        <v>30.738000000000003</v>
      </c>
      <c r="H2282" s="630">
        <f t="shared" ref="H2282:R2282" si="218">H2269/H2275</f>
        <v>34.735381333333343</v>
      </c>
      <c r="I2282" s="630">
        <f t="shared" si="218"/>
        <v>31.663924784565921</v>
      </c>
      <c r="J2282" s="764">
        <f>65.5-'Costa Rica'!H60</f>
        <v>32.481972707568502</v>
      </c>
      <c r="K2282" s="764">
        <f>75.2-'Costa Rica'!I60</f>
        <v>37.146443440496576</v>
      </c>
      <c r="L2282" s="630">
        <f t="shared" si="218"/>
        <v>45.626341815727294</v>
      </c>
      <c r="M2282" s="630">
        <f t="shared" si="218"/>
        <v>46.073658892352071</v>
      </c>
      <c r="N2282" s="630">
        <f t="shared" si="218"/>
        <v>46.977063968672702</v>
      </c>
      <c r="O2282" s="630">
        <f t="shared" si="218"/>
        <v>47.898182870019227</v>
      </c>
      <c r="P2282" s="630">
        <f t="shared" si="218"/>
        <v>48.837362926294119</v>
      </c>
      <c r="Q2282" s="630">
        <f t="shared" si="218"/>
        <v>49.79495827779008</v>
      </c>
      <c r="R2282" s="630">
        <f t="shared" si="218"/>
        <v>50.771330008727155</v>
      </c>
    </row>
    <row r="2283" spans="2:22" ht="15.75">
      <c r="B2283" s="53" t="s">
        <v>4390</v>
      </c>
      <c r="C2283" s="5">
        <f>D2283</f>
        <v>0.12063953488372094</v>
      </c>
      <c r="D2283" s="5">
        <f>E2283</f>
        <v>0.12063953488372094</v>
      </c>
      <c r="E2283" s="54">
        <f>E2282/E2278</f>
        <v>0.12063953488372094</v>
      </c>
      <c r="F2283" s="54">
        <f t="shared" ref="F2283:M2283" si="219">F2282/F2278</f>
        <v>0.11142454160789844</v>
      </c>
      <c r="G2283" s="54">
        <f t="shared" si="219"/>
        <v>0.11678571428571427</v>
      </c>
      <c r="H2283" s="54">
        <f t="shared" si="219"/>
        <v>0.13</v>
      </c>
      <c r="I2283" s="54">
        <f t="shared" si="219"/>
        <v>0.11999999999999998</v>
      </c>
      <c r="J2283" s="54">
        <f t="shared" si="219"/>
        <v>0.11434443700154386</v>
      </c>
      <c r="K2283" s="54">
        <f t="shared" si="219"/>
        <v>0.10386772123347361</v>
      </c>
      <c r="L2283" s="54">
        <f t="shared" si="219"/>
        <v>0.12</v>
      </c>
      <c r="M2283" s="54">
        <f t="shared" si="219"/>
        <v>0.12</v>
      </c>
      <c r="N2283" s="54">
        <f>N2282/N2278</f>
        <v>0.12</v>
      </c>
      <c r="O2283" s="54">
        <f>O2282/O2278</f>
        <v>0.11999999999999998</v>
      </c>
      <c r="P2283" s="54">
        <f>P2282/P2278</f>
        <v>0.12</v>
      </c>
      <c r="Q2283" s="54">
        <f>Q2282/Q2278</f>
        <v>0.11999999999999998</v>
      </c>
      <c r="R2283" s="54">
        <f>R2282/R2278</f>
        <v>0.12</v>
      </c>
    </row>
    <row r="2284" spans="2:22" ht="15.75">
      <c r="B2284" s="53" t="s">
        <v>27</v>
      </c>
      <c r="C2284" s="630">
        <f t="shared" ref="C2284:R2284" si="220">C2280-C2282</f>
        <v>-10.232558139534884</v>
      </c>
      <c r="D2284" s="630">
        <f t="shared" si="220"/>
        <v>2.1133720930232549</v>
      </c>
      <c r="E2284" s="630">
        <f t="shared" si="220"/>
        <v>17.132267441860463</v>
      </c>
      <c r="F2284" s="630">
        <f t="shared" si="220"/>
        <v>31.809590973201693</v>
      </c>
      <c r="G2284" s="630">
        <f t="shared" si="220"/>
        <v>36.829567567567565</v>
      </c>
      <c r="H2284" s="630">
        <f t="shared" si="220"/>
        <v>37.407333743589753</v>
      </c>
      <c r="I2284" s="630">
        <f t="shared" si="220"/>
        <v>34.30258518327976</v>
      </c>
      <c r="J2284" s="630">
        <f t="shared" si="220"/>
        <v>45.615694791120347</v>
      </c>
      <c r="K2284" s="630">
        <f t="shared" si="220"/>
        <v>89.846443440496557</v>
      </c>
      <c r="L2284" s="630">
        <f t="shared" si="220"/>
        <v>91.252683631454573</v>
      </c>
      <c r="M2284" s="630">
        <f t="shared" si="220"/>
        <v>95.986789359066805</v>
      </c>
      <c r="N2284" s="630">
        <f t="shared" si="220"/>
        <v>101.78363859879087</v>
      </c>
      <c r="O2284" s="630">
        <f t="shared" si="220"/>
        <v>103.779396218375</v>
      </c>
      <c r="P2284" s="630">
        <f t="shared" si="220"/>
        <v>105.81428634030392</v>
      </c>
      <c r="Q2284" s="630">
        <f t="shared" si="220"/>
        <v>107.88907626854521</v>
      </c>
      <c r="R2284" s="630">
        <f t="shared" si="220"/>
        <v>110.00454835224215</v>
      </c>
    </row>
    <row r="2285" spans="2:22" ht="15.75">
      <c r="B2285" s="53" t="s">
        <v>4395</v>
      </c>
      <c r="C2285" s="54">
        <f t="shared" ref="C2285:R2285" si="221">C2284/C2278</f>
        <v>-5.8139534883720929E-2</v>
      </c>
      <c r="D2285" s="54">
        <f t="shared" si="221"/>
        <v>1.0673596429410378E-2</v>
      </c>
      <c r="E2285" s="54">
        <f t="shared" si="221"/>
        <v>7.4165659921473864E-2</v>
      </c>
      <c r="F2285" s="54">
        <f t="shared" si="221"/>
        <v>0.12572960858973001</v>
      </c>
      <c r="G2285" s="54">
        <f t="shared" si="221"/>
        <v>0.13992996796188281</v>
      </c>
      <c r="H2285" s="54">
        <f t="shared" si="221"/>
        <v>0.13999999999999999</v>
      </c>
      <c r="I2285" s="54">
        <f t="shared" si="221"/>
        <v>0.13000000000000003</v>
      </c>
      <c r="J2285" s="54">
        <f t="shared" si="221"/>
        <v>0.16057833021051629</v>
      </c>
      <c r="K2285" s="54">
        <f t="shared" si="221"/>
        <v>0.25122580997681099</v>
      </c>
      <c r="L2285" s="54">
        <f t="shared" si="221"/>
        <v>0.23999999999999994</v>
      </c>
      <c r="M2285" s="54">
        <f t="shared" si="221"/>
        <v>0.24999999999999997</v>
      </c>
      <c r="N2285" s="54">
        <f t="shared" si="221"/>
        <v>0.26000000000000006</v>
      </c>
      <c r="O2285" s="54">
        <f t="shared" si="221"/>
        <v>0.26</v>
      </c>
      <c r="P2285" s="54">
        <f t="shared" si="221"/>
        <v>0.25999999999999995</v>
      </c>
      <c r="Q2285" s="54">
        <f t="shared" si="221"/>
        <v>0.26000000000000006</v>
      </c>
      <c r="R2285" s="54">
        <f t="shared" si="221"/>
        <v>0.25999999999999995</v>
      </c>
    </row>
    <row r="2286" spans="2:22" ht="15.75">
      <c r="B2286" s="53" t="s">
        <v>929</v>
      </c>
      <c r="E2286" s="54"/>
      <c r="F2286" s="54"/>
      <c r="G2286" s="54"/>
      <c r="H2286" s="630"/>
      <c r="I2286" s="630">
        <f t="shared" ref="I2286:R2286" si="222">G2312</f>
        <v>12.959999999999999</v>
      </c>
      <c r="J2286" s="630">
        <f t="shared" si="222"/>
        <v>12.959999999999999</v>
      </c>
      <c r="K2286" s="630">
        <f t="shared" si="222"/>
        <v>12.959999999999999</v>
      </c>
      <c r="L2286" s="630">
        <f t="shared" si="222"/>
        <v>12.959999999999999</v>
      </c>
      <c r="M2286" s="630">
        <f t="shared" si="222"/>
        <v>12.959999999999999</v>
      </c>
      <c r="N2286" s="630">
        <f t="shared" si="222"/>
        <v>0</v>
      </c>
      <c r="O2286" s="630">
        <f t="shared" si="222"/>
        <v>0</v>
      </c>
      <c r="P2286" s="630">
        <f t="shared" si="222"/>
        <v>0</v>
      </c>
      <c r="Q2286" s="630">
        <f t="shared" si="222"/>
        <v>0</v>
      </c>
      <c r="R2286" s="630">
        <f t="shared" si="222"/>
        <v>0</v>
      </c>
    </row>
    <row r="2287" spans="2:22" ht="15.75">
      <c r="B2287" s="53" t="s">
        <v>66</v>
      </c>
      <c r="E2287" s="54"/>
      <c r="F2287" s="54"/>
      <c r="G2287" s="54"/>
      <c r="H2287" s="630"/>
      <c r="I2287" s="630">
        <f t="shared" ref="I2287:R2287" si="223">I2284-I2286</f>
        <v>21.342585183279759</v>
      </c>
      <c r="J2287" s="630">
        <f t="shared" si="223"/>
        <v>32.655694791120347</v>
      </c>
      <c r="K2287" s="630">
        <f t="shared" si="223"/>
        <v>76.886443440496564</v>
      </c>
      <c r="L2287" s="630">
        <f t="shared" si="223"/>
        <v>78.29268363145458</v>
      </c>
      <c r="M2287" s="630">
        <f t="shared" si="223"/>
        <v>83.026789359066811</v>
      </c>
      <c r="N2287" s="630">
        <f t="shared" si="223"/>
        <v>101.78363859879087</v>
      </c>
      <c r="O2287" s="630">
        <f t="shared" si="223"/>
        <v>103.779396218375</v>
      </c>
      <c r="P2287" s="630">
        <f t="shared" si="223"/>
        <v>105.81428634030392</v>
      </c>
      <c r="Q2287" s="630">
        <f t="shared" si="223"/>
        <v>107.88907626854521</v>
      </c>
      <c r="R2287" s="630">
        <f t="shared" si="223"/>
        <v>110.00454835224215</v>
      </c>
    </row>
    <row r="2288" spans="2:22" ht="15.75">
      <c r="B2288" s="53" t="s">
        <v>67</v>
      </c>
      <c r="E2288" s="54"/>
      <c r="F2288" s="54"/>
      <c r="G2288" s="54"/>
      <c r="H2288" s="630"/>
      <c r="I2288" s="630">
        <f t="shared" ref="I2288:R2288" si="224">0.28*I2287</f>
        <v>5.975923851318333</v>
      </c>
      <c r="J2288" s="630">
        <f t="shared" si="224"/>
        <v>9.1435945415136981</v>
      </c>
      <c r="K2288" s="630">
        <f t="shared" si="224"/>
        <v>21.528204163339041</v>
      </c>
      <c r="L2288" s="630">
        <f t="shared" si="224"/>
        <v>21.921951416807286</v>
      </c>
      <c r="M2288" s="630">
        <f t="shared" si="224"/>
        <v>23.24750102053871</v>
      </c>
      <c r="N2288" s="630">
        <f t="shared" si="224"/>
        <v>28.499418807661446</v>
      </c>
      <c r="O2288" s="630">
        <f t="shared" si="224"/>
        <v>29.058230941145002</v>
      </c>
      <c r="P2288" s="630">
        <f t="shared" si="224"/>
        <v>29.628000175285102</v>
      </c>
      <c r="Q2288" s="630">
        <f t="shared" si="224"/>
        <v>30.20894135519266</v>
      </c>
      <c r="R2288" s="630">
        <f t="shared" si="224"/>
        <v>30.801273538627807</v>
      </c>
    </row>
    <row r="2289" spans="1:18" ht="15.75">
      <c r="B2289" s="53" t="s">
        <v>249</v>
      </c>
      <c r="E2289" s="54"/>
      <c r="F2289" s="54"/>
      <c r="G2289" s="54"/>
      <c r="H2289" s="630"/>
      <c r="I2289" s="630">
        <f t="shared" ref="I2289:R2289" si="225">I2287-I2288</f>
        <v>15.366661331961426</v>
      </c>
      <c r="J2289" s="630">
        <f t="shared" si="225"/>
        <v>23.512100249606647</v>
      </c>
      <c r="K2289" s="630">
        <f t="shared" si="225"/>
        <v>55.358239277157523</v>
      </c>
      <c r="L2289" s="630">
        <f t="shared" si="225"/>
        <v>56.37073221464729</v>
      </c>
      <c r="M2289" s="630">
        <f t="shared" si="225"/>
        <v>59.779288338528104</v>
      </c>
      <c r="N2289" s="630">
        <f t="shared" si="225"/>
        <v>73.284219791129431</v>
      </c>
      <c r="O2289" s="630">
        <f t="shared" si="225"/>
        <v>74.72116527723</v>
      </c>
      <c r="P2289" s="630">
        <f t="shared" si="225"/>
        <v>76.186286165018828</v>
      </c>
      <c r="Q2289" s="630">
        <f t="shared" si="225"/>
        <v>77.680134913352546</v>
      </c>
      <c r="R2289" s="630">
        <f t="shared" si="225"/>
        <v>79.203274813614343</v>
      </c>
    </row>
    <row r="2290" spans="1:18" ht="15.75">
      <c r="B2290" s="53"/>
      <c r="C2290" s="53"/>
      <c r="D2290" s="53"/>
      <c r="E2290" s="54"/>
      <c r="F2290" s="53"/>
      <c r="G2290" s="53"/>
      <c r="H2290" s="53"/>
      <c r="I2290" s="53"/>
      <c r="J2290" s="53"/>
    </row>
    <row r="2291" spans="1:18" ht="15.75">
      <c r="B2291" s="53" t="s">
        <v>330</v>
      </c>
      <c r="C2291" s="53"/>
      <c r="D2291" s="53"/>
      <c r="E2291" s="54"/>
      <c r="F2291" s="53"/>
      <c r="G2291" s="53"/>
      <c r="H2291" s="53"/>
      <c r="I2291" s="53"/>
      <c r="J2291" s="53"/>
    </row>
    <row r="2292" spans="1:18" ht="15.75">
      <c r="B2292" s="53" t="s">
        <v>204</v>
      </c>
      <c r="C2292" s="630">
        <f>NPV(8.5%,Analysis!I2273:M2273)</f>
        <v>117178.65829353692</v>
      </c>
      <c r="D2292" s="53"/>
      <c r="E2292" s="54"/>
      <c r="F2292" s="53"/>
      <c r="G2292" s="53"/>
      <c r="H2292" s="53"/>
      <c r="I2292" s="53"/>
      <c r="J2292" s="53"/>
    </row>
    <row r="2293" spans="1:18" ht="15.75">
      <c r="B2293" s="53" t="s">
        <v>389</v>
      </c>
      <c r="C2293" s="630">
        <f>M2273/(8.5%-0%)</f>
        <v>453587.65422139352</v>
      </c>
      <c r="D2293" s="53"/>
      <c r="E2293" s="54"/>
      <c r="F2293" s="53"/>
      <c r="G2293" s="53"/>
      <c r="H2293" s="53"/>
      <c r="I2293" s="53"/>
      <c r="J2293" s="53"/>
    </row>
    <row r="2294" spans="1:18" ht="15.75">
      <c r="B2294" s="53" t="s">
        <v>390</v>
      </c>
      <c r="C2294" s="630">
        <f>C2293/(1+8.5%)^5</f>
        <v>301656.3935000755</v>
      </c>
      <c r="D2294" s="53"/>
      <c r="E2294" s="54"/>
      <c r="F2294" s="53"/>
      <c r="G2294" s="53"/>
      <c r="H2294" s="53"/>
      <c r="I2294" s="53"/>
      <c r="J2294" s="53"/>
    </row>
    <row r="2295" spans="1:18" ht="15.75">
      <c r="B2295" s="53" t="s">
        <v>5076</v>
      </c>
      <c r="C2295" s="630">
        <f>C2292+C2294</f>
        <v>418835.05179361242</v>
      </c>
      <c r="D2295" s="53"/>
      <c r="E2295" s="54"/>
      <c r="F2295" s="53"/>
      <c r="G2295" s="53"/>
      <c r="H2295" s="53"/>
      <c r="I2295" s="53"/>
      <c r="J2295" s="53">
        <v>100</v>
      </c>
      <c r="K2295">
        <f>J2295*1.1</f>
        <v>110.00000000000001</v>
      </c>
    </row>
    <row r="2296" spans="1:18" ht="15.75">
      <c r="B2296" s="53" t="s">
        <v>5077</v>
      </c>
      <c r="C2296" s="630">
        <f>C2295/I2275</f>
        <v>673.3682504720457</v>
      </c>
      <c r="D2296" s="53"/>
      <c r="E2296" s="54"/>
      <c r="F2296" s="53"/>
      <c r="G2296" s="53"/>
      <c r="H2296" s="53"/>
      <c r="I2296" s="53"/>
      <c r="J2296">
        <v>60</v>
      </c>
      <c r="K2296">
        <f>J2296*1.1</f>
        <v>66</v>
      </c>
    </row>
    <row r="2297" spans="1:18" ht="15.75">
      <c r="B2297" s="53"/>
      <c r="C2297" s="53"/>
      <c r="D2297" s="53"/>
      <c r="E2297" s="54"/>
      <c r="F2297" s="53"/>
      <c r="G2297" s="53"/>
      <c r="H2297" s="53"/>
      <c r="I2297" s="53"/>
      <c r="J2297" s="53">
        <f>J2295-J2296</f>
        <v>40</v>
      </c>
      <c r="K2297" s="53">
        <f>K2295-K2296</f>
        <v>44.000000000000014</v>
      </c>
    </row>
    <row r="2298" spans="1:18" ht="15.75">
      <c r="B2298" s="53"/>
      <c r="C2298" s="53"/>
      <c r="D2298" s="53"/>
      <c r="E2298" s="54"/>
      <c r="F2298" s="53"/>
      <c r="G2298" s="53"/>
      <c r="H2298" s="53"/>
      <c r="I2298" s="53"/>
      <c r="J2298" s="53"/>
    </row>
    <row r="2299" spans="1:18" ht="15.75">
      <c r="B2299" s="995" t="s">
        <v>5061</v>
      </c>
      <c r="C2299" s="996">
        <v>500</v>
      </c>
      <c r="D2299" s="53"/>
      <c r="E2299" s="53">
        <v>68</v>
      </c>
      <c r="F2299" s="621">
        <f>C2299/E2299</f>
        <v>7.3529411764705879</v>
      </c>
      <c r="G2299" s="53"/>
      <c r="H2299" s="53"/>
      <c r="I2299" s="53"/>
      <c r="J2299" s="53"/>
    </row>
    <row r="2300" spans="1:18" ht="15.75">
      <c r="B2300" s="967" t="s">
        <v>5062</v>
      </c>
      <c r="C2300" s="997">
        <v>7.4</v>
      </c>
      <c r="D2300" s="53"/>
      <c r="E2300" s="481">
        <f>C2299/F2300</f>
        <v>83.333333333333329</v>
      </c>
      <c r="F2300" s="621">
        <v>6</v>
      </c>
      <c r="G2300" s="53"/>
      <c r="H2300" s="53"/>
      <c r="I2300" s="53"/>
      <c r="J2300" s="53"/>
    </row>
    <row r="2301" spans="1:18" ht="15.75">
      <c r="B2301" s="53" t="s">
        <v>5078</v>
      </c>
      <c r="C2301" s="713">
        <f>(C2299-C2330)/G2280</f>
        <v>4.7965006413408018</v>
      </c>
      <c r="D2301" s="53"/>
      <c r="E2301" s="783">
        <f>E2300-E2299</f>
        <v>15.333333333333329</v>
      </c>
      <c r="F2301" s="53"/>
      <c r="G2301" s="54">
        <f>E2301/G2319</f>
        <v>4.5783086828904772E-2</v>
      </c>
      <c r="H2301" s="53"/>
      <c r="I2301" s="53"/>
      <c r="J2301" s="53"/>
    </row>
    <row r="2302" spans="1:18" ht="15.75">
      <c r="B2302" s="53"/>
      <c r="C2302" s="630"/>
      <c r="D2302" s="53"/>
      <c r="E2302" s="53"/>
      <c r="F2302" s="53"/>
      <c r="G2302" s="53"/>
      <c r="H2302" s="53"/>
      <c r="I2302" s="53"/>
      <c r="J2302" s="53"/>
    </row>
    <row r="2303" spans="1:18" ht="15.75">
      <c r="B2303" s="53" t="s">
        <v>4202</v>
      </c>
      <c r="C2303" s="54">
        <f>C2304/C2299</f>
        <v>0.6</v>
      </c>
      <c r="D2303" s="53"/>
      <c r="E2303" s="53"/>
      <c r="F2303" s="53"/>
      <c r="G2303" s="53"/>
      <c r="H2303" s="53"/>
      <c r="I2303" s="53"/>
      <c r="J2303" s="53"/>
    </row>
    <row r="2304" spans="1:18" ht="15.75">
      <c r="A2304" s="481">
        <f>4*E2280</f>
        <v>180</v>
      </c>
      <c r="B2304" s="53" t="s">
        <v>5063</v>
      </c>
      <c r="C2304" s="749">
        <v>300</v>
      </c>
      <c r="D2304" s="481"/>
      <c r="E2304" s="53"/>
      <c r="F2304" s="53"/>
      <c r="G2304" s="53"/>
      <c r="H2304" s="53"/>
      <c r="I2304" s="53"/>
      <c r="J2304" s="53"/>
    </row>
    <row r="2305" spans="2:11" ht="15.75">
      <c r="B2305" s="53" t="s">
        <v>332</v>
      </c>
      <c r="C2305" s="749">
        <f>C2299-C2304</f>
        <v>200</v>
      </c>
      <c r="D2305" s="53"/>
      <c r="E2305" s="53"/>
      <c r="F2305" s="53"/>
      <c r="G2305" s="53"/>
      <c r="H2305" s="53"/>
      <c r="I2305" s="53"/>
      <c r="J2305" s="53"/>
    </row>
    <row r="2306" spans="2:11" ht="15.75">
      <c r="B2306" s="53" t="s">
        <v>5064</v>
      </c>
      <c r="C2306" s="887">
        <v>7.5</v>
      </c>
      <c r="D2306" s="53"/>
      <c r="E2306" s="53"/>
      <c r="F2306" s="53"/>
      <c r="G2306" s="53"/>
      <c r="H2306" s="53"/>
      <c r="I2306" s="53"/>
      <c r="J2306" s="53"/>
    </row>
    <row r="2307" spans="2:11" ht="15.75">
      <c r="B2307" s="53" t="s">
        <v>3863</v>
      </c>
      <c r="C2307" s="630">
        <f>C2305/C2306</f>
        <v>26.666666666666668</v>
      </c>
      <c r="D2307" s="53"/>
      <c r="E2307" s="53"/>
      <c r="F2307" s="53"/>
      <c r="G2307" s="53"/>
      <c r="H2307" s="53"/>
      <c r="I2307" s="53"/>
      <c r="J2307" s="53"/>
    </row>
    <row r="2308" spans="2:11" ht="15.75">
      <c r="B2308" s="53" t="s">
        <v>343</v>
      </c>
      <c r="C2308" s="54">
        <f>C2307/Valuation!J5</f>
        <v>0.14658135631729</v>
      </c>
      <c r="D2308" s="53"/>
      <c r="E2308" s="53"/>
      <c r="F2308" s="53"/>
      <c r="G2308" s="53"/>
      <c r="H2308" s="53"/>
      <c r="I2308" s="53"/>
      <c r="J2308" s="53"/>
    </row>
    <row r="2309" spans="2:11" ht="15.75">
      <c r="B2309" s="53" t="s">
        <v>4287</v>
      </c>
      <c r="C2309" s="481">
        <f>Valuation!J5+C2307</f>
        <v>208.59066666666666</v>
      </c>
      <c r="D2309" s="53"/>
      <c r="E2309" s="53"/>
      <c r="F2309" s="53"/>
      <c r="G2309" s="53"/>
      <c r="H2309" s="53"/>
      <c r="I2309" s="53"/>
      <c r="J2309" s="53"/>
    </row>
    <row r="2310" spans="2:11" ht="15.75">
      <c r="B2310" s="53"/>
      <c r="C2310" s="53"/>
      <c r="D2310" s="53"/>
      <c r="E2310" s="53"/>
      <c r="F2310" s="53"/>
      <c r="G2310" s="53"/>
      <c r="H2310" s="53"/>
      <c r="I2310" s="53"/>
      <c r="J2310" s="53"/>
    </row>
    <row r="2311" spans="2:11" ht="15.75" outlineLevel="1">
      <c r="B2311" s="53" t="s">
        <v>4388</v>
      </c>
      <c r="C2311" s="53"/>
      <c r="D2311" s="53"/>
      <c r="G2311" s="853">
        <f>6%*0.72</f>
        <v>4.3199999999999995E-2</v>
      </c>
      <c r="H2311" s="53"/>
      <c r="I2311" s="53"/>
      <c r="J2311" s="53"/>
      <c r="K2311" s="53"/>
    </row>
    <row r="2312" spans="2:11" ht="15.75" outlineLevel="1">
      <c r="B2312" s="53" t="s">
        <v>4205</v>
      </c>
      <c r="C2312" s="53"/>
      <c r="D2312" s="53"/>
      <c r="G2312" s="630">
        <f>G2311*C2304</f>
        <v>12.959999999999999</v>
      </c>
      <c r="H2312" s="630">
        <f>G2312</f>
        <v>12.959999999999999</v>
      </c>
      <c r="I2312" s="630">
        <f>H2312</f>
        <v>12.959999999999999</v>
      </c>
      <c r="J2312" s="630">
        <f>I2312</f>
        <v>12.959999999999999</v>
      </c>
      <c r="K2312" s="630">
        <f>J2312</f>
        <v>12.959999999999999</v>
      </c>
    </row>
    <row r="2313" spans="2:11" ht="15.75" outlineLevel="1">
      <c r="B2313" s="53" t="s">
        <v>1664</v>
      </c>
      <c r="C2313" s="53"/>
      <c r="D2313" s="53"/>
      <c r="G2313" s="630">
        <f>G2312</f>
        <v>12.959999999999999</v>
      </c>
      <c r="H2313" s="630">
        <f>G2313+H2312</f>
        <v>25.919999999999998</v>
      </c>
      <c r="I2313" s="630">
        <f>H2313+I2312</f>
        <v>38.879999999999995</v>
      </c>
      <c r="J2313" s="630">
        <f>I2313+J2312</f>
        <v>51.839999999999996</v>
      </c>
      <c r="K2313" s="630">
        <f>J2313+K2312</f>
        <v>64.8</v>
      </c>
    </row>
    <row r="2314" spans="2:11" outlineLevel="1"/>
    <row r="2315" spans="2:11" ht="15.75" outlineLevel="1">
      <c r="B2315" s="636" t="s">
        <v>3871</v>
      </c>
      <c r="C2315" s="636"/>
      <c r="D2315" s="636"/>
      <c r="E2315" s="636"/>
      <c r="F2315" s="636">
        <v>2020</v>
      </c>
      <c r="G2315" s="636">
        <f>F2315+1</f>
        <v>2021</v>
      </c>
      <c r="H2315" s="636">
        <f>G2315+1</f>
        <v>2022</v>
      </c>
      <c r="I2315" s="636">
        <f>H2315+1</f>
        <v>2023</v>
      </c>
      <c r="J2315" s="636">
        <f>I2315+1</f>
        <v>2024</v>
      </c>
      <c r="K2315" s="636">
        <f>J2315+1</f>
        <v>2025</v>
      </c>
    </row>
    <row r="2316" spans="2:11" ht="15.75" outlineLevel="1">
      <c r="B2316" s="53" t="s">
        <v>5065</v>
      </c>
      <c r="C2316" s="53"/>
      <c r="D2316" s="53"/>
      <c r="E2316" s="53"/>
      <c r="F2316" s="630"/>
      <c r="G2316" s="630"/>
      <c r="H2316" s="630"/>
      <c r="I2316" s="630"/>
      <c r="J2316" s="630"/>
      <c r="K2316" s="53"/>
    </row>
    <row r="2317" spans="2:11" ht="15.75" outlineLevel="1">
      <c r="B2317" s="53" t="s">
        <v>4396</v>
      </c>
      <c r="C2317" s="53"/>
      <c r="D2317" s="53"/>
      <c r="E2317" s="53"/>
      <c r="F2317" s="630"/>
      <c r="G2317" s="630">
        <f>('Costa Rica'!G57-'Costa Rica'!G59)+(I2278-I2280)</f>
        <v>287.13456925371713</v>
      </c>
      <c r="H2317" s="630">
        <f>('Costa Rica'!H57-'Costa Rica'!H59)+(J2278-J2280)</f>
        <v>306.60000000000002</v>
      </c>
      <c r="I2317" s="630">
        <f>('Costa Rica'!I57-'Costa Rica'!I59)+(K2278-K2280)</f>
        <v>344.8</v>
      </c>
      <c r="J2317" s="630">
        <f>('Costa Rica'!J57-'Costa Rica'!J59)+(L2278-L2280)</f>
        <v>363.66772712929293</v>
      </c>
      <c r="K2317" s="630">
        <f>('Costa Rica'!K57-'Costa Rica'!K59)+(M2278-M2280)</f>
        <v>366.84564138673261</v>
      </c>
    </row>
    <row r="2318" spans="2:11" ht="15.75" outlineLevel="1">
      <c r="B2318" s="50" t="s">
        <v>4397</v>
      </c>
      <c r="C2318" s="50"/>
      <c r="D2318" s="50"/>
      <c r="E2318" s="50"/>
      <c r="F2318" s="632"/>
      <c r="G2318" s="632">
        <f>'Costa Rica'!G51+I2282</f>
        <v>47.778045761414575</v>
      </c>
      <c r="H2318" s="632">
        <f>'Costa Rica'!H51+J2282</f>
        <v>53.844636365771677</v>
      </c>
      <c r="I2318" s="632">
        <f>'Costa Rica'!I51+K2282</f>
        <v>57.961738878544949</v>
      </c>
      <c r="J2318" s="632">
        <f>'Costa Rica'!J51+L2282</f>
        <v>65.7624931688066</v>
      </c>
      <c r="K2318" s="632">
        <f>'Costa Rica'!K51+M2282</f>
        <v>66.280522136750378</v>
      </c>
    </row>
    <row r="2319" spans="2:11" ht="15.75" outlineLevel="1">
      <c r="B2319" s="53" t="s">
        <v>16</v>
      </c>
      <c r="C2319" s="53"/>
      <c r="D2319" s="53"/>
      <c r="E2319" s="53"/>
      <c r="F2319" s="630"/>
      <c r="G2319" s="630">
        <f>G2317+G2318</f>
        <v>334.91261501513168</v>
      </c>
      <c r="H2319" s="630">
        <f>H2317+H2318</f>
        <v>360.44463636577171</v>
      </c>
      <c r="I2319" s="630">
        <f>I2317+I2318</f>
        <v>402.76173887854497</v>
      </c>
      <c r="J2319" s="630">
        <f>J2317+J2318</f>
        <v>429.43022029809953</v>
      </c>
      <c r="K2319" s="630">
        <f>K2317+K2318</f>
        <v>433.126163523483</v>
      </c>
    </row>
    <row r="2320" spans="2:11" ht="15.75" outlineLevel="1">
      <c r="B2320" s="53" t="s">
        <v>1975</v>
      </c>
      <c r="C2320" s="53"/>
      <c r="D2320" s="53"/>
      <c r="E2320" s="53"/>
      <c r="F2320" s="56"/>
      <c r="G2320" s="56">
        <f>F2245</f>
        <v>0.01</v>
      </c>
      <c r="H2320" s="56">
        <f>G2245</f>
        <v>0.02</v>
      </c>
      <c r="I2320" s="56">
        <f>H2245</f>
        <v>0.03</v>
      </c>
      <c r="J2320" s="56">
        <f>I2245</f>
        <v>0.04</v>
      </c>
      <c r="K2320" s="56">
        <f>J2245</f>
        <v>5.8000000000000003E-2</v>
      </c>
    </row>
    <row r="2321" spans="2:11" ht="15.75" outlineLevel="1">
      <c r="B2321" s="53" t="s">
        <v>1976</v>
      </c>
      <c r="F2321" s="630"/>
      <c r="G2321" s="630">
        <f>G2320*G2319</f>
        <v>3.3491261501513168</v>
      </c>
      <c r="H2321" s="630">
        <f>H2320*H2319</f>
        <v>7.2088927273154342</v>
      </c>
      <c r="I2321" s="630">
        <f>I2320*I2319</f>
        <v>12.082852166356348</v>
      </c>
      <c r="J2321" s="630">
        <f>J2320*J2319</f>
        <v>17.177208811923983</v>
      </c>
      <c r="K2321" s="630">
        <f>K2320*K2319</f>
        <v>25.121317484362017</v>
      </c>
    </row>
    <row r="2322" spans="2:11" ht="15.75" outlineLevel="1">
      <c r="B2322" s="53" t="s">
        <v>4398</v>
      </c>
      <c r="D2322" s="630"/>
      <c r="E2322" s="630"/>
      <c r="F2322" s="630"/>
      <c r="G2322" s="630">
        <f>(1-0.28)*G2321</f>
        <v>2.4113708281089479</v>
      </c>
      <c r="H2322" s="630">
        <f>(1-0.28)*H2321</f>
        <v>5.1904027636671124</v>
      </c>
      <c r="I2322" s="630">
        <f>(1-0.28)*I2321</f>
        <v>8.6996535597765696</v>
      </c>
      <c r="J2322" s="630">
        <f>(1-0.28)*J2321</f>
        <v>12.367590344585267</v>
      </c>
      <c r="K2322" s="630">
        <f>(1-0.28)*K2321</f>
        <v>18.08734858874065</v>
      </c>
    </row>
    <row r="2323" spans="2:11" ht="15.75" outlineLevel="1">
      <c r="B2323" s="53"/>
      <c r="D2323" s="630"/>
      <c r="E2323" s="630"/>
      <c r="F2323" s="630"/>
      <c r="G2323" s="630"/>
      <c r="H2323" s="630"/>
      <c r="I2323" s="630"/>
      <c r="J2323" s="630"/>
      <c r="K2323" s="630"/>
    </row>
    <row r="2324" spans="2:11" ht="15.75" outlineLevel="1">
      <c r="B2324" s="53" t="s">
        <v>378</v>
      </c>
      <c r="C2324" s="752">
        <v>8.5000000000000006E-2</v>
      </c>
    </row>
    <row r="2325" spans="2:11" ht="15.75" outlineLevel="1">
      <c r="B2325" s="53" t="s">
        <v>1117</v>
      </c>
      <c r="C2325" s="630">
        <f>NPV(C2324,G2322:K2322)</f>
        <v>34.395549435800383</v>
      </c>
    </row>
    <row r="2326" spans="2:11" ht="15.75" outlineLevel="1">
      <c r="B2326" s="53" t="s">
        <v>1406</v>
      </c>
      <c r="C2326" s="56">
        <v>0</v>
      </c>
    </row>
    <row r="2327" spans="2:11" ht="15.75" outlineLevel="1">
      <c r="B2327" s="53" t="s">
        <v>817</v>
      </c>
      <c r="C2327" s="630">
        <f>1/(C2324-C2326)</f>
        <v>11.76470588235294</v>
      </c>
    </row>
    <row r="2328" spans="2:11" ht="15.75" outlineLevel="1">
      <c r="B2328" s="53" t="s">
        <v>389</v>
      </c>
      <c r="C2328" s="630">
        <f>C2327*K2322</f>
        <v>212.79233633812527</v>
      </c>
    </row>
    <row r="2329" spans="2:11" ht="16.5" outlineLevel="1" thickBot="1">
      <c r="B2329" s="53" t="s">
        <v>390</v>
      </c>
      <c r="C2329" s="630">
        <f>C2328/(1+C2324)^5</f>
        <v>141.51656939252382</v>
      </c>
    </row>
    <row r="2330" spans="2:11" ht="16.5" outlineLevel="1" thickBot="1">
      <c r="B2330" s="775" t="s">
        <v>4493</v>
      </c>
      <c r="C2330" s="985">
        <f>C2325+C2329</f>
        <v>175.9121188283242</v>
      </c>
    </row>
    <row r="2331" spans="2:11" ht="15.75" outlineLevel="1">
      <c r="B2331" s="53"/>
      <c r="C2331" s="639"/>
    </row>
    <row r="2332" spans="2:11" ht="15.75">
      <c r="B2332" s="636" t="s">
        <v>4697</v>
      </c>
      <c r="C2332" s="636"/>
      <c r="D2332" s="636"/>
      <c r="E2332" s="636"/>
      <c r="F2332" s="636">
        <v>2020</v>
      </c>
      <c r="G2332" s="636">
        <f>F2332+1</f>
        <v>2021</v>
      </c>
      <c r="H2332" s="636">
        <f>G2332+1</f>
        <v>2022</v>
      </c>
      <c r="I2332" s="636">
        <f>H2332+1</f>
        <v>2023</v>
      </c>
      <c r="J2332" s="636">
        <f>I2332+1</f>
        <v>2024</v>
      </c>
      <c r="K2332" s="636">
        <f>J2332+1</f>
        <v>2025</v>
      </c>
    </row>
    <row r="2333" spans="2:11" ht="15.75">
      <c r="B2333" s="53" t="s">
        <v>2541</v>
      </c>
      <c r="C2333" s="53"/>
      <c r="D2333" s="53"/>
      <c r="E2333" s="53"/>
      <c r="F2333" s="630">
        <f>Valuation!K82</f>
        <v>7205.4250000000011</v>
      </c>
      <c r="G2333" s="630">
        <f>Valuation!L82</f>
        <v>7752.1</v>
      </c>
      <c r="H2333" s="630">
        <f>Valuation!M82</f>
        <v>5985.04</v>
      </c>
      <c r="I2333" s="630">
        <f>Valuation!N82</f>
        <v>6965.1</v>
      </c>
      <c r="J2333" s="630">
        <f ca="1">Valuation!O82</f>
        <v>7014.3337002453673</v>
      </c>
      <c r="K2333" s="630">
        <f ca="1">Valuation!P82</f>
        <v>6324.4399585298033</v>
      </c>
    </row>
    <row r="2334" spans="2:11" ht="15.75">
      <c r="B2334" s="53" t="s">
        <v>1408</v>
      </c>
      <c r="C2334" s="53"/>
      <c r="D2334" s="53"/>
      <c r="E2334" s="53"/>
      <c r="F2334" s="630">
        <f>Valuation!K84</f>
        <v>1601.1351066666668</v>
      </c>
      <c r="G2334" s="630">
        <f>Valuation!L84</f>
        <v>1687.1845060877336</v>
      </c>
      <c r="H2334" s="630">
        <f>Valuation!M84</f>
        <v>1550.9752100000001</v>
      </c>
      <c r="I2334" s="630">
        <f>Valuation!N84</f>
        <v>1506.91075</v>
      </c>
      <c r="J2334" s="630">
        <f>Valuation!O84</f>
        <v>1368.1546169601884</v>
      </c>
      <c r="K2334" s="630">
        <f>Valuation!P84</f>
        <v>1578.5005985688013</v>
      </c>
    </row>
    <row r="2335" spans="2:11" ht="15.75">
      <c r="B2335" s="53" t="s">
        <v>273</v>
      </c>
      <c r="C2335" s="53"/>
      <c r="D2335" s="53"/>
      <c r="E2335" s="53"/>
      <c r="F2335" s="639">
        <f t="shared" ref="F2335:K2335" si="226">F2333/F2334</f>
        <v>4.5001979970326556</v>
      </c>
      <c r="G2335" s="639">
        <f t="shared" si="226"/>
        <v>4.594696058450463</v>
      </c>
      <c r="H2335" s="639">
        <f t="shared" si="226"/>
        <v>3.8588882410312668</v>
      </c>
      <c r="I2335" s="639">
        <f t="shared" si="226"/>
        <v>4.6221051910340414</v>
      </c>
      <c r="J2335" s="639">
        <f t="shared" ca="1" si="226"/>
        <v>5.1268574569664125</v>
      </c>
      <c r="K2335" s="639">
        <f t="shared" ca="1" si="226"/>
        <v>4.0066123283475861</v>
      </c>
    </row>
    <row r="2337" spans="2:11" ht="15.75">
      <c r="B2337" s="58" t="s">
        <v>5079</v>
      </c>
    </row>
    <row r="2338" spans="2:11" ht="15.75">
      <c r="B2338" s="53" t="s">
        <v>2541</v>
      </c>
      <c r="C2338" s="53"/>
      <c r="D2338" s="53"/>
      <c r="E2338" s="53"/>
      <c r="F2338" s="630"/>
      <c r="G2338" s="630">
        <f>G2333+$C$2304+G2313+I2288</f>
        <v>8071.0359238513183</v>
      </c>
      <c r="H2338" s="630">
        <f>H2333+$C$2304+H2313+J2288</f>
        <v>6320.1035945415133</v>
      </c>
      <c r="I2338" s="630">
        <f>I2333+$C$2304+I2313+K2288</f>
        <v>7325.5082041633395</v>
      </c>
      <c r="J2338" s="630">
        <f ca="1">J2333+$C$2304+J2313+L2288</f>
        <v>7388.0956516621745</v>
      </c>
      <c r="K2338" s="630">
        <f ca="1">K2333+$C$2304+K2313+M2288</f>
        <v>6712.4874595503425</v>
      </c>
    </row>
    <row r="2339" spans="2:11" ht="15.75">
      <c r="B2339" s="53" t="s">
        <v>1408</v>
      </c>
      <c r="C2339" s="53"/>
      <c r="D2339" s="53"/>
      <c r="E2339" s="53"/>
      <c r="F2339" s="630"/>
      <c r="G2339" s="630">
        <f>G2334+I2280</f>
        <v>1753.1510160555792</v>
      </c>
      <c r="H2339" s="630">
        <f>H2334+J2280</f>
        <v>1629.072877498689</v>
      </c>
      <c r="I2339" s="630">
        <f>I2334+K2280</f>
        <v>1633.9036368809932</v>
      </c>
      <c r="J2339" s="630">
        <f>J2334+L2280</f>
        <v>1505.0336424073703</v>
      </c>
      <c r="K2339" s="630">
        <f>K2334+M2280</f>
        <v>1720.5610468202201</v>
      </c>
    </row>
    <row r="2340" spans="2:11" ht="15.75">
      <c r="B2340" s="53" t="s">
        <v>273</v>
      </c>
      <c r="C2340" s="53"/>
      <c r="D2340" s="53"/>
      <c r="E2340" s="53"/>
      <c r="F2340" s="639"/>
      <c r="G2340" s="639">
        <f>G2338/G2339</f>
        <v>4.6037311389239992</v>
      </c>
      <c r="H2340" s="639">
        <f>H2338/H2339</f>
        <v>3.8795708171420338</v>
      </c>
      <c r="I2340" s="639">
        <f>I2338/I2339</f>
        <v>4.4834395608220925</v>
      </c>
      <c r="J2340" s="639">
        <f ca="1">J2338/J2339</f>
        <v>4.9089239226869221</v>
      </c>
      <c r="K2340" s="639">
        <f ca="1">K2338/K2339</f>
        <v>3.9013364111408504</v>
      </c>
    </row>
    <row r="2341" spans="2:11" ht="15.75">
      <c r="B2341" s="53"/>
      <c r="C2341" s="53"/>
      <c r="D2341" s="53"/>
      <c r="E2341" s="53"/>
      <c r="F2341" s="639"/>
      <c r="G2341" s="639"/>
      <c r="H2341" s="639"/>
      <c r="I2341" s="639"/>
      <c r="J2341" s="639"/>
      <c r="K2341" s="639"/>
    </row>
    <row r="2342" spans="2:11" ht="15.75">
      <c r="B2342" s="53" t="s">
        <v>4488</v>
      </c>
      <c r="C2342" s="53"/>
      <c r="D2342" s="53"/>
      <c r="E2342" s="53"/>
      <c r="F2342" s="630"/>
      <c r="G2342" s="630">
        <f>Valuation!L28</f>
        <v>243.97968593955338</v>
      </c>
      <c r="H2342" s="630">
        <f>Valuation!M28</f>
        <v>229.24999999999997</v>
      </c>
      <c r="I2342" s="630">
        <f>Valuation!N28</f>
        <v>193.96999999999989</v>
      </c>
      <c r="J2342" s="630">
        <f ca="1">Valuation!O28</f>
        <v>136.49958891740317</v>
      </c>
      <c r="K2342" s="630">
        <f ca="1">Valuation!P28</f>
        <v>249.28592382841885</v>
      </c>
    </row>
    <row r="2343" spans="2:11" ht="15.75">
      <c r="B2343" s="53" t="s">
        <v>4699</v>
      </c>
      <c r="C2343" s="53"/>
      <c r="D2343" s="53"/>
      <c r="E2343" s="53"/>
      <c r="F2343" s="639"/>
      <c r="G2343" s="639">
        <f>G2342/Valuation!K5</f>
        <v>1.0515006074195292</v>
      </c>
      <c r="H2343" s="639">
        <f>H2342/Valuation!L5</f>
        <v>0.99791059069342247</v>
      </c>
      <c r="I2343" s="639">
        <f>I2342/Valuation!M5</f>
        <v>0.90009280742459341</v>
      </c>
      <c r="J2343" s="639">
        <f ca="1">J2342/Valuation!N5</f>
        <v>0.66682749837519872</v>
      </c>
      <c r="K2343" s="639">
        <f ca="1">K2342/Valuation!O5</f>
        <v>1.3496801506682126</v>
      </c>
    </row>
    <row r="2344" spans="2:11" ht="15.75">
      <c r="B2344" s="53" t="s">
        <v>4961</v>
      </c>
      <c r="C2344" s="53"/>
      <c r="D2344" s="53"/>
      <c r="E2344" s="53"/>
      <c r="F2344" s="630"/>
      <c r="G2344" s="630">
        <f>G2342+I2289+G2322</f>
        <v>261.75771809962373</v>
      </c>
      <c r="H2344" s="630">
        <f>H2342+J2289+H2322</f>
        <v>257.95250301327371</v>
      </c>
      <c r="I2344" s="630">
        <f>I2342+K2289+I2322</f>
        <v>258.02789283693397</v>
      </c>
      <c r="J2344" s="630">
        <f ca="1">J2342+L2289+J2322</f>
        <v>205.23791147663573</v>
      </c>
      <c r="K2344" s="630">
        <f ca="1">K2342+M2289+K2322</f>
        <v>327.1525607556876</v>
      </c>
    </row>
    <row r="2345" spans="2:11" ht="16.5" thickBot="1">
      <c r="B2345" s="53" t="s">
        <v>1166</v>
      </c>
      <c r="C2345" s="53"/>
      <c r="D2345" s="53"/>
      <c r="E2345" s="53"/>
      <c r="F2345" s="630"/>
      <c r="G2345" s="630">
        <f>Valuation!L5+$C$2307</f>
        <v>256.3966666666667</v>
      </c>
      <c r="H2345" s="630">
        <f>Valuation!M5+$C$2307</f>
        <v>242.16666666666666</v>
      </c>
      <c r="I2345" s="630">
        <f>Valuation!N5+$C$2307</f>
        <v>231.36666666666665</v>
      </c>
      <c r="J2345" s="630">
        <f>Valuation!O5+$C$2307</f>
        <v>211.36666666666665</v>
      </c>
      <c r="K2345" s="630">
        <f>Valuation!P5+$C$2307</f>
        <v>196.36666666666665</v>
      </c>
    </row>
    <row r="2346" spans="2:11" ht="15.75">
      <c r="B2346" s="652" t="s">
        <v>1948</v>
      </c>
      <c r="C2346" s="653"/>
      <c r="D2346" s="653"/>
      <c r="E2346" s="653"/>
      <c r="F2346" s="1080"/>
      <c r="G2346" s="1080">
        <f>G2344/G2345</f>
        <v>1.0209092087765976</v>
      </c>
      <c r="H2346" s="1080">
        <f>H2344/H2345</f>
        <v>1.0651858348793133</v>
      </c>
      <c r="I2346" s="1080">
        <f>I2344/I2345</f>
        <v>1.1152336529474167</v>
      </c>
      <c r="J2346" s="1080">
        <f ca="1">J2344/J2345</f>
        <v>0.97100415459692047</v>
      </c>
      <c r="K2346" s="1081">
        <f ca="1">K2344/K2345</f>
        <v>1.6660289972280817</v>
      </c>
    </row>
    <row r="2347" spans="2:11" ht="16.5" thickBot="1">
      <c r="B2347" s="659" t="s">
        <v>78</v>
      </c>
      <c r="C2347" s="660"/>
      <c r="D2347" s="660"/>
      <c r="E2347" s="660"/>
      <c r="F2347" s="662"/>
      <c r="G2347" s="662">
        <f>G2346/G2343-1</f>
        <v>-2.9093086991176742E-2</v>
      </c>
      <c r="H2347" s="662">
        <f>H2346/H2343-1</f>
        <v>6.7416104021045475E-2</v>
      </c>
      <c r="I2347" s="662">
        <f>I2346/I2343-1</f>
        <v>0.23902073624874176</v>
      </c>
      <c r="J2347" s="662">
        <f ca="1">J2346/J2343-1</f>
        <v>0.4561549380655161</v>
      </c>
      <c r="K2347" s="663">
        <f ca="1">K2346/K2343-1</f>
        <v>0.23438801141385102</v>
      </c>
    </row>
    <row r="2348" spans="2:11" ht="15.75">
      <c r="B2348" s="53"/>
      <c r="C2348" s="639"/>
    </row>
    <row r="2349" spans="2:11" ht="15.75">
      <c r="B2349" s="976" t="s">
        <v>4700</v>
      </c>
    </row>
    <row r="2351" spans="2:11" ht="15.75">
      <c r="B2351" s="636" t="s">
        <v>4470</v>
      </c>
      <c r="C2351" s="636">
        <v>2018</v>
      </c>
      <c r="D2351" s="636">
        <v>2019</v>
      </c>
      <c r="E2351" s="636">
        <f t="shared" ref="E2351:J2351" si="227">D2351+1</f>
        <v>2020</v>
      </c>
      <c r="F2351" s="636">
        <f t="shared" si="227"/>
        <v>2021</v>
      </c>
      <c r="G2351" s="636">
        <f t="shared" si="227"/>
        <v>2022</v>
      </c>
      <c r="H2351" s="636">
        <f t="shared" si="227"/>
        <v>2023</v>
      </c>
      <c r="I2351" s="636">
        <f t="shared" si="227"/>
        <v>2024</v>
      </c>
      <c r="J2351" s="636">
        <f t="shared" si="227"/>
        <v>2025</v>
      </c>
    </row>
    <row r="2352" spans="2:11" ht="15.75">
      <c r="B2352" s="53" t="s">
        <v>15</v>
      </c>
      <c r="C2352" s="764">
        <v>416462</v>
      </c>
      <c r="D2352" s="764">
        <v>526059</v>
      </c>
      <c r="E2352" s="630">
        <f t="shared" ref="E2352:J2352" si="228">(1+E2353)*D2352</f>
        <v>589186.08000000007</v>
      </c>
      <c r="F2352" s="630">
        <f t="shared" si="228"/>
        <v>642212.82720000017</v>
      </c>
      <c r="G2352" s="630">
        <f t="shared" si="228"/>
        <v>667901.34028800018</v>
      </c>
      <c r="H2352" s="630">
        <f t="shared" si="228"/>
        <v>681259.36709376017</v>
      </c>
      <c r="I2352" s="630">
        <f t="shared" si="228"/>
        <v>694884.55443563533</v>
      </c>
      <c r="J2352" s="630">
        <f t="shared" si="228"/>
        <v>708782.24552434811</v>
      </c>
    </row>
    <row r="2353" spans="2:10" ht="15.75">
      <c r="B2353" s="53" t="s">
        <v>78</v>
      </c>
      <c r="C2353" s="53"/>
      <c r="D2353" s="53"/>
      <c r="E2353" s="784">
        <v>0.12</v>
      </c>
      <c r="F2353" s="784">
        <v>0.09</v>
      </c>
      <c r="G2353" s="784">
        <v>0.04</v>
      </c>
      <c r="H2353" s="784">
        <v>0.02</v>
      </c>
      <c r="I2353" s="784">
        <v>0.02</v>
      </c>
      <c r="J2353" s="784">
        <v>0.02</v>
      </c>
    </row>
    <row r="2354" spans="2:10" ht="15.75">
      <c r="B2354" s="53" t="s">
        <v>8</v>
      </c>
      <c r="C2354" s="764">
        <v>35246</v>
      </c>
      <c r="D2354" s="764">
        <v>145925</v>
      </c>
      <c r="E2354" s="630">
        <f t="shared" ref="E2354:J2354" si="229">E2355*E2352</f>
        <v>188539.54560000004</v>
      </c>
      <c r="F2354" s="630">
        <f t="shared" si="229"/>
        <v>224774.48952000006</v>
      </c>
      <c r="G2354" s="630">
        <f t="shared" si="229"/>
        <v>240444.48250368005</v>
      </c>
      <c r="H2354" s="630">
        <f t="shared" si="229"/>
        <v>252065.96582469126</v>
      </c>
      <c r="I2354" s="630">
        <f t="shared" si="229"/>
        <v>264056.13068554143</v>
      </c>
      <c r="J2354" s="630">
        <f t="shared" si="229"/>
        <v>269337.2532992523</v>
      </c>
    </row>
    <row r="2355" spans="2:10" ht="15.75">
      <c r="B2355" s="53" t="s">
        <v>251</v>
      </c>
      <c r="C2355" s="54">
        <f>C2354/C2352</f>
        <v>8.4631971224265357E-2</v>
      </c>
      <c r="D2355" s="54">
        <f>D2354/D2352</f>
        <v>0.27739283996661973</v>
      </c>
      <c r="E2355" s="784">
        <v>0.32</v>
      </c>
      <c r="F2355" s="784">
        <v>0.35</v>
      </c>
      <c r="G2355" s="784">
        <v>0.36</v>
      </c>
      <c r="H2355" s="784">
        <v>0.37</v>
      </c>
      <c r="I2355" s="784">
        <v>0.38</v>
      </c>
      <c r="J2355" s="784">
        <v>0.38</v>
      </c>
    </row>
    <row r="2356" spans="2:10" ht="15.75">
      <c r="B2356" s="53" t="s">
        <v>19</v>
      </c>
      <c r="C2356" s="749">
        <v>-57793</v>
      </c>
      <c r="D2356" s="749">
        <v>-80147</v>
      </c>
      <c r="E2356" s="481">
        <f t="shared" ref="E2356:J2356" si="230">-E2357*E2352</f>
        <v>-76594.190400000007</v>
      </c>
      <c r="F2356" s="481">
        <f t="shared" si="230"/>
        <v>-70643.410992000019</v>
      </c>
      <c r="G2356" s="481">
        <f t="shared" si="230"/>
        <v>-66790.134028800021</v>
      </c>
      <c r="H2356" s="481">
        <f t="shared" si="230"/>
        <v>-61313.343038438412</v>
      </c>
      <c r="I2356" s="481">
        <f t="shared" si="230"/>
        <v>-62539.609899207178</v>
      </c>
      <c r="J2356" s="481">
        <f t="shared" si="230"/>
        <v>-63790.402097191327</v>
      </c>
    </row>
    <row r="2357" spans="2:10" ht="15.75">
      <c r="B2357" s="53" t="s">
        <v>4390</v>
      </c>
      <c r="C2357" s="54">
        <f>-C2356/C2352</f>
        <v>0.13877136449423957</v>
      </c>
      <c r="D2357" s="54">
        <f>-D2356/D2352</f>
        <v>0.15235363333770546</v>
      </c>
      <c r="E2357" s="784">
        <v>0.13</v>
      </c>
      <c r="F2357" s="784">
        <v>0.11</v>
      </c>
      <c r="G2357" s="784">
        <v>0.1</v>
      </c>
      <c r="H2357" s="784">
        <v>0.09</v>
      </c>
      <c r="I2357" s="784">
        <v>0.09</v>
      </c>
      <c r="J2357" s="784">
        <v>0.09</v>
      </c>
    </row>
    <row r="2358" spans="2:10" ht="15.75">
      <c r="B2358" s="53" t="s">
        <v>27</v>
      </c>
      <c r="C2358" s="630">
        <f t="shared" ref="C2358:J2358" si="231">C2354+C2356</f>
        <v>-22547</v>
      </c>
      <c r="D2358" s="630">
        <f t="shared" si="231"/>
        <v>65778</v>
      </c>
      <c r="E2358" s="630">
        <f t="shared" si="231"/>
        <v>111945.35520000003</v>
      </c>
      <c r="F2358" s="630">
        <f t="shared" si="231"/>
        <v>154131.07852800004</v>
      </c>
      <c r="G2358" s="630">
        <f t="shared" si="231"/>
        <v>173654.34847488004</v>
      </c>
      <c r="H2358" s="630">
        <f t="shared" si="231"/>
        <v>190752.62278625285</v>
      </c>
      <c r="I2358" s="630">
        <f t="shared" si="231"/>
        <v>201516.52078633424</v>
      </c>
      <c r="J2358" s="630">
        <f t="shared" si="231"/>
        <v>205546.85120206099</v>
      </c>
    </row>
    <row r="2359" spans="2:10" ht="15.75">
      <c r="B2359" s="53" t="s">
        <v>4395</v>
      </c>
      <c r="C2359" s="54">
        <f>C2358/C2352</f>
        <v>-5.4139393269974211E-2</v>
      </c>
      <c r="D2359" s="54">
        <f t="shared" ref="D2359:J2359" si="232">-D2358/D2354</f>
        <v>-0.45076580435155045</v>
      </c>
      <c r="E2359" s="54">
        <f t="shared" si="232"/>
        <v>-0.59375</v>
      </c>
      <c r="F2359" s="54">
        <f t="shared" si="232"/>
        <v>-0.68571428571428572</v>
      </c>
      <c r="G2359" s="54">
        <f t="shared" si="232"/>
        <v>-0.72222222222222221</v>
      </c>
      <c r="H2359" s="54">
        <f t="shared" si="232"/>
        <v>-0.7567567567567568</v>
      </c>
      <c r="I2359" s="54">
        <f t="shared" si="232"/>
        <v>-0.76315789473684204</v>
      </c>
      <c r="J2359" s="54">
        <f t="shared" si="232"/>
        <v>-0.76315789473684215</v>
      </c>
    </row>
    <row r="2360" spans="2:10" ht="15.75">
      <c r="B2360" s="53" t="s">
        <v>929</v>
      </c>
      <c r="C2360" s="54"/>
      <c r="D2360" s="630">
        <f>-0.065*D2362</f>
        <v>-38543.96</v>
      </c>
      <c r="E2360" s="630">
        <f t="shared" ref="E2360:J2360" si="233">D2360</f>
        <v>-38543.96</v>
      </c>
      <c r="F2360" s="630">
        <f t="shared" si="233"/>
        <v>-38543.96</v>
      </c>
      <c r="G2360" s="630">
        <f t="shared" si="233"/>
        <v>-38543.96</v>
      </c>
      <c r="H2360" s="630">
        <f t="shared" si="233"/>
        <v>-38543.96</v>
      </c>
      <c r="I2360" s="630">
        <f t="shared" si="233"/>
        <v>-38543.96</v>
      </c>
      <c r="J2360" s="630">
        <f t="shared" si="233"/>
        <v>-38543.96</v>
      </c>
    </row>
    <row r="2361" spans="2:10" ht="15.75">
      <c r="B2361" s="53" t="s">
        <v>249</v>
      </c>
      <c r="C2361" s="764">
        <v>-25000</v>
      </c>
      <c r="D2361" s="630">
        <f t="shared" ref="D2361:J2361" si="234">D2358+D2360</f>
        <v>27234.04</v>
      </c>
      <c r="E2361" s="630">
        <f t="shared" si="234"/>
        <v>73401.395200000028</v>
      </c>
      <c r="F2361" s="630">
        <f t="shared" si="234"/>
        <v>115587.11852800005</v>
      </c>
      <c r="G2361" s="630">
        <f t="shared" si="234"/>
        <v>135110.38847488005</v>
      </c>
      <c r="H2361" s="630">
        <f t="shared" si="234"/>
        <v>152208.66278625285</v>
      </c>
      <c r="I2361" s="630">
        <f t="shared" si="234"/>
        <v>162972.56078633424</v>
      </c>
      <c r="J2361" s="630">
        <f t="shared" si="234"/>
        <v>167002.891202061</v>
      </c>
    </row>
    <row r="2362" spans="2:10" ht="15.75">
      <c r="B2362" s="53" t="s">
        <v>115</v>
      </c>
      <c r="C2362" s="53"/>
      <c r="D2362" s="764">
        <v>592984</v>
      </c>
      <c r="E2362" s="630">
        <f>D2362-E2361</f>
        <v>519582.60479999997</v>
      </c>
      <c r="F2362" s="630">
        <f>E2362-F2361</f>
        <v>403995.48627199989</v>
      </c>
      <c r="G2362" s="630">
        <f>F2362-G2361</f>
        <v>268885.09779711987</v>
      </c>
      <c r="H2362" s="630">
        <f>G2362-H2361</f>
        <v>116676.43501086702</v>
      </c>
      <c r="I2362" s="630">
        <f>H2362-I2361</f>
        <v>-46296.125775467226</v>
      </c>
      <c r="J2362" s="53"/>
    </row>
    <row r="2363" spans="2:10" ht="15.75">
      <c r="C2363" s="53"/>
      <c r="D2363" s="53"/>
      <c r="E2363" s="53"/>
      <c r="F2363" s="53"/>
      <c r="G2363" s="53"/>
      <c r="H2363" s="53"/>
      <c r="I2363" s="53"/>
      <c r="J2363" s="53"/>
    </row>
    <row r="2364" spans="2:10" ht="15.75">
      <c r="B2364" s="53" t="s">
        <v>4471</v>
      </c>
      <c r="C2364" s="764">
        <v>698</v>
      </c>
      <c r="D2364" s="630">
        <f>Forex!O38</f>
        <v>703</v>
      </c>
      <c r="E2364" s="630">
        <f>Forex!P38</f>
        <v>792</v>
      </c>
      <c r="F2364" s="630">
        <f>Forex!Q38</f>
        <v>761</v>
      </c>
      <c r="G2364" s="630">
        <f>Forex!R38</f>
        <v>873</v>
      </c>
      <c r="H2364" s="630">
        <f>Forex!S38</f>
        <v>799</v>
      </c>
      <c r="I2364" s="630">
        <f>Forex!T38</f>
        <v>811</v>
      </c>
      <c r="J2364" s="630">
        <f>Forex!U38</f>
        <v>811</v>
      </c>
    </row>
    <row r="2365" spans="2:10" ht="15.75">
      <c r="B2365" s="53"/>
    </row>
    <row r="2366" spans="2:10" ht="15.75">
      <c r="B2366" s="636" t="s">
        <v>4487</v>
      </c>
      <c r="C2366" s="636">
        <v>2018</v>
      </c>
      <c r="D2366" s="636">
        <v>2019</v>
      </c>
      <c r="E2366" s="636">
        <f t="shared" ref="E2366:J2366" si="235">D2366+1</f>
        <v>2020</v>
      </c>
      <c r="F2366" s="636">
        <f t="shared" si="235"/>
        <v>2021</v>
      </c>
      <c r="G2366" s="636">
        <f t="shared" si="235"/>
        <v>2022</v>
      </c>
      <c r="H2366" s="636">
        <f t="shared" si="235"/>
        <v>2023</v>
      </c>
      <c r="I2366" s="636">
        <f t="shared" si="235"/>
        <v>2024</v>
      </c>
      <c r="J2366" s="636">
        <f t="shared" si="235"/>
        <v>2025</v>
      </c>
    </row>
    <row r="2367" spans="2:10" ht="15.75">
      <c r="B2367" s="53" t="s">
        <v>15</v>
      </c>
      <c r="C2367" s="630">
        <f t="shared" ref="C2367:J2367" si="236">C2352/C$2364</f>
        <v>596.65042979942689</v>
      </c>
      <c r="D2367" s="630">
        <f t="shared" si="236"/>
        <v>748.30583214793739</v>
      </c>
      <c r="E2367" s="630">
        <f t="shared" si="236"/>
        <v>743.92181818181825</v>
      </c>
      <c r="F2367" s="630">
        <f t="shared" si="236"/>
        <v>843.90647463863365</v>
      </c>
      <c r="G2367" s="630">
        <f t="shared" si="236"/>
        <v>765.06453641237135</v>
      </c>
      <c r="H2367" s="630">
        <f t="shared" si="236"/>
        <v>852.64000887829809</v>
      </c>
      <c r="I2367" s="630">
        <f t="shared" si="236"/>
        <v>856.82435812038887</v>
      </c>
      <c r="J2367" s="630">
        <f t="shared" si="236"/>
        <v>873.96084528279664</v>
      </c>
    </row>
    <row r="2368" spans="2:10" ht="15.75">
      <c r="B2368" s="53" t="s">
        <v>78</v>
      </c>
      <c r="D2368" s="54">
        <f t="shared" ref="D2368:J2368" si="237">D2367/C2367-1</f>
        <v>0.2541779822391006</v>
      </c>
      <c r="E2368" s="54">
        <f t="shared" si="237"/>
        <v>-5.8585858585857853E-3</v>
      </c>
      <c r="F2368" s="54">
        <f t="shared" si="237"/>
        <v>0.13440210249671503</v>
      </c>
      <c r="G2368" s="54">
        <f t="shared" si="237"/>
        <v>-9.3424971363115783E-2</v>
      </c>
      <c r="H2368" s="54">
        <f t="shared" si="237"/>
        <v>0.11446808510638284</v>
      </c>
      <c r="I2368" s="54">
        <f t="shared" si="237"/>
        <v>4.9075215782983239E-3</v>
      </c>
      <c r="J2368" s="54">
        <f t="shared" si="237"/>
        <v>2.0000000000000018E-2</v>
      </c>
    </row>
    <row r="2369" spans="2:10" ht="15.75">
      <c r="B2369" s="53" t="s">
        <v>8</v>
      </c>
      <c r="C2369" s="630">
        <f t="shared" ref="C2369:J2369" si="238">C2354/C$2364</f>
        <v>50.495702005730656</v>
      </c>
      <c r="D2369" s="630">
        <f t="shared" si="238"/>
        <v>207.57467994310099</v>
      </c>
      <c r="E2369" s="630">
        <f t="shared" si="238"/>
        <v>238.05498181818186</v>
      </c>
      <c r="F2369" s="630">
        <f t="shared" si="238"/>
        <v>295.36726612352174</v>
      </c>
      <c r="G2369" s="630">
        <f t="shared" si="238"/>
        <v>275.42323310845364</v>
      </c>
      <c r="H2369" s="630">
        <f t="shared" si="238"/>
        <v>315.47680328497029</v>
      </c>
      <c r="I2369" s="630">
        <f t="shared" si="238"/>
        <v>325.59325608574778</v>
      </c>
      <c r="J2369" s="630">
        <f t="shared" si="238"/>
        <v>332.10512120746279</v>
      </c>
    </row>
    <row r="2370" spans="2:10" ht="15.75">
      <c r="B2370" s="53" t="s">
        <v>251</v>
      </c>
      <c r="C2370" s="5"/>
      <c r="D2370" s="54">
        <f>D2369/D2367</f>
        <v>0.27739283996661973</v>
      </c>
      <c r="E2370" s="54">
        <f t="shared" ref="E2370:J2370" si="239">D2370</f>
        <v>0.27739283996661973</v>
      </c>
      <c r="F2370" s="54">
        <f t="shared" si="239"/>
        <v>0.27739283996661973</v>
      </c>
      <c r="G2370" s="54">
        <f t="shared" si="239"/>
        <v>0.27739283996661973</v>
      </c>
      <c r="H2370" s="54">
        <f t="shared" si="239"/>
        <v>0.27739283996661973</v>
      </c>
      <c r="I2370" s="54">
        <f t="shared" si="239"/>
        <v>0.27739283996661973</v>
      </c>
      <c r="J2370" s="54">
        <f t="shared" si="239"/>
        <v>0.27739283996661973</v>
      </c>
    </row>
    <row r="2371" spans="2:10" ht="15.75">
      <c r="B2371" s="53" t="s">
        <v>19</v>
      </c>
      <c r="C2371" s="630">
        <f t="shared" ref="C2371:J2371" si="240">-C2356/C$2364</f>
        <v>82.797994269340975</v>
      </c>
      <c r="D2371" s="630">
        <f t="shared" si="240"/>
        <v>114.00711237553342</v>
      </c>
      <c r="E2371" s="630">
        <f t="shared" si="240"/>
        <v>96.70983636363637</v>
      </c>
      <c r="F2371" s="630">
        <f t="shared" si="240"/>
        <v>92.829712210249696</v>
      </c>
      <c r="G2371" s="630">
        <f t="shared" si="240"/>
        <v>76.506453641237144</v>
      </c>
      <c r="H2371" s="630">
        <f t="shared" si="240"/>
        <v>76.737600799046817</v>
      </c>
      <c r="I2371" s="630">
        <f t="shared" si="240"/>
        <v>77.114192230834988</v>
      </c>
      <c r="J2371" s="630">
        <f t="shared" si="240"/>
        <v>78.656476075451693</v>
      </c>
    </row>
    <row r="2372" spans="2:10" ht="15.75">
      <c r="B2372" s="53" t="s">
        <v>4390</v>
      </c>
      <c r="C2372" s="54">
        <f t="shared" ref="C2372:J2372" si="241">-C2371/C2367</f>
        <v>-0.13877136449423957</v>
      </c>
      <c r="D2372" s="54">
        <f t="shared" si="241"/>
        <v>-0.15235363333770546</v>
      </c>
      <c r="E2372" s="54">
        <f t="shared" si="241"/>
        <v>-0.13</v>
      </c>
      <c r="F2372" s="54">
        <f t="shared" si="241"/>
        <v>-0.10999999999999999</v>
      </c>
      <c r="G2372" s="54">
        <f t="shared" si="241"/>
        <v>-0.1</v>
      </c>
      <c r="H2372" s="54">
        <f t="shared" si="241"/>
        <v>-8.9999999999999983E-2</v>
      </c>
      <c r="I2372" s="54">
        <f t="shared" si="241"/>
        <v>-8.9999999999999983E-2</v>
      </c>
      <c r="J2372" s="54">
        <f t="shared" si="241"/>
        <v>-0.09</v>
      </c>
    </row>
    <row r="2373" spans="2:10" ht="15.75">
      <c r="B2373" s="53" t="s">
        <v>27</v>
      </c>
      <c r="D2373" s="630">
        <f t="shared" ref="D2373:J2373" si="242">D2369-D2371</f>
        <v>93.567567567567565</v>
      </c>
      <c r="E2373" s="630">
        <f t="shared" si="242"/>
        <v>141.3451454545455</v>
      </c>
      <c r="F2373" s="630">
        <f t="shared" si="242"/>
        <v>202.53755391327206</v>
      </c>
      <c r="G2373" s="630">
        <f t="shared" si="242"/>
        <v>198.91677946721649</v>
      </c>
      <c r="H2373" s="630">
        <f t="shared" si="242"/>
        <v>238.73920248592347</v>
      </c>
      <c r="I2373" s="630">
        <f t="shared" si="242"/>
        <v>248.47906385491279</v>
      </c>
      <c r="J2373" s="630">
        <f t="shared" si="242"/>
        <v>253.44864513201111</v>
      </c>
    </row>
    <row r="2374" spans="2:10" ht="15.75">
      <c r="B2374" s="53" t="s">
        <v>4395</v>
      </c>
      <c r="D2374" s="54">
        <f t="shared" ref="D2374:J2374" si="243">D2373/D2367</f>
        <v>0.12503920662891424</v>
      </c>
      <c r="E2374" s="54">
        <f t="shared" si="243"/>
        <v>0.19000000000000006</v>
      </c>
      <c r="F2374" s="54">
        <f t="shared" si="243"/>
        <v>0.24</v>
      </c>
      <c r="G2374" s="54">
        <f t="shared" si="243"/>
        <v>0.2599999999999999</v>
      </c>
      <c r="H2374" s="54">
        <f t="shared" si="243"/>
        <v>0.28000000000000003</v>
      </c>
      <c r="I2374" s="54">
        <f t="shared" si="243"/>
        <v>0.29000000000000004</v>
      </c>
      <c r="J2374" s="54">
        <f t="shared" si="243"/>
        <v>0.29000000000000009</v>
      </c>
    </row>
    <row r="2375" spans="2:10" ht="15.75">
      <c r="B2375" s="53" t="s">
        <v>249</v>
      </c>
      <c r="D2375" s="630">
        <f t="shared" ref="D2375:J2375" si="244">D2361/D$2364</f>
        <v>38.739743954480801</v>
      </c>
      <c r="E2375" s="630">
        <f t="shared" si="244"/>
        <v>92.678529292929326</v>
      </c>
      <c r="F2375" s="630">
        <f t="shared" si="244"/>
        <v>151.88846061498035</v>
      </c>
      <c r="G2375" s="630">
        <f t="shared" si="244"/>
        <v>154.76562253709054</v>
      </c>
      <c r="H2375" s="630">
        <f t="shared" si="244"/>
        <v>190.49895217303236</v>
      </c>
      <c r="I2375" s="630">
        <f t="shared" si="244"/>
        <v>200.95260269584986</v>
      </c>
      <c r="J2375" s="630">
        <f t="shared" si="244"/>
        <v>205.9221839729482</v>
      </c>
    </row>
    <row r="2376" spans="2:10" ht="15.75">
      <c r="B2376" s="53" t="s">
        <v>115</v>
      </c>
      <c r="C2376" s="630"/>
      <c r="D2376" s="630">
        <f>D2362/753</f>
        <v>787.49535192563076</v>
      </c>
      <c r="E2376" s="630">
        <f>E2362/E$2364</f>
        <v>656.03864242424243</v>
      </c>
      <c r="F2376" s="630">
        <f>F2362/F$2364</f>
        <v>530.87448918791051</v>
      </c>
      <c r="G2376" s="630">
        <f>G2362/G$2364</f>
        <v>308.00125749956459</v>
      </c>
      <c r="H2376" s="630">
        <f>H2362/H$2364</f>
        <v>146.02807886216146</v>
      </c>
      <c r="I2376" s="630">
        <f>I2362/I$2364</f>
        <v>-57.085235234854778</v>
      </c>
      <c r="J2376" s="630"/>
    </row>
    <row r="2377" spans="2:10" ht="15.75">
      <c r="B2377" s="53"/>
      <c r="C2377" s="53"/>
      <c r="D2377" s="53"/>
      <c r="E2377" s="54"/>
      <c r="F2377" s="53"/>
      <c r="G2377" s="53"/>
      <c r="H2377" s="53"/>
      <c r="I2377" s="53"/>
      <c r="J2377" s="53"/>
    </row>
    <row r="2378" spans="2:10" ht="15.75">
      <c r="B2378" s="995" t="s">
        <v>4489</v>
      </c>
      <c r="C2378" s="996">
        <f>C2379*F2369</f>
        <v>2067.5708628646521</v>
      </c>
      <c r="D2378" s="53"/>
      <c r="E2378" s="53"/>
      <c r="F2378" s="53"/>
      <c r="G2378" s="53"/>
      <c r="H2378" s="53"/>
      <c r="I2378" s="53"/>
      <c r="J2378" s="53"/>
    </row>
    <row r="2379" spans="2:10" ht="15.75">
      <c r="B2379" s="967" t="s">
        <v>5286</v>
      </c>
      <c r="C2379" s="997">
        <v>7</v>
      </c>
      <c r="D2379" s="53"/>
      <c r="E2379" s="53"/>
      <c r="F2379" s="53"/>
      <c r="G2379" s="53"/>
      <c r="H2379" s="53"/>
      <c r="I2379" s="53"/>
      <c r="J2379" s="53"/>
    </row>
    <row r="2380" spans="2:10" ht="15.75">
      <c r="B2380" s="53"/>
      <c r="C2380" s="630"/>
      <c r="D2380" s="53"/>
      <c r="E2380" s="53"/>
      <c r="F2380" s="53"/>
      <c r="G2380" s="53"/>
      <c r="H2380" s="53"/>
      <c r="I2380" s="53"/>
      <c r="J2380" s="53"/>
    </row>
    <row r="2381" spans="2:10" ht="15.75">
      <c r="B2381" s="53" t="s">
        <v>4491</v>
      </c>
      <c r="C2381" s="630">
        <f>E2376</f>
        <v>656.03864242424243</v>
      </c>
      <c r="D2381" s="53"/>
      <c r="E2381" s="53"/>
      <c r="F2381" s="53"/>
      <c r="G2381" s="53"/>
      <c r="H2381" s="53"/>
      <c r="I2381" s="53"/>
      <c r="J2381" s="53"/>
    </row>
    <row r="2382" spans="2:10" ht="15.75">
      <c r="B2382" s="53" t="s">
        <v>4492</v>
      </c>
      <c r="C2382" s="630">
        <f>C2378-C2381</f>
        <v>1411.5322204404097</v>
      </c>
      <c r="D2382" s="53"/>
      <c r="E2382" s="53"/>
      <c r="F2382" s="53"/>
      <c r="G2382" s="53"/>
      <c r="H2382" s="53"/>
      <c r="I2382" s="53"/>
      <c r="J2382" s="53"/>
    </row>
    <row r="2383" spans="2:10" ht="15.75">
      <c r="B2383" s="53" t="s">
        <v>4202</v>
      </c>
      <c r="C2383" s="651">
        <v>1</v>
      </c>
      <c r="D2383" s="53"/>
      <c r="E2383" s="53"/>
      <c r="F2383" s="53"/>
      <c r="G2383" s="53"/>
      <c r="H2383" s="53"/>
      <c r="I2383" s="53"/>
      <c r="J2383" s="53"/>
    </row>
    <row r="2384" spans="2:10" ht="15.75">
      <c r="B2384" s="53" t="s">
        <v>4490</v>
      </c>
      <c r="C2384" s="630">
        <f>C2383*C2382</f>
        <v>1411.5322204404097</v>
      </c>
      <c r="D2384" s="53"/>
      <c r="E2384" s="53"/>
      <c r="F2384" s="53"/>
      <c r="G2384" s="53"/>
      <c r="H2384" s="53"/>
      <c r="I2384" s="53"/>
      <c r="J2384" s="53"/>
    </row>
    <row r="2385" spans="2:10" ht="15.75" outlineLevel="1">
      <c r="B2385" s="53" t="s">
        <v>4288</v>
      </c>
      <c r="C2385" s="630">
        <f>C2384-C2382</f>
        <v>0</v>
      </c>
      <c r="D2385" s="53"/>
      <c r="E2385" s="53"/>
      <c r="F2385" s="53"/>
      <c r="G2385" s="53"/>
      <c r="H2385" s="53"/>
      <c r="I2385" s="53"/>
      <c r="J2385" s="53"/>
    </row>
    <row r="2386" spans="2:10" ht="15.75" outlineLevel="1">
      <c r="B2386" s="53" t="s">
        <v>4285</v>
      </c>
      <c r="C2386" s="649">
        <v>16</v>
      </c>
      <c r="D2386" s="53"/>
      <c r="E2386" s="53"/>
      <c r="F2386" s="53"/>
      <c r="G2386" s="53"/>
      <c r="H2386" s="53"/>
      <c r="I2386" s="53"/>
      <c r="J2386" s="53"/>
    </row>
    <row r="2387" spans="2:10" ht="15.75" outlineLevel="1">
      <c r="B2387" s="53" t="s">
        <v>4286</v>
      </c>
      <c r="C2387" s="621">
        <f>C2385/C2386</f>
        <v>0</v>
      </c>
      <c r="D2387" s="53"/>
      <c r="E2387" s="53"/>
      <c r="F2387" s="53"/>
      <c r="G2387" s="53"/>
      <c r="H2387" s="53"/>
      <c r="I2387" s="53"/>
      <c r="J2387" s="53"/>
    </row>
    <row r="2388" spans="2:10" ht="15.75" outlineLevel="1">
      <c r="B2388" s="53" t="s">
        <v>4287</v>
      </c>
      <c r="C2388" s="481">
        <f>C2387+Valuation!K5</f>
        <v>232.03</v>
      </c>
      <c r="D2388" s="53"/>
      <c r="E2388" s="53"/>
      <c r="F2388" s="53"/>
      <c r="G2388" s="53"/>
      <c r="H2388" s="53"/>
      <c r="I2388" s="53"/>
      <c r="J2388" s="53"/>
    </row>
    <row r="2389" spans="2:10" ht="15.75">
      <c r="B2389" s="53"/>
      <c r="C2389" s="53"/>
      <c r="D2389" s="53"/>
      <c r="E2389" s="53"/>
      <c r="F2389" s="53"/>
      <c r="G2389" s="53"/>
      <c r="H2389" s="53"/>
      <c r="I2389" s="53"/>
      <c r="J2389" s="53"/>
    </row>
    <row r="2390" spans="2:10" ht="15.75">
      <c r="B2390" s="53" t="s">
        <v>4388</v>
      </c>
      <c r="C2390" s="53"/>
      <c r="D2390" s="53"/>
      <c r="E2390" s="853">
        <v>0.06</v>
      </c>
      <c r="F2390" s="630"/>
      <c r="G2390" s="53"/>
      <c r="H2390" s="53"/>
      <c r="I2390" s="53"/>
      <c r="J2390" s="53"/>
    </row>
    <row r="2391" spans="2:10" ht="15.75" outlineLevel="1">
      <c r="B2391" s="53" t="s">
        <v>4205</v>
      </c>
      <c r="C2391" s="53"/>
      <c r="D2391" s="53"/>
      <c r="E2391" s="630">
        <f>E2390*C2384</f>
        <v>84.691933226424581</v>
      </c>
      <c r="F2391" s="630">
        <f>E2391</f>
        <v>84.691933226424581</v>
      </c>
      <c r="G2391" s="630">
        <f>F2391</f>
        <v>84.691933226424581</v>
      </c>
      <c r="H2391" s="630">
        <f>G2391</f>
        <v>84.691933226424581</v>
      </c>
      <c r="I2391" s="630">
        <f>H2391</f>
        <v>84.691933226424581</v>
      </c>
      <c r="J2391" s="630">
        <f>I2391</f>
        <v>84.691933226424581</v>
      </c>
    </row>
    <row r="2392" spans="2:10" ht="15.75" outlineLevel="1">
      <c r="B2392" s="53" t="s">
        <v>1664</v>
      </c>
      <c r="C2392" s="53"/>
      <c r="D2392" s="53"/>
      <c r="E2392" s="630"/>
      <c r="F2392" s="630">
        <f>E2392+F2391</f>
        <v>84.691933226424581</v>
      </c>
      <c r="G2392" s="630">
        <f>F2392+G2391</f>
        <v>169.38386645284916</v>
      </c>
      <c r="H2392" s="630">
        <f>G2392+H2391</f>
        <v>254.07579967927376</v>
      </c>
      <c r="I2392" s="630">
        <f>H2392+I2391</f>
        <v>338.76773290569832</v>
      </c>
      <c r="J2392" s="630">
        <f>I2392+J2391</f>
        <v>423.45966613212289</v>
      </c>
    </row>
    <row r="2394" spans="2:10" ht="15.75">
      <c r="B2394" s="636" t="s">
        <v>3871</v>
      </c>
      <c r="C2394" s="636"/>
      <c r="D2394" s="636"/>
      <c r="E2394" s="636">
        <v>2020</v>
      </c>
      <c r="F2394" s="636">
        <f>E2394+1</f>
        <v>2021</v>
      </c>
      <c r="G2394" s="636">
        <f>F2394+1</f>
        <v>2022</v>
      </c>
      <c r="H2394" s="636">
        <f>G2394+1</f>
        <v>2023</v>
      </c>
      <c r="I2394" s="636">
        <f>H2394+1</f>
        <v>2024</v>
      </c>
      <c r="J2394" s="636">
        <f>I2394+1</f>
        <v>2025</v>
      </c>
    </row>
    <row r="2395" spans="2:10" ht="15.75">
      <c r="B2395" s="53" t="s">
        <v>4486</v>
      </c>
      <c r="C2395" s="53"/>
      <c r="D2395" s="53"/>
      <c r="E2395" s="630"/>
      <c r="F2395" s="630"/>
      <c r="G2395" s="630"/>
      <c r="H2395" s="630"/>
      <c r="I2395" s="630"/>
      <c r="J2395" s="53"/>
    </row>
    <row r="2396" spans="2:10" ht="15.75">
      <c r="B2396" s="53" t="s">
        <v>4396</v>
      </c>
      <c r="C2396" s="53"/>
      <c r="D2396" s="53"/>
      <c r="E2396" s="630">
        <f>(Master!L47-Master!L70)+(E2367-E2369)</f>
        <v>1007.2557252525255</v>
      </c>
      <c r="F2396" s="630">
        <f>(Master!M47-Master!M70)+(F2367-F2369)</f>
        <v>1073.541179605782</v>
      </c>
      <c r="G2396" s="630">
        <f>(Master!N47-Master!N70)+(G2367-G2369)</f>
        <v>824.64130330391777</v>
      </c>
      <c r="H2396" s="630">
        <f>(Master!O47-Master!O70)+(H2367-H2369)</f>
        <v>537.1632055933278</v>
      </c>
      <c r="I2396" s="630">
        <f>(Master!P47-Master!P70)+(I2367-I2369)</f>
        <v>531.23110203464103</v>
      </c>
      <c r="J2396" s="630">
        <f>(Master!Q47-Master!Q70)+(J2367-J2369)</f>
        <v>541.85572407533391</v>
      </c>
    </row>
    <row r="2397" spans="2:10" ht="15.75">
      <c r="B2397" s="50" t="s">
        <v>4397</v>
      </c>
      <c r="C2397" s="50"/>
      <c r="D2397" s="50"/>
      <c r="E2397" s="632">
        <f>Master!L117+E2371</f>
        <v>268.55327070707074</v>
      </c>
      <c r="F2397" s="632">
        <f>Master!M117+F2371</f>
        <v>291.9297122102497</v>
      </c>
      <c r="G2397" s="632">
        <f>Master!N117+G2371</f>
        <v>192.10645364123712</v>
      </c>
      <c r="H2397" s="632">
        <f>Master!O117+H2371</f>
        <v>76.737600799046817</v>
      </c>
      <c r="I2397" s="632">
        <f>Master!P117+I2371</f>
        <v>77.114192230834988</v>
      </c>
      <c r="J2397" s="632">
        <f>Master!Q117+J2371</f>
        <v>78.656476075451693</v>
      </c>
    </row>
    <row r="2398" spans="2:10" ht="15.75">
      <c r="B2398" s="53" t="s">
        <v>16</v>
      </c>
      <c r="C2398" s="53"/>
      <c r="D2398" s="53"/>
      <c r="E2398" s="630">
        <f t="shared" ref="E2398:J2398" si="245">E2396+E2397</f>
        <v>1275.8089959595964</v>
      </c>
      <c r="F2398" s="630">
        <f t="shared" si="245"/>
        <v>1365.4708918160318</v>
      </c>
      <c r="G2398" s="630">
        <f t="shared" si="245"/>
        <v>1016.7477569451548</v>
      </c>
      <c r="H2398" s="630">
        <f t="shared" si="245"/>
        <v>613.90080639237465</v>
      </c>
      <c r="I2398" s="630">
        <f t="shared" si="245"/>
        <v>608.34529426547601</v>
      </c>
      <c r="J2398" s="630">
        <f t="shared" si="245"/>
        <v>620.51220015078559</v>
      </c>
    </row>
    <row r="2399" spans="2:10" ht="15.75">
      <c r="B2399" s="53" t="s">
        <v>1975</v>
      </c>
      <c r="C2399" s="53"/>
      <c r="D2399" s="53"/>
      <c r="E2399" s="56">
        <f t="shared" ref="E2399:J2399" si="246">E2245</f>
        <v>0</v>
      </c>
      <c r="F2399" s="56">
        <f t="shared" si="246"/>
        <v>0.01</v>
      </c>
      <c r="G2399" s="56">
        <f t="shared" si="246"/>
        <v>0.02</v>
      </c>
      <c r="H2399" s="56">
        <f t="shared" si="246"/>
        <v>0.03</v>
      </c>
      <c r="I2399" s="56">
        <f t="shared" si="246"/>
        <v>0.04</v>
      </c>
      <c r="J2399" s="56">
        <f t="shared" si="246"/>
        <v>5.8000000000000003E-2</v>
      </c>
    </row>
    <row r="2400" spans="2:10" ht="15.75">
      <c r="B2400" s="53" t="s">
        <v>1976</v>
      </c>
      <c r="C2400" s="53"/>
      <c r="D2400" s="53"/>
      <c r="E2400" s="630">
        <f t="shared" ref="E2400:J2400" si="247">E2399*E2398</f>
        <v>0</v>
      </c>
      <c r="F2400" s="630">
        <f t="shared" si="247"/>
        <v>13.654708918160319</v>
      </c>
      <c r="G2400" s="630">
        <f t="shared" si="247"/>
        <v>20.334955138903098</v>
      </c>
      <c r="H2400" s="630">
        <f t="shared" si="247"/>
        <v>18.41702419177124</v>
      </c>
      <c r="I2400" s="630">
        <f t="shared" si="247"/>
        <v>24.33381177061904</v>
      </c>
      <c r="J2400" s="630">
        <f t="shared" si="247"/>
        <v>35.989707608745569</v>
      </c>
    </row>
    <row r="2401" spans="2:10" ht="15.75">
      <c r="B2401" s="53" t="s">
        <v>4398</v>
      </c>
      <c r="C2401" s="53"/>
      <c r="D2401" s="630"/>
      <c r="E2401" s="630">
        <f t="shared" ref="E2401:J2401" si="248">(1-0.28)*E2400</f>
        <v>0</v>
      </c>
      <c r="F2401" s="630">
        <f t="shared" si="248"/>
        <v>9.8313904210754295</v>
      </c>
      <c r="G2401" s="630">
        <f t="shared" si="248"/>
        <v>14.64116770001023</v>
      </c>
      <c r="H2401" s="630">
        <f t="shared" si="248"/>
        <v>13.260257418075293</v>
      </c>
      <c r="I2401" s="630">
        <f t="shared" si="248"/>
        <v>17.520344474845707</v>
      </c>
      <c r="J2401" s="630">
        <f t="shared" si="248"/>
        <v>25.912589478296809</v>
      </c>
    </row>
    <row r="2402" spans="2:10" ht="16.5" thickBot="1">
      <c r="B2402" s="53"/>
      <c r="C2402" s="53"/>
      <c r="D2402" s="630"/>
      <c r="E2402" s="630"/>
      <c r="F2402" s="630"/>
      <c r="G2402" s="630"/>
      <c r="H2402" s="630"/>
      <c r="I2402" s="630"/>
      <c r="J2402" s="630"/>
    </row>
    <row r="2403" spans="2:10" ht="15.75" hidden="1" outlineLevel="1">
      <c r="B2403" s="53" t="s">
        <v>378</v>
      </c>
      <c r="C2403" s="56">
        <v>7.4999999999999997E-2</v>
      </c>
      <c r="D2403" s="53"/>
      <c r="E2403" s="53"/>
      <c r="F2403" s="53"/>
      <c r="G2403" s="53"/>
      <c r="H2403" s="53"/>
      <c r="I2403" s="53"/>
      <c r="J2403" s="53"/>
    </row>
    <row r="2404" spans="2:10" ht="15.75" hidden="1" outlineLevel="1">
      <c r="B2404" s="53" t="s">
        <v>1117</v>
      </c>
      <c r="C2404" s="630">
        <f>NPV(C2403,D2401:J2401)</f>
        <v>59.216581235988002</v>
      </c>
      <c r="D2404" s="53"/>
      <c r="E2404" s="53"/>
      <c r="F2404" s="53"/>
      <c r="G2404" s="53"/>
      <c r="H2404" s="53"/>
      <c r="I2404" s="53"/>
      <c r="J2404" s="53"/>
    </row>
    <row r="2405" spans="2:10" ht="15.75" hidden="1" outlineLevel="1">
      <c r="B2405" s="53" t="s">
        <v>1406</v>
      </c>
      <c r="C2405" s="56">
        <v>0</v>
      </c>
      <c r="D2405" s="53"/>
      <c r="E2405" s="53"/>
      <c r="F2405" s="53"/>
      <c r="G2405" s="53"/>
      <c r="H2405" s="53"/>
      <c r="I2405" s="53"/>
      <c r="J2405" s="53"/>
    </row>
    <row r="2406" spans="2:10" ht="15.75" hidden="1" outlineLevel="1">
      <c r="B2406" s="53" t="s">
        <v>817</v>
      </c>
      <c r="C2406" s="630">
        <f>1/(C2403-C2405)</f>
        <v>13.333333333333334</v>
      </c>
      <c r="D2406" s="53"/>
      <c r="E2406" s="53"/>
      <c r="F2406" s="53"/>
      <c r="G2406" s="53"/>
      <c r="H2406" s="53"/>
      <c r="I2406" s="53"/>
      <c r="J2406" s="53"/>
    </row>
    <row r="2407" spans="2:10" ht="15.75" hidden="1" outlineLevel="1">
      <c r="B2407" s="53" t="s">
        <v>389</v>
      </c>
      <c r="C2407" s="630">
        <f>C2406*J2401</f>
        <v>345.50119304395747</v>
      </c>
      <c r="D2407" s="53"/>
      <c r="E2407" s="53"/>
      <c r="F2407" s="53"/>
      <c r="G2407" s="53"/>
      <c r="H2407" s="53"/>
      <c r="I2407" s="53"/>
      <c r="J2407" s="53"/>
    </row>
    <row r="2408" spans="2:10" ht="16.5" hidden="1" outlineLevel="1" thickBot="1">
      <c r="B2408" s="53" t="s">
        <v>390</v>
      </c>
      <c r="C2408" s="630">
        <f>C2407/(1+C2403)^6</f>
        <v>223.87147767630933</v>
      </c>
      <c r="D2408" s="53"/>
      <c r="E2408" s="53"/>
      <c r="F2408" s="53"/>
      <c r="G2408" s="53"/>
      <c r="H2408" s="53"/>
      <c r="I2408" s="53"/>
      <c r="J2408" s="53"/>
    </row>
    <row r="2409" spans="2:10" ht="16.5" collapsed="1" thickBot="1">
      <c r="B2409" s="775" t="s">
        <v>4493</v>
      </c>
      <c r="C2409" s="985">
        <f>C2404+C2408</f>
        <v>283.08805891229736</v>
      </c>
      <c r="D2409" s="53"/>
      <c r="E2409" s="53"/>
      <c r="F2409" s="53"/>
      <c r="G2409" s="53"/>
      <c r="H2409" s="53"/>
      <c r="I2409" s="53"/>
      <c r="J2409" s="53"/>
    </row>
    <row r="2410" spans="2:10" ht="15.75">
      <c r="B2410" s="53" t="s">
        <v>4418</v>
      </c>
      <c r="C2410" s="639">
        <f>(C2378-C2409)/E2369</f>
        <v>7.4960951891159366</v>
      </c>
      <c r="D2410" s="53"/>
      <c r="E2410" s="53"/>
      <c r="F2410" s="53"/>
      <c r="G2410" s="53"/>
      <c r="H2410" s="53"/>
      <c r="I2410" s="53"/>
      <c r="J2410" s="53"/>
    </row>
    <row r="2411" spans="2:10" ht="15.75">
      <c r="B2411" s="53"/>
      <c r="C2411" s="639"/>
      <c r="D2411" s="53"/>
      <c r="E2411" s="53"/>
      <c r="F2411" s="53"/>
      <c r="G2411" s="53"/>
      <c r="H2411" s="53"/>
      <c r="I2411" s="53"/>
      <c r="J2411" s="53"/>
    </row>
    <row r="2412" spans="2:10" ht="15.75">
      <c r="B2412" s="58" t="s">
        <v>4697</v>
      </c>
      <c r="C2412" s="58"/>
      <c r="D2412" s="58"/>
      <c r="E2412" s="58"/>
      <c r="F2412" s="58"/>
      <c r="G2412" s="58"/>
      <c r="H2412" s="58"/>
      <c r="I2412" s="58"/>
      <c r="J2412" s="58"/>
    </row>
    <row r="2413" spans="2:10" ht="15.75">
      <c r="B2413" s="53" t="s">
        <v>2541</v>
      </c>
      <c r="C2413" s="53"/>
      <c r="D2413" s="53"/>
      <c r="E2413" s="630">
        <f>Valuation!K82</f>
        <v>7205.4250000000011</v>
      </c>
      <c r="F2413" s="630">
        <f>Valuation!L82</f>
        <v>7752.1</v>
      </c>
      <c r="G2413" s="630">
        <f>Valuation!M82</f>
        <v>5985.04</v>
      </c>
      <c r="H2413" s="630">
        <f>Valuation!N82</f>
        <v>6965.1</v>
      </c>
      <c r="I2413" s="630">
        <f ca="1">Valuation!O82</f>
        <v>7014.3337002453673</v>
      </c>
      <c r="J2413" s="630">
        <f ca="1">Valuation!P82</f>
        <v>6324.4399585298033</v>
      </c>
    </row>
    <row r="2414" spans="2:10" ht="15.75">
      <c r="B2414" s="53" t="s">
        <v>1408</v>
      </c>
      <c r="C2414" s="53"/>
      <c r="D2414" s="53"/>
      <c r="E2414" s="630">
        <f>Valuation!K84</f>
        <v>1601.1351066666668</v>
      </c>
      <c r="F2414" s="630">
        <f>Valuation!L84</f>
        <v>1687.1845060877336</v>
      </c>
      <c r="G2414" s="630">
        <f>Valuation!M84</f>
        <v>1550.9752100000001</v>
      </c>
      <c r="H2414" s="630">
        <f>Valuation!N84</f>
        <v>1506.91075</v>
      </c>
      <c r="I2414" s="630">
        <f>Valuation!O84</f>
        <v>1368.1546169601884</v>
      </c>
      <c r="J2414" s="630">
        <f>Valuation!P84</f>
        <v>1578.5005985688013</v>
      </c>
    </row>
    <row r="2415" spans="2:10" ht="15.75">
      <c r="B2415" s="53" t="s">
        <v>273</v>
      </c>
      <c r="C2415" s="53"/>
      <c r="D2415" s="53"/>
      <c r="E2415" s="639">
        <f t="shared" ref="E2415:J2415" si="249">E2413/E2414</f>
        <v>4.5001979970326556</v>
      </c>
      <c r="F2415" s="639">
        <f t="shared" si="249"/>
        <v>4.594696058450463</v>
      </c>
      <c r="G2415" s="639">
        <f t="shared" si="249"/>
        <v>3.8588882410312668</v>
      </c>
      <c r="H2415" s="639">
        <f t="shared" si="249"/>
        <v>4.6221051910340414</v>
      </c>
      <c r="I2415" s="639">
        <f t="shared" ca="1" si="249"/>
        <v>5.1268574569664125</v>
      </c>
      <c r="J2415" s="639">
        <f t="shared" ca="1" si="249"/>
        <v>4.0066123283475861</v>
      </c>
    </row>
    <row r="2416" spans="2:10" ht="15.75">
      <c r="B2416" s="53"/>
      <c r="C2416" s="53"/>
      <c r="D2416" s="53"/>
      <c r="E2416" s="53"/>
      <c r="F2416" s="53"/>
      <c r="G2416" s="53"/>
      <c r="H2416" s="53"/>
      <c r="I2416" s="53"/>
      <c r="J2416" s="53"/>
    </row>
    <row r="2417" spans="2:10" ht="15.75">
      <c r="B2417" s="58" t="s">
        <v>4698</v>
      </c>
      <c r="C2417" s="53"/>
      <c r="D2417" s="53"/>
      <c r="E2417" s="53"/>
      <c r="F2417" s="53"/>
      <c r="G2417" s="53"/>
      <c r="H2417" s="53"/>
      <c r="I2417" s="53"/>
      <c r="J2417" s="53"/>
    </row>
    <row r="2418" spans="2:10" ht="15.75">
      <c r="B2418" s="53" t="s">
        <v>2541</v>
      </c>
      <c r="C2418" s="53"/>
      <c r="D2418" s="53"/>
      <c r="E2418" s="630">
        <f t="shared" ref="E2418:J2418" si="250">E2413+$C$2384+E2392+E2376</f>
        <v>9272.9958628646527</v>
      </c>
      <c r="F2418" s="630">
        <f t="shared" si="250"/>
        <v>9779.1986428547443</v>
      </c>
      <c r="G2418" s="630">
        <f t="shared" si="250"/>
        <v>7873.9573443928239</v>
      </c>
      <c r="H2418" s="630">
        <f t="shared" si="250"/>
        <v>8776.7360989818462</v>
      </c>
      <c r="I2418" s="630">
        <f t="shared" ca="1" si="250"/>
        <v>8707.5484183566205</v>
      </c>
      <c r="J2418" s="630">
        <f t="shared" ca="1" si="250"/>
        <v>8159.4318451023355</v>
      </c>
    </row>
    <row r="2419" spans="2:10" ht="15.75">
      <c r="B2419" s="53" t="s">
        <v>1408</v>
      </c>
      <c r="C2419" s="53"/>
      <c r="D2419" s="53"/>
      <c r="E2419" s="630">
        <f t="shared" ref="E2419:J2419" si="251">E2414+E2369</f>
        <v>1839.1900884848487</v>
      </c>
      <c r="F2419" s="630">
        <f t="shared" si="251"/>
        <v>1982.5517722112554</v>
      </c>
      <c r="G2419" s="630">
        <f t="shared" si="251"/>
        <v>1826.3984431084536</v>
      </c>
      <c r="H2419" s="630">
        <f t="shared" si="251"/>
        <v>1822.3875532849702</v>
      </c>
      <c r="I2419" s="630">
        <f t="shared" si="251"/>
        <v>1693.7478730459361</v>
      </c>
      <c r="J2419" s="630">
        <f t="shared" si="251"/>
        <v>1910.6057197762641</v>
      </c>
    </row>
    <row r="2420" spans="2:10" ht="15.75">
      <c r="B2420" s="53" t="s">
        <v>273</v>
      </c>
      <c r="C2420" s="53"/>
      <c r="D2420" s="53"/>
      <c r="E2420" s="639">
        <f t="shared" ref="E2420:J2420" si="252">E2418/E2419</f>
        <v>5.0418909502192237</v>
      </c>
      <c r="F2420" s="639">
        <f t="shared" si="252"/>
        <v>4.9326321662447352</v>
      </c>
      <c r="G2420" s="639">
        <f t="shared" si="252"/>
        <v>4.3111936358156759</v>
      </c>
      <c r="H2420" s="639">
        <f t="shared" si="252"/>
        <v>4.8160645539754796</v>
      </c>
      <c r="I2420" s="639">
        <f t="shared" ca="1" si="252"/>
        <v>5.1409944519649668</v>
      </c>
      <c r="J2420" s="639">
        <f t="shared" ca="1" si="252"/>
        <v>4.270599507080834</v>
      </c>
    </row>
    <row r="2421" spans="2:10" ht="15.75">
      <c r="B2421" s="53"/>
      <c r="C2421" s="53"/>
      <c r="D2421" s="53"/>
      <c r="E2421" s="639"/>
      <c r="F2421" s="639"/>
      <c r="G2421" s="639"/>
      <c r="H2421" s="639"/>
      <c r="I2421" s="639"/>
      <c r="J2421" s="639"/>
    </row>
    <row r="2422" spans="2:10" ht="15.75">
      <c r="B2422" s="53" t="s">
        <v>4488</v>
      </c>
      <c r="C2422" s="53"/>
      <c r="D2422" s="53"/>
      <c r="E2422" s="630">
        <f>Valuation!K28</f>
        <v>196.00200000000001</v>
      </c>
      <c r="F2422" s="630">
        <f>Valuation!L28</f>
        <v>243.97968593955338</v>
      </c>
      <c r="G2422" s="630">
        <f>Valuation!M28</f>
        <v>229.24999999999997</v>
      </c>
      <c r="H2422" s="630">
        <f>Valuation!N28</f>
        <v>193.96999999999989</v>
      </c>
      <c r="I2422" s="630">
        <f ca="1">Valuation!O28</f>
        <v>136.49958891740317</v>
      </c>
      <c r="J2422" s="630">
        <f ca="1">Valuation!P28</f>
        <v>249.28592382841885</v>
      </c>
    </row>
    <row r="2423" spans="2:10" ht="15.75">
      <c r="B2423" s="53" t="s">
        <v>4699</v>
      </c>
      <c r="C2423" s="53"/>
      <c r="D2423" s="53"/>
      <c r="E2423" s="639">
        <f>E2422/Valuation!K5</f>
        <v>0.84472697496013449</v>
      </c>
      <c r="F2423" s="639">
        <f>F2422/Valuation!L5</f>
        <v>1.0620279717039713</v>
      </c>
      <c r="G2423" s="639">
        <f>G2422/Valuation!M5</f>
        <v>1.0638051044083525</v>
      </c>
      <c r="H2423" s="639">
        <f>H2422/Valuation!N5</f>
        <v>0.94758182706399563</v>
      </c>
      <c r="I2423" s="639">
        <f ca="1">I2422/Valuation!O5</f>
        <v>0.73903404936330908</v>
      </c>
      <c r="J2423" s="639">
        <f ca="1">J2422/Valuation!P5</f>
        <v>1.4689801050584494</v>
      </c>
    </row>
    <row r="2424" spans="2:10" ht="15.75">
      <c r="B2424" s="53" t="s">
        <v>4961</v>
      </c>
      <c r="C2424" s="53"/>
      <c r="D2424" s="53"/>
      <c r="E2424" s="630">
        <f t="shared" ref="E2424:J2424" si="253">E2422+E2375-E2391+E2401</f>
        <v>203.98859606650478</v>
      </c>
      <c r="F2424" s="630">
        <f t="shared" si="253"/>
        <v>321.00760374918457</v>
      </c>
      <c r="G2424" s="630">
        <f t="shared" si="253"/>
        <v>313.96485701067616</v>
      </c>
      <c r="H2424" s="630">
        <f t="shared" si="253"/>
        <v>313.03727636468295</v>
      </c>
      <c r="I2424" s="630">
        <f t="shared" ca="1" si="253"/>
        <v>270.2806028616742</v>
      </c>
      <c r="J2424" s="630">
        <f t="shared" ca="1" si="253"/>
        <v>396.42876405323932</v>
      </c>
    </row>
    <row r="2425" spans="2:10" ht="16.5" thickBot="1">
      <c r="B2425" s="53" t="s">
        <v>1166</v>
      </c>
      <c r="C2425" s="53"/>
      <c r="D2425" s="53"/>
      <c r="E2425" s="630">
        <f>Valuation!K5+$C$2387</f>
        <v>232.03</v>
      </c>
      <c r="F2425" s="630">
        <f>Valuation!L5+$C$2387</f>
        <v>229.73000000000002</v>
      </c>
      <c r="G2425" s="630">
        <f>Valuation!M5+$C$2387</f>
        <v>215.5</v>
      </c>
      <c r="H2425" s="630">
        <f>Valuation!N5+$C$2387</f>
        <v>204.7</v>
      </c>
      <c r="I2425" s="630">
        <f>Valuation!O5+$C$2387</f>
        <v>184.7</v>
      </c>
      <c r="J2425" s="630">
        <f>Valuation!P5+$C$2387</f>
        <v>169.7</v>
      </c>
    </row>
    <row r="2426" spans="2:10" ht="15.75">
      <c r="B2426" s="652" t="s">
        <v>1948</v>
      </c>
      <c r="C2426" s="653"/>
      <c r="D2426" s="653"/>
      <c r="E2426" s="1080">
        <f t="shared" ref="E2426:J2426" si="254">E2424/E2425</f>
        <v>0.87914750707453682</v>
      </c>
      <c r="F2426" s="1080">
        <f t="shared" si="254"/>
        <v>1.3973255724075417</v>
      </c>
      <c r="G2426" s="1080">
        <f t="shared" si="254"/>
        <v>1.4569134896087061</v>
      </c>
      <c r="H2426" s="1080">
        <f t="shared" si="254"/>
        <v>1.5292490296271761</v>
      </c>
      <c r="I2426" s="1080">
        <f t="shared" ca="1" si="254"/>
        <v>1.4633492304367852</v>
      </c>
      <c r="J2426" s="1081">
        <f t="shared" ca="1" si="254"/>
        <v>2.3360563585930425</v>
      </c>
    </row>
    <row r="2427" spans="2:10" ht="16.5" thickBot="1">
      <c r="B2427" s="659" t="s">
        <v>78</v>
      </c>
      <c r="C2427" s="660"/>
      <c r="D2427" s="660"/>
      <c r="E2427" s="662"/>
      <c r="F2427" s="662">
        <f>F2426/F2423-1</f>
        <v>0.31571447234633743</v>
      </c>
      <c r="G2427" s="662">
        <f>G2426/G2423-1</f>
        <v>0.36953045588081235</v>
      </c>
      <c r="H2427" s="662">
        <f>H2426/H2423-1</f>
        <v>0.61384377153520187</v>
      </c>
      <c r="I2427" s="662">
        <f ca="1">I2426/I2423-1</f>
        <v>0.98008363985054081</v>
      </c>
      <c r="J2427" s="663">
        <f ca="1">J2426/J2423-1</f>
        <v>0.59025731563607042</v>
      </c>
    </row>
    <row r="2428" spans="2:10" ht="15.75">
      <c r="B2428" s="53"/>
      <c r="C2428" s="53"/>
      <c r="D2428" s="53"/>
      <c r="E2428" s="630"/>
      <c r="F2428" s="630"/>
      <c r="G2428" s="630"/>
      <c r="H2428" s="630"/>
      <c r="I2428" s="630"/>
      <c r="J2428" s="53"/>
    </row>
    <row r="2430" spans="2:10" ht="15.75">
      <c r="B2430" s="53"/>
      <c r="C2430" s="53"/>
      <c r="D2430" s="53"/>
      <c r="E2430" s="639"/>
      <c r="F2430" s="639"/>
      <c r="G2430" s="639"/>
      <c r="H2430" s="639"/>
      <c r="I2430" s="639"/>
      <c r="J2430" s="639"/>
    </row>
    <row r="2431" spans="2:10" ht="15.75">
      <c r="B2431" s="636" t="s">
        <v>4480</v>
      </c>
      <c r="C2431" s="1000"/>
      <c r="D2431" s="998">
        <v>0.1</v>
      </c>
      <c r="E2431" s="999" t="s">
        <v>158</v>
      </c>
    </row>
    <row r="2432" spans="2:10" ht="15.75">
      <c r="B2432" s="53" t="s">
        <v>4472</v>
      </c>
      <c r="C2432" s="630">
        <f>Valuation!K84</f>
        <v>1601.1351066666668</v>
      </c>
      <c r="D2432" s="630">
        <f>C2432-(C2433-D2433)</f>
        <v>1570.4911672727276</v>
      </c>
      <c r="E2432" s="56">
        <f>D2432/C2432-1</f>
        <v>-1.9138884199307538E-2</v>
      </c>
    </row>
    <row r="2433" spans="2:5" ht="15.75">
      <c r="B2433" s="53" t="s">
        <v>4473</v>
      </c>
      <c r="C2433" s="630">
        <f>Master!L70</f>
        <v>306.43939393939394</v>
      </c>
      <c r="D2433" s="630">
        <f>C2433*(1-D$2431)</f>
        <v>275.79545454545456</v>
      </c>
      <c r="E2433" s="56">
        <f>D2433/C2433-1</f>
        <v>-9.9999999999999978E-2</v>
      </c>
    </row>
    <row r="2434" spans="2:5" ht="15.75">
      <c r="B2434" s="53" t="s">
        <v>28</v>
      </c>
      <c r="C2434" s="54">
        <f>C2433/C2432</f>
        <v>0.19138884199307621</v>
      </c>
      <c r="D2434" s="54">
        <f>D2433/D2432</f>
        <v>0.17561095553589995</v>
      </c>
      <c r="E2434" s="757"/>
    </row>
    <row r="2435" spans="2:5" ht="15.75">
      <c r="B2435" s="53"/>
      <c r="C2435" s="53"/>
      <c r="D2435" s="756"/>
      <c r="E2435" s="757"/>
    </row>
    <row r="2436" spans="2:5" ht="15.75">
      <c r="B2436" s="53" t="s">
        <v>4474</v>
      </c>
      <c r="C2436" s="481">
        <f>Master!L123</f>
        <v>573.44911494949497</v>
      </c>
      <c r="D2436" s="630">
        <f>C2436-(C2437-D2437)</f>
        <v>564.85694323232326</v>
      </c>
      <c r="E2436" s="56">
        <f>D2436/C2436-1</f>
        <v>-1.4983320216526042E-2</v>
      </c>
    </row>
    <row r="2437" spans="2:5" ht="15.75">
      <c r="B2437" s="53" t="s">
        <v>4475</v>
      </c>
      <c r="C2437" s="630">
        <f>Master!L117</f>
        <v>171.84343434343435</v>
      </c>
      <c r="D2437" s="630">
        <f>D2438+D2440</f>
        <v>163.25126262626264</v>
      </c>
      <c r="E2437" s="56">
        <f>D2437/C2437-1</f>
        <v>-4.9999999999999933E-2</v>
      </c>
    </row>
    <row r="2438" spans="2:5" ht="15.75">
      <c r="B2438" s="821" t="s">
        <v>4478</v>
      </c>
      <c r="C2438" s="630">
        <f>C2439*C2437</f>
        <v>85.921717171717177</v>
      </c>
      <c r="D2438" s="630">
        <f>C2438</f>
        <v>85.921717171717177</v>
      </c>
      <c r="E2438" s="757"/>
    </row>
    <row r="2439" spans="2:5" ht="15.75">
      <c r="B2439" s="821" t="s">
        <v>343</v>
      </c>
      <c r="C2439" s="784">
        <v>0.5</v>
      </c>
      <c r="D2439" s="54">
        <f>D2438/D2437</f>
        <v>0.52631578947368418</v>
      </c>
      <c r="E2439" s="757"/>
    </row>
    <row r="2440" spans="2:5" ht="15.75">
      <c r="B2440" s="821" t="s">
        <v>4479</v>
      </c>
      <c r="C2440" s="630">
        <f>C2437-C2438</f>
        <v>85.921717171717177</v>
      </c>
      <c r="D2440" s="630">
        <f>C2440*(1-D$2431)</f>
        <v>77.329545454545467</v>
      </c>
      <c r="E2440" s="757"/>
    </row>
    <row r="2441" spans="2:5" ht="15.75">
      <c r="B2441" s="53" t="s">
        <v>28</v>
      </c>
      <c r="C2441" s="54">
        <f>C2437/C2436</f>
        <v>0.29966640433052028</v>
      </c>
      <c r="D2441" s="54">
        <f>D2437/D2436</f>
        <v>0.28901346541316764</v>
      </c>
      <c r="E2441" s="757"/>
    </row>
    <row r="2442" spans="2:5" ht="15.75">
      <c r="B2442" s="53"/>
      <c r="C2442" s="53"/>
      <c r="D2442" s="756"/>
      <c r="E2442" s="757"/>
    </row>
    <row r="2443" spans="2:5" ht="15.75">
      <c r="B2443" s="53" t="s">
        <v>4476</v>
      </c>
      <c r="C2443" s="481">
        <f>C2432-C2436</f>
        <v>1027.6859917171719</v>
      </c>
      <c r="D2443" s="481">
        <f>D2432-D2436</f>
        <v>1005.6342240404043</v>
      </c>
      <c r="E2443" s="56">
        <f>D2443/C2443-1</f>
        <v>-2.1457690242445593E-2</v>
      </c>
    </row>
    <row r="2444" spans="2:5" ht="15.75">
      <c r="B2444" s="53" t="s">
        <v>4477</v>
      </c>
      <c r="C2444" s="481">
        <f>C2433-C2437</f>
        <v>134.59595959595958</v>
      </c>
      <c r="D2444" s="481">
        <f>D2433-D2437</f>
        <v>112.54419191919192</v>
      </c>
      <c r="E2444" s="56">
        <f>D2444/C2444-1</f>
        <v>-0.16383677298311439</v>
      </c>
    </row>
    <row r="2445" spans="2:5" ht="15.75">
      <c r="B2445" s="53" t="s">
        <v>28</v>
      </c>
      <c r="C2445" s="54">
        <f>C2444/C2443</f>
        <v>0.1309699272742462</v>
      </c>
      <c r="D2445" s="54">
        <f>D2444/D2443</f>
        <v>0.11191364536801018</v>
      </c>
      <c r="E2445" s="756"/>
    </row>
    <row r="2446" spans="2:5">
      <c r="B2446" s="756"/>
      <c r="C2446" s="756"/>
      <c r="D2446" s="756"/>
      <c r="E2446" s="756"/>
    </row>
    <row r="2447" spans="2:5" ht="15.75">
      <c r="B2447" s="53" t="s">
        <v>4481</v>
      </c>
      <c r="C2447" s="630">
        <f ca="1">C2448+C2449</f>
        <v>9724.4669988971218</v>
      </c>
      <c r="D2447" s="630" t="e">
        <f ca="1">C2447-C2452+D2452</f>
        <v>#REF!</v>
      </c>
      <c r="E2447" s="56" t="e">
        <f ca="1">D2447/C2447-1</f>
        <v>#REF!</v>
      </c>
    </row>
    <row r="2448" spans="2:5" ht="16.5" thickBot="1">
      <c r="B2448" s="53" t="s">
        <v>4482</v>
      </c>
      <c r="C2448" s="630">
        <f>Valuation!K82</f>
        <v>7205.4250000000011</v>
      </c>
      <c r="D2448" s="630">
        <f>C2448-C2453+D2453</f>
        <v>7097.7050000000017</v>
      </c>
      <c r="E2448" s="56">
        <f>D2448/C2448-1</f>
        <v>-1.494984681680811E-2</v>
      </c>
    </row>
    <row r="2449" spans="2:6" ht="15.75">
      <c r="B2449" s="652" t="s">
        <v>332</v>
      </c>
      <c r="C2449" s="654">
        <f ca="1">SOP!G33</f>
        <v>2519.0419988971198</v>
      </c>
      <c r="D2449" s="654" t="e">
        <f ca="1">D2447-D2448</f>
        <v>#REF!</v>
      </c>
      <c r="E2449" s="1001" t="e">
        <f ca="1">D2449/C2449-1</f>
        <v>#REF!</v>
      </c>
    </row>
    <row r="2450" spans="2:6" ht="16.5" thickBot="1">
      <c r="B2450" s="659" t="s">
        <v>3061</v>
      </c>
      <c r="C2450" s="1002">
        <f ca="1">C2449/SOP!$G$35</f>
        <v>14.844089563330112</v>
      </c>
      <c r="D2450" s="1002" t="e">
        <f ca="1">D2449/SOP!$G$35</f>
        <v>#REF!</v>
      </c>
      <c r="E2450" s="1003"/>
    </row>
    <row r="2451" spans="2:6">
      <c r="B2451" s="756"/>
      <c r="C2451" s="756"/>
      <c r="D2451" s="756"/>
      <c r="E2451" s="756"/>
    </row>
    <row r="2452" spans="2:6" ht="15.75">
      <c r="B2452" s="53" t="s">
        <v>4485</v>
      </c>
      <c r="C2452" s="630" t="e">
        <f>SOP!#REF!</f>
        <v>#REF!</v>
      </c>
      <c r="D2452" s="630" t="e">
        <f>(1+E2452)*C2452</f>
        <v>#REF!</v>
      </c>
      <c r="E2452" s="56">
        <f>E2444</f>
        <v>-0.16383677298311439</v>
      </c>
    </row>
    <row r="2453" spans="2:6" ht="15.75">
      <c r="B2453" s="53" t="s">
        <v>4483</v>
      </c>
      <c r="C2453" s="630">
        <v>1077.2</v>
      </c>
      <c r="D2453" s="630">
        <f>C2453*(1-D$2431)</f>
        <v>969.48</v>
      </c>
      <c r="E2453" s="56">
        <f>D2453/C2453-1</f>
        <v>-9.9999999999999978E-2</v>
      </c>
    </row>
    <row r="2454" spans="2:6" ht="15.75">
      <c r="B2454" s="53" t="s">
        <v>4484</v>
      </c>
      <c r="C2454" s="630" t="e">
        <f>C2452-C2453</f>
        <v>#REF!</v>
      </c>
      <c r="D2454" s="630" t="e">
        <f>D2452-D2453</f>
        <v>#REF!</v>
      </c>
      <c r="E2454" s="56" t="e">
        <f>D2454/C2454-1</f>
        <v>#REF!</v>
      </c>
    </row>
    <row r="2455" spans="2:6" ht="15.75">
      <c r="B2455" s="53"/>
      <c r="C2455" s="630"/>
    </row>
    <row r="2456" spans="2:6" ht="15.75">
      <c r="B2456" s="976" t="s">
        <v>4513</v>
      </c>
      <c r="C2456" s="630"/>
    </row>
    <row r="2458" spans="2:6" ht="15.75">
      <c r="B2458" s="636" t="s">
        <v>3871</v>
      </c>
      <c r="C2458" s="636">
        <v>2020</v>
      </c>
      <c r="D2458" s="636">
        <f>C2458+1</f>
        <v>2021</v>
      </c>
      <c r="E2458" s="636">
        <f>D2458+1</f>
        <v>2022</v>
      </c>
      <c r="F2458" s="636">
        <f>E2458+1</f>
        <v>2023</v>
      </c>
    </row>
    <row r="2459" spans="2:6" ht="15.75">
      <c r="B2459" s="53" t="s">
        <v>15</v>
      </c>
      <c r="C2459" s="630">
        <f>Master!L3</f>
        <v>3765</v>
      </c>
      <c r="D2459" s="630">
        <f>Master!M3</f>
        <v>4791.295532194481</v>
      </c>
      <c r="E2459" s="630">
        <f>Master!N3</f>
        <v>4815</v>
      </c>
      <c r="F2459" s="630">
        <f>Master!O3</f>
        <v>4511.1000000000004</v>
      </c>
    </row>
    <row r="2460" spans="2:6" ht="15.75">
      <c r="B2460" s="53" t="s">
        <v>8</v>
      </c>
      <c r="C2460" s="630">
        <f>Master!L6</f>
        <v>1485</v>
      </c>
      <c r="D2460" s="630">
        <f>Master!M6</f>
        <v>1818.4935611038109</v>
      </c>
      <c r="E2460" s="630">
        <f>Master!N6</f>
        <v>1718</v>
      </c>
      <c r="F2460" s="630">
        <f>Master!O6</f>
        <v>1701.6</v>
      </c>
    </row>
    <row r="2461" spans="2:6" ht="15.75">
      <c r="B2461" s="53" t="s">
        <v>19</v>
      </c>
      <c r="C2461" s="630">
        <f>Master!L121</f>
        <v>631</v>
      </c>
      <c r="D2461" s="630">
        <f>Master!M121</f>
        <v>855.89999999999986</v>
      </c>
      <c r="E2461" s="630">
        <f>Master!N121</f>
        <v>816.3</v>
      </c>
      <c r="F2461" s="630">
        <f>Master!O121</f>
        <v>730.9</v>
      </c>
    </row>
    <row r="2462" spans="2:6" ht="15.75">
      <c r="B2462" s="53" t="s">
        <v>27</v>
      </c>
      <c r="C2462" s="630">
        <f>C2460-C2461</f>
        <v>854</v>
      </c>
      <c r="D2462" s="630">
        <f>D2460-D2461</f>
        <v>962.593561103811</v>
      </c>
      <c r="E2462" s="630">
        <f>E2460-E2461</f>
        <v>901.7</v>
      </c>
      <c r="F2462" s="630">
        <f>F2460-F2461</f>
        <v>970.69999999999993</v>
      </c>
    </row>
    <row r="2463" spans="2:6" ht="15.75">
      <c r="B2463" s="53"/>
      <c r="C2463" s="53"/>
      <c r="D2463" s="53"/>
      <c r="E2463" s="53"/>
      <c r="F2463" s="53"/>
    </row>
    <row r="2464" spans="2:6" ht="15.75">
      <c r="B2464" s="53" t="s">
        <v>4515</v>
      </c>
      <c r="C2464" s="713">
        <v>3.5257591174284908</v>
      </c>
      <c r="D2464" s="713">
        <v>3.2790930383923649</v>
      </c>
      <c r="E2464" s="713">
        <v>3.0471374490877383</v>
      </c>
      <c r="F2464" s="713">
        <v>2.8313210966843108</v>
      </c>
    </row>
    <row r="2465" spans="2:16" ht="15.75">
      <c r="B2465" s="53" t="s">
        <v>4514</v>
      </c>
      <c r="C2465" s="713">
        <f>Valuation!K85</f>
        <v>4.5001979970326556</v>
      </c>
      <c r="D2465" s="713">
        <f>Valuation!L85</f>
        <v>4.594696058450463</v>
      </c>
      <c r="E2465" s="713">
        <f>Valuation!M85</f>
        <v>3.8588882410312668</v>
      </c>
      <c r="F2465" s="713">
        <f>Valuation!N85</f>
        <v>4.6221051910340414</v>
      </c>
    </row>
    <row r="2466" spans="2:16" ht="15.75">
      <c r="B2466" s="53"/>
      <c r="C2466" s="53"/>
      <c r="D2466" s="53"/>
      <c r="E2466" s="53"/>
      <c r="F2466" s="53"/>
    </row>
    <row r="2467" spans="2:16" ht="15.75">
      <c r="B2467" s="53" t="s">
        <v>4517</v>
      </c>
      <c r="C2467" s="481">
        <f>C2468-E2210</f>
        <v>225.74808000000002</v>
      </c>
      <c r="D2467" s="481">
        <f>D2468-F2210</f>
        <v>222.27427073955334</v>
      </c>
      <c r="E2467" s="481">
        <f>E2468-G2210</f>
        <v>208.89286745599995</v>
      </c>
      <c r="F2467" s="481">
        <f>F2468-H2210</f>
        <v>171.54724980511986</v>
      </c>
    </row>
    <row r="2468" spans="2:16" ht="15.75">
      <c r="B2468" s="53" t="s">
        <v>4516</v>
      </c>
      <c r="C2468" s="630">
        <f>Valuation!K28</f>
        <v>196.00200000000001</v>
      </c>
      <c r="D2468" s="630">
        <f>Valuation!L28</f>
        <v>243.97968593955338</v>
      </c>
      <c r="E2468" s="630">
        <f>Valuation!M28</f>
        <v>229.24999999999997</v>
      </c>
      <c r="F2468" s="630">
        <f>Valuation!N28</f>
        <v>193.96999999999989</v>
      </c>
    </row>
    <row r="2469" spans="2:16" ht="15.75">
      <c r="B2469" s="53" t="s">
        <v>78</v>
      </c>
      <c r="C2469" s="54">
        <f>C2468/C2467-1</f>
        <v>-0.13176670206896113</v>
      </c>
      <c r="D2469" s="54">
        <f>D2468/D2467-1</f>
        <v>9.7651496629733714E-2</v>
      </c>
      <c r="E2469" s="54">
        <f>E2468/E2467-1</f>
        <v>9.745250181070908E-2</v>
      </c>
      <c r="F2469" s="54">
        <f>F2468/F2467-1</f>
        <v>0.13070888761173727</v>
      </c>
    </row>
    <row r="2470" spans="2:16" ht="15.75">
      <c r="B2470" s="53"/>
      <c r="C2470" s="53"/>
      <c r="D2470" s="53"/>
      <c r="E2470" s="53"/>
      <c r="F2470" s="53"/>
    </row>
    <row r="2471" spans="2:16" ht="15.75">
      <c r="B2471" s="53" t="s">
        <v>4518</v>
      </c>
      <c r="C2471" s="949">
        <f>C2467/Valuation!$J$5</f>
        <v>1.2408922407159033</v>
      </c>
      <c r="D2471" s="949">
        <f>D2467/Valuation!$J$5</f>
        <v>1.2217974029790095</v>
      </c>
      <c r="E2471" s="949">
        <f>E2467/Valuation!$J$5</f>
        <v>1.1482424938765634</v>
      </c>
      <c r="F2471" s="949">
        <f>F2467/Valuation!$J$5</f>
        <v>0.94296107058507872</v>
      </c>
    </row>
    <row r="2472" spans="2:16" ht="15.75">
      <c r="B2472" s="53" t="s">
        <v>4519</v>
      </c>
      <c r="C2472" s="949">
        <f>C2468/Valuation!$J$5</f>
        <v>1.0773839625338053</v>
      </c>
      <c r="D2472" s="949">
        <f>D2468/Valuation!$J$5</f>
        <v>1.3411077479582318</v>
      </c>
      <c r="E2472" s="949">
        <f>E2468/Valuation!$J$5</f>
        <v>1.2601415975902024</v>
      </c>
      <c r="F2472" s="949">
        <f>F2468/Valuation!$J$5</f>
        <v>1.0662144631824271</v>
      </c>
    </row>
    <row r="2474" spans="2:16" ht="15.75">
      <c r="B2474" s="976" t="s">
        <v>4531</v>
      </c>
    </row>
    <row r="2476" spans="2:16" ht="15.75">
      <c r="B2476" s="1007" t="s">
        <v>935</v>
      </c>
      <c r="C2476" s="1008" t="str">
        <f>'New quarts'!S189</f>
        <v>Q1 18</v>
      </c>
      <c r="D2476" s="1008" t="str">
        <f>'New quarts'!T189</f>
        <v>Q2 18</v>
      </c>
      <c r="E2476" s="1008" t="str">
        <f>'New quarts'!U189</f>
        <v>Q3 18</v>
      </c>
      <c r="F2476" s="1008" t="str">
        <f>'New quarts'!V189</f>
        <v>Q4 18</v>
      </c>
      <c r="G2476" s="1008" t="str">
        <f>'New quarts'!X189</f>
        <v>Q1 19</v>
      </c>
      <c r="H2476" s="1008" t="str">
        <f>'New quarts'!Y189</f>
        <v>Q2 19</v>
      </c>
      <c r="I2476" s="1008" t="str">
        <f>'New quarts'!Z189</f>
        <v>Q3 19</v>
      </c>
      <c r="J2476" s="1009">
        <v>2019</v>
      </c>
      <c r="K2476" s="1009">
        <f t="shared" ref="K2476:P2476" si="255">J2476+1</f>
        <v>2020</v>
      </c>
      <c r="L2476" s="1009">
        <f t="shared" si="255"/>
        <v>2021</v>
      </c>
      <c r="M2476" s="1009">
        <f t="shared" si="255"/>
        <v>2022</v>
      </c>
      <c r="N2476" s="1009">
        <f t="shared" si="255"/>
        <v>2023</v>
      </c>
      <c r="O2476" s="1009">
        <f t="shared" si="255"/>
        <v>2024</v>
      </c>
      <c r="P2476" s="1009">
        <f t="shared" si="255"/>
        <v>2025</v>
      </c>
    </row>
    <row r="2477" spans="2:16" ht="15.75">
      <c r="B2477" s="54" t="s">
        <v>29</v>
      </c>
      <c r="C2477" s="844">
        <f>'New quarts'!S201</f>
        <v>-4.0000000000000001E-3</v>
      </c>
      <c r="D2477" s="844">
        <f>'New quarts'!T201</f>
        <v>-7.0000000000000001E-3</v>
      </c>
      <c r="E2477" s="844">
        <f>'New quarts'!U201</f>
        <v>7.0000000000000001E-3</v>
      </c>
      <c r="F2477" s="844">
        <f>'New quarts'!V201</f>
        <v>-4.0000000000000001E-3</v>
      </c>
      <c r="G2477" s="844">
        <f>'New quarts'!X201</f>
        <v>-1.7000000000000001E-2</v>
      </c>
      <c r="H2477" s="844">
        <f>'New quarts'!Y201</f>
        <v>-5.0000000000000001E-3</v>
      </c>
      <c r="I2477" s="844">
        <f>'New quarts'!Z201</f>
        <v>-2.1999999999999999E-2</v>
      </c>
      <c r="J2477" s="844">
        <f>Master!K60</f>
        <v>-9.1772252919815056E-3</v>
      </c>
      <c r="K2477" s="844">
        <f>Master!L60</f>
        <v>-5.6507088114747583E-2</v>
      </c>
      <c r="L2477" s="844">
        <f>Master!M60</f>
        <v>7.8280462958174146E-2</v>
      </c>
      <c r="M2477" s="844">
        <f>Master!N60</f>
        <v>0.10266547074297638</v>
      </c>
      <c r="N2477" s="844">
        <f>Master!O60</f>
        <v>4.4169020769116107E-2</v>
      </c>
      <c r="O2477" s="844">
        <f>Master!P60</f>
        <v>2.1795905432814511E-2</v>
      </c>
      <c r="P2477" s="844">
        <f>Master!Q60</f>
        <v>2.7233600213022013E-2</v>
      </c>
    </row>
    <row r="2478" spans="2:16" ht="15.75">
      <c r="B2478" s="54" t="s">
        <v>468</v>
      </c>
      <c r="C2478" s="844">
        <f>'New quarts'!S203</f>
        <v>5.8000000000000003E-2</v>
      </c>
      <c r="D2478" s="844">
        <f>'New quarts'!T203</f>
        <v>5.3999999999999999E-2</v>
      </c>
      <c r="E2478" s="844">
        <f>'New quarts'!U203</f>
        <v>4.9000000000000002E-2</v>
      </c>
      <c r="F2478" s="844">
        <f>'New quarts'!V203</f>
        <v>3.5999999999999997E-2</v>
      </c>
      <c r="G2478" s="844">
        <f>'New quarts'!X203</f>
        <v>2.5000000000000001E-2</v>
      </c>
      <c r="H2478" s="844">
        <f>'New quarts'!Y203</f>
        <v>2.3E-2</v>
      </c>
      <c r="I2478" s="844">
        <f>'New quarts'!Z203</f>
        <v>1.7999999999999999E-2</v>
      </c>
      <c r="J2478" s="844">
        <f>Chile!G53</f>
        <v>1.9604816301327377E-2</v>
      </c>
      <c r="K2478" s="844">
        <f>Chile!H53</f>
        <v>-3.1339894019681735E-2</v>
      </c>
      <c r="L2478" s="844">
        <f>Chile!I53</f>
        <v>-6.8678336980306454E-2</v>
      </c>
      <c r="M2478" s="844">
        <f>Chile!J53</f>
        <v>-0.16289004993793843</v>
      </c>
      <c r="N2478" s="844">
        <f>Chile!K53</f>
        <v>-0.12710505212510026</v>
      </c>
      <c r="O2478" s="844">
        <f>Chile!L53</f>
        <v>1.0696767161342935E-2</v>
      </c>
      <c r="P2478" s="844">
        <f>Chile!M53</f>
        <v>2.280062538103822E-2</v>
      </c>
    </row>
    <row r="2479" spans="2:16" ht="15.75">
      <c r="B2479" s="57" t="s">
        <v>469</v>
      </c>
      <c r="C2479" s="945">
        <f>'New quarts'!S204</f>
        <v>-0.42</v>
      </c>
      <c r="D2479" s="945">
        <f>'New quarts'!T204</f>
        <v>-0.25800000000000001</v>
      </c>
      <c r="E2479" s="945">
        <f>'New quarts'!U204</f>
        <v>-1.5349887133184192E-4</v>
      </c>
      <c r="F2479" s="945">
        <f>'New quarts'!V204</f>
        <v>4.5562130177514799</v>
      </c>
      <c r="G2479" s="945">
        <f>'New quarts'!X204</f>
        <v>0.59499999999999997</v>
      </c>
      <c r="H2479" s="945">
        <f>'New quarts'!Y204</f>
        <v>0.249</v>
      </c>
      <c r="I2479" s="945">
        <f>'New quarts'!Z204</f>
        <v>0.02</v>
      </c>
      <c r="J2479" s="945">
        <f>'Puerto Rico'!G43</f>
        <v>0.26401725200246462</v>
      </c>
      <c r="K2479" s="945">
        <f>'Puerto Rico'!H43</f>
        <v>9.9195710455764141E-2</v>
      </c>
      <c r="L2479" s="945">
        <f>'Puerto Rico'!I44</f>
        <v>0.21653196622436677</v>
      </c>
      <c r="M2479" s="945">
        <f>'Puerto Rico'!J44</f>
        <v>3.1518286969325793E-2</v>
      </c>
      <c r="N2479" s="945">
        <f>'Puerto Rico'!K44</f>
        <v>2.3019586772494272E-2</v>
      </c>
      <c r="O2479" s="945">
        <f>'Puerto Rico'!L44</f>
        <v>2.5996116260806224E-2</v>
      </c>
      <c r="P2479" s="945">
        <f>'Puerto Rico'!M44</f>
        <v>2.4086506073621505E-2</v>
      </c>
    </row>
    <row r="2480" spans="2:16" ht="15.75">
      <c r="B2480" s="54" t="s">
        <v>90</v>
      </c>
      <c r="C2480" s="56">
        <f>'New quarts'!S205</f>
        <v>-3.5000000000000003E-2</v>
      </c>
      <c r="D2480" s="56">
        <f>'New quarts'!T205</f>
        <v>-2.1000000000000001E-2</v>
      </c>
      <c r="E2480" s="56">
        <f>'New quarts'!U205</f>
        <v>1.7885462555066078E-2</v>
      </c>
      <c r="F2480" s="56">
        <f>'New quarts'!V205</f>
        <v>6.4651570403481948E-2</v>
      </c>
      <c r="G2480" s="56">
        <f>'New quarts'!X205</f>
        <v>0.04</v>
      </c>
      <c r="H2480" s="56">
        <f>'New quarts'!Y205</f>
        <v>2.7E-2</v>
      </c>
      <c r="I2480" s="56">
        <f>'New quarts'!Z205</f>
        <v>-6.0000000000000001E-3</v>
      </c>
      <c r="J2480" s="56">
        <f>Master!K56</f>
        <v>2.3403230384568152E-2</v>
      </c>
      <c r="K2480" s="56">
        <f>Master!L56</f>
        <v>-4.5572935933453684E-2</v>
      </c>
      <c r="L2480" s="56">
        <f>Master!M56</f>
        <v>3.8827673323366563E-2</v>
      </c>
      <c r="M2480" s="56">
        <f>Master!N56</f>
        <v>3.6253981250666589E-2</v>
      </c>
      <c r="N2480" s="56">
        <f>Master!O56</f>
        <v>-4.4599461106699656E-2</v>
      </c>
      <c r="O2480" s="56">
        <f>Master!P56</f>
        <v>1.0263544397934865E-2</v>
      </c>
      <c r="P2480" s="56">
        <f>Master!Q56</f>
        <v>4.9380526703428851E-2</v>
      </c>
    </row>
    <row r="2481" spans="2:11">
      <c r="J2481" s="6"/>
      <c r="K2481" s="6"/>
    </row>
    <row r="2482" spans="2:11" ht="15.75">
      <c r="B2482" s="54" t="s">
        <v>4587</v>
      </c>
    </row>
    <row r="2484" spans="2:11" ht="16.5">
      <c r="B2484" s="1012" t="s">
        <v>4679</v>
      </c>
      <c r="C2484" s="1012" t="s">
        <v>4682</v>
      </c>
    </row>
    <row r="2485" spans="2:11" ht="16.5">
      <c r="B2485" s="1013" t="s">
        <v>31</v>
      </c>
      <c r="C2485" s="1014">
        <v>30330</v>
      </c>
    </row>
    <row r="2486" spans="2:11" ht="16.5">
      <c r="B2486" s="1013" t="s">
        <v>469</v>
      </c>
      <c r="C2486" s="1014">
        <v>26610</v>
      </c>
    </row>
    <row r="2487" spans="2:11" ht="16.5">
      <c r="B2487" s="1013" t="s">
        <v>468</v>
      </c>
      <c r="C2487" s="1014">
        <v>24190</v>
      </c>
    </row>
    <row r="2488" spans="2:11" ht="16.5">
      <c r="B2488" s="1013" t="s">
        <v>0</v>
      </c>
      <c r="C2488" s="1014">
        <v>23550</v>
      </c>
    </row>
    <row r="2489" spans="2:11" ht="16.5">
      <c r="B2489" s="1013" t="s">
        <v>1942</v>
      </c>
      <c r="C2489" s="1014">
        <v>19340</v>
      </c>
    </row>
    <row r="2490" spans="2:11" ht="16.5">
      <c r="B2490" s="1013" t="s">
        <v>3411</v>
      </c>
      <c r="C2490" s="1014">
        <v>16700</v>
      </c>
    </row>
    <row r="2491" spans="2:11" ht="16.5">
      <c r="B2491" s="1013" t="s">
        <v>4680</v>
      </c>
      <c r="C2491" s="1014">
        <v>15850</v>
      </c>
    </row>
    <row r="2492" spans="2:11" ht="16.5">
      <c r="B2492" s="1013" t="s">
        <v>3962</v>
      </c>
      <c r="C2492" s="1014">
        <v>14480</v>
      </c>
    </row>
    <row r="2493" spans="2:11" ht="16.5">
      <c r="B2493" s="1013" t="s">
        <v>4681</v>
      </c>
      <c r="C2493" s="1014">
        <v>13710</v>
      </c>
    </row>
    <row r="2494" spans="2:11" ht="16.5">
      <c r="B2494" s="1013" t="s">
        <v>3963</v>
      </c>
      <c r="C2494" s="1014">
        <v>13220</v>
      </c>
    </row>
    <row r="2495" spans="2:11" ht="16.5">
      <c r="B2495" s="1015" t="s">
        <v>32</v>
      </c>
      <c r="C2495" s="1016">
        <v>8900</v>
      </c>
    </row>
    <row r="2496" spans="2:11" ht="16.5">
      <c r="B2496" s="1013" t="s">
        <v>3958</v>
      </c>
      <c r="C2496" s="1014">
        <v>8310</v>
      </c>
    </row>
    <row r="2497" spans="2:15" ht="16.5">
      <c r="B2497" s="1013" t="s">
        <v>3957</v>
      </c>
      <c r="C2497" s="1014">
        <v>7860</v>
      </c>
    </row>
    <row r="2498" spans="2:15" ht="16.5">
      <c r="B2498" s="1013" t="s">
        <v>3961</v>
      </c>
      <c r="C2498" s="1014">
        <v>7670</v>
      </c>
    </row>
    <row r="2499" spans="2:15" ht="16.5">
      <c r="B2499" s="1013" t="s">
        <v>3959</v>
      </c>
      <c r="C2499" s="1014">
        <v>4790</v>
      </c>
    </row>
    <row r="2500" spans="2:15" ht="15.75">
      <c r="B2500" s="54"/>
      <c r="C2500" s="481"/>
    </row>
    <row r="2501" spans="2:15" ht="15.75">
      <c r="B2501" s="54" t="s">
        <v>4683</v>
      </c>
      <c r="C2501" s="481"/>
    </row>
    <row r="2502" spans="2:15" ht="16.5">
      <c r="B2502" s="54"/>
      <c r="C2502" s="481"/>
      <c r="L2502" s="624">
        <v>2020</v>
      </c>
    </row>
    <row r="2503" spans="2:15" ht="16.5">
      <c r="B2503" s="1007" t="s">
        <v>4688</v>
      </c>
      <c r="C2503" s="645">
        <f>D2503-1</f>
        <v>2018</v>
      </c>
      <c r="D2503" s="645">
        <v>2019</v>
      </c>
      <c r="E2503" s="645">
        <f t="shared" ref="E2503:J2503" si="256">D2503+1</f>
        <v>2020</v>
      </c>
      <c r="F2503" s="645">
        <f t="shared" si="256"/>
        <v>2021</v>
      </c>
      <c r="G2503" s="645">
        <f t="shared" si="256"/>
        <v>2022</v>
      </c>
      <c r="H2503" s="645">
        <f t="shared" si="256"/>
        <v>2023</v>
      </c>
      <c r="I2503" s="645">
        <f t="shared" si="256"/>
        <v>2024</v>
      </c>
      <c r="J2503" s="645">
        <f t="shared" si="256"/>
        <v>2025</v>
      </c>
      <c r="L2503" s="646" t="s">
        <v>984</v>
      </c>
      <c r="M2503" s="646" t="s">
        <v>899</v>
      </c>
      <c r="N2503" s="646" t="s">
        <v>4234</v>
      </c>
      <c r="O2503" s="646" t="s">
        <v>90</v>
      </c>
    </row>
    <row r="2504" spans="2:15" ht="16.5">
      <c r="B2504" s="624" t="str">
        <f>'New Format'!B226</f>
        <v>Residential fixed revenue</v>
      </c>
      <c r="C2504" s="1022">
        <f>'New Format'!E226</f>
        <v>498.29999999999995</v>
      </c>
      <c r="D2504" s="1022">
        <f>'New Format'!F226</f>
        <v>543</v>
      </c>
      <c r="E2504" s="1022">
        <f>'New Format'!G226</f>
        <v>552.6</v>
      </c>
      <c r="F2504" s="1022">
        <f>'New Format'!H226</f>
        <v>561.29999999999995</v>
      </c>
      <c r="G2504" s="1022">
        <f>'New Format'!I226</f>
        <v>602.24835896042293</v>
      </c>
      <c r="H2504" s="1022">
        <f>'New Format'!J226</f>
        <v>637.5868518158012</v>
      </c>
      <c r="I2504" s="1022">
        <f>'New Format'!K226</f>
        <v>662.46567746387427</v>
      </c>
      <c r="J2504" s="1022">
        <f>'New Format'!L226</f>
        <v>682.84758887966905</v>
      </c>
      <c r="L2504" s="626">
        <f>L2522-L2516</f>
        <v>829.6</v>
      </c>
      <c r="M2504" s="626">
        <f>(Chile!G52-Chile!G49-Chile!G46)*1000/Chile!G85</f>
        <v>809.67283072546218</v>
      </c>
      <c r="N2504" s="626">
        <f>'Costa Rica'!E57</f>
        <v>132.69999999999999</v>
      </c>
      <c r="O2504" s="626">
        <f>D2504+L2504+M2504+N2504</f>
        <v>2314.9728307254618</v>
      </c>
    </row>
    <row r="2505" spans="2:15" ht="16.5">
      <c r="B2505" s="624" t="s">
        <v>78</v>
      </c>
      <c r="C2505" s="1021">
        <f>'New Format'!E227</f>
        <v>2.0270270270270174E-2</v>
      </c>
      <c r="D2505" s="1021">
        <f>'New Format'!F227</f>
        <v>8.9704996989765196E-2</v>
      </c>
      <c r="E2505" s="1021">
        <f>'New Format'!G227</f>
        <v>1.7679558011049812E-2</v>
      </c>
      <c r="F2505" s="1021">
        <f>'New Format'!H227</f>
        <v>1.5743756786101848E-2</v>
      </c>
      <c r="G2505" s="1021">
        <f>'New Format'!I227</f>
        <v>7.295271505509171E-2</v>
      </c>
      <c r="H2505" s="1021">
        <f>'New Format'!J227</f>
        <v>5.8677607551107513E-2</v>
      </c>
      <c r="I2505" s="1021">
        <f>'New Format'!K227</f>
        <v>3.9020292807513179E-2</v>
      </c>
      <c r="J2505" s="1021">
        <f>'New Format'!L227</f>
        <v>3.0766743258040297E-2</v>
      </c>
      <c r="L2505" s="624"/>
    </row>
    <row r="2506" spans="2:15" ht="16.5">
      <c r="B2506" s="624" t="s">
        <v>4690</v>
      </c>
      <c r="C2506" s="1019">
        <f t="shared" ref="C2506:J2506" si="257">C2504/C2522</f>
        <v>0.21410157257025003</v>
      </c>
      <c r="D2506" s="1019">
        <f t="shared" si="257"/>
        <v>0.22786403692824173</v>
      </c>
      <c r="E2506" s="1019">
        <f t="shared" si="257"/>
        <v>0.25119323605618438</v>
      </c>
      <c r="F2506" s="1019">
        <f t="shared" si="257"/>
        <v>0.24435157372339036</v>
      </c>
      <c r="G2506" s="1019">
        <f t="shared" si="257"/>
        <v>0.23801460655274984</v>
      </c>
      <c r="H2506" s="1019">
        <f t="shared" si="257"/>
        <v>0.24217983508026028</v>
      </c>
      <c r="I2506" s="1019">
        <f t="shared" si="257"/>
        <v>0.2462931199356117</v>
      </c>
      <c r="J2506" s="1019">
        <f t="shared" si="257"/>
        <v>0.2477481524006622</v>
      </c>
      <c r="L2506" s="624"/>
      <c r="O2506" s="1019">
        <f>O2504/O$2522</f>
        <v>0.47309784801257138</v>
      </c>
    </row>
    <row r="2507" spans="2:15" ht="16.5">
      <c r="B2507" s="624"/>
      <c r="C2507" s="1019"/>
      <c r="D2507" s="1019"/>
      <c r="E2507" s="1019"/>
      <c r="F2507" s="1019"/>
      <c r="G2507" s="1019"/>
      <c r="H2507" s="1019"/>
      <c r="I2507" s="1019"/>
      <c r="J2507" s="1019"/>
      <c r="L2507" s="624"/>
    </row>
    <row r="2508" spans="2:15" ht="16.5">
      <c r="B2508" s="624" t="str">
        <f>'New Format'!B233</f>
        <v>B2B</v>
      </c>
      <c r="C2508" s="1022">
        <f>'New Format'!E233</f>
        <v>842.49999999999989</v>
      </c>
      <c r="D2508" s="1022">
        <f>'New Format'!F233</f>
        <v>896.2</v>
      </c>
      <c r="E2508" s="1022">
        <f>'New Format'!G233</f>
        <v>799.5</v>
      </c>
      <c r="F2508" s="1022">
        <f>'New Format'!H233</f>
        <v>861.2</v>
      </c>
      <c r="G2508" s="1022">
        <f>'New Format'!I233</f>
        <v>861.2</v>
      </c>
      <c r="H2508" s="1022">
        <f>'New Format'!J233</f>
        <v>878.42400000000009</v>
      </c>
      <c r="I2508" s="1022">
        <f>'New Format'!K233</f>
        <v>895.99248000000011</v>
      </c>
      <c r="J2508" s="1022">
        <f>'New Format'!L233</f>
        <v>913.91232960000013</v>
      </c>
      <c r="L2508" s="624">
        <v>250</v>
      </c>
      <c r="O2508" s="626">
        <f>D2508+L2508+M2508+N2508</f>
        <v>1146.2</v>
      </c>
    </row>
    <row r="2509" spans="2:15" ht="16.5">
      <c r="B2509" s="624" t="s">
        <v>4690</v>
      </c>
      <c r="C2509" s="1019">
        <f t="shared" ref="C2509:J2509" si="258">C2508/C2522</f>
        <v>0.36199192231674826</v>
      </c>
      <c r="D2509" s="1019">
        <f t="shared" si="258"/>
        <v>0.3760805707091901</v>
      </c>
      <c r="E2509" s="1019">
        <f t="shared" si="258"/>
        <v>0.36342561025501158</v>
      </c>
      <c r="F2509" s="1019">
        <f t="shared" si="258"/>
        <v>0.37490749205520008</v>
      </c>
      <c r="G2509" s="1019">
        <f t="shared" si="258"/>
        <v>0.34035489862862112</v>
      </c>
      <c r="H2509" s="1019">
        <f t="shared" si="258"/>
        <v>0.33365898127397736</v>
      </c>
      <c r="I2509" s="1019">
        <f t="shared" si="258"/>
        <v>0.33311428930607534</v>
      </c>
      <c r="J2509" s="1019">
        <f t="shared" si="258"/>
        <v>0.33158217851521865</v>
      </c>
      <c r="L2509" s="624"/>
      <c r="O2509" s="1019">
        <f>O2508/O$2522</f>
        <v>0.2342423834071847</v>
      </c>
    </row>
    <row r="2510" spans="2:15" ht="16.5">
      <c r="B2510" s="624" t="s">
        <v>78</v>
      </c>
      <c r="C2510" s="1021">
        <f>'New Format'!E234</f>
        <v>2.5188610367485875E-2</v>
      </c>
      <c r="D2510" s="1021">
        <f>'New Format'!F234</f>
        <v>6.373887240356102E-2</v>
      </c>
      <c r="E2510" s="1021">
        <f>'New Format'!G234</f>
        <v>-0.10790002231644724</v>
      </c>
      <c r="F2510" s="1021">
        <f>'New Format'!H234</f>
        <v>7.7173233270794395E-2</v>
      </c>
      <c r="G2510" s="1021">
        <f>'New Format'!I234</f>
        <v>0</v>
      </c>
      <c r="H2510" s="1021">
        <f>'New Format'!J234</f>
        <v>0.02</v>
      </c>
      <c r="I2510" s="1021">
        <f>'New Format'!K234</f>
        <v>0.02</v>
      </c>
      <c r="J2510" s="1021">
        <f>'New Format'!L234</f>
        <v>0.02</v>
      </c>
      <c r="L2510" s="624"/>
    </row>
    <row r="2511" spans="2:15" ht="16.5">
      <c r="B2511" s="624"/>
      <c r="C2511" s="1019"/>
      <c r="D2511" s="1019"/>
      <c r="E2511" s="1019"/>
      <c r="F2511" s="1019"/>
      <c r="G2511" s="1019"/>
      <c r="H2511" s="1019"/>
      <c r="I2511" s="1019"/>
      <c r="J2511" s="1019"/>
      <c r="L2511" s="624"/>
    </row>
    <row r="2512" spans="2:15" ht="16.5">
      <c r="B2512" s="624" t="str">
        <f>'New Format'!B236</f>
        <v>Subsea cable</v>
      </c>
      <c r="C2512" s="1022">
        <f>'New Format'!E236</f>
        <v>240.19999999999996</v>
      </c>
      <c r="D2512" s="1022">
        <f>'New Format'!F236</f>
        <v>243.3</v>
      </c>
      <c r="E2512" s="1022">
        <f>'New Format'!G236</f>
        <v>254.1</v>
      </c>
      <c r="F2512" s="1022">
        <f>'New Format'!H236</f>
        <v>258.2</v>
      </c>
      <c r="G2512" s="1022">
        <f>'New Format'!I236</f>
        <v>268.52800000000002</v>
      </c>
      <c r="H2512" s="1022">
        <f>'New Format'!J236</f>
        <v>279.26912000000004</v>
      </c>
      <c r="I2512" s="1022">
        <f>'New Format'!K236</f>
        <v>290.43988480000007</v>
      </c>
      <c r="J2512" s="1022">
        <f>'New Format'!L236</f>
        <v>302.05748019200007</v>
      </c>
      <c r="L2512" s="624"/>
      <c r="O2512" s="626">
        <f>D2512+L2512+M2512+N2512</f>
        <v>243.3</v>
      </c>
    </row>
    <row r="2513" spans="2:23" ht="16.5">
      <c r="B2513" s="624" t="s">
        <v>4690</v>
      </c>
      <c r="C2513" s="1019">
        <f t="shared" ref="C2513:J2513" si="259">C2512/C2522</f>
        <v>0.10320529346051385</v>
      </c>
      <c r="D2513" s="1019">
        <f t="shared" si="259"/>
        <v>0.10209819555182544</v>
      </c>
      <c r="E2513" s="1019">
        <f t="shared" si="259"/>
        <v>0.1155052502386472</v>
      </c>
      <c r="F2513" s="1019">
        <f t="shared" si="259"/>
        <v>0.11240259457576945</v>
      </c>
      <c r="G2513" s="1019">
        <f t="shared" si="259"/>
        <v>0.10612496541912027</v>
      </c>
      <c r="H2513" s="1019">
        <f t="shared" si="259"/>
        <v>0.10607707676529801</v>
      </c>
      <c r="I2513" s="1019">
        <f t="shared" si="259"/>
        <v>0.10798045516106386</v>
      </c>
      <c r="J2513" s="1019">
        <f t="shared" si="259"/>
        <v>0.10959134052028537</v>
      </c>
      <c r="L2513" s="624"/>
      <c r="O2513" s="1019">
        <f>O2512/O$2522</f>
        <v>4.9721839018468016E-2</v>
      </c>
    </row>
    <row r="2514" spans="2:23" ht="16.5">
      <c r="B2514" s="624" t="s">
        <v>78</v>
      </c>
      <c r="C2514" s="1021">
        <f>'New Format'!E237</f>
        <v>0</v>
      </c>
      <c r="D2514" s="1021">
        <f>'New Format'!F237</f>
        <v>1.2905911740216602E-2</v>
      </c>
      <c r="E2514" s="1021">
        <f>'New Format'!G237</f>
        <v>4.4389642416769348E-2</v>
      </c>
      <c r="F2514" s="1021">
        <f>'New Format'!H237</f>
        <v>1.6135379771743397E-2</v>
      </c>
      <c r="G2514" s="1021">
        <f>'New Format'!I237</f>
        <v>0.04</v>
      </c>
      <c r="H2514" s="1021">
        <f>'New Format'!J237</f>
        <v>0.04</v>
      </c>
      <c r="I2514" s="1021">
        <f>'New Format'!K237</f>
        <v>0.04</v>
      </c>
      <c r="J2514" s="1021">
        <f>'New Format'!L237</f>
        <v>0.04</v>
      </c>
      <c r="L2514" s="624"/>
    </row>
    <row r="2515" spans="2:23" ht="16.5">
      <c r="B2515" s="624"/>
      <c r="C2515" s="1019"/>
      <c r="D2515" s="1019"/>
      <c r="E2515" s="1019"/>
      <c r="F2515" s="1019"/>
      <c r="G2515" s="1019"/>
      <c r="H2515" s="1019"/>
      <c r="I2515" s="1019"/>
      <c r="J2515" s="1019"/>
      <c r="L2515" s="624"/>
      <c r="Q2515" s="80" t="s">
        <v>4727</v>
      </c>
      <c r="R2515" s="80" t="s">
        <v>2026</v>
      </c>
    </row>
    <row r="2516" spans="2:23" ht="16.5">
      <c r="B2516" s="624" t="str">
        <f>'New Format'!B239</f>
        <v>Residential wireless</v>
      </c>
      <c r="C2516" s="1022">
        <f>'New Format'!E239</f>
        <v>588.50000000000023</v>
      </c>
      <c r="D2516" s="1022">
        <f>'New Format'!F239</f>
        <v>553.09999999999991</v>
      </c>
      <c r="E2516" s="1022">
        <f>'New Format'!G239</f>
        <v>463.30000000000018</v>
      </c>
      <c r="F2516" s="1022">
        <f>'New Format'!H239</f>
        <v>466.39999999999992</v>
      </c>
      <c r="G2516" s="1022">
        <f>'New Format'!I239</f>
        <v>648.32364103957707</v>
      </c>
      <c r="H2516" s="1022">
        <f>'New Format'!J239</f>
        <v>687.42002818419849</v>
      </c>
      <c r="I2516" s="1022">
        <f>'New Format'!K239</f>
        <v>690.84691543962276</v>
      </c>
      <c r="J2516" s="1022">
        <f>'New Format'!L239</f>
        <v>707.39927645960381</v>
      </c>
      <c r="L2516" s="1018">
        <f>E2170-L2508</f>
        <v>625.4</v>
      </c>
      <c r="M2516" s="1018">
        <f>Chile!G46*1000/Chile!G85</f>
        <v>62.588904694167852</v>
      </c>
      <c r="O2516" s="626">
        <f>D2516+L2516+M2516+N2516</f>
        <v>1241.0889046941679</v>
      </c>
      <c r="Q2516" s="1018">
        <f>0.8*L2516+0.3*D2516</f>
        <v>666.25</v>
      </c>
      <c r="R2516" s="1018">
        <f>O2516-Q2516</f>
        <v>574.83890469416792</v>
      </c>
    </row>
    <row r="2517" spans="2:23" ht="16.5">
      <c r="B2517" s="624" t="s">
        <v>4690</v>
      </c>
      <c r="C2517" s="1019">
        <f t="shared" ref="C2517:J2517" si="260">C2516/C2522</f>
        <v>0.25285726561828659</v>
      </c>
      <c r="D2517" s="1019">
        <f t="shared" si="260"/>
        <v>0.23210239194292903</v>
      </c>
      <c r="E2517" s="1019">
        <f t="shared" si="260"/>
        <v>0.2106004818400837</v>
      </c>
      <c r="F2517" s="1019">
        <f t="shared" si="260"/>
        <v>0.20303861390448824</v>
      </c>
      <c r="G2517" s="1019">
        <f t="shared" si="260"/>
        <v>0.25622402127794214</v>
      </c>
      <c r="H2517" s="1019">
        <f t="shared" si="260"/>
        <v>0.2611083785407371</v>
      </c>
      <c r="I2517" s="1019">
        <f t="shared" si="260"/>
        <v>0.25684476643817838</v>
      </c>
      <c r="J2517" s="1019">
        <f t="shared" si="260"/>
        <v>0.25665590185354781</v>
      </c>
      <c r="L2517" s="624"/>
      <c r="O2517" s="1019">
        <f>O2516/O$2522</f>
        <v>0.25363428987591535</v>
      </c>
      <c r="Q2517" s="1019">
        <f>Q2516/O2522</f>
        <v>0.13615772809722282</v>
      </c>
      <c r="R2517" s="1019">
        <f>R2516/O2522</f>
        <v>0.11747656177869253</v>
      </c>
    </row>
    <row r="2518" spans="2:23" ht="16.5">
      <c r="B2518" s="624" t="s">
        <v>78</v>
      </c>
      <c r="C2518" s="1021">
        <f>'New Format'!E240</f>
        <v>-7.1473650994003712E-2</v>
      </c>
      <c r="D2518" s="1021">
        <f>'New Format'!F240</f>
        <v>-6.0152931180969094E-2</v>
      </c>
      <c r="E2518" s="1021">
        <f>'New Format'!G240</f>
        <v>-0.1623576206834203</v>
      </c>
      <c r="F2518" s="1021">
        <f>'New Format'!H240</f>
        <v>6.6911288581905648E-3</v>
      </c>
      <c r="G2518" s="1021">
        <f>'New Format'!I240</f>
        <v>0.3900592646646166</v>
      </c>
      <c r="H2518" s="1021">
        <f>'New Format'!J240</f>
        <v>6.0303812277971103E-2</v>
      </c>
      <c r="I2518" s="1021">
        <f>'New Format'!K240</f>
        <v>4.9851431656366962E-3</v>
      </c>
      <c r="J2518" s="1021">
        <f>'New Format'!L240</f>
        <v>2.3959520770890252E-2</v>
      </c>
      <c r="L2518" s="624"/>
    </row>
    <row r="2519" spans="2:23" ht="16.5">
      <c r="B2519" s="624"/>
      <c r="C2519" s="1019"/>
      <c r="D2519" s="1019"/>
      <c r="E2519" s="1019"/>
      <c r="F2519" s="1019"/>
      <c r="G2519" s="1019"/>
      <c r="H2519" s="1019"/>
      <c r="I2519" s="1019"/>
      <c r="J2519" s="1019"/>
      <c r="L2519" s="624"/>
    </row>
    <row r="2520" spans="2:23" ht="16.5">
      <c r="B2520" s="624" t="str">
        <f>'New Format'!B242</f>
        <v>Equipment / other</v>
      </c>
      <c r="C2520" s="1022">
        <f>'New Format'!E242</f>
        <v>157.89999999999998</v>
      </c>
      <c r="D2520" s="1022">
        <f>'New Format'!F242</f>
        <v>147.4</v>
      </c>
      <c r="E2520" s="1022">
        <f>'New Format'!G242</f>
        <v>130.39999999999998</v>
      </c>
      <c r="F2520" s="1022">
        <f>'New Format'!H242</f>
        <v>150</v>
      </c>
      <c r="G2520" s="1022">
        <f>'New Format'!I242</f>
        <v>150</v>
      </c>
      <c r="H2520" s="1022">
        <f>'New Format'!J242</f>
        <v>150</v>
      </c>
      <c r="I2520" s="1022">
        <f>'New Format'!K242</f>
        <v>150</v>
      </c>
      <c r="J2520" s="1022">
        <f>'New Format'!L242</f>
        <v>150</v>
      </c>
      <c r="L2520" s="624"/>
      <c r="M2520" s="1018">
        <f>Chile!G49*1000/Chile!G89</f>
        <v>50.260333652109217</v>
      </c>
      <c r="O2520" s="626">
        <f>D2520+L2520+M2520+N2520</f>
        <v>197.66033365210922</v>
      </c>
    </row>
    <row r="2521" spans="2:23" ht="16.5">
      <c r="B2521" s="623" t="s">
        <v>78</v>
      </c>
      <c r="C2521" s="1023">
        <f>'New Format'!E243</f>
        <v>-4.1868932038835127E-2</v>
      </c>
      <c r="D2521" s="1023">
        <f>'New Format'!F243</f>
        <v>-6.6497783407219568E-2</v>
      </c>
      <c r="E2521" s="1023">
        <f>'New Format'!G243</f>
        <v>-0.11533242876526473</v>
      </c>
      <c r="F2521" s="1023">
        <f>'New Format'!H243</f>
        <v>0.15030674846625791</v>
      </c>
      <c r="G2521" s="1023">
        <f>'New Format'!I243</f>
        <v>0</v>
      </c>
      <c r="H2521" s="1023">
        <f>'New Format'!J243</f>
        <v>0</v>
      </c>
      <c r="I2521" s="1023">
        <f>'New Format'!K243</f>
        <v>0</v>
      </c>
      <c r="J2521" s="1023">
        <f>'New Format'!L243</f>
        <v>0</v>
      </c>
      <c r="L2521" s="623"/>
      <c r="M2521" s="3"/>
      <c r="N2521" s="3"/>
      <c r="O2521" s="1020">
        <f>O2520/O$2522</f>
        <v>4.0394719647294901E-2</v>
      </c>
    </row>
    <row r="2522" spans="2:23" ht="16.5">
      <c r="B2522" s="624" t="s">
        <v>16</v>
      </c>
      <c r="C2522" s="1018">
        <f t="shared" ref="C2522:J2522" si="261">C2504+C2508+C2512+C2516+C2520</f>
        <v>2327.4</v>
      </c>
      <c r="D2522" s="1018">
        <f t="shared" si="261"/>
        <v>2383</v>
      </c>
      <c r="E2522" s="1018">
        <f t="shared" si="261"/>
        <v>2199.9</v>
      </c>
      <c r="F2522" s="1018">
        <f t="shared" si="261"/>
        <v>2297.1</v>
      </c>
      <c r="G2522" s="1018">
        <f t="shared" si="261"/>
        <v>2530.3000000000002</v>
      </c>
      <c r="H2522" s="1018">
        <f t="shared" si="261"/>
        <v>2632.7</v>
      </c>
      <c r="I2522" s="1018">
        <f t="shared" si="261"/>
        <v>2689.7449577034972</v>
      </c>
      <c r="J2522" s="1018">
        <f t="shared" si="261"/>
        <v>2756.216675131273</v>
      </c>
      <c r="L2522" s="626">
        <f>Master!M48</f>
        <v>1455</v>
      </c>
      <c r="M2522" s="626">
        <f>M2504+M2516+M2520</f>
        <v>922.52206907173922</v>
      </c>
      <c r="N2522" s="626">
        <f>N2504+N2516+N2520</f>
        <v>132.69999999999999</v>
      </c>
      <c r="O2522" s="626">
        <f>D2522+L2522+M2522+N2522</f>
        <v>4893.2220690717395</v>
      </c>
      <c r="U2522" s="486" t="e">
        <f>E2522-#REF!</f>
        <v>#REF!</v>
      </c>
      <c r="V2522" s="486" t="e">
        <f>F2522-#REF!</f>
        <v>#REF!</v>
      </c>
      <c r="W2522" s="486" t="e">
        <f>G2522-#REF!</f>
        <v>#REF!</v>
      </c>
    </row>
    <row r="2523" spans="2:23" ht="16.5">
      <c r="B2523" s="624" t="s">
        <v>4689</v>
      </c>
      <c r="D2523" s="1019">
        <f>Master!Y60</f>
        <v>0</v>
      </c>
      <c r="E2523" s="1019">
        <f>Master!Z60</f>
        <v>0</v>
      </c>
      <c r="F2523" s="1019">
        <f>Master!AA60</f>
        <v>0</v>
      </c>
      <c r="G2523" s="1019">
        <f>Master!AB60</f>
        <v>0</v>
      </c>
      <c r="H2523" s="1019">
        <f>Master!AC60</f>
        <v>0</v>
      </c>
      <c r="I2523" s="1019">
        <f>Master!AD60</f>
        <v>0</v>
      </c>
      <c r="J2523" s="1019">
        <f>Master!AE60</f>
        <v>0</v>
      </c>
    </row>
    <row r="2524" spans="2:23" ht="16.5">
      <c r="D2524" s="625"/>
    </row>
    <row r="2525" spans="2:23" ht="16.5">
      <c r="B2525" s="624" t="s">
        <v>8</v>
      </c>
      <c r="C2525" s="1022">
        <f>Master!J74-Master!J72-Master!J71-Master!J70</f>
        <v>856.6</v>
      </c>
      <c r="D2525" s="1022">
        <f>Master!K74-Master!K72-Master!K71-Master!K70</f>
        <v>869.69999999999993</v>
      </c>
      <c r="E2525" s="1022">
        <f>Master!L74-Master!L72-Master!L71-Master!L70</f>
        <v>845.66060606060591</v>
      </c>
      <c r="F2525" s="1022">
        <f>Master!M74-Master!M72-Master!M71-Master!M70</f>
        <v>894.39999999999986</v>
      </c>
      <c r="G2525" s="1022">
        <f>Master!N74-Master!N72-Master!N71-Master!N70</f>
        <v>922.9</v>
      </c>
      <c r="H2525" s="1022">
        <f>Master!O74-Master!O72-Master!O71-Master!O70</f>
        <v>1013</v>
      </c>
      <c r="I2525" s="1022">
        <f>Master!P74-Master!P72-Master!P71-Master!P70</f>
        <v>1037.9841984141071</v>
      </c>
      <c r="J2525" s="1022">
        <f>Master!Q74-Master!Q72-Master!Q71-Master!Q70</f>
        <v>1100.2504847729369</v>
      </c>
      <c r="U2525" s="486" t="e">
        <f>E2525-#REF!</f>
        <v>#REF!</v>
      </c>
      <c r="V2525" s="486" t="e">
        <f>F2525-#REF!</f>
        <v>#REF!</v>
      </c>
      <c r="W2525" s="486" t="e">
        <f>G2525-#REF!</f>
        <v>#REF!</v>
      </c>
    </row>
    <row r="2526" spans="2:23" ht="16.5">
      <c r="B2526" s="624" t="s">
        <v>251</v>
      </c>
      <c r="C2526" s="1019">
        <f t="shared" ref="C2526:J2526" si="262">C2525/C2522</f>
        <v>0.3680501847555212</v>
      </c>
      <c r="D2526" s="1019">
        <f t="shared" si="262"/>
        <v>0.36496013428451529</v>
      </c>
      <c r="E2526" s="1019">
        <f t="shared" si="262"/>
        <v>0.38440865769380694</v>
      </c>
      <c r="F2526" s="1019">
        <f t="shared" si="262"/>
        <v>0.38936049801924161</v>
      </c>
      <c r="G2526" s="1019">
        <f t="shared" si="262"/>
        <v>0.36473935896929216</v>
      </c>
      <c r="H2526" s="1019">
        <f t="shared" si="262"/>
        <v>0.38477608538762492</v>
      </c>
      <c r="I2526" s="1019">
        <f t="shared" si="262"/>
        <v>0.3859043198282775</v>
      </c>
      <c r="J2526" s="1019">
        <f t="shared" si="262"/>
        <v>0.39918867580341238</v>
      </c>
    </row>
    <row r="2528" spans="2:23" ht="16.5">
      <c r="B2528" s="1024" t="s">
        <v>245</v>
      </c>
    </row>
    <row r="2529" spans="2:8" ht="16.5">
      <c r="C2529" s="1018">
        <v>178</v>
      </c>
      <c r="D2529" s="1019">
        <f t="shared" ref="D2529:D2534" si="263">C2529/C$2535</f>
        <v>2.0901586406923356E-2</v>
      </c>
    </row>
    <row r="2530" spans="2:8" ht="16.5">
      <c r="C2530" s="1018">
        <v>127</v>
      </c>
      <c r="D2530" s="1019">
        <f t="shared" si="263"/>
        <v>1.4912929627411607E-2</v>
      </c>
    </row>
    <row r="2531" spans="2:8" ht="16.5">
      <c r="C2531" s="1018">
        <v>112</v>
      </c>
      <c r="D2531" s="1019">
        <f t="shared" si="263"/>
        <v>1.3151559986378741E-2</v>
      </c>
    </row>
    <row r="2532" spans="2:8" ht="16.5">
      <c r="C2532" s="1018">
        <v>389</v>
      </c>
      <c r="D2532" s="1019">
        <f t="shared" si="263"/>
        <v>4.5678186024119022E-2</v>
      </c>
    </row>
    <row r="2533" spans="2:8" ht="16.5">
      <c r="C2533" s="1018">
        <v>1740</v>
      </c>
      <c r="D2533" s="1019">
        <f t="shared" si="263"/>
        <v>0.20431887835981258</v>
      </c>
    </row>
    <row r="2534" spans="2:8" ht="16.5">
      <c r="C2534" s="1018">
        <f>Master!K527-SUM(C2529:C2533)</f>
        <v>5970.1</v>
      </c>
      <c r="D2534" s="1019">
        <f t="shared" si="263"/>
        <v>0.70103685959535467</v>
      </c>
    </row>
    <row r="2535" spans="2:8" ht="16.5">
      <c r="C2535" s="1018">
        <f>SUM(C2529:C2534)</f>
        <v>8516.1</v>
      </c>
    </row>
    <row r="2537" spans="2:8" ht="15.75">
      <c r="B2537" s="78" t="s">
        <v>2563</v>
      </c>
    </row>
    <row r="2539" spans="2:8" ht="15.75">
      <c r="B2539" s="50" t="s">
        <v>4705</v>
      </c>
      <c r="C2539" s="50">
        <v>2020</v>
      </c>
      <c r="D2539" s="50">
        <f>C2539+1</f>
        <v>2021</v>
      </c>
      <c r="E2539" s="50">
        <f>D2539+1</f>
        <v>2022</v>
      </c>
      <c r="F2539" s="50">
        <f>E2539+1</f>
        <v>2023</v>
      </c>
      <c r="G2539" s="50">
        <f>F2539+1</f>
        <v>2024</v>
      </c>
      <c r="H2539" s="50">
        <f>G2539+1</f>
        <v>2025</v>
      </c>
    </row>
    <row r="2540" spans="2:8" ht="15.75">
      <c r="B2540" s="53" t="str">
        <f>'New Format'!B226</f>
        <v>Residential fixed revenue</v>
      </c>
      <c r="C2540" s="630">
        <f>'New Format'!G226</f>
        <v>552.6</v>
      </c>
      <c r="D2540" s="630">
        <f>'New Format'!H226</f>
        <v>561.29999999999995</v>
      </c>
      <c r="E2540" s="630">
        <f>'New Format'!I226</f>
        <v>602.24835896042293</v>
      </c>
      <c r="F2540" s="630">
        <f>'New Format'!J226</f>
        <v>637.5868518158012</v>
      </c>
      <c r="G2540" s="630">
        <f>'New Format'!K226</f>
        <v>662.46567746387427</v>
      </c>
      <c r="H2540" s="630">
        <f>'New Format'!L226</f>
        <v>682.84758887966905</v>
      </c>
    </row>
    <row r="2541" spans="2:8" ht="15.75">
      <c r="B2541" s="53" t="str">
        <f>'New Format'!B233</f>
        <v>B2B</v>
      </c>
      <c r="C2541" s="630">
        <f>'New Format'!G233</f>
        <v>799.5</v>
      </c>
      <c r="D2541" s="630">
        <f>'New Format'!H233</f>
        <v>861.2</v>
      </c>
      <c r="E2541" s="630">
        <f>'New Format'!I233</f>
        <v>861.2</v>
      </c>
      <c r="F2541" s="630">
        <f>'New Format'!J233</f>
        <v>878.42400000000009</v>
      </c>
      <c r="G2541" s="630">
        <f>'New Format'!K233</f>
        <v>895.99248000000011</v>
      </c>
      <c r="H2541" s="630">
        <f>'New Format'!L233</f>
        <v>913.91232960000013</v>
      </c>
    </row>
    <row r="2542" spans="2:8" ht="15.75">
      <c r="B2542" s="53" t="str">
        <f>'New Format'!B236</f>
        <v>Subsea cable</v>
      </c>
      <c r="C2542" s="630">
        <f>'New Format'!G236</f>
        <v>254.1</v>
      </c>
      <c r="D2542" s="630">
        <f>'New Format'!H236</f>
        <v>258.2</v>
      </c>
      <c r="E2542" s="630">
        <f>'New Format'!I236</f>
        <v>268.52800000000002</v>
      </c>
      <c r="F2542" s="630">
        <f>'New Format'!J236</f>
        <v>279.26912000000004</v>
      </c>
      <c r="G2542" s="630">
        <f>'New Format'!K236</f>
        <v>290.43988480000007</v>
      </c>
      <c r="H2542" s="630">
        <f>'New Format'!L236</f>
        <v>302.05748019200007</v>
      </c>
    </row>
    <row r="2543" spans="2:8" ht="15.75">
      <c r="B2543" s="53" t="str">
        <f>'New Format'!B239</f>
        <v>Residential wireless</v>
      </c>
      <c r="C2543" s="630">
        <f>'New Format'!G239</f>
        <v>463.30000000000018</v>
      </c>
      <c r="D2543" s="630">
        <f>'New Format'!H239</f>
        <v>466.39999999999992</v>
      </c>
      <c r="E2543" s="630">
        <f>'New Format'!I239</f>
        <v>648.32364103957707</v>
      </c>
      <c r="F2543" s="630">
        <f>'New Format'!J239</f>
        <v>687.42002818419849</v>
      </c>
      <c r="G2543" s="630">
        <f>'New Format'!K239</f>
        <v>690.84691543962276</v>
      </c>
      <c r="H2543" s="630">
        <f>'New Format'!L239</f>
        <v>707.39927645960381</v>
      </c>
    </row>
    <row r="2544" spans="2:8" ht="15.75">
      <c r="B2544" s="50" t="str">
        <f>'New Format'!B242</f>
        <v>Equipment / other</v>
      </c>
      <c r="C2544" s="632">
        <f>'New Format'!G242</f>
        <v>130.39999999999998</v>
      </c>
      <c r="D2544" s="632">
        <f>'New Format'!H242</f>
        <v>150</v>
      </c>
      <c r="E2544" s="632">
        <f>'New Format'!I242</f>
        <v>150</v>
      </c>
      <c r="F2544" s="632">
        <f>'New Format'!J242</f>
        <v>150</v>
      </c>
      <c r="G2544" s="632">
        <f>'New Format'!K242</f>
        <v>150</v>
      </c>
      <c r="H2544" s="632">
        <f>'New Format'!L242</f>
        <v>150</v>
      </c>
    </row>
    <row r="2545" spans="2:15" ht="15.75">
      <c r="B2545" s="53" t="str">
        <f>'New Format'!B245</f>
        <v>Total</v>
      </c>
      <c r="C2545" s="630">
        <f>'New Format'!G245</f>
        <v>2199.9</v>
      </c>
      <c r="D2545" s="630">
        <f>'New Format'!H245</f>
        <v>2297.1</v>
      </c>
      <c r="E2545" s="630">
        <f>'New Format'!I245</f>
        <v>2530.3000000000002</v>
      </c>
      <c r="F2545" s="630">
        <f>'New Format'!J245</f>
        <v>2632.7</v>
      </c>
      <c r="G2545" s="630">
        <f>'New Format'!K245</f>
        <v>2689.7449577034972</v>
      </c>
      <c r="H2545" s="630">
        <f>'New Format'!L245</f>
        <v>2756.216675131273</v>
      </c>
    </row>
    <row r="2546" spans="2:15" ht="15.75">
      <c r="B2546" s="53" t="s">
        <v>8</v>
      </c>
      <c r="C2546" s="630">
        <f>'New Format'!G252</f>
        <v>886</v>
      </c>
      <c r="D2546" s="630">
        <f>'New Format'!H252</f>
        <v>947.30000000000007</v>
      </c>
      <c r="E2546" s="630">
        <f>'New Format'!I252</f>
        <v>1000.3</v>
      </c>
      <c r="F2546" s="630">
        <f>'New Format'!J252</f>
        <v>1086.2</v>
      </c>
      <c r="G2546" s="630">
        <f>'New Format'!K252</f>
        <v>1121.9841984141069</v>
      </c>
      <c r="H2546" s="630">
        <f>'New Format'!L252</f>
        <v>1184.2504847729369</v>
      </c>
    </row>
    <row r="2547" spans="2:15" ht="15.75">
      <c r="B2547" s="53" t="s">
        <v>19</v>
      </c>
      <c r="C2547" s="630">
        <f>'New Format'!G263</f>
        <v>317.20000000000005</v>
      </c>
      <c r="D2547" s="630">
        <f>'New Format'!H263</f>
        <v>357.1</v>
      </c>
      <c r="E2547" s="630">
        <f>'New Format'!I263</f>
        <v>350.08131600000002</v>
      </c>
      <c r="F2547" s="630">
        <f>'New Format'!J263</f>
        <v>399.6</v>
      </c>
      <c r="G2547" s="630">
        <f>'New Format'!K263</f>
        <v>400.34709410878224</v>
      </c>
      <c r="H2547" s="630">
        <f>'New Format'!L263</f>
        <v>400.42058782805361</v>
      </c>
    </row>
    <row r="2548" spans="2:15" ht="15.75">
      <c r="B2548" s="53" t="s">
        <v>27</v>
      </c>
      <c r="C2548" s="630">
        <f t="shared" ref="C2548:H2548" si="264">C2546-C2547</f>
        <v>568.79999999999995</v>
      </c>
      <c r="D2548" s="630">
        <f t="shared" si="264"/>
        <v>590.20000000000005</v>
      </c>
      <c r="E2548" s="630">
        <f t="shared" si="264"/>
        <v>650.21868399999994</v>
      </c>
      <c r="F2548" s="630">
        <f t="shared" si="264"/>
        <v>686.6</v>
      </c>
      <c r="G2548" s="630">
        <f t="shared" si="264"/>
        <v>721.63710430532467</v>
      </c>
      <c r="H2548" s="630">
        <f t="shared" si="264"/>
        <v>783.82989694488333</v>
      </c>
    </row>
    <row r="2549" spans="2:15" ht="15.75">
      <c r="B2549" s="53"/>
      <c r="C2549" s="630"/>
      <c r="D2549" s="630"/>
      <c r="E2549" s="630"/>
      <c r="F2549" s="630"/>
      <c r="G2549" s="630"/>
      <c r="H2549" s="630"/>
    </row>
    <row r="2550" spans="2:15" ht="15.75">
      <c r="B2550" s="1061" t="s">
        <v>4928</v>
      </c>
      <c r="C2550" s="630"/>
      <c r="D2550" s="53"/>
      <c r="E2550" s="53"/>
      <c r="F2550" s="53"/>
      <c r="G2550" s="53"/>
      <c r="H2550" s="53"/>
      <c r="J2550" s="1061" t="s">
        <v>4929</v>
      </c>
    </row>
    <row r="2551" spans="2:15" ht="15.75">
      <c r="B2551" s="1061"/>
      <c r="C2551" s="630"/>
      <c r="D2551" s="53"/>
      <c r="E2551" s="53"/>
      <c r="F2551" s="53"/>
      <c r="G2551" s="53"/>
      <c r="H2551" s="53"/>
      <c r="J2551" s="1061"/>
    </row>
    <row r="2552" spans="2:15" ht="15.75" hidden="1" outlineLevel="2">
      <c r="B2552" s="50" t="s">
        <v>4706</v>
      </c>
      <c r="C2552" s="50">
        <v>2020</v>
      </c>
      <c r="D2552" s="50">
        <f>C2552+1</f>
        <v>2021</v>
      </c>
      <c r="E2552" s="50">
        <f>D2552+1</f>
        <v>2022</v>
      </c>
      <c r="F2552" s="50">
        <f>E2552+1</f>
        <v>2023</v>
      </c>
      <c r="G2552" s="50">
        <f>F2552+1</f>
        <v>2024</v>
      </c>
      <c r="H2552" s="50">
        <f>G2552+1</f>
        <v>2025</v>
      </c>
      <c r="J2552" s="50">
        <v>2020</v>
      </c>
      <c r="K2552" s="50">
        <v>2021</v>
      </c>
      <c r="L2552" s="50">
        <v>2022</v>
      </c>
      <c r="M2552" s="50">
        <v>2023</v>
      </c>
      <c r="N2552" s="50">
        <v>2024</v>
      </c>
      <c r="O2552" s="50">
        <v>2025</v>
      </c>
    </row>
    <row r="2553" spans="2:15" ht="15.75" hidden="1" outlineLevel="2">
      <c r="B2553" s="53" t="str">
        <f>B2540</f>
        <v>Residential fixed revenue</v>
      </c>
      <c r="C2553" s="630">
        <v>589.96993479987384</v>
      </c>
      <c r="D2553" s="630">
        <v>617.62923698652889</v>
      </c>
      <c r="E2553" s="630">
        <v>641.68021908762705</v>
      </c>
      <c r="F2553" s="630">
        <v>664.30716887103711</v>
      </c>
      <c r="G2553" s="630">
        <v>686.50101092698617</v>
      </c>
      <c r="H2553" s="630">
        <v>708.84991079770225</v>
      </c>
      <c r="J2553" s="630">
        <v>589.96993479987384</v>
      </c>
      <c r="K2553" s="630">
        <v>617.62923698652889</v>
      </c>
      <c r="L2553" s="630">
        <v>641.68021908762705</v>
      </c>
      <c r="M2553" s="630">
        <v>664.30716887103711</v>
      </c>
      <c r="N2553" s="630">
        <v>686.50101092698617</v>
      </c>
      <c r="O2553" s="630">
        <v>708.84991079770225</v>
      </c>
    </row>
    <row r="2554" spans="2:15" ht="15.75" hidden="1" outlineLevel="2">
      <c r="B2554" s="53" t="str">
        <f>B2541</f>
        <v>B2B</v>
      </c>
      <c r="C2554" s="630">
        <v>824.50400000000013</v>
      </c>
      <c r="D2554" s="630">
        <v>882.21928000000014</v>
      </c>
      <c r="E2554" s="630">
        <v>899.8636656000001</v>
      </c>
      <c r="F2554" s="630">
        <v>917.86093891200017</v>
      </c>
      <c r="G2554" s="630">
        <v>936.21815769024022</v>
      </c>
      <c r="H2554" s="630">
        <v>954.94252084404502</v>
      </c>
      <c r="J2554" s="630">
        <v>914.12400000000002</v>
      </c>
      <c r="K2554" s="630">
        <v>932.40647999999999</v>
      </c>
      <c r="L2554" s="630">
        <v>951.05460960000005</v>
      </c>
      <c r="M2554" s="630">
        <v>970.07570179200002</v>
      </c>
      <c r="N2554" s="630">
        <v>989.47721582784004</v>
      </c>
      <c r="O2554" s="630">
        <v>1009.2667601443968</v>
      </c>
    </row>
    <row r="2555" spans="2:15" ht="15.75" hidden="1" outlineLevel="2">
      <c r="B2555" s="53" t="str">
        <f>B2542</f>
        <v>Subsea cable</v>
      </c>
      <c r="C2555" s="630">
        <v>245.733</v>
      </c>
      <c r="D2555" s="630">
        <v>253.10499000000002</v>
      </c>
      <c r="E2555" s="630">
        <v>263.22918960000004</v>
      </c>
      <c r="F2555" s="630">
        <v>273.75835718400003</v>
      </c>
      <c r="G2555" s="630">
        <v>284.70869147136005</v>
      </c>
      <c r="H2555" s="630">
        <v>296.09703913021445</v>
      </c>
      <c r="J2555" s="630">
        <v>245.733</v>
      </c>
      <c r="K2555" s="630">
        <v>253.10499000000002</v>
      </c>
      <c r="L2555" s="630">
        <v>263.22918960000004</v>
      </c>
      <c r="M2555" s="630">
        <v>273.75835718400003</v>
      </c>
      <c r="N2555" s="630">
        <v>284.70869147136005</v>
      </c>
      <c r="O2555" s="630">
        <v>296.09703913021445</v>
      </c>
    </row>
    <row r="2556" spans="2:15" ht="15.75" hidden="1" outlineLevel="2">
      <c r="B2556" s="53" t="str">
        <f>B2543</f>
        <v>Residential wireless</v>
      </c>
      <c r="C2556" s="630">
        <v>533.02766018884631</v>
      </c>
      <c r="D2556" s="630">
        <v>535.57709965927927</v>
      </c>
      <c r="E2556" s="630">
        <v>552.29978460665995</v>
      </c>
      <c r="F2556" s="630">
        <v>570.34554783186741</v>
      </c>
      <c r="G2556" s="630">
        <v>589.55175277213857</v>
      </c>
      <c r="H2556" s="630">
        <v>610.01109642446249</v>
      </c>
      <c r="J2556" s="630">
        <v>547.0518057263123</v>
      </c>
      <c r="K2556" s="630">
        <v>560.29218800789045</v>
      </c>
      <c r="L2556" s="630">
        <v>578.88441297512384</v>
      </c>
      <c r="M2556" s="630">
        <v>598.77703113889424</v>
      </c>
      <c r="N2556" s="630">
        <v>619.87002097338404</v>
      </c>
      <c r="O2556" s="630">
        <v>642.2963092820512</v>
      </c>
    </row>
    <row r="2557" spans="2:15" ht="15.75" hidden="1" outlineLevel="2">
      <c r="B2557" s="50" t="str">
        <f>B2544</f>
        <v>Equipment / other</v>
      </c>
      <c r="C2557" s="632">
        <v>117.92000000000002</v>
      </c>
      <c r="D2557" s="632">
        <v>129.71200000000002</v>
      </c>
      <c r="E2557" s="632">
        <v>129.71200000000002</v>
      </c>
      <c r="F2557" s="632">
        <v>129.71200000000002</v>
      </c>
      <c r="G2557" s="632">
        <v>129.71200000000002</v>
      </c>
      <c r="H2557" s="632">
        <v>129.71200000000002</v>
      </c>
      <c r="J2557" s="632">
        <v>140.03</v>
      </c>
      <c r="K2557" s="632">
        <v>137.2294</v>
      </c>
      <c r="L2557" s="632">
        <v>137.2294</v>
      </c>
      <c r="M2557" s="632">
        <v>137.2294</v>
      </c>
      <c r="N2557" s="632">
        <v>137.2294</v>
      </c>
      <c r="O2557" s="632">
        <v>137.2294</v>
      </c>
    </row>
    <row r="2558" spans="2:15" ht="15.75" hidden="1" outlineLevel="2">
      <c r="B2558" s="53" t="str">
        <f>'New Format'!B253</f>
        <v>% margin</v>
      </c>
      <c r="C2558" s="630">
        <v>2311.1545949887204</v>
      </c>
      <c r="D2558" s="630">
        <v>2418.2426066458083</v>
      </c>
      <c r="E2558" s="630">
        <v>2486.784858894287</v>
      </c>
      <c r="F2558" s="630">
        <v>2555.9840127989046</v>
      </c>
      <c r="G2558" s="630">
        <v>2626.6916128607249</v>
      </c>
      <c r="H2558" s="630">
        <v>2699.6125671964242</v>
      </c>
      <c r="J2558" s="630">
        <v>2436.9087405261862</v>
      </c>
      <c r="K2558" s="630">
        <v>2500.6622949944194</v>
      </c>
      <c r="L2558" s="630">
        <v>2572.0778312627513</v>
      </c>
      <c r="M2558" s="630">
        <v>2644.1476589859312</v>
      </c>
      <c r="N2558" s="630">
        <v>2717.7863391995706</v>
      </c>
      <c r="O2558" s="630">
        <v>2793.7394193543651</v>
      </c>
    </row>
    <row r="2559" spans="2:15" ht="15.75" hidden="1" outlineLevel="2">
      <c r="B2559" s="53" t="s">
        <v>8</v>
      </c>
      <c r="C2559" s="630">
        <v>896.8857250264308</v>
      </c>
      <c r="D2559" s="630">
        <v>944.82639457377502</v>
      </c>
      <c r="E2559" s="630">
        <v>977.98302701315129</v>
      </c>
      <c r="F2559" s="630">
        <v>1005.5095456225956</v>
      </c>
      <c r="G2559" s="630">
        <v>1033.632332151376</v>
      </c>
      <c r="H2559" s="630">
        <v>1062.6409522094295</v>
      </c>
      <c r="J2559" s="630">
        <v>963.02088512267983</v>
      </c>
      <c r="K2559" s="630">
        <v>994.42093411166957</v>
      </c>
      <c r="L2559" s="630">
        <v>1023.0861477167565</v>
      </c>
      <c r="M2559" s="630">
        <v>1051.9972011641053</v>
      </c>
      <c r="N2559" s="630">
        <v>1081.5374180110794</v>
      </c>
      <c r="O2559" s="630">
        <v>1112.0136206220186</v>
      </c>
    </row>
    <row r="2560" spans="2:15" ht="15.75" hidden="1" outlineLevel="2">
      <c r="B2560" s="53" t="s">
        <v>19</v>
      </c>
      <c r="C2560" s="630">
        <v>396.4394976981979</v>
      </c>
      <c r="D2560" s="630">
        <v>416.9526346741344</v>
      </c>
      <c r="E2560" s="630">
        <v>428.71926939246669</v>
      </c>
      <c r="F2560" s="630">
        <v>440.58616487436501</v>
      </c>
      <c r="G2560" s="630">
        <v>452.70146123831501</v>
      </c>
      <c r="H2560" s="630">
        <v>465.18891695824902</v>
      </c>
      <c r="J2560" s="630">
        <v>401.03851113221003</v>
      </c>
      <c r="K2560" s="630">
        <v>413.62039781168846</v>
      </c>
      <c r="L2560" s="630">
        <v>425.50865865912317</v>
      </c>
      <c r="M2560" s="630">
        <v>437.48632033602729</v>
      </c>
      <c r="N2560" s="630">
        <v>449.71213958215799</v>
      </c>
      <c r="O2560" s="630">
        <v>462.31660221075441</v>
      </c>
    </row>
    <row r="2561" spans="2:15" ht="15.75" hidden="1" outlineLevel="2">
      <c r="B2561" s="53" t="s">
        <v>27</v>
      </c>
      <c r="C2561" s="630">
        <v>500.44622732823291</v>
      </c>
      <c r="D2561" s="630">
        <v>527.87375989964062</v>
      </c>
      <c r="E2561" s="630">
        <v>549.2637576206846</v>
      </c>
      <c r="F2561" s="630">
        <v>564.92338074823056</v>
      </c>
      <c r="G2561" s="630">
        <v>580.93087091306097</v>
      </c>
      <c r="H2561" s="630">
        <v>597.45203525118052</v>
      </c>
      <c r="J2561" s="630">
        <f t="shared" ref="J2561:O2561" si="265">J2559-J2560</f>
        <v>561.9823739904698</v>
      </c>
      <c r="K2561" s="630">
        <f t="shared" si="265"/>
        <v>580.8005362999811</v>
      </c>
      <c r="L2561" s="630">
        <f t="shared" si="265"/>
        <v>597.57748905763333</v>
      </c>
      <c r="M2561" s="630">
        <f t="shared" si="265"/>
        <v>614.51088082807792</v>
      </c>
      <c r="N2561" s="630">
        <f t="shared" si="265"/>
        <v>631.82527842892137</v>
      </c>
      <c r="O2561" s="630">
        <f t="shared" si="265"/>
        <v>649.69701841126425</v>
      </c>
    </row>
    <row r="2562" spans="2:15" hidden="1" outlineLevel="2"/>
    <row r="2563" spans="2:15" hidden="1" outlineLevel="2"/>
    <row r="2564" spans="2:15" ht="15.75" collapsed="1">
      <c r="B2564" s="50" t="s">
        <v>78</v>
      </c>
      <c r="C2564" s="50">
        <f t="shared" ref="C2564:H2564" si="266">C2552</f>
        <v>2020</v>
      </c>
      <c r="D2564" s="50">
        <f t="shared" si="266"/>
        <v>2021</v>
      </c>
      <c r="E2564" s="50">
        <f t="shared" si="266"/>
        <v>2022</v>
      </c>
      <c r="F2564" s="50">
        <f t="shared" si="266"/>
        <v>2023</v>
      </c>
      <c r="G2564" s="50">
        <f t="shared" si="266"/>
        <v>2024</v>
      </c>
      <c r="H2564" s="50">
        <f t="shared" si="266"/>
        <v>2025</v>
      </c>
      <c r="J2564" s="50">
        <f t="shared" ref="J2564:O2564" si="267">J2552</f>
        <v>2020</v>
      </c>
      <c r="K2564" s="50">
        <f t="shared" si="267"/>
        <v>2021</v>
      </c>
      <c r="L2564" s="50">
        <f t="shared" si="267"/>
        <v>2022</v>
      </c>
      <c r="M2564" s="50">
        <f t="shared" si="267"/>
        <v>2023</v>
      </c>
      <c r="N2564" s="50">
        <f t="shared" si="267"/>
        <v>2024</v>
      </c>
      <c r="O2564" s="50">
        <f t="shared" si="267"/>
        <v>2025</v>
      </c>
    </row>
    <row r="2565" spans="2:15" ht="15.75">
      <c r="B2565" s="53" t="str">
        <f>B2553</f>
        <v>Residential fixed revenue</v>
      </c>
      <c r="C2565" s="56">
        <f t="shared" ref="C2565:H2573" si="268">C2540/C2553-1</f>
        <v>-6.3342100326773787E-2</v>
      </c>
      <c r="D2565" s="56">
        <f t="shared" si="268"/>
        <v>-9.1202348615108564E-2</v>
      </c>
      <c r="E2565" s="56">
        <f t="shared" si="268"/>
        <v>-6.1450951664476006E-2</v>
      </c>
      <c r="F2565" s="56">
        <f t="shared" si="268"/>
        <v>-4.0222834115498096E-2</v>
      </c>
      <c r="G2565" s="56">
        <f t="shared" si="268"/>
        <v>-3.5011359168512834E-2</v>
      </c>
      <c r="H2565" s="56">
        <f t="shared" si="268"/>
        <v>-3.6682408394143051E-2</v>
      </c>
      <c r="J2565" s="56">
        <f t="shared" ref="J2565:J2573" si="269">C2540/J2553-1</f>
        <v>-6.3342100326773787E-2</v>
      </c>
      <c r="K2565" s="56">
        <f t="shared" ref="K2565:K2573" si="270">D2540/K2553-1</f>
        <v>-9.1202348615108564E-2</v>
      </c>
      <c r="L2565" s="56">
        <f t="shared" ref="L2565:L2573" si="271">E2540/L2553-1</f>
        <v>-6.1450951664476006E-2</v>
      </c>
      <c r="M2565" s="56">
        <f t="shared" ref="M2565:M2573" si="272">F2540/M2553-1</f>
        <v>-4.0222834115498096E-2</v>
      </c>
      <c r="N2565" s="56">
        <f t="shared" ref="N2565:N2573" si="273">G2540/N2553-1</f>
        <v>-3.5011359168512834E-2</v>
      </c>
      <c r="O2565" s="56">
        <f t="shared" ref="O2565:O2573" si="274">H2540/O2553-1</f>
        <v>-3.6682408394143051E-2</v>
      </c>
    </row>
    <row r="2566" spans="2:15" ht="15.75">
      <c r="B2566" s="53" t="str">
        <f>B2554</f>
        <v>B2B</v>
      </c>
      <c r="C2566" s="56">
        <f t="shared" si="268"/>
        <v>-3.0326111213529794E-2</v>
      </c>
      <c r="D2566" s="56">
        <f t="shared" si="268"/>
        <v>-2.3825459810853489E-2</v>
      </c>
      <c r="E2566" s="56">
        <f t="shared" si="268"/>
        <v>-4.2966137069464172E-2</v>
      </c>
      <c r="F2566" s="56">
        <f t="shared" si="268"/>
        <v>-4.2966137069464172E-2</v>
      </c>
      <c r="G2566" s="56">
        <f t="shared" si="268"/>
        <v>-4.2966137069464172E-2</v>
      </c>
      <c r="H2566" s="56">
        <f t="shared" si="268"/>
        <v>-4.2966137069464172E-2</v>
      </c>
      <c r="J2566" s="56">
        <f t="shared" si="269"/>
        <v>-0.1253921787416149</v>
      </c>
      <c r="K2566" s="56">
        <f t="shared" si="270"/>
        <v>-7.6368495422725835E-2</v>
      </c>
      <c r="L2566" s="56">
        <f t="shared" si="271"/>
        <v>-9.4478917081103897E-2</v>
      </c>
      <c r="M2566" s="56">
        <f t="shared" si="272"/>
        <v>-9.4478917081103786E-2</v>
      </c>
      <c r="N2566" s="56">
        <f t="shared" si="273"/>
        <v>-9.4478917081103786E-2</v>
      </c>
      <c r="O2566" s="56">
        <f t="shared" si="274"/>
        <v>-9.4478917081103786E-2</v>
      </c>
    </row>
    <row r="2567" spans="2:15" ht="15.75">
      <c r="B2567" s="53" t="str">
        <f>B2555</f>
        <v>Subsea cable</v>
      </c>
      <c r="C2567" s="56">
        <f t="shared" si="268"/>
        <v>3.404915090769256E-2</v>
      </c>
      <c r="D2567" s="56">
        <f t="shared" si="268"/>
        <v>2.0130025883725144E-2</v>
      </c>
      <c r="E2567" s="56">
        <f t="shared" si="268"/>
        <v>2.0130025883725144E-2</v>
      </c>
      <c r="F2567" s="56">
        <f t="shared" si="268"/>
        <v>2.0130025883725144E-2</v>
      </c>
      <c r="G2567" s="56">
        <f t="shared" si="268"/>
        <v>2.0130025883725144E-2</v>
      </c>
      <c r="H2567" s="56">
        <f t="shared" si="268"/>
        <v>2.0130025883725144E-2</v>
      </c>
      <c r="J2567" s="56">
        <f t="shared" si="269"/>
        <v>3.404915090769256E-2</v>
      </c>
      <c r="K2567" s="56">
        <f t="shared" si="270"/>
        <v>2.0130025883725144E-2</v>
      </c>
      <c r="L2567" s="56">
        <f t="shared" si="271"/>
        <v>2.0130025883725144E-2</v>
      </c>
      <c r="M2567" s="56">
        <f t="shared" si="272"/>
        <v>2.0130025883725144E-2</v>
      </c>
      <c r="N2567" s="56">
        <f t="shared" si="273"/>
        <v>2.0130025883725144E-2</v>
      </c>
      <c r="O2567" s="56">
        <f t="shared" si="274"/>
        <v>2.0130025883725144E-2</v>
      </c>
    </row>
    <row r="2568" spans="2:15" ht="15.75">
      <c r="B2568" s="53" t="str">
        <f>B2556</f>
        <v>Residential wireless</v>
      </c>
      <c r="C2568" s="56">
        <f t="shared" si="268"/>
        <v>-0.1308143374100742</v>
      </c>
      <c r="D2568" s="56">
        <f t="shared" si="268"/>
        <v>-0.12916366234345733</v>
      </c>
      <c r="E2568" s="56">
        <f t="shared" si="268"/>
        <v>0.1738618393655611</v>
      </c>
      <c r="F2568" s="56">
        <f t="shared" si="268"/>
        <v>0.20526938589664168</v>
      </c>
      <c r="G2568" s="56">
        <f t="shared" si="268"/>
        <v>0.17181725300821005</v>
      </c>
      <c r="H2568" s="56">
        <f t="shared" si="268"/>
        <v>0.1596498499879353</v>
      </c>
      <c r="J2568" s="56">
        <f t="shared" si="269"/>
        <v>-0.15309666260056687</v>
      </c>
      <c r="K2568" s="56">
        <f t="shared" si="270"/>
        <v>-0.1675771856497279</v>
      </c>
      <c r="L2568" s="56">
        <f t="shared" si="271"/>
        <v>0.11995352873223286</v>
      </c>
      <c r="M2568" s="56">
        <f t="shared" si="272"/>
        <v>0.14804007574689737</v>
      </c>
      <c r="N2568" s="56">
        <f t="shared" si="273"/>
        <v>0.11450286683453959</v>
      </c>
      <c r="O2568" s="56">
        <f t="shared" si="274"/>
        <v>0.10135970927549565</v>
      </c>
    </row>
    <row r="2569" spans="2:15" ht="15.75">
      <c r="B2569" s="50" t="str">
        <f>B2557</f>
        <v>Equipment / other</v>
      </c>
      <c r="C2569" s="631">
        <f t="shared" si="268"/>
        <v>0.10583446404341901</v>
      </c>
      <c r="D2569" s="631">
        <f t="shared" si="268"/>
        <v>0.15640804243246564</v>
      </c>
      <c r="E2569" s="631">
        <f t="shared" si="268"/>
        <v>0.15640804243246564</v>
      </c>
      <c r="F2569" s="631">
        <f t="shared" si="268"/>
        <v>0.15640804243246564</v>
      </c>
      <c r="G2569" s="631">
        <f t="shared" si="268"/>
        <v>0.15640804243246564</v>
      </c>
      <c r="H2569" s="631">
        <f t="shared" si="268"/>
        <v>0.15640804243246564</v>
      </c>
      <c r="J2569" s="631">
        <f t="shared" si="269"/>
        <v>-6.8770977647647058E-2</v>
      </c>
      <c r="K2569" s="631">
        <f t="shared" si="270"/>
        <v>9.3060233448517549E-2</v>
      </c>
      <c r="L2569" s="631">
        <f t="shared" si="271"/>
        <v>9.3060233448517549E-2</v>
      </c>
      <c r="M2569" s="631">
        <f t="shared" si="272"/>
        <v>9.3060233448517549E-2</v>
      </c>
      <c r="N2569" s="631">
        <f t="shared" si="273"/>
        <v>9.3060233448517549E-2</v>
      </c>
      <c r="O2569" s="631">
        <f t="shared" si="274"/>
        <v>9.3060233448517549E-2</v>
      </c>
    </row>
    <row r="2570" spans="2:15" ht="15.75">
      <c r="B2570" s="53" t="s">
        <v>17</v>
      </c>
      <c r="C2570" s="56">
        <f t="shared" si="268"/>
        <v>-4.8138101721950544E-2</v>
      </c>
      <c r="D2570" s="56">
        <f t="shared" si="268"/>
        <v>-5.0095307357865826E-2</v>
      </c>
      <c r="E2570" s="56">
        <f t="shared" si="268"/>
        <v>1.7498554790566612E-2</v>
      </c>
      <c r="F2570" s="56">
        <f t="shared" si="268"/>
        <v>3.0014267232089775E-2</v>
      </c>
      <c r="G2570" s="56">
        <f t="shared" si="268"/>
        <v>2.4004852543044075E-2</v>
      </c>
      <c r="H2570" s="56">
        <f t="shared" si="268"/>
        <v>2.0967493122034497E-2</v>
      </c>
      <c r="J2570" s="56">
        <f t="shared" si="269"/>
        <v>-9.725794675224908E-2</v>
      </c>
      <c r="K2570" s="56">
        <f t="shared" si="270"/>
        <v>-8.1403352784536587E-2</v>
      </c>
      <c r="L2570" s="56">
        <f t="shared" si="271"/>
        <v>-1.6242833228044429E-2</v>
      </c>
      <c r="M2570" s="56">
        <f t="shared" si="272"/>
        <v>-4.3294325666826117E-3</v>
      </c>
      <c r="N2570" s="56">
        <f t="shared" si="273"/>
        <v>-1.0317728473214771E-2</v>
      </c>
      <c r="O2570" s="56">
        <f t="shared" si="274"/>
        <v>-1.3431010767555263E-2</v>
      </c>
    </row>
    <row r="2571" spans="2:15" ht="15.75">
      <c r="B2571" s="53" t="str">
        <f>B2559</f>
        <v>EBITDA</v>
      </c>
      <c r="C2571" s="56">
        <f t="shared" si="268"/>
        <v>-1.2137248617832608E-2</v>
      </c>
      <c r="D2571" s="56">
        <f t="shared" si="268"/>
        <v>2.6180528406394288E-3</v>
      </c>
      <c r="E2571" s="56">
        <f t="shared" si="268"/>
        <v>2.2819386809816766E-2</v>
      </c>
      <c r="F2571" s="56">
        <f t="shared" si="268"/>
        <v>8.0248322582996634E-2</v>
      </c>
      <c r="G2571" s="56">
        <f t="shared" si="268"/>
        <v>8.5477072953820565E-2</v>
      </c>
      <c r="H2571" s="56">
        <f t="shared" si="268"/>
        <v>0.11444084882166305</v>
      </c>
      <c r="J2571" s="56">
        <f t="shared" si="269"/>
        <v>-7.9978416161626709E-2</v>
      </c>
      <c r="K2571" s="56">
        <f t="shared" si="270"/>
        <v>-4.7385299821511961E-2</v>
      </c>
      <c r="L2571" s="56">
        <f t="shared" si="271"/>
        <v>-2.2271973643284038E-2</v>
      </c>
      <c r="M2571" s="56">
        <f t="shared" si="272"/>
        <v>3.251225269235225E-2</v>
      </c>
      <c r="N2571" s="56">
        <f t="shared" si="273"/>
        <v>3.739748595791359E-2</v>
      </c>
      <c r="O2571" s="56">
        <f t="shared" si="274"/>
        <v>6.4960413084249602E-2</v>
      </c>
    </row>
    <row r="2572" spans="2:15" ht="15.75">
      <c r="B2572" s="53" t="str">
        <f>B2560</f>
        <v>Capex</v>
      </c>
      <c r="C2572" s="56">
        <f t="shared" si="268"/>
        <v>-0.19987790862988486</v>
      </c>
      <c r="D2572" s="56">
        <f t="shared" si="268"/>
        <v>-0.14354780302782277</v>
      </c>
      <c r="E2572" s="56">
        <f t="shared" si="268"/>
        <v>-0.18342528317867224</v>
      </c>
      <c r="F2572" s="56">
        <f t="shared" si="268"/>
        <v>-9.3026445544544867E-2</v>
      </c>
      <c r="G2572" s="56">
        <f t="shared" si="268"/>
        <v>-0.11564876991190431</v>
      </c>
      <c r="H2572" s="56">
        <f t="shared" si="268"/>
        <v>-0.13923016385192255</v>
      </c>
      <c r="J2572" s="56">
        <f t="shared" si="269"/>
        <v>-0.20905351681941342</v>
      </c>
      <c r="K2572" s="56">
        <f t="shared" si="270"/>
        <v>-0.13664799441883624</v>
      </c>
      <c r="L2572" s="56">
        <f t="shared" si="271"/>
        <v>-0.17726394310473559</v>
      </c>
      <c r="M2572" s="56">
        <f t="shared" si="272"/>
        <v>-8.6600011417333644E-2</v>
      </c>
      <c r="N2572" s="56">
        <f t="shared" si="273"/>
        <v>-0.10977032000791087</v>
      </c>
      <c r="O2572" s="56">
        <f t="shared" si="274"/>
        <v>-0.13388230941030432</v>
      </c>
    </row>
    <row r="2573" spans="2:15" ht="15.75">
      <c r="B2573" s="53" t="str">
        <f>B2561</f>
        <v>OpFCF</v>
      </c>
      <c r="C2573" s="56">
        <f t="shared" si="268"/>
        <v>0.13658564884521573</v>
      </c>
      <c r="D2573" s="56">
        <f t="shared" si="268"/>
        <v>0.11807035097218876</v>
      </c>
      <c r="E2573" s="56">
        <f t="shared" si="268"/>
        <v>0.18380045101944198</v>
      </c>
      <c r="F2573" s="56">
        <f t="shared" si="268"/>
        <v>0.21538605658454246</v>
      </c>
      <c r="G2573" s="56">
        <f t="shared" si="268"/>
        <v>0.24220822207487935</v>
      </c>
      <c r="H2573" s="56">
        <f t="shared" si="268"/>
        <v>0.31195451801473228</v>
      </c>
      <c r="J2573" s="56">
        <f t="shared" si="269"/>
        <v>1.2131387611181044E-2</v>
      </c>
      <c r="K2573" s="56">
        <f t="shared" si="270"/>
        <v>1.6183634677575665E-2</v>
      </c>
      <c r="L2573" s="56">
        <f t="shared" si="271"/>
        <v>8.8090993898348957E-2</v>
      </c>
      <c r="M2573" s="56">
        <f t="shared" si="272"/>
        <v>0.11731137953941384</v>
      </c>
      <c r="N2573" s="56">
        <f t="shared" si="273"/>
        <v>0.14214661702001985</v>
      </c>
      <c r="O2573" s="56">
        <f t="shared" si="274"/>
        <v>0.20645450838241608</v>
      </c>
    </row>
    <row r="2574" spans="2:15" ht="15.75" hidden="1" outlineLevel="1">
      <c r="B2574" s="53" t="s">
        <v>4707</v>
      </c>
      <c r="C2574" s="752">
        <v>0.2</v>
      </c>
      <c r="D2574" s="752">
        <v>0.2</v>
      </c>
      <c r="E2574" s="752">
        <v>0.2</v>
      </c>
      <c r="F2574" s="752">
        <v>0.2</v>
      </c>
      <c r="G2574" s="752">
        <v>0.2</v>
      </c>
      <c r="H2574" s="752">
        <v>0.2</v>
      </c>
    </row>
    <row r="2575" spans="2:15" ht="15.75" hidden="1" outlineLevel="1">
      <c r="B2575" s="53" t="s">
        <v>4708</v>
      </c>
      <c r="C2575" s="630">
        <f t="shared" ref="C2575:H2575" si="275">C2574*(C2557-C2544)</f>
        <v>-2.4959999999999924</v>
      </c>
      <c r="D2575" s="630">
        <f t="shared" si="275"/>
        <v>-4.0575999999999963</v>
      </c>
      <c r="E2575" s="630">
        <f t="shared" si="275"/>
        <v>-4.0575999999999963</v>
      </c>
      <c r="F2575" s="630">
        <f t="shared" si="275"/>
        <v>-4.0575999999999963</v>
      </c>
      <c r="G2575" s="630">
        <f t="shared" si="275"/>
        <v>-4.0575999999999963</v>
      </c>
      <c r="H2575" s="630">
        <f t="shared" si="275"/>
        <v>-4.0575999999999963</v>
      </c>
    </row>
    <row r="2576" spans="2:15" hidden="1" outlineLevel="1"/>
    <row r="2577" spans="2:16" ht="15.75" hidden="1" outlineLevel="1">
      <c r="B2577" s="53" t="s">
        <v>4710</v>
      </c>
      <c r="C2577" s="630">
        <f t="shared" ref="C2577:H2577" si="276">(C2559-C2546)-C2575</f>
        <v>13.381725026430797</v>
      </c>
      <c r="D2577" s="630">
        <f t="shared" si="276"/>
        <v>1.5839945737749472</v>
      </c>
      <c r="E2577" s="630">
        <f t="shared" si="276"/>
        <v>-18.259372986848671</v>
      </c>
      <c r="F2577" s="630">
        <f t="shared" si="276"/>
        <v>-76.632854377404428</v>
      </c>
      <c r="G2577" s="630">
        <f t="shared" si="276"/>
        <v>-84.294266262730943</v>
      </c>
      <c r="H2577" s="630">
        <f t="shared" si="276"/>
        <v>-117.55193256350741</v>
      </c>
    </row>
    <row r="2578" spans="2:16" ht="15.75" hidden="1" outlineLevel="1">
      <c r="B2578" s="53" t="s">
        <v>4709</v>
      </c>
      <c r="C2578" s="630">
        <f t="shared" ref="C2578:H2578" si="277">(C2558-C2545)-(C2557-C2544)</f>
        <v>123.73459498872029</v>
      </c>
      <c r="D2578" s="630">
        <f t="shared" si="277"/>
        <v>141.43060664580841</v>
      </c>
      <c r="E2578" s="630">
        <f t="shared" si="277"/>
        <v>-23.227141105713173</v>
      </c>
      <c r="F2578" s="630">
        <f t="shared" si="277"/>
        <v>-56.427987201095249</v>
      </c>
      <c r="G2578" s="630">
        <f t="shared" si="277"/>
        <v>-42.765344842772294</v>
      </c>
      <c r="H2578" s="630">
        <f t="shared" si="277"/>
        <v>-36.316107934848816</v>
      </c>
    </row>
    <row r="2579" spans="2:16" ht="15.75" hidden="1" outlineLevel="1">
      <c r="B2579" s="53" t="s">
        <v>1994</v>
      </c>
      <c r="C2579" s="54">
        <f t="shared" ref="C2579:H2579" si="278">C2577/C2578</f>
        <v>0.108148614602494</v>
      </c>
      <c r="D2579" s="54">
        <f t="shared" si="278"/>
        <v>1.1199800462864607E-2</v>
      </c>
      <c r="E2579" s="54">
        <f t="shared" si="278"/>
        <v>0.78612227409930435</v>
      </c>
      <c r="F2579" s="54">
        <f t="shared" si="278"/>
        <v>1.3580646444875675</v>
      </c>
      <c r="G2579" s="54">
        <f t="shared" si="278"/>
        <v>1.9710881923819537</v>
      </c>
      <c r="H2579" s="54">
        <f t="shared" si="278"/>
        <v>3.2369088883201873</v>
      </c>
    </row>
    <row r="2580" spans="2:16" hidden="1" outlineLevel="1">
      <c r="J2580" s="16">
        <f>Forex!P38</f>
        <v>792</v>
      </c>
      <c r="K2580" s="16">
        <f>Forex!Q38</f>
        <v>761</v>
      </c>
      <c r="L2580" s="16">
        <f>Forex!R38</f>
        <v>873</v>
      </c>
      <c r="M2580" s="16">
        <f>Forex!S38</f>
        <v>799</v>
      </c>
      <c r="N2580" s="16">
        <f>Forex!T38</f>
        <v>811</v>
      </c>
      <c r="O2580" s="16">
        <f>Forex!U38</f>
        <v>811</v>
      </c>
      <c r="P2580" t="s">
        <v>4916</v>
      </c>
    </row>
    <row r="2581" spans="2:16" ht="15.75" hidden="1" outlineLevel="1">
      <c r="B2581" s="1061" t="s">
        <v>4915</v>
      </c>
      <c r="J2581">
        <v>830</v>
      </c>
      <c r="K2581">
        <v>830</v>
      </c>
      <c r="L2581">
        <v>830</v>
      </c>
      <c r="M2581">
        <v>830</v>
      </c>
      <c r="N2581">
        <v>830</v>
      </c>
      <c r="O2581">
        <v>830</v>
      </c>
      <c r="P2581" t="s">
        <v>4917</v>
      </c>
    </row>
    <row r="2582" spans="2:16" hidden="1" outlineLevel="1"/>
    <row r="2583" spans="2:16" ht="15.75" hidden="1" outlineLevel="1">
      <c r="B2583" s="636" t="s">
        <v>1422</v>
      </c>
      <c r="C2583" s="636">
        <v>2020</v>
      </c>
      <c r="D2583" s="636">
        <f>C2583+1</f>
        <v>2021</v>
      </c>
      <c r="E2583" s="636">
        <f>D2583+1</f>
        <v>2022</v>
      </c>
      <c r="F2583" s="636">
        <f>E2583+1</f>
        <v>2023</v>
      </c>
      <c r="G2583" s="636">
        <f>F2583+1</f>
        <v>2024</v>
      </c>
      <c r="H2583" s="636">
        <f>G2583+1</f>
        <v>2025</v>
      </c>
      <c r="I2583" s="1067">
        <f>C2583</f>
        <v>2020</v>
      </c>
    </row>
    <row r="2584" spans="2:16" ht="15.75" hidden="1" outlineLevel="1">
      <c r="B2584" s="53" t="s">
        <v>482</v>
      </c>
      <c r="C2584" s="630">
        <f>Master!L52</f>
        <v>3765</v>
      </c>
      <c r="D2584" s="630">
        <f>Master!M52</f>
        <v>4791.295532194481</v>
      </c>
      <c r="E2584" s="630">
        <f>Master!N52</f>
        <v>4815</v>
      </c>
      <c r="F2584" s="630">
        <f>Master!O52</f>
        <v>4511.1000000000004</v>
      </c>
      <c r="G2584" s="630">
        <f>Master!P52</f>
        <v>4469.0806310346197</v>
      </c>
      <c r="H2584" s="630">
        <f>Master!Q52</f>
        <v>4594.6345802354044</v>
      </c>
      <c r="I2584" s="1068">
        <f>C2584+E2170/4</f>
        <v>3983.85</v>
      </c>
      <c r="K2584" s="630"/>
      <c r="L2584" s="630"/>
      <c r="M2584" s="630"/>
      <c r="N2584" s="630"/>
      <c r="O2584" s="630"/>
    </row>
    <row r="2585" spans="2:16" ht="15.75" hidden="1" outlineLevel="1">
      <c r="B2585" s="53" t="s">
        <v>8</v>
      </c>
      <c r="C2585" s="630">
        <f>Master!L74</f>
        <v>1485</v>
      </c>
      <c r="D2585" s="630">
        <f>Master!M74</f>
        <v>1818.4935611038109</v>
      </c>
      <c r="E2585" s="630">
        <f>Master!N74</f>
        <v>1718</v>
      </c>
      <c r="F2585" s="630">
        <f>Master!O74</f>
        <v>1701.6</v>
      </c>
      <c r="G2585" s="630">
        <f>Master!P74</f>
        <v>1579.0990335466222</v>
      </c>
      <c r="H2585" s="630">
        <f>Master!Q74</f>
        <v>1802.8296324342652</v>
      </c>
      <c r="I2585" s="1068">
        <f>C2585+E2172/4</f>
        <v>1555.0319999999999</v>
      </c>
      <c r="K2585" s="630"/>
      <c r="L2585" s="630"/>
      <c r="M2585" s="630"/>
      <c r="N2585" s="630"/>
      <c r="O2585" s="630"/>
    </row>
    <row r="2586" spans="2:16" ht="15.75" hidden="1" outlineLevel="1">
      <c r="B2586" s="53" t="s">
        <v>19</v>
      </c>
      <c r="C2586" s="630">
        <f>Master!L121</f>
        <v>631</v>
      </c>
      <c r="D2586" s="630">
        <f>Master!M121</f>
        <v>855.89999999999986</v>
      </c>
      <c r="E2586" s="630">
        <f>Master!N121</f>
        <v>816.3</v>
      </c>
      <c r="F2586" s="630">
        <f>Master!O121</f>
        <v>730.9</v>
      </c>
      <c r="G2586" s="630">
        <f>Master!P121</f>
        <v>714.74571124892748</v>
      </c>
      <c r="H2586" s="630">
        <f>Master!Q121</f>
        <v>721.45592028503188</v>
      </c>
      <c r="I2586" s="1068">
        <f>C2586+E2177/4</f>
        <v>663.82749999999999</v>
      </c>
      <c r="K2586" s="630"/>
      <c r="L2586" s="630"/>
      <c r="M2586" s="630"/>
      <c r="N2586" s="54">
        <f>300*4/3/SUM(Master!K40:K46)</f>
        <v>0.16785564414603441</v>
      </c>
      <c r="O2586" s="630"/>
    </row>
    <row r="2587" spans="2:16" ht="15.75" hidden="1" outlineLevel="1">
      <c r="B2587" s="53" t="s">
        <v>27</v>
      </c>
      <c r="C2587" s="630">
        <f>Master!L150</f>
        <v>854</v>
      </c>
      <c r="D2587" s="630">
        <f>Master!M150</f>
        <v>962.593561103811</v>
      </c>
      <c r="E2587" s="630">
        <f>Master!N150</f>
        <v>901.7</v>
      </c>
      <c r="F2587" s="630">
        <f>Master!O150</f>
        <v>970.69999999999993</v>
      </c>
      <c r="G2587" s="630">
        <f>Master!P150</f>
        <v>864.35332229769472</v>
      </c>
      <c r="H2587" s="630">
        <f>Master!Q150</f>
        <v>1081.3737121492334</v>
      </c>
      <c r="I2587" s="1068">
        <f>I2585-I2586</f>
        <v>891.20449999999994</v>
      </c>
      <c r="K2587" s="630"/>
      <c r="L2587" s="630"/>
      <c r="M2587" s="630"/>
      <c r="N2587" s="630"/>
      <c r="O2587" s="630"/>
    </row>
    <row r="2588" spans="2:16" ht="15.75" hidden="1" outlineLevel="1">
      <c r="B2588" s="53" t="s">
        <v>249</v>
      </c>
      <c r="C2588" s="630">
        <f>Valuation!K28</f>
        <v>196.00200000000001</v>
      </c>
      <c r="D2588" s="630">
        <f>Valuation!L28</f>
        <v>243.97968593955338</v>
      </c>
      <c r="E2588" s="630">
        <f>Valuation!M28</f>
        <v>229.24999999999997</v>
      </c>
      <c r="F2588" s="630">
        <f>Valuation!N28</f>
        <v>193.96999999999989</v>
      </c>
      <c r="G2588" s="630">
        <f ca="1">Valuation!O28</f>
        <v>136.49958891740317</v>
      </c>
      <c r="H2588" s="630">
        <f ca="1">Valuation!P28</f>
        <v>249.28592382841885</v>
      </c>
      <c r="I2588" s="8"/>
    </row>
    <row r="2589" spans="2:16" ht="15.75" hidden="1" outlineLevel="1">
      <c r="B2589" s="636" t="s">
        <v>1423</v>
      </c>
      <c r="C2589" s="636">
        <v>2020</v>
      </c>
      <c r="D2589" s="636">
        <f>C2589+1</f>
        <v>2021</v>
      </c>
      <c r="E2589" s="636">
        <f>D2589+1</f>
        <v>2022</v>
      </c>
      <c r="F2589" s="636">
        <f>E2589+1</f>
        <v>2023</v>
      </c>
      <c r="G2589" s="636">
        <f>F2589+1</f>
        <v>2024</v>
      </c>
      <c r="H2589" s="636">
        <f>G2589+1</f>
        <v>2025</v>
      </c>
      <c r="I2589" s="8"/>
    </row>
    <row r="2590" spans="2:16" ht="15.75" hidden="1" outlineLevel="1">
      <c r="B2590" s="53" t="s">
        <v>482</v>
      </c>
      <c r="C2590" s="630">
        <v>4192.3155435309081</v>
      </c>
      <c r="D2590" s="630">
        <v>4877.577773334222</v>
      </c>
      <c r="E2590" s="630">
        <v>5015.8981432325418</v>
      </c>
      <c r="F2590" s="630">
        <v>5157.1110295520384</v>
      </c>
      <c r="G2590" s="630">
        <v>5299.1511502622534</v>
      </c>
      <c r="H2590" s="630">
        <v>5442.9278912816471</v>
      </c>
      <c r="I2590" s="8"/>
      <c r="J2590" s="630">
        <v>4328.2899623369194</v>
      </c>
      <c r="K2590" s="630">
        <v>4976.4260320504063</v>
      </c>
      <c r="L2590" s="630">
        <v>5121.3410971953454</v>
      </c>
      <c r="M2590" s="630">
        <v>5267.9041157588554</v>
      </c>
      <c r="N2590" s="630">
        <v>5415.5085982265446</v>
      </c>
      <c r="O2590" s="630">
        <v>5563.1401900437577</v>
      </c>
      <c r="P2590" s="1068"/>
    </row>
    <row r="2591" spans="2:16" ht="15.75" hidden="1" outlineLevel="1">
      <c r="B2591" s="53" t="s">
        <v>8</v>
      </c>
      <c r="C2591" s="630">
        <v>1585.8108011304284</v>
      </c>
      <c r="D2591" s="630">
        <v>1826.0293056751129</v>
      </c>
      <c r="E2591" s="630">
        <v>1887.1430623152705</v>
      </c>
      <c r="F2591" s="630">
        <v>1945.1179796604235</v>
      </c>
      <c r="G2591" s="630">
        <v>2001.1616502896622</v>
      </c>
      <c r="H2591" s="630">
        <v>2057.8209068651263</v>
      </c>
      <c r="I2591" s="8"/>
      <c r="J2591" s="630">
        <v>1657.0049964946074</v>
      </c>
      <c r="K2591" s="630">
        <v>1878.7424849177951</v>
      </c>
      <c r="L2591" s="630">
        <v>1941.1336416921558</v>
      </c>
      <c r="M2591" s="630">
        <v>2001.4572822255254</v>
      </c>
      <c r="N2591" s="630">
        <v>2059.9398723910631</v>
      </c>
      <c r="O2591" s="630">
        <v>2118.3973792573443</v>
      </c>
      <c r="P2591" s="1068"/>
    </row>
    <row r="2592" spans="2:16" ht="15.75" hidden="1" outlineLevel="1">
      <c r="B2592" s="53" t="s">
        <v>19</v>
      </c>
      <c r="C2592" s="630">
        <v>766.87017965966891</v>
      </c>
      <c r="D2592" s="630">
        <v>866.95934964218748</v>
      </c>
      <c r="E2592" s="630">
        <v>881.20277597265533</v>
      </c>
      <c r="F2592" s="630">
        <v>904.27165728271268</v>
      </c>
      <c r="G2592" s="630">
        <v>927.25158871746612</v>
      </c>
      <c r="H2592" s="630">
        <v>950.31494398265068</v>
      </c>
      <c r="I2592" s="8"/>
      <c r="J2592" s="630">
        <v>773.5132477473901</v>
      </c>
      <c r="K2592" s="630">
        <v>867.03118638518902</v>
      </c>
      <c r="L2592" s="630">
        <v>882.11666435956397</v>
      </c>
      <c r="M2592" s="630">
        <v>905.6977007483332</v>
      </c>
      <c r="N2592" s="630">
        <v>929.17290608527651</v>
      </c>
      <c r="O2592" s="630">
        <v>952.36258949695764</v>
      </c>
      <c r="P2592" s="1068"/>
    </row>
    <row r="2593" spans="2:16" ht="15.75" hidden="1" outlineLevel="1">
      <c r="B2593" s="53" t="s">
        <v>27</v>
      </c>
      <c r="C2593" s="630">
        <v>818.94062147075954</v>
      </c>
      <c r="D2593" s="630">
        <v>959.06995603292546</v>
      </c>
      <c r="E2593" s="630">
        <v>1005.9402863426152</v>
      </c>
      <c r="F2593" s="630">
        <v>1040.8463223777107</v>
      </c>
      <c r="G2593" s="630">
        <v>1073.9100615721961</v>
      </c>
      <c r="H2593" s="630">
        <v>1107.5059628824756</v>
      </c>
      <c r="I2593" s="8"/>
      <c r="J2593" s="630">
        <v>883.49174874721734</v>
      </c>
      <c r="K2593" s="630">
        <v>1011.7112985326061</v>
      </c>
      <c r="L2593" s="630">
        <v>1059.016977332592</v>
      </c>
      <c r="M2593" s="630">
        <v>1095.7595814771921</v>
      </c>
      <c r="N2593" s="630">
        <v>1130.7669663057866</v>
      </c>
      <c r="O2593" s="630">
        <v>1166.0347897603865</v>
      </c>
      <c r="P2593" s="1068"/>
    </row>
    <row r="2594" spans="2:16" ht="15.75" hidden="1" outlineLevel="1">
      <c r="B2594" s="53" t="s">
        <v>249</v>
      </c>
      <c r="C2594" s="630">
        <v>51.51953444990329</v>
      </c>
      <c r="D2594" s="630">
        <v>176.2037556787908</v>
      </c>
      <c r="E2594" s="630">
        <v>235.33560027861046</v>
      </c>
      <c r="F2594" s="630">
        <v>252.39894130594996</v>
      </c>
      <c r="G2594" s="630">
        <v>278.28621276726489</v>
      </c>
      <c r="H2594" s="630">
        <v>312.90229327789098</v>
      </c>
      <c r="I2594" s="8"/>
      <c r="J2594" s="630">
        <v>116.09459306770214</v>
      </c>
      <c r="K2594" s="630">
        <v>228.90304277670577</v>
      </c>
      <c r="L2594" s="630">
        <v>261.90395268286494</v>
      </c>
      <c r="M2594" s="630">
        <v>282.38887276164201</v>
      </c>
      <c r="N2594" s="630">
        <v>312.03377156938166</v>
      </c>
      <c r="O2594" s="630">
        <v>350.61551015442978</v>
      </c>
    </row>
    <row r="2595" spans="2:16" ht="15.75" collapsed="1">
      <c r="B2595" s="53"/>
      <c r="C2595" s="630"/>
      <c r="D2595" s="630"/>
      <c r="E2595" s="630"/>
      <c r="F2595" s="630"/>
      <c r="G2595" s="630"/>
      <c r="H2595" s="630"/>
      <c r="I2595" s="8"/>
      <c r="J2595" s="630"/>
      <c r="K2595" s="630"/>
      <c r="L2595" s="630"/>
      <c r="M2595" s="630"/>
      <c r="N2595" s="630"/>
      <c r="O2595" s="630"/>
    </row>
    <row r="2596" spans="2:16" ht="15.75">
      <c r="B2596" s="1061" t="s">
        <v>4926</v>
      </c>
      <c r="C2596" s="630"/>
      <c r="D2596" s="53"/>
      <c r="E2596" s="53"/>
      <c r="F2596" s="53"/>
      <c r="G2596" s="53"/>
      <c r="H2596" s="53"/>
      <c r="J2596" s="1061" t="s">
        <v>4927</v>
      </c>
    </row>
    <row r="2597" spans="2:16" ht="15.75">
      <c r="B2597" s="1061"/>
      <c r="C2597" s="630"/>
      <c r="D2597" s="53"/>
      <c r="E2597" s="53"/>
      <c r="F2597" s="53"/>
      <c r="G2597" s="53"/>
      <c r="H2597" s="53"/>
      <c r="J2597" s="513"/>
    </row>
    <row r="2598" spans="2:16" ht="15.75">
      <c r="B2598" s="636" t="s">
        <v>78</v>
      </c>
      <c r="C2598" s="636">
        <v>2020</v>
      </c>
      <c r="D2598" s="636">
        <f>C2598+1</f>
        <v>2021</v>
      </c>
      <c r="E2598" s="636">
        <f>D2598+1</f>
        <v>2022</v>
      </c>
      <c r="F2598" s="636">
        <f>E2598+1</f>
        <v>2023</v>
      </c>
      <c r="G2598" s="636">
        <f>F2598+1</f>
        <v>2024</v>
      </c>
      <c r="H2598" s="636">
        <f>G2598+1</f>
        <v>2025</v>
      </c>
      <c r="I2598" s="8"/>
      <c r="J2598" s="636">
        <v>2020</v>
      </c>
      <c r="K2598" s="636">
        <f>J2598+1</f>
        <v>2021</v>
      </c>
      <c r="L2598" s="636">
        <f>K2598+1</f>
        <v>2022</v>
      </c>
      <c r="M2598" s="636">
        <f>L2598+1</f>
        <v>2023</v>
      </c>
      <c r="N2598" s="636">
        <f>M2598+1</f>
        <v>2024</v>
      </c>
      <c r="O2598" s="636">
        <f>N2598+1</f>
        <v>2025</v>
      </c>
    </row>
    <row r="2599" spans="2:16" ht="15.75">
      <c r="B2599" s="53" t="s">
        <v>482</v>
      </c>
      <c r="C2599" s="56">
        <f>I2584/C2590-1</f>
        <v>-4.9725632855233903E-2</v>
      </c>
      <c r="D2599" s="56">
        <f t="shared" ref="D2599:H2603" si="279">D2584/D2590-1</f>
        <v>-1.7689567475775991E-2</v>
      </c>
      <c r="E2599" s="56">
        <f t="shared" si="279"/>
        <v>-4.0052277278316284E-2</v>
      </c>
      <c r="F2599" s="56">
        <f t="shared" si="279"/>
        <v>-0.12526606967547727</v>
      </c>
      <c r="G2599" s="56">
        <f t="shared" si="279"/>
        <v>-0.15664216696037325</v>
      </c>
      <c r="H2599" s="56">
        <f t="shared" si="279"/>
        <v>-0.15585238827158054</v>
      </c>
      <c r="J2599" s="56">
        <f>I2584/J2590-1</f>
        <v>-7.9578763283906784E-2</v>
      </c>
      <c r="K2599" s="56">
        <f t="shared" ref="K2599:O2603" si="280">D2584/K2590-1</f>
        <v>-3.7201497352437718E-2</v>
      </c>
      <c r="L2599" s="56">
        <f t="shared" si="280"/>
        <v>-5.9816577607593846E-2</v>
      </c>
      <c r="M2599" s="56">
        <f t="shared" si="280"/>
        <v>-0.14366322908097107</v>
      </c>
      <c r="N2599" s="56">
        <f t="shared" si="280"/>
        <v>-0.1747625269216373</v>
      </c>
      <c r="O2599" s="56">
        <f t="shared" si="280"/>
        <v>-0.17409333159384854</v>
      </c>
    </row>
    <row r="2600" spans="2:16" ht="15.75">
      <c r="B2600" s="53" t="s">
        <v>8</v>
      </c>
      <c r="C2600" s="56">
        <f>I2585/C2591-1</f>
        <v>-1.9408873434641927E-2</v>
      </c>
      <c r="D2600" s="56">
        <f t="shared" si="279"/>
        <v>-4.1268475527099779E-3</v>
      </c>
      <c r="E2600" s="56">
        <f t="shared" si="279"/>
        <v>-8.9629167863805037E-2</v>
      </c>
      <c r="F2600" s="56">
        <f t="shared" si="279"/>
        <v>-0.12519445206245883</v>
      </c>
      <c r="G2600" s="56">
        <f t="shared" si="279"/>
        <v>-0.21090880723301275</v>
      </c>
      <c r="H2600" s="56">
        <f t="shared" si="279"/>
        <v>-0.12391324900052325</v>
      </c>
      <c r="J2600" s="56">
        <f>I2585/J2591-1</f>
        <v>-6.1540548586353827E-2</v>
      </c>
      <c r="K2600" s="56">
        <f t="shared" si="280"/>
        <v>-3.2068750399616652E-2</v>
      </c>
      <c r="L2600" s="56">
        <f t="shared" si="280"/>
        <v>-0.1149501697871983</v>
      </c>
      <c r="M2600" s="56">
        <f t="shared" si="280"/>
        <v>-0.14981947648270488</v>
      </c>
      <c r="N2600" s="56">
        <f t="shared" si="280"/>
        <v>-0.2334246961714993</v>
      </c>
      <c r="O2600" s="56">
        <f t="shared" si="280"/>
        <v>-0.14896532157423126</v>
      </c>
    </row>
    <row r="2601" spans="2:16" ht="15.75">
      <c r="B2601" s="53" t="s">
        <v>19</v>
      </c>
      <c r="C2601" s="56">
        <f>I2586/C2592-1</f>
        <v>-0.13436782703612038</v>
      </c>
      <c r="D2601" s="56">
        <f t="shared" si="279"/>
        <v>-1.2756480043443874E-2</v>
      </c>
      <c r="E2601" s="56">
        <f t="shared" si="279"/>
        <v>-7.3652486967051289E-2</v>
      </c>
      <c r="F2601" s="56">
        <f t="shared" si="279"/>
        <v>-0.19172519218802586</v>
      </c>
      <c r="G2601" s="56">
        <f t="shared" si="279"/>
        <v>-0.22917822957032352</v>
      </c>
      <c r="H2601" s="56">
        <f t="shared" si="279"/>
        <v>-0.24082439737135919</v>
      </c>
      <c r="J2601" s="56">
        <f>I2586/J2592-1</f>
        <v>-0.14180202868769831</v>
      </c>
      <c r="K2601" s="56">
        <f t="shared" si="280"/>
        <v>-1.2838276823233019E-2</v>
      </c>
      <c r="L2601" s="56">
        <f t="shared" si="280"/>
        <v>-7.4612199291516967E-2</v>
      </c>
      <c r="M2601" s="56">
        <f t="shared" si="280"/>
        <v>-0.19299784089537442</v>
      </c>
      <c r="N2601" s="56">
        <f t="shared" si="280"/>
        <v>-0.23077211295339861</v>
      </c>
      <c r="O2601" s="56">
        <f t="shared" si="280"/>
        <v>-0.24245667748655664</v>
      </c>
    </row>
    <row r="2602" spans="2:16" ht="15.75">
      <c r="B2602" s="53" t="s">
        <v>27</v>
      </c>
      <c r="C2602" s="56">
        <f>I2587/C2593-1</f>
        <v>8.8240681478786165E-2</v>
      </c>
      <c r="D2602" s="56">
        <f t="shared" si="279"/>
        <v>3.6739812864752253E-3</v>
      </c>
      <c r="E2602" s="56">
        <f t="shared" si="279"/>
        <v>-0.10362472579919291</v>
      </c>
      <c r="F2602" s="56">
        <f t="shared" si="279"/>
        <v>-6.7393543955142632E-2</v>
      </c>
      <c r="G2602" s="56">
        <f t="shared" si="279"/>
        <v>-0.19513434762657123</v>
      </c>
      <c r="H2602" s="56">
        <f t="shared" si="279"/>
        <v>-2.3595584682206683E-2</v>
      </c>
      <c r="J2602" s="56">
        <f>I2587/J2593-1</f>
        <v>8.7298509167959004E-3</v>
      </c>
      <c r="K2602" s="56">
        <f t="shared" si="280"/>
        <v>-4.8549163679436846E-2</v>
      </c>
      <c r="L2602" s="56">
        <f t="shared" si="280"/>
        <v>-0.14855000505169935</v>
      </c>
      <c r="M2602" s="56">
        <f t="shared" si="280"/>
        <v>-0.11413049321330093</v>
      </c>
      <c r="N2602" s="56">
        <f t="shared" si="280"/>
        <v>-0.23560437468249074</v>
      </c>
      <c r="O2602" s="56">
        <f t="shared" si="280"/>
        <v>-7.2605961978673417E-2</v>
      </c>
    </row>
    <row r="2603" spans="2:16" ht="15.75">
      <c r="B2603" s="53" t="s">
        <v>249</v>
      </c>
      <c r="C2603" s="56">
        <f>C2588/C2594-1</f>
        <v>2.8044210238465759</v>
      </c>
      <c r="D2603" s="56">
        <f t="shared" si="279"/>
        <v>0.3846452080415026</v>
      </c>
      <c r="E2603" s="56">
        <f t="shared" si="279"/>
        <v>-2.5859242169080421E-2</v>
      </c>
      <c r="F2603" s="56">
        <f t="shared" si="279"/>
        <v>-0.23149439931732663</v>
      </c>
      <c r="G2603" s="56">
        <f t="shared" ca="1" si="279"/>
        <v>-0.50949927572746878</v>
      </c>
      <c r="H2603" s="56">
        <f t="shared" ca="1" si="279"/>
        <v>-0.20331065260993131</v>
      </c>
      <c r="J2603" s="56">
        <f>C2588/J2594-1</f>
        <v>0.68829568045170531</v>
      </c>
      <c r="K2603" s="56">
        <f t="shared" si="280"/>
        <v>6.5864756448671624E-2</v>
      </c>
      <c r="L2603" s="56">
        <f t="shared" si="280"/>
        <v>-0.12467911365356554</v>
      </c>
      <c r="M2603" s="56">
        <f t="shared" si="280"/>
        <v>-0.31311032866466548</v>
      </c>
      <c r="N2603" s="56">
        <f t="shared" ca="1" si="280"/>
        <v>-0.56254866827114558</v>
      </c>
      <c r="O2603" s="56">
        <f t="shared" ca="1" si="280"/>
        <v>-0.28900485971479128</v>
      </c>
    </row>
    <row r="2606" spans="2:16" ht="15.75">
      <c r="B2606" s="995"/>
      <c r="C2606" s="960" t="s">
        <v>4711</v>
      </c>
      <c r="D2606" s="1876" t="s">
        <v>4712</v>
      </c>
      <c r="E2606" s="1877"/>
      <c r="F2606" s="960" t="s">
        <v>2412</v>
      </c>
      <c r="G2606" s="962" t="s">
        <v>4713</v>
      </c>
      <c r="H2606" s="1041" t="s">
        <v>1933</v>
      </c>
      <c r="I2606" s="53"/>
      <c r="J2606" s="53"/>
    </row>
    <row r="2607" spans="2:16" ht="15.75">
      <c r="B2607" s="967"/>
      <c r="C2607" s="727" t="s">
        <v>2003</v>
      </c>
      <c r="D2607" s="1028" t="s">
        <v>4714</v>
      </c>
      <c r="E2607" s="1025" t="s">
        <v>1827</v>
      </c>
      <c r="F2607" s="642"/>
      <c r="G2607" s="1025" t="s">
        <v>4715</v>
      </c>
      <c r="H2607" s="1042"/>
      <c r="I2607" s="53"/>
      <c r="J2607" s="53"/>
    </row>
    <row r="2608" spans="2:16" ht="15.75">
      <c r="B2608" s="1029" t="s">
        <v>1931</v>
      </c>
      <c r="C2608" s="722">
        <v>0.28056894882102967</v>
      </c>
      <c r="D2608" s="1030">
        <v>0.35489975739678475</v>
      </c>
      <c r="E2608" s="1031">
        <v>0.18282714774985878</v>
      </c>
      <c r="F2608" s="722">
        <v>0.17168061163304921</v>
      </c>
      <c r="G2608" s="1031">
        <v>1.0023534399277584E-2</v>
      </c>
      <c r="H2608" s="1046" t="s">
        <v>4731</v>
      </c>
      <c r="I2608" s="53"/>
      <c r="J2608" s="53"/>
    </row>
    <row r="2609" spans="2:23" ht="15.75">
      <c r="B2609" s="1029"/>
      <c r="C2609" s="722"/>
      <c r="D2609" s="1030"/>
      <c r="E2609" s="1031"/>
      <c r="F2609" s="722"/>
      <c r="G2609" s="1031"/>
      <c r="H2609" s="1046" t="s">
        <v>4732</v>
      </c>
      <c r="I2609" s="53"/>
      <c r="J2609" s="53"/>
    </row>
    <row r="2610" spans="2:23" ht="15.75">
      <c r="B2610" s="1027" t="s">
        <v>4716</v>
      </c>
      <c r="C2610" s="721">
        <f>O2506</f>
        <v>0.47309784801257138</v>
      </c>
      <c r="D2610" s="1032">
        <f>R2517</f>
        <v>0.11747656177869253</v>
      </c>
      <c r="E2610" s="1033">
        <v>0.08</v>
      </c>
      <c r="F2610" s="721">
        <f>O2509</f>
        <v>0.2342423834071847</v>
      </c>
      <c r="G2610" s="1033">
        <f>100%-C2610-D2610-E2610-F2610</f>
        <v>9.5183206801551373E-2</v>
      </c>
      <c r="H2610" s="1047" t="s">
        <v>4736</v>
      </c>
      <c r="I2610" s="53"/>
      <c r="J2610" s="53"/>
    </row>
    <row r="2611" spans="2:23" ht="15.75">
      <c r="B2611" s="1034" t="s">
        <v>4249</v>
      </c>
      <c r="C2611" s="1035">
        <f>D2506</f>
        <v>0.22786403692824173</v>
      </c>
      <c r="D2611" s="1036">
        <f>D2517*0.7</f>
        <v>0.16247167436005031</v>
      </c>
      <c r="E2611" s="1037">
        <f>D2517-D2611</f>
        <v>6.9630717582878726E-2</v>
      </c>
      <c r="F2611" s="1035">
        <f>D2509</f>
        <v>0.3760805707091901</v>
      </c>
      <c r="G2611" s="1037">
        <f>100%-C2611-D2611-E2611-F2611</f>
        <v>0.16395300041963912</v>
      </c>
      <c r="H2611" s="1047" t="s">
        <v>4742</v>
      </c>
      <c r="I2611" s="53"/>
      <c r="J2611" s="53"/>
      <c r="N2611" s="809" t="s">
        <v>4717</v>
      </c>
      <c r="O2611" s="809" t="s">
        <v>4718</v>
      </c>
      <c r="P2611" s="809" t="s">
        <v>4715</v>
      </c>
      <c r="Q2611" s="809" t="s">
        <v>4719</v>
      </c>
    </row>
    <row r="2612" spans="2:23" ht="15.75">
      <c r="B2612" s="874"/>
      <c r="C2612" s="721"/>
      <c r="D2612" s="1032"/>
      <c r="E2612" s="1033"/>
      <c r="F2612" s="721"/>
      <c r="G2612" s="1033"/>
      <c r="H2612" s="1047" t="s">
        <v>4741</v>
      </c>
      <c r="I2612" s="53"/>
      <c r="J2612" s="53"/>
      <c r="N2612" s="809"/>
      <c r="O2612" s="809"/>
      <c r="P2612" s="809"/>
      <c r="Q2612" s="809"/>
    </row>
    <row r="2613" spans="2:23" ht="15.75">
      <c r="B2613" s="1029" t="s">
        <v>1453</v>
      </c>
      <c r="C2613" s="722">
        <f>O2615*0.4</f>
        <v>0.11059431524547803</v>
      </c>
      <c r="D2613" s="1030">
        <f>N2615-E2613</f>
        <v>0.29651162790697672</v>
      </c>
      <c r="E2613" s="1031">
        <f>N2615*0.55</f>
        <v>0.36240310077519378</v>
      </c>
      <c r="F2613" s="722">
        <f>O2615-C2613</f>
        <v>0.16589147286821704</v>
      </c>
      <c r="G2613" s="1031">
        <f>100%-C2613-D2613-E2613-F2613</f>
        <v>6.4599483204134445E-2</v>
      </c>
      <c r="H2613" s="1046" t="s">
        <v>4737</v>
      </c>
      <c r="I2613" s="53"/>
      <c r="J2613" s="53"/>
      <c r="N2613" s="5">
        <v>0.51</v>
      </c>
      <c r="O2613" s="5">
        <v>0.214</v>
      </c>
      <c r="P2613" s="5">
        <v>0.05</v>
      </c>
      <c r="Q2613" s="5">
        <f>100%-N2613-O2613-P2613</f>
        <v>0.22600000000000003</v>
      </c>
    </row>
    <row r="2614" spans="2:23" ht="15.75">
      <c r="B2614" s="1029"/>
      <c r="C2614" s="722"/>
      <c r="D2614" s="1030"/>
      <c r="E2614" s="1031"/>
      <c r="F2614" s="722"/>
      <c r="G2614" s="1031"/>
      <c r="H2614" s="1046" t="s">
        <v>4733</v>
      </c>
      <c r="I2614" s="53"/>
      <c r="J2614" s="53"/>
      <c r="N2614" s="5"/>
      <c r="O2614" s="5"/>
      <c r="P2614" s="5"/>
      <c r="Q2614" s="5"/>
    </row>
    <row r="2615" spans="2:23" ht="15.75">
      <c r="B2615" s="1027" t="s">
        <v>1935</v>
      </c>
      <c r="C2615" s="721">
        <f>100%-F2615</f>
        <v>0.77</v>
      </c>
      <c r="D2615" s="1032">
        <v>0</v>
      </c>
      <c r="E2615" s="1033">
        <v>0</v>
      </c>
      <c r="F2615" s="721">
        <v>0.23</v>
      </c>
      <c r="G2615" s="1033">
        <v>0</v>
      </c>
      <c r="H2615" s="1047" t="s">
        <v>4734</v>
      </c>
      <c r="I2615" s="53"/>
      <c r="J2615" s="53"/>
      <c r="N2615" s="5">
        <f>N2613/SUM(N2613:P2613)</f>
        <v>0.65891472868217049</v>
      </c>
      <c r="O2615" s="5">
        <f>O2613/SUM(N2613:P2613)</f>
        <v>0.27648578811369506</v>
      </c>
      <c r="P2615" s="5">
        <f>P2613/SUM(N2613:P2613)</f>
        <v>6.4599483204134375E-2</v>
      </c>
    </row>
    <row r="2616" spans="2:23" ht="15.75">
      <c r="B2616" s="1027"/>
      <c r="C2616" s="721"/>
      <c r="D2616" s="1032"/>
      <c r="E2616" s="1033"/>
      <c r="F2616" s="721"/>
      <c r="G2616" s="1033"/>
      <c r="H2616" s="1047" t="s">
        <v>4735</v>
      </c>
      <c r="I2616" s="53"/>
      <c r="J2616" s="53"/>
      <c r="N2616" s="5"/>
      <c r="O2616" s="5"/>
      <c r="P2616" s="5"/>
      <c r="V2616" t="s">
        <v>29</v>
      </c>
      <c r="W2616" s="5">
        <f>F2611</f>
        <v>0.3760805707091901</v>
      </c>
    </row>
    <row r="2617" spans="2:23" ht="15.75">
      <c r="B2617" s="1029" t="s">
        <v>4720</v>
      </c>
      <c r="C2617" s="722">
        <f>35%+19%</f>
        <v>0.54</v>
      </c>
      <c r="D2617" s="1030">
        <v>0</v>
      </c>
      <c r="E2617" s="1031">
        <v>0</v>
      </c>
      <c r="F2617" s="722">
        <v>0.06</v>
      </c>
      <c r="G2617" s="1031">
        <f>100%-C2617-D2617-E2617-F2617</f>
        <v>0.39999999999999997</v>
      </c>
      <c r="H2617" s="1046" t="s">
        <v>4738</v>
      </c>
      <c r="I2617" s="53"/>
      <c r="J2617" s="53"/>
      <c r="V2617" t="s">
        <v>4725</v>
      </c>
      <c r="W2617" s="5">
        <f>F2623</f>
        <v>0.27</v>
      </c>
    </row>
    <row r="2618" spans="2:23" ht="15.75">
      <c r="B2618" s="1029"/>
      <c r="C2618" s="722"/>
      <c r="D2618" s="1030"/>
      <c r="E2618" s="1031"/>
      <c r="F2618" s="722"/>
      <c r="G2618" s="1031"/>
      <c r="H2618" s="1046" t="s">
        <v>4739</v>
      </c>
      <c r="I2618" s="53"/>
      <c r="J2618" s="53"/>
      <c r="V2618" t="s">
        <v>4721</v>
      </c>
      <c r="W2618" s="5">
        <f>F2619</f>
        <v>0.25</v>
      </c>
    </row>
    <row r="2619" spans="2:23" ht="15.75">
      <c r="B2619" s="1027" t="s">
        <v>4721</v>
      </c>
      <c r="C2619" s="721">
        <f>O2621</f>
        <v>0.22999999999999998</v>
      </c>
      <c r="D2619" s="1032">
        <f>0.2*N2619</f>
        <v>0.126</v>
      </c>
      <c r="E2619" s="1033">
        <f>N2621-D2619</f>
        <v>0.39400000000000002</v>
      </c>
      <c r="F2619" s="721">
        <v>0.25</v>
      </c>
      <c r="G2619" s="1033">
        <f>100%-C2619-D2619-E2619-F2619</f>
        <v>0</v>
      </c>
      <c r="H2619" s="1047" t="s">
        <v>4729</v>
      </c>
      <c r="I2619" s="53"/>
      <c r="J2619" s="53"/>
      <c r="M2619" s="809" t="s">
        <v>1833</v>
      </c>
      <c r="N2619" s="5">
        <f>100%-O2619</f>
        <v>0.63</v>
      </c>
      <c r="O2619" s="5">
        <v>0.37</v>
      </c>
      <c r="P2619" s="5">
        <f>N2619+O2619</f>
        <v>1</v>
      </c>
      <c r="Q2619" s="809" t="s">
        <v>1833</v>
      </c>
      <c r="V2619" t="s">
        <v>4752</v>
      </c>
      <c r="W2619" s="5">
        <f>F2610</f>
        <v>0.2342423834071847</v>
      </c>
    </row>
    <row r="2620" spans="2:23" ht="15.75">
      <c r="B2620" s="1027"/>
      <c r="C2620" s="721"/>
      <c r="D2620" s="1032"/>
      <c r="E2620" s="1033"/>
      <c r="F2620" s="721"/>
      <c r="G2620" s="1033"/>
      <c r="H2620" s="1048" t="s">
        <v>4730</v>
      </c>
      <c r="I2620" s="53"/>
      <c r="J2620" s="53"/>
      <c r="M2620" s="809" t="s">
        <v>4722</v>
      </c>
      <c r="N2620" s="5">
        <v>0.11</v>
      </c>
      <c r="O2620" s="5">
        <f>25%-N2620</f>
        <v>0.14000000000000001</v>
      </c>
      <c r="P2620" s="5">
        <f>N2620+O2620</f>
        <v>0.25</v>
      </c>
      <c r="V2620" t="s">
        <v>3002</v>
      </c>
      <c r="W2620" s="5">
        <f>F2615</f>
        <v>0.23</v>
      </c>
    </row>
    <row r="2621" spans="2:23" ht="15.75">
      <c r="B2621" s="1029" t="s">
        <v>4723</v>
      </c>
      <c r="C2621" s="722">
        <v>0.03</v>
      </c>
      <c r="D2621" s="1030">
        <v>0.3</v>
      </c>
      <c r="E2621" s="1031">
        <f>(100%-(C2621+D2621))*0.8</f>
        <v>0.53600000000000003</v>
      </c>
      <c r="F2621" s="722">
        <f>100%-C2621-D2621-E2621</f>
        <v>0.1339999999999999</v>
      </c>
      <c r="G2621" s="1031">
        <f>100%-C2621-D2621-E2621-F2621</f>
        <v>0</v>
      </c>
      <c r="H2621" s="1046" t="s">
        <v>4740</v>
      </c>
      <c r="I2621" s="53"/>
      <c r="J2621" s="53"/>
      <c r="M2621" s="809" t="s">
        <v>4724</v>
      </c>
      <c r="N2621" s="5">
        <f>N2619-N2620</f>
        <v>0.52</v>
      </c>
      <c r="O2621" s="5">
        <f>O2619-O2620</f>
        <v>0.22999999999999998</v>
      </c>
      <c r="P2621" s="5">
        <f>N2621+O2621</f>
        <v>0.75</v>
      </c>
      <c r="V2621" t="s">
        <v>3001</v>
      </c>
      <c r="W2621" s="5">
        <f>F2625</f>
        <v>0.22</v>
      </c>
    </row>
    <row r="2622" spans="2:23" ht="15.75">
      <c r="B2622" s="1029"/>
      <c r="C2622" s="722"/>
      <c r="D2622" s="1030"/>
      <c r="E2622" s="1031"/>
      <c r="F2622" s="722"/>
      <c r="G2622" s="1031"/>
      <c r="H2622" s="1046"/>
      <c r="I2622" s="53"/>
      <c r="J2622" s="53"/>
      <c r="V2622" t="s">
        <v>1931</v>
      </c>
      <c r="W2622" s="5">
        <f>F2608</f>
        <v>0.17168061163304921</v>
      </c>
    </row>
    <row r="2623" spans="2:23" ht="15.75">
      <c r="B2623" s="1027" t="s">
        <v>4725</v>
      </c>
      <c r="C2623" s="721">
        <v>0.35</v>
      </c>
      <c r="D2623" s="1032">
        <v>0.16</v>
      </c>
      <c r="E2623" s="1033">
        <v>0.19</v>
      </c>
      <c r="F2623" s="721">
        <v>0.27</v>
      </c>
      <c r="G2623" s="1033">
        <f>100%-27%-C2623-D2623-E2623</f>
        <v>0.03</v>
      </c>
      <c r="H2623" s="1047" t="s">
        <v>4728</v>
      </c>
      <c r="I2623" s="53"/>
      <c r="J2623" s="53"/>
      <c r="V2623" t="s">
        <v>4723</v>
      </c>
      <c r="W2623" s="5">
        <f>F2621</f>
        <v>0.1339999999999999</v>
      </c>
    </row>
    <row r="2624" spans="2:23" ht="15.75">
      <c r="B2624" s="1027"/>
      <c r="C2624" s="721"/>
      <c r="D2624" s="1032"/>
      <c r="E2624" s="1033"/>
      <c r="F2624" s="721"/>
      <c r="G2624" s="1033"/>
      <c r="H2624" s="1044"/>
      <c r="I2624" s="53"/>
      <c r="J2624" s="53"/>
      <c r="V2624" t="s">
        <v>4720</v>
      </c>
      <c r="W2624" s="5">
        <f>F2617</f>
        <v>0.06</v>
      </c>
    </row>
    <row r="2625" spans="2:12" ht="15.75">
      <c r="B2625" s="1029" t="s">
        <v>3001</v>
      </c>
      <c r="C2625" s="722">
        <v>0.04</v>
      </c>
      <c r="D2625" s="1030">
        <v>0.21</v>
      </c>
      <c r="E2625" s="1031">
        <v>0.53</v>
      </c>
      <c r="F2625" s="722">
        <v>0.22</v>
      </c>
      <c r="G2625" s="1031">
        <f>100%-C2625-D2625-E2625-F2625</f>
        <v>0</v>
      </c>
      <c r="H2625" s="1043"/>
      <c r="I2625" s="53"/>
      <c r="J2625" s="53"/>
    </row>
    <row r="2626" spans="2:12" ht="15.75">
      <c r="B2626" s="1038"/>
      <c r="C2626" s="882"/>
      <c r="D2626" s="1039"/>
      <c r="E2626" s="1040"/>
      <c r="F2626" s="882"/>
      <c r="G2626" s="1040"/>
      <c r="H2626" s="1045"/>
      <c r="I2626" s="53"/>
      <c r="J2626" s="53"/>
    </row>
    <row r="2627" spans="2:12" ht="15.75">
      <c r="B2627" s="809"/>
      <c r="C2627" s="53"/>
      <c r="D2627" s="53"/>
      <c r="E2627" s="53"/>
      <c r="F2627" s="53"/>
      <c r="G2627" s="53"/>
      <c r="H2627" s="53"/>
      <c r="I2627" s="53"/>
      <c r="J2627" s="53"/>
    </row>
    <row r="2630" spans="2:12" ht="15.75">
      <c r="B2630" s="1026" t="s">
        <v>4726</v>
      </c>
    </row>
    <row r="2633" spans="2:12" ht="15.75">
      <c r="B2633" s="1056" t="s">
        <v>4751</v>
      </c>
      <c r="C2633" s="1085" t="s">
        <v>15</v>
      </c>
      <c r="D2633" s="1085"/>
      <c r="E2633" s="1874" t="s">
        <v>8</v>
      </c>
      <c r="F2633" s="1874"/>
      <c r="G2633" s="1874" t="s">
        <v>19</v>
      </c>
      <c r="H2633" s="1874"/>
      <c r="I2633" s="1874" t="s">
        <v>27</v>
      </c>
      <c r="J2633" s="1874"/>
      <c r="K2633" s="1874" t="s">
        <v>249</v>
      </c>
      <c r="L2633" s="1875"/>
    </row>
    <row r="2634" spans="2:12" ht="16.5" thickBot="1">
      <c r="B2634" s="1055"/>
      <c r="C2634" s="727">
        <v>2020</v>
      </c>
      <c r="D2634" s="1057">
        <v>2021</v>
      </c>
      <c r="E2634" s="727">
        <f t="shared" ref="E2634:L2634" si="281">C2634</f>
        <v>2020</v>
      </c>
      <c r="F2634" s="1057">
        <f t="shared" si="281"/>
        <v>2021</v>
      </c>
      <c r="G2634" s="727">
        <f t="shared" si="281"/>
        <v>2020</v>
      </c>
      <c r="H2634" s="727">
        <f t="shared" si="281"/>
        <v>2021</v>
      </c>
      <c r="I2634" s="727">
        <f t="shared" si="281"/>
        <v>2020</v>
      </c>
      <c r="J2634" s="1057">
        <f t="shared" si="281"/>
        <v>2021</v>
      </c>
      <c r="K2634" s="727">
        <f t="shared" si="281"/>
        <v>2020</v>
      </c>
      <c r="L2634" s="1060">
        <f t="shared" si="281"/>
        <v>2021</v>
      </c>
    </row>
    <row r="2635" spans="2:12" ht="16.5" thickBot="1">
      <c r="B2635" s="1029" t="str">
        <f>B2608</f>
        <v>Millicom</v>
      </c>
      <c r="C2635" s="853">
        <v>-2.5511870081443844E-2</v>
      </c>
      <c r="D2635" s="1059">
        <v>-2.5237372492751486E-2</v>
      </c>
      <c r="E2635" s="853">
        <v>-2.5142845858309393E-2</v>
      </c>
      <c r="F2635" s="1054">
        <v>-2.81354513803177E-2</v>
      </c>
      <c r="G2635" s="853">
        <v>1.2148841349502781E-2</v>
      </c>
      <c r="H2635" s="1054">
        <v>7.7967211867253639E-3</v>
      </c>
      <c r="I2635" s="853">
        <v>-4.9505078738796948E-2</v>
      </c>
      <c r="J2635" s="1054">
        <v>-5.0572149650646159E-2</v>
      </c>
      <c r="K2635" s="853">
        <v>-0.14218505914551316</v>
      </c>
      <c r="L2635" s="1059">
        <v>-0.12621784548459714</v>
      </c>
    </row>
    <row r="2636" spans="2:12" ht="16.5" thickBot="1">
      <c r="B2636" s="1029"/>
      <c r="C2636" s="853"/>
      <c r="D2636" s="1053"/>
      <c r="E2636" s="648"/>
      <c r="F2636" s="1052"/>
      <c r="G2636" s="648"/>
      <c r="H2636" s="1052"/>
      <c r="I2636" s="648"/>
      <c r="J2636" s="1052"/>
      <c r="K2636" s="648"/>
      <c r="L2636" s="1052"/>
    </row>
    <row r="2637" spans="2:12" ht="16.5" thickBot="1">
      <c r="B2637" s="874" t="str">
        <f>B2610</f>
        <v>Liberty LA</v>
      </c>
      <c r="C2637" s="56" t="e">
        <f>#REF!</f>
        <v>#REF!</v>
      </c>
      <c r="D2637" s="746">
        <f>D2599</f>
        <v>-1.7689567475775991E-2</v>
      </c>
      <c r="E2637" s="56" t="e">
        <f>#REF!</f>
        <v>#REF!</v>
      </c>
      <c r="F2637" s="746">
        <f>D2600</f>
        <v>-4.1268475527099779E-3</v>
      </c>
      <c r="G2637" s="56" t="e">
        <f>#REF!</f>
        <v>#REF!</v>
      </c>
      <c r="H2637" s="746">
        <f>D2601</f>
        <v>-1.2756480043443874E-2</v>
      </c>
      <c r="I2637" s="56" t="e">
        <f>#REF!</f>
        <v>#REF!</v>
      </c>
      <c r="J2637" s="746">
        <f>D2602</f>
        <v>3.6739812864752253E-3</v>
      </c>
      <c r="K2637" s="56">
        <f>C2603</f>
        <v>2.8044210238465759</v>
      </c>
      <c r="L2637" s="1058">
        <f>D2603</f>
        <v>0.3846452080415026</v>
      </c>
    </row>
    <row r="2638" spans="2:12" ht="16.5" thickBot="1">
      <c r="B2638" s="874" t="str">
        <f>B2611</f>
        <v xml:space="preserve"> of which CWC</v>
      </c>
      <c r="C2638" s="56">
        <f>C2570</f>
        <v>-4.8138101721950544E-2</v>
      </c>
      <c r="D2638" s="1058">
        <f>D2570</f>
        <v>-5.0095307357865826E-2</v>
      </c>
      <c r="E2638" s="56">
        <f>C2571</f>
        <v>-1.2137248617832608E-2</v>
      </c>
      <c r="F2638" s="746">
        <f>D2571</f>
        <v>2.6180528406394288E-3</v>
      </c>
      <c r="G2638" s="56">
        <f>C2572</f>
        <v>-0.19987790862988486</v>
      </c>
      <c r="H2638" s="746">
        <f>D2572</f>
        <v>-0.14354780302782277</v>
      </c>
      <c r="I2638" s="56">
        <f>C2573</f>
        <v>0.13658564884521573</v>
      </c>
      <c r="J2638" s="746">
        <f>D2573</f>
        <v>0.11807035097218876</v>
      </c>
      <c r="K2638" s="53"/>
      <c r="L2638" s="798"/>
    </row>
    <row r="2639" spans="2:12" ht="15.75">
      <c r="B2639" s="874"/>
      <c r="C2639" s="53"/>
      <c r="D2639" s="798"/>
      <c r="E2639" s="53"/>
      <c r="F2639" s="798"/>
      <c r="G2639" s="53"/>
      <c r="H2639" s="798"/>
      <c r="I2639" s="53"/>
      <c r="J2639" s="798"/>
      <c r="K2639" s="53"/>
      <c r="L2639" s="798"/>
    </row>
    <row r="2640" spans="2:12" ht="15.75">
      <c r="B2640" s="1029" t="str">
        <f>B2613</f>
        <v>AMX</v>
      </c>
      <c r="C2640" s="853">
        <v>-1.1180740766128183E-2</v>
      </c>
      <c r="D2640" s="1053">
        <v>-1.1968263570177551E-2</v>
      </c>
      <c r="E2640" s="853">
        <v>-1.4304065797387966E-2</v>
      </c>
      <c r="F2640" s="1053">
        <v>-1.6634489774574712E-2</v>
      </c>
      <c r="G2640" s="853">
        <v>-4.7801752087420768E-3</v>
      </c>
      <c r="H2640" s="1053">
        <v>-4.9967609702489257E-3</v>
      </c>
      <c r="I2640" s="853">
        <v>-2.3302941921532261E-2</v>
      </c>
      <c r="J2640" s="1053">
        <v>-2.6373974292847824E-2</v>
      </c>
      <c r="K2640" s="853">
        <v>-3.5897080805383896E-2</v>
      </c>
      <c r="L2640" s="1053">
        <v>-3.8752619516547737E-2</v>
      </c>
    </row>
    <row r="2641" spans="2:14" ht="15.75">
      <c r="B2641" s="1029"/>
      <c r="C2641" s="648"/>
      <c r="D2641" s="1052"/>
      <c r="E2641" s="648"/>
      <c r="F2641" s="1052"/>
      <c r="G2641" s="648"/>
      <c r="H2641" s="1052"/>
      <c r="I2641" s="648"/>
      <c r="J2641" s="1052"/>
      <c r="K2641" s="648"/>
      <c r="L2641" s="1052"/>
    </row>
    <row r="2642" spans="2:14" ht="15.75">
      <c r="B2642" s="874" t="str">
        <f>B2615</f>
        <v>Megacable</v>
      </c>
      <c r="C2642" s="56">
        <v>-2.1600205207669587E-2</v>
      </c>
      <c r="D2642" s="746">
        <v>-2.2449339337333174E-2</v>
      </c>
      <c r="E2642" s="56">
        <v>-1.1945706861227534E-2</v>
      </c>
      <c r="F2642" s="746">
        <v>-1.3085982241645033E-2</v>
      </c>
      <c r="G2642" s="56">
        <v>-6.8742036646209925E-3</v>
      </c>
      <c r="H2642" s="746">
        <v>-8.0240963248985331E-3</v>
      </c>
      <c r="I2642" s="56">
        <v>-2.4522323738312646E-2</v>
      </c>
      <c r="J2642" s="746">
        <v>-2.5547071305076385E-2</v>
      </c>
      <c r="K2642" s="56">
        <v>-2.796141443683875E-2</v>
      </c>
      <c r="L2642" s="746">
        <v>-3.1314790385700064E-2</v>
      </c>
    </row>
    <row r="2643" spans="2:14" ht="16.5" thickBot="1">
      <c r="B2643" s="874"/>
      <c r="C2643" s="53"/>
      <c r="D2643" s="798"/>
      <c r="E2643" s="53"/>
      <c r="F2643" s="798"/>
      <c r="G2643" s="53"/>
      <c r="H2643" s="798"/>
      <c r="I2643" s="53"/>
      <c r="J2643" s="798"/>
      <c r="K2643" s="53"/>
      <c r="L2643" s="798"/>
    </row>
    <row r="2644" spans="2:14" ht="16.5" thickBot="1">
      <c r="B2644" s="1029" t="str">
        <f>B2617</f>
        <v>Televisa</v>
      </c>
      <c r="C2644" s="853">
        <v>-1.730725285868584E-2</v>
      </c>
      <c r="D2644" s="1059">
        <v>-3.439223739759012E-2</v>
      </c>
      <c r="E2644" s="853">
        <v>-2.7932707810937152E-2</v>
      </c>
      <c r="F2644" s="1053">
        <v>-6.5927547848561252E-2</v>
      </c>
      <c r="G2644" s="853">
        <v>-8.6952153402106713E-3</v>
      </c>
      <c r="H2644" s="1053">
        <v>-1.9962579588957863E-2</v>
      </c>
      <c r="I2644" s="853">
        <v>-4.2382725742013738E-2</v>
      </c>
      <c r="J2644" s="1053">
        <v>-9.7460329477210283E-2</v>
      </c>
      <c r="K2644" s="853">
        <v>-0.22179257238370764</v>
      </c>
      <c r="L2644" s="1059">
        <v>-0.31510575768242755</v>
      </c>
    </row>
    <row r="2645" spans="2:14" ht="15.75">
      <c r="B2645" s="1029"/>
      <c r="C2645" s="648"/>
      <c r="D2645" s="1052"/>
      <c r="E2645" s="648"/>
      <c r="F2645" s="1052"/>
      <c r="G2645" s="648"/>
      <c r="H2645" s="1052"/>
      <c r="I2645" s="648"/>
      <c r="J2645" s="1052"/>
      <c r="K2645" s="648"/>
      <c r="L2645" s="1052"/>
    </row>
    <row r="2646" spans="2:14" ht="15.75">
      <c r="B2646" s="874" t="str">
        <f>B2619</f>
        <v>TEF Brasil</v>
      </c>
      <c r="C2646" s="56">
        <v>-1.0829455165402457E-2</v>
      </c>
      <c r="D2646" s="746">
        <v>-1.1213158715843163E-2</v>
      </c>
      <c r="E2646" s="56">
        <v>-8.8671228941217262E-3</v>
      </c>
      <c r="F2646" s="746">
        <v>-1.3687300961555238E-2</v>
      </c>
      <c r="G2646" s="56">
        <v>1.3899808455462459E-2</v>
      </c>
      <c r="H2646" s="746">
        <v>1.5510809967512529E-2</v>
      </c>
      <c r="I2646" s="56">
        <v>-2.9771891124773409E-2</v>
      </c>
      <c r="J2646" s="746">
        <v>-3.6333550330358233E-2</v>
      </c>
      <c r="K2646" s="56">
        <v>-3.8905946119594303E-2</v>
      </c>
      <c r="L2646" s="746">
        <v>-4.7506401574399559E-2</v>
      </c>
    </row>
    <row r="2647" spans="2:14" ht="16.5" thickBot="1">
      <c r="B2647" s="874"/>
      <c r="C2647" s="53"/>
      <c r="D2647" s="798"/>
      <c r="E2647" s="53"/>
      <c r="F2647" s="798"/>
      <c r="G2647" s="53"/>
      <c r="H2647" s="798"/>
      <c r="I2647" s="53"/>
      <c r="J2647" s="798"/>
      <c r="K2647" s="53"/>
      <c r="L2647" s="798"/>
    </row>
    <row r="2648" spans="2:14" ht="16.5" thickBot="1">
      <c r="B2648" s="1029" t="str">
        <f>B2621</f>
        <v>TIM Brasil</v>
      </c>
      <c r="C2648" s="853">
        <v>-1.1010680473180212E-2</v>
      </c>
      <c r="D2648" s="1059">
        <v>-3.7278253272092221E-2</v>
      </c>
      <c r="E2648" s="853">
        <v>-1.2352486870804924E-2</v>
      </c>
      <c r="F2648" s="1053">
        <v>-2.473769220438915E-2</v>
      </c>
      <c r="G2648" s="853">
        <v>0</v>
      </c>
      <c r="H2648" s="1053">
        <v>0</v>
      </c>
      <c r="I2648" s="853">
        <v>-2.3453650688276206E-2</v>
      </c>
      <c r="J2648" s="1053">
        <v>-4.5365335543221197E-2</v>
      </c>
      <c r="K2648" s="853">
        <v>-3.3674357893538898E-2</v>
      </c>
      <c r="L2648" s="1053">
        <v>-6.2660131797688812E-2</v>
      </c>
    </row>
    <row r="2649" spans="2:14" ht="15.75">
      <c r="B2649" s="1029"/>
      <c r="C2649" s="648"/>
      <c r="D2649" s="1052"/>
      <c r="E2649" s="648"/>
      <c r="F2649" s="1052"/>
      <c r="G2649" s="648"/>
      <c r="H2649" s="1052"/>
      <c r="I2649" s="648"/>
      <c r="J2649" s="1052"/>
      <c r="K2649" s="648"/>
      <c r="L2649" s="1052"/>
    </row>
    <row r="2650" spans="2:14" ht="15.75">
      <c r="B2650" s="874" t="str">
        <f>B2623</f>
        <v>Oi</v>
      </c>
      <c r="C2650" s="56">
        <v>-1.5748984808918065E-2</v>
      </c>
      <c r="D2650" s="746">
        <v>-2.1170917817000756E-2</v>
      </c>
      <c r="E2650" s="56">
        <v>-4.2295815020381711E-2</v>
      </c>
      <c r="F2650" s="746">
        <v>-2.2510384066800504E-2</v>
      </c>
      <c r="G2650" s="56">
        <v>1.0647903706283657E-2</v>
      </c>
      <c r="H2650" s="746">
        <v>6.554938567999935E-3</v>
      </c>
      <c r="I2650" s="79" t="s">
        <v>4750</v>
      </c>
      <c r="J2650" s="1048" t="s">
        <v>4750</v>
      </c>
      <c r="K2650" s="79" t="s">
        <v>4750</v>
      </c>
      <c r="L2650" s="1048" t="s">
        <v>4750</v>
      </c>
    </row>
    <row r="2651" spans="2:14" ht="15.75">
      <c r="B2651" s="874"/>
      <c r="C2651" s="53"/>
      <c r="D2651" s="798"/>
      <c r="E2651" s="53"/>
      <c r="F2651" s="798"/>
      <c r="G2651" s="53"/>
      <c r="H2651" s="798"/>
      <c r="I2651" s="53"/>
      <c r="J2651" s="798"/>
      <c r="K2651" s="53"/>
      <c r="L2651" s="798"/>
    </row>
    <row r="2652" spans="2:14" ht="15.75">
      <c r="B2652" s="1029" t="str">
        <f>B2625</f>
        <v>Entel</v>
      </c>
      <c r="C2652" s="853">
        <v>-1.7309881787369252E-2</v>
      </c>
      <c r="D2652" s="1053">
        <v>-2.1587505413671826E-2</v>
      </c>
      <c r="E2652" s="853">
        <v>-9.0905512395192956E-3</v>
      </c>
      <c r="F2652" s="1053">
        <v>-1.396713019783391E-2</v>
      </c>
      <c r="G2652" s="853">
        <v>0</v>
      </c>
      <c r="H2652" s="1053">
        <v>0</v>
      </c>
      <c r="I2652" s="853">
        <v>-3.3555943796987786E-2</v>
      </c>
      <c r="J2652" s="1053">
        <v>-4.768144911854133E-2</v>
      </c>
      <c r="K2652" s="698" t="s">
        <v>4750</v>
      </c>
      <c r="L2652" s="1051" t="s">
        <v>4750</v>
      </c>
    </row>
    <row r="2653" spans="2:14" ht="15.75">
      <c r="B2653" s="1050"/>
      <c r="C2653" s="666"/>
      <c r="D2653" s="1049"/>
      <c r="E2653" s="666"/>
      <c r="F2653" s="1049"/>
      <c r="G2653" s="666"/>
      <c r="H2653" s="1049"/>
      <c r="I2653" s="666"/>
      <c r="J2653" s="1049"/>
      <c r="K2653" s="666"/>
      <c r="L2653" s="1049"/>
    </row>
    <row r="2655" spans="2:14">
      <c r="F2655" s="12" t="s">
        <v>4918</v>
      </c>
      <c r="I2655" s="801">
        <f>F2656</f>
        <v>43927</v>
      </c>
      <c r="J2655" s="801">
        <f>G2656</f>
        <v>43941</v>
      </c>
      <c r="K2655" s="12" t="s">
        <v>4918</v>
      </c>
      <c r="L2655" s="801">
        <v>43971</v>
      </c>
      <c r="M2655" s="801">
        <v>43971</v>
      </c>
      <c r="N2655" s="801">
        <v>43971</v>
      </c>
    </row>
    <row r="2656" spans="2:14" ht="15.75">
      <c r="F2656" s="801">
        <v>43927</v>
      </c>
      <c r="G2656" s="801">
        <v>43941</v>
      </c>
      <c r="I2656" s="824" t="s">
        <v>4743</v>
      </c>
      <c r="J2656" s="824" t="s">
        <v>4743</v>
      </c>
      <c r="K2656" s="801">
        <v>43971</v>
      </c>
      <c r="L2656" t="s">
        <v>4919</v>
      </c>
      <c r="M2656" s="824" t="s">
        <v>4743</v>
      </c>
      <c r="N2656" s="824"/>
    </row>
    <row r="2657" spans="2:18" ht="15.75">
      <c r="B2657" s="4"/>
      <c r="C2657" s="957" t="s">
        <v>4744</v>
      </c>
      <c r="D2657" s="957" t="s">
        <v>4748</v>
      </c>
      <c r="E2657" s="957" t="s">
        <v>4745</v>
      </c>
      <c r="F2657" s="957" t="s">
        <v>1549</v>
      </c>
      <c r="G2657" s="957" t="s">
        <v>1549</v>
      </c>
      <c r="H2657" s="957" t="s">
        <v>4749</v>
      </c>
      <c r="I2657" s="957" t="s">
        <v>4746</v>
      </c>
      <c r="J2657" s="957" t="s">
        <v>4746</v>
      </c>
      <c r="K2657" s="3"/>
      <c r="L2657" s="3" t="s">
        <v>4920</v>
      </c>
      <c r="M2657" s="957" t="s">
        <v>4746</v>
      </c>
      <c r="N2657" s="957" t="s">
        <v>4749</v>
      </c>
    </row>
    <row r="2658" spans="2:18" ht="15.75">
      <c r="B2658" s="809" t="s">
        <v>4720</v>
      </c>
      <c r="C2658" s="62">
        <v>12</v>
      </c>
      <c r="D2658">
        <v>11.2</v>
      </c>
      <c r="E2658" s="62">
        <v>5</v>
      </c>
      <c r="F2658" s="62">
        <v>5</v>
      </c>
      <c r="G2658" s="62">
        <v>5.6</v>
      </c>
      <c r="H2658" s="5">
        <f t="shared" ref="H2658:H2666" si="282">F2658/D2658-1</f>
        <v>-0.5535714285714286</v>
      </c>
      <c r="I2658" s="5">
        <f t="shared" ref="I2658:I2666" si="283">F2658/E2658-1</f>
        <v>0</v>
      </c>
      <c r="J2658" s="5">
        <f t="shared" ref="J2658:J2666" si="284">G2658/E2658-1</f>
        <v>0.11999999999999988</v>
      </c>
      <c r="K2658" s="36">
        <v>5.6</v>
      </c>
      <c r="L2658" s="5">
        <f>K2658/F2658-1</f>
        <v>0.11999999999999988</v>
      </c>
      <c r="M2658" s="5">
        <f t="shared" ref="M2658:M2666" si="285">K2658/E2658-1</f>
        <v>0.11999999999999988</v>
      </c>
      <c r="N2658" s="5">
        <f t="shared" ref="N2658:N2666" si="286">K2658/D2658-1</f>
        <v>-0.5</v>
      </c>
      <c r="Q2658" t="s">
        <v>4243</v>
      </c>
      <c r="R2658" s="5">
        <v>-0.53387650085763294</v>
      </c>
    </row>
    <row r="2659" spans="2:18" ht="15.75">
      <c r="B2659" s="809" t="s">
        <v>4725</v>
      </c>
      <c r="C2659">
        <v>0.86</v>
      </c>
      <c r="D2659">
        <v>1.02</v>
      </c>
      <c r="E2659">
        <v>0.44</v>
      </c>
      <c r="F2659">
        <v>0.5</v>
      </c>
      <c r="G2659">
        <v>0.65</v>
      </c>
      <c r="H2659" s="5">
        <f t="shared" si="282"/>
        <v>-0.50980392156862742</v>
      </c>
      <c r="I2659" s="5">
        <f t="shared" si="283"/>
        <v>0.13636363636363646</v>
      </c>
      <c r="J2659" s="5">
        <f t="shared" si="284"/>
        <v>0.47727272727272729</v>
      </c>
      <c r="K2659" s="1069">
        <v>0.61</v>
      </c>
      <c r="L2659" s="5">
        <f t="shared" ref="L2659:L2666" si="287">K2659/F2659-1</f>
        <v>0.21999999999999997</v>
      </c>
      <c r="M2659" s="5">
        <f t="shared" si="285"/>
        <v>0.38636363636363624</v>
      </c>
      <c r="N2659" s="5">
        <f t="shared" si="286"/>
        <v>-0.40196078431372551</v>
      </c>
      <c r="Q2659" t="s">
        <v>4720</v>
      </c>
      <c r="R2659" s="5">
        <v>-0.5</v>
      </c>
    </row>
    <row r="2660" spans="2:18" ht="15.75">
      <c r="B2660" s="809" t="s">
        <v>467</v>
      </c>
      <c r="C2660">
        <v>19.3</v>
      </c>
      <c r="D2660">
        <v>17</v>
      </c>
      <c r="E2660">
        <v>8.6999999999999993</v>
      </c>
      <c r="F2660">
        <v>10</v>
      </c>
      <c r="G2660">
        <v>10.7</v>
      </c>
      <c r="H2660" s="5">
        <f t="shared" si="282"/>
        <v>-0.41176470588235292</v>
      </c>
      <c r="I2660" s="5">
        <f t="shared" si="283"/>
        <v>0.14942528735632199</v>
      </c>
      <c r="J2660" s="5">
        <f t="shared" si="284"/>
        <v>0.22988505747126431</v>
      </c>
      <c r="K2660" s="36">
        <v>9.7100000000000009</v>
      </c>
      <c r="L2660" s="5">
        <f t="shared" si="287"/>
        <v>-2.8999999999999915E-2</v>
      </c>
      <c r="M2660" s="5">
        <f t="shared" si="285"/>
        <v>0.11609195402298877</v>
      </c>
      <c r="N2660" s="5">
        <f t="shared" si="286"/>
        <v>-0.4288235294117646</v>
      </c>
      <c r="Q2660" t="s">
        <v>467</v>
      </c>
      <c r="R2660" s="5">
        <v>-0.4288235294117646</v>
      </c>
    </row>
    <row r="2661" spans="2:18" ht="15.75">
      <c r="B2661" s="809" t="s">
        <v>4243</v>
      </c>
      <c r="C2661" s="62">
        <v>48</v>
      </c>
      <c r="D2661">
        <v>46.64</v>
      </c>
      <c r="E2661">
        <v>22.5</v>
      </c>
      <c r="F2661">
        <v>28</v>
      </c>
      <c r="G2661">
        <v>28.35</v>
      </c>
      <c r="H2661" s="5">
        <f t="shared" si="282"/>
        <v>-0.39965694682675812</v>
      </c>
      <c r="I2661" s="5">
        <f t="shared" si="283"/>
        <v>0.24444444444444446</v>
      </c>
      <c r="J2661" s="5">
        <f t="shared" si="284"/>
        <v>0.26</v>
      </c>
      <c r="K2661" s="36">
        <v>21.74</v>
      </c>
      <c r="L2661" s="5">
        <f t="shared" si="287"/>
        <v>-0.22357142857142864</v>
      </c>
      <c r="M2661" s="5">
        <f t="shared" si="285"/>
        <v>-3.3777777777777795E-2</v>
      </c>
      <c r="N2661" s="5">
        <f t="shared" si="286"/>
        <v>-0.53387650085763294</v>
      </c>
      <c r="Q2661" t="s">
        <v>4725</v>
      </c>
      <c r="R2661" s="5">
        <v>-0.40196078431372551</v>
      </c>
    </row>
    <row r="2662" spans="2:18" ht="15.75">
      <c r="B2662" s="809" t="s">
        <v>1453</v>
      </c>
      <c r="C2662" s="62">
        <v>16</v>
      </c>
      <c r="D2662">
        <v>18</v>
      </c>
      <c r="E2662">
        <v>11.5</v>
      </c>
      <c r="F2662">
        <v>11</v>
      </c>
      <c r="G2662">
        <v>10.9</v>
      </c>
      <c r="H2662" s="5">
        <f t="shared" si="282"/>
        <v>-0.38888888888888884</v>
      </c>
      <c r="I2662" s="5">
        <f t="shared" si="283"/>
        <v>-4.3478260869565188E-2</v>
      </c>
      <c r="J2662" s="5">
        <f t="shared" si="284"/>
        <v>-5.2173913043478182E-2</v>
      </c>
      <c r="K2662" s="36">
        <v>12.99</v>
      </c>
      <c r="L2662" s="5">
        <f t="shared" si="287"/>
        <v>0.18090909090909091</v>
      </c>
      <c r="M2662" s="5">
        <f t="shared" si="285"/>
        <v>0.12956521739130444</v>
      </c>
      <c r="N2662" s="5">
        <f t="shared" si="286"/>
        <v>-0.27833333333333332</v>
      </c>
      <c r="Q2662" t="s">
        <v>1453</v>
      </c>
      <c r="R2662" s="5">
        <v>-0.27833333333333332</v>
      </c>
    </row>
    <row r="2663" spans="2:18" ht="15.75">
      <c r="B2663" s="809" t="s">
        <v>4747</v>
      </c>
      <c r="C2663">
        <v>15.8</v>
      </c>
      <c r="D2663">
        <v>16.899999999999999</v>
      </c>
      <c r="E2663">
        <v>12.2</v>
      </c>
      <c r="F2663">
        <v>12.4</v>
      </c>
      <c r="G2663">
        <v>12.7</v>
      </c>
      <c r="H2663" s="5">
        <f t="shared" si="282"/>
        <v>-0.26627218934911234</v>
      </c>
      <c r="I2663" s="5">
        <f t="shared" si="283"/>
        <v>1.6393442622950838E-2</v>
      </c>
      <c r="J2663" s="5">
        <f t="shared" si="284"/>
        <v>4.0983606557376984E-2</v>
      </c>
      <c r="K2663" s="36">
        <v>12.9</v>
      </c>
      <c r="L2663" s="5">
        <f t="shared" si="287"/>
        <v>4.0322580645161255E-2</v>
      </c>
      <c r="M2663" s="5">
        <f t="shared" si="285"/>
        <v>5.7377049180328044E-2</v>
      </c>
      <c r="N2663" s="5">
        <f t="shared" si="286"/>
        <v>-0.23668639053254426</v>
      </c>
      <c r="Q2663" t="s">
        <v>4747</v>
      </c>
      <c r="R2663" s="5">
        <v>-0.23668639053254426</v>
      </c>
    </row>
    <row r="2664" spans="2:18" ht="15.75">
      <c r="B2664" s="809" t="s">
        <v>3001</v>
      </c>
      <c r="C2664">
        <v>5400</v>
      </c>
      <c r="D2664">
        <v>5160</v>
      </c>
      <c r="E2664">
        <v>2940</v>
      </c>
      <c r="F2664">
        <v>4380</v>
      </c>
      <c r="G2664">
        <v>4100</v>
      </c>
      <c r="H2664" s="5">
        <f t="shared" si="282"/>
        <v>-0.15116279069767447</v>
      </c>
      <c r="I2664" s="5">
        <f t="shared" si="283"/>
        <v>0.48979591836734704</v>
      </c>
      <c r="J2664" s="5">
        <f t="shared" si="284"/>
        <v>0.39455782312925169</v>
      </c>
      <c r="K2664" s="36">
        <v>5100</v>
      </c>
      <c r="L2664" s="5">
        <f t="shared" si="287"/>
        <v>0.16438356164383561</v>
      </c>
      <c r="M2664" s="5">
        <f t="shared" si="285"/>
        <v>0.73469387755102034</v>
      </c>
      <c r="N2664" s="5">
        <f t="shared" si="286"/>
        <v>-1.1627906976744207E-2</v>
      </c>
      <c r="Q2664" t="s">
        <v>4721</v>
      </c>
      <c r="R2664" s="5">
        <v>-9.829867674858217E-2</v>
      </c>
    </row>
    <row r="2665" spans="2:18" ht="15.75">
      <c r="B2665" s="809" t="s">
        <v>3002</v>
      </c>
      <c r="C2665">
        <v>77.5</v>
      </c>
      <c r="D2665">
        <v>72.2</v>
      </c>
      <c r="E2665">
        <v>58.9</v>
      </c>
      <c r="F2665">
        <v>61.5</v>
      </c>
      <c r="G2665">
        <v>61</v>
      </c>
      <c r="H2665" s="5">
        <f t="shared" si="282"/>
        <v>-0.14819944598337953</v>
      </c>
      <c r="I2665" s="5">
        <f t="shared" si="283"/>
        <v>4.4142614601018648E-2</v>
      </c>
      <c r="J2665" s="5">
        <f t="shared" si="284"/>
        <v>3.5653650254668934E-2</v>
      </c>
      <c r="K2665" s="36">
        <v>66.459999999999994</v>
      </c>
      <c r="L2665" s="5">
        <f t="shared" si="287"/>
        <v>8.0650406504064964E-2</v>
      </c>
      <c r="M2665" s="5">
        <f t="shared" si="285"/>
        <v>0.12835314091680816</v>
      </c>
      <c r="N2665" s="5">
        <f t="shared" si="286"/>
        <v>-7.9501385041551353E-2</v>
      </c>
      <c r="Q2665" t="s">
        <v>3002</v>
      </c>
      <c r="R2665" s="5">
        <v>-7.9501385041551353E-2</v>
      </c>
    </row>
    <row r="2666" spans="2:18" ht="15.75">
      <c r="B2666" s="809" t="s">
        <v>4721</v>
      </c>
      <c r="C2666" s="62">
        <v>49</v>
      </c>
      <c r="D2666">
        <v>52.9</v>
      </c>
      <c r="E2666">
        <v>46.6</v>
      </c>
      <c r="F2666" s="62">
        <v>48.1</v>
      </c>
      <c r="G2666">
        <v>48</v>
      </c>
      <c r="H2666" s="5">
        <f t="shared" si="282"/>
        <v>-9.0737240075614345E-2</v>
      </c>
      <c r="I2666" s="5">
        <f t="shared" si="283"/>
        <v>3.2188841201716833E-2</v>
      </c>
      <c r="J2666" s="5">
        <f t="shared" si="284"/>
        <v>3.0042918454935563E-2</v>
      </c>
      <c r="K2666" s="36">
        <v>47.7</v>
      </c>
      <c r="L2666" s="5">
        <f t="shared" si="287"/>
        <v>-8.3160083160083165E-3</v>
      </c>
      <c r="M2666" s="5">
        <f t="shared" si="285"/>
        <v>2.3605150214592197E-2</v>
      </c>
      <c r="N2666" s="5">
        <f t="shared" si="286"/>
        <v>-9.829867674858217E-2</v>
      </c>
      <c r="Q2666" t="s">
        <v>3001</v>
      </c>
      <c r="R2666" s="5">
        <v>-1.1627906976744207E-2</v>
      </c>
    </row>
    <row r="2668" spans="2:18" ht="15.75">
      <c r="B2668" s="810" t="s">
        <v>4921</v>
      </c>
      <c r="C2668" s="552">
        <v>2020</v>
      </c>
      <c r="D2668" s="552">
        <v>2021</v>
      </c>
    </row>
    <row r="2669" spans="2:18" ht="15.75">
      <c r="B2669" s="809" t="s">
        <v>4243</v>
      </c>
      <c r="C2669" s="6">
        <v>-0.09</v>
      </c>
      <c r="D2669" s="6">
        <v>-0.09</v>
      </c>
    </row>
    <row r="2670" spans="2:18" ht="15.75">
      <c r="B2670" s="809" t="s">
        <v>389</v>
      </c>
      <c r="C2670" s="6">
        <f>(100*(1-2.3%)*(1+E2644))/100-1</f>
        <v>-5.0290255531285633E-2</v>
      </c>
      <c r="D2670" s="6">
        <f>(100*(1-0%)*(1+F2644))/100-1</f>
        <v>-6.5927547848561252E-2</v>
      </c>
    </row>
    <row r="2671" spans="2:18" ht="15.75">
      <c r="B2671" s="809" t="s">
        <v>467</v>
      </c>
      <c r="C2671" s="6">
        <f>J2600</f>
        <v>-6.1540548586353827E-2</v>
      </c>
      <c r="D2671" s="6">
        <f>K2600</f>
        <v>-3.2068750399616652E-2</v>
      </c>
    </row>
    <row r="2672" spans="2:18" ht="15.75">
      <c r="B2672" s="809" t="s">
        <v>4721</v>
      </c>
      <c r="C2672" s="6">
        <f>18316.7045042657/18848-1</f>
        <v>-2.8188428254154241E-2</v>
      </c>
      <c r="D2672" s="6">
        <f>19054.5281202921/19541-1</f>
        <v>-2.4894932690645355E-2</v>
      </c>
    </row>
    <row r="2673" spans="2:8" ht="15.75">
      <c r="B2673" s="809" t="s">
        <v>3001</v>
      </c>
      <c r="C2673" s="6">
        <f>E2652</f>
        <v>-9.0905512395192956E-3</v>
      </c>
      <c r="D2673" s="6">
        <f>F2652</f>
        <v>-1.396713019783391E-2</v>
      </c>
    </row>
    <row r="2674" spans="2:8" ht="15.75">
      <c r="B2674" s="809" t="s">
        <v>4747</v>
      </c>
      <c r="C2674" s="6">
        <f>8441.02686902986/8547-1</f>
        <v>-1.2398868722375167E-2</v>
      </c>
      <c r="D2674" s="6">
        <f>8798.62426796529/8897-1</f>
        <v>-1.105718017699342E-2</v>
      </c>
    </row>
    <row r="2675" spans="2:8" ht="15.75">
      <c r="B2675" s="809" t="s">
        <v>1453</v>
      </c>
      <c r="C2675" s="6">
        <v>-8.137995479294724E-3</v>
      </c>
      <c r="D2675" s="6">
        <v>-8.2661808158522865E-3</v>
      </c>
    </row>
    <row r="2676" spans="2:8" ht="15.75">
      <c r="B2676" s="809" t="s">
        <v>3002</v>
      </c>
      <c r="C2676" s="6">
        <f>10821.300604169/10542-1</f>
        <v>2.6494081215044707E-2</v>
      </c>
      <c r="D2676" s="6">
        <f>11457.5034091155/11174-1</f>
        <v>2.5371702981519473E-2</v>
      </c>
    </row>
    <row r="2682" spans="2:8">
      <c r="B2682" s="3"/>
      <c r="C2682" s="3">
        <v>2019</v>
      </c>
      <c r="D2682" s="3">
        <f>C2682+1</f>
        <v>2020</v>
      </c>
      <c r="E2682" s="3">
        <f>D2682+1</f>
        <v>2021</v>
      </c>
      <c r="F2682" s="3">
        <f>E2682+1</f>
        <v>2022</v>
      </c>
      <c r="G2682" s="3">
        <f>F2682+1</f>
        <v>2023</v>
      </c>
      <c r="H2682" s="3">
        <f>G2682+1</f>
        <v>2024</v>
      </c>
    </row>
    <row r="2683" spans="2:8">
      <c r="B2683" t="s">
        <v>4716</v>
      </c>
      <c r="C2683" s="845">
        <f>Valuation!J85</f>
        <v>4.545697812076539</v>
      </c>
      <c r="D2683" s="845">
        <f>Valuation!K85</f>
        <v>4.5001979970326556</v>
      </c>
      <c r="E2683" s="845">
        <f>Valuation!L85</f>
        <v>4.594696058450463</v>
      </c>
      <c r="F2683" s="845">
        <f>Valuation!M85</f>
        <v>3.8588882410312668</v>
      </c>
      <c r="G2683" s="845">
        <f>Valuation!N85</f>
        <v>4.6221051910340414</v>
      </c>
      <c r="H2683" s="845">
        <f ca="1">Valuation!O85</f>
        <v>5.1268574569664125</v>
      </c>
    </row>
    <row r="2684" spans="2:8">
      <c r="B2684" t="s">
        <v>1931</v>
      </c>
      <c r="C2684" s="845">
        <v>3.035115987103886</v>
      </c>
      <c r="D2684" s="845">
        <v>3.2038350867537928</v>
      </c>
      <c r="E2684" s="845">
        <v>3.0101518577156492</v>
      </c>
      <c r="F2684" s="845">
        <v>2.8152724217632099</v>
      </c>
      <c r="G2684" s="845">
        <v>2.5349764332795157</v>
      </c>
      <c r="H2684" s="845">
        <v>2.2365341747320717</v>
      </c>
    </row>
    <row r="2685" spans="2:8">
      <c r="B2685" t="s">
        <v>4754</v>
      </c>
      <c r="C2685" s="845">
        <f>C2684</f>
        <v>3.035115987103886</v>
      </c>
      <c r="D2685" s="845">
        <v>3.0859577471355881</v>
      </c>
      <c r="E2685" s="845">
        <v>2.7866331207361736</v>
      </c>
      <c r="F2685" s="845">
        <v>2.4952610058542422</v>
      </c>
      <c r="G2685" s="845">
        <v>2.1841815054961531</v>
      </c>
      <c r="H2685" s="845">
        <v>1.858341818353769</v>
      </c>
    </row>
    <row r="2686" spans="2:8">
      <c r="B2686" t="s">
        <v>3001</v>
      </c>
      <c r="C2686" s="845">
        <v>2.9874351265381289</v>
      </c>
      <c r="D2686" s="845">
        <v>2.7269505883785619</v>
      </c>
      <c r="E2686" s="845">
        <v>2.6768924294403269</v>
      </c>
      <c r="F2686" s="845">
        <v>2.5268474308886413</v>
      </c>
      <c r="G2686" s="845">
        <v>2.3923380035832262</v>
      </c>
      <c r="H2686" s="845">
        <v>2.3075037192836074</v>
      </c>
    </row>
    <row r="2687" spans="2:8">
      <c r="B2687" t="s">
        <v>4720</v>
      </c>
      <c r="C2687" s="845">
        <v>2.452583985075135</v>
      </c>
      <c r="D2687" s="845">
        <v>2.3476154032121364</v>
      </c>
      <c r="E2687" s="845">
        <v>2.2759784363890287</v>
      </c>
      <c r="F2687" s="845">
        <v>2.0891533521775303</v>
      </c>
      <c r="G2687" s="845">
        <v>1.8937020104469813</v>
      </c>
      <c r="H2687" s="845">
        <v>1.6840842077617708</v>
      </c>
    </row>
    <row r="2691" spans="2:5">
      <c r="C2691" t="s">
        <v>707</v>
      </c>
      <c r="D2691" t="s">
        <v>4753</v>
      </c>
      <c r="E2691" t="s">
        <v>244</v>
      </c>
    </row>
    <row r="2692" spans="2:5">
      <c r="B2692" s="80" t="s">
        <v>2031</v>
      </c>
      <c r="C2692">
        <v>1184</v>
      </c>
      <c r="D2692">
        <f>1113</f>
        <v>1113</v>
      </c>
    </row>
    <row r="2693" spans="2:5">
      <c r="B2693">
        <v>2020</v>
      </c>
      <c r="E2693">
        <v>0</v>
      </c>
    </row>
    <row r="2694" spans="2:5">
      <c r="B2694">
        <f t="shared" ref="B2694:B2701" si="288">B2693+1</f>
        <v>2021</v>
      </c>
      <c r="E2694">
        <v>0</v>
      </c>
    </row>
    <row r="2695" spans="2:5">
      <c r="B2695">
        <f t="shared" si="288"/>
        <v>2022</v>
      </c>
      <c r="E2695">
        <v>94</v>
      </c>
    </row>
    <row r="2696" spans="2:5">
      <c r="B2696">
        <f t="shared" si="288"/>
        <v>2023</v>
      </c>
      <c r="E2696">
        <v>263</v>
      </c>
    </row>
    <row r="2697" spans="2:5">
      <c r="B2697">
        <f t="shared" si="288"/>
        <v>2024</v>
      </c>
      <c r="E2697">
        <v>1663</v>
      </c>
    </row>
    <row r="2698" spans="2:5">
      <c r="B2698">
        <f t="shared" si="288"/>
        <v>2025</v>
      </c>
      <c r="E2698">
        <v>0</v>
      </c>
    </row>
    <row r="2699" spans="2:5">
      <c r="B2699">
        <f t="shared" si="288"/>
        <v>2026</v>
      </c>
      <c r="E2699">
        <f>1500</f>
        <v>1500</v>
      </c>
    </row>
    <row r="2700" spans="2:5">
      <c r="B2700">
        <f t="shared" si="288"/>
        <v>2027</v>
      </c>
      <c r="E2700">
        <f>2820+150</f>
        <v>2970</v>
      </c>
    </row>
    <row r="2701" spans="2:5">
      <c r="B2701">
        <f t="shared" si="288"/>
        <v>2028</v>
      </c>
      <c r="E2701">
        <v>1510</v>
      </c>
    </row>
    <row r="2726" spans="2:14">
      <c r="B2726" s="3"/>
      <c r="C2726" s="4" t="str">
        <f>'New quarts'!X4</f>
        <v>Q1 19</v>
      </c>
      <c r="D2726" s="4" t="str">
        <f>'New quarts'!Y4</f>
        <v>Q2 19</v>
      </c>
      <c r="E2726" s="4" t="str">
        <f>'New quarts'!Z4</f>
        <v>Q3 19</v>
      </c>
      <c r="F2726" s="4" t="str">
        <f>'New quarts'!AA4</f>
        <v>Q4 19</v>
      </c>
      <c r="G2726" s="4" t="str">
        <f>'New quarts'!AC4</f>
        <v>Q1 20</v>
      </c>
      <c r="H2726" s="4" t="str">
        <f>'New quarts'!AD4</f>
        <v>Q2 20</v>
      </c>
      <c r="I2726" s="4" t="e">
        <f>'New quarts'!#REF!</f>
        <v>#REF!</v>
      </c>
      <c r="J2726" s="4" t="e">
        <f>'New quarts'!#REF!</f>
        <v>#REF!</v>
      </c>
      <c r="K2726" s="4" t="e">
        <f>'New quarts'!#REF!</f>
        <v>#REF!</v>
      </c>
      <c r="L2726" s="4" t="e">
        <f>'New quarts'!#REF!</f>
        <v>#REF!</v>
      </c>
      <c r="M2726" s="4" t="e">
        <f>'New quarts'!#REF!</f>
        <v>#REF!</v>
      </c>
      <c r="N2726" s="4" t="e">
        <f>'New quarts'!#REF!</f>
        <v>#REF!</v>
      </c>
    </row>
    <row r="2727" spans="2:14">
      <c r="B2727" t="s">
        <v>29</v>
      </c>
      <c r="C2727" s="16">
        <f>'New quarts'!X17</f>
        <v>569.79999999999995</v>
      </c>
      <c r="D2727" s="16">
        <f>'New quarts'!Y17</f>
        <v>606.6</v>
      </c>
      <c r="E2727" s="16">
        <f>'New quarts'!Z17</f>
        <v>595.9</v>
      </c>
      <c r="F2727" s="16">
        <f>'New quarts'!AA17</f>
        <v>617.20000000000005</v>
      </c>
      <c r="G2727" s="16">
        <f>'New quarts'!AC17</f>
        <v>588.6</v>
      </c>
      <c r="H2727" s="16">
        <f>'New quarts'!AD17</f>
        <v>515.29999999999995</v>
      </c>
      <c r="I2727" s="16" t="e">
        <f>'New quarts'!#REF!</f>
        <v>#REF!</v>
      </c>
      <c r="J2727" s="16" t="e">
        <f>'New quarts'!#REF!</f>
        <v>#REF!</v>
      </c>
      <c r="K2727" s="16" t="e">
        <f>'New quarts'!#REF!</f>
        <v>#REF!</v>
      </c>
      <c r="L2727" s="16" t="e">
        <f>'New quarts'!#REF!</f>
        <v>#REF!</v>
      </c>
      <c r="M2727" s="16" t="e">
        <f>'New quarts'!#REF!</f>
        <v>#REF!</v>
      </c>
      <c r="N2727" s="16" t="e">
        <f>'New quarts'!#REF!</f>
        <v>#REF!</v>
      </c>
    </row>
    <row r="2728" spans="2:14">
      <c r="B2728" t="s">
        <v>4930</v>
      </c>
      <c r="C2728" s="5">
        <f>'New quarts'!X201</f>
        <v>-1.7000000000000001E-2</v>
      </c>
      <c r="D2728" s="5">
        <f>'New quarts'!Y201</f>
        <v>-5.0000000000000001E-3</v>
      </c>
      <c r="E2728" s="5">
        <f>'New quarts'!Z201</f>
        <v>-2.1999999999999999E-2</v>
      </c>
      <c r="F2728" s="5">
        <f>'New quarts'!AA201</f>
        <v>3.3000000000000002E-2</v>
      </c>
      <c r="G2728" s="5">
        <f>'New quarts'!AC201</f>
        <v>1.6E-2</v>
      </c>
      <c r="H2728" s="5">
        <f>'New quarts'!AD201</f>
        <v>-0.115</v>
      </c>
      <c r="I2728" s="5" t="e">
        <f>'New quarts'!#REF!</f>
        <v>#REF!</v>
      </c>
      <c r="J2728" s="5" t="e">
        <f>'New quarts'!#REF!</f>
        <v>#REF!</v>
      </c>
      <c r="K2728" s="5" t="e">
        <f>'New quarts'!#REF!</f>
        <v>#REF!</v>
      </c>
      <c r="L2728" s="5" t="e">
        <f>'New quarts'!#REF!</f>
        <v>#REF!</v>
      </c>
      <c r="M2728" s="5" t="e">
        <f>'New quarts'!#REF!</f>
        <v>#REF!</v>
      </c>
      <c r="N2728" s="5" t="e">
        <f>'New quarts'!#REF!</f>
        <v>#REF!</v>
      </c>
    </row>
    <row r="2730" spans="2:14">
      <c r="B2730" t="s">
        <v>8</v>
      </c>
      <c r="C2730" s="16">
        <f>'New quarts'!X211</f>
        <v>222.5</v>
      </c>
      <c r="D2730" s="16">
        <f>'New quarts'!Y211</f>
        <v>235.4</v>
      </c>
      <c r="E2730" s="16">
        <f>'New quarts'!Z211</f>
        <v>236.2</v>
      </c>
      <c r="F2730" s="16">
        <f>'New quarts'!AA211</f>
        <v>248.10000000000002</v>
      </c>
      <c r="G2730" s="16">
        <f>'New quarts'!AC211</f>
        <v>232.8</v>
      </c>
      <c r="H2730" s="16">
        <f>'New quarts'!AD211</f>
        <v>203.6</v>
      </c>
      <c r="I2730" s="16" t="e">
        <f>'New quarts'!#REF!</f>
        <v>#REF!</v>
      </c>
      <c r="J2730" s="16" t="e">
        <f>'New quarts'!#REF!</f>
        <v>#REF!</v>
      </c>
      <c r="K2730" s="16" t="e">
        <f>'New quarts'!#REF!</f>
        <v>#REF!</v>
      </c>
      <c r="L2730" s="16" t="e">
        <f>'New quarts'!#REF!</f>
        <v>#REF!</v>
      </c>
      <c r="M2730" s="16" t="e">
        <f>'New quarts'!#REF!</f>
        <v>#REF!</v>
      </c>
      <c r="N2730" s="16" t="e">
        <f>'New quarts'!#REF!</f>
        <v>#REF!</v>
      </c>
    </row>
    <row r="2731" spans="2:14">
      <c r="B2731" t="s">
        <v>258</v>
      </c>
      <c r="C2731" s="16">
        <f t="shared" ref="C2731:N2731" si="289">C2727-C2730</f>
        <v>347.29999999999995</v>
      </c>
      <c r="D2731" s="16">
        <f t="shared" si="289"/>
        <v>371.20000000000005</v>
      </c>
      <c r="E2731" s="16">
        <f t="shared" si="289"/>
        <v>359.7</v>
      </c>
      <c r="F2731" s="16">
        <f t="shared" si="289"/>
        <v>369.1</v>
      </c>
      <c r="G2731" s="16">
        <f t="shared" si="289"/>
        <v>355.8</v>
      </c>
      <c r="H2731" s="16">
        <f t="shared" si="289"/>
        <v>311.69999999999993</v>
      </c>
      <c r="I2731" s="16" t="e">
        <f t="shared" si="289"/>
        <v>#REF!</v>
      </c>
      <c r="J2731" s="16" t="e">
        <f t="shared" si="289"/>
        <v>#REF!</v>
      </c>
      <c r="K2731" s="16" t="e">
        <f t="shared" si="289"/>
        <v>#REF!</v>
      </c>
      <c r="L2731" s="16" t="e">
        <f t="shared" si="289"/>
        <v>#REF!</v>
      </c>
      <c r="M2731" s="16" t="e">
        <f t="shared" si="289"/>
        <v>#REF!</v>
      </c>
      <c r="N2731" s="16" t="e">
        <f t="shared" si="289"/>
        <v>#REF!</v>
      </c>
    </row>
    <row r="2732" spans="2:14">
      <c r="C2732" s="5">
        <f>'New quarts'!X216/'New quarts'!S216-1</f>
        <v>-2.5533108866442222E-2</v>
      </c>
      <c r="D2732" s="5">
        <f>'New quarts'!Y216/'New quarts'!T216-1</f>
        <v>3.0824770896973108E-2</v>
      </c>
      <c r="E2732" s="5">
        <f>'New quarts'!Z216/'New quarts'!U216-1</f>
        <v>1.4382402707275643E-2</v>
      </c>
      <c r="F2732" s="5">
        <f>'New quarts'!AA216/'New quarts'!V216-1</f>
        <v>2.7275257445032119E-2</v>
      </c>
      <c r="G2732" s="5">
        <f>'New quarts'!AC216/'New quarts'!X216-1</f>
        <v>2.4474517708033661E-2</v>
      </c>
      <c r="H2732" s="5">
        <f>'New quarts'!AD216/'New quarts'!Y216-1</f>
        <v>-0.16029094827586232</v>
      </c>
      <c r="I2732" s="5" t="e">
        <f>'New quarts'!#REF!/'New quarts'!Z216-1</f>
        <v>#REF!</v>
      </c>
      <c r="J2732" s="5" t="e">
        <f>'New quarts'!#REF!/'New quarts'!AA216-1</f>
        <v>#REF!</v>
      </c>
      <c r="K2732" s="5" t="e">
        <f>'New quarts'!#REF!/'New quarts'!AC216-1</f>
        <v>#REF!</v>
      </c>
      <c r="L2732" s="5" t="e">
        <f>'New quarts'!#REF!/'New quarts'!AD216-1</f>
        <v>#REF!</v>
      </c>
      <c r="M2732" s="5" t="e">
        <f>'New quarts'!#REF!/'New quarts'!#REF!-1</f>
        <v>#REF!</v>
      </c>
      <c r="N2732" s="5" t="e">
        <f>'New quarts'!#REF!/'New quarts'!#REF!-1</f>
        <v>#REF!</v>
      </c>
    </row>
    <row r="2752" spans="2:10" ht="16.5">
      <c r="B2752" s="1024"/>
      <c r="C2752" s="624"/>
      <c r="D2752" s="624"/>
      <c r="E2752" s="624"/>
      <c r="F2752" s="624"/>
      <c r="G2752" s="624"/>
      <c r="H2752" s="624"/>
      <c r="I2752" s="624"/>
      <c r="J2752" s="624"/>
    </row>
    <row r="2753" spans="2:10" ht="16.5">
      <c r="B2753" s="624"/>
      <c r="C2753" s="624"/>
      <c r="D2753" s="624"/>
      <c r="E2753" s="624"/>
      <c r="F2753" s="624"/>
      <c r="G2753" s="624"/>
      <c r="H2753" s="624"/>
      <c r="I2753" s="624"/>
      <c r="J2753" s="624"/>
    </row>
    <row r="2754" spans="2:10" ht="16.5">
      <c r="B2754" s="624"/>
      <c r="C2754" s="624"/>
      <c r="D2754" s="624"/>
      <c r="E2754" s="624"/>
      <c r="F2754" s="624"/>
      <c r="G2754" s="624"/>
      <c r="H2754" s="624"/>
      <c r="I2754" s="624"/>
      <c r="J2754" s="624"/>
    </row>
    <row r="2755" spans="2:10" ht="16.5">
      <c r="B2755" s="624" t="s">
        <v>4933</v>
      </c>
      <c r="C2755" s="624"/>
      <c r="D2755" s="624"/>
      <c r="E2755" s="624"/>
      <c r="F2755" s="624"/>
      <c r="G2755" s="624"/>
      <c r="H2755" s="624"/>
      <c r="I2755" s="624"/>
      <c r="J2755" s="624"/>
    </row>
    <row r="2756" spans="2:10" ht="16.5">
      <c r="B2756" s="623" t="s">
        <v>3871</v>
      </c>
      <c r="C2756" s="623">
        <v>2020</v>
      </c>
      <c r="D2756" s="623">
        <f>C2756+1</f>
        <v>2021</v>
      </c>
      <c r="E2756" s="623">
        <f>D2756+1</f>
        <v>2022</v>
      </c>
      <c r="F2756" s="623">
        <f>E2756+1</f>
        <v>2023</v>
      </c>
      <c r="G2756" s="623">
        <f>F2756+1</f>
        <v>2024</v>
      </c>
      <c r="H2756" s="623">
        <f>G2756+1</f>
        <v>2025</v>
      </c>
      <c r="I2756" s="624"/>
      <c r="J2756" s="624"/>
    </row>
    <row r="2757" spans="2:10" ht="16.5">
      <c r="B2757" s="624" t="str">
        <f>Valuation!A23</f>
        <v>Rep EBITDA</v>
      </c>
      <c r="C2757" s="1018">
        <f>Valuation!K23</f>
        <v>1485</v>
      </c>
      <c r="D2757" s="1018">
        <f>Valuation!L23</f>
        <v>1818.4935611038109</v>
      </c>
      <c r="E2757" s="1018">
        <f>Valuation!M23</f>
        <v>1718</v>
      </c>
      <c r="F2757" s="1018">
        <f>Valuation!N23</f>
        <v>1701.6</v>
      </c>
      <c r="G2757" s="1018">
        <f>Valuation!O23</f>
        <v>1579.0990335466222</v>
      </c>
      <c r="H2757" s="1018">
        <f>Valuation!P23</f>
        <v>1802.8296324342652</v>
      </c>
      <c r="I2757" s="624"/>
      <c r="J2757" s="624"/>
    </row>
    <row r="2758" spans="2:10" ht="16.5">
      <c r="B2758" s="624" t="str">
        <f>Valuation!A24</f>
        <v>Less Capex (PE adds)</v>
      </c>
      <c r="C2758" s="1018">
        <f>Valuation!K24</f>
        <v>-631</v>
      </c>
      <c r="D2758" s="1018">
        <f>Valuation!L24</f>
        <v>-855.89999999999986</v>
      </c>
      <c r="E2758" s="1018">
        <f>Valuation!M24</f>
        <v>-816.3</v>
      </c>
      <c r="F2758" s="1018">
        <f>Valuation!N24</f>
        <v>-730.9</v>
      </c>
      <c r="G2758" s="1018">
        <f>Valuation!O24</f>
        <v>-714.74571124892748</v>
      </c>
      <c r="H2758" s="1018">
        <f>Valuation!P24</f>
        <v>-721.45592028503188</v>
      </c>
      <c r="I2758" s="624"/>
      <c r="J2758" s="624"/>
    </row>
    <row r="2759" spans="2:10" ht="16.5">
      <c r="B2759" s="624" t="str">
        <f>Valuation!A25</f>
        <v>P&amp;L interest</v>
      </c>
      <c r="C2759" s="1018">
        <f>Valuation!K25</f>
        <v>-533.4</v>
      </c>
      <c r="D2759" s="1018">
        <f>Valuation!L25</f>
        <v>-527.4</v>
      </c>
      <c r="E2759" s="1018">
        <f>Valuation!M25</f>
        <v>-556.70000000000005</v>
      </c>
      <c r="F2759" s="1018">
        <f>Valuation!N25</f>
        <v>-601.70000000000005</v>
      </c>
      <c r="G2759" s="1018">
        <f ca="1">Valuation!O25</f>
        <v>-619.35390955854734</v>
      </c>
      <c r="H2759" s="1018">
        <f ca="1">Valuation!P25</f>
        <v>-653.82239239434932</v>
      </c>
      <c r="I2759" s="624"/>
      <c r="J2759" s="624"/>
    </row>
    <row r="2760" spans="2:10" ht="16.5">
      <c r="B2760" s="624" t="str">
        <f>Valuation!A26</f>
        <v>Normalised tax</v>
      </c>
      <c r="C2760" s="1018">
        <f>Valuation!K26</f>
        <v>-105.79800000000002</v>
      </c>
      <c r="D2760" s="1018">
        <f>Valuation!L26</f>
        <v>-143.61387516425765</v>
      </c>
      <c r="E2760" s="1018">
        <f>Valuation!M26</f>
        <v>-113.85000000000001</v>
      </c>
      <c r="F2760" s="1018">
        <f>Valuation!N26</f>
        <v>-99.629999999999981</v>
      </c>
      <c r="G2760" s="1018">
        <f ca="1">Valuation!O26</f>
        <v>-73.499823821744215</v>
      </c>
      <c r="H2760" s="1018">
        <f ca="1">Valuation!P26</f>
        <v>-128.2653959264652</v>
      </c>
      <c r="I2760" s="624"/>
      <c r="J2760" s="624"/>
    </row>
    <row r="2761" spans="2:10" ht="16.5">
      <c r="B2761" s="623" t="str">
        <f>Valuation!A27</f>
        <v>Less minorities dividend</v>
      </c>
      <c r="C2761" s="1070">
        <f>Valuation!K27</f>
        <v>-18.8</v>
      </c>
      <c r="D2761" s="1070">
        <f>Valuation!L27</f>
        <v>-47.6</v>
      </c>
      <c r="E2761" s="1070">
        <f>Valuation!M27</f>
        <v>-1.9</v>
      </c>
      <c r="F2761" s="1070">
        <f>Valuation!N27</f>
        <v>-75.400000000000006</v>
      </c>
      <c r="G2761" s="1070">
        <f>Valuation!O27</f>
        <v>-35</v>
      </c>
      <c r="H2761" s="1070">
        <f>Valuation!P27</f>
        <v>-50</v>
      </c>
      <c r="I2761" s="624"/>
      <c r="J2761" s="624"/>
    </row>
    <row r="2762" spans="2:10" ht="16.5">
      <c r="B2762" s="624" t="s">
        <v>4939</v>
      </c>
      <c r="C2762" s="1018">
        <f>Valuation!K28</f>
        <v>196.00200000000001</v>
      </c>
      <c r="D2762" s="1018">
        <f>Valuation!L28</f>
        <v>243.97968593955338</v>
      </c>
      <c r="E2762" s="1018">
        <f>Valuation!M28</f>
        <v>229.24999999999997</v>
      </c>
      <c r="F2762" s="1018">
        <f>Valuation!N28</f>
        <v>193.96999999999989</v>
      </c>
      <c r="G2762" s="1018">
        <f ca="1">Valuation!O28</f>
        <v>136.49958891740317</v>
      </c>
      <c r="H2762" s="1018">
        <f ca="1">Valuation!P28</f>
        <v>249.28592382841885</v>
      </c>
      <c r="I2762" s="624"/>
      <c r="J2762" s="624"/>
    </row>
    <row r="2763" spans="2:10" ht="16.5">
      <c r="B2763" s="624"/>
      <c r="C2763" s="624"/>
      <c r="D2763" s="624"/>
      <c r="E2763" s="624"/>
      <c r="F2763" s="624"/>
      <c r="G2763" s="624"/>
      <c r="H2763" s="624"/>
      <c r="I2763" s="624"/>
      <c r="J2763" s="624"/>
    </row>
    <row r="2764" spans="2:10" ht="16.5">
      <c r="B2764" s="1024" t="s">
        <v>4934</v>
      </c>
      <c r="C2764" s="624"/>
      <c r="D2764" s="624"/>
      <c r="E2764" s="624"/>
      <c r="F2764" s="624"/>
      <c r="G2764" s="624"/>
      <c r="H2764" s="624"/>
      <c r="I2764" s="624"/>
      <c r="J2764" s="624"/>
    </row>
    <row r="2765" spans="2:10" ht="16.5">
      <c r="B2765" s="624" t="s">
        <v>4935</v>
      </c>
      <c r="D2765" s="624"/>
      <c r="E2765" s="626">
        <f>-0.05*Master!N58</f>
        <v>-129.45000000000002</v>
      </c>
      <c r="F2765" s="626">
        <f>-0.05*Master!O58</f>
        <v>-135.035</v>
      </c>
      <c r="G2765" s="626">
        <f>-0.05*Master!P58</f>
        <v>-137.88724788517487</v>
      </c>
      <c r="H2765" s="626">
        <f>-0.05*Master!Q58</f>
        <v>-141.21083375656366</v>
      </c>
      <c r="I2765" s="624"/>
      <c r="J2765" s="624"/>
    </row>
    <row r="2766" spans="2:10" ht="16.5">
      <c r="B2766" s="624" t="s">
        <v>4936</v>
      </c>
      <c r="C2766" s="624"/>
      <c r="D2766" s="624"/>
      <c r="E2766" s="626">
        <f>E2765*0.72</f>
        <v>-93.204000000000008</v>
      </c>
      <c r="F2766" s="626">
        <f>F2765*0.72</f>
        <v>-97.225200000000001</v>
      </c>
      <c r="G2766" s="626">
        <f>G2765*0.72</f>
        <v>-99.278818477325899</v>
      </c>
      <c r="H2766" s="626">
        <f>H2765*0.72</f>
        <v>-101.67180030472583</v>
      </c>
      <c r="I2766" s="624"/>
      <c r="J2766" s="624"/>
    </row>
    <row r="2767" spans="2:10" ht="16.5">
      <c r="B2767" s="623" t="s">
        <v>4937</v>
      </c>
      <c r="C2767" s="623"/>
      <c r="D2767" s="623"/>
      <c r="E2767" s="1072">
        <f>-E2766*(1-Master!$Z$47)</f>
        <v>93.204000000000008</v>
      </c>
      <c r="F2767" s="1072">
        <f>-F2766*(1-Master!$Z$47)</f>
        <v>97.225200000000001</v>
      </c>
      <c r="G2767" s="1072">
        <f>-G2766*(1-Master!$Z$47)</f>
        <v>99.278818477325899</v>
      </c>
      <c r="H2767" s="1072">
        <f>-H2766*(1-Master!$Z$47)</f>
        <v>101.67180030472583</v>
      </c>
      <c r="I2767" s="624"/>
      <c r="J2767" s="624"/>
    </row>
    <row r="2768" spans="2:10" ht="16.5">
      <c r="B2768" s="624" t="s">
        <v>3869</v>
      </c>
      <c r="C2768" s="624"/>
      <c r="D2768" s="624"/>
      <c r="E2768" s="626">
        <f>E2762+E2766+E2767</f>
        <v>229.24999999999997</v>
      </c>
      <c r="F2768" s="626">
        <f>F2762+F2766+F2767</f>
        <v>193.96999999999989</v>
      </c>
      <c r="G2768" s="626">
        <f ca="1">G2762+G2766+G2767</f>
        <v>136.49958891740317</v>
      </c>
      <c r="H2768" s="626">
        <f ca="1">H2762+H2766+H2767</f>
        <v>249.28592382841885</v>
      </c>
      <c r="I2768" s="624"/>
      <c r="J2768" s="624"/>
    </row>
    <row r="2769" spans="2:10" ht="16.5">
      <c r="B2769" s="624" t="s">
        <v>4938</v>
      </c>
      <c r="C2769" s="624"/>
      <c r="D2769" s="624"/>
      <c r="E2769" s="625">
        <f>E2768/E2762-1</f>
        <v>0</v>
      </c>
      <c r="F2769" s="625">
        <f>F2768/F2762-1</f>
        <v>0</v>
      </c>
      <c r="G2769" s="625">
        <f ca="1">G2768/G2762-1</f>
        <v>0</v>
      </c>
      <c r="H2769" s="625">
        <f ca="1">H2768/H2762-1</f>
        <v>0</v>
      </c>
      <c r="I2769" s="624"/>
      <c r="J2769" s="624"/>
    </row>
    <row r="2770" spans="2:10" ht="16.5">
      <c r="B2770" s="624"/>
      <c r="C2770" s="624"/>
      <c r="D2770" s="624"/>
      <c r="E2770" s="624"/>
      <c r="F2770" s="624"/>
      <c r="G2770" s="624"/>
      <c r="H2770" s="624"/>
      <c r="I2770" s="624"/>
      <c r="J2770" s="624"/>
    </row>
    <row r="2771" spans="2:10" ht="16.5">
      <c r="B2771" s="624"/>
      <c r="C2771" s="624"/>
      <c r="D2771" s="624"/>
      <c r="E2771" s="624"/>
      <c r="F2771" s="624"/>
      <c r="G2771" s="624"/>
      <c r="H2771" s="624"/>
      <c r="I2771" s="624"/>
      <c r="J2771" s="624"/>
    </row>
    <row r="2772" spans="2:10" ht="16.5">
      <c r="B2772" s="624"/>
      <c r="C2772" s="624"/>
      <c r="D2772" s="624"/>
      <c r="E2772" s="624"/>
      <c r="F2772" s="624"/>
      <c r="G2772" s="624"/>
      <c r="H2772" s="624"/>
      <c r="I2772" s="624"/>
      <c r="J2772" s="624"/>
    </row>
    <row r="2773" spans="2:10" ht="16.5">
      <c r="B2773" s="624"/>
      <c r="C2773" s="1077" t="s">
        <v>4950</v>
      </c>
      <c r="D2773" s="1077" t="s">
        <v>1399</v>
      </c>
      <c r="E2773" s="1077" t="s">
        <v>1072</v>
      </c>
      <c r="F2773" s="1077" t="s">
        <v>4952</v>
      </c>
      <c r="G2773" s="624"/>
      <c r="H2773" s="624"/>
      <c r="I2773" s="1077" t="s">
        <v>4952</v>
      </c>
      <c r="J2773" s="624"/>
    </row>
    <row r="2774" spans="2:10" ht="16.5">
      <c r="B2774" s="1078" t="s">
        <v>4940</v>
      </c>
      <c r="C2774" s="627" t="s">
        <v>4949</v>
      </c>
      <c r="D2774" s="627" t="s">
        <v>4951</v>
      </c>
      <c r="E2774" s="627" t="s">
        <v>2346</v>
      </c>
      <c r="F2774" s="627" t="s">
        <v>4954</v>
      </c>
      <c r="G2774" s="623"/>
      <c r="H2774" s="623"/>
      <c r="I2774" s="627" t="s">
        <v>4955</v>
      </c>
      <c r="J2774" s="624"/>
    </row>
    <row r="2775" spans="2:10" ht="16.5">
      <c r="B2775" s="624" t="str">
        <f>SOP!B6</f>
        <v>Bahamas</v>
      </c>
      <c r="C2775" s="1019">
        <v>0.26500000000000001</v>
      </c>
      <c r="D2775" s="1019">
        <v>0.433</v>
      </c>
      <c r="E2775" s="626">
        <f>Master!AC67</f>
        <v>0</v>
      </c>
      <c r="F2775" s="1019" t="e">
        <f t="shared" ref="F2775:F2782" si="290">E2775/E$2791</f>
        <v>#DIV/0!</v>
      </c>
      <c r="G2775" s="626">
        <f t="shared" ref="G2775:G2782" si="291">C2775*E2775</f>
        <v>0</v>
      </c>
      <c r="H2775" s="626">
        <f t="shared" ref="H2775:H2782" si="292">D2775*E2775</f>
        <v>0</v>
      </c>
      <c r="I2775" s="1019" t="e">
        <f t="shared" ref="I2775:I2782" si="293">E2775/E$2797</f>
        <v>#DIV/0!</v>
      </c>
      <c r="J2775" s="626">
        <f t="shared" ref="J2775:J2782" si="294">H2775*D2775</f>
        <v>0</v>
      </c>
    </row>
    <row r="2776" spans="2:10" ht="16.5">
      <c r="B2776" s="624" t="str">
        <f>SOP!B5</f>
        <v>Barbados</v>
      </c>
      <c r="C2776" s="1019">
        <v>0.13700000000000001</v>
      </c>
      <c r="D2776" s="1019">
        <v>0.309</v>
      </c>
      <c r="E2776" s="626">
        <f>Master!AC65</f>
        <v>0</v>
      </c>
      <c r="F2776" s="1019" t="e">
        <f t="shared" si="290"/>
        <v>#DIV/0!</v>
      </c>
      <c r="G2776" s="626">
        <f t="shared" si="291"/>
        <v>0</v>
      </c>
      <c r="H2776" s="626">
        <f t="shared" si="292"/>
        <v>0</v>
      </c>
      <c r="I2776" s="1019" t="e">
        <f t="shared" si="293"/>
        <v>#DIV/0!</v>
      </c>
      <c r="J2776" s="626">
        <f t="shared" si="294"/>
        <v>0</v>
      </c>
    </row>
    <row r="2777" spans="2:10" ht="16.5">
      <c r="B2777" s="624" t="str">
        <f>SOP!B3</f>
        <v>Jamaica</v>
      </c>
      <c r="C2777" s="1019">
        <v>9.4299999999999995E-2</v>
      </c>
      <c r="D2777" s="1019">
        <v>0.311</v>
      </c>
      <c r="E2777" s="626">
        <f>Master!AC63</f>
        <v>0</v>
      </c>
      <c r="F2777" s="1019" t="e">
        <f t="shared" si="290"/>
        <v>#DIV/0!</v>
      </c>
      <c r="G2777" s="626">
        <f t="shared" si="291"/>
        <v>0</v>
      </c>
      <c r="H2777" s="626">
        <f t="shared" si="292"/>
        <v>0</v>
      </c>
      <c r="I2777" s="1019" t="e">
        <f t="shared" si="293"/>
        <v>#DIV/0!</v>
      </c>
      <c r="J2777" s="626">
        <f t="shared" si="294"/>
        <v>0</v>
      </c>
    </row>
    <row r="2778" spans="2:10" ht="16.5">
      <c r="B2778" s="624" t="str">
        <f>SOP!B7</f>
        <v>Panama (inc Claro)</v>
      </c>
      <c r="C2778" s="1019">
        <v>6.3200000000000006E-2</v>
      </c>
      <c r="D2778" s="1019">
        <v>0.13600000000000001</v>
      </c>
      <c r="E2778" s="626">
        <f>Master!AC66</f>
        <v>0</v>
      </c>
      <c r="F2778" s="1019" t="e">
        <f t="shared" si="290"/>
        <v>#DIV/0!</v>
      </c>
      <c r="G2778" s="626">
        <f t="shared" si="291"/>
        <v>0</v>
      </c>
      <c r="H2778" s="626">
        <f t="shared" si="292"/>
        <v>0</v>
      </c>
      <c r="I2778" s="1019" t="e">
        <f t="shared" si="293"/>
        <v>#DIV/0!</v>
      </c>
      <c r="J2778" s="626">
        <f t="shared" si="294"/>
        <v>0</v>
      </c>
    </row>
    <row r="2779" spans="2:10" ht="16.5">
      <c r="B2779" s="624" t="str">
        <f>SOP!B4</f>
        <v>Trinidad and Tobago</v>
      </c>
      <c r="C2779" s="1019">
        <v>3.6999999999999998E-2</v>
      </c>
      <c r="D2779" s="1019">
        <v>7.8E-2</v>
      </c>
      <c r="E2779" s="626">
        <f>Master!AC64</f>
        <v>0</v>
      </c>
      <c r="F2779" s="1019" t="e">
        <f t="shared" si="290"/>
        <v>#DIV/0!</v>
      </c>
      <c r="G2779" s="626">
        <f t="shared" si="291"/>
        <v>0</v>
      </c>
      <c r="H2779" s="626">
        <f t="shared" si="292"/>
        <v>0</v>
      </c>
      <c r="I2779" s="1019" t="e">
        <f t="shared" si="293"/>
        <v>#DIV/0!</v>
      </c>
      <c r="J2779" s="626">
        <f t="shared" si="294"/>
        <v>0</v>
      </c>
    </row>
    <row r="2780" spans="2:10" ht="16.5">
      <c r="B2780" s="624" t="s">
        <v>4276</v>
      </c>
      <c r="C2780" s="1019">
        <v>0</v>
      </c>
      <c r="D2780" s="1019">
        <v>0</v>
      </c>
      <c r="E2780" s="626">
        <f>'New quarts'!AC9*4*0.4</f>
        <v>111.36</v>
      </c>
      <c r="F2780" s="1019" t="e">
        <f t="shared" si="290"/>
        <v>#DIV/0!</v>
      </c>
      <c r="G2780" s="626">
        <f t="shared" si="291"/>
        <v>0</v>
      </c>
      <c r="H2780" s="626">
        <f t="shared" si="292"/>
        <v>0</v>
      </c>
      <c r="I2780" s="1019" t="e">
        <f t="shared" si="293"/>
        <v>#DIV/0!</v>
      </c>
      <c r="J2780" s="626">
        <f t="shared" si="294"/>
        <v>0</v>
      </c>
    </row>
    <row r="2781" spans="2:10" ht="16.5">
      <c r="B2781" s="624" t="s">
        <v>4948</v>
      </c>
      <c r="C2781" s="1019">
        <v>0</v>
      </c>
      <c r="D2781" s="1019">
        <v>0</v>
      </c>
      <c r="E2781" s="626">
        <f>'New quarts'!AC10*4*0.4</f>
        <v>40.640000000000015</v>
      </c>
      <c r="F2781" s="1019" t="e">
        <f t="shared" si="290"/>
        <v>#DIV/0!</v>
      </c>
      <c r="G2781" s="626">
        <f t="shared" si="291"/>
        <v>0</v>
      </c>
      <c r="H2781" s="626">
        <f t="shared" si="292"/>
        <v>0</v>
      </c>
      <c r="I2781" s="1019" t="e">
        <f t="shared" si="293"/>
        <v>#DIV/0!</v>
      </c>
      <c r="J2781" s="626">
        <f t="shared" si="294"/>
        <v>0</v>
      </c>
    </row>
    <row r="2782" spans="2:10" ht="16.5">
      <c r="B2782" s="624" t="s">
        <v>4956</v>
      </c>
      <c r="C2782" s="1019">
        <f>AVERAGE(C2783:C2790)</f>
        <v>0.13006666666666666</v>
      </c>
      <c r="D2782" s="1019">
        <f>AVERAGE(D2783:D2790)</f>
        <v>0.35025000000000001</v>
      </c>
      <c r="E2782" s="626">
        <f>SUM(Master!AD63:AD69)-E2775-E2776-E2777-E2778-E2779-E2780-E2781</f>
        <v>-152</v>
      </c>
      <c r="F2782" s="1019" t="e">
        <f t="shared" si="290"/>
        <v>#DIV/0!</v>
      </c>
      <c r="G2782" s="626">
        <f t="shared" si="291"/>
        <v>-19.770133333333334</v>
      </c>
      <c r="H2782" s="626">
        <f t="shared" si="292"/>
        <v>-53.238</v>
      </c>
      <c r="I2782" s="1019" t="e">
        <f t="shared" si="293"/>
        <v>#DIV/0!</v>
      </c>
      <c r="J2782" s="626">
        <f t="shared" si="294"/>
        <v>-18.6466095</v>
      </c>
    </row>
    <row r="2783" spans="2:10" ht="16.5">
      <c r="B2783" s="1073" t="s">
        <v>4942</v>
      </c>
      <c r="C2783" s="1074">
        <v>0.13</v>
      </c>
      <c r="D2783" s="1074">
        <v>0.42699999999999999</v>
      </c>
      <c r="E2783" s="624"/>
      <c r="F2783" s="624"/>
      <c r="G2783" s="624"/>
      <c r="H2783" s="624"/>
      <c r="I2783" s="624"/>
      <c r="J2783" s="624"/>
    </row>
    <row r="2784" spans="2:10" ht="16.5">
      <c r="B2784" s="1073" t="s">
        <v>4943</v>
      </c>
      <c r="C2784" s="1074">
        <v>0.1</v>
      </c>
      <c r="D2784" s="1074">
        <v>0.371</v>
      </c>
      <c r="E2784" s="624"/>
      <c r="F2784" s="624"/>
      <c r="G2784" s="624"/>
      <c r="H2784" s="624"/>
      <c r="I2784" s="624"/>
      <c r="J2784" s="624"/>
    </row>
    <row r="2785" spans="2:10" ht="16.5">
      <c r="B2785" s="1073" t="s">
        <v>4944</v>
      </c>
      <c r="C2785" s="1074">
        <v>0.1</v>
      </c>
      <c r="D2785" s="1074">
        <v>0.255</v>
      </c>
      <c r="E2785" s="624"/>
      <c r="F2785" s="624"/>
      <c r="G2785" s="624"/>
      <c r="H2785" s="624"/>
      <c r="I2785" s="624"/>
      <c r="J2785" s="624"/>
    </row>
    <row r="2786" spans="2:10" ht="16.5">
      <c r="B2786" s="1073" t="s">
        <v>4957</v>
      </c>
      <c r="C2786" s="1074"/>
      <c r="D2786" s="1074">
        <v>0.28199999999999997</v>
      </c>
      <c r="E2786" s="624"/>
      <c r="F2786" s="624"/>
      <c r="G2786" s="624"/>
      <c r="H2786" s="624"/>
      <c r="I2786" s="624"/>
      <c r="J2786" s="624"/>
    </row>
    <row r="2787" spans="2:10" ht="16.5">
      <c r="B2787" s="1073" t="s">
        <v>4958</v>
      </c>
      <c r="C2787" s="1074"/>
      <c r="D2787" s="1074">
        <v>0.28599999999999998</v>
      </c>
      <c r="E2787" s="624"/>
      <c r="F2787" s="624"/>
      <c r="G2787" s="624"/>
      <c r="H2787" s="624"/>
      <c r="I2787" s="624"/>
      <c r="J2787" s="624"/>
    </row>
    <row r="2788" spans="2:10" ht="16.5">
      <c r="B2788" s="1073" t="s">
        <v>4945</v>
      </c>
      <c r="C2788" s="1074">
        <v>0.113</v>
      </c>
      <c r="D2788" s="1074">
        <v>0.36899999999999999</v>
      </c>
      <c r="E2788" s="624"/>
      <c r="F2788" s="624"/>
      <c r="G2788" s="624"/>
      <c r="H2788" s="624"/>
      <c r="I2788" s="624"/>
      <c r="J2788" s="624"/>
    </row>
    <row r="2789" spans="2:10" ht="16.5">
      <c r="B2789" s="1073" t="s">
        <v>4946</v>
      </c>
      <c r="C2789" s="1074">
        <v>6.4399999999999999E-2</v>
      </c>
      <c r="D2789" s="1074">
        <v>0.40500000000000003</v>
      </c>
      <c r="E2789" s="624"/>
      <c r="F2789" s="624"/>
      <c r="G2789" s="624"/>
      <c r="H2789" s="624"/>
      <c r="I2789" s="624"/>
      <c r="J2789" s="624"/>
    </row>
    <row r="2790" spans="2:10" ht="16.5">
      <c r="B2790" s="1075" t="s">
        <v>4947</v>
      </c>
      <c r="C2790" s="1076">
        <v>0.27300000000000002</v>
      </c>
      <c r="D2790" s="1076">
        <v>0.40699999999999997</v>
      </c>
      <c r="E2790" s="3"/>
      <c r="F2790" s="3"/>
      <c r="G2790" s="3"/>
      <c r="H2790" s="3"/>
      <c r="I2790" s="3"/>
      <c r="J2790" s="3"/>
    </row>
    <row r="2791" spans="2:10" ht="16.5">
      <c r="B2791" s="624" t="s">
        <v>4953</v>
      </c>
      <c r="C2791" s="1019" t="e">
        <f>G2791/E2791</f>
        <v>#DIV/0!</v>
      </c>
      <c r="D2791" s="1019" t="e">
        <f>H2791/E2791</f>
        <v>#DIV/0!</v>
      </c>
      <c r="E2791" s="626">
        <f>SUM(E2775:E2782)</f>
        <v>0</v>
      </c>
      <c r="F2791" s="625" t="e">
        <f>SUM(F2775:F2782)</f>
        <v>#DIV/0!</v>
      </c>
      <c r="G2791" s="626">
        <f>SUM(G2775:G2782)</f>
        <v>-19.770133333333334</v>
      </c>
      <c r="H2791" s="626">
        <f>SUM(H2775:H2782)</f>
        <v>-53.238</v>
      </c>
    </row>
    <row r="2793" spans="2:10" ht="16.5">
      <c r="B2793" s="624" t="str">
        <f>Master!B70</f>
        <v>Chile</v>
      </c>
      <c r="D2793" s="1019">
        <v>0.1</v>
      </c>
      <c r="E2793" s="626">
        <f>Master!AC70</f>
        <v>0</v>
      </c>
      <c r="H2793" s="626">
        <f>D2793*E2793</f>
        <v>0</v>
      </c>
      <c r="I2793" s="1019" t="e">
        <f>E2793/E$2797</f>
        <v>#DIV/0!</v>
      </c>
      <c r="J2793" s="626">
        <f>H2793*D2793</f>
        <v>0</v>
      </c>
    </row>
    <row r="2794" spans="2:10" ht="16.5">
      <c r="B2794" s="624" t="str">
        <f>Master!B71</f>
        <v>Puerto Rico / US VI</v>
      </c>
      <c r="D2794" s="1019">
        <v>4.2000000000000003E-2</v>
      </c>
      <c r="E2794" s="626">
        <f>Master!AC71</f>
        <v>0</v>
      </c>
      <c r="H2794" s="626">
        <f>D2794*E2794</f>
        <v>0</v>
      </c>
      <c r="I2794" s="1019" t="e">
        <f>E2794/E$2797</f>
        <v>#DIV/0!</v>
      </c>
      <c r="J2794" s="626">
        <f>H2794*D2794</f>
        <v>0</v>
      </c>
    </row>
    <row r="2795" spans="2:10" ht="16.5">
      <c r="B2795" s="624" t="str">
        <f>Master!B72</f>
        <v>Costa Rica</v>
      </c>
      <c r="D2795" s="1019">
        <v>0.12</v>
      </c>
      <c r="E2795" s="626">
        <f>Master!AC72</f>
        <v>0</v>
      </c>
      <c r="H2795" s="626">
        <f>D2795*E2795</f>
        <v>0</v>
      </c>
      <c r="I2795" s="1019" t="e">
        <f>E2795/E$2797</f>
        <v>#DIV/0!</v>
      </c>
      <c r="J2795" s="626">
        <f>H2795*D2795</f>
        <v>0</v>
      </c>
    </row>
    <row r="2796" spans="2:10" ht="16.5">
      <c r="B2796" s="623" t="str">
        <f>Master!B73</f>
        <v>Other/elims in CWC</v>
      </c>
      <c r="C2796" s="3"/>
      <c r="D2796" s="1020">
        <v>0</v>
      </c>
      <c r="E2796" s="1072">
        <f>Master!AC73</f>
        <v>0</v>
      </c>
      <c r="F2796" s="3"/>
      <c r="G2796" s="3"/>
      <c r="H2796" s="1072">
        <f>D2796*E2796</f>
        <v>0</v>
      </c>
      <c r="I2796" s="1020" t="e">
        <f>E2796/E$2797</f>
        <v>#DIV/0!</v>
      </c>
      <c r="J2796" s="1072">
        <f>H2796*D2796</f>
        <v>0</v>
      </c>
    </row>
    <row r="2797" spans="2:10" ht="16.5">
      <c r="D2797" s="1019" t="e">
        <f>H2797/E2797</f>
        <v>#DIV/0!</v>
      </c>
      <c r="E2797" s="626">
        <f>E2791+SUM(E2793:E2796)</f>
        <v>0</v>
      </c>
      <c r="H2797" s="626">
        <f>H2791+SUM(H2793:H2796)</f>
        <v>-53.238</v>
      </c>
      <c r="I2797" s="626"/>
    </row>
    <row r="2799" spans="2:10" ht="16.5">
      <c r="B2799" s="624" t="str">
        <f>B2782</f>
        <v>Other CWC countries</v>
      </c>
      <c r="C2799" s="1071">
        <f>H2782</f>
        <v>-53.238</v>
      </c>
      <c r="D2799" s="625">
        <f t="shared" ref="D2799:D2810" si="295">C2799/C$2811</f>
        <v>1</v>
      </c>
    </row>
    <row r="2800" spans="2:10" ht="16.5">
      <c r="B2800" s="624" t="str">
        <f>B2777</f>
        <v>Jamaica</v>
      </c>
      <c r="C2800" s="1071">
        <f>H2777</f>
        <v>0</v>
      </c>
      <c r="D2800" s="625">
        <f t="shared" si="295"/>
        <v>0</v>
      </c>
    </row>
    <row r="2801" spans="2:4" ht="16.5">
      <c r="B2801" s="624" t="str">
        <f>B2793</f>
        <v>Chile</v>
      </c>
      <c r="C2801" s="1071">
        <f>H2793</f>
        <v>0</v>
      </c>
      <c r="D2801" s="625">
        <f t="shared" si="295"/>
        <v>0</v>
      </c>
    </row>
    <row r="2802" spans="2:4" ht="16.5">
      <c r="B2802" s="624" t="str">
        <f>B2794</f>
        <v>Puerto Rico / US VI</v>
      </c>
      <c r="C2802" s="1071">
        <f>H2794</f>
        <v>0</v>
      </c>
      <c r="D2802" s="625">
        <f t="shared" si="295"/>
        <v>0</v>
      </c>
    </row>
    <row r="2803" spans="2:4" ht="16.5">
      <c r="B2803" s="624" t="str">
        <f>B2776</f>
        <v>Barbados</v>
      </c>
      <c r="C2803" s="1071">
        <f>H2776</f>
        <v>0</v>
      </c>
      <c r="D2803" s="625">
        <f t="shared" si="295"/>
        <v>0</v>
      </c>
    </row>
    <row r="2804" spans="2:4" ht="16.5">
      <c r="B2804" s="624" t="str">
        <f>B2775</f>
        <v>Bahamas</v>
      </c>
      <c r="C2804" s="1071">
        <f>H2775</f>
        <v>0</v>
      </c>
      <c r="D2804" s="625">
        <f t="shared" si="295"/>
        <v>0</v>
      </c>
    </row>
    <row r="2805" spans="2:4" ht="16.5">
      <c r="B2805" s="624" t="str">
        <f>B2778</f>
        <v>Panama (inc Claro)</v>
      </c>
      <c r="C2805" s="1071">
        <f>H2778</f>
        <v>0</v>
      </c>
      <c r="D2805" s="625">
        <f t="shared" si="295"/>
        <v>0</v>
      </c>
    </row>
    <row r="2806" spans="2:4" ht="16.5">
      <c r="B2806" s="624" t="str">
        <f>B2779</f>
        <v>Trinidad and Tobago</v>
      </c>
      <c r="C2806" s="1071">
        <f>H2779</f>
        <v>0</v>
      </c>
      <c r="D2806" s="625">
        <f t="shared" si="295"/>
        <v>0</v>
      </c>
    </row>
    <row r="2807" spans="2:4" ht="16.5">
      <c r="B2807" s="624" t="str">
        <f>B2795</f>
        <v>Costa Rica</v>
      </c>
      <c r="C2807" s="1071">
        <f>H2795</f>
        <v>0</v>
      </c>
      <c r="D2807" s="625">
        <f t="shared" si="295"/>
        <v>0</v>
      </c>
    </row>
    <row r="2808" spans="2:4" ht="16.5">
      <c r="B2808" s="624" t="str">
        <f>B2780</f>
        <v>Subsea cable</v>
      </c>
      <c r="C2808" s="1071">
        <f>H2780</f>
        <v>0</v>
      </c>
      <c r="D2808" s="625">
        <f t="shared" si="295"/>
        <v>0</v>
      </c>
    </row>
    <row r="2809" spans="2:4" ht="16.5">
      <c r="B2809" s="624" t="str">
        <f>B2781</f>
        <v>Other wholesale</v>
      </c>
      <c r="C2809" s="1071">
        <f>H2781</f>
        <v>0</v>
      </c>
      <c r="D2809" s="625">
        <f t="shared" si="295"/>
        <v>0</v>
      </c>
    </row>
    <row r="2810" spans="2:4" ht="16.5">
      <c r="B2810" s="623" t="str">
        <f>B2796</f>
        <v>Other/elims in CWC</v>
      </c>
      <c r="C2810" s="1079">
        <f>H2796</f>
        <v>0</v>
      </c>
      <c r="D2810" s="628">
        <f t="shared" si="295"/>
        <v>0</v>
      </c>
    </row>
    <row r="2811" spans="2:4" ht="16.5">
      <c r="C2811" s="1071">
        <f>SUM(C2799:C2810)</f>
        <v>-53.238</v>
      </c>
    </row>
    <row r="2813" spans="2:4">
      <c r="B2813" t="str">
        <f>B2775</f>
        <v>Bahamas</v>
      </c>
      <c r="C2813" s="5">
        <f>D2775</f>
        <v>0.433</v>
      </c>
    </row>
    <row r="2814" spans="2:4">
      <c r="B2814" t="str">
        <f>B2777</f>
        <v>Jamaica</v>
      </c>
      <c r="C2814" s="5">
        <f>D2777</f>
        <v>0.311</v>
      </c>
    </row>
    <row r="2815" spans="2:4">
      <c r="B2815" t="str">
        <f>B2776</f>
        <v>Barbados</v>
      </c>
      <c r="C2815" s="5">
        <f>D2776</f>
        <v>0.309</v>
      </c>
    </row>
    <row r="2816" spans="2:4">
      <c r="B2816" t="str">
        <f>B2778</f>
        <v>Panama (inc Claro)</v>
      </c>
      <c r="C2816" s="5">
        <f>D2778</f>
        <v>0.13600000000000001</v>
      </c>
    </row>
    <row r="2817" spans="2:3">
      <c r="B2817" t="str">
        <f>B2779</f>
        <v>Trinidad and Tobago</v>
      </c>
      <c r="C2817" s="5">
        <f>D2779</f>
        <v>7.8E-2</v>
      </c>
    </row>
    <row r="2819" spans="2:3">
      <c r="B2819" t="s">
        <v>4941</v>
      </c>
      <c r="C2819" s="5">
        <f>D2783</f>
        <v>0.42699999999999999</v>
      </c>
    </row>
    <row r="2820" spans="2:3">
      <c r="B2820" t="s">
        <v>34</v>
      </c>
      <c r="C2820" s="5">
        <f>D2789</f>
        <v>0.40500000000000003</v>
      </c>
    </row>
    <row r="2821" spans="2:3">
      <c r="B2821" t="s">
        <v>43</v>
      </c>
      <c r="C2821" s="5">
        <f>D2790</f>
        <v>0.40699999999999997</v>
      </c>
    </row>
    <row r="2822" spans="2:3">
      <c r="B2822" t="s">
        <v>39</v>
      </c>
      <c r="C2822" s="5">
        <f>D2784</f>
        <v>0.371</v>
      </c>
    </row>
    <row r="2823" spans="2:3">
      <c r="B2823" t="s">
        <v>40</v>
      </c>
      <c r="C2823" s="5">
        <f>D2788</f>
        <v>0.36899999999999999</v>
      </c>
    </row>
    <row r="2824" spans="2:3">
      <c r="B2824" t="s">
        <v>4959</v>
      </c>
      <c r="C2824" s="5">
        <v>0.28199999999999997</v>
      </c>
    </row>
    <row r="2825" spans="2:3">
      <c r="B2825" t="s">
        <v>4960</v>
      </c>
      <c r="C2825" s="5">
        <v>0.28599999999999998</v>
      </c>
    </row>
    <row r="2826" spans="2:3">
      <c r="B2826" t="s">
        <v>42</v>
      </c>
      <c r="C2826" s="5">
        <f>D2785</f>
        <v>0.255</v>
      </c>
    </row>
    <row r="2835" spans="2:9" ht="15.75">
      <c r="B2835" s="636" t="s">
        <v>4963</v>
      </c>
      <c r="C2835" s="636">
        <v>2019</v>
      </c>
      <c r="D2835" s="636">
        <v>2020</v>
      </c>
      <c r="E2835" s="636">
        <f>D2835+1</f>
        <v>2021</v>
      </c>
      <c r="F2835" s="636">
        <f>E2835+1</f>
        <v>2022</v>
      </c>
      <c r="G2835" s="636">
        <f>F2835+1</f>
        <v>2023</v>
      </c>
      <c r="H2835" s="636">
        <f>G2835+1</f>
        <v>2024</v>
      </c>
      <c r="I2835" s="636">
        <f>H2835+1</f>
        <v>2025</v>
      </c>
    </row>
    <row r="2836" spans="2:9" ht="15.75">
      <c r="B2836" s="809" t="s">
        <v>15</v>
      </c>
      <c r="C2836" s="53"/>
      <c r="D2836" s="53"/>
      <c r="E2836" s="53"/>
      <c r="F2836" s="53"/>
      <c r="G2836" s="53"/>
      <c r="H2836" s="53"/>
      <c r="I2836" s="53"/>
    </row>
    <row r="2837" spans="2:9" ht="15.75">
      <c r="B2837" s="53" t="s">
        <v>29</v>
      </c>
      <c r="C2837" s="630">
        <f>SUM(Master!K40:K46)</f>
        <v>2383</v>
      </c>
      <c r="D2837" s="630">
        <f>SUM(Master!L40:L46)</f>
        <v>2205.9</v>
      </c>
      <c r="E2837" s="630">
        <f>SUM(Master!M40:M46)</f>
        <v>2353.1000000000004</v>
      </c>
      <c r="F2837" s="630">
        <f>SUM(Master!N40:N46)</f>
        <v>2589</v>
      </c>
      <c r="G2837" s="630">
        <f>SUM(Master!O40:O46)</f>
        <v>2700.7</v>
      </c>
      <c r="H2837" s="630">
        <f>SUM(Master!P40:P46)</f>
        <v>2757.7449577034972</v>
      </c>
      <c r="I2837" s="630">
        <f>SUM(Master!Q40:Q46)</f>
        <v>2824.216675131273</v>
      </c>
    </row>
    <row r="2838" spans="2:9" ht="15.75">
      <c r="B2838" s="53" t="s">
        <v>4965</v>
      </c>
      <c r="C2838" s="630">
        <f>Master!K48</f>
        <v>410.3</v>
      </c>
      <c r="D2838" s="630">
        <f>Master!L48</f>
        <v>625</v>
      </c>
      <c r="E2838" s="630">
        <f>Master!M48</f>
        <v>1455</v>
      </c>
      <c r="F2838" s="630">
        <f>Master!N48</f>
        <v>1470.1</v>
      </c>
      <c r="G2838" s="630">
        <f>Master!O48</f>
        <v>1417</v>
      </c>
      <c r="H2838" s="630">
        <f>Master!P48</f>
        <v>1278.8028000000002</v>
      </c>
      <c r="I2838" s="630">
        <f>Master!Q48</f>
        <v>1327.3412871200001</v>
      </c>
    </row>
    <row r="2839" spans="2:9" ht="15.75">
      <c r="B2839" s="53" t="s">
        <v>468</v>
      </c>
      <c r="C2839" s="630">
        <f>Master!K47</f>
        <v>941.1</v>
      </c>
      <c r="D2839" s="630">
        <f>Master!L47</f>
        <v>807.82828282828302</v>
      </c>
      <c r="E2839" s="630">
        <f>Master!M47</f>
        <v>782.99553219448092</v>
      </c>
      <c r="F2839" s="630">
        <f>Master!N47</f>
        <v>450.6</v>
      </c>
      <c r="G2839" s="630">
        <f>Master!O47</f>
        <v>0</v>
      </c>
      <c r="H2839" s="630">
        <f>Master!P47</f>
        <v>0</v>
      </c>
      <c r="I2839" s="630">
        <f>Master!Q47</f>
        <v>0</v>
      </c>
    </row>
    <row r="2840" spans="2:9" ht="15.75">
      <c r="B2840" s="53" t="s">
        <v>3411</v>
      </c>
      <c r="C2840" s="630">
        <f>Master!K49</f>
        <v>132.69999999999999</v>
      </c>
      <c r="D2840" s="630">
        <f>Master!L49</f>
        <v>143</v>
      </c>
      <c r="E2840" s="630">
        <f>Master!M49</f>
        <v>256.2</v>
      </c>
      <c r="F2840" s="630">
        <f>Master!N49</f>
        <v>441.30000000000007</v>
      </c>
      <c r="G2840" s="630">
        <f>Master!O49</f>
        <v>547.9</v>
      </c>
      <c r="H2840" s="630">
        <f>Master!P49</f>
        <v>587.03287333112166</v>
      </c>
      <c r="I2840" s="630">
        <f>Master!Q49</f>
        <v>597.57661798413017</v>
      </c>
    </row>
    <row r="2841" spans="2:9" ht="15.75">
      <c r="B2841" s="50" t="s">
        <v>4</v>
      </c>
      <c r="C2841" s="632">
        <f t="shared" ref="C2841:I2841" si="296">C2842-C2837-C2838-C2839-C2840</f>
        <v>0</v>
      </c>
      <c r="D2841" s="632">
        <f t="shared" si="296"/>
        <v>-16.728282828283113</v>
      </c>
      <c r="E2841" s="632">
        <f t="shared" si="296"/>
        <v>-56.000000000000284</v>
      </c>
      <c r="F2841" s="632">
        <f t="shared" si="296"/>
        <v>-136</v>
      </c>
      <c r="G2841" s="632">
        <f t="shared" si="296"/>
        <v>-154.49999999999943</v>
      </c>
      <c r="H2841" s="632">
        <f t="shared" si="296"/>
        <v>-154.49999999999932</v>
      </c>
      <c r="I2841" s="632">
        <f t="shared" si="296"/>
        <v>-154.49999999999875</v>
      </c>
    </row>
    <row r="2842" spans="2:9" ht="15.75">
      <c r="B2842" s="58" t="s">
        <v>90</v>
      </c>
      <c r="C2842" s="630">
        <f>Master!K52</f>
        <v>3867.1</v>
      </c>
      <c r="D2842" s="630">
        <f>Master!L52</f>
        <v>3765</v>
      </c>
      <c r="E2842" s="630">
        <f>Master!M52</f>
        <v>4791.295532194481</v>
      </c>
      <c r="F2842" s="630">
        <f>Master!N52</f>
        <v>4815</v>
      </c>
      <c r="G2842" s="630">
        <f>Master!O52</f>
        <v>4511.1000000000004</v>
      </c>
      <c r="H2842" s="630">
        <f>Master!P52</f>
        <v>4469.0806310346197</v>
      </c>
      <c r="I2842" s="630">
        <f>Master!Q52</f>
        <v>4594.6345802354044</v>
      </c>
    </row>
    <row r="2843" spans="2:9" ht="15.75">
      <c r="B2843" s="53"/>
      <c r="C2843" s="630"/>
      <c r="D2843" s="630"/>
      <c r="E2843" s="630"/>
      <c r="F2843" s="630"/>
      <c r="G2843" s="630"/>
      <c r="H2843" s="630"/>
      <c r="I2843" s="630"/>
    </row>
    <row r="2844" spans="2:9" ht="15.75">
      <c r="B2844" s="58" t="s">
        <v>8</v>
      </c>
      <c r="C2844" s="630"/>
      <c r="D2844" s="630"/>
      <c r="E2844" s="630"/>
      <c r="F2844" s="630"/>
      <c r="G2844" s="630"/>
      <c r="H2844" s="630"/>
      <c r="I2844" s="630"/>
    </row>
    <row r="2845" spans="2:9" ht="15.75">
      <c r="B2845" s="53" t="str">
        <f t="shared" ref="B2845:B2850" si="297">B2837</f>
        <v>CWC</v>
      </c>
      <c r="C2845" s="630">
        <f>SUM(Master!K63:K69)</f>
        <v>924.69999999999993</v>
      </c>
      <c r="D2845" s="630">
        <f>SUM(Master!L63:L69)</f>
        <v>886.00000000000023</v>
      </c>
      <c r="E2845" s="630">
        <f>SUM(Master!M63:M69)</f>
        <v>947.30000000000007</v>
      </c>
      <c r="F2845" s="630">
        <f>SUM(Master!N63:N69)</f>
        <v>1002.2992214999999</v>
      </c>
      <c r="G2845" s="630">
        <f>SUM(Master!O63:O69)</f>
        <v>1086.2</v>
      </c>
      <c r="H2845" s="630">
        <f>SUM(Master!P63:P69)</f>
        <v>1121.9841984141069</v>
      </c>
      <c r="I2845" s="630">
        <f>SUM(Master!Q63:Q69)</f>
        <v>1184.2504847729369</v>
      </c>
    </row>
    <row r="2846" spans="2:9" ht="15.75">
      <c r="B2846" s="53" t="str">
        <f t="shared" si="297"/>
        <v>Puerto Rico (AT&amp;T from Q4 20)</v>
      </c>
      <c r="C2846" s="630">
        <f>Master!K71</f>
        <v>203.20000000000002</v>
      </c>
      <c r="D2846" s="630">
        <f>Master!L71</f>
        <v>276.89999999999998</v>
      </c>
      <c r="E2846" s="630">
        <f>Master!M71</f>
        <v>585.90000000000009</v>
      </c>
      <c r="F2846" s="630">
        <f>Master!N71</f>
        <v>544.79999999999995</v>
      </c>
      <c r="G2846" s="630">
        <f>Master!O71</f>
        <v>485.5</v>
      </c>
      <c r="H2846" s="630">
        <f>Master!P71</f>
        <v>323.91267200000004</v>
      </c>
      <c r="I2846" s="630">
        <f>Master!Q71</f>
        <v>481.47579900720001</v>
      </c>
    </row>
    <row r="2847" spans="2:9" ht="15.75">
      <c r="B2847" s="53" t="str">
        <f t="shared" si="297"/>
        <v>Chile</v>
      </c>
      <c r="C2847" s="630">
        <f>Master!K70</f>
        <v>386.6</v>
      </c>
      <c r="D2847" s="630">
        <f>Master!L70</f>
        <v>306.43939393939394</v>
      </c>
      <c r="E2847" s="630">
        <f>Master!M70</f>
        <v>257.9935611038108</v>
      </c>
      <c r="F2847" s="630">
        <f>Master!N70</f>
        <v>115.6</v>
      </c>
      <c r="G2847" s="630">
        <f>Master!O70</f>
        <v>0</v>
      </c>
      <c r="H2847" s="630">
        <f>Master!P70</f>
        <v>0</v>
      </c>
      <c r="I2847" s="630">
        <f>Master!Q70</f>
        <v>0</v>
      </c>
    </row>
    <row r="2848" spans="2:9" ht="15.75">
      <c r="B2848" s="53" t="str">
        <f t="shared" si="297"/>
        <v>Costa Rica</v>
      </c>
      <c r="C2848" s="630">
        <f>Master!K72</f>
        <v>47</v>
      </c>
      <c r="D2848" s="630">
        <f>Master!L72</f>
        <v>56</v>
      </c>
      <c r="E2848" s="630">
        <f>Master!M72</f>
        <v>80.2</v>
      </c>
      <c r="F2848" s="630">
        <f>Master!N72</f>
        <v>134.69999999999999</v>
      </c>
      <c r="G2848" s="630">
        <f>Master!O72</f>
        <v>203.1</v>
      </c>
      <c r="H2848" s="630">
        <f>Master!P72</f>
        <v>217.20216313251501</v>
      </c>
      <c r="I2848" s="630">
        <f>Master!Q72</f>
        <v>221.10334865412818</v>
      </c>
    </row>
    <row r="2849" spans="2:9" ht="15.75">
      <c r="B2849" s="50" t="str">
        <f t="shared" si="297"/>
        <v>Other</v>
      </c>
      <c r="C2849" s="632">
        <f>Master!K73</f>
        <v>-55</v>
      </c>
      <c r="D2849" s="632">
        <f>Master!L73</f>
        <v>-40.339393939394085</v>
      </c>
      <c r="E2849" s="632">
        <f>Master!M73</f>
        <v>-52.9</v>
      </c>
      <c r="F2849" s="632">
        <f>Master!N73</f>
        <v>-79.39922149999984</v>
      </c>
      <c r="G2849" s="632">
        <f>Master!O73</f>
        <v>-73.200000000000045</v>
      </c>
      <c r="H2849" s="632">
        <f>Master!P73</f>
        <v>-84</v>
      </c>
      <c r="I2849" s="632">
        <f>Master!Q73</f>
        <v>-84</v>
      </c>
    </row>
    <row r="2850" spans="2:9" ht="15.75">
      <c r="B2850" s="58" t="str">
        <f t="shared" si="297"/>
        <v>Group</v>
      </c>
      <c r="C2850" s="630">
        <f>Master!K74</f>
        <v>1506.5</v>
      </c>
      <c r="D2850" s="630">
        <f>Master!L74</f>
        <v>1485</v>
      </c>
      <c r="E2850" s="630">
        <f>Master!M74</f>
        <v>1818.4935611038109</v>
      </c>
      <c r="F2850" s="630">
        <f>Master!N74</f>
        <v>1718</v>
      </c>
      <c r="G2850" s="630">
        <f>Master!O74</f>
        <v>1701.6</v>
      </c>
      <c r="H2850" s="630">
        <f>Master!P74</f>
        <v>1579.0990335466222</v>
      </c>
      <c r="I2850" s="630">
        <f>Master!Q74</f>
        <v>1802.8296324342652</v>
      </c>
    </row>
    <row r="2851" spans="2:9" ht="15.75">
      <c r="B2851" s="53"/>
      <c r="C2851" s="630"/>
      <c r="D2851" s="630"/>
      <c r="E2851" s="630"/>
      <c r="F2851" s="630"/>
      <c r="G2851" s="630"/>
      <c r="H2851" s="630"/>
      <c r="I2851" s="630"/>
    </row>
    <row r="2852" spans="2:9" ht="15.75">
      <c r="B2852" s="58" t="s">
        <v>19</v>
      </c>
      <c r="C2852" s="630"/>
      <c r="D2852" s="630"/>
      <c r="E2852" s="630"/>
      <c r="F2852" s="630"/>
      <c r="G2852" s="630"/>
      <c r="H2852" s="630"/>
      <c r="I2852" s="630"/>
    </row>
    <row r="2853" spans="2:9" ht="15.75">
      <c r="B2853" s="53" t="str">
        <f t="shared" ref="B2853:B2858" si="298">B2845</f>
        <v>CWC</v>
      </c>
      <c r="C2853" s="630">
        <f>SUM(Master!K110:K116)</f>
        <v>396</v>
      </c>
      <c r="D2853" s="630">
        <f>SUM(Master!L110:L116)</f>
        <v>317.20000000000005</v>
      </c>
      <c r="E2853" s="630">
        <f>SUM(Master!M110:M116)</f>
        <v>357.09999999999997</v>
      </c>
      <c r="F2853" s="630">
        <f>SUM(Master!N110:N116)</f>
        <v>359.69065800000004</v>
      </c>
      <c r="G2853" s="630">
        <f>SUM(Master!O110:O116)</f>
        <v>399.6</v>
      </c>
      <c r="H2853" s="630">
        <f>SUM(Master!P110:P116)</f>
        <v>400.34709410878224</v>
      </c>
      <c r="I2853" s="630">
        <f>SUM(Master!Q110:Q116)</f>
        <v>400.42058782805361</v>
      </c>
    </row>
    <row r="2854" spans="2:9" ht="15.75">
      <c r="B2854" s="53" t="str">
        <f t="shared" si="298"/>
        <v>Puerto Rico (AT&amp;T from Q4 20)</v>
      </c>
      <c r="C2854" s="630">
        <f>Master!K118</f>
        <v>88</v>
      </c>
      <c r="D2854" s="630">
        <f>Master!L118</f>
        <v>95.935000000000002</v>
      </c>
      <c r="E2854" s="630">
        <f>Master!M118</f>
        <v>219.2</v>
      </c>
      <c r="F2854" s="630">
        <f>Master!N118</f>
        <v>233.5</v>
      </c>
      <c r="G2854" s="630">
        <f>Master!O118</f>
        <v>219</v>
      </c>
      <c r="H2854" s="630">
        <f>Master!P118</f>
        <v>204.60844800000004</v>
      </c>
      <c r="I2854" s="630">
        <f>Master!Q118</f>
        <v>212.37460593920002</v>
      </c>
    </row>
    <row r="2855" spans="2:9" ht="15.75">
      <c r="B2855" s="53" t="str">
        <f t="shared" si="298"/>
        <v>Chile</v>
      </c>
      <c r="C2855" s="630">
        <f>Master!K117</f>
        <v>194.625</v>
      </c>
      <c r="D2855" s="630">
        <f>Master!L117</f>
        <v>171.84343434343435</v>
      </c>
      <c r="E2855" s="630">
        <f>Master!M117</f>
        <v>199.1</v>
      </c>
      <c r="F2855" s="630">
        <f>Master!N117</f>
        <v>115.6</v>
      </c>
      <c r="G2855" s="630">
        <f>Master!O117</f>
        <v>0</v>
      </c>
      <c r="H2855" s="630">
        <f>Master!P117</f>
        <v>0</v>
      </c>
      <c r="I2855" s="630">
        <f>Master!Q117</f>
        <v>0</v>
      </c>
    </row>
    <row r="2856" spans="2:9" ht="15.75">
      <c r="B2856" s="53" t="str">
        <f t="shared" si="298"/>
        <v>Costa Rica</v>
      </c>
      <c r="C2856" s="630">
        <f>Master!K119</f>
        <v>33.174999999999997</v>
      </c>
      <c r="D2856" s="630">
        <f>Master!L119</f>
        <v>24.556565656565652</v>
      </c>
      <c r="E2856" s="630">
        <f>Master!M119</f>
        <v>45</v>
      </c>
      <c r="F2856" s="630">
        <f>Master!N119</f>
        <v>65.7</v>
      </c>
      <c r="G2856" s="630">
        <f>Master!O119</f>
        <v>75.2</v>
      </c>
      <c r="H2856" s="630">
        <f>Master!P119</f>
        <v>84.790169140145139</v>
      </c>
      <c r="I2856" s="630">
        <f>Master!Q119</f>
        <v>83.66072651777823</v>
      </c>
    </row>
    <row r="2857" spans="2:9" ht="15.75">
      <c r="B2857" s="50" t="str">
        <f t="shared" si="298"/>
        <v>Other</v>
      </c>
      <c r="C2857" s="632">
        <f t="shared" ref="C2857:I2857" si="299">C2858-SUM(C2853:C2856)</f>
        <v>15.299999999999955</v>
      </c>
      <c r="D2857" s="632">
        <f t="shared" si="299"/>
        <v>21.464999999999918</v>
      </c>
      <c r="E2857" s="632">
        <f t="shared" si="299"/>
        <v>35.499999999999886</v>
      </c>
      <c r="F2857" s="632">
        <f t="shared" si="299"/>
        <v>41.809341999999901</v>
      </c>
      <c r="G2857" s="632">
        <f t="shared" si="299"/>
        <v>37.099999999999909</v>
      </c>
      <c r="H2857" s="632">
        <f t="shared" si="299"/>
        <v>25</v>
      </c>
      <c r="I2857" s="632">
        <f t="shared" si="299"/>
        <v>25</v>
      </c>
    </row>
    <row r="2858" spans="2:9" ht="15.75">
      <c r="B2858" s="58" t="str">
        <f t="shared" si="298"/>
        <v>Group</v>
      </c>
      <c r="C2858" s="630">
        <f>Master!K121</f>
        <v>727.09999999999991</v>
      </c>
      <c r="D2858" s="630">
        <f>Master!L121</f>
        <v>631</v>
      </c>
      <c r="E2858" s="630">
        <f>Master!M121</f>
        <v>855.89999999999986</v>
      </c>
      <c r="F2858" s="630">
        <f>Master!N121</f>
        <v>816.3</v>
      </c>
      <c r="G2858" s="630">
        <f>Master!O121</f>
        <v>730.9</v>
      </c>
      <c r="H2858" s="630">
        <f>Master!P121</f>
        <v>714.74571124892748</v>
      </c>
      <c r="I2858" s="630">
        <f>Master!Q121</f>
        <v>721.45592028503188</v>
      </c>
    </row>
    <row r="2859" spans="2:9" ht="15.75">
      <c r="B2859" s="53"/>
      <c r="C2859" s="630"/>
      <c r="D2859" s="630"/>
      <c r="E2859" s="630"/>
      <c r="F2859" s="630"/>
      <c r="G2859" s="630"/>
      <c r="H2859" s="630"/>
      <c r="I2859" s="630"/>
    </row>
    <row r="2860" spans="2:9" ht="15.75">
      <c r="B2860" s="58" t="s">
        <v>27</v>
      </c>
      <c r="C2860" s="630"/>
      <c r="D2860" s="630"/>
      <c r="E2860" s="630"/>
      <c r="F2860" s="630"/>
      <c r="G2860" s="630"/>
      <c r="H2860" s="630"/>
      <c r="I2860" s="630"/>
    </row>
    <row r="2861" spans="2:9" ht="15.75">
      <c r="B2861" s="53" t="str">
        <f t="shared" ref="B2861:B2866" si="300">B2853</f>
        <v>CWC</v>
      </c>
      <c r="C2861" s="630">
        <f t="shared" ref="C2861:I2866" si="301">C2845-C2853</f>
        <v>528.69999999999993</v>
      </c>
      <c r="D2861" s="630">
        <f t="shared" si="301"/>
        <v>568.80000000000018</v>
      </c>
      <c r="E2861" s="630">
        <f t="shared" si="301"/>
        <v>590.20000000000005</v>
      </c>
      <c r="F2861" s="630">
        <f t="shared" si="301"/>
        <v>642.60856349999995</v>
      </c>
      <c r="G2861" s="630">
        <f t="shared" si="301"/>
        <v>686.6</v>
      </c>
      <c r="H2861" s="630">
        <f t="shared" si="301"/>
        <v>721.63710430532467</v>
      </c>
      <c r="I2861" s="630">
        <f t="shared" si="301"/>
        <v>783.82989694488333</v>
      </c>
    </row>
    <row r="2862" spans="2:9" ht="15.75">
      <c r="B2862" s="53" t="str">
        <f t="shared" si="300"/>
        <v>Puerto Rico (AT&amp;T from Q4 20)</v>
      </c>
      <c r="C2862" s="630">
        <f t="shared" si="301"/>
        <v>115.20000000000002</v>
      </c>
      <c r="D2862" s="630">
        <f t="shared" si="301"/>
        <v>180.96499999999997</v>
      </c>
      <c r="E2862" s="630">
        <f t="shared" si="301"/>
        <v>366.7000000000001</v>
      </c>
      <c r="F2862" s="630">
        <f t="shared" si="301"/>
        <v>311.29999999999995</v>
      </c>
      <c r="G2862" s="630">
        <f t="shared" si="301"/>
        <v>266.5</v>
      </c>
      <c r="H2862" s="630">
        <f t="shared" si="301"/>
        <v>119.304224</v>
      </c>
      <c r="I2862" s="630">
        <f t="shared" si="301"/>
        <v>269.10119306799999</v>
      </c>
    </row>
    <row r="2863" spans="2:9" ht="15.75">
      <c r="B2863" s="53" t="str">
        <f t="shared" si="300"/>
        <v>Chile</v>
      </c>
      <c r="C2863" s="630">
        <f t="shared" si="301"/>
        <v>191.97500000000002</v>
      </c>
      <c r="D2863" s="630">
        <f t="shared" si="301"/>
        <v>134.59595959595958</v>
      </c>
      <c r="E2863" s="630">
        <f t="shared" si="301"/>
        <v>58.893561103810811</v>
      </c>
      <c r="F2863" s="630">
        <f t="shared" si="301"/>
        <v>0</v>
      </c>
      <c r="G2863" s="630">
        <f t="shared" si="301"/>
        <v>0</v>
      </c>
      <c r="H2863" s="630">
        <f t="shared" si="301"/>
        <v>0</v>
      </c>
      <c r="I2863" s="630">
        <f t="shared" si="301"/>
        <v>0</v>
      </c>
    </row>
    <row r="2864" spans="2:9" ht="15.75">
      <c r="B2864" s="53" t="str">
        <f t="shared" si="300"/>
        <v>Costa Rica</v>
      </c>
      <c r="C2864" s="630">
        <f t="shared" si="301"/>
        <v>13.825000000000003</v>
      </c>
      <c r="D2864" s="630">
        <f t="shared" si="301"/>
        <v>31.443434343434348</v>
      </c>
      <c r="E2864" s="630">
        <f t="shared" si="301"/>
        <v>35.200000000000003</v>
      </c>
      <c r="F2864" s="630">
        <f t="shared" si="301"/>
        <v>68.999999999999986</v>
      </c>
      <c r="G2864" s="630">
        <f t="shared" si="301"/>
        <v>127.89999999999999</v>
      </c>
      <c r="H2864" s="630">
        <f t="shared" si="301"/>
        <v>132.41199399236987</v>
      </c>
      <c r="I2864" s="630">
        <f t="shared" si="301"/>
        <v>137.44262213634994</v>
      </c>
    </row>
    <row r="2865" spans="2:9" ht="15.75">
      <c r="B2865" s="50" t="str">
        <f t="shared" si="300"/>
        <v>Other</v>
      </c>
      <c r="C2865" s="632">
        <f t="shared" si="301"/>
        <v>-70.299999999999955</v>
      </c>
      <c r="D2865" s="632">
        <f t="shared" si="301"/>
        <v>-61.804393939394004</v>
      </c>
      <c r="E2865" s="632">
        <f t="shared" si="301"/>
        <v>-88.399999999999892</v>
      </c>
      <c r="F2865" s="632">
        <f t="shared" si="301"/>
        <v>-121.20856349999974</v>
      </c>
      <c r="G2865" s="632">
        <f t="shared" si="301"/>
        <v>-110.29999999999995</v>
      </c>
      <c r="H2865" s="632">
        <f t="shared" si="301"/>
        <v>-109</v>
      </c>
      <c r="I2865" s="632">
        <f t="shared" si="301"/>
        <v>-109</v>
      </c>
    </row>
    <row r="2866" spans="2:9" ht="15.75">
      <c r="B2866" s="58" t="str">
        <f t="shared" si="300"/>
        <v>Group</v>
      </c>
      <c r="C2866" s="630">
        <f t="shared" si="301"/>
        <v>779.40000000000009</v>
      </c>
      <c r="D2866" s="630">
        <f t="shared" si="301"/>
        <v>854</v>
      </c>
      <c r="E2866" s="630">
        <f t="shared" si="301"/>
        <v>962.593561103811</v>
      </c>
      <c r="F2866" s="630">
        <f t="shared" si="301"/>
        <v>901.7</v>
      </c>
      <c r="G2866" s="630">
        <f t="shared" si="301"/>
        <v>970.69999999999993</v>
      </c>
      <c r="H2866" s="630">
        <f t="shared" si="301"/>
        <v>864.35332229769472</v>
      </c>
      <c r="I2866" s="630">
        <f t="shared" si="301"/>
        <v>1081.3737121492334</v>
      </c>
    </row>
    <row r="2867" spans="2:9" ht="15.75">
      <c r="B2867" s="53"/>
      <c r="C2867" s="53"/>
      <c r="D2867" s="53"/>
      <c r="E2867" s="53"/>
      <c r="F2867" s="53"/>
      <c r="G2867" s="53"/>
      <c r="H2867" s="53"/>
      <c r="I2867" s="53"/>
    </row>
    <row r="2868" spans="2:9" ht="15.75">
      <c r="B2868" s="53" t="s">
        <v>4964</v>
      </c>
      <c r="C2868" s="630">
        <f>Valuation!J28</f>
        <v>142.40066666666672</v>
      </c>
      <c r="D2868" s="630">
        <f>Valuation!K28</f>
        <v>196.00200000000001</v>
      </c>
      <c r="E2868" s="630">
        <f>Valuation!L28</f>
        <v>243.97968593955338</v>
      </c>
      <c r="F2868" s="630">
        <f>Valuation!M28</f>
        <v>229.24999999999997</v>
      </c>
      <c r="G2868" s="630">
        <f>Valuation!N28</f>
        <v>193.96999999999989</v>
      </c>
      <c r="H2868" s="630">
        <f ca="1">Valuation!O28</f>
        <v>136.49958891740317</v>
      </c>
      <c r="I2868" s="630">
        <f ca="1">Valuation!P28</f>
        <v>249.28592382841885</v>
      </c>
    </row>
    <row r="2869" spans="2:9" ht="15.75">
      <c r="B2869" s="53"/>
      <c r="C2869" s="630"/>
      <c r="D2869" s="630"/>
      <c r="E2869" s="630"/>
      <c r="F2869" s="630"/>
      <c r="G2869" s="630"/>
      <c r="H2869" s="630"/>
    </row>
    <row r="2870" spans="2:9" ht="15.75">
      <c r="B2870" s="1061" t="s">
        <v>5283</v>
      </c>
      <c r="C2870" s="53"/>
      <c r="D2870" s="53"/>
      <c r="E2870" s="53"/>
      <c r="F2870" s="53"/>
      <c r="G2870" s="53"/>
      <c r="H2870" s="53"/>
      <c r="I2870" s="53"/>
    </row>
    <row r="2871" spans="2:9" ht="15.75">
      <c r="B2871" s="1061"/>
      <c r="C2871" s="53"/>
      <c r="D2871" s="53"/>
      <c r="E2871" s="53"/>
      <c r="F2871" s="53"/>
      <c r="G2871" s="53"/>
      <c r="H2871" s="53"/>
      <c r="I2871" s="53"/>
    </row>
    <row r="2872" spans="2:9" ht="15.75">
      <c r="B2872" s="1061" t="s">
        <v>1422</v>
      </c>
      <c r="C2872" s="53"/>
      <c r="D2872" s="53"/>
      <c r="E2872" s="53"/>
      <c r="F2872" s="53"/>
      <c r="G2872" s="53"/>
      <c r="H2872" s="53"/>
      <c r="I2872" s="53"/>
    </row>
    <row r="2873" spans="2:9" ht="15.75">
      <c r="B2873" s="50" t="s">
        <v>3871</v>
      </c>
      <c r="C2873" s="50">
        <v>2020</v>
      </c>
      <c r="D2873" s="50">
        <f>E2835</f>
        <v>2021</v>
      </c>
      <c r="E2873" s="50">
        <f>F2835</f>
        <v>2022</v>
      </c>
      <c r="F2873" s="50">
        <f>G2835</f>
        <v>2023</v>
      </c>
      <c r="G2873" s="50">
        <f>H2835</f>
        <v>2024</v>
      </c>
      <c r="H2873" s="50">
        <f>I2835</f>
        <v>2025</v>
      </c>
      <c r="I2873" s="53"/>
    </row>
    <row r="2874" spans="2:9" ht="15.75">
      <c r="B2874" s="53" t="s">
        <v>15</v>
      </c>
      <c r="C2874" s="630">
        <f>Master!L3</f>
        <v>3765</v>
      </c>
      <c r="D2874" s="630">
        <f>Master!M3</f>
        <v>4791.295532194481</v>
      </c>
      <c r="E2874" s="630">
        <f>Master!N3</f>
        <v>4815</v>
      </c>
      <c r="F2874" s="630">
        <f>Master!O3</f>
        <v>4511.1000000000004</v>
      </c>
      <c r="G2874" s="630">
        <f>Master!P3</f>
        <v>4469.0806310346197</v>
      </c>
      <c r="H2874" s="630">
        <f>Master!Q3</f>
        <v>4594.6345802354044</v>
      </c>
      <c r="I2874" s="53"/>
    </row>
    <row r="2875" spans="2:9" ht="15.75">
      <c r="B2875" s="53" t="s">
        <v>5288</v>
      </c>
      <c r="C2875" s="630">
        <f>Master!L6</f>
        <v>1485</v>
      </c>
      <c r="D2875" s="630">
        <f>Master!M6</f>
        <v>1818.4935611038109</v>
      </c>
      <c r="E2875" s="630">
        <f>Master!N6</f>
        <v>1718</v>
      </c>
      <c r="F2875" s="630">
        <f>Master!O6</f>
        <v>1701.6</v>
      </c>
      <c r="G2875" s="630">
        <f>Master!P6</f>
        <v>1579.0990335466222</v>
      </c>
      <c r="H2875" s="630">
        <f>Master!Q6</f>
        <v>1802.8296324342652</v>
      </c>
      <c r="I2875" s="53"/>
    </row>
    <row r="2876" spans="2:9" ht="15.75">
      <c r="B2876" s="53" t="s">
        <v>19</v>
      </c>
      <c r="C2876" s="630">
        <f>Master!L121</f>
        <v>631</v>
      </c>
      <c r="D2876" s="630">
        <f>Master!M121</f>
        <v>855.89999999999986</v>
      </c>
      <c r="E2876" s="630">
        <f>Master!N121</f>
        <v>816.3</v>
      </c>
      <c r="F2876" s="630">
        <f>Master!O121</f>
        <v>730.9</v>
      </c>
      <c r="G2876" s="630">
        <f>Master!P121</f>
        <v>714.74571124892748</v>
      </c>
      <c r="H2876" s="630">
        <f>Master!Q121</f>
        <v>721.45592028503188</v>
      </c>
      <c r="I2876" s="53"/>
    </row>
    <row r="2877" spans="2:9" ht="15.75">
      <c r="B2877" s="53" t="s">
        <v>27</v>
      </c>
      <c r="C2877" s="630">
        <f t="shared" ref="C2877:H2877" si="302">C2875-C2876</f>
        <v>854</v>
      </c>
      <c r="D2877" s="630">
        <f t="shared" si="302"/>
        <v>962.593561103811</v>
      </c>
      <c r="E2877" s="630">
        <f t="shared" si="302"/>
        <v>901.7</v>
      </c>
      <c r="F2877" s="630">
        <f t="shared" si="302"/>
        <v>970.69999999999993</v>
      </c>
      <c r="G2877" s="630">
        <f t="shared" si="302"/>
        <v>864.35332229769472</v>
      </c>
      <c r="H2877" s="630">
        <f t="shared" si="302"/>
        <v>1081.3737121492334</v>
      </c>
      <c r="I2877" s="53"/>
    </row>
    <row r="2878" spans="2:9" ht="15.75">
      <c r="B2878" s="53" t="s">
        <v>3055</v>
      </c>
      <c r="C2878" s="630">
        <f>Valuation!W32</f>
        <v>0</v>
      </c>
      <c r="D2878" s="630">
        <f>Valuation!L32</f>
        <v>199.80000000000007</v>
      </c>
      <c r="E2878" s="630">
        <f>Valuation!M32</f>
        <v>187.70000000000016</v>
      </c>
      <c r="F2878" s="630">
        <f>Valuation!N32</f>
        <v>197</v>
      </c>
      <c r="G2878" s="630">
        <f ca="1">Valuation!O32</f>
        <v>16.464687652834982</v>
      </c>
      <c r="H2878" s="630">
        <f ca="1">Valuation!P32</f>
        <v>379.06196940320535</v>
      </c>
      <c r="I2878" s="53"/>
    </row>
    <row r="2879" spans="2:9" ht="15.75">
      <c r="B2879" s="53" t="s">
        <v>2913</v>
      </c>
      <c r="C2879" s="630">
        <f>Valuation!K28</f>
        <v>196.00200000000001</v>
      </c>
      <c r="D2879" s="630">
        <f>Valuation!L28</f>
        <v>243.97968593955338</v>
      </c>
      <c r="E2879" s="630">
        <f>Valuation!M28</f>
        <v>229.24999999999997</v>
      </c>
      <c r="F2879" s="630">
        <f>Valuation!N28</f>
        <v>193.96999999999989</v>
      </c>
      <c r="G2879" s="630">
        <f ca="1">Valuation!O28</f>
        <v>136.49958891740317</v>
      </c>
      <c r="H2879" s="630">
        <f ca="1">Valuation!P28</f>
        <v>249.28592382841885</v>
      </c>
      <c r="I2879" s="53"/>
    </row>
    <row r="2880" spans="2:9" ht="15.75">
      <c r="B2880" s="53"/>
      <c r="C2880" s="53"/>
      <c r="D2880" s="53"/>
      <c r="E2880" s="53"/>
      <c r="F2880" s="53"/>
      <c r="G2880" s="53"/>
      <c r="H2880" s="53"/>
      <c r="I2880" s="53"/>
    </row>
    <row r="2881" spans="2:9" ht="15.75" hidden="1" outlineLevel="1">
      <c r="B2881" s="58" t="s">
        <v>1423</v>
      </c>
      <c r="C2881" s="53"/>
      <c r="D2881" s="53"/>
      <c r="E2881" s="53"/>
      <c r="F2881" s="53"/>
      <c r="G2881" s="53"/>
      <c r="H2881" s="53"/>
      <c r="I2881" s="53"/>
    </row>
    <row r="2882" spans="2:9" ht="15.75" hidden="1" outlineLevel="1">
      <c r="B2882" s="53" t="str">
        <f t="shared" ref="B2882:B2887" si="303">B2874</f>
        <v>Revenue</v>
      </c>
      <c r="C2882" s="630">
        <v>3799.6961360857472</v>
      </c>
      <c r="D2882" s="630">
        <v>4921.3789024034404</v>
      </c>
      <c r="E2882" s="630">
        <v>5272.114730356473</v>
      </c>
      <c r="F2882" s="630">
        <v>5414.0390012431508</v>
      </c>
      <c r="G2882" s="630">
        <v>5548.2027704060101</v>
      </c>
      <c r="H2882" s="630">
        <v>5683.7852476318703</v>
      </c>
      <c r="I2882" s="53"/>
    </row>
    <row r="2883" spans="2:9" ht="15.75" hidden="1" outlineLevel="1">
      <c r="B2883" s="53" t="str">
        <f t="shared" si="303"/>
        <v>EBITDA (ex restr)</v>
      </c>
      <c r="C2883" s="630">
        <v>1464.142908759085</v>
      </c>
      <c r="D2883" s="630">
        <v>1821.8932116842639</v>
      </c>
      <c r="E2883" s="630">
        <v>1940.1108580823388</v>
      </c>
      <c r="F2883" s="630">
        <v>1996.7358119375658</v>
      </c>
      <c r="G2883" s="630">
        <v>2047.1244296706418</v>
      </c>
      <c r="H2883" s="630">
        <v>2097.8412103995533</v>
      </c>
      <c r="I2883" s="53"/>
    </row>
    <row r="2884" spans="2:9" ht="15.75" hidden="1" outlineLevel="1">
      <c r="B2884" s="53" t="str">
        <f t="shared" si="303"/>
        <v>Capex</v>
      </c>
      <c r="C2884" s="630">
        <v>682.92253626315812</v>
      </c>
      <c r="D2884" s="630">
        <v>882.19998040107566</v>
      </c>
      <c r="E2884" s="630">
        <v>919.38501574529789</v>
      </c>
      <c r="F2884" s="630">
        <v>945.22589387915696</v>
      </c>
      <c r="G2884" s="630">
        <v>969.60855099802689</v>
      </c>
      <c r="H2884" s="630">
        <v>991.14724128762634</v>
      </c>
      <c r="I2884" s="53"/>
    </row>
    <row r="2885" spans="2:9" ht="15.75" hidden="1" outlineLevel="1">
      <c r="B2885" s="53" t="str">
        <f t="shared" si="303"/>
        <v>OpFCF</v>
      </c>
      <c r="C2885" s="630">
        <v>781.22037249592688</v>
      </c>
      <c r="D2885" s="630">
        <v>939.6932312831882</v>
      </c>
      <c r="E2885" s="630">
        <v>1020.7258423370409</v>
      </c>
      <c r="F2885" s="630">
        <v>1051.5099180584089</v>
      </c>
      <c r="G2885" s="630">
        <v>1077.5158786726149</v>
      </c>
      <c r="H2885" s="630">
        <v>1106.6939691119269</v>
      </c>
      <c r="I2885" s="53"/>
    </row>
    <row r="2886" spans="2:9" ht="15.75" hidden="1" outlineLevel="1">
      <c r="B2886" s="53" t="str">
        <f t="shared" si="303"/>
        <v>LBTY FCF</v>
      </c>
      <c r="C2886" s="630">
        <v>136.00963602203748</v>
      </c>
      <c r="D2886" s="630">
        <v>192.77740921593477</v>
      </c>
      <c r="E2886" s="630">
        <v>228.64728833489778</v>
      </c>
      <c r="F2886" s="630">
        <v>323.19805155067024</v>
      </c>
      <c r="G2886" s="630">
        <v>352.0089536411607</v>
      </c>
      <c r="H2886" s="630">
        <v>389.94617357071388</v>
      </c>
      <c r="I2886" s="53"/>
    </row>
    <row r="2887" spans="2:9" ht="15.75" hidden="1" outlineLevel="1">
      <c r="B2887" s="53" t="str">
        <f t="shared" si="303"/>
        <v>NSR EFCF</v>
      </c>
      <c r="C2887" s="630">
        <v>13.811582907450543</v>
      </c>
      <c r="D2887" s="630">
        <v>161.75214497272646</v>
      </c>
      <c r="E2887" s="630">
        <v>232.78768014939351</v>
      </c>
      <c r="F2887" s="630">
        <v>253.72665124397474</v>
      </c>
      <c r="G2887" s="630">
        <v>262.18464209110414</v>
      </c>
      <c r="H2887" s="630">
        <v>299.3990573076241</v>
      </c>
      <c r="I2887" s="53"/>
    </row>
    <row r="2888" spans="2:9" ht="15.75" hidden="1" outlineLevel="1">
      <c r="B2888" s="53"/>
      <c r="C2888" s="53"/>
      <c r="D2888" s="53"/>
      <c r="E2888" s="53"/>
      <c r="F2888" s="53"/>
      <c r="G2888" s="53"/>
      <c r="H2888" s="53"/>
      <c r="I2888" s="53"/>
    </row>
    <row r="2889" spans="2:9" ht="15.75" collapsed="1">
      <c r="B2889" s="58" t="s">
        <v>78</v>
      </c>
      <c r="C2889" s="53"/>
      <c r="D2889" s="53"/>
      <c r="E2889" s="53"/>
      <c r="F2889" s="53"/>
      <c r="G2889" s="53"/>
      <c r="H2889" s="53"/>
      <c r="I2889" s="53"/>
    </row>
    <row r="2890" spans="2:9" ht="15.75" hidden="1" outlineLevel="1">
      <c r="B2890" s="53" t="str">
        <f t="shared" ref="B2890:B2895" si="304">B2882</f>
        <v>Revenue</v>
      </c>
      <c r="C2890" s="56">
        <f t="shared" ref="C2890:H2895" si="305">C2874/C2882-1</f>
        <v>-9.1312923042023986E-3</v>
      </c>
      <c r="D2890" s="56">
        <f t="shared" si="305"/>
        <v>-2.6432301350629794E-2</v>
      </c>
      <c r="E2890" s="56">
        <f t="shared" si="305"/>
        <v>-8.6704245589428797E-2</v>
      </c>
      <c r="F2890" s="56">
        <f t="shared" si="305"/>
        <v>-0.166777335929021</v>
      </c>
      <c r="G2890" s="56">
        <f t="shared" si="305"/>
        <v>-0.19449940530786003</v>
      </c>
      <c r="H2890" s="56">
        <f t="shared" si="305"/>
        <v>-0.19162417648524932</v>
      </c>
      <c r="I2890" s="53"/>
    </row>
    <row r="2891" spans="2:9" ht="15.75" collapsed="1">
      <c r="B2891" s="53" t="str">
        <f t="shared" si="304"/>
        <v>EBITDA (ex restr)</v>
      </c>
      <c r="C2891" s="56">
        <f t="shared" si="305"/>
        <v>1.4245256467889655E-2</v>
      </c>
      <c r="D2891" s="56">
        <f t="shared" si="305"/>
        <v>-1.8659988185093512E-3</v>
      </c>
      <c r="E2891" s="56">
        <f t="shared" si="305"/>
        <v>-0.11448359105720363</v>
      </c>
      <c r="F2891" s="56">
        <f t="shared" si="305"/>
        <v>-0.14780914439110293</v>
      </c>
      <c r="G2891" s="56">
        <f t="shared" si="305"/>
        <v>-0.22862576858570316</v>
      </c>
      <c r="H2891" s="56">
        <f t="shared" si="305"/>
        <v>-0.14062626689896152</v>
      </c>
      <c r="I2891" s="53"/>
    </row>
    <row r="2892" spans="2:9" ht="15.75">
      <c r="B2892" s="53" t="str">
        <f t="shared" si="304"/>
        <v>Capex</v>
      </c>
      <c r="C2892" s="56">
        <f t="shared" si="305"/>
        <v>-7.6029906037762163E-2</v>
      </c>
      <c r="D2892" s="56">
        <f t="shared" si="305"/>
        <v>-2.9811812497568924E-2</v>
      </c>
      <c r="E2892" s="56">
        <f t="shared" si="305"/>
        <v>-0.11212388061570944</v>
      </c>
      <c r="F2892" s="56">
        <f t="shared" si="305"/>
        <v>-0.22674568615505741</v>
      </c>
      <c r="G2892" s="56">
        <f t="shared" si="305"/>
        <v>-0.26285127073886339</v>
      </c>
      <c r="H2892" s="56">
        <f t="shared" si="305"/>
        <v>-0.27210015804738674</v>
      </c>
      <c r="I2892" s="53"/>
    </row>
    <row r="2893" spans="2:9" ht="15.75">
      <c r="B2893" s="53" t="str">
        <f t="shared" si="304"/>
        <v>OpFCF</v>
      </c>
      <c r="C2893" s="56">
        <f t="shared" si="305"/>
        <v>9.3161456186234615E-2</v>
      </c>
      <c r="D2893" s="56">
        <f t="shared" si="305"/>
        <v>2.4370006144826206E-2</v>
      </c>
      <c r="E2893" s="56">
        <f t="shared" si="305"/>
        <v>-0.11660902212931223</v>
      </c>
      <c r="F2893" s="56">
        <f t="shared" si="305"/>
        <v>-7.6851313212168981E-2</v>
      </c>
      <c r="G2893" s="56">
        <f t="shared" si="305"/>
        <v>-0.19782776346415776</v>
      </c>
      <c r="H2893" s="56">
        <f t="shared" si="305"/>
        <v>-2.2879185817748615E-2</v>
      </c>
      <c r="I2893" s="53"/>
    </row>
    <row r="2894" spans="2:9" ht="15.75">
      <c r="B2894" s="53" t="str">
        <f t="shared" si="304"/>
        <v>LBTY FCF</v>
      </c>
      <c r="C2894" s="56">
        <f t="shared" si="305"/>
        <v>-1</v>
      </c>
      <c r="D2894" s="56">
        <f t="shared" si="305"/>
        <v>3.6428494462227734E-2</v>
      </c>
      <c r="E2894" s="56">
        <f t="shared" si="305"/>
        <v>-0.1790849505939579</v>
      </c>
      <c r="F2894" s="56">
        <f t="shared" si="305"/>
        <v>-0.39046662238582586</v>
      </c>
      <c r="G2894" s="56">
        <f t="shared" ca="1" si="305"/>
        <v>-0.95322650892107941</v>
      </c>
      <c r="H2894" s="56">
        <f t="shared" ca="1" si="305"/>
        <v>-2.7912068139667845E-2</v>
      </c>
      <c r="I2894" s="53"/>
    </row>
    <row r="2895" spans="2:9" ht="15.75">
      <c r="B2895" s="53" t="str">
        <f t="shared" si="304"/>
        <v>NSR EFCF</v>
      </c>
      <c r="C2895" s="56">
        <f t="shared" si="305"/>
        <v>13.191132277406696</v>
      </c>
      <c r="D2895" s="56">
        <f t="shared" si="305"/>
        <v>0.5083551811983178</v>
      </c>
      <c r="E2895" s="56">
        <f t="shared" si="305"/>
        <v>-1.5197024804419201E-2</v>
      </c>
      <c r="F2895" s="56">
        <f t="shared" si="305"/>
        <v>-0.23551586304000416</v>
      </c>
      <c r="G2895" s="56">
        <f t="shared" ca="1" si="305"/>
        <v>-0.47937610750681503</v>
      </c>
      <c r="H2895" s="56">
        <f t="shared" ca="1" si="305"/>
        <v>-0.16737906234526123</v>
      </c>
      <c r="I2895" s="53"/>
    </row>
    <row r="2896" spans="2:9" ht="15.75">
      <c r="B2896" s="53"/>
      <c r="C2896" s="53"/>
      <c r="D2896" s="53"/>
      <c r="E2896" s="53"/>
      <c r="F2896" s="53"/>
      <c r="G2896" s="53"/>
      <c r="H2896" s="53"/>
      <c r="I2896" s="53"/>
    </row>
    <row r="2897" spans="2:9">
      <c r="B2897" s="513"/>
    </row>
    <row r="2900" spans="2:9" ht="15.75">
      <c r="B2900" s="50" t="s">
        <v>900</v>
      </c>
      <c r="C2900" s="636">
        <v>2019</v>
      </c>
      <c r="D2900" s="636">
        <v>2020</v>
      </c>
      <c r="E2900" s="636">
        <f>D2900+1</f>
        <v>2021</v>
      </c>
      <c r="F2900" s="636">
        <f>E2900+1</f>
        <v>2022</v>
      </c>
      <c r="G2900" s="636">
        <f>F2900+1</f>
        <v>2023</v>
      </c>
      <c r="H2900" s="636">
        <f>G2900+1</f>
        <v>2024</v>
      </c>
      <c r="I2900" s="636">
        <f>H2900+1</f>
        <v>2025</v>
      </c>
    </row>
    <row r="2901" spans="2:9" ht="15.75">
      <c r="B2901" s="53" t="s">
        <v>5277</v>
      </c>
      <c r="C2901" s="630">
        <f>D2901</f>
        <v>6000</v>
      </c>
      <c r="D2901" s="630">
        <v>6000</v>
      </c>
      <c r="E2901" s="630">
        <f>D2901</f>
        <v>6000</v>
      </c>
      <c r="F2901" s="630">
        <f>E2901</f>
        <v>6000</v>
      </c>
      <c r="G2901" s="630">
        <f>F2901</f>
        <v>6000</v>
      </c>
      <c r="H2901" s="630">
        <f>G2901</f>
        <v>6000</v>
      </c>
      <c r="I2901" s="630">
        <f>H2901</f>
        <v>6000</v>
      </c>
    </row>
    <row r="2902" spans="2:9" ht="15.75">
      <c r="B2902" s="53" t="s">
        <v>2302</v>
      </c>
      <c r="C2902" s="630">
        <f>Chile!G8</f>
        <v>3264.3</v>
      </c>
      <c r="D2902" s="630">
        <f>Chile!H8</f>
        <v>3424.7</v>
      </c>
      <c r="E2902" s="630">
        <f>Chile!I8</f>
        <v>3809.3</v>
      </c>
      <c r="F2902" s="630">
        <f>Chile!J8</f>
        <v>4129.3</v>
      </c>
      <c r="G2902" s="630">
        <f>Chile!K8</f>
        <v>4324.3</v>
      </c>
      <c r="H2902" s="630">
        <f>Chile!L8</f>
        <v>4394.3</v>
      </c>
      <c r="I2902" s="630">
        <f>Chile!M8</f>
        <v>4424.3</v>
      </c>
    </row>
    <row r="2903" spans="2:9" ht="15.75">
      <c r="B2903" s="53" t="s">
        <v>5278</v>
      </c>
      <c r="C2903" s="54">
        <f t="shared" ref="C2903:I2903" si="306">C2902/C2901</f>
        <v>0.54405000000000003</v>
      </c>
      <c r="D2903" s="54">
        <f t="shared" si="306"/>
        <v>0.57078333333333331</v>
      </c>
      <c r="E2903" s="54">
        <f t="shared" si="306"/>
        <v>0.63488333333333336</v>
      </c>
      <c r="F2903" s="54">
        <f t="shared" si="306"/>
        <v>0.6882166666666667</v>
      </c>
      <c r="G2903" s="54">
        <f t="shared" si="306"/>
        <v>0.72071666666666667</v>
      </c>
      <c r="H2903" s="54">
        <f t="shared" si="306"/>
        <v>0.73238333333333339</v>
      </c>
      <c r="I2903" s="54">
        <f t="shared" si="306"/>
        <v>0.73738333333333339</v>
      </c>
    </row>
    <row r="2904" spans="2:9" ht="15.75">
      <c r="B2904" s="53"/>
      <c r="C2904" s="53"/>
      <c r="D2904" s="53"/>
      <c r="E2904" s="53"/>
      <c r="F2904" s="53"/>
      <c r="G2904" s="53"/>
      <c r="H2904" s="53"/>
      <c r="I2904" s="53"/>
    </row>
    <row r="2905" spans="2:9" ht="15.75">
      <c r="B2905" s="53" t="s">
        <v>1569</v>
      </c>
      <c r="C2905" s="630">
        <f>Chile!G10</f>
        <v>1511.7</v>
      </c>
      <c r="D2905" s="630">
        <f>Chile!H10</f>
        <v>1465.8</v>
      </c>
      <c r="E2905" s="630">
        <f>Chile!I10</f>
        <v>1388.8</v>
      </c>
      <c r="F2905" s="630">
        <f>Chile!J10</f>
        <v>1497.5243041308461</v>
      </c>
      <c r="G2905" s="630">
        <f>Chile!K10</f>
        <v>1565.3767315405062</v>
      </c>
      <c r="H2905" s="630">
        <f>Chile!L10</f>
        <v>1591.6072822289805</v>
      </c>
      <c r="I2905" s="630">
        <f>Chile!M10</f>
        <v>1604.4148323666755</v>
      </c>
    </row>
    <row r="2906" spans="2:9" ht="15.75">
      <c r="B2906" s="53" t="s">
        <v>5279</v>
      </c>
      <c r="C2906" s="56">
        <f t="shared" ref="C2906:I2906" si="307">C2905/C2902</f>
        <v>0.46310081793952762</v>
      </c>
      <c r="D2906" s="56">
        <f t="shared" si="307"/>
        <v>0.42800829269717056</v>
      </c>
      <c r="E2906" s="56">
        <f t="shared" si="307"/>
        <v>0.36458141915837555</v>
      </c>
      <c r="F2906" s="56">
        <f t="shared" si="307"/>
        <v>0.36265815129219142</v>
      </c>
      <c r="G2906" s="56">
        <f t="shared" si="307"/>
        <v>0.36199540539289737</v>
      </c>
      <c r="H2906" s="56">
        <f t="shared" si="307"/>
        <v>0.36219813900484271</v>
      </c>
      <c r="I2906" s="56">
        <f t="shared" si="307"/>
        <v>0.36263698943712575</v>
      </c>
    </row>
    <row r="2907" spans="2:9" ht="15.75">
      <c r="B2907" s="53"/>
      <c r="C2907" s="53"/>
      <c r="D2907" s="53"/>
      <c r="E2907" s="53"/>
      <c r="F2907" s="53"/>
      <c r="G2907" s="53"/>
      <c r="H2907" s="53"/>
      <c r="I2907" s="53"/>
    </row>
    <row r="2908" spans="2:9" ht="15.75">
      <c r="B2908" s="53" t="s">
        <v>5281</v>
      </c>
      <c r="C2908" s="621">
        <f>Chile!G55</f>
        <v>34.293000469767129</v>
      </c>
      <c r="D2908" s="621">
        <f>Chile!H55</f>
        <v>33.282955499580183</v>
      </c>
      <c r="E2908" s="621">
        <f>Chile!I55</f>
        <v>32.37464676895771</v>
      </c>
      <c r="F2908" s="621">
        <f>Chile!J55</f>
        <v>26.933641783154684</v>
      </c>
      <c r="G2908" s="621">
        <f>Chile!K55</f>
        <v>22.530810632858106</v>
      </c>
      <c r="H2908" s="621">
        <f>Chile!L55</f>
        <v>22.048898722028301</v>
      </c>
      <c r="I2908" s="621">
        <f>Chile!M55</f>
        <v>22.244383295598567</v>
      </c>
    </row>
    <row r="2909" spans="2:9" ht="15.75">
      <c r="B2909" s="53" t="s">
        <v>5282</v>
      </c>
      <c r="C2909" s="621">
        <f>Chile!G52</f>
        <v>660.49999999999989</v>
      </c>
      <c r="D2909" s="621">
        <f>Chile!H52</f>
        <v>639.80000000000007</v>
      </c>
      <c r="E2909" s="621">
        <f>Chile!I52</f>
        <v>595.8596</v>
      </c>
      <c r="F2909" s="621">
        <f>Chile!J52</f>
        <v>498.8</v>
      </c>
      <c r="G2909" s="621">
        <f>Chile!K52</f>
        <v>435.4</v>
      </c>
      <c r="H2909" s="621">
        <f>Chile!L52</f>
        <v>440.05737242204867</v>
      </c>
      <c r="I2909" s="621">
        <f>Chile!M52</f>
        <v>450.09095571680785</v>
      </c>
    </row>
    <row r="2910" spans="2:9" ht="15.75">
      <c r="B2910" s="53" t="s">
        <v>1092</v>
      </c>
      <c r="C2910" s="53"/>
      <c r="D2910" s="56">
        <f t="shared" ref="D2910:I2910" si="308">D2909/C2909-1</f>
        <v>-3.1339894019681735E-2</v>
      </c>
      <c r="E2910" s="56">
        <f t="shared" si="308"/>
        <v>-6.8678336980306454E-2</v>
      </c>
      <c r="F2910" s="56">
        <f t="shared" si="308"/>
        <v>-0.16289004993793843</v>
      </c>
      <c r="G2910" s="56">
        <f t="shared" si="308"/>
        <v>-0.12710505212510026</v>
      </c>
      <c r="H2910" s="56">
        <f t="shared" si="308"/>
        <v>1.0696767161342935E-2</v>
      </c>
      <c r="I2910" s="56">
        <f t="shared" si="308"/>
        <v>2.280062538103822E-2</v>
      </c>
    </row>
    <row r="2911" spans="2:9" ht="15.75">
      <c r="B2911" s="53"/>
      <c r="C2911" s="53"/>
      <c r="D2911" s="53"/>
      <c r="E2911" s="53"/>
      <c r="F2911" s="53"/>
      <c r="G2911" s="53"/>
      <c r="H2911" s="53"/>
    </row>
    <row r="2912" spans="2:9" ht="15.75">
      <c r="B2912" s="53"/>
      <c r="C2912" s="53"/>
      <c r="D2912" s="53"/>
      <c r="E2912" s="53"/>
      <c r="F2912" s="53"/>
      <c r="G2912" s="53"/>
      <c r="H2912" s="53"/>
    </row>
    <row r="2913" spans="2:10" ht="15.75">
      <c r="B2913" s="53"/>
      <c r="C2913" s="79" t="str">
        <f>'LiLAC valuation'!AD322</f>
        <v>Q1 20</v>
      </c>
      <c r="D2913" s="79" t="str">
        <f>'LiLAC valuation'!AE322</f>
        <v>Q2 20</v>
      </c>
      <c r="E2913" s="79" t="str">
        <f>'LiLAC valuation'!AF322</f>
        <v>Q3 20</v>
      </c>
      <c r="F2913" s="79" t="e">
        <f>'LiLAC valuation'!#REF!</f>
        <v>#REF!</v>
      </c>
      <c r="G2913" s="79" t="e">
        <f>'LiLAC valuation'!#REF!</f>
        <v>#REF!</v>
      </c>
      <c r="H2913" s="79" t="e">
        <f>'LiLAC valuation'!#REF!</f>
        <v>#REF!</v>
      </c>
      <c r="I2913" s="79" t="e">
        <f>'LiLAC valuation'!#REF!</f>
        <v>#REF!</v>
      </c>
      <c r="J2913" s="79" t="e">
        <f>'LiLAC valuation'!#REF!</f>
        <v>#REF!</v>
      </c>
    </row>
    <row r="2914" spans="2:10" ht="15.75">
      <c r="B2914" s="53" t="s">
        <v>925</v>
      </c>
      <c r="C2914" s="53">
        <f>'LiLAC valuation'!AD382</f>
        <v>50.5</v>
      </c>
      <c r="D2914" s="53">
        <f>'LiLAC valuation'!AE382</f>
        <v>52.4</v>
      </c>
      <c r="E2914" s="53">
        <f>'LiLAC valuation'!AF382</f>
        <v>58.1</v>
      </c>
      <c r="F2914" s="481" t="e">
        <f>'LiLAC valuation'!#REF!</f>
        <v>#REF!</v>
      </c>
      <c r="G2914" s="481" t="e">
        <f>F2914+1</f>
        <v>#REF!</v>
      </c>
      <c r="H2914" s="481" t="e">
        <f>G2914+1</f>
        <v>#REF!</v>
      </c>
      <c r="I2914" s="481" t="e">
        <f>H2914+1</f>
        <v>#REF!</v>
      </c>
      <c r="J2914" s="481" t="e">
        <f>'Puerto Rico'!I49-G2914-H2914-I2914</f>
        <v>#REF!</v>
      </c>
    </row>
    <row r="2915" spans="2:10" ht="15.75">
      <c r="B2915" s="53" t="s">
        <v>4389</v>
      </c>
      <c r="F2915" s="53">
        <v>50</v>
      </c>
      <c r="G2915" s="53">
        <f>75</f>
        <v>75</v>
      </c>
      <c r="H2915" s="53">
        <f>75</f>
        <v>75</v>
      </c>
      <c r="I2915" s="53">
        <f>75</f>
        <v>75</v>
      </c>
      <c r="J2915" s="53">
        <f>75</f>
        <v>75</v>
      </c>
    </row>
    <row r="2916" spans="2:10" ht="15.75">
      <c r="B2916" s="53" t="s">
        <v>5287</v>
      </c>
      <c r="C2916" s="53"/>
      <c r="D2916" s="53"/>
      <c r="E2916" s="53"/>
      <c r="F2916" s="53">
        <v>-20</v>
      </c>
      <c r="G2916" s="53">
        <v>-20</v>
      </c>
      <c r="H2916" s="53">
        <v>-15</v>
      </c>
      <c r="I2916" s="53">
        <v>-10</v>
      </c>
      <c r="J2916" s="53">
        <v>-5</v>
      </c>
    </row>
    <row r="2917" spans="2:10" ht="15.75">
      <c r="B2917" s="50" t="s">
        <v>399</v>
      </c>
      <c r="C2917" s="50"/>
      <c r="D2917" s="50"/>
      <c r="E2917" s="50"/>
      <c r="F2917" s="50">
        <v>0</v>
      </c>
      <c r="G2917" s="50">
        <v>0</v>
      </c>
      <c r="H2917" s="50">
        <v>2</v>
      </c>
      <c r="I2917" s="50">
        <v>3</v>
      </c>
      <c r="J2917" s="632">
        <f>F2247-G2917-H2917-I2917</f>
        <v>4.48404384</v>
      </c>
    </row>
    <row r="2918" spans="2:10" ht="15.75">
      <c r="B2918" s="53" t="s">
        <v>4497</v>
      </c>
      <c r="C2918" s="481">
        <f>SUM(C2914:C2916)</f>
        <v>50.5</v>
      </c>
      <c r="D2918" s="481">
        <f>SUM(D2914:D2916)</f>
        <v>52.4</v>
      </c>
      <c r="E2918" s="481">
        <f>SUM(E2914:E2916)</f>
        <v>58.1</v>
      </c>
      <c r="F2918" s="481" t="e">
        <f>SUM(F2914:F2917)</f>
        <v>#REF!</v>
      </c>
      <c r="G2918" s="481" t="e">
        <f>SUM(G2914:G2917)</f>
        <v>#REF!</v>
      </c>
      <c r="H2918" s="481" t="e">
        <f>SUM(H2914:H2917)</f>
        <v>#REF!</v>
      </c>
      <c r="I2918" s="481" t="e">
        <f>SUM(I2914:I2917)</f>
        <v>#REF!</v>
      </c>
      <c r="J2918" s="481" t="e">
        <f>SUM(J2914:J2917)</f>
        <v>#REF!</v>
      </c>
    </row>
    <row r="2919" spans="2:10" ht="15.75">
      <c r="B2919" s="53"/>
      <c r="C2919" s="53"/>
      <c r="D2919" s="53"/>
      <c r="E2919" s="53"/>
      <c r="F2919" s="53"/>
      <c r="G2919" s="53"/>
      <c r="H2919" s="53"/>
    </row>
    <row r="2920" spans="2:10" ht="15.75">
      <c r="B2920" s="920" t="s">
        <v>5292</v>
      </c>
    </row>
    <row r="2921" spans="2:10">
      <c r="D2921">
        <v>755</v>
      </c>
    </row>
    <row r="2922" spans="2:10" ht="15.75">
      <c r="B2922" s="1061" t="s">
        <v>468</v>
      </c>
    </row>
    <row r="2923" spans="2:10">
      <c r="C2923" s="870" t="s">
        <v>1834</v>
      </c>
      <c r="D2923" s="870" t="s">
        <v>5359</v>
      </c>
      <c r="E2923" s="870" t="s">
        <v>1834</v>
      </c>
    </row>
    <row r="2924" spans="2:10">
      <c r="B2924" s="3"/>
      <c r="C2924" s="952" t="s">
        <v>5299</v>
      </c>
      <c r="D2924" s="952" t="s">
        <v>5299</v>
      </c>
      <c r="E2924" s="952" t="s">
        <v>1169</v>
      </c>
      <c r="F2924" s="952" t="s">
        <v>5290</v>
      </c>
      <c r="G2924" s="952" t="s">
        <v>1861</v>
      </c>
      <c r="H2924" s="952" t="s">
        <v>1870</v>
      </c>
      <c r="I2924" s="952" t="s">
        <v>1933</v>
      </c>
    </row>
    <row r="2925" spans="2:10">
      <c r="B2925" s="513" t="s">
        <v>5296</v>
      </c>
      <c r="C2925" s="870"/>
      <c r="D2925" s="870"/>
      <c r="E2925" s="870"/>
      <c r="F2925" s="870"/>
      <c r="G2925" s="870"/>
      <c r="H2925" s="870"/>
      <c r="I2925" s="870"/>
    </row>
    <row r="2926" spans="2:10">
      <c r="B2926" t="s">
        <v>5295</v>
      </c>
      <c r="C2926" s="80"/>
      <c r="F2926" s="80"/>
      <c r="G2926" s="80"/>
      <c r="H2926" s="80"/>
      <c r="I2926" s="80"/>
    </row>
    <row r="2927" spans="2:10">
      <c r="C2927">
        <v>20990</v>
      </c>
      <c r="E2927" s="62">
        <f>C2927/$D$2921</f>
        <v>27.801324503311257</v>
      </c>
      <c r="F2927">
        <v>200</v>
      </c>
    </row>
    <row r="2928" spans="2:10">
      <c r="C2928">
        <v>25990</v>
      </c>
      <c r="E2928" s="62">
        <f>C2928/$D$2921</f>
        <v>34.423841059602651</v>
      </c>
      <c r="F2928">
        <v>500</v>
      </c>
    </row>
    <row r="2929" spans="2:9">
      <c r="C2929">
        <v>29990</v>
      </c>
      <c r="E2929" s="62">
        <f>C2929/$D$2921</f>
        <v>39.721854304635762</v>
      </c>
      <c r="F2929">
        <v>600</v>
      </c>
    </row>
    <row r="2930" spans="2:9">
      <c r="B2930" t="s">
        <v>5291</v>
      </c>
    </row>
    <row r="2931" spans="2:9">
      <c r="C2931">
        <v>39990</v>
      </c>
      <c r="E2931" s="62">
        <f>C2931/$D$2921</f>
        <v>52.966887417218544</v>
      </c>
      <c r="F2931">
        <f>F2927</f>
        <v>200</v>
      </c>
      <c r="G2931" s="80" t="s">
        <v>5293</v>
      </c>
      <c r="H2931" s="80" t="s">
        <v>2463</v>
      </c>
    </row>
    <row r="2932" spans="2:9">
      <c r="C2932">
        <v>39990</v>
      </c>
      <c r="E2932" s="62">
        <f>C2932/$D$2921</f>
        <v>52.966887417218544</v>
      </c>
      <c r="F2932">
        <f>F2928</f>
        <v>500</v>
      </c>
      <c r="G2932" s="80" t="s">
        <v>5293</v>
      </c>
      <c r="H2932" s="80" t="s">
        <v>2463</v>
      </c>
    </row>
    <row r="2933" spans="2:9">
      <c r="C2933">
        <v>43990</v>
      </c>
      <c r="E2933" s="62">
        <f>C2933/$D$2921</f>
        <v>58.264900662251655</v>
      </c>
      <c r="F2933">
        <f>F2929</f>
        <v>600</v>
      </c>
      <c r="G2933" s="80" t="s">
        <v>5294</v>
      </c>
      <c r="H2933" s="80" t="s">
        <v>2463</v>
      </c>
    </row>
    <row r="2934" spans="2:9">
      <c r="B2934" s="513" t="s">
        <v>1366</v>
      </c>
      <c r="G2934" s="80"/>
    </row>
    <row r="2935" spans="2:9">
      <c r="B2935" t="s">
        <v>5295</v>
      </c>
      <c r="G2935" s="80"/>
    </row>
    <row r="2936" spans="2:9">
      <c r="C2936">
        <v>20990</v>
      </c>
      <c r="D2936">
        <f>C2936*0.7</f>
        <v>14692.999999999998</v>
      </c>
      <c r="E2936" s="62">
        <f>C2936/$D$2921</f>
        <v>27.801324503311257</v>
      </c>
      <c r="F2936">
        <v>200</v>
      </c>
      <c r="G2936" s="80"/>
      <c r="I2936" s="80" t="s">
        <v>5358</v>
      </c>
    </row>
    <row r="2937" spans="2:9">
      <c r="C2937">
        <v>25990</v>
      </c>
      <c r="D2937">
        <f>C2937*0.7</f>
        <v>18193</v>
      </c>
      <c r="E2937" s="62">
        <f>C2937/$D$2921</f>
        <v>34.423841059602651</v>
      </c>
      <c r="F2937">
        <v>500</v>
      </c>
      <c r="G2937" s="80"/>
      <c r="I2937" s="80" t="s">
        <v>5358</v>
      </c>
    </row>
    <row r="2938" spans="2:9">
      <c r="C2938">
        <v>36990</v>
      </c>
      <c r="D2938">
        <f>C2938*0.7</f>
        <v>25893</v>
      </c>
      <c r="E2938" s="62">
        <f>C2938/$D$2921</f>
        <v>48.993377483443709</v>
      </c>
      <c r="F2938">
        <v>900</v>
      </c>
      <c r="G2938" s="80"/>
      <c r="I2938" s="80" t="s">
        <v>5358</v>
      </c>
    </row>
    <row r="2939" spans="2:9">
      <c r="B2939" t="s">
        <v>5291</v>
      </c>
      <c r="G2939" s="80"/>
      <c r="I2939" s="80"/>
    </row>
    <row r="2940" spans="2:9">
      <c r="C2940">
        <v>43990</v>
      </c>
      <c r="D2940">
        <f>C2940*0.7</f>
        <v>30792.999999999996</v>
      </c>
      <c r="E2940" s="62">
        <f>C2940/$D$2921</f>
        <v>58.264900662251655</v>
      </c>
      <c r="F2940">
        <f>F2936</f>
        <v>200</v>
      </c>
      <c r="G2940" s="80" t="s">
        <v>5297</v>
      </c>
      <c r="I2940" s="80" t="s">
        <v>5358</v>
      </c>
    </row>
    <row r="2941" spans="2:9">
      <c r="C2941">
        <v>48990</v>
      </c>
      <c r="D2941">
        <f>C2941*0.7</f>
        <v>34293</v>
      </c>
      <c r="E2941" s="62">
        <f>C2941/$D$2921</f>
        <v>64.88741721854305</v>
      </c>
      <c r="F2941">
        <f>F2937</f>
        <v>500</v>
      </c>
      <c r="G2941" s="80" t="s">
        <v>5297</v>
      </c>
      <c r="I2941" s="80" t="s">
        <v>5358</v>
      </c>
    </row>
    <row r="2942" spans="2:9">
      <c r="C2942">
        <v>59990</v>
      </c>
      <c r="D2942">
        <f>C2942*0.7</f>
        <v>41993</v>
      </c>
      <c r="E2942" s="62">
        <f>C2942/$D$2921</f>
        <v>79.456953642384107</v>
      </c>
      <c r="F2942">
        <f>F2938</f>
        <v>900</v>
      </c>
      <c r="G2942" s="80" t="s">
        <v>5297</v>
      </c>
      <c r="I2942" s="80" t="s">
        <v>5358</v>
      </c>
    </row>
    <row r="2943" spans="2:9">
      <c r="B2943" s="513" t="s">
        <v>3001</v>
      </c>
      <c r="I2943" s="80"/>
    </row>
    <row r="2944" spans="2:9">
      <c r="B2944" t="s">
        <v>5295</v>
      </c>
      <c r="I2944" s="80"/>
    </row>
    <row r="2945" spans="2:15">
      <c r="C2945">
        <v>21990</v>
      </c>
      <c r="D2945">
        <v>18990</v>
      </c>
      <c r="E2945" s="62">
        <f>C2945/$D$2921</f>
        <v>29.125827814569536</v>
      </c>
      <c r="F2945">
        <v>250</v>
      </c>
      <c r="I2945" s="80" t="s">
        <v>5298</v>
      </c>
      <c r="K2945" s="5">
        <f>L2945/C2945-1</f>
        <v>-0.13642564802182811</v>
      </c>
      <c r="L2945">
        <f>18990</f>
        <v>18990</v>
      </c>
    </row>
    <row r="2946" spans="2:15">
      <c r="C2946">
        <v>25990</v>
      </c>
      <c r="D2946">
        <v>22990</v>
      </c>
      <c r="E2946" s="62">
        <f>C2946/$D$2921</f>
        <v>34.423841059602651</v>
      </c>
      <c r="F2946">
        <v>500</v>
      </c>
      <c r="I2946" s="80" t="s">
        <v>5298</v>
      </c>
      <c r="K2946" s="5">
        <f>L2946/C2946-1</f>
        <v>-0.11542901115813775</v>
      </c>
      <c r="L2946">
        <v>22990</v>
      </c>
    </row>
    <row r="2947" spans="2:15">
      <c r="C2947">
        <v>37990</v>
      </c>
      <c r="D2947">
        <v>29990</v>
      </c>
      <c r="E2947" s="62">
        <f>C2947/$D$2921</f>
        <v>50.317880794701985</v>
      </c>
      <c r="F2947">
        <v>1000</v>
      </c>
      <c r="I2947" s="80" t="s">
        <v>5298</v>
      </c>
      <c r="K2947" s="5">
        <f>L2947/C2947-1</f>
        <v>-0.21058173203474595</v>
      </c>
      <c r="L2947">
        <v>29990</v>
      </c>
    </row>
    <row r="2948" spans="2:15">
      <c r="B2948" t="s">
        <v>5291</v>
      </c>
      <c r="I2948" s="80"/>
    </row>
    <row r="2949" spans="2:15">
      <c r="C2949">
        <v>39980</v>
      </c>
      <c r="E2949" s="62">
        <f>C2949/$D$2921</f>
        <v>52.953642384105962</v>
      </c>
      <c r="F2949">
        <f>F2945</f>
        <v>250</v>
      </c>
      <c r="G2949">
        <v>41</v>
      </c>
      <c r="I2949" s="80" t="s">
        <v>5360</v>
      </c>
      <c r="K2949" s="5">
        <f>L2949/C2949-1</f>
        <v>-4.9774887443721827E-2</v>
      </c>
      <c r="L2949">
        <v>37990</v>
      </c>
      <c r="N2949">
        <v>47990</v>
      </c>
    </row>
    <row r="2950" spans="2:15">
      <c r="C2950">
        <v>41980</v>
      </c>
      <c r="D2950">
        <v>39980</v>
      </c>
      <c r="E2950" s="62">
        <f>C2950/$D$2921</f>
        <v>55.602649006622514</v>
      </c>
      <c r="F2950">
        <f>F2946</f>
        <v>500</v>
      </c>
      <c r="G2950">
        <v>41</v>
      </c>
      <c r="I2950" s="80" t="s">
        <v>5360</v>
      </c>
      <c r="K2950" s="5">
        <f>L2950/C2950-1</f>
        <v>-7.1224392567889483E-2</v>
      </c>
      <c r="L2950">
        <v>38990</v>
      </c>
      <c r="N2950">
        <v>51990</v>
      </c>
    </row>
    <row r="2951" spans="2:15">
      <c r="C2951">
        <v>51980</v>
      </c>
      <c r="D2951">
        <v>44980</v>
      </c>
      <c r="E2951" s="62">
        <f>C2951/$D$2921</f>
        <v>68.847682119205302</v>
      </c>
      <c r="F2951">
        <f>F2947</f>
        <v>1000</v>
      </c>
      <c r="G2951">
        <v>41</v>
      </c>
      <c r="I2951" s="80" t="s">
        <v>5360</v>
      </c>
      <c r="K2951" s="5">
        <f>L2951/C2951-1</f>
        <v>-5.7522123893805288E-2</v>
      </c>
      <c r="L2951">
        <v>48990</v>
      </c>
      <c r="N2951">
        <v>61990</v>
      </c>
    </row>
    <row r="2953" spans="2:15" ht="15.75">
      <c r="B2953" s="1061" t="s">
        <v>469</v>
      </c>
    </row>
    <row r="2954" spans="2:15">
      <c r="D2954" s="1101">
        <v>44166</v>
      </c>
      <c r="K2954" s="1101">
        <v>44256</v>
      </c>
    </row>
    <row r="2955" spans="2:15">
      <c r="B2955" s="513" t="s">
        <v>925</v>
      </c>
      <c r="D2955" s="870" t="s">
        <v>1169</v>
      </c>
      <c r="E2955" s="870" t="s">
        <v>5290</v>
      </c>
      <c r="F2955" s="870" t="s">
        <v>5302</v>
      </c>
      <c r="G2955" s="870" t="s">
        <v>1870</v>
      </c>
      <c r="H2955" s="870" t="s">
        <v>1933</v>
      </c>
      <c r="K2955" s="870" t="str">
        <f>D2955</f>
        <v>Price, $</v>
      </c>
      <c r="L2955" s="870" t="str">
        <f>E2955</f>
        <v>Mbps</v>
      </c>
      <c r="M2955" s="870" t="str">
        <f>F2955</f>
        <v>TV channels/package</v>
      </c>
      <c r="N2955" s="870" t="str">
        <f>G2955</f>
        <v>Voice</v>
      </c>
      <c r="O2955" s="870" t="str">
        <f>H2955</f>
        <v>Notes</v>
      </c>
    </row>
    <row r="2956" spans="2:15">
      <c r="B2956" t="s">
        <v>5295</v>
      </c>
      <c r="D2956" s="870"/>
      <c r="E2956" s="870"/>
      <c r="F2956" s="870"/>
      <c r="G2956" s="870"/>
    </row>
    <row r="2957" spans="2:15">
      <c r="D2957">
        <v>58.99</v>
      </c>
      <c r="E2957">
        <v>90</v>
      </c>
      <c r="K2957">
        <f t="shared" ref="K2957:L2959" si="309">D2957</f>
        <v>58.99</v>
      </c>
      <c r="L2957">
        <f t="shared" si="309"/>
        <v>90</v>
      </c>
    </row>
    <row r="2958" spans="2:15">
      <c r="D2958">
        <v>80.989999999999995</v>
      </c>
      <c r="E2958">
        <v>250</v>
      </c>
      <c r="K2958">
        <f t="shared" si="309"/>
        <v>80.989999999999995</v>
      </c>
      <c r="L2958">
        <f t="shared" si="309"/>
        <v>250</v>
      </c>
    </row>
    <row r="2959" spans="2:15">
      <c r="D2959">
        <v>171.99</v>
      </c>
      <c r="E2959">
        <v>500</v>
      </c>
      <c r="K2959">
        <f t="shared" si="309"/>
        <v>171.99</v>
      </c>
      <c r="L2959">
        <f t="shared" si="309"/>
        <v>500</v>
      </c>
    </row>
    <row r="2960" spans="2:15">
      <c r="B2960" t="s">
        <v>5304</v>
      </c>
    </row>
    <row r="2961" spans="2:12">
      <c r="D2961" s="845">
        <v>63.99</v>
      </c>
      <c r="E2961">
        <f>E2957</f>
        <v>90</v>
      </c>
      <c r="G2961" t="s">
        <v>5303</v>
      </c>
    </row>
    <row r="2962" spans="2:12">
      <c r="D2962" s="845">
        <f>D2958+5</f>
        <v>85.99</v>
      </c>
      <c r="E2962">
        <f>E2958</f>
        <v>250</v>
      </c>
      <c r="G2962" t="s">
        <v>5303</v>
      </c>
    </row>
    <row r="2963" spans="2:12">
      <c r="D2963" s="845">
        <v>176.99</v>
      </c>
      <c r="E2963">
        <f>E2959</f>
        <v>500</v>
      </c>
      <c r="G2963" t="s">
        <v>5303</v>
      </c>
    </row>
    <row r="2964" spans="2:12">
      <c r="B2964" t="s">
        <v>5301</v>
      </c>
    </row>
    <row r="2965" spans="2:12">
      <c r="D2965" s="845">
        <v>80</v>
      </c>
      <c r="E2965">
        <f>E2966</f>
        <v>90</v>
      </c>
      <c r="F2965" t="s">
        <v>5305</v>
      </c>
      <c r="G2965" t="s">
        <v>5303</v>
      </c>
      <c r="J2965" t="s">
        <v>5494</v>
      </c>
      <c r="K2965">
        <f>K2958+5.99</f>
        <v>86.97999999999999</v>
      </c>
      <c r="L2965">
        <f>L2958</f>
        <v>250</v>
      </c>
    </row>
    <row r="2966" spans="2:12">
      <c r="D2966">
        <v>122.99</v>
      </c>
      <c r="E2966">
        <f>E2961</f>
        <v>90</v>
      </c>
      <c r="F2966" t="s">
        <v>5306</v>
      </c>
      <c r="G2966" t="s">
        <v>5303</v>
      </c>
      <c r="J2966" t="s">
        <v>5493</v>
      </c>
      <c r="K2966">
        <f>K2958+48</f>
        <v>128.99</v>
      </c>
      <c r="L2966">
        <f>L2958</f>
        <v>250</v>
      </c>
    </row>
    <row r="2967" spans="2:12">
      <c r="D2967">
        <v>85.99</v>
      </c>
      <c r="E2967">
        <f>E2962</f>
        <v>250</v>
      </c>
      <c r="F2967" t="s">
        <v>5305</v>
      </c>
      <c r="G2967" t="s">
        <v>5303</v>
      </c>
      <c r="J2967" t="s">
        <v>5494</v>
      </c>
      <c r="K2967">
        <f>K2959+36.99</f>
        <v>208.98000000000002</v>
      </c>
      <c r="L2967">
        <f>L2959</f>
        <v>500</v>
      </c>
    </row>
    <row r="2968" spans="2:12">
      <c r="D2968">
        <v>128.99</v>
      </c>
      <c r="E2968">
        <f>E2963</f>
        <v>500</v>
      </c>
      <c r="F2968" t="s">
        <v>5306</v>
      </c>
      <c r="G2968" t="s">
        <v>5303</v>
      </c>
      <c r="J2968" t="s">
        <v>5493</v>
      </c>
      <c r="K2968">
        <f>K2959+107.5</f>
        <v>279.49</v>
      </c>
      <c r="L2968">
        <f>L2959</f>
        <v>500</v>
      </c>
    </row>
    <row r="2969" spans="2:12">
      <c r="B2969" s="513" t="s">
        <v>1364</v>
      </c>
    </row>
    <row r="2970" spans="2:12">
      <c r="B2970" t="s">
        <v>5300</v>
      </c>
    </row>
    <row r="2971" spans="2:12">
      <c r="D2971">
        <v>23.99</v>
      </c>
      <c r="E2971">
        <v>1</v>
      </c>
      <c r="G2971" t="s">
        <v>2463</v>
      </c>
    </row>
    <row r="2972" spans="2:12">
      <c r="D2972">
        <v>27.99</v>
      </c>
      <c r="E2972">
        <v>5</v>
      </c>
      <c r="G2972" t="s">
        <v>2463</v>
      </c>
    </row>
    <row r="2973" spans="2:12">
      <c r="D2973">
        <v>39.99</v>
      </c>
      <c r="E2973">
        <v>30</v>
      </c>
      <c r="G2973" t="s">
        <v>2463</v>
      </c>
    </row>
    <row r="2974" spans="2:12">
      <c r="D2974">
        <v>69.989999999999995</v>
      </c>
      <c r="E2974">
        <v>100</v>
      </c>
      <c r="G2974" t="s">
        <v>2463</v>
      </c>
    </row>
    <row r="2975" spans="2:12">
      <c r="B2975" t="s">
        <v>5301</v>
      </c>
    </row>
    <row r="2976" spans="2:12">
      <c r="D2976">
        <v>153.99</v>
      </c>
      <c r="E2976">
        <v>500</v>
      </c>
      <c r="F2976" t="s">
        <v>5305</v>
      </c>
      <c r="G2976" t="s">
        <v>2463</v>
      </c>
    </row>
    <row r="2978" spans="2:8" ht="15.75">
      <c r="B2978" s="1061" t="s">
        <v>32</v>
      </c>
      <c r="C2978">
        <v>145</v>
      </c>
    </row>
    <row r="2980" spans="2:8">
      <c r="B2980" s="513" t="s">
        <v>5307</v>
      </c>
      <c r="C2980" s="870" t="s">
        <v>5308</v>
      </c>
      <c r="D2980" s="870" t="s">
        <v>1169</v>
      </c>
      <c r="E2980" s="870" t="s">
        <v>5290</v>
      </c>
      <c r="F2980" s="870" t="s">
        <v>5302</v>
      </c>
      <c r="G2980" s="870" t="s">
        <v>1870</v>
      </c>
      <c r="H2980" s="870" t="s">
        <v>1933</v>
      </c>
    </row>
    <row r="2981" spans="2:8">
      <c r="B2981" t="s">
        <v>5304</v>
      </c>
      <c r="C2981" s="870"/>
      <c r="D2981" s="870"/>
      <c r="E2981" s="870"/>
      <c r="F2981" s="870"/>
      <c r="G2981" s="870"/>
      <c r="H2981" s="870"/>
    </row>
    <row r="2982" spans="2:8">
      <c r="C2982" s="870"/>
      <c r="D2982" s="870"/>
      <c r="E2982" s="870"/>
      <c r="F2982" s="870"/>
      <c r="G2982" s="870"/>
      <c r="H2982" s="870"/>
    </row>
    <row r="2983" spans="2:8">
      <c r="C2983">
        <v>3650</v>
      </c>
      <c r="D2983" s="62">
        <f>C2983/$C$2978</f>
        <v>25.172413793103448</v>
      </c>
      <c r="E2983">
        <v>2</v>
      </c>
      <c r="F2983" s="870"/>
      <c r="G2983" t="s">
        <v>5312</v>
      </c>
      <c r="H2983" s="870"/>
    </row>
    <row r="2984" spans="2:8">
      <c r="C2984">
        <v>4300</v>
      </c>
      <c r="D2984" s="62">
        <f>C2984/$C$2978</f>
        <v>29.655172413793103</v>
      </c>
      <c r="E2984">
        <v>8</v>
      </c>
      <c r="F2984" s="870"/>
      <c r="G2984" t="s">
        <v>5312</v>
      </c>
      <c r="H2984" s="870"/>
    </row>
    <row r="2985" spans="2:8">
      <c r="C2985">
        <v>2999</v>
      </c>
      <c r="D2985" s="62">
        <f>C2985/$C$2978</f>
        <v>20.682758620689654</v>
      </c>
      <c r="E2985">
        <v>15</v>
      </c>
      <c r="G2985" t="s">
        <v>5311</v>
      </c>
    </row>
    <row r="2986" spans="2:8">
      <c r="B2986" t="s">
        <v>5301</v>
      </c>
    </row>
    <row r="2987" spans="2:8">
      <c r="C2987">
        <v>3749</v>
      </c>
      <c r="D2987" s="62">
        <f>C2987/$C$2978</f>
        <v>25.855172413793102</v>
      </c>
      <c r="E2987">
        <v>50</v>
      </c>
      <c r="F2987" t="s">
        <v>5310</v>
      </c>
      <c r="G2987" t="s">
        <v>5313</v>
      </c>
    </row>
    <row r="2988" spans="2:8">
      <c r="C2988">
        <v>6499</v>
      </c>
      <c r="D2988" s="62">
        <f>C2988/$C$2978</f>
        <v>44.820689655172416</v>
      </c>
      <c r="E2988">
        <v>100</v>
      </c>
      <c r="F2988" t="s">
        <v>5309</v>
      </c>
      <c r="G2988" t="s">
        <v>5313</v>
      </c>
    </row>
    <row r="2989" spans="2:8">
      <c r="C2989">
        <v>7499</v>
      </c>
      <c r="D2989" s="62">
        <f>C2989/$C$2978</f>
        <v>51.717241379310344</v>
      </c>
      <c r="E2989">
        <v>150</v>
      </c>
      <c r="F2989" t="s">
        <v>5310</v>
      </c>
      <c r="G2989" t="s">
        <v>5313</v>
      </c>
    </row>
    <row r="2990" spans="2:8">
      <c r="B2990" s="513" t="s">
        <v>1365</v>
      </c>
    </row>
    <row r="2991" spans="2:8">
      <c r="B2991" t="s">
        <v>2064</v>
      </c>
    </row>
    <row r="2992" spans="2:8">
      <c r="B2992" s="513"/>
      <c r="C2992">
        <v>5999</v>
      </c>
      <c r="D2992" s="62">
        <f>C2992/$C$2978</f>
        <v>41.372413793103448</v>
      </c>
      <c r="E2992">
        <v>100</v>
      </c>
    </row>
    <row r="2993" spans="2:8">
      <c r="B2993" s="513"/>
      <c r="C2993">
        <v>10999</v>
      </c>
      <c r="D2993" s="62">
        <f>C2993/$C$2978</f>
        <v>75.855172413793099</v>
      </c>
      <c r="E2993">
        <v>200</v>
      </c>
    </row>
    <row r="2994" spans="2:8">
      <c r="B2994" s="513"/>
      <c r="C2994">
        <v>13999</v>
      </c>
      <c r="D2994" s="62">
        <f>C2994/$C$2978</f>
        <v>96.544827586206893</v>
      </c>
      <c r="E2994">
        <v>400</v>
      </c>
    </row>
    <row r="2995" spans="2:8">
      <c r="B2995" t="s">
        <v>5301</v>
      </c>
    </row>
    <row r="2996" spans="2:8">
      <c r="C2996">
        <v>6399</v>
      </c>
      <c r="D2996" s="62">
        <f>C2996/$C$2978</f>
        <v>44.131034482758622</v>
      </c>
      <c r="E2996">
        <v>100</v>
      </c>
      <c r="F2996">
        <v>145</v>
      </c>
      <c r="G2996" s="80" t="s">
        <v>5315</v>
      </c>
    </row>
    <row r="2997" spans="2:8">
      <c r="C2997">
        <v>14299</v>
      </c>
      <c r="D2997" s="62">
        <f>C2997/$C$2978</f>
        <v>98.613793103448273</v>
      </c>
      <c r="E2997">
        <v>200</v>
      </c>
      <c r="F2997">
        <v>145</v>
      </c>
      <c r="G2997" s="80" t="s">
        <v>5315</v>
      </c>
    </row>
    <row r="2998" spans="2:8">
      <c r="C2998">
        <v>18999</v>
      </c>
      <c r="D2998" s="62">
        <f>C2998/$C$2978</f>
        <v>131.02758620689656</v>
      </c>
      <c r="E2998">
        <v>400</v>
      </c>
      <c r="F2998">
        <v>145</v>
      </c>
      <c r="G2998" s="80" t="s">
        <v>5315</v>
      </c>
    </row>
    <row r="3000" spans="2:8" ht="15.75">
      <c r="B3000" s="1061" t="s">
        <v>0</v>
      </c>
    </row>
    <row r="3002" spans="2:8">
      <c r="B3002" s="513" t="s">
        <v>5324</v>
      </c>
      <c r="C3002" s="870"/>
      <c r="D3002" s="870" t="str">
        <f>D2980</f>
        <v>Price, $</v>
      </c>
      <c r="E3002" s="870" t="str">
        <f>E2980</f>
        <v>Mbps</v>
      </c>
      <c r="F3002" s="870" t="str">
        <f>F2980</f>
        <v>TV channels/package</v>
      </c>
      <c r="G3002" s="870" t="str">
        <f>G2980</f>
        <v>Voice</v>
      </c>
      <c r="H3002" s="870" t="str">
        <f>H2980</f>
        <v>Notes</v>
      </c>
    </row>
    <row r="3003" spans="2:8">
      <c r="B3003" t="s">
        <v>5301</v>
      </c>
    </row>
    <row r="3004" spans="2:8">
      <c r="B3004" s="513"/>
      <c r="D3004">
        <v>59</v>
      </c>
      <c r="E3004">
        <v>150</v>
      </c>
      <c r="F3004">
        <v>186</v>
      </c>
      <c r="G3004" t="s">
        <v>5326</v>
      </c>
    </row>
    <row r="3005" spans="2:8">
      <c r="B3005" s="513"/>
      <c r="D3005">
        <v>65</v>
      </c>
      <c r="E3005">
        <v>300</v>
      </c>
      <c r="F3005">
        <v>186</v>
      </c>
      <c r="G3005" t="s">
        <v>5326</v>
      </c>
    </row>
    <row r="3006" spans="2:8">
      <c r="B3006" s="513"/>
      <c r="D3006">
        <v>85</v>
      </c>
      <c r="E3006">
        <v>600</v>
      </c>
      <c r="F3006">
        <v>186</v>
      </c>
      <c r="G3006" t="s">
        <v>5326</v>
      </c>
    </row>
    <row r="3007" spans="2:8">
      <c r="D3007">
        <v>105</v>
      </c>
      <c r="E3007">
        <v>1000</v>
      </c>
      <c r="F3007">
        <v>186</v>
      </c>
      <c r="G3007" t="s">
        <v>5326</v>
      </c>
    </row>
    <row r="3009" spans="2:8">
      <c r="B3009" s="12" t="s">
        <v>5325</v>
      </c>
    </row>
    <row r="3010" spans="2:8">
      <c r="B3010" t="s">
        <v>5314</v>
      </c>
    </row>
    <row r="3011" spans="2:8">
      <c r="D3011">
        <v>55</v>
      </c>
      <c r="E3011">
        <v>60</v>
      </c>
      <c r="F3011">
        <v>200</v>
      </c>
      <c r="G3011" t="s">
        <v>2463</v>
      </c>
    </row>
    <row r="3012" spans="2:8">
      <c r="D3012">
        <v>60</v>
      </c>
      <c r="E3012">
        <v>160</v>
      </c>
      <c r="F3012">
        <v>200</v>
      </c>
      <c r="G3012" t="s">
        <v>2463</v>
      </c>
    </row>
    <row r="3013" spans="2:8">
      <c r="D3013">
        <v>66</v>
      </c>
      <c r="E3013">
        <v>350</v>
      </c>
      <c r="F3013">
        <v>200</v>
      </c>
      <c r="G3013" t="s">
        <v>2463</v>
      </c>
    </row>
    <row r="3014" spans="2:8">
      <c r="D3014">
        <v>86</v>
      </c>
      <c r="E3014">
        <v>600</v>
      </c>
      <c r="F3014">
        <v>200</v>
      </c>
      <c r="G3014" t="s">
        <v>2463</v>
      </c>
    </row>
    <row r="3015" spans="2:8">
      <c r="D3015">
        <v>106</v>
      </c>
      <c r="E3015">
        <v>1000</v>
      </c>
      <c r="F3015">
        <v>200</v>
      </c>
      <c r="G3015" t="s">
        <v>2463</v>
      </c>
    </row>
    <row r="3017" spans="2:8" ht="15.75">
      <c r="B3017" s="1061" t="s">
        <v>3411</v>
      </c>
      <c r="C3017">
        <v>613</v>
      </c>
    </row>
    <row r="3019" spans="2:8">
      <c r="B3019" s="513" t="s">
        <v>5317</v>
      </c>
      <c r="C3019" s="870" t="s">
        <v>5316</v>
      </c>
      <c r="D3019" s="870" t="s">
        <v>1169</v>
      </c>
      <c r="E3019" s="870" t="s">
        <v>5290</v>
      </c>
      <c r="F3019" s="870" t="s">
        <v>5302</v>
      </c>
      <c r="G3019" s="870" t="s">
        <v>1870</v>
      </c>
      <c r="H3019" s="870" t="s">
        <v>1933</v>
      </c>
    </row>
    <row r="3020" spans="2:8">
      <c r="B3020" t="s">
        <v>2064</v>
      </c>
      <c r="C3020" s="870"/>
      <c r="D3020" s="870"/>
      <c r="E3020" s="870"/>
      <c r="F3020" s="870"/>
      <c r="G3020" s="870"/>
      <c r="H3020" s="870"/>
    </row>
    <row r="3021" spans="2:8">
      <c r="C3021" s="16">
        <f>D3021*$C$3017</f>
        <v>22374.5</v>
      </c>
      <c r="D3021">
        <v>36.5</v>
      </c>
      <c r="E3021">
        <v>30</v>
      </c>
    </row>
    <row r="3022" spans="2:8">
      <c r="C3022" s="16">
        <f>D3022*$C$3017</f>
        <v>26665.5</v>
      </c>
      <c r="D3022">
        <v>43.5</v>
      </c>
      <c r="E3022">
        <v>100</v>
      </c>
    </row>
    <row r="3023" spans="2:8">
      <c r="C3023" s="16">
        <f>D3023*$C$3017</f>
        <v>36902.6</v>
      </c>
      <c r="D3023">
        <v>60.2</v>
      </c>
      <c r="E3023">
        <v>200</v>
      </c>
    </row>
    <row r="3024" spans="2:8">
      <c r="B3024" t="s">
        <v>5301</v>
      </c>
    </row>
    <row r="3025" spans="2:7">
      <c r="C3025">
        <v>34089</v>
      </c>
      <c r="D3025" s="62">
        <f>C3025/$C$3017</f>
        <v>55.610114192495921</v>
      </c>
      <c r="E3025">
        <f>E3021</f>
        <v>30</v>
      </c>
      <c r="F3025">
        <v>180</v>
      </c>
      <c r="G3025" t="s">
        <v>5318</v>
      </c>
    </row>
    <row r="3026" spans="2:7">
      <c r="C3026">
        <v>38999</v>
      </c>
      <c r="D3026" s="62">
        <f>C3026/$C$3017</f>
        <v>63.619902120717782</v>
      </c>
      <c r="E3026">
        <f>E3022</f>
        <v>100</v>
      </c>
      <c r="F3026">
        <v>180</v>
      </c>
      <c r="G3026" s="513" t="s">
        <v>5318</v>
      </c>
    </row>
    <row r="3027" spans="2:7">
      <c r="C3027">
        <v>54799</v>
      </c>
      <c r="D3027" s="62">
        <f>C3027/$C$3017</f>
        <v>89.394779771615006</v>
      </c>
      <c r="E3027">
        <f>E3023</f>
        <v>200</v>
      </c>
      <c r="F3027">
        <v>180</v>
      </c>
      <c r="G3027" t="s">
        <v>5318</v>
      </c>
    </row>
    <row r="3028" spans="2:7">
      <c r="D3028" s="62"/>
    </row>
    <row r="3029" spans="2:7">
      <c r="B3029" s="513" t="s">
        <v>5319</v>
      </c>
    </row>
    <row r="3030" spans="2:7">
      <c r="B3030" t="s">
        <v>2064</v>
      </c>
    </row>
    <row r="3031" spans="2:7">
      <c r="C3031">
        <v>21500</v>
      </c>
      <c r="D3031" s="62">
        <f>C3031/$C$3017</f>
        <v>35.07340946166395</v>
      </c>
      <c r="E3031">
        <v>30</v>
      </c>
    </row>
    <row r="3032" spans="2:7">
      <c r="C3032">
        <v>24500</v>
      </c>
      <c r="D3032" s="62">
        <f>C3032/$C$3017</f>
        <v>39.9673735725938</v>
      </c>
      <c r="E3032">
        <v>50</v>
      </c>
    </row>
    <row r="3033" spans="2:7">
      <c r="C3033">
        <v>25500</v>
      </c>
      <c r="D3033" s="62">
        <f>C3033/$C$3017</f>
        <v>41.598694942903755</v>
      </c>
      <c r="E3033">
        <v>100</v>
      </c>
    </row>
    <row r="3034" spans="2:7">
      <c r="C3034">
        <v>35500</v>
      </c>
      <c r="D3034" s="62">
        <f>C3034/$C$3017</f>
        <v>57.911908646003262</v>
      </c>
      <c r="E3034">
        <v>200</v>
      </c>
    </row>
    <row r="3035" spans="2:7">
      <c r="B3035" t="s">
        <v>5322</v>
      </c>
    </row>
    <row r="3036" spans="2:7">
      <c r="C3036">
        <v>30900</v>
      </c>
      <c r="D3036" s="62">
        <f>C3036/$C$3017</f>
        <v>50.407830342577491</v>
      </c>
      <c r="E3036">
        <f>E3031</f>
        <v>30</v>
      </c>
      <c r="F3036" t="s">
        <v>5320</v>
      </c>
    </row>
    <row r="3037" spans="2:7">
      <c r="C3037">
        <v>33900</v>
      </c>
      <c r="D3037" s="62">
        <f>C3037/$C$3017</f>
        <v>55.301794453507341</v>
      </c>
      <c r="E3037">
        <f>E3032</f>
        <v>50</v>
      </c>
      <c r="F3037" t="s">
        <v>5320</v>
      </c>
    </row>
    <row r="3038" spans="2:7">
      <c r="C3038">
        <v>36900</v>
      </c>
      <c r="D3038" s="62">
        <f>C3038/$C$3017</f>
        <v>60.195758564437192</v>
      </c>
      <c r="E3038">
        <f>E3033</f>
        <v>100</v>
      </c>
      <c r="F3038" t="s">
        <v>5320</v>
      </c>
    </row>
    <row r="3039" spans="2:7">
      <c r="C3039">
        <v>52900</v>
      </c>
      <c r="D3039" s="62">
        <f>C3039/$C$3017</f>
        <v>86.296900489396407</v>
      </c>
      <c r="E3039">
        <f>E3034</f>
        <v>200</v>
      </c>
      <c r="F3039" t="s">
        <v>5321</v>
      </c>
    </row>
    <row r="3040" spans="2:7">
      <c r="B3040" t="s">
        <v>5301</v>
      </c>
    </row>
    <row r="3041" spans="2:6">
      <c r="C3041">
        <v>2950</v>
      </c>
      <c r="F3041" t="s">
        <v>5323</v>
      </c>
    </row>
    <row r="3044" spans="2:6" ht="15.75">
      <c r="B3044" s="976" t="s">
        <v>5331</v>
      </c>
    </row>
    <row r="3046" spans="2:6">
      <c r="B3046" t="s">
        <v>5333</v>
      </c>
      <c r="C3046" s="36">
        <f>2200*1.22</f>
        <v>2684</v>
      </c>
    </row>
    <row r="3047" spans="2:6">
      <c r="B3047" t="s">
        <v>1668</v>
      </c>
      <c r="C3047" s="34">
        <v>0.1</v>
      </c>
    </row>
    <row r="3048" spans="2:6">
      <c r="B3048" t="s">
        <v>5332</v>
      </c>
      <c r="C3048" s="16">
        <f>C3046*(1+C3047)</f>
        <v>2952.4</v>
      </c>
    </row>
    <row r="3049" spans="2:6">
      <c r="B3049" t="s">
        <v>5350</v>
      </c>
      <c r="C3049" s="62">
        <f>C3048/D3073</f>
        <v>5.9662422011332321</v>
      </c>
    </row>
    <row r="3051" spans="2:6">
      <c r="B3051" t="s">
        <v>1665</v>
      </c>
      <c r="C3051" s="34">
        <v>1</v>
      </c>
    </row>
    <row r="3052" spans="2:6">
      <c r="B3052" t="s">
        <v>5334</v>
      </c>
      <c r="C3052" s="16">
        <f>C3051*C3048</f>
        <v>2952.4</v>
      </c>
    </row>
    <row r="3053" spans="2:6">
      <c r="B3053" t="s">
        <v>4170</v>
      </c>
      <c r="C3053" s="5">
        <f>100%-C3051</f>
        <v>0</v>
      </c>
    </row>
    <row r="3054" spans="2:6">
      <c r="B3054" t="s">
        <v>5335</v>
      </c>
      <c r="C3054" s="16">
        <f>C3048-C3052</f>
        <v>0</v>
      </c>
    </row>
    <row r="3056" spans="2:6">
      <c r="B3056" t="s">
        <v>5336</v>
      </c>
      <c r="C3056" s="35">
        <f>5.8%*0.768</f>
        <v>4.4544E-2</v>
      </c>
    </row>
    <row r="3058" spans="2:8">
      <c r="B3058" s="552" t="s">
        <v>5331</v>
      </c>
      <c r="C3058" s="552">
        <v>2020</v>
      </c>
      <c r="D3058" s="552">
        <v>2021</v>
      </c>
      <c r="E3058" s="552">
        <f>D3058+1</f>
        <v>2022</v>
      </c>
      <c r="F3058" s="552">
        <f>E3058+1</f>
        <v>2023</v>
      </c>
      <c r="G3058" s="552">
        <f>F3058+1</f>
        <v>2024</v>
      </c>
      <c r="H3058" s="552">
        <f>G3058+1</f>
        <v>2025</v>
      </c>
    </row>
    <row r="3059" spans="2:8" hidden="1" outlineLevel="1">
      <c r="B3059" t="s">
        <v>929</v>
      </c>
      <c r="D3059" s="16">
        <f>C3056*C3052</f>
        <v>131.5117056</v>
      </c>
      <c r="E3059" s="16">
        <f>D3059</f>
        <v>131.5117056</v>
      </c>
      <c r="F3059" s="16">
        <f>E3059</f>
        <v>131.5117056</v>
      </c>
      <c r="G3059" s="16">
        <f>F3059</f>
        <v>131.5117056</v>
      </c>
      <c r="H3059" s="16">
        <f>G3059</f>
        <v>131.5117056</v>
      </c>
    </row>
    <row r="3060" spans="2:8" hidden="1" outlineLevel="1">
      <c r="B3060" t="s">
        <v>5337</v>
      </c>
      <c r="D3060" s="16">
        <f>D3059</f>
        <v>131.5117056</v>
      </c>
      <c r="E3060" s="16">
        <f>D3060+E3059</f>
        <v>263.0234112</v>
      </c>
      <c r="F3060" s="16">
        <f>E3060+F3059</f>
        <v>394.53511679999997</v>
      </c>
      <c r="G3060" s="16">
        <f>F3060+G3059</f>
        <v>526.0468224</v>
      </c>
      <c r="H3060" s="16">
        <f>G3060+H3059</f>
        <v>657.55852800000002</v>
      </c>
    </row>
    <row r="3061" spans="2:8" hidden="1" outlineLevel="1"/>
    <row r="3062" spans="2:8" hidden="1" outlineLevel="1">
      <c r="B3062" t="s">
        <v>5339</v>
      </c>
      <c r="C3062" s="36">
        <v>3428</v>
      </c>
      <c r="D3062" s="16">
        <f>C3062*1.025</f>
        <v>3513.7</v>
      </c>
      <c r="E3062" s="16">
        <f>D3062*1.025</f>
        <v>3601.5424999999996</v>
      </c>
      <c r="F3062" s="16">
        <f>E3062*1.025</f>
        <v>3691.581062499999</v>
      </c>
      <c r="G3062" s="16">
        <f>F3062*1.025</f>
        <v>3783.8705890624988</v>
      </c>
      <c r="H3062" s="16">
        <f>G3062*1.025</f>
        <v>3878.4673537890608</v>
      </c>
    </row>
    <row r="3063" spans="2:8" hidden="1" outlineLevel="1"/>
    <row r="3064" spans="2:8" hidden="1" outlineLevel="1">
      <c r="B3064" t="s">
        <v>5338</v>
      </c>
    </row>
    <row r="3065" spans="2:8" hidden="1" outlineLevel="1">
      <c r="B3065" t="s">
        <v>482</v>
      </c>
      <c r="C3065" s="16">
        <v>5218.5710420314772</v>
      </c>
      <c r="D3065" s="16">
        <v>5268.9618702867456</v>
      </c>
      <c r="E3065" s="16">
        <v>5359.4161764649416</v>
      </c>
      <c r="F3065" s="16">
        <v>5452.1980924634918</v>
      </c>
      <c r="G3065" s="16">
        <v>5547.3985267207436</v>
      </c>
      <c r="H3065" s="16">
        <v>5645.1138749700567</v>
      </c>
    </row>
    <row r="3066" spans="2:8" hidden="1" outlineLevel="1">
      <c r="B3066" t="s">
        <v>8</v>
      </c>
      <c r="C3066" s="16">
        <v>1722.1284438703876</v>
      </c>
      <c r="D3066" s="16">
        <v>1738.7574171946262</v>
      </c>
      <c r="E3066" s="16">
        <v>1768.6073382334307</v>
      </c>
      <c r="F3066" s="16">
        <v>1799.2253705129524</v>
      </c>
      <c r="G3066" s="16">
        <v>1830.6415138178454</v>
      </c>
      <c r="H3066" s="16">
        <v>1862.8875787401189</v>
      </c>
    </row>
    <row r="3067" spans="2:8" hidden="1" outlineLevel="1">
      <c r="B3067" t="s">
        <v>2048</v>
      </c>
      <c r="C3067" s="5">
        <f t="shared" ref="C3067:H3067" si="310">C3066/C3065</f>
        <v>0.33</v>
      </c>
      <c r="D3067" s="5">
        <f t="shared" si="310"/>
        <v>0.33</v>
      </c>
      <c r="E3067" s="5">
        <f t="shared" si="310"/>
        <v>0.33</v>
      </c>
      <c r="F3067" s="5">
        <f t="shared" si="310"/>
        <v>0.33</v>
      </c>
      <c r="G3067" s="5">
        <f t="shared" si="310"/>
        <v>0.33</v>
      </c>
      <c r="H3067" s="5">
        <f t="shared" si="310"/>
        <v>0.33</v>
      </c>
    </row>
    <row r="3068" spans="2:8" hidden="1" outlineLevel="1">
      <c r="B3068" t="s">
        <v>19</v>
      </c>
      <c r="C3068" s="16">
        <v>730.59994588440691</v>
      </c>
      <c r="D3068" s="16">
        <v>895.7235179487468</v>
      </c>
      <c r="E3068" s="16">
        <v>964.69491176368945</v>
      </c>
      <c r="F3068" s="16">
        <v>981.39565664342854</v>
      </c>
      <c r="G3068" s="16">
        <v>998.53173480973385</v>
      </c>
      <c r="H3068" s="16">
        <v>1016.1204974946102</v>
      </c>
    </row>
    <row r="3069" spans="2:8" hidden="1" outlineLevel="1">
      <c r="B3069" t="s">
        <v>27</v>
      </c>
      <c r="C3069" s="16">
        <f t="shared" ref="C3069:H3069" si="311">C3066-C3068</f>
        <v>991.52849798598072</v>
      </c>
      <c r="D3069" s="16">
        <f t="shared" si="311"/>
        <v>843.03389924587941</v>
      </c>
      <c r="E3069" s="16">
        <f t="shared" si="311"/>
        <v>803.91242646974126</v>
      </c>
      <c r="F3069" s="16">
        <f t="shared" si="311"/>
        <v>817.82971386952386</v>
      </c>
      <c r="G3069" s="16">
        <f t="shared" si="311"/>
        <v>832.10977900811156</v>
      </c>
      <c r="H3069" s="16">
        <f t="shared" si="311"/>
        <v>846.76708124550873</v>
      </c>
    </row>
    <row r="3070" spans="2:8" hidden="1" outlineLevel="1"/>
    <row r="3071" spans="2:8" collapsed="1">
      <c r="B3071" s="12" t="s">
        <v>3871</v>
      </c>
    </row>
    <row r="3072" spans="2:8">
      <c r="B3072" t="str">
        <f>B3065</f>
        <v>Revs</v>
      </c>
      <c r="C3072" s="16">
        <f t="shared" ref="C3072:H3073" si="312">C3065/C$3062*1000</f>
        <v>1522.3369434164169</v>
      </c>
      <c r="D3072" s="16">
        <f t="shared" si="312"/>
        <v>1499.5480178406654</v>
      </c>
      <c r="E3072" s="16">
        <f t="shared" si="312"/>
        <v>1488.0891108365213</v>
      </c>
      <c r="F3072" s="16">
        <f t="shared" si="312"/>
        <v>1476.9276361958509</v>
      </c>
      <c r="G3072" s="16">
        <f t="shared" si="312"/>
        <v>1466.0645484958779</v>
      </c>
      <c r="H3072" s="16">
        <f t="shared" si="312"/>
        <v>1455.5011967433666</v>
      </c>
    </row>
    <row r="3073" spans="2:8">
      <c r="B3073" t="str">
        <f>B3066</f>
        <v>EBITDA</v>
      </c>
      <c r="C3073" s="16">
        <f t="shared" si="312"/>
        <v>502.37119132741759</v>
      </c>
      <c r="D3073" s="16">
        <f t="shared" si="312"/>
        <v>494.85084588741961</v>
      </c>
      <c r="E3073" s="16">
        <f t="shared" si="312"/>
        <v>491.06940657605202</v>
      </c>
      <c r="F3073" s="16">
        <f t="shared" si="312"/>
        <v>487.38611994463088</v>
      </c>
      <c r="G3073" s="16">
        <f t="shared" si="312"/>
        <v>483.80130100363971</v>
      </c>
      <c r="H3073" s="16">
        <f t="shared" si="312"/>
        <v>480.31539492531107</v>
      </c>
    </row>
    <row r="3074" spans="2:8">
      <c r="B3074" t="str">
        <f>B3067</f>
        <v>margin</v>
      </c>
      <c r="C3074" s="5">
        <f t="shared" ref="C3074:H3074" si="313">C3073/C3072</f>
        <v>0.33</v>
      </c>
      <c r="D3074" s="5">
        <f t="shared" si="313"/>
        <v>0.33</v>
      </c>
      <c r="E3074" s="5">
        <f t="shared" si="313"/>
        <v>0.33</v>
      </c>
      <c r="F3074" s="5">
        <f t="shared" si="313"/>
        <v>0.33000000000000007</v>
      </c>
      <c r="G3074" s="5">
        <f t="shared" si="313"/>
        <v>0.33</v>
      </c>
      <c r="H3074" s="5">
        <f t="shared" si="313"/>
        <v>0.33000000000000007</v>
      </c>
    </row>
    <row r="3075" spans="2:8">
      <c r="B3075" t="str">
        <f>B3068</f>
        <v>Capex</v>
      </c>
      <c r="C3075" s="16">
        <f t="shared" ref="C3075:H3075" si="314">C3068/C$3062*1000</f>
        <v>213.1271720782984</v>
      </c>
      <c r="D3075" s="16">
        <f t="shared" si="314"/>
        <v>254.92316303291312</v>
      </c>
      <c r="E3075" s="16">
        <f t="shared" si="314"/>
        <v>267.85603995057386</v>
      </c>
      <c r="F3075" s="16">
        <f t="shared" si="314"/>
        <v>265.84697451525318</v>
      </c>
      <c r="G3075" s="16">
        <f t="shared" si="314"/>
        <v>263.89161872925803</v>
      </c>
      <c r="H3075" s="16">
        <f t="shared" si="314"/>
        <v>261.99021541380603</v>
      </c>
    </row>
    <row r="3076" spans="2:8">
      <c r="B3076" t="str">
        <f>B3069</f>
        <v>OpFCF</v>
      </c>
      <c r="C3076" s="16">
        <f t="shared" ref="C3076:H3076" si="315">C3073-C3075</f>
        <v>289.24401924911922</v>
      </c>
      <c r="D3076" s="16">
        <f t="shared" si="315"/>
        <v>239.92768285450649</v>
      </c>
      <c r="E3076" s="16">
        <f t="shared" si="315"/>
        <v>223.21336662547816</v>
      </c>
      <c r="F3076" s="16">
        <f t="shared" si="315"/>
        <v>221.5391454293777</v>
      </c>
      <c r="G3076" s="16">
        <f t="shared" si="315"/>
        <v>219.90968227438168</v>
      </c>
      <c r="H3076" s="16">
        <f t="shared" si="315"/>
        <v>218.32517951150504</v>
      </c>
    </row>
    <row r="3077" spans="2:8">
      <c r="B3077" t="s">
        <v>377</v>
      </c>
      <c r="C3077" s="16">
        <f t="shared" ref="C3077:H3077" si="316">C3076*0.72</f>
        <v>208.25569385936583</v>
      </c>
      <c r="D3077" s="16">
        <f t="shared" si="316"/>
        <v>172.74793165524466</v>
      </c>
      <c r="E3077" s="16">
        <f t="shared" si="316"/>
        <v>160.71362397034426</v>
      </c>
      <c r="F3077" s="16">
        <f t="shared" si="316"/>
        <v>159.50818470915195</v>
      </c>
      <c r="G3077" s="16">
        <f t="shared" si="316"/>
        <v>158.33497123755481</v>
      </c>
      <c r="H3077" s="16">
        <f t="shared" si="316"/>
        <v>157.19412924828362</v>
      </c>
    </row>
    <row r="3079" spans="2:8">
      <c r="B3079" t="s">
        <v>5341</v>
      </c>
      <c r="C3079" s="486">
        <f>Valuation!K82</f>
        <v>7205.4250000000011</v>
      </c>
      <c r="D3079" s="486">
        <f>Valuation!L82</f>
        <v>7752.1</v>
      </c>
      <c r="E3079" s="486">
        <f>Valuation!M82</f>
        <v>5985.04</v>
      </c>
      <c r="F3079" s="486">
        <f>Valuation!N82</f>
        <v>6965.1</v>
      </c>
      <c r="G3079" s="486">
        <f ca="1">Valuation!O82</f>
        <v>7014.3337002453673</v>
      </c>
      <c r="H3079" s="486">
        <f ca="1">Valuation!P82</f>
        <v>6324.4399585298033</v>
      </c>
    </row>
    <row r="3080" spans="2:8">
      <c r="B3080" t="s">
        <v>5340</v>
      </c>
      <c r="C3080" s="486">
        <f>Valuation!K84</f>
        <v>1601.1351066666668</v>
      </c>
      <c r="D3080" s="486">
        <f>Valuation!L84</f>
        <v>1687.1845060877336</v>
      </c>
      <c r="E3080" s="486">
        <f>Valuation!M84</f>
        <v>1550.9752100000001</v>
      </c>
      <c r="F3080" s="486">
        <f>Valuation!N84</f>
        <v>1506.91075</v>
      </c>
      <c r="G3080" s="486">
        <f>Valuation!O84</f>
        <v>1368.1546169601884</v>
      </c>
      <c r="H3080" s="486">
        <f>Valuation!P84</f>
        <v>1578.5005985688013</v>
      </c>
    </row>
    <row r="3081" spans="2:8">
      <c r="B3081" t="s">
        <v>3091</v>
      </c>
      <c r="C3081" s="558">
        <f t="shared" ref="C3081:H3081" si="317">C3079/C3080</f>
        <v>4.5001979970326556</v>
      </c>
      <c r="D3081" s="558">
        <f t="shared" si="317"/>
        <v>4.594696058450463</v>
      </c>
      <c r="E3081" s="558">
        <f t="shared" si="317"/>
        <v>3.8588882410312668</v>
      </c>
      <c r="F3081" s="558">
        <f t="shared" si="317"/>
        <v>4.6221051910340414</v>
      </c>
      <c r="G3081" s="558">
        <f t="shared" ca="1" si="317"/>
        <v>5.1268574569664125</v>
      </c>
      <c r="H3081" s="558">
        <f t="shared" ca="1" si="317"/>
        <v>4.0066123283475861</v>
      </c>
    </row>
    <row r="3082" spans="2:8">
      <c r="B3082" t="s">
        <v>5345</v>
      </c>
      <c r="C3082" s="558"/>
      <c r="D3082" s="486">
        <f>Valuation!L5</f>
        <v>229.73000000000002</v>
      </c>
      <c r="E3082" s="486">
        <f>Valuation!M5</f>
        <v>215.5</v>
      </c>
      <c r="F3082" s="486">
        <f>Valuation!N5</f>
        <v>204.7</v>
      </c>
      <c r="G3082" s="486">
        <f>Valuation!O5</f>
        <v>184.7</v>
      </c>
      <c r="H3082" s="486">
        <f>Valuation!P5</f>
        <v>169.7</v>
      </c>
    </row>
    <row r="3084" spans="2:8">
      <c r="B3084" t="s">
        <v>1076</v>
      </c>
      <c r="D3084" s="486">
        <f>D3079+$C$3052+D3060</f>
        <v>10836.0117056</v>
      </c>
      <c r="E3084" s="486">
        <f>E3079+$C$3052+E3060</f>
        <v>9200.4634112000003</v>
      </c>
      <c r="F3084" s="486">
        <f>F3079+$C$3052+F3060</f>
        <v>10312.0351168</v>
      </c>
      <c r="G3084" s="486">
        <f ca="1">G3079+$C$3052+G3060</f>
        <v>10492.780522645367</v>
      </c>
      <c r="H3084" s="486">
        <f ca="1">H3079+$C$3052+H3060</f>
        <v>9934.3984865298025</v>
      </c>
    </row>
    <row r="3085" spans="2:8">
      <c r="B3085" t="s">
        <v>1673</v>
      </c>
      <c r="D3085" s="486">
        <f>D3080+D3073</f>
        <v>2182.0353519751534</v>
      </c>
      <c r="E3085" s="486">
        <f>E3080+E3073</f>
        <v>2042.044616576052</v>
      </c>
      <c r="F3085" s="486">
        <f>F3080+F3073</f>
        <v>1994.296869944631</v>
      </c>
      <c r="G3085" s="486">
        <f>G3080+G3073</f>
        <v>1851.9559179638281</v>
      </c>
      <c r="H3085" s="486">
        <f>H3080+H3073</f>
        <v>2058.8159934941123</v>
      </c>
    </row>
    <row r="3086" spans="2:8">
      <c r="B3086" t="s">
        <v>5342</v>
      </c>
      <c r="D3086" s="845">
        <f>D3084/D3085</f>
        <v>4.966011066590359</v>
      </c>
      <c r="E3086" s="845">
        <f>E3084/E3085</f>
        <v>4.5055153724440409</v>
      </c>
      <c r="F3086" s="845">
        <f>F3084/F3085</f>
        <v>5.1707623234078985</v>
      </c>
      <c r="G3086" s="845">
        <f ca="1">G3084/G3085</f>
        <v>5.6657830895790839</v>
      </c>
      <c r="H3086" s="845">
        <f ca="1">H3084/H3085</f>
        <v>4.8252969269340449</v>
      </c>
    </row>
    <row r="3087" spans="2:8">
      <c r="B3087" t="s">
        <v>1166</v>
      </c>
      <c r="D3087" s="16">
        <f>D3082</f>
        <v>229.73000000000002</v>
      </c>
      <c r="E3087" s="16">
        <f>E3082</f>
        <v>215.5</v>
      </c>
      <c r="F3087" s="16">
        <f>F3082</f>
        <v>204.7</v>
      </c>
      <c r="G3087" s="16">
        <f>G3082</f>
        <v>184.7</v>
      </c>
      <c r="H3087" s="16">
        <f>H3082</f>
        <v>169.7</v>
      </c>
    </row>
    <row r="3089" spans="2:8">
      <c r="B3089" t="s">
        <v>5343</v>
      </c>
      <c r="D3089" s="486">
        <f>Valuation!L28</f>
        <v>243.97968593955338</v>
      </c>
      <c r="E3089" s="486">
        <f>Valuation!M28</f>
        <v>229.24999999999997</v>
      </c>
      <c r="F3089" s="486">
        <f>Valuation!N28</f>
        <v>193.96999999999989</v>
      </c>
      <c r="G3089" s="486">
        <f ca="1">Valuation!O28</f>
        <v>136.49958891740317</v>
      </c>
      <c r="H3089" s="486">
        <f ca="1">Valuation!P28</f>
        <v>249.28592382841885</v>
      </c>
    </row>
    <row r="3090" spans="2:8">
      <c r="B3090" t="s">
        <v>1953</v>
      </c>
      <c r="D3090" s="558">
        <f>D3089/D$3082</f>
        <v>1.0620279717039713</v>
      </c>
      <c r="E3090" s="558">
        <f>E3089/E$3082</f>
        <v>1.0638051044083525</v>
      </c>
      <c r="F3090" s="558">
        <f>F3089/F$3082</f>
        <v>0.94758182706399563</v>
      </c>
      <c r="G3090" s="558">
        <f ca="1">G3089/G$3082</f>
        <v>0.73903404936330908</v>
      </c>
      <c r="H3090" s="558">
        <f ca="1">H3089/H$3082</f>
        <v>1.4689801050584494</v>
      </c>
    </row>
    <row r="3091" spans="2:8">
      <c r="B3091" t="s">
        <v>855</v>
      </c>
      <c r="D3091" s="6">
        <f>D3090/Valuation!$B$2</f>
        <v>0.15618058407411345</v>
      </c>
      <c r="E3091" s="6">
        <f>E3090/Valuation!$B$2</f>
        <v>0.15644192711887536</v>
      </c>
      <c r="F3091" s="6">
        <f>F3090/Valuation!$B$2</f>
        <v>0.13935026868588171</v>
      </c>
      <c r="G3091" s="6">
        <f ca="1">G3090/Valuation!$B$2</f>
        <v>0.10868147784754545</v>
      </c>
      <c r="H3091" s="6">
        <f ca="1">H3090/Valuation!$B$2</f>
        <v>0.21602648603800728</v>
      </c>
    </row>
    <row r="3092" spans="2:8">
      <c r="D3092" s="486"/>
      <c r="E3092" s="486"/>
      <c r="F3092" s="486"/>
      <c r="G3092" s="486"/>
      <c r="H3092" s="486"/>
    </row>
    <row r="3093" spans="2:8">
      <c r="B3093" t="s">
        <v>3869</v>
      </c>
      <c r="D3093" s="486">
        <f>D3089+D3077-D3059</f>
        <v>285.21591199479803</v>
      </c>
      <c r="E3093" s="486">
        <f>E3089+E3077-E3059</f>
        <v>258.45191837034417</v>
      </c>
      <c r="F3093" s="486">
        <f>F3089+F3077-F3059</f>
        <v>221.96647910915183</v>
      </c>
      <c r="G3093" s="486">
        <f ca="1">G3089+G3077-G3059</f>
        <v>163.32285455495801</v>
      </c>
      <c r="H3093" s="486">
        <f ca="1">H3089+H3077-H3059</f>
        <v>274.96834747670243</v>
      </c>
    </row>
    <row r="3094" spans="2:8">
      <c r="B3094" t="s">
        <v>1957</v>
      </c>
      <c r="D3094" s="558">
        <f>D3093/D3087</f>
        <v>1.2415266268872067</v>
      </c>
      <c r="E3094" s="558">
        <f>E3093/E3087</f>
        <v>1.1993128462660982</v>
      </c>
      <c r="F3094" s="558">
        <f>F3093/F3087</f>
        <v>1.0843501666299553</v>
      </c>
      <c r="G3094" s="558">
        <f ca="1">G3093/G3087</f>
        <v>0.88426017625857078</v>
      </c>
      <c r="H3094" s="558">
        <f ca="1">H3093/H3087</f>
        <v>1.6203202561974217</v>
      </c>
    </row>
    <row r="3095" spans="2:8">
      <c r="B3095" t="s">
        <v>5344</v>
      </c>
      <c r="D3095" s="6">
        <f>D3094/D3090-1</f>
        <v>0.16901499768903316</v>
      </c>
      <c r="E3095" s="6">
        <f>E3094/E3090-1</f>
        <v>0.1273802328041187</v>
      </c>
      <c r="F3095" s="6">
        <f>F3094/F3090-1</f>
        <v>0.14433406768650792</v>
      </c>
      <c r="G3095" s="6">
        <f ca="1">G3094/G3090-1</f>
        <v>0.19650803237060122</v>
      </c>
      <c r="H3095" s="6">
        <f ca="1">H3094/H3090-1</f>
        <v>0.10302396241979772</v>
      </c>
    </row>
    <row r="3097" spans="2:8" ht="15.75">
      <c r="B3097" s="976" t="s">
        <v>5356</v>
      </c>
    </row>
    <row r="3099" spans="2:8">
      <c r="B3099" t="s">
        <v>5357</v>
      </c>
      <c r="C3099" s="63">
        <f>646*1.22</f>
        <v>788.12</v>
      </c>
    </row>
    <row r="3100" spans="2:8">
      <c r="B3100" t="s">
        <v>1668</v>
      </c>
      <c r="C3100" s="34">
        <v>0.1</v>
      </c>
    </row>
    <row r="3101" spans="2:8">
      <c r="B3101" t="s">
        <v>5332</v>
      </c>
      <c r="C3101" s="16">
        <f>C3099*(1+C3100)</f>
        <v>866.93200000000013</v>
      </c>
    </row>
    <row r="3102" spans="2:8">
      <c r="B3102" t="str">
        <f>B3049</f>
        <v>Implied multiple, 21e EBITDA</v>
      </c>
      <c r="C3102" s="62">
        <f>C3101/D3123</f>
        <v>5.9666276924239545</v>
      </c>
    </row>
    <row r="3104" spans="2:8">
      <c r="B3104" t="s">
        <v>1665</v>
      </c>
      <c r="C3104" s="34">
        <v>1</v>
      </c>
    </row>
    <row r="3105" spans="2:8">
      <c r="B3105" t="s">
        <v>5334</v>
      </c>
      <c r="C3105" s="16">
        <f>C3104*C3101</f>
        <v>866.93200000000013</v>
      </c>
    </row>
    <row r="3106" spans="2:8">
      <c r="B3106" t="s">
        <v>4170</v>
      </c>
      <c r="C3106" s="5">
        <f>100%-C3104</f>
        <v>0</v>
      </c>
    </row>
    <row r="3107" spans="2:8">
      <c r="B3107" t="s">
        <v>5335</v>
      </c>
      <c r="C3107" s="16">
        <f>C3101-C3105</f>
        <v>0</v>
      </c>
    </row>
    <row r="3109" spans="2:8">
      <c r="B3109" t="s">
        <v>5336</v>
      </c>
      <c r="C3109" s="35">
        <f>5.8%*0.72</f>
        <v>4.1759999999999999E-2</v>
      </c>
    </row>
    <row r="3111" spans="2:8" hidden="1" outlineLevel="1">
      <c r="B3111" t="s">
        <v>5346</v>
      </c>
    </row>
    <row r="3112" spans="2:8" hidden="1" outlineLevel="1">
      <c r="B3112" t="s">
        <v>482</v>
      </c>
      <c r="C3112" s="16">
        <v>379.25</v>
      </c>
      <c r="D3112" s="16">
        <v>410.67500000000001</v>
      </c>
      <c r="E3112" s="16">
        <v>414.13175000000001</v>
      </c>
      <c r="F3112" s="16">
        <v>417.62306749999999</v>
      </c>
      <c r="G3112" s="16">
        <v>421.14929817500001</v>
      </c>
      <c r="H3112" s="16">
        <v>424.71079115675002</v>
      </c>
    </row>
    <row r="3113" spans="2:8" hidden="1" outlineLevel="1">
      <c r="B3113" t="s">
        <v>8</v>
      </c>
      <c r="C3113" s="16">
        <v>109.98249999999999</v>
      </c>
      <c r="D3113" s="16">
        <v>119.09575</v>
      </c>
      <c r="E3113" s="16">
        <v>120.0982075</v>
      </c>
      <c r="F3113" s="16">
        <v>121.11068957499999</v>
      </c>
      <c r="G3113" s="16">
        <v>122.13329647075</v>
      </c>
      <c r="H3113" s="16">
        <v>123.16612943545749</v>
      </c>
    </row>
    <row r="3114" spans="2:8" hidden="1" outlineLevel="1">
      <c r="B3114" t="s">
        <v>2048</v>
      </c>
      <c r="C3114" s="5">
        <f t="shared" ref="C3114:H3114" si="318">C3113/C3112</f>
        <v>0.28999999999999998</v>
      </c>
      <c r="D3114" s="5">
        <f t="shared" si="318"/>
        <v>0.28999999999999998</v>
      </c>
      <c r="E3114" s="5">
        <f t="shared" si="318"/>
        <v>0.28999999999999998</v>
      </c>
      <c r="F3114" s="5">
        <f t="shared" si="318"/>
        <v>0.28999999999999998</v>
      </c>
      <c r="G3114" s="5">
        <f t="shared" si="318"/>
        <v>0.28999999999999998</v>
      </c>
      <c r="H3114" s="5">
        <f t="shared" si="318"/>
        <v>0.28999999999999998</v>
      </c>
    </row>
    <row r="3115" spans="2:8" hidden="1" outlineLevel="1">
      <c r="B3115" t="s">
        <v>19</v>
      </c>
      <c r="C3115" s="16">
        <v>34.1325</v>
      </c>
      <c r="D3115" s="16">
        <v>49.280999999999999</v>
      </c>
      <c r="E3115" s="16">
        <v>49.695810000000002</v>
      </c>
      <c r="F3115" s="16">
        <v>50.114768099999999</v>
      </c>
      <c r="G3115" s="16">
        <v>50.537915781000002</v>
      </c>
      <c r="H3115" s="16">
        <v>50.965294938809997</v>
      </c>
    </row>
    <row r="3116" spans="2:8" hidden="1" outlineLevel="1">
      <c r="B3116" t="s">
        <v>27</v>
      </c>
      <c r="C3116" s="16">
        <f t="shared" ref="C3116:H3116" si="319">C3113-C3115</f>
        <v>75.849999999999994</v>
      </c>
      <c r="D3116" s="16">
        <f t="shared" si="319"/>
        <v>69.814750000000004</v>
      </c>
      <c r="E3116" s="16">
        <f t="shared" si="319"/>
        <v>70.402397500000006</v>
      </c>
      <c r="F3116" s="16">
        <f t="shared" si="319"/>
        <v>70.995921474999989</v>
      </c>
      <c r="G3116" s="16">
        <f t="shared" si="319"/>
        <v>71.595380689749987</v>
      </c>
      <c r="H3116" s="16">
        <f t="shared" si="319"/>
        <v>72.200834496647502</v>
      </c>
    </row>
    <row r="3117" spans="2:8" hidden="1" outlineLevel="1"/>
    <row r="3118" spans="2:8" hidden="1" outlineLevel="1">
      <c r="B3118" t="s">
        <v>5347</v>
      </c>
      <c r="C3118" s="36">
        <v>1.22</v>
      </c>
      <c r="D3118">
        <f>C3118</f>
        <v>1.22</v>
      </c>
      <c r="E3118">
        <f>D3118</f>
        <v>1.22</v>
      </c>
      <c r="F3118">
        <f>E3118</f>
        <v>1.22</v>
      </c>
      <c r="G3118">
        <f>F3118</f>
        <v>1.22</v>
      </c>
      <c r="H3118">
        <f>G3118</f>
        <v>1.22</v>
      </c>
    </row>
    <row r="3119" spans="2:8" hidden="1" outlineLevel="1"/>
    <row r="3120" spans="2:8" collapsed="1">
      <c r="B3120" s="552" t="s">
        <v>5348</v>
      </c>
      <c r="C3120" s="552">
        <f t="shared" ref="C3120:H3120" si="320">C3129</f>
        <v>2020</v>
      </c>
      <c r="D3120" s="552">
        <f t="shared" si="320"/>
        <v>2021</v>
      </c>
      <c r="E3120" s="552">
        <f t="shared" si="320"/>
        <v>2022</v>
      </c>
      <c r="F3120" s="552">
        <f t="shared" si="320"/>
        <v>2023</v>
      </c>
      <c r="G3120" s="552">
        <f t="shared" si="320"/>
        <v>2024</v>
      </c>
      <c r="H3120" s="552">
        <f t="shared" si="320"/>
        <v>2025</v>
      </c>
    </row>
    <row r="3121" spans="2:8">
      <c r="B3121" s="12" t="s">
        <v>3871</v>
      </c>
      <c r="C3121" s="12"/>
      <c r="D3121" s="12"/>
      <c r="E3121" s="12"/>
      <c r="F3121" s="12"/>
      <c r="G3121" s="12"/>
      <c r="H3121" s="12"/>
    </row>
    <row r="3122" spans="2:8">
      <c r="B3122" t="str">
        <f>B3112</f>
        <v>Revs</v>
      </c>
      <c r="C3122" s="16">
        <f t="shared" ref="C3122:H3123" si="321">C3112*C$3118</f>
        <v>462.685</v>
      </c>
      <c r="D3122" s="16">
        <f t="shared" si="321"/>
        <v>501.02350000000001</v>
      </c>
      <c r="E3122" s="16">
        <f t="shared" si="321"/>
        <v>505.24073500000003</v>
      </c>
      <c r="F3122" s="16">
        <f t="shared" si="321"/>
        <v>509.50014234999998</v>
      </c>
      <c r="G3122" s="16">
        <f t="shared" si="321"/>
        <v>513.80214377350001</v>
      </c>
      <c r="H3122" s="16">
        <f t="shared" si="321"/>
        <v>518.14716521123501</v>
      </c>
    </row>
    <row r="3123" spans="2:8">
      <c r="B3123" t="str">
        <f>B3113</f>
        <v>EBITDA</v>
      </c>
      <c r="C3123" s="16">
        <f t="shared" si="321"/>
        <v>134.17864999999998</v>
      </c>
      <c r="D3123" s="16">
        <f t="shared" si="321"/>
        <v>145.29681499999998</v>
      </c>
      <c r="E3123" s="16">
        <f t="shared" si="321"/>
        <v>146.51981315</v>
      </c>
      <c r="F3123" s="16">
        <f t="shared" si="321"/>
        <v>147.75504128149998</v>
      </c>
      <c r="G3123" s="16">
        <f t="shared" si="321"/>
        <v>149.002621694315</v>
      </c>
      <c r="H3123" s="16">
        <f t="shared" si="321"/>
        <v>150.26267791125812</v>
      </c>
    </row>
    <row r="3124" spans="2:8">
      <c r="B3124" t="str">
        <f>B3114</f>
        <v>margin</v>
      </c>
      <c r="C3124" s="5">
        <f t="shared" ref="C3124:H3124" si="322">C3123/C3122</f>
        <v>0.28999999999999992</v>
      </c>
      <c r="D3124" s="5">
        <f t="shared" si="322"/>
        <v>0.28999999999999998</v>
      </c>
      <c r="E3124" s="5">
        <f t="shared" si="322"/>
        <v>0.28999999999999998</v>
      </c>
      <c r="F3124" s="5">
        <f t="shared" si="322"/>
        <v>0.28999999999999998</v>
      </c>
      <c r="G3124" s="5">
        <f t="shared" si="322"/>
        <v>0.28999999999999998</v>
      </c>
      <c r="H3124" s="5">
        <f t="shared" si="322"/>
        <v>0.28999999999999992</v>
      </c>
    </row>
    <row r="3125" spans="2:8">
      <c r="B3125" t="str">
        <f>B3115</f>
        <v>Capex</v>
      </c>
      <c r="C3125" s="16">
        <f t="shared" ref="C3125:H3126" si="323">C3115*C$3118</f>
        <v>41.641649999999998</v>
      </c>
      <c r="D3125" s="16">
        <f t="shared" si="323"/>
        <v>60.122819999999997</v>
      </c>
      <c r="E3125" s="16">
        <f t="shared" si="323"/>
        <v>60.628888199999999</v>
      </c>
      <c r="F3125" s="16">
        <f t="shared" si="323"/>
        <v>61.140017082</v>
      </c>
      <c r="G3125" s="16">
        <f t="shared" si="323"/>
        <v>61.656257252820005</v>
      </c>
      <c r="H3125" s="16">
        <f t="shared" si="323"/>
        <v>62.177659825348194</v>
      </c>
    </row>
    <row r="3126" spans="2:8">
      <c r="B3126" t="str">
        <f>B3116</f>
        <v>OpFCF</v>
      </c>
      <c r="C3126" s="16">
        <f t="shared" si="323"/>
        <v>92.536999999999992</v>
      </c>
      <c r="D3126" s="16">
        <f t="shared" si="323"/>
        <v>85.173995000000005</v>
      </c>
      <c r="E3126" s="16">
        <f t="shared" si="323"/>
        <v>85.890924950000013</v>
      </c>
      <c r="F3126" s="16">
        <f t="shared" si="323"/>
        <v>86.615024199499985</v>
      </c>
      <c r="G3126" s="16">
        <f t="shared" si="323"/>
        <v>87.346364441494984</v>
      </c>
      <c r="H3126" s="16">
        <f t="shared" si="323"/>
        <v>88.085018085909951</v>
      </c>
    </row>
    <row r="3127" spans="2:8">
      <c r="B3127" t="s">
        <v>377</v>
      </c>
      <c r="C3127" s="16">
        <f t="shared" ref="C3127:H3127" si="324">C3126*0.72</f>
        <v>66.626639999999995</v>
      </c>
      <c r="D3127" s="16">
        <f t="shared" si="324"/>
        <v>61.3252764</v>
      </c>
      <c r="E3127" s="16">
        <f t="shared" si="324"/>
        <v>61.841465964000008</v>
      </c>
      <c r="F3127" s="16">
        <f t="shared" si="324"/>
        <v>62.362817423639989</v>
      </c>
      <c r="G3127" s="16">
        <f t="shared" si="324"/>
        <v>62.889382397876389</v>
      </c>
      <c r="H3127" s="16">
        <f t="shared" si="324"/>
        <v>63.421213021855159</v>
      </c>
    </row>
    <row r="3128" spans="2:8">
      <c r="C3128" s="16"/>
      <c r="D3128" s="16"/>
      <c r="E3128" s="16"/>
      <c r="F3128" s="16"/>
      <c r="G3128" s="16"/>
      <c r="H3128" s="16"/>
    </row>
    <row r="3129" spans="2:8" hidden="1" outlineLevel="1">
      <c r="B3129" s="552" t="s">
        <v>5352</v>
      </c>
      <c r="C3129" s="552">
        <v>2020</v>
      </c>
      <c r="D3129" s="552">
        <v>2021</v>
      </c>
      <c r="E3129" s="552">
        <f>D3129+1</f>
        <v>2022</v>
      </c>
      <c r="F3129" s="552">
        <f>E3129+1</f>
        <v>2023</v>
      </c>
      <c r="G3129" s="552">
        <f>F3129+1</f>
        <v>2024</v>
      </c>
      <c r="H3129" s="552">
        <f>G3129+1</f>
        <v>2025</v>
      </c>
    </row>
    <row r="3130" spans="2:8" hidden="1" outlineLevel="1">
      <c r="B3130" t="s">
        <v>929</v>
      </c>
      <c r="D3130" s="16">
        <f>C3109*C3105</f>
        <v>36.203080320000005</v>
      </c>
      <c r="E3130" s="16">
        <f>D3130</f>
        <v>36.203080320000005</v>
      </c>
      <c r="F3130" s="16">
        <f>E3130</f>
        <v>36.203080320000005</v>
      </c>
      <c r="G3130" s="16">
        <f>F3130</f>
        <v>36.203080320000005</v>
      </c>
      <c r="H3130" s="16">
        <f>G3130</f>
        <v>36.203080320000005</v>
      </c>
    </row>
    <row r="3131" spans="2:8" hidden="1" outlineLevel="1">
      <c r="B3131" t="s">
        <v>5337</v>
      </c>
      <c r="D3131" s="16">
        <f>D3130</f>
        <v>36.203080320000005</v>
      </c>
      <c r="E3131" s="16">
        <f>D3131+E3130</f>
        <v>72.40616064000001</v>
      </c>
      <c r="F3131" s="16">
        <f>E3131+F3130</f>
        <v>108.60924096000002</v>
      </c>
      <c r="G3131" s="16">
        <f>F3131+G3130</f>
        <v>144.81232128000002</v>
      </c>
      <c r="H3131" s="16">
        <f>G3131+H3130</f>
        <v>181.01540160000002</v>
      </c>
    </row>
    <row r="3132" spans="2:8" hidden="1" outlineLevel="1"/>
    <row r="3133" spans="2:8" collapsed="1">
      <c r="B3133" t="s">
        <v>1076</v>
      </c>
      <c r="D3133" s="486">
        <f>D3084+$C$3105+D3131</f>
        <v>11739.14678592</v>
      </c>
      <c r="E3133" s="486">
        <f>E3084+$C$3105+E3131</f>
        <v>10139.80157184</v>
      </c>
      <c r="F3133" s="486">
        <f>F3084+$C$3105+F3131</f>
        <v>11287.576357760001</v>
      </c>
      <c r="G3133" s="486">
        <f ca="1">G3084+$C$3105+G3131</f>
        <v>11504.524843925368</v>
      </c>
      <c r="H3133" s="486">
        <f ca="1">H3084+$C$3105+H3131</f>
        <v>10982.345888129803</v>
      </c>
    </row>
    <row r="3134" spans="2:8">
      <c r="B3134" t="s">
        <v>1414</v>
      </c>
      <c r="D3134" s="486">
        <f>D3085+D3123</f>
        <v>2327.3321669751535</v>
      </c>
      <c r="E3134" s="486">
        <f>E3085+E3123</f>
        <v>2188.5644297260519</v>
      </c>
      <c r="F3134" s="486">
        <f>F3085+F3123</f>
        <v>2142.0519112261309</v>
      </c>
      <c r="G3134" s="486">
        <f>G3085+G3123</f>
        <v>2000.9585396581431</v>
      </c>
      <c r="H3134" s="486">
        <f>H3085+H3123</f>
        <v>2209.0786714053702</v>
      </c>
    </row>
    <row r="3135" spans="2:8">
      <c r="B3135" t="s">
        <v>5349</v>
      </c>
      <c r="D3135" s="845">
        <f>D3133/D3134</f>
        <v>5.0440358073929064</v>
      </c>
      <c r="E3135" s="845">
        <f>E3133/E3134</f>
        <v>4.6330834194857244</v>
      </c>
      <c r="F3135" s="845">
        <f>F3133/F3134</f>
        <v>5.2695157846566305</v>
      </c>
      <c r="G3135" s="845">
        <f ca="1">G3133/G3134</f>
        <v>5.7495068567941825</v>
      </c>
      <c r="H3135" s="845">
        <f ca="1">H3133/H3134</f>
        <v>4.9714598353996422</v>
      </c>
    </row>
    <row r="3136" spans="2:8">
      <c r="B3136" t="s">
        <v>1166</v>
      </c>
      <c r="D3136" s="16">
        <f>D3087</f>
        <v>229.73000000000002</v>
      </c>
      <c r="E3136" s="16">
        <f>E3087</f>
        <v>215.5</v>
      </c>
      <c r="F3136" s="16">
        <f>F3087</f>
        <v>204.7</v>
      </c>
      <c r="G3136" s="16">
        <f>G3087</f>
        <v>184.7</v>
      </c>
      <c r="H3136" s="16">
        <f>H3087</f>
        <v>169.7</v>
      </c>
    </row>
    <row r="3138" spans="2:8">
      <c r="B3138" t="s">
        <v>3869</v>
      </c>
      <c r="D3138" s="486">
        <f>D3093+D3127-D3130</f>
        <v>310.33810807479801</v>
      </c>
      <c r="E3138" s="486">
        <f>E3093+E3127-E3130</f>
        <v>284.09030401434416</v>
      </c>
      <c r="F3138" s="486">
        <f>F3093+F3127-F3130</f>
        <v>248.12621621279183</v>
      </c>
      <c r="G3138" s="486">
        <f ca="1">G3093+G3127-G3130</f>
        <v>190.00915663283442</v>
      </c>
      <c r="H3138" s="486">
        <f ca="1">H3093+H3127-H3130</f>
        <v>302.18648017855759</v>
      </c>
    </row>
    <row r="3139" spans="2:8">
      <c r="B3139" t="s">
        <v>1957</v>
      </c>
      <c r="D3139" s="845">
        <f>D3138/D3136</f>
        <v>1.3508819399938972</v>
      </c>
      <c r="E3139" s="845">
        <f>E3138/E3136</f>
        <v>1.3182844733844277</v>
      </c>
      <c r="F3139" s="845">
        <f>F3138/F3136</f>
        <v>1.2121456580986412</v>
      </c>
      <c r="G3139" s="845">
        <f ca="1">G3138/G3136</f>
        <v>1.0287447570808577</v>
      </c>
      <c r="H3139" s="845">
        <f ca="1">H3138/H3136</f>
        <v>1.7807099598029323</v>
      </c>
    </row>
    <row r="3140" spans="2:8">
      <c r="B3140" t="s">
        <v>5351</v>
      </c>
      <c r="D3140" s="5">
        <f>D3139/D3090-1</f>
        <v>0.27198339025522467</v>
      </c>
      <c r="E3140" s="5">
        <f>E3139/E3090-1</f>
        <v>0.239216157096376</v>
      </c>
      <c r="F3140" s="5">
        <f>F3139/F3090-1</f>
        <v>0.27919892876626262</v>
      </c>
      <c r="G3140" s="5">
        <f ca="1">G3139/G3090-1</f>
        <v>0.3920126656777716</v>
      </c>
      <c r="H3140" s="5">
        <f ca="1">H3139/H3090-1</f>
        <v>0.2122083571254898</v>
      </c>
    </row>
    <row r="3142" spans="2:8">
      <c r="B3142" s="3" t="s">
        <v>3091</v>
      </c>
      <c r="C3142" s="3"/>
      <c r="D3142" s="3">
        <f>D3129</f>
        <v>2021</v>
      </c>
      <c r="E3142" s="3">
        <f>E3129</f>
        <v>2022</v>
      </c>
      <c r="F3142" s="3">
        <f>F3129</f>
        <v>2023</v>
      </c>
      <c r="G3142" s="3">
        <f>G3129</f>
        <v>2024</v>
      </c>
      <c r="H3142" s="3">
        <f>H3129</f>
        <v>2025</v>
      </c>
    </row>
    <row r="3143" spans="2:8">
      <c r="B3143" t="s">
        <v>5353</v>
      </c>
      <c r="D3143" s="558">
        <f>D3081</f>
        <v>4.594696058450463</v>
      </c>
      <c r="E3143" s="558">
        <f>E3081</f>
        <v>3.8588882410312668</v>
      </c>
      <c r="F3143" s="558">
        <f>F3081</f>
        <v>4.6221051910340414</v>
      </c>
      <c r="G3143" s="558">
        <f ca="1">G3081</f>
        <v>5.1268574569664125</v>
      </c>
      <c r="H3143" s="558">
        <f ca="1">H3081</f>
        <v>4.0066123283475861</v>
      </c>
    </row>
    <row r="3144" spans="2:8">
      <c r="B3144" t="s">
        <v>5354</v>
      </c>
      <c r="D3144" s="62">
        <f>D3086</f>
        <v>4.966011066590359</v>
      </c>
      <c r="E3144" s="62">
        <f>E3086</f>
        <v>4.5055153724440409</v>
      </c>
      <c r="F3144" s="62">
        <f>F3086</f>
        <v>5.1707623234078985</v>
      </c>
      <c r="G3144" s="62">
        <f ca="1">G3086</f>
        <v>5.6657830895790839</v>
      </c>
      <c r="H3144" s="62">
        <f ca="1">H3086</f>
        <v>4.8252969269340449</v>
      </c>
    </row>
    <row r="3145" spans="2:8">
      <c r="B3145" t="s">
        <v>5355</v>
      </c>
      <c r="D3145" s="62">
        <f>D3135</f>
        <v>5.0440358073929064</v>
      </c>
      <c r="E3145" s="62">
        <f>E3135</f>
        <v>4.6330834194857244</v>
      </c>
      <c r="F3145" s="62">
        <f>F3135</f>
        <v>5.2695157846566305</v>
      </c>
      <c r="G3145" s="62">
        <f ca="1">G3135</f>
        <v>5.7495068567941825</v>
      </c>
      <c r="H3145" s="62">
        <f ca="1">H3135</f>
        <v>4.9714598353996422</v>
      </c>
    </row>
    <row r="3147" spans="2:8">
      <c r="B3147" t="s">
        <v>1953</v>
      </c>
      <c r="D3147">
        <f>D3142</f>
        <v>2021</v>
      </c>
      <c r="E3147">
        <f>E3142</f>
        <v>2022</v>
      </c>
      <c r="F3147">
        <f>F3142</f>
        <v>2023</v>
      </c>
      <c r="G3147">
        <f>G3142</f>
        <v>2024</v>
      </c>
      <c r="H3147">
        <f>H3142</f>
        <v>2025</v>
      </c>
    </row>
    <row r="3148" spans="2:8">
      <c r="B3148" t="str">
        <f>B3143</f>
        <v>Base case</v>
      </c>
      <c r="D3148" s="558">
        <f>D3090</f>
        <v>1.0620279717039713</v>
      </c>
      <c r="E3148" s="558">
        <f>E3090</f>
        <v>1.0638051044083525</v>
      </c>
      <c r="F3148" s="558">
        <f>F3090</f>
        <v>0.94758182706399563</v>
      </c>
      <c r="G3148" s="558">
        <f ca="1">G3090</f>
        <v>0.73903404936330908</v>
      </c>
      <c r="H3148" s="558">
        <f ca="1">H3090</f>
        <v>1.4689801050584494</v>
      </c>
    </row>
    <row r="3149" spans="2:8">
      <c r="B3149" t="str">
        <f>B3144</f>
        <v>w/ Colombia</v>
      </c>
      <c r="D3149" s="558">
        <f>D3094</f>
        <v>1.2415266268872067</v>
      </c>
      <c r="E3149" s="558">
        <f>E3094</f>
        <v>1.1993128462660982</v>
      </c>
      <c r="F3149" s="558">
        <f>F3094</f>
        <v>1.0843501666299553</v>
      </c>
      <c r="G3149" s="558">
        <f ca="1">G3094</f>
        <v>0.88426017625857078</v>
      </c>
      <c r="H3149" s="558">
        <f ca="1">H3094</f>
        <v>1.6203202561974217</v>
      </c>
    </row>
    <row r="3150" spans="2:8">
      <c r="B3150" t="str">
        <f>B3145</f>
        <v>w/ Colombia and Ecuador</v>
      </c>
      <c r="D3150" s="62">
        <f>D3139</f>
        <v>1.3508819399938972</v>
      </c>
      <c r="E3150" s="62">
        <f>E3139</f>
        <v>1.3182844733844277</v>
      </c>
      <c r="F3150" s="62">
        <f>F3139</f>
        <v>1.2121456580986412</v>
      </c>
      <c r="G3150" s="62">
        <f ca="1">G3139</f>
        <v>1.0287447570808577</v>
      </c>
      <c r="H3150" s="62">
        <f ca="1">H3139</f>
        <v>1.7807099598029323</v>
      </c>
    </row>
    <row r="3164" spans="2:4">
      <c r="B3164" t="s">
        <v>5499</v>
      </c>
    </row>
    <row r="3166" spans="2:4">
      <c r="B3166" s="3" t="s">
        <v>935</v>
      </c>
      <c r="C3166" s="4" t="s">
        <v>5503</v>
      </c>
      <c r="D3166" s="4" t="s">
        <v>5504</v>
      </c>
    </row>
    <row r="3167" spans="2:4">
      <c r="B3167" t="s">
        <v>5502</v>
      </c>
      <c r="C3167" s="6">
        <f>'LiLAC valuation'!BA357</f>
        <v>0.19097222222222188</v>
      </c>
      <c r="D3167" s="6">
        <f>'LiLAC valuation'!BA355</f>
        <v>0.28097345132743334</v>
      </c>
    </row>
    <row r="3168" spans="2:4">
      <c r="B3168" t="s">
        <v>5505</v>
      </c>
      <c r="C3168" s="6">
        <v>8.0000000000000002E-3</v>
      </c>
      <c r="D3168" s="6">
        <v>0.14000000000000001</v>
      </c>
    </row>
    <row r="3169" spans="2:7">
      <c r="B3169" t="s">
        <v>3682</v>
      </c>
      <c r="C3169" s="6">
        <v>4.4999999999999998E-2</v>
      </c>
      <c r="D3169" s="6">
        <v>0.127</v>
      </c>
    </row>
    <row r="3170" spans="2:7">
      <c r="B3170" t="s">
        <v>5501</v>
      </c>
      <c r="C3170" s="6">
        <v>8.5000000000000006E-2</v>
      </c>
      <c r="D3170" s="6">
        <v>0.10713325258318496</v>
      </c>
    </row>
    <row r="3171" spans="2:7">
      <c r="B3171" t="s">
        <v>3681</v>
      </c>
      <c r="C3171" s="6">
        <v>6.6000000000000003E-2</v>
      </c>
      <c r="D3171" s="6">
        <v>8.5000000000000006E-2</v>
      </c>
    </row>
    <row r="3172" spans="2:7">
      <c r="B3172" t="s">
        <v>5500</v>
      </c>
      <c r="C3172" s="6">
        <f>'New quarts'!CD117</f>
        <v>-4.4025157232704393E-2</v>
      </c>
      <c r="D3172" s="6">
        <f>'New quarts'!CD111</f>
        <v>-2.2935779816513735E-2</v>
      </c>
    </row>
    <row r="3173" spans="2:7">
      <c r="B3173" t="s">
        <v>5509</v>
      </c>
      <c r="C3173" s="6">
        <v>0.01</v>
      </c>
      <c r="D3173" s="6"/>
    </row>
    <row r="3174" spans="2:7">
      <c r="B3174" t="s">
        <v>5506</v>
      </c>
      <c r="C3174" s="6">
        <v>0</v>
      </c>
    </row>
    <row r="3175" spans="2:7">
      <c r="B3175" t="s">
        <v>5507</v>
      </c>
      <c r="C3175" s="6">
        <v>-8.9999999999999993E-3</v>
      </c>
    </row>
    <row r="3176" spans="2:7">
      <c r="B3176" t="s">
        <v>5508</v>
      </c>
      <c r="C3176" s="6">
        <v>-2.5999999999999999E-2</v>
      </c>
    </row>
    <row r="3181" spans="2:7">
      <c r="B3181" t="s">
        <v>15</v>
      </c>
    </row>
    <row r="3182" spans="2:7">
      <c r="B3182" s="1108" t="s">
        <v>5664</v>
      </c>
      <c r="C3182" s="952" t="s">
        <v>3871</v>
      </c>
    </row>
    <row r="3183" spans="2:7" ht="15.75">
      <c r="B3183" s="648" t="s">
        <v>5510</v>
      </c>
      <c r="C3183" s="648">
        <f>Notes!C3083</f>
        <v>250</v>
      </c>
      <c r="D3183" s="53"/>
      <c r="E3183" s="53"/>
      <c r="F3183" s="53"/>
      <c r="G3183" s="53"/>
    </row>
    <row r="3184" spans="2:7" ht="15.75">
      <c r="B3184" s="53" t="s">
        <v>5731</v>
      </c>
      <c r="C3184" s="53">
        <f>Notes!C3084</f>
        <v>100</v>
      </c>
      <c r="D3184" s="53"/>
      <c r="E3184" s="53"/>
      <c r="F3184" s="53"/>
      <c r="G3184" s="53"/>
    </row>
    <row r="3185" spans="2:7" ht="15.75">
      <c r="B3185" s="666" t="s">
        <v>5511</v>
      </c>
      <c r="C3185" s="666">
        <f>Notes!C3085</f>
        <v>50</v>
      </c>
      <c r="D3185" s="53"/>
      <c r="E3185" s="53"/>
      <c r="F3185" s="53"/>
      <c r="G3185" s="53"/>
    </row>
    <row r="3186" spans="2:7" ht="15.75">
      <c r="B3186" s="58" t="s">
        <v>5516</v>
      </c>
      <c r="C3186" s="58">
        <f>Notes!C3086</f>
        <v>400</v>
      </c>
      <c r="D3186" s="53"/>
      <c r="E3186" s="53"/>
      <c r="F3186" s="53"/>
      <c r="G3186" s="53"/>
    </row>
    <row r="3187" spans="2:7" ht="15.75">
      <c r="B3187" s="648"/>
      <c r="C3187" s="648"/>
      <c r="D3187" s="53"/>
      <c r="E3187" s="53"/>
      <c r="F3187" s="53"/>
      <c r="G3187" s="53"/>
    </row>
    <row r="3188" spans="2:7" ht="15.75">
      <c r="B3188" s="53" t="s">
        <v>8</v>
      </c>
      <c r="C3188" s="53">
        <f>C3189*C3186</f>
        <v>220.00000000000003</v>
      </c>
      <c r="D3188" s="53"/>
      <c r="E3188" s="53"/>
      <c r="F3188" s="53"/>
      <c r="G3188" s="53"/>
    </row>
    <row r="3189" spans="2:7" ht="15.75">
      <c r="B3189" s="1109" t="s">
        <v>251</v>
      </c>
      <c r="C3189" s="912">
        <v>0.55000000000000004</v>
      </c>
      <c r="D3189" s="53"/>
      <c r="E3189" s="53"/>
      <c r="F3189" s="53"/>
      <c r="G3189" s="621"/>
    </row>
    <row r="3190" spans="2:7" ht="15.75">
      <c r="B3190" s="53"/>
      <c r="C3190" s="53"/>
      <c r="D3190" s="53"/>
      <c r="E3190" s="53"/>
      <c r="F3190" s="53"/>
      <c r="G3190" s="53"/>
    </row>
    <row r="3191" spans="2:7" ht="15.75">
      <c r="B3191" s="1109" t="s">
        <v>5515</v>
      </c>
      <c r="C3191" s="1110">
        <v>5</v>
      </c>
      <c r="D3191" s="1110">
        <v>6</v>
      </c>
      <c r="E3191" s="1110">
        <v>7</v>
      </c>
      <c r="F3191" s="1110">
        <v>8</v>
      </c>
      <c r="G3191" s="1110">
        <v>9</v>
      </c>
    </row>
    <row r="3192" spans="2:7" ht="15.75">
      <c r="B3192" s="53" t="s">
        <v>5669</v>
      </c>
      <c r="C3192" s="630">
        <f>C3191*$C$3188</f>
        <v>1100.0000000000002</v>
      </c>
      <c r="D3192" s="630">
        <f>D3191*$C$3188</f>
        <v>1320.0000000000002</v>
      </c>
      <c r="E3192" s="630">
        <f>E3191*$C$3188</f>
        <v>1540.0000000000002</v>
      </c>
      <c r="F3192" s="630">
        <f>F3191*$C$3188</f>
        <v>1760.0000000000002</v>
      </c>
      <c r="G3192" s="630">
        <f>G3191*$C$3188</f>
        <v>1980.0000000000002</v>
      </c>
    </row>
    <row r="3193" spans="2:7" ht="15.75">
      <c r="B3193" s="666" t="s">
        <v>5512</v>
      </c>
      <c r="C3193" s="666">
        <f>-C3185*6</f>
        <v>-300</v>
      </c>
      <c r="D3193" s="666">
        <f>C3193</f>
        <v>-300</v>
      </c>
      <c r="E3193" s="666">
        <f>D3193</f>
        <v>-300</v>
      </c>
      <c r="F3193" s="666">
        <f>E3193</f>
        <v>-300</v>
      </c>
      <c r="G3193" s="666">
        <f>F3193</f>
        <v>-300</v>
      </c>
    </row>
    <row r="3194" spans="2:7" ht="15.75">
      <c r="B3194" s="53" t="s">
        <v>5668</v>
      </c>
      <c r="C3194" s="630">
        <f>C3192+C3193</f>
        <v>800.00000000000023</v>
      </c>
      <c r="D3194" s="630">
        <f>D3192+D3193</f>
        <v>1020.0000000000002</v>
      </c>
      <c r="E3194" s="630">
        <f>E3192+E3193</f>
        <v>1240.0000000000002</v>
      </c>
      <c r="F3194" s="630">
        <f>F3192+F3193</f>
        <v>1460.0000000000002</v>
      </c>
      <c r="G3194" s="630">
        <f>G3192+G3193</f>
        <v>1680.0000000000002</v>
      </c>
    </row>
    <row r="3195" spans="2:7" ht="15.75">
      <c r="B3195" s="648" t="s">
        <v>5514</v>
      </c>
      <c r="C3195" s="649">
        <f>(C3188-C3185)*6</f>
        <v>1020.0000000000002</v>
      </c>
      <c r="D3195" s="649">
        <f>C3195</f>
        <v>1020.0000000000002</v>
      </c>
      <c r="E3195" s="649">
        <f>D3195</f>
        <v>1020.0000000000002</v>
      </c>
      <c r="F3195" s="649">
        <f>E3195</f>
        <v>1020.0000000000002</v>
      </c>
      <c r="G3195" s="649">
        <f>F3195</f>
        <v>1020.0000000000002</v>
      </c>
    </row>
    <row r="3196" spans="2:7" ht="16.5" thickBot="1">
      <c r="B3196" s="53" t="s">
        <v>5513</v>
      </c>
      <c r="C3196" s="53">
        <f>C3194-C3195</f>
        <v>-220</v>
      </c>
      <c r="D3196" s="53">
        <f>D3194-D3195</f>
        <v>0</v>
      </c>
      <c r="E3196" s="53">
        <f>E3194-E3195</f>
        <v>220</v>
      </c>
      <c r="F3196" s="53">
        <f>F3194-F3195</f>
        <v>440</v>
      </c>
      <c r="G3196" s="53">
        <f>G3194-G3195</f>
        <v>660</v>
      </c>
    </row>
    <row r="3197" spans="2:7" ht="16.5" thickBot="1">
      <c r="B3197" s="1111" t="s">
        <v>4296</v>
      </c>
      <c r="C3197" s="1112">
        <f>C3196/Valuation!$K$5</f>
        <v>-0.94815325604447698</v>
      </c>
      <c r="D3197" s="1112">
        <f>D3196/Valuation!$K$5</f>
        <v>0</v>
      </c>
      <c r="E3197" s="1112">
        <f>E3196/Valuation!$K$5</f>
        <v>0.94815325604447698</v>
      </c>
      <c r="F3197" s="1112">
        <f>F3196/Valuation!$K$5</f>
        <v>1.896306512088954</v>
      </c>
      <c r="G3197" s="1113">
        <f>G3196/Valuation!$K$5</f>
        <v>2.8444597681334312</v>
      </c>
    </row>
    <row r="3199" spans="2:7">
      <c r="B3199" s="552"/>
      <c r="C3199" s="552">
        <v>2021</v>
      </c>
      <c r="D3199" s="552">
        <f>C3199+1</f>
        <v>2022</v>
      </c>
      <c r="E3199" s="552">
        <f>D3199+1</f>
        <v>2023</v>
      </c>
      <c r="F3199" s="552">
        <f>E3199+1</f>
        <v>2024</v>
      </c>
      <c r="G3199" s="552">
        <f>F3199+1</f>
        <v>2025</v>
      </c>
    </row>
    <row r="3200" spans="2:7" ht="15.75">
      <c r="B3200" s="53" t="s">
        <v>5527</v>
      </c>
      <c r="C3200" s="486">
        <f>Valuation!L28</f>
        <v>243.97968593955338</v>
      </c>
      <c r="D3200" s="486">
        <f>Valuation!M28</f>
        <v>229.24999999999997</v>
      </c>
      <c r="E3200" s="486">
        <f>Valuation!N28</f>
        <v>193.96999999999989</v>
      </c>
      <c r="F3200" s="486">
        <f ca="1">Valuation!O28</f>
        <v>136.49958891740317</v>
      </c>
      <c r="G3200" s="486">
        <f ca="1">Valuation!P28</f>
        <v>249.28592382841885</v>
      </c>
    </row>
    <row r="3201" spans="2:7" ht="15.75">
      <c r="B3201" s="53" t="s">
        <v>5531</v>
      </c>
      <c r="C3201" s="486">
        <f>C3208-C3200</f>
        <v>86.039999999999992</v>
      </c>
      <c r="D3201" s="486">
        <f>D3208-D3200</f>
        <v>61.200000000000017</v>
      </c>
      <c r="E3201" s="486">
        <f>E3208-E3200</f>
        <v>61.199999999999989</v>
      </c>
      <c r="F3201" s="486">
        <f ca="1">F3208-F3200</f>
        <v>38.159999999999997</v>
      </c>
      <c r="G3201" s="486">
        <f ca="1">G3208-G3200</f>
        <v>0</v>
      </c>
    </row>
    <row r="3202" spans="2:7" ht="15.75">
      <c r="B3202" s="53" t="s">
        <v>855</v>
      </c>
      <c r="C3202" s="5">
        <f>C3208/Valuation!L8</f>
        <v>0.21125802792763973</v>
      </c>
      <c r="D3202" s="5">
        <f>D3208/Valuation!M8</f>
        <v>0.1982052681861608</v>
      </c>
      <c r="E3202" s="5">
        <f>E3208/Valuation!N8</f>
        <v>0.18331704934049822</v>
      </c>
      <c r="F3202" s="5">
        <f ca="1">F3208/Valuation!O8</f>
        <v>0.13906461106834866</v>
      </c>
      <c r="G3202" s="5">
        <f ca="1">G3208/Valuation!P8</f>
        <v>0.21602648603800728</v>
      </c>
    </row>
    <row r="3203" spans="2:7" ht="15.75">
      <c r="B3203" s="53" t="s">
        <v>5528</v>
      </c>
      <c r="C3203" s="16">
        <f>'Puerto Rico'!I76+37.5</f>
        <v>49.5</v>
      </c>
      <c r="D3203" s="16">
        <f>'Puerto Rico'!J76</f>
        <v>15</v>
      </c>
      <c r="E3203" s="16">
        <f>'Puerto Rico'!K76</f>
        <v>25</v>
      </c>
      <c r="F3203" s="16">
        <f>'Puerto Rico'!L76</f>
        <v>23</v>
      </c>
      <c r="G3203" s="16">
        <f>'Puerto Rico'!M76</f>
        <v>0</v>
      </c>
    </row>
    <row r="3204" spans="2:7" ht="15.75">
      <c r="B3204" s="50" t="s">
        <v>3000</v>
      </c>
      <c r="C3204" s="64">
        <f>70-'Puerto Rico'!I78</f>
        <v>70</v>
      </c>
      <c r="D3204" s="64">
        <f>70-'Puerto Rico'!J78</f>
        <v>70</v>
      </c>
      <c r="E3204" s="64">
        <f>70-'Puerto Rico'!K78</f>
        <v>60</v>
      </c>
      <c r="F3204" s="64">
        <f>70-'Puerto Rico'!L78</f>
        <v>30</v>
      </c>
      <c r="G3204" s="64">
        <f>70-'Puerto Rico'!M78</f>
        <v>0</v>
      </c>
    </row>
    <row r="3205" spans="2:7" ht="15.75">
      <c r="B3205" s="53" t="s">
        <v>5529</v>
      </c>
      <c r="C3205" s="16">
        <f>C3203+C3204</f>
        <v>119.5</v>
      </c>
      <c r="D3205" s="16">
        <f>D3203+D3204</f>
        <v>85</v>
      </c>
      <c r="E3205" s="16">
        <f>E3203+E3204</f>
        <v>85</v>
      </c>
      <c r="F3205" s="16">
        <f>F3203+F3204</f>
        <v>53</v>
      </c>
      <c r="G3205" s="16">
        <f>G3203+G3204</f>
        <v>0</v>
      </c>
    </row>
    <row r="3206" spans="2:7" ht="15.75">
      <c r="B3206" s="53" t="s">
        <v>1979</v>
      </c>
      <c r="C3206">
        <f>C3205*0.72</f>
        <v>86.039999999999992</v>
      </c>
      <c r="D3206" s="16">
        <f>D3205*0.72</f>
        <v>61.199999999999996</v>
      </c>
      <c r="E3206" s="16">
        <f>E3205*0.72</f>
        <v>61.199999999999996</v>
      </c>
      <c r="F3206" s="16">
        <f>F3205*0.72</f>
        <v>38.159999999999997</v>
      </c>
      <c r="G3206" s="16">
        <f>G3205*0.72</f>
        <v>0</v>
      </c>
    </row>
    <row r="3207" spans="2:7" ht="15.75">
      <c r="B3207" s="53"/>
      <c r="D3207" s="16"/>
      <c r="E3207" s="16"/>
      <c r="F3207" s="16"/>
      <c r="G3207" s="16"/>
    </row>
    <row r="3208" spans="2:7" ht="15.75">
      <c r="B3208" s="53" t="s">
        <v>5530</v>
      </c>
      <c r="C3208" s="486">
        <f>C3200+C3206</f>
        <v>330.01968593955337</v>
      </c>
      <c r="D3208" s="486">
        <f>D3200+D3206</f>
        <v>290.45</v>
      </c>
      <c r="E3208" s="486">
        <f>E3200+E3206</f>
        <v>255.16999999999987</v>
      </c>
      <c r="F3208" s="486">
        <f ca="1">F3200+F3206</f>
        <v>174.65958891740317</v>
      </c>
      <c r="G3208" s="486">
        <f ca="1">G3200+G3206</f>
        <v>249.28592382841885</v>
      </c>
    </row>
    <row r="3210" spans="2:7" ht="15.75">
      <c r="B3210" s="1061" t="s">
        <v>5532</v>
      </c>
      <c r="C3210" s="53"/>
      <c r="D3210" s="53"/>
      <c r="E3210" s="53"/>
      <c r="F3210" s="53"/>
      <c r="G3210" s="53"/>
    </row>
    <row r="3211" spans="2:7" ht="16.5" thickBot="1">
      <c r="B3211" s="53"/>
      <c r="C3211" s="53"/>
      <c r="D3211" s="53"/>
      <c r="E3211" s="53"/>
      <c r="F3211" s="53"/>
      <c r="G3211" s="53"/>
    </row>
    <row r="3212" spans="2:7" ht="16.5" thickBot="1">
      <c r="B3212" s="648" t="s">
        <v>5672</v>
      </c>
      <c r="C3212" s="1114">
        <v>10</v>
      </c>
      <c r="D3212" s="53"/>
      <c r="E3212" s="53"/>
      <c r="F3212" s="53"/>
      <c r="G3212" s="53"/>
    </row>
    <row r="3213" spans="2:7" ht="15.75">
      <c r="B3213" s="53" t="s">
        <v>5673</v>
      </c>
      <c r="C3213" s="53">
        <f>C3188</f>
        <v>220.00000000000003</v>
      </c>
      <c r="D3213" s="53"/>
      <c r="E3213" s="53"/>
      <c r="F3213" s="53"/>
      <c r="G3213" s="53"/>
    </row>
    <row r="3214" spans="2:7" ht="15.75">
      <c r="B3214" s="648" t="s">
        <v>5674</v>
      </c>
      <c r="C3214" s="648">
        <f>C3212*C3213</f>
        <v>2200.0000000000005</v>
      </c>
      <c r="D3214" s="53"/>
      <c r="E3214" s="53"/>
      <c r="F3214" s="53"/>
      <c r="G3214" s="53"/>
    </row>
    <row r="3215" spans="2:7" ht="15.75">
      <c r="B3215" s="53" t="s">
        <v>1954</v>
      </c>
      <c r="C3215" s="56">
        <f>0.06*0.72</f>
        <v>4.3199999999999995E-2</v>
      </c>
      <c r="D3215" s="53"/>
      <c r="E3215" s="53"/>
      <c r="F3215" s="53"/>
      <c r="G3215" s="53"/>
    </row>
    <row r="3216" spans="2:7" ht="15.75">
      <c r="B3216" s="648"/>
      <c r="C3216" s="853"/>
      <c r="D3216" s="648"/>
      <c r="E3216" s="648"/>
      <c r="F3216" s="648"/>
      <c r="G3216" s="648"/>
    </row>
    <row r="3217" spans="2:7" ht="15.75">
      <c r="B3217" s="636" t="s">
        <v>5670</v>
      </c>
      <c r="C3217" s="636">
        <f>C3199</f>
        <v>2021</v>
      </c>
      <c r="D3217" s="636">
        <f>D3199</f>
        <v>2022</v>
      </c>
      <c r="E3217" s="636">
        <f>E3199</f>
        <v>2023</v>
      </c>
      <c r="F3217" s="636">
        <f>F3199</f>
        <v>2024</v>
      </c>
      <c r="G3217" s="636">
        <f>G3199</f>
        <v>2025</v>
      </c>
    </row>
    <row r="3218" spans="2:7" ht="15.75">
      <c r="B3218" s="648" t="s">
        <v>2541</v>
      </c>
      <c r="C3218" s="649">
        <f>Valuation!L82</f>
        <v>7752.1</v>
      </c>
      <c r="D3218" s="649">
        <f>Valuation!M82</f>
        <v>5985.04</v>
      </c>
      <c r="E3218" s="649">
        <f>Valuation!N82</f>
        <v>6965.1</v>
      </c>
      <c r="F3218" s="649">
        <f ca="1">Valuation!O82</f>
        <v>7014.3337002453673</v>
      </c>
      <c r="G3218" s="649">
        <f ca="1">Valuation!P82</f>
        <v>6324.4399585298033</v>
      </c>
    </row>
    <row r="3219" spans="2:7" ht="15.75">
      <c r="B3219" s="53" t="s">
        <v>1408</v>
      </c>
      <c r="C3219" s="630">
        <f>Valuation!L84</f>
        <v>1687.1845060877336</v>
      </c>
      <c r="D3219" s="630">
        <f>Valuation!M84</f>
        <v>1550.9752100000001</v>
      </c>
      <c r="E3219" s="630">
        <f>Valuation!N84</f>
        <v>1506.91075</v>
      </c>
      <c r="F3219" s="630">
        <f>Valuation!O84</f>
        <v>1368.1546169601884</v>
      </c>
      <c r="G3219" s="630">
        <f>Valuation!P84</f>
        <v>1578.5005985688013</v>
      </c>
    </row>
    <row r="3220" spans="2:7" ht="15.75">
      <c r="B3220" s="648" t="s">
        <v>3091</v>
      </c>
      <c r="C3220" s="913">
        <f>C3218/C3219</f>
        <v>4.594696058450463</v>
      </c>
      <c r="D3220" s="913">
        <f>D3218/D3219</f>
        <v>3.8588882410312668</v>
      </c>
      <c r="E3220" s="913">
        <f>E3218/E3219</f>
        <v>4.6221051910340414</v>
      </c>
      <c r="F3220" s="913">
        <f ca="1">F3218/F3219</f>
        <v>5.1268574569664125</v>
      </c>
      <c r="G3220" s="913">
        <f ca="1">G3218/G3219</f>
        <v>4.0066123283475861</v>
      </c>
    </row>
    <row r="3221" spans="2:7" ht="15.75">
      <c r="B3221" s="53"/>
      <c r="C3221" s="53"/>
      <c r="D3221" s="53"/>
      <c r="E3221" s="53"/>
      <c r="F3221" s="53"/>
      <c r="G3221" s="53"/>
    </row>
    <row r="3222" spans="2:7" ht="15.75">
      <c r="B3222" s="1109" t="s">
        <v>5671</v>
      </c>
      <c r="C3222" s="1109">
        <f>C3217</f>
        <v>2021</v>
      </c>
      <c r="D3222" s="1109">
        <f>D3217</f>
        <v>2022</v>
      </c>
      <c r="E3222" s="1109">
        <f>E3217</f>
        <v>2023</v>
      </c>
      <c r="F3222" s="1109">
        <f>F3217</f>
        <v>2024</v>
      </c>
      <c r="G3222" s="1109">
        <f>G3217</f>
        <v>2025</v>
      </c>
    </row>
    <row r="3223" spans="2:7" ht="15.75">
      <c r="B3223" s="53" t="s">
        <v>8</v>
      </c>
      <c r="C3223" s="53">
        <f>C3213</f>
        <v>220.00000000000003</v>
      </c>
      <c r="D3223" s="481">
        <f t="shared" ref="D3223:G3224" si="325">C3223*1.03</f>
        <v>226.60000000000002</v>
      </c>
      <c r="E3223" s="481">
        <f t="shared" si="325"/>
        <v>233.39800000000002</v>
      </c>
      <c r="F3223" s="481">
        <f t="shared" si="325"/>
        <v>240.39994000000004</v>
      </c>
      <c r="G3223" s="481">
        <f t="shared" si="325"/>
        <v>247.61193820000005</v>
      </c>
    </row>
    <row r="3224" spans="2:7" ht="15.75">
      <c r="B3224" s="648" t="s">
        <v>5675</v>
      </c>
      <c r="C3224" s="648">
        <f>C3186*0.1</f>
        <v>40</v>
      </c>
      <c r="D3224" s="650">
        <f t="shared" si="325"/>
        <v>41.2</v>
      </c>
      <c r="E3224" s="650">
        <f t="shared" si="325"/>
        <v>42.436000000000007</v>
      </c>
      <c r="F3224" s="650">
        <f t="shared" si="325"/>
        <v>43.709080000000007</v>
      </c>
      <c r="G3224" s="650">
        <f t="shared" si="325"/>
        <v>45.020352400000007</v>
      </c>
    </row>
    <row r="3225" spans="2:7" ht="15.75">
      <c r="B3225" s="53" t="s">
        <v>27</v>
      </c>
      <c r="C3225" s="53">
        <f>C3223-C3224</f>
        <v>180.00000000000003</v>
      </c>
      <c r="D3225" s="481">
        <f>D3223-D3224</f>
        <v>185.40000000000003</v>
      </c>
      <c r="E3225" s="481">
        <f>E3223-E3224</f>
        <v>190.96200000000002</v>
      </c>
      <c r="F3225" s="481">
        <f>F3223-F3224</f>
        <v>196.69086000000004</v>
      </c>
      <c r="G3225" s="481">
        <f>G3223-G3224</f>
        <v>202.59158580000005</v>
      </c>
    </row>
    <row r="3226" spans="2:7" ht="15.75">
      <c r="B3226" s="648" t="s">
        <v>377</v>
      </c>
      <c r="C3226" s="650">
        <f>C3225*0.72</f>
        <v>129.60000000000002</v>
      </c>
      <c r="D3226" s="650">
        <f>D3225*0.72</f>
        <v>133.48800000000003</v>
      </c>
      <c r="E3226" s="650">
        <f>E3225*0.72</f>
        <v>137.49263999999999</v>
      </c>
      <c r="F3226" s="650">
        <f>F3225*0.72</f>
        <v>141.61741920000003</v>
      </c>
      <c r="G3226" s="650">
        <f>G3225*0.72</f>
        <v>145.86594177600003</v>
      </c>
    </row>
    <row r="3227" spans="2:7" ht="15.75" hidden="1" outlineLevel="1">
      <c r="B3227" s="53" t="s">
        <v>5534</v>
      </c>
      <c r="C3227" s="481"/>
      <c r="D3227" s="481">
        <f>D3226</f>
        <v>133.48800000000003</v>
      </c>
      <c r="E3227" s="481">
        <f>D3227+E3226</f>
        <v>270.98063999999999</v>
      </c>
      <c r="F3227" s="481">
        <f>E3227+F3226</f>
        <v>412.59805920000002</v>
      </c>
      <c r="G3227" s="481">
        <f>F3227+G3226</f>
        <v>558.46400097600008</v>
      </c>
    </row>
    <row r="3228" spans="2:7" ht="15.75" collapsed="1">
      <c r="B3228" s="53"/>
      <c r="C3228" s="53"/>
      <c r="D3228" s="54"/>
      <c r="E3228" s="53"/>
      <c r="F3228" s="53"/>
      <c r="G3228" s="53"/>
    </row>
    <row r="3229" spans="2:7" ht="15.75" hidden="1" outlineLevel="1">
      <c r="B3229" s="53" t="s">
        <v>5533</v>
      </c>
      <c r="C3229" s="53"/>
      <c r="D3229" s="481">
        <f>C3215*C3214</f>
        <v>95.04</v>
      </c>
      <c r="E3229" s="481">
        <f>D3229</f>
        <v>95.04</v>
      </c>
      <c r="F3229" s="481">
        <f>E3229</f>
        <v>95.04</v>
      </c>
      <c r="G3229" s="481">
        <f>F3229</f>
        <v>95.04</v>
      </c>
    </row>
    <row r="3230" spans="2:7" ht="15.75" hidden="1" outlineLevel="1">
      <c r="B3230" s="53" t="s">
        <v>1664</v>
      </c>
      <c r="C3230" s="53"/>
      <c r="D3230" s="481">
        <f>D3229</f>
        <v>95.04</v>
      </c>
      <c r="E3230" s="481">
        <f>D3230+E3229</f>
        <v>190.08</v>
      </c>
      <c r="F3230" s="481">
        <f>E3230+F3229</f>
        <v>285.12</v>
      </c>
      <c r="G3230" s="481">
        <f>F3230+G3229</f>
        <v>380.16</v>
      </c>
    </row>
    <row r="3231" spans="2:7" ht="15.75" collapsed="1">
      <c r="B3231" s="648" t="s">
        <v>1670</v>
      </c>
      <c r="C3231" s="648"/>
      <c r="D3231" s="649">
        <f>D3218-$C$3214-D3230+D3227</f>
        <v>3823.4879999999994</v>
      </c>
      <c r="E3231" s="649">
        <f>E3218-$C$3214-E3230+E3227</f>
        <v>4846.0006400000002</v>
      </c>
      <c r="F3231" s="649">
        <f ca="1">F3218-$C$3214-F3230+F3227</f>
        <v>4941.8117594453661</v>
      </c>
      <c r="G3231" s="649">
        <f ca="1">G3218-$C$3214-G3230+G3227</f>
        <v>4302.743959505804</v>
      </c>
    </row>
    <row r="3232" spans="2:7" ht="15.75">
      <c r="B3232" s="53" t="s">
        <v>1673</v>
      </c>
      <c r="C3232" s="53"/>
      <c r="D3232" s="630">
        <f>D3219-D3223</f>
        <v>1324.3752100000002</v>
      </c>
      <c r="E3232" s="630">
        <f>E3219-E3223</f>
        <v>1273.5127499999999</v>
      </c>
      <c r="F3232" s="630">
        <f>F3219-F3223</f>
        <v>1127.7546769601884</v>
      </c>
      <c r="G3232" s="630">
        <f>G3219-G3223</f>
        <v>1330.8886603688011</v>
      </c>
    </row>
    <row r="3233" spans="2:7" ht="15.75">
      <c r="B3233" s="648" t="s">
        <v>3091</v>
      </c>
      <c r="C3233" s="913">
        <f>C3220</f>
        <v>4.594696058450463</v>
      </c>
      <c r="D3233" s="913">
        <f>D3231/D3232</f>
        <v>2.8870126616157359</v>
      </c>
      <c r="E3233" s="913">
        <f>E3231/E3232</f>
        <v>3.8052234969771606</v>
      </c>
      <c r="F3233" s="913">
        <f ca="1">F3231/F3232</f>
        <v>4.3819918111674747</v>
      </c>
      <c r="G3233" s="913">
        <f ca="1">G3231/G3232</f>
        <v>3.2329856641151902</v>
      </c>
    </row>
    <row r="3234" spans="2:7" ht="15.75">
      <c r="B3234" s="53"/>
      <c r="C3234" s="53"/>
      <c r="D3234" s="53"/>
      <c r="E3234" s="53"/>
      <c r="F3234" s="53"/>
      <c r="G3234" s="53"/>
    </row>
    <row r="3235" spans="2:7" ht="15.75">
      <c r="B3235" s="648" t="s">
        <v>5535</v>
      </c>
      <c r="C3235" s="649">
        <f>Valuation!L28</f>
        <v>243.97968593955338</v>
      </c>
      <c r="D3235" s="649">
        <f>Valuation!M28</f>
        <v>229.24999999999997</v>
      </c>
      <c r="E3235" s="649">
        <f>Valuation!N28</f>
        <v>193.96999999999989</v>
      </c>
      <c r="F3235" s="649">
        <f ca="1">Valuation!O28</f>
        <v>136.49958891740317</v>
      </c>
      <c r="G3235" s="649">
        <f ca="1">Valuation!P28</f>
        <v>249.28592382841885</v>
      </c>
    </row>
    <row r="3236" spans="2:7" ht="15.75">
      <c r="B3236" s="53" t="s">
        <v>5543</v>
      </c>
      <c r="C3236" s="639">
        <f>C3235/Valuation!L5</f>
        <v>1.0620279717039713</v>
      </c>
      <c r="D3236" s="639">
        <f>D3235/Valuation!M5</f>
        <v>1.0638051044083525</v>
      </c>
      <c r="E3236" s="639">
        <f>E3235/Valuation!N5</f>
        <v>0.94758182706399563</v>
      </c>
      <c r="F3236" s="639">
        <f ca="1">F3235/Valuation!O5</f>
        <v>0.73903404936330908</v>
      </c>
      <c r="G3236" s="639">
        <f ca="1">G3235/Valuation!P5</f>
        <v>1.4689801050584494</v>
      </c>
    </row>
    <row r="3237" spans="2:7" ht="15.75">
      <c r="B3237" s="648"/>
      <c r="C3237" s="887"/>
      <c r="D3237" s="887"/>
      <c r="E3237" s="887"/>
      <c r="F3237" s="887"/>
      <c r="G3237" s="887"/>
    </row>
    <row r="3238" spans="2:7" ht="15.75">
      <c r="B3238" s="53" t="s">
        <v>5536</v>
      </c>
      <c r="C3238" s="53"/>
      <c r="D3238" s="630">
        <f>D3235+D3229-D3226</f>
        <v>190.80199999999994</v>
      </c>
      <c r="E3238" s="630">
        <f>E3235+E3229-E3226</f>
        <v>151.51735999999988</v>
      </c>
      <c r="F3238" s="630">
        <f ca="1">F3235+F3229-F3226</f>
        <v>89.922169717403165</v>
      </c>
      <c r="G3238" s="630">
        <f ca="1">G3235+G3229-G3226</f>
        <v>198.45998205241884</v>
      </c>
    </row>
    <row r="3239" spans="2:7" ht="15.75">
      <c r="B3239" s="648" t="s">
        <v>5544</v>
      </c>
      <c r="C3239" s="648"/>
      <c r="D3239" s="887">
        <f>D3238/Valuation!L5</f>
        <v>0.83054890523658176</v>
      </c>
      <c r="E3239" s="887">
        <f>E3238/Valuation!M5</f>
        <v>0.70309679814385095</v>
      </c>
      <c r="F3239" s="887">
        <f ca="1">F3238/Valuation!N5</f>
        <v>0.43928759021691827</v>
      </c>
      <c r="G3239" s="887">
        <f ca="1">G3238/Valuation!O5</f>
        <v>1.0744990907006977</v>
      </c>
    </row>
    <row r="3240" spans="2:7" ht="15.75">
      <c r="B3240" s="53" t="s">
        <v>4385</v>
      </c>
      <c r="C3240" s="53"/>
      <c r="D3240" s="54">
        <f>D3239/D3236-1</f>
        <v>-0.21926591459767331</v>
      </c>
      <c r="E3240" s="54">
        <f>E3239/E3236-1</f>
        <v>-0.25800941083648832</v>
      </c>
      <c r="F3240" s="54">
        <f ca="1">F3239/F3236-1</f>
        <v>-0.4055922178479161</v>
      </c>
      <c r="G3240" s="54">
        <f ca="1">G3239/G3236-1</f>
        <v>-0.26854074673942274</v>
      </c>
    </row>
    <row r="3241" spans="2:7" ht="16.5" thickBot="1">
      <c r="B3241" s="648"/>
      <c r="C3241" s="648"/>
      <c r="D3241" s="648"/>
      <c r="E3241" s="648"/>
      <c r="F3241" s="648"/>
      <c r="G3241" s="648"/>
    </row>
    <row r="3242" spans="2:7" ht="16.5" thickBot="1">
      <c r="B3242" s="53" t="s">
        <v>5666</v>
      </c>
      <c r="C3242" s="1114">
        <v>14</v>
      </c>
      <c r="D3242" s="53"/>
      <c r="E3242" s="53"/>
      <c r="F3242" s="53"/>
      <c r="G3242" s="53"/>
    </row>
    <row r="3243" spans="2:7" ht="16.5" thickBot="1">
      <c r="B3243" s="648" t="s">
        <v>5537</v>
      </c>
      <c r="C3243" s="648"/>
      <c r="D3243" s="650">
        <f>D3244*C3247</f>
        <v>23.203000000000003</v>
      </c>
      <c r="E3243" s="650">
        <f>E3244*D3247</f>
        <v>20.8827</v>
      </c>
      <c r="F3243" s="650">
        <f>F3244*E3247</f>
        <v>18.794430000000002</v>
      </c>
      <c r="G3243" s="650">
        <f>G3244*F3247</f>
        <v>16.914987</v>
      </c>
    </row>
    <row r="3244" spans="2:7" ht="16.5" thickBot="1">
      <c r="B3244" s="53" t="s">
        <v>5541</v>
      </c>
      <c r="C3244" s="53"/>
      <c r="D3244" s="768">
        <v>0.1</v>
      </c>
      <c r="E3244" s="54">
        <f>D3244</f>
        <v>0.1</v>
      </c>
      <c r="F3244" s="54">
        <f>E3244</f>
        <v>0.1</v>
      </c>
      <c r="G3244" s="54">
        <f>F3244</f>
        <v>0.1</v>
      </c>
    </row>
    <row r="3245" spans="2:7" ht="15.75">
      <c r="B3245" s="648" t="s">
        <v>5538</v>
      </c>
      <c r="C3245" s="648"/>
      <c r="D3245" s="650">
        <f>$C$3242*D3243</f>
        <v>324.84200000000004</v>
      </c>
      <c r="E3245" s="650">
        <f>$C$3242*E3243</f>
        <v>292.3578</v>
      </c>
      <c r="F3245" s="650">
        <f>$C$3242*F3243</f>
        <v>263.12202000000002</v>
      </c>
      <c r="G3245" s="650">
        <f>$C$3242*G3243</f>
        <v>236.80981800000001</v>
      </c>
    </row>
    <row r="3246" spans="2:7" ht="15.75" hidden="1" outlineLevel="1">
      <c r="B3246" s="53" t="s">
        <v>5540</v>
      </c>
      <c r="C3246" s="53"/>
      <c r="D3246" s="481">
        <f>D3245</f>
        <v>324.84200000000004</v>
      </c>
      <c r="E3246" s="481">
        <f>D3246+E3245</f>
        <v>617.1998000000001</v>
      </c>
      <c r="F3246" s="481">
        <f>E3246+F3245</f>
        <v>880.32182000000012</v>
      </c>
      <c r="G3246" s="481">
        <f>F3246+G3245</f>
        <v>1117.1316380000001</v>
      </c>
    </row>
    <row r="3247" spans="2:7" ht="15.75" collapsed="1">
      <c r="B3247" s="53" t="s">
        <v>306</v>
      </c>
      <c r="C3247" s="630">
        <f>Valuation!K5</f>
        <v>232.03</v>
      </c>
      <c r="D3247" s="630">
        <f>C3247-D3243</f>
        <v>208.827</v>
      </c>
      <c r="E3247" s="630">
        <f>D3247-E3243</f>
        <v>187.9443</v>
      </c>
      <c r="F3247" s="630">
        <f>E3247-F3243</f>
        <v>169.14986999999999</v>
      </c>
      <c r="G3247" s="630">
        <f>F3247-G3243</f>
        <v>152.234883</v>
      </c>
    </row>
    <row r="3248" spans="2:7" ht="15.75">
      <c r="B3248" s="648"/>
      <c r="C3248" s="648"/>
      <c r="D3248" s="648"/>
      <c r="E3248" s="648"/>
      <c r="F3248" s="648"/>
      <c r="G3248" s="648"/>
    </row>
    <row r="3249" spans="2:7" ht="15.75" hidden="1" outlineLevel="1">
      <c r="B3249" s="53" t="s">
        <v>5665</v>
      </c>
      <c r="C3249" s="53"/>
      <c r="D3249" s="481">
        <f>$C$3215*D3245</f>
        <v>14.0331744</v>
      </c>
      <c r="E3249" s="481">
        <f>$C$3215*E3245</f>
        <v>12.629856959999998</v>
      </c>
      <c r="F3249" s="481">
        <f>$C$3215*F3245</f>
        <v>11.366871264</v>
      </c>
      <c r="G3249" s="481">
        <f>$C$3215*G3245</f>
        <v>10.230184137599998</v>
      </c>
    </row>
    <row r="3250" spans="2:7" ht="15.75" hidden="1" outlineLevel="1">
      <c r="B3250" s="53" t="s">
        <v>5542</v>
      </c>
      <c r="C3250" s="53"/>
      <c r="D3250" s="481">
        <f>D3238-D3249</f>
        <v>176.76882559999993</v>
      </c>
      <c r="E3250" s="481">
        <f>E3238-E3249</f>
        <v>138.8875030399999</v>
      </c>
      <c r="F3250" s="481">
        <f ca="1">F3238-F3249</f>
        <v>78.555298453403168</v>
      </c>
      <c r="G3250" s="481">
        <f ca="1">G3238-G3249</f>
        <v>188.22979791481885</v>
      </c>
    </row>
    <row r="3251" spans="2:7" ht="15.75" hidden="1" outlineLevel="1">
      <c r="B3251" s="53" t="s">
        <v>5539</v>
      </c>
      <c r="C3251" s="53"/>
      <c r="D3251" s="481">
        <f>D3249</f>
        <v>14.0331744</v>
      </c>
      <c r="E3251" s="481">
        <f>D3251+E3249</f>
        <v>26.663031359999998</v>
      </c>
      <c r="F3251" s="481">
        <f>E3251+F3249</f>
        <v>38.029902624000002</v>
      </c>
      <c r="G3251" s="481">
        <f>F3251+G3249</f>
        <v>48.2600867616</v>
      </c>
    </row>
    <row r="3252" spans="2:7" ht="15.75" collapsed="1">
      <c r="B3252" s="53" t="s">
        <v>5667</v>
      </c>
      <c r="C3252" s="53"/>
      <c r="D3252" s="481">
        <f>D3231+D3246+D3251</f>
        <v>4162.3631743999986</v>
      </c>
      <c r="E3252" s="481">
        <f>E3231+E3246+E3251</f>
        <v>5489.8634713600004</v>
      </c>
      <c r="F3252" s="481">
        <f ca="1">F3231+F3246+F3251</f>
        <v>5860.1634820693662</v>
      </c>
      <c r="G3252" s="481">
        <f ca="1">G3231+G3246+G3251</f>
        <v>5468.135684267404</v>
      </c>
    </row>
    <row r="3253" spans="2:7" ht="15.75">
      <c r="B3253" s="648" t="s">
        <v>3091</v>
      </c>
      <c r="C3253" s="913">
        <f>C3220</f>
        <v>4.594696058450463</v>
      </c>
      <c r="D3253" s="913">
        <f>D3252/D3232</f>
        <v>3.1428881656581282</v>
      </c>
      <c r="E3253" s="913">
        <f>E3252/E3232</f>
        <v>4.3108036973795523</v>
      </c>
      <c r="F3253" s="913">
        <f ca="1">F3252/F3232</f>
        <v>5.1963105113118848</v>
      </c>
      <c r="G3253" s="913">
        <f ca="1">G3252/G3232</f>
        <v>4.1086349648152645</v>
      </c>
    </row>
    <row r="3254" spans="2:7" ht="16.5" thickBot="1">
      <c r="B3254" s="53" t="s">
        <v>5545</v>
      </c>
      <c r="C3254" s="53"/>
      <c r="D3254" s="621">
        <f>D3250/D3247</f>
        <v>0.84648453313029415</v>
      </c>
      <c r="E3254" s="621">
        <f>E3250/E3247</f>
        <v>0.73898225719002864</v>
      </c>
      <c r="F3254" s="621">
        <f ca="1">F3250/F3247</f>
        <v>0.46441240808168027</v>
      </c>
      <c r="G3254" s="621">
        <f ca="1">G3250/G3247</f>
        <v>1.2364432790007718</v>
      </c>
    </row>
    <row r="3255" spans="2:7" ht="16.5" thickBot="1">
      <c r="B3255" s="883" t="s">
        <v>4385</v>
      </c>
      <c r="C3255" s="921"/>
      <c r="D3255" s="922">
        <f>D3254/D3236-1</f>
        <v>-0.20428607681754241</v>
      </c>
      <c r="E3255" s="922">
        <f>E3254/E3236-1</f>
        <v>-0.22013884597206301</v>
      </c>
      <c r="F3255" s="922">
        <f ca="1">F3254/F3236-1</f>
        <v>-0.37159538389093194</v>
      </c>
      <c r="G3255" s="923">
        <f ca="1">G3254/G3236-1</f>
        <v>-0.15829814526210018</v>
      </c>
    </row>
    <row r="3270" spans="2:8" ht="15.75">
      <c r="B3270" s="636" t="s">
        <v>4963</v>
      </c>
      <c r="C3270" s="1115">
        <f>Master!L39</f>
        <v>44196</v>
      </c>
      <c r="D3270" s="1115">
        <f>Master!M39</f>
        <v>44561</v>
      </c>
      <c r="E3270" s="1115">
        <f>Master!N39</f>
        <v>44926</v>
      </c>
      <c r="F3270" s="1115">
        <f>Master!O39</f>
        <v>45291</v>
      </c>
      <c r="G3270" s="1115">
        <f>Master!P39</f>
        <v>45657</v>
      </c>
      <c r="H3270" s="1115">
        <f>Master!Q39</f>
        <v>46022</v>
      </c>
    </row>
    <row r="3271" spans="2:8" ht="15.75">
      <c r="B3271" s="648" t="str">
        <f>Master!B40</f>
        <v>Jamaica</v>
      </c>
      <c r="C3271" s="649">
        <f>Master!L40</f>
        <v>376</v>
      </c>
      <c r="D3271" s="649">
        <f>Master!M40</f>
        <v>402</v>
      </c>
      <c r="E3271" s="649">
        <f>Master!N40</f>
        <v>429</v>
      </c>
      <c r="F3271" s="649">
        <f>Master!O40</f>
        <v>406</v>
      </c>
      <c r="G3271" s="649">
        <f>Master!P40</f>
        <v>418.15461377811107</v>
      </c>
      <c r="H3271" s="649">
        <f>Master!Q40</f>
        <v>431.58031198993291</v>
      </c>
    </row>
    <row r="3272" spans="2:8" ht="15.75">
      <c r="B3272" s="53" t="str">
        <f>Master!B41</f>
        <v>Trinidad &amp; Tobago</v>
      </c>
      <c r="C3272" s="630">
        <f>Master!L41</f>
        <v>161</v>
      </c>
      <c r="D3272" s="630">
        <f>Master!M41</f>
        <v>158.19999999999999</v>
      </c>
      <c r="E3272" s="630">
        <f>Master!N41</f>
        <v>159.30000000000001</v>
      </c>
      <c r="F3272" s="630">
        <f>Master!O41</f>
        <v>156.5</v>
      </c>
      <c r="G3272" s="630">
        <f>Master!P41</f>
        <v>157.48739223153083</v>
      </c>
      <c r="H3272" s="630">
        <f>Master!Q41</f>
        <v>161.13803543031224</v>
      </c>
    </row>
    <row r="3273" spans="2:8" ht="15.75">
      <c r="B3273" s="648" t="str">
        <f>Master!B42</f>
        <v>Barbados</v>
      </c>
      <c r="C3273" s="649">
        <f>Master!L42</f>
        <v>139</v>
      </c>
      <c r="D3273" s="649">
        <f>Master!M42</f>
        <v>141.6</v>
      </c>
      <c r="E3273" s="649">
        <f>Master!N42</f>
        <v>148</v>
      </c>
      <c r="F3273" s="649">
        <f>Master!O42</f>
        <v>157.6</v>
      </c>
      <c r="G3273" s="649">
        <f>Master!P42</f>
        <v>161.84937037625019</v>
      </c>
      <c r="H3273" s="649">
        <f>Master!Q42</f>
        <v>165.08635778377518</v>
      </c>
    </row>
    <row r="3274" spans="2:8" ht="15.75">
      <c r="B3274" s="53" t="str">
        <f>Master!B43</f>
        <v>Panama</v>
      </c>
      <c r="C3274" s="630">
        <f>Master!L43</f>
        <v>498</v>
      </c>
      <c r="D3274" s="630">
        <f>Master!M43</f>
        <v>545.4</v>
      </c>
      <c r="E3274" s="630">
        <f>Master!N43</f>
        <v>642.70000000000005</v>
      </c>
      <c r="F3274" s="630">
        <f>Master!O43</f>
        <v>742.6</v>
      </c>
      <c r="G3274" s="630">
        <f>Master!P43</f>
        <v>759.97663094979862</v>
      </c>
      <c r="H3274" s="630">
        <f>Master!Q43</f>
        <v>780.60479874940756</v>
      </c>
    </row>
    <row r="3275" spans="2:8" ht="15.75">
      <c r="B3275" s="648" t="str">
        <f>Master!B44</f>
        <v>Bahamas</v>
      </c>
      <c r="C3275" s="649">
        <f>Master!L44</f>
        <v>181</v>
      </c>
      <c r="D3275" s="649">
        <f>Master!M44</f>
        <v>189.9</v>
      </c>
      <c r="E3275" s="649">
        <f>Master!N44</f>
        <v>194.7</v>
      </c>
      <c r="F3275" s="649">
        <f>Master!O44</f>
        <v>193</v>
      </c>
      <c r="G3275" s="649">
        <f>Master!P44</f>
        <v>203.87765036780618</v>
      </c>
      <c r="H3275" s="649">
        <f>Master!Q44</f>
        <v>211.2303991778451</v>
      </c>
    </row>
    <row r="3276" spans="2:8" ht="15.75">
      <c r="B3276" s="53" t="str">
        <f>Master!B45</f>
        <v>Networks (Inc Subsea)</v>
      </c>
      <c r="C3276" s="630">
        <f>Master!L45</f>
        <v>354</v>
      </c>
      <c r="D3276" s="630">
        <f>Master!M45</f>
        <v>355.8</v>
      </c>
      <c r="E3276" s="630">
        <f>Master!N45</f>
        <v>451</v>
      </c>
      <c r="F3276" s="630">
        <f>Master!O45</f>
        <v>453</v>
      </c>
      <c r="G3276" s="630">
        <f>Master!P45</f>
        <v>458.47930000000002</v>
      </c>
      <c r="H3276" s="630">
        <f>Master!Q45</f>
        <v>470.677572</v>
      </c>
    </row>
    <row r="3277" spans="2:8" ht="15.75">
      <c r="B3277" s="648" t="str">
        <f>Master!B46</f>
        <v>Other CWC / elims</v>
      </c>
      <c r="C3277" s="649">
        <f>Master!L46</f>
        <v>496.9</v>
      </c>
      <c r="D3277" s="649">
        <f>Master!M46</f>
        <v>560.20000000000005</v>
      </c>
      <c r="E3277" s="649">
        <f>Master!N46</f>
        <v>564.29999999999995</v>
      </c>
      <c r="F3277" s="649">
        <f>Master!O46</f>
        <v>592</v>
      </c>
      <c r="G3277" s="649">
        <f>Master!P46</f>
        <v>597.91999999999996</v>
      </c>
      <c r="H3277" s="649">
        <f>Master!Q46</f>
        <v>603.89919999999995</v>
      </c>
    </row>
    <row r="3278" spans="2:8" ht="15.75">
      <c r="B3278" s="53" t="str">
        <f>Master!B47</f>
        <v>Chile</v>
      </c>
      <c r="C3278" s="630">
        <f>Master!L47</f>
        <v>807.82828282828302</v>
      </c>
      <c r="D3278" s="630">
        <f>Master!M47</f>
        <v>782.99553219448092</v>
      </c>
      <c r="E3278" s="630">
        <f>Master!N47</f>
        <v>450.6</v>
      </c>
      <c r="F3278" s="630">
        <f>Master!O47</f>
        <v>0</v>
      </c>
      <c r="G3278" s="630">
        <f>Master!P47</f>
        <v>0</v>
      </c>
      <c r="H3278" s="630">
        <f>Master!Q47</f>
        <v>0</v>
      </c>
    </row>
    <row r="3279" spans="2:8" ht="15.75">
      <c r="B3279" s="648" t="str">
        <f>Master!B48</f>
        <v>Puerto Rico / US VI</v>
      </c>
      <c r="C3279" s="649">
        <f>Master!L48</f>
        <v>625</v>
      </c>
      <c r="D3279" s="649">
        <f>Master!M48</f>
        <v>1455</v>
      </c>
      <c r="E3279" s="649">
        <f>Master!N48</f>
        <v>1470.1</v>
      </c>
      <c r="F3279" s="649">
        <f>Master!O48</f>
        <v>1417</v>
      </c>
      <c r="G3279" s="649">
        <f>Master!P48</f>
        <v>1278.8028000000002</v>
      </c>
      <c r="H3279" s="649">
        <f>Master!Q48</f>
        <v>1327.3412871200001</v>
      </c>
    </row>
    <row r="3280" spans="2:8" ht="15.75">
      <c r="B3280" s="53" t="str">
        <f>Master!B49</f>
        <v>Costa Rica</v>
      </c>
      <c r="C3280" s="630">
        <f>Master!L49</f>
        <v>143</v>
      </c>
      <c r="D3280" s="630">
        <f>Master!M49</f>
        <v>256.2</v>
      </c>
      <c r="E3280" s="630">
        <f>Master!N49</f>
        <v>441.30000000000007</v>
      </c>
      <c r="F3280" s="630">
        <f>Master!O49</f>
        <v>547.9</v>
      </c>
      <c r="G3280" s="630">
        <f>Master!P49</f>
        <v>587.03287333112166</v>
      </c>
      <c r="H3280" s="630">
        <f>Master!Q49</f>
        <v>597.57661798413017</v>
      </c>
    </row>
    <row r="3281" spans="2:8" ht="15.75">
      <c r="B3281" s="666" t="str">
        <f>Master!B50</f>
        <v>Other/elims in CWC</v>
      </c>
      <c r="C3281" s="667">
        <f>Master!L50</f>
        <v>-16.728282828283227</v>
      </c>
      <c r="D3281" s="667">
        <f>Master!M50</f>
        <v>-56</v>
      </c>
      <c r="E3281" s="667">
        <f>Master!N50</f>
        <v>-58</v>
      </c>
      <c r="F3281" s="667">
        <f>Master!O50</f>
        <v>-68</v>
      </c>
      <c r="G3281" s="667">
        <f>Master!P50</f>
        <v>-68</v>
      </c>
      <c r="H3281" s="667">
        <f>Master!Q50</f>
        <v>-68</v>
      </c>
    </row>
    <row r="3282" spans="2:8" ht="15.75">
      <c r="B3282" s="58" t="s">
        <v>17</v>
      </c>
      <c r="C3282" s="718">
        <f>Master!L52</f>
        <v>3765</v>
      </c>
      <c r="D3282" s="718">
        <f>Master!M52</f>
        <v>4791.295532194481</v>
      </c>
      <c r="E3282" s="718">
        <f>Master!N52</f>
        <v>4815</v>
      </c>
      <c r="F3282" s="718">
        <f>Master!O52</f>
        <v>4511.1000000000004</v>
      </c>
      <c r="G3282" s="718">
        <f>Master!P52</f>
        <v>4469.0806310346197</v>
      </c>
      <c r="H3282" s="718">
        <f>Master!Q52</f>
        <v>4594.6345802354044</v>
      </c>
    </row>
    <row r="3283" spans="2:8" ht="15.75">
      <c r="B3283" s="648"/>
      <c r="C3283" s="649"/>
      <c r="D3283" s="649"/>
      <c r="E3283" s="649"/>
      <c r="F3283" s="649"/>
      <c r="G3283" s="649"/>
      <c r="H3283" s="649"/>
    </row>
    <row r="3284" spans="2:8" ht="15.75">
      <c r="B3284" s="53" t="s">
        <v>29</v>
      </c>
      <c r="C3284" s="630">
        <f>SUM(Master!L63:L69)</f>
        <v>886.00000000000023</v>
      </c>
      <c r="D3284" s="630">
        <f>SUM(Master!M63:M69)</f>
        <v>947.30000000000007</v>
      </c>
      <c r="E3284" s="630">
        <f>SUM(Master!N63:N69)</f>
        <v>1002.2992214999999</v>
      </c>
      <c r="F3284" s="630">
        <f>SUM(Master!O63:O69)</f>
        <v>1086.2</v>
      </c>
      <c r="G3284" s="630">
        <f>SUM(Master!P63:P69)</f>
        <v>1121.9841984141069</v>
      </c>
      <c r="H3284" s="630">
        <f>SUM(Master!Q63:Q69)</f>
        <v>1184.2504847729369</v>
      </c>
    </row>
    <row r="3285" spans="2:8" ht="15.75">
      <c r="B3285" s="648" t="str">
        <f>Master!B70</f>
        <v>Chile</v>
      </c>
      <c r="C3285" s="649">
        <f>Master!L70</f>
        <v>306.43939393939394</v>
      </c>
      <c r="D3285" s="649">
        <f>Master!M70</f>
        <v>257.9935611038108</v>
      </c>
      <c r="E3285" s="649">
        <f>Master!N70</f>
        <v>115.6</v>
      </c>
      <c r="F3285" s="649">
        <f>Master!O70</f>
        <v>0</v>
      </c>
      <c r="G3285" s="649">
        <f>Master!P70</f>
        <v>0</v>
      </c>
      <c r="H3285" s="649">
        <f>Master!Q70</f>
        <v>0</v>
      </c>
    </row>
    <row r="3286" spans="2:8" ht="15.75">
      <c r="B3286" s="53" t="str">
        <f>Master!B71</f>
        <v>Puerto Rico / US VI</v>
      </c>
      <c r="C3286" s="630">
        <f>Master!L71</f>
        <v>276.89999999999998</v>
      </c>
      <c r="D3286" s="630">
        <f>Master!M71</f>
        <v>585.90000000000009</v>
      </c>
      <c r="E3286" s="630">
        <f>Master!N71</f>
        <v>544.79999999999995</v>
      </c>
      <c r="F3286" s="630">
        <f>Master!O71</f>
        <v>485.5</v>
      </c>
      <c r="G3286" s="630">
        <f>Master!P71</f>
        <v>323.91267200000004</v>
      </c>
      <c r="H3286" s="630">
        <f>Master!Q71</f>
        <v>481.47579900720001</v>
      </c>
    </row>
    <row r="3287" spans="2:8" ht="15.75">
      <c r="B3287" s="648" t="str">
        <f>Master!B72</f>
        <v>Costa Rica</v>
      </c>
      <c r="C3287" s="649">
        <f>Master!L72</f>
        <v>56</v>
      </c>
      <c r="D3287" s="649">
        <f>Master!M72</f>
        <v>80.2</v>
      </c>
      <c r="E3287" s="649">
        <f>Master!N72</f>
        <v>134.69999999999999</v>
      </c>
      <c r="F3287" s="649">
        <f>Master!O72</f>
        <v>203.1</v>
      </c>
      <c r="G3287" s="649">
        <f>Master!P72</f>
        <v>217.20216313251501</v>
      </c>
      <c r="H3287" s="649">
        <f>Master!Q72</f>
        <v>221.10334865412818</v>
      </c>
    </row>
    <row r="3288" spans="2:8" ht="15.75">
      <c r="B3288" s="50" t="str">
        <f>Master!B73</f>
        <v>Other/elims in CWC</v>
      </c>
      <c r="C3288" s="632">
        <f>Master!L73</f>
        <v>-40.339393939394085</v>
      </c>
      <c r="D3288" s="632">
        <f>Master!M73</f>
        <v>-52.9</v>
      </c>
      <c r="E3288" s="632">
        <f>Master!N73</f>
        <v>-79.39922149999984</v>
      </c>
      <c r="F3288" s="632">
        <f>Master!O73</f>
        <v>-73.200000000000045</v>
      </c>
      <c r="G3288" s="632">
        <f>Master!P73</f>
        <v>-84</v>
      </c>
      <c r="H3288" s="632">
        <f>Master!Q73</f>
        <v>-84</v>
      </c>
    </row>
    <row r="3289" spans="2:8" ht="15.75">
      <c r="B3289" s="664" t="str">
        <f>Master!B74</f>
        <v>Group EBITDA</v>
      </c>
      <c r="C3289" s="665">
        <f>Master!L74</f>
        <v>1485</v>
      </c>
      <c r="D3289" s="665">
        <f>Master!M74</f>
        <v>1818.4935611038109</v>
      </c>
      <c r="E3289" s="665">
        <f>Master!N74</f>
        <v>1718</v>
      </c>
      <c r="F3289" s="665">
        <f>Master!O74</f>
        <v>1701.6</v>
      </c>
      <c r="G3289" s="665">
        <f>Master!P74</f>
        <v>1579.0990335466222</v>
      </c>
      <c r="H3289" s="665">
        <f>Master!Q74</f>
        <v>1802.8296324342652</v>
      </c>
    </row>
    <row r="3290" spans="2:8" ht="15.75">
      <c r="B3290" s="53"/>
      <c r="C3290" s="630"/>
      <c r="D3290" s="630"/>
      <c r="E3290" s="630"/>
      <c r="F3290" s="630"/>
      <c r="G3290" s="630"/>
      <c r="H3290" s="630"/>
    </row>
    <row r="3291" spans="2:8" ht="15.75">
      <c r="B3291" s="648" t="s">
        <v>29</v>
      </c>
      <c r="C3291" s="649">
        <f>SUM(Master!L110:L116)</f>
        <v>317.20000000000005</v>
      </c>
      <c r="D3291" s="649">
        <f>SUM(Master!M110:M116)</f>
        <v>357.09999999999997</v>
      </c>
      <c r="E3291" s="649">
        <f>SUM(Master!N110:N116)</f>
        <v>359.69065800000004</v>
      </c>
      <c r="F3291" s="649">
        <f>SUM(Master!O110:O116)</f>
        <v>399.6</v>
      </c>
      <c r="G3291" s="649">
        <f>SUM(Master!P110:P116)</f>
        <v>400.34709410878224</v>
      </c>
      <c r="H3291" s="649">
        <f>SUM(Master!Q110:Q116)</f>
        <v>400.42058782805361</v>
      </c>
    </row>
    <row r="3292" spans="2:8" ht="15.75">
      <c r="B3292" s="53" t="str">
        <f>Master!B117</f>
        <v>Chile</v>
      </c>
      <c r="C3292" s="630">
        <f>Master!L117</f>
        <v>171.84343434343435</v>
      </c>
      <c r="D3292" s="630">
        <f>Master!M117</f>
        <v>199.1</v>
      </c>
      <c r="E3292" s="630">
        <f>Master!N117</f>
        <v>115.6</v>
      </c>
      <c r="F3292" s="630">
        <f>Master!O117</f>
        <v>0</v>
      </c>
      <c r="G3292" s="630">
        <f>Master!P117</f>
        <v>0</v>
      </c>
      <c r="H3292" s="630">
        <f>Master!Q117</f>
        <v>0</v>
      </c>
    </row>
    <row r="3293" spans="2:8" ht="15.75">
      <c r="B3293" s="648" t="str">
        <f>Master!B118</f>
        <v>Puerto Rico / US VI</v>
      </c>
      <c r="C3293" s="649">
        <f>Master!L118</f>
        <v>95.935000000000002</v>
      </c>
      <c r="D3293" s="649">
        <f>Master!M118</f>
        <v>219.2</v>
      </c>
      <c r="E3293" s="649">
        <f>Master!N118</f>
        <v>233.5</v>
      </c>
      <c r="F3293" s="649">
        <f>Master!O118</f>
        <v>219</v>
      </c>
      <c r="G3293" s="649">
        <f>Master!P118</f>
        <v>204.60844800000004</v>
      </c>
      <c r="H3293" s="649">
        <f>Master!Q118</f>
        <v>212.37460593920002</v>
      </c>
    </row>
    <row r="3294" spans="2:8" ht="15.75">
      <c r="B3294" s="53" t="str">
        <f>Master!B119</f>
        <v>Costa Rica</v>
      </c>
      <c r="C3294" s="630">
        <f>Master!L119</f>
        <v>24.556565656565652</v>
      </c>
      <c r="D3294" s="630">
        <f>Master!M119</f>
        <v>45</v>
      </c>
      <c r="E3294" s="630">
        <f>Master!N119</f>
        <v>65.7</v>
      </c>
      <c r="F3294" s="630">
        <f>Master!O119</f>
        <v>75.2</v>
      </c>
      <c r="G3294" s="630">
        <f>Master!P119</f>
        <v>84.790169140145139</v>
      </c>
      <c r="H3294" s="630">
        <f>Master!Q119</f>
        <v>83.66072651777823</v>
      </c>
    </row>
    <row r="3295" spans="2:8" ht="15.75">
      <c r="B3295" s="666" t="str">
        <f>Master!B120</f>
        <v>Corporate / other</v>
      </c>
      <c r="C3295" s="667">
        <f>Master!L120</f>
        <v>21.464999999999918</v>
      </c>
      <c r="D3295" s="667">
        <f>Master!M120</f>
        <v>35.5</v>
      </c>
      <c r="E3295" s="667">
        <f>Master!N120</f>
        <v>41.809341999999901</v>
      </c>
      <c r="F3295" s="667">
        <f>Master!O120</f>
        <v>37.099999999999909</v>
      </c>
      <c r="G3295" s="667">
        <f>Master!P120</f>
        <v>25</v>
      </c>
      <c r="H3295" s="667">
        <f>Master!Q120</f>
        <v>25</v>
      </c>
    </row>
    <row r="3296" spans="2:8" ht="15.75">
      <c r="B3296" s="58" t="s">
        <v>5677</v>
      </c>
      <c r="C3296" s="718">
        <f>Master!L121</f>
        <v>631</v>
      </c>
      <c r="D3296" s="718">
        <f>Master!M121</f>
        <v>855.89999999999986</v>
      </c>
      <c r="E3296" s="718">
        <f>Master!N121</f>
        <v>816.3</v>
      </c>
      <c r="F3296" s="718">
        <f>Master!O121</f>
        <v>730.9</v>
      </c>
      <c r="G3296" s="718">
        <f>Master!P121</f>
        <v>714.74571124892748</v>
      </c>
      <c r="H3296" s="718">
        <f>Master!Q121</f>
        <v>721.45592028503188</v>
      </c>
    </row>
    <row r="3297" spans="2:9" ht="15.75">
      <c r="B3297" s="648"/>
      <c r="C3297" s="649"/>
      <c r="D3297" s="649"/>
      <c r="E3297" s="649"/>
      <c r="F3297" s="649"/>
      <c r="G3297" s="649"/>
      <c r="H3297" s="649"/>
    </row>
    <row r="3298" spans="2:9" ht="15.75">
      <c r="B3298" s="53" t="str">
        <f>B3291</f>
        <v>CWC</v>
      </c>
      <c r="C3298" s="630">
        <f t="shared" ref="C3298:H3303" si="326">C3284-C3291</f>
        <v>568.80000000000018</v>
      </c>
      <c r="D3298" s="630">
        <f t="shared" si="326"/>
        <v>590.20000000000005</v>
      </c>
      <c r="E3298" s="630">
        <f t="shared" si="326"/>
        <v>642.60856349999995</v>
      </c>
      <c r="F3298" s="630">
        <f t="shared" si="326"/>
        <v>686.6</v>
      </c>
      <c r="G3298" s="630">
        <f t="shared" si="326"/>
        <v>721.63710430532467</v>
      </c>
      <c r="H3298" s="630">
        <f t="shared" si="326"/>
        <v>783.82989694488333</v>
      </c>
    </row>
    <row r="3299" spans="2:9" ht="15.75">
      <c r="B3299" s="648" t="str">
        <f>B3292</f>
        <v>Chile</v>
      </c>
      <c r="C3299" s="649">
        <f t="shared" si="326"/>
        <v>134.59595959595958</v>
      </c>
      <c r="D3299" s="649">
        <f t="shared" si="326"/>
        <v>58.893561103810811</v>
      </c>
      <c r="E3299" s="649">
        <f t="shared" si="326"/>
        <v>0</v>
      </c>
      <c r="F3299" s="649">
        <f t="shared" si="326"/>
        <v>0</v>
      </c>
      <c r="G3299" s="649">
        <f t="shared" si="326"/>
        <v>0</v>
      </c>
      <c r="H3299" s="649">
        <f t="shared" si="326"/>
        <v>0</v>
      </c>
    </row>
    <row r="3300" spans="2:9" ht="15.75">
      <c r="B3300" s="53" t="str">
        <f>B3293</f>
        <v>Puerto Rico / US VI</v>
      </c>
      <c r="C3300" s="630">
        <f t="shared" si="326"/>
        <v>180.96499999999997</v>
      </c>
      <c r="D3300" s="630">
        <f t="shared" si="326"/>
        <v>366.7000000000001</v>
      </c>
      <c r="E3300" s="630">
        <f t="shared" si="326"/>
        <v>311.29999999999995</v>
      </c>
      <c r="F3300" s="630">
        <f t="shared" si="326"/>
        <v>266.5</v>
      </c>
      <c r="G3300" s="630">
        <f t="shared" si="326"/>
        <v>119.304224</v>
      </c>
      <c r="H3300" s="630">
        <f t="shared" si="326"/>
        <v>269.10119306799999</v>
      </c>
    </row>
    <row r="3301" spans="2:9" ht="15.75">
      <c r="B3301" s="648" t="str">
        <f>B3294</f>
        <v>Costa Rica</v>
      </c>
      <c r="C3301" s="649">
        <f t="shared" si="326"/>
        <v>31.443434343434348</v>
      </c>
      <c r="D3301" s="649">
        <f t="shared" si="326"/>
        <v>35.200000000000003</v>
      </c>
      <c r="E3301" s="649">
        <f t="shared" si="326"/>
        <v>68.999999999999986</v>
      </c>
      <c r="F3301" s="649">
        <f t="shared" si="326"/>
        <v>127.89999999999999</v>
      </c>
      <c r="G3301" s="649">
        <f t="shared" si="326"/>
        <v>132.41199399236987</v>
      </c>
      <c r="H3301" s="649">
        <f t="shared" si="326"/>
        <v>137.44262213634994</v>
      </c>
    </row>
    <row r="3302" spans="2:9" ht="15.75">
      <c r="B3302" s="50" t="str">
        <f>B3295</f>
        <v>Corporate / other</v>
      </c>
      <c r="C3302" s="632">
        <f t="shared" si="326"/>
        <v>-61.804393939394004</v>
      </c>
      <c r="D3302" s="632">
        <f t="shared" si="326"/>
        <v>-88.4</v>
      </c>
      <c r="E3302" s="632">
        <f t="shared" si="326"/>
        <v>-121.20856349999974</v>
      </c>
      <c r="F3302" s="632">
        <f t="shared" si="326"/>
        <v>-110.29999999999995</v>
      </c>
      <c r="G3302" s="632">
        <f t="shared" si="326"/>
        <v>-109</v>
      </c>
      <c r="H3302" s="632">
        <f t="shared" si="326"/>
        <v>-109</v>
      </c>
    </row>
    <row r="3303" spans="2:9" ht="15.75">
      <c r="B3303" s="664" t="s">
        <v>5678</v>
      </c>
      <c r="C3303" s="665">
        <f t="shared" si="326"/>
        <v>854</v>
      </c>
      <c r="D3303" s="665">
        <f t="shared" si="326"/>
        <v>962.593561103811</v>
      </c>
      <c r="E3303" s="665">
        <f t="shared" si="326"/>
        <v>901.7</v>
      </c>
      <c r="F3303" s="665">
        <f t="shared" si="326"/>
        <v>970.69999999999993</v>
      </c>
      <c r="G3303" s="665">
        <f t="shared" si="326"/>
        <v>864.35332229769472</v>
      </c>
      <c r="H3303" s="665">
        <f t="shared" si="326"/>
        <v>1081.3737121492334</v>
      </c>
    </row>
    <row r="3304" spans="2:9">
      <c r="C3304" s="486"/>
      <c r="D3304" s="486"/>
      <c r="E3304" s="486"/>
      <c r="F3304" s="486"/>
      <c r="G3304" s="486"/>
      <c r="H3304" s="486"/>
    </row>
    <row r="3305" spans="2:9" ht="15.75">
      <c r="B3305" s="664" t="s">
        <v>249</v>
      </c>
      <c r="C3305" s="665">
        <f>'New quarts'!AC371+'New quarts'!AD371+'New quarts'!AE371+'New quarts'!AF371</f>
        <v>148.5</v>
      </c>
      <c r="D3305" s="665">
        <f>Valuation!L28</f>
        <v>243.97968593955338</v>
      </c>
      <c r="E3305" s="665">
        <f>Valuation!M28</f>
        <v>229.24999999999997</v>
      </c>
      <c r="F3305" s="665">
        <f>Valuation!N28</f>
        <v>193.96999999999989</v>
      </c>
      <c r="G3305" s="665">
        <f ca="1">Valuation!O28</f>
        <v>136.49958891740317</v>
      </c>
      <c r="H3305" s="665">
        <f ca="1">Valuation!P28</f>
        <v>249.28592382841885</v>
      </c>
    </row>
    <row r="3307" spans="2:9" ht="15.75">
      <c r="B3307" s="976" t="s">
        <v>5762</v>
      </c>
    </row>
    <row r="3309" spans="2:9" ht="16.5" thickBot="1">
      <c r="B3309" s="636" t="s">
        <v>4963</v>
      </c>
      <c r="C3309" s="53"/>
      <c r="D3309" s="636">
        <v>2020</v>
      </c>
      <c r="E3309" s="636">
        <f>D3309+1</f>
        <v>2021</v>
      </c>
      <c r="F3309" s="636">
        <f>E3309+1</f>
        <v>2022</v>
      </c>
      <c r="G3309" s="636">
        <f>F3309+1</f>
        <v>2023</v>
      </c>
      <c r="H3309" s="636">
        <f>G3309+1</f>
        <v>2024</v>
      </c>
      <c r="I3309" s="636">
        <f>H3309+1</f>
        <v>2025</v>
      </c>
    </row>
    <row r="3310" spans="2:9" ht="15.75">
      <c r="B3310" s="53" t="s">
        <v>5768</v>
      </c>
      <c r="C3310" s="1339">
        <v>200</v>
      </c>
      <c r="D3310" s="53"/>
      <c r="E3310" s="53"/>
      <c r="F3310" s="53"/>
      <c r="G3310" s="53"/>
      <c r="H3310" s="53"/>
      <c r="I3310" s="53"/>
    </row>
    <row r="3311" spans="2:9" ht="15.75">
      <c r="B3311" s="53" t="s">
        <v>243</v>
      </c>
      <c r="C3311" s="1340">
        <v>0</v>
      </c>
      <c r="D3311" s="53"/>
      <c r="E3311" s="53"/>
      <c r="F3311" s="53"/>
      <c r="G3311" s="53"/>
      <c r="H3311" s="53"/>
      <c r="I3311" s="53"/>
    </row>
    <row r="3312" spans="2:9" ht="16.5" thickBot="1">
      <c r="B3312" s="53" t="s">
        <v>332</v>
      </c>
      <c r="C3312" s="1338">
        <f>C3310-C3311</f>
        <v>200</v>
      </c>
      <c r="D3312" s="53"/>
      <c r="E3312" s="53"/>
      <c r="F3312" s="53"/>
      <c r="G3312" s="53"/>
      <c r="H3312" s="53"/>
      <c r="I3312" s="53"/>
    </row>
    <row r="3313" spans="2:10" ht="15.75">
      <c r="B3313" s="53"/>
      <c r="C3313" s="53"/>
      <c r="D3313" s="53"/>
      <c r="E3313" s="53"/>
      <c r="F3313" s="53"/>
      <c r="G3313" s="53"/>
      <c r="H3313" s="53"/>
      <c r="I3313" s="53"/>
    </row>
    <row r="3314" spans="2:10" ht="15.75">
      <c r="B3314" s="53" t="s">
        <v>15</v>
      </c>
      <c r="C3314" s="53"/>
      <c r="D3314" s="53">
        <v>157</v>
      </c>
      <c r="E3314" s="481">
        <f>D3314*1.01</f>
        <v>158.57</v>
      </c>
      <c r="F3314" s="481">
        <f>E3314*1.01</f>
        <v>160.1557</v>
      </c>
      <c r="G3314" s="481">
        <f>F3314*1.01</f>
        <v>161.75725700000001</v>
      </c>
      <c r="H3314" s="481">
        <f>G3314*1.05</f>
        <v>169.84511985000003</v>
      </c>
      <c r="I3314" s="481">
        <f>H3314*1.01</f>
        <v>171.54357104850004</v>
      </c>
    </row>
    <row r="3315" spans="2:10" ht="16.5" thickBot="1">
      <c r="B3315" s="53" t="s">
        <v>6319</v>
      </c>
      <c r="C3315" s="53"/>
      <c r="D3315" s="481">
        <f t="shared" ref="D3315:I3315" si="327">D3316*D3314</f>
        <v>1.57</v>
      </c>
      <c r="E3315" s="481">
        <f t="shared" si="327"/>
        <v>1.5856999999999999</v>
      </c>
      <c r="F3315" s="481">
        <f t="shared" si="327"/>
        <v>1.6015569999999999</v>
      </c>
      <c r="G3315" s="481">
        <f t="shared" si="327"/>
        <v>16.175725700000001</v>
      </c>
      <c r="H3315" s="481">
        <f t="shared" si="327"/>
        <v>16.984511985000005</v>
      </c>
      <c r="I3315" s="481">
        <f t="shared" si="327"/>
        <v>17.154357104850003</v>
      </c>
    </row>
    <row r="3316" spans="2:10" ht="16.5" thickBot="1">
      <c r="B3316" s="53" t="s">
        <v>2048</v>
      </c>
      <c r="C3316" s="53"/>
      <c r="D3316" s="768">
        <v>0.01</v>
      </c>
      <c r="E3316" s="54">
        <f>D3316</f>
        <v>0.01</v>
      </c>
      <c r="F3316" s="54">
        <f>E3316</f>
        <v>0.01</v>
      </c>
      <c r="G3316" s="933">
        <v>0.1</v>
      </c>
      <c r="H3316" s="933">
        <v>0.1</v>
      </c>
      <c r="I3316" s="933">
        <v>0.1</v>
      </c>
    </row>
    <row r="3317" spans="2:10" ht="15.75">
      <c r="B3317" s="53"/>
      <c r="C3317" s="53"/>
      <c r="D3317" s="53"/>
      <c r="E3317" s="53"/>
      <c r="F3317" s="53"/>
      <c r="G3317" s="53"/>
      <c r="H3317" s="53"/>
      <c r="I3317" s="53"/>
    </row>
    <row r="3318" spans="2:10" ht="15.75">
      <c r="B3318" s="53" t="s">
        <v>6545</v>
      </c>
      <c r="C3318" s="53"/>
      <c r="D3318" s="53"/>
      <c r="E3318" s="53"/>
      <c r="F3318" s="481">
        <f>F3315+F3330-F3333</f>
        <v>-3.3984430000000003</v>
      </c>
      <c r="G3318" s="481">
        <f>G3315+G3330-G3333</f>
        <v>23.175725700000001</v>
      </c>
      <c r="H3318" s="481">
        <f>H3315+H3330-H3333</f>
        <v>56.984511985000005</v>
      </c>
      <c r="I3318" s="481">
        <f>I3315+I3330-I3333</f>
        <v>67.154357104850007</v>
      </c>
      <c r="J3318" s="16"/>
    </row>
    <row r="3319" spans="2:10" ht="15.75">
      <c r="B3319" s="53"/>
      <c r="C3319" s="53"/>
      <c r="D3319" s="53"/>
      <c r="E3319" s="53"/>
      <c r="F3319" s="53"/>
      <c r="G3319" s="53"/>
      <c r="H3319" s="53"/>
      <c r="I3319" s="53"/>
    </row>
    <row r="3320" spans="2:10" ht="16.5" thickBot="1">
      <c r="B3320" s="53" t="s">
        <v>19</v>
      </c>
      <c r="C3320" s="53"/>
      <c r="D3320" s="481">
        <f t="shared" ref="D3320:I3320" si="328">D3321*D3314</f>
        <v>18.84</v>
      </c>
      <c r="E3320" s="481">
        <f t="shared" si="328"/>
        <v>19.028399999999998</v>
      </c>
      <c r="F3320" s="481">
        <f t="shared" si="328"/>
        <v>19.218684</v>
      </c>
      <c r="G3320" s="481">
        <f t="shared" si="328"/>
        <v>17.793298270000001</v>
      </c>
      <c r="H3320" s="481">
        <f t="shared" si="328"/>
        <v>10.190707191000001</v>
      </c>
      <c r="I3320" s="481">
        <f t="shared" si="328"/>
        <v>0</v>
      </c>
      <c r="J3320" s="16"/>
    </row>
    <row r="3321" spans="2:10" ht="16.5" thickBot="1">
      <c r="B3321" s="53" t="s">
        <v>91</v>
      </c>
      <c r="C3321" s="53"/>
      <c r="D3321" s="768">
        <v>0.12</v>
      </c>
      <c r="E3321" s="933">
        <f>D3321</f>
        <v>0.12</v>
      </c>
      <c r="F3321" s="933">
        <v>0.12</v>
      </c>
      <c r="G3321" s="933">
        <v>0.11</v>
      </c>
      <c r="H3321" s="933">
        <v>0.06</v>
      </c>
      <c r="I3321" s="933">
        <v>0</v>
      </c>
    </row>
    <row r="3322" spans="2:10" ht="15.75">
      <c r="B3322" s="53"/>
      <c r="C3322" s="53"/>
      <c r="D3322" s="53"/>
      <c r="E3322" s="53"/>
      <c r="F3322" s="53"/>
      <c r="G3322" s="53"/>
      <c r="H3322" s="53"/>
      <c r="I3322" s="53"/>
    </row>
    <row r="3323" spans="2:10" ht="15.75">
      <c r="B3323" s="53" t="s">
        <v>27</v>
      </c>
      <c r="C3323" s="53"/>
      <c r="D3323" s="481">
        <f t="shared" ref="D3323:I3323" si="329">D3315-D3320</f>
        <v>-17.27</v>
      </c>
      <c r="E3323" s="481">
        <f t="shared" si="329"/>
        <v>-17.442699999999999</v>
      </c>
      <c r="F3323" s="481">
        <f t="shared" si="329"/>
        <v>-17.617127</v>
      </c>
      <c r="G3323" s="481">
        <f t="shared" si="329"/>
        <v>-1.6175725700000001</v>
      </c>
      <c r="H3323" s="481">
        <f t="shared" si="329"/>
        <v>6.7938047940000033</v>
      </c>
      <c r="I3323" s="481">
        <f t="shared" si="329"/>
        <v>17.154357104850003</v>
      </c>
    </row>
    <row r="3324" spans="2:10" ht="15.75">
      <c r="B3324" s="53"/>
      <c r="C3324" s="53"/>
      <c r="D3324" s="53"/>
      <c r="E3324" s="53"/>
      <c r="F3324" s="53"/>
      <c r="G3324" s="53"/>
      <c r="H3324" s="53"/>
      <c r="I3324" s="53"/>
    </row>
    <row r="3325" spans="2:10" ht="16.5" thickBot="1">
      <c r="B3325" s="53" t="s">
        <v>298</v>
      </c>
      <c r="C3325" s="713">
        <f>C3310/D3315</f>
        <v>127.38853503184713</v>
      </c>
      <c r="D3325" s="53"/>
      <c r="E3325" s="53"/>
      <c r="F3325" s="53"/>
      <c r="G3325" s="53"/>
      <c r="H3325" s="53"/>
      <c r="I3325" s="53"/>
    </row>
    <row r="3326" spans="2:10" ht="16.5" thickBot="1">
      <c r="B3326" s="53" t="s">
        <v>5763</v>
      </c>
      <c r="C3326" s="1127">
        <v>5</v>
      </c>
      <c r="D3326" s="53"/>
      <c r="E3326" s="53"/>
      <c r="F3326" s="53"/>
      <c r="G3326" s="53"/>
      <c r="H3326" s="53"/>
      <c r="I3326" s="53"/>
    </row>
    <row r="3327" spans="2:10" ht="15.75">
      <c r="B3327" s="53" t="s">
        <v>6316</v>
      </c>
      <c r="C3327" s="749">
        <v>50</v>
      </c>
      <c r="D3327" s="53"/>
      <c r="E3327" s="53"/>
      <c r="F3327" s="53"/>
      <c r="G3327" s="53"/>
      <c r="H3327" s="53"/>
      <c r="I3327" s="53"/>
    </row>
    <row r="3328" spans="2:10" ht="15.75">
      <c r="B3328" s="53"/>
      <c r="C3328" s="53"/>
      <c r="D3328" s="53"/>
      <c r="E3328" s="53"/>
      <c r="F3328" s="53"/>
      <c r="G3328" s="53"/>
      <c r="H3328" s="53"/>
      <c r="I3328" s="53"/>
    </row>
    <row r="3329" spans="2:9" ht="15.75">
      <c r="B3329" s="53" t="s">
        <v>399</v>
      </c>
      <c r="C3329" s="53"/>
      <c r="D3329" s="53"/>
      <c r="E3329" s="53"/>
      <c r="F3329" s="1253">
        <v>0</v>
      </c>
      <c r="G3329" s="1254">
        <v>17</v>
      </c>
      <c r="H3329" s="1254">
        <v>50</v>
      </c>
      <c r="I3329" s="1255">
        <v>70</v>
      </c>
    </row>
    <row r="3330" spans="2:9" ht="15.75">
      <c r="B3330" s="821" t="s">
        <v>6317</v>
      </c>
      <c r="C3330" s="53"/>
      <c r="D3330" s="53"/>
      <c r="E3330" s="53"/>
      <c r="F3330" s="643">
        <v>0</v>
      </c>
      <c r="G3330" s="709">
        <v>17</v>
      </c>
      <c r="H3330" s="709">
        <v>40</v>
      </c>
      <c r="I3330" s="16">
        <f>C3327</f>
        <v>50</v>
      </c>
    </row>
    <row r="3331" spans="2:9" ht="15.75">
      <c r="B3331" s="821" t="s">
        <v>6318</v>
      </c>
      <c r="C3331" s="53"/>
      <c r="D3331" s="53"/>
      <c r="E3331" s="53"/>
      <c r="F3331" s="481">
        <f>F3329-F3330</f>
        <v>0</v>
      </c>
      <c r="G3331" s="481">
        <f>G3329-G3330</f>
        <v>0</v>
      </c>
      <c r="H3331" s="481">
        <f>H3329-H3330</f>
        <v>10</v>
      </c>
      <c r="I3331" s="481">
        <f>I3329-I3330</f>
        <v>20</v>
      </c>
    </row>
    <row r="3332" spans="2:9" ht="15.75">
      <c r="B3332" s="821"/>
      <c r="C3332" s="53"/>
      <c r="D3332" s="53"/>
      <c r="E3332" s="53"/>
      <c r="F3332" s="53"/>
      <c r="G3332" s="53"/>
      <c r="H3332" s="53"/>
      <c r="I3332" s="53"/>
    </row>
    <row r="3333" spans="2:9" ht="15.75">
      <c r="B3333" s="53" t="s">
        <v>5397</v>
      </c>
      <c r="C3333" s="53"/>
      <c r="D3333" s="53"/>
      <c r="E3333" s="53"/>
      <c r="F3333" s="1253">
        <v>5</v>
      </c>
      <c r="G3333" s="1254">
        <v>10</v>
      </c>
      <c r="H3333" s="1254"/>
      <c r="I3333" s="1255"/>
    </row>
    <row r="3334" spans="2:9" ht="15.75">
      <c r="B3334" s="53"/>
      <c r="C3334" s="53"/>
      <c r="D3334" s="53"/>
      <c r="E3334" s="53"/>
      <c r="F3334" s="53"/>
      <c r="G3334" s="53"/>
      <c r="H3334" s="53"/>
      <c r="I3334" s="53"/>
    </row>
    <row r="3335" spans="2:9" ht="15.75">
      <c r="B3335" s="53" t="s">
        <v>6321</v>
      </c>
      <c r="C3335" s="53"/>
      <c r="D3335" s="53"/>
      <c r="E3335" s="53"/>
      <c r="F3335" s="481">
        <f>F3315+F3330-F3333</f>
        <v>-3.3984430000000003</v>
      </c>
      <c r="G3335" s="481">
        <f>G3315+G3330-G3333</f>
        <v>23.175725700000001</v>
      </c>
      <c r="H3335" s="481">
        <f>H3315+H3330-H3333</f>
        <v>56.984511985000005</v>
      </c>
      <c r="I3335" s="481">
        <f>I3315+I3330-I3333</f>
        <v>67.154357104850007</v>
      </c>
    </row>
    <row r="3336" spans="2:9" ht="15.75">
      <c r="B3336" s="53" t="s">
        <v>251</v>
      </c>
      <c r="C3336" s="53"/>
      <c r="D3336" s="53"/>
      <c r="E3336" s="53"/>
      <c r="F3336" s="54">
        <f>F3335/F3314</f>
        <v>-2.1219619407863724E-2</v>
      </c>
      <c r="G3336" s="54">
        <f>G3335/G3314</f>
        <v>0.14327471997129623</v>
      </c>
      <c r="H3336" s="54">
        <f>H3335/H3314</f>
        <v>0.33550868011589791</v>
      </c>
      <c r="I3336" s="54">
        <f>I3335/I3314</f>
        <v>0.39147113875729939</v>
      </c>
    </row>
    <row r="3337" spans="2:9" ht="15.75">
      <c r="B3337" s="53"/>
      <c r="C3337" s="53"/>
      <c r="D3337" s="53"/>
      <c r="E3337" s="53"/>
      <c r="F3337" s="53"/>
      <c r="G3337" s="53"/>
      <c r="H3337" s="53"/>
      <c r="I3337" s="53"/>
    </row>
    <row r="3338" spans="2:9" ht="15.75">
      <c r="B3338" s="53" t="s">
        <v>6320</v>
      </c>
      <c r="C3338" s="53"/>
      <c r="D3338" s="53"/>
      <c r="E3338" s="53"/>
      <c r="F3338" s="481">
        <f>F3320-F3331</f>
        <v>19.218684</v>
      </c>
      <c r="G3338" s="481">
        <f>G3320-G3331</f>
        <v>17.793298270000001</v>
      </c>
      <c r="H3338" s="481">
        <f>H3320-H3331</f>
        <v>0.19070719100000133</v>
      </c>
      <c r="I3338" s="481">
        <f>I3320-I3331</f>
        <v>-20</v>
      </c>
    </row>
    <row r="3339" spans="2:9" ht="15.75">
      <c r="B3339" s="53"/>
      <c r="C3339" s="53"/>
      <c r="D3339" s="53"/>
      <c r="E3339" s="53"/>
      <c r="F3339" s="53"/>
      <c r="G3339" s="53"/>
      <c r="H3339" s="53"/>
      <c r="I3339" s="53"/>
    </row>
    <row r="3340" spans="2:9" ht="15.75">
      <c r="B3340" s="53" t="s">
        <v>6322</v>
      </c>
      <c r="C3340" s="53"/>
      <c r="D3340" s="53"/>
      <c r="E3340" s="53"/>
      <c r="F3340" s="481">
        <f>F3335-F3320+F3331</f>
        <v>-22.617127</v>
      </c>
      <c r="G3340" s="481">
        <f>G3335-G3320+G3331</f>
        <v>5.3824274299999999</v>
      </c>
      <c r="H3340" s="481">
        <f>H3335-H3320+H3331</f>
        <v>56.793804794000003</v>
      </c>
      <c r="I3340" s="481">
        <f>I3335-I3320+I3331</f>
        <v>87.154357104850007</v>
      </c>
    </row>
    <row r="3341" spans="2:9" ht="15.75">
      <c r="B3341" s="53" t="s">
        <v>377</v>
      </c>
      <c r="C3341" s="53"/>
      <c r="D3341" s="53"/>
      <c r="E3341" s="53"/>
      <c r="F3341" s="481">
        <f>0.75*F3340</f>
        <v>-16.962845250000001</v>
      </c>
      <c r="G3341" s="481">
        <f>0.75*G3340</f>
        <v>4.0368205724999999</v>
      </c>
      <c r="H3341" s="481">
        <f>0.75*H3340</f>
        <v>42.595353595500001</v>
      </c>
      <c r="I3341" s="481">
        <f>0.75*I3340</f>
        <v>65.365767828637502</v>
      </c>
    </row>
    <row r="3342" spans="2:9" ht="16.5" thickBot="1">
      <c r="B3342" s="53"/>
      <c r="C3342" s="53"/>
      <c r="D3342" s="53"/>
      <c r="E3342" s="53"/>
      <c r="F3342" s="53"/>
      <c r="G3342" s="53"/>
      <c r="H3342" s="53"/>
      <c r="I3342" s="53"/>
    </row>
    <row r="3343" spans="2:9" ht="16.5" thickBot="1">
      <c r="B3343" s="53" t="s">
        <v>5765</v>
      </c>
      <c r="C3343" s="768">
        <v>7.0000000000000007E-2</v>
      </c>
      <c r="D3343" s="53"/>
      <c r="E3343" s="53"/>
      <c r="F3343" s="53"/>
      <c r="G3343" s="53"/>
      <c r="H3343" s="53"/>
      <c r="I3343" s="53"/>
    </row>
    <row r="3344" spans="2:9" ht="15.75">
      <c r="B3344" s="53" t="s">
        <v>5764</v>
      </c>
      <c r="C3344" s="53"/>
      <c r="D3344" s="53"/>
      <c r="E3344" s="53"/>
      <c r="F3344" s="481">
        <f>C3343*$C$3312*0.75</f>
        <v>10.500000000000002</v>
      </c>
      <c r="G3344" s="481">
        <f>F3344</f>
        <v>10.500000000000002</v>
      </c>
      <c r="H3344" s="481">
        <f>G3344</f>
        <v>10.500000000000002</v>
      </c>
      <c r="I3344" s="481">
        <f>H3344</f>
        <v>10.500000000000002</v>
      </c>
    </row>
    <row r="3345" spans="2:9" ht="15.75">
      <c r="B3345" s="53"/>
      <c r="C3345" s="53"/>
      <c r="D3345" s="53"/>
      <c r="E3345" s="53"/>
      <c r="F3345" s="53"/>
      <c r="G3345" s="53"/>
      <c r="H3345" s="53"/>
      <c r="I3345" s="53"/>
    </row>
    <row r="3346" spans="2:9" ht="15.75">
      <c r="B3346" s="53" t="s">
        <v>5766</v>
      </c>
      <c r="C3346" s="53"/>
      <c r="D3346" s="53"/>
      <c r="E3346" s="53"/>
      <c r="F3346" s="481">
        <f>F3341-F3344</f>
        <v>-27.462845250000001</v>
      </c>
      <c r="G3346" s="481">
        <f>G3341-G3344</f>
        <v>-6.4631794275000019</v>
      </c>
      <c r="H3346" s="481">
        <f>H3341-H3344</f>
        <v>32.095353595500001</v>
      </c>
      <c r="I3346" s="481">
        <f>I3341-I3344</f>
        <v>54.865767828637502</v>
      </c>
    </row>
    <row r="3347" spans="2:9" ht="15.75">
      <c r="B3347" s="50" t="s">
        <v>5767</v>
      </c>
      <c r="C3347" s="50"/>
      <c r="D3347" s="50"/>
      <c r="E3347" s="50"/>
      <c r="F3347" s="57">
        <f>F3346/Valuation!L28</f>
        <v>-0.11256201574422878</v>
      </c>
      <c r="G3347" s="57">
        <f>G3346/Valuation!M28</f>
        <v>-2.819271287895312E-2</v>
      </c>
      <c r="H3347" s="57">
        <f>H3346/Valuation!N28</f>
        <v>0.16546555444398628</v>
      </c>
      <c r="I3347" s="57">
        <f ca="1">I3346/Valuation!O28</f>
        <v>0.40194822756453247</v>
      </c>
    </row>
    <row r="3348" spans="2:9" ht="15.75">
      <c r="B3348" s="53"/>
      <c r="C3348" s="53"/>
      <c r="D3348" s="53"/>
      <c r="E3348" s="53"/>
      <c r="F3348" s="53"/>
      <c r="G3348" s="53"/>
      <c r="H3348" s="53"/>
    </row>
    <row r="3349" spans="2:9" ht="15.75">
      <c r="B3349" s="976" t="s">
        <v>5775</v>
      </c>
      <c r="C3349" s="53"/>
      <c r="D3349" s="53"/>
      <c r="E3349" s="53"/>
      <c r="F3349" s="53"/>
      <c r="G3349" s="53"/>
      <c r="H3349" s="53"/>
    </row>
    <row r="3350" spans="2:9" ht="15.75">
      <c r="B3350" s="53"/>
      <c r="C3350" s="53"/>
      <c r="D3350" s="53"/>
      <c r="E3350" s="53"/>
      <c r="F3350" s="53"/>
      <c r="G3350" s="53"/>
      <c r="H3350" s="53"/>
    </row>
    <row r="3351" spans="2:9" ht="15.75">
      <c r="B3351" s="53" t="s">
        <v>5830</v>
      </c>
      <c r="C3351" s="714">
        <v>915</v>
      </c>
      <c r="D3351" s="53"/>
      <c r="E3351" s="53"/>
      <c r="F3351" s="53"/>
      <c r="G3351" s="53"/>
      <c r="H3351" s="53"/>
    </row>
    <row r="3352" spans="2:9" ht="15.75">
      <c r="B3352" s="53"/>
      <c r="C3352" s="53"/>
      <c r="D3352" s="53"/>
      <c r="E3352" s="53"/>
      <c r="F3352" s="53"/>
      <c r="G3352" s="53"/>
      <c r="H3352" s="53"/>
    </row>
    <row r="3353" spans="2:9" ht="15.75">
      <c r="B3353" s="50"/>
      <c r="C3353" s="51" t="s">
        <v>5829</v>
      </c>
      <c r="D3353" s="51" t="s">
        <v>3871</v>
      </c>
      <c r="E3353" s="53"/>
      <c r="F3353" s="53"/>
      <c r="G3353" s="53"/>
      <c r="H3353" s="53"/>
    </row>
    <row r="3354" spans="2:9" ht="15.75">
      <c r="B3354" s="53" t="s">
        <v>5784</v>
      </c>
      <c r="C3354" s="630">
        <v>1095</v>
      </c>
      <c r="D3354" s="630">
        <f>C3354/$C$3351*1000</f>
        <v>1196.7213114754097</v>
      </c>
    </row>
    <row r="3355" spans="2:9" ht="15.75">
      <c r="B3355" s="53" t="s">
        <v>5785</v>
      </c>
      <c r="C3355" s="630">
        <v>259</v>
      </c>
      <c r="D3355" s="630">
        <f>C3355/$C$3351*1000</f>
        <v>283.06010928961751</v>
      </c>
    </row>
    <row r="3356" spans="2:9" ht="15.75">
      <c r="B3356" s="53" t="s">
        <v>5831</v>
      </c>
      <c r="C3356" s="630">
        <v>79</v>
      </c>
      <c r="D3356" s="630">
        <f>C3356/$C$3351*1000</f>
        <v>86.338797814207652</v>
      </c>
      <c r="E3356" s="486"/>
    </row>
    <row r="3357" spans="2:9" ht="15.75">
      <c r="B3357" s="53" t="s">
        <v>6204</v>
      </c>
      <c r="C3357" s="764">
        <v>200</v>
      </c>
      <c r="D3357" s="630">
        <f>C3357/$C$3351*1000</f>
        <v>218.5792349726776</v>
      </c>
    </row>
    <row r="3358" spans="2:9" ht="15.75">
      <c r="B3358" s="53" t="s">
        <v>6205</v>
      </c>
      <c r="C3358" s="486">
        <f>C3357</f>
        <v>200</v>
      </c>
      <c r="D3358" s="630">
        <f>C3358/$C$3351*1000</f>
        <v>218.5792349726776</v>
      </c>
    </row>
    <row r="3359" spans="2:9" ht="15.75">
      <c r="B3359" s="53"/>
      <c r="C3359" s="53"/>
      <c r="D3359" s="53"/>
    </row>
    <row r="3360" spans="2:9" ht="15.75">
      <c r="B3360" s="78" t="s">
        <v>899</v>
      </c>
      <c r="C3360" s="53"/>
      <c r="D3360" s="53"/>
    </row>
    <row r="3361" spans="1:12" ht="15.75">
      <c r="B3361" s="53" t="s">
        <v>5777</v>
      </c>
      <c r="C3361" s="702">
        <v>5</v>
      </c>
      <c r="D3361" s="53"/>
      <c r="E3361" t="s">
        <v>5786</v>
      </c>
    </row>
    <row r="3362" spans="1:12" ht="16.5" thickBot="1">
      <c r="B3362" s="53" t="s">
        <v>6146</v>
      </c>
      <c r="C3362" s="630">
        <f>Chile!J52</f>
        <v>498.8</v>
      </c>
      <c r="D3362" s="630">
        <f>C3362/$C$3351*1000</f>
        <v>545.1366120218579</v>
      </c>
    </row>
    <row r="3363" spans="1:12" ht="16.5" thickBot="1">
      <c r="B3363" s="53" t="s">
        <v>6147</v>
      </c>
      <c r="C3363" s="630">
        <f>Chile!J60</f>
        <v>105.60000000000001</v>
      </c>
      <c r="D3363" s="1160">
        <f>C3363/$C$3351*1000</f>
        <v>115.40983606557378</v>
      </c>
      <c r="E3363">
        <v>200</v>
      </c>
      <c r="F3363" t="s">
        <v>5787</v>
      </c>
    </row>
    <row r="3364" spans="1:12" ht="15.75">
      <c r="B3364" s="53" t="s">
        <v>251</v>
      </c>
      <c r="C3364" s="54">
        <f>C3363/C3362</f>
        <v>0.21170809943865279</v>
      </c>
      <c r="D3364" s="53"/>
    </row>
    <row r="3365" spans="1:12" ht="15.75">
      <c r="B3365" s="53" t="s">
        <v>19</v>
      </c>
      <c r="C3365" s="630">
        <f>Chile!J64</f>
        <v>118.6</v>
      </c>
      <c r="D3365" s="630">
        <f>C3365/$C$3351*1000</f>
        <v>129.61748633879779</v>
      </c>
    </row>
    <row r="3366" spans="1:12" ht="15.75">
      <c r="B3366" s="53" t="s">
        <v>27</v>
      </c>
      <c r="C3366" s="630">
        <f>C3363-C3365</f>
        <v>-12.999999999999986</v>
      </c>
      <c r="D3366" s="630">
        <f>C3366/$C$3351*1000</f>
        <v>-14.207650273224029</v>
      </c>
    </row>
    <row r="3367" spans="1:12" ht="15.75">
      <c r="B3367" s="53"/>
      <c r="C3367" s="630"/>
      <c r="D3367" s="53"/>
    </row>
    <row r="3368" spans="1:12" ht="15.75">
      <c r="A3368" t="s">
        <v>72</v>
      </c>
      <c r="B3368" s="53" t="s">
        <v>331</v>
      </c>
      <c r="C3368" s="630">
        <f>C3361*C3363</f>
        <v>528</v>
      </c>
      <c r="D3368" s="630">
        <f>C3368/$C$3351*1000</f>
        <v>577.04918032786884</v>
      </c>
      <c r="J3368" s="80" t="s">
        <v>899</v>
      </c>
      <c r="K3368" s="80" t="s">
        <v>1364</v>
      </c>
    </row>
    <row r="3369" spans="1:12" ht="15.75">
      <c r="B3369" s="53" t="s">
        <v>5838</v>
      </c>
      <c r="C3369" s="639">
        <f>C3368/C3366</f>
        <v>-40.615384615384663</v>
      </c>
      <c r="D3369" s="630"/>
      <c r="I3369" t="s">
        <v>5863</v>
      </c>
      <c r="K3369" s="16"/>
      <c r="L3369" s="16">
        <f>C3373</f>
        <v>186.9</v>
      </c>
    </row>
    <row r="3370" spans="1:12" ht="15.75">
      <c r="B3370" s="53"/>
      <c r="C3370" s="53"/>
      <c r="D3370" s="53"/>
      <c r="I3370" t="s">
        <v>5864</v>
      </c>
      <c r="K3370" s="16">
        <f>L3369-L3370</f>
        <v>131.465873125</v>
      </c>
      <c r="L3370" s="16">
        <f>C3379</f>
        <v>55.434126875000004</v>
      </c>
    </row>
    <row r="3371" spans="1:12" ht="15.75">
      <c r="B3371" s="78" t="s">
        <v>5835</v>
      </c>
      <c r="C3371" s="53"/>
      <c r="D3371" s="53"/>
      <c r="I3371" t="s">
        <v>5865</v>
      </c>
      <c r="K3371" s="16">
        <f>K3370-L3371</f>
        <v>107.08430312500001</v>
      </c>
      <c r="L3371" s="16">
        <f>C3382</f>
        <v>24.38157</v>
      </c>
    </row>
    <row r="3372" spans="1:12" ht="15.75">
      <c r="B3372" s="53" t="s">
        <v>15</v>
      </c>
      <c r="C3372" s="630">
        <v>812.71900000000005</v>
      </c>
      <c r="D3372" s="630">
        <f>C3372/$C$3351*1000</f>
        <v>888.21748633879781</v>
      </c>
      <c r="I3372" t="s">
        <v>5866</v>
      </c>
      <c r="J3372" s="486">
        <f>C3363</f>
        <v>105.60000000000001</v>
      </c>
      <c r="K3372" s="16"/>
      <c r="L3372" s="16">
        <f>C3383</f>
        <v>107.08430312500001</v>
      </c>
    </row>
    <row r="3373" spans="1:12" ht="15.75">
      <c r="B3373" s="53" t="s">
        <v>5824</v>
      </c>
      <c r="C3373" s="630">
        <v>186.9</v>
      </c>
      <c r="D3373" s="630">
        <f>C3373/$C$3351*1000</f>
        <v>204.26229508196721</v>
      </c>
      <c r="E3373">
        <v>170</v>
      </c>
      <c r="F3373" t="s">
        <v>5788</v>
      </c>
      <c r="G3373" t="s">
        <v>5789</v>
      </c>
      <c r="I3373" t="s">
        <v>19</v>
      </c>
      <c r="K3373" s="16">
        <f>L3372-L3373</f>
        <v>4.7729281250000071</v>
      </c>
      <c r="L3373" s="486">
        <f>Chile!I134</f>
        <v>102.311375</v>
      </c>
    </row>
    <row r="3374" spans="1:12" ht="15.75">
      <c r="B3374" s="53" t="s">
        <v>251</v>
      </c>
      <c r="C3374" s="54">
        <f>C3373/C3372</f>
        <v>0.22996878379858229</v>
      </c>
      <c r="D3374" s="53"/>
      <c r="I3374" t="s">
        <v>27</v>
      </c>
      <c r="K3374" s="16"/>
      <c r="L3374" s="486">
        <f>K3373</f>
        <v>4.7729281250000071</v>
      </c>
    </row>
    <row r="3375" spans="1:12" ht="15.75">
      <c r="B3375" s="78" t="s">
        <v>5821</v>
      </c>
      <c r="C3375" s="53"/>
      <c r="D3375" s="53"/>
    </row>
    <row r="3376" spans="1:12" ht="15.75">
      <c r="B3376" s="53" t="s">
        <v>5822</v>
      </c>
      <c r="C3376" s="481">
        <v>137.39099999999999</v>
      </c>
      <c r="D3376" s="481">
        <f>C3376/$C$3351*1000</f>
        <v>150.15409836065575</v>
      </c>
      <c r="I3376" t="str">
        <f>I3372</f>
        <v>After lease EBITDA</v>
      </c>
      <c r="L3376" s="486">
        <f>C3363</f>
        <v>105.60000000000001</v>
      </c>
    </row>
    <row r="3377" spans="2:12" ht="15.75">
      <c r="B3377" s="53" t="s">
        <v>5823</v>
      </c>
      <c r="C3377" s="481">
        <v>190.154</v>
      </c>
      <c r="D3377" s="481">
        <f>C3377/$C$3351*1000</f>
        <v>207.81857923497267</v>
      </c>
      <c r="I3377" t="s">
        <v>19</v>
      </c>
      <c r="K3377" s="16">
        <f>L3376-L3377</f>
        <v>-45.91510000000001</v>
      </c>
      <c r="L3377" s="486">
        <f>Chile!I133</f>
        <v>151.51510000000002</v>
      </c>
    </row>
    <row r="3378" spans="2:12" ht="15.75">
      <c r="B3378" s="53" t="s">
        <v>5836</v>
      </c>
      <c r="C3378" s="481">
        <f>C3377-C3376</f>
        <v>52.763000000000005</v>
      </c>
      <c r="D3378" s="481">
        <f>C3378/$C$3351*1000</f>
        <v>57.664480874316943</v>
      </c>
      <c r="I3378" t="s">
        <v>27</v>
      </c>
      <c r="K3378" s="16"/>
      <c r="L3378" s="486">
        <f>K3377</f>
        <v>-45.91510000000001</v>
      </c>
    </row>
    <row r="3379" spans="2:12" ht="15.75">
      <c r="B3379" s="53" t="s">
        <v>5826</v>
      </c>
      <c r="C3379" s="481">
        <f>C3378*(1.025)^2</f>
        <v>55.434126875000004</v>
      </c>
      <c r="D3379" s="481">
        <f>C3379/$C$3351*1000</f>
        <v>60.583745218579239</v>
      </c>
    </row>
    <row r="3380" spans="2:12" ht="15.75">
      <c r="B3380" s="53"/>
      <c r="C3380" s="53"/>
      <c r="D3380" s="53"/>
    </row>
    <row r="3381" spans="2:12" ht="15.75">
      <c r="B3381" s="53" t="s">
        <v>5825</v>
      </c>
      <c r="C3381" s="481">
        <f>C3373-C3379</f>
        <v>131.465873125</v>
      </c>
      <c r="D3381" s="481">
        <f>C3381/$C$3351*1000</f>
        <v>143.67854986338799</v>
      </c>
    </row>
    <row r="3382" spans="2:12" ht="16.5" thickBot="1">
      <c r="B3382" s="53" t="s">
        <v>5827</v>
      </c>
      <c r="C3382" s="481">
        <f>0.03*C3372</f>
        <v>24.38157</v>
      </c>
      <c r="D3382" s="481">
        <f>C3382/$C$3351*1000</f>
        <v>26.646524590163931</v>
      </c>
    </row>
    <row r="3383" spans="2:12" ht="16.5" thickBot="1">
      <c r="B3383" s="53" t="s">
        <v>5828</v>
      </c>
      <c r="C3383" s="481">
        <f>C3381-C3382</f>
        <v>107.08430312500001</v>
      </c>
      <c r="D3383" s="1161">
        <f>C3383/$C$3351*1000</f>
        <v>117.03202527322405</v>
      </c>
    </row>
    <row r="3384" spans="2:12" ht="15.75">
      <c r="B3384" s="53" t="str">
        <f>B3361</f>
        <v>Fair value multiple</v>
      </c>
      <c r="C3384" s="702">
        <v>4.5</v>
      </c>
      <c r="D3384" s="53"/>
    </row>
    <row r="3385" spans="2:12" ht="15.75">
      <c r="B3385" s="53" t="s">
        <v>331</v>
      </c>
      <c r="C3385" s="481">
        <f>C3384*C3383</f>
        <v>481.87936406250003</v>
      </c>
      <c r="D3385" s="481">
        <f>C3385/$C$3351*1000</f>
        <v>526.64411372950826</v>
      </c>
      <c r="G3385" t="s">
        <v>5790</v>
      </c>
    </row>
    <row r="3386" spans="2:12" ht="15.75">
      <c r="B3386" s="53"/>
      <c r="C3386" s="53"/>
      <c r="D3386" s="53"/>
    </row>
    <row r="3387" spans="2:12" ht="15.75">
      <c r="B3387" s="53" t="s">
        <v>5781</v>
      </c>
      <c r="C3387" s="630">
        <f>C3368+C3385</f>
        <v>1009.8793640625</v>
      </c>
      <c r="D3387" s="630">
        <f>C3387/$C$3351*1000</f>
        <v>1103.6932940573772</v>
      </c>
    </row>
    <row r="3388" spans="2:12" ht="15.75">
      <c r="B3388" s="53" t="s">
        <v>2046</v>
      </c>
      <c r="C3388" s="630">
        <f>C3354+C3355</f>
        <v>1354</v>
      </c>
      <c r="D3388" s="630">
        <f>C3388/$C$3351*1000</f>
        <v>1479.7814207650272</v>
      </c>
    </row>
    <row r="3389" spans="2:12" ht="15.75">
      <c r="B3389" s="53" t="s">
        <v>332</v>
      </c>
      <c r="C3389" s="630">
        <f>C3387-C3388</f>
        <v>-344.12063593749997</v>
      </c>
      <c r="D3389" s="630">
        <f>C3389/$C$3351*1000</f>
        <v>-376.08812670765025</v>
      </c>
    </row>
    <row r="3390" spans="2:12" ht="15.75">
      <c r="B3390" s="821" t="s">
        <v>5779</v>
      </c>
      <c r="C3390" s="630">
        <f>C3389*0.5</f>
        <v>-172.06031796874998</v>
      </c>
      <c r="D3390" s="630">
        <f>C3390/$C$3351*1000</f>
        <v>-188.04406335382512</v>
      </c>
    </row>
    <row r="3391" spans="2:12" ht="15.75">
      <c r="B3391" s="821" t="s">
        <v>5780</v>
      </c>
      <c r="C3391" s="630">
        <f>C3389-C3390</f>
        <v>-172.06031796874998</v>
      </c>
      <c r="D3391" s="630">
        <f>C3391/$C$3351*1000</f>
        <v>-188.04406335382512</v>
      </c>
    </row>
    <row r="3392" spans="2:12" ht="15.75">
      <c r="B3392" s="53"/>
      <c r="C3392" s="630"/>
      <c r="D3392" s="630"/>
    </row>
    <row r="3393" spans="2:4" ht="15.75">
      <c r="B3393" s="78" t="s">
        <v>3679</v>
      </c>
      <c r="C3393" s="630"/>
      <c r="D3393" s="630"/>
    </row>
    <row r="3394" spans="2:4" ht="15.75">
      <c r="B3394" s="53" t="s">
        <v>5832</v>
      </c>
      <c r="C3394" s="630">
        <f>C3354</f>
        <v>1095</v>
      </c>
      <c r="D3394" s="630"/>
    </row>
    <row r="3395" spans="2:4" ht="15.75">
      <c r="B3395" s="53" t="s">
        <v>5833</v>
      </c>
      <c r="C3395" s="630">
        <f>C3390</f>
        <v>-172.06031796874998</v>
      </c>
      <c r="D3395" s="630"/>
    </row>
    <row r="3396" spans="2:4" ht="15.75">
      <c r="B3396" s="50" t="s">
        <v>5776</v>
      </c>
      <c r="C3396" s="632">
        <f>-C3356</f>
        <v>-79</v>
      </c>
      <c r="D3396" s="630"/>
    </row>
    <row r="3397" spans="2:4" ht="15.75">
      <c r="B3397" s="53" t="s">
        <v>16</v>
      </c>
      <c r="C3397" s="630">
        <f>SUM(C3394:C3396)</f>
        <v>843.93968203124996</v>
      </c>
      <c r="D3397" s="630"/>
    </row>
    <row r="3398" spans="2:4" ht="15.75">
      <c r="B3398" s="53" t="s">
        <v>5834</v>
      </c>
      <c r="C3398" s="481">
        <f>C3397-C3368</f>
        <v>315.93968203124996</v>
      </c>
      <c r="D3398" s="481"/>
    </row>
    <row r="3399" spans="2:4" ht="15.75">
      <c r="B3399" s="53"/>
      <c r="C3399" s="53"/>
      <c r="D3399" s="53"/>
    </row>
    <row r="3400" spans="2:4" ht="15.75">
      <c r="B3400" s="78" t="s">
        <v>5783</v>
      </c>
      <c r="C3400" s="53"/>
      <c r="D3400" s="53"/>
    </row>
    <row r="3401" spans="2:4" ht="15.75">
      <c r="B3401" s="53" t="str">
        <f>B3394</f>
        <v>Deconsolidated debt</v>
      </c>
      <c r="C3401" s="630">
        <f>C3355</f>
        <v>259</v>
      </c>
      <c r="D3401" s="53"/>
    </row>
    <row r="3402" spans="2:4" ht="15.75">
      <c r="B3402" s="53" t="str">
        <f>B3395</f>
        <v>Equity at 50%</v>
      </c>
      <c r="C3402" s="481">
        <f>C3390</f>
        <v>-172.06031796874998</v>
      </c>
      <c r="D3402" s="481"/>
    </row>
    <row r="3403" spans="2:4" ht="15.75">
      <c r="B3403" s="50" t="str">
        <f>B3396</f>
        <v>Balancing payment</v>
      </c>
      <c r="C3403" s="632">
        <f>+C3356</f>
        <v>79</v>
      </c>
      <c r="D3403" s="481"/>
    </row>
    <row r="3404" spans="2:4" ht="15.75">
      <c r="B3404" s="53" t="s">
        <v>16</v>
      </c>
      <c r="C3404" s="481">
        <f>SUM(C3401:C3403)</f>
        <v>165.93968203125002</v>
      </c>
      <c r="D3404" s="481"/>
    </row>
    <row r="3405" spans="2:4" ht="15.75">
      <c r="B3405" s="53" t="s">
        <v>5782</v>
      </c>
      <c r="C3405" s="481">
        <f>C3404-C3385</f>
        <v>-315.93968203125002</v>
      </c>
      <c r="D3405" s="481"/>
    </row>
    <row r="3407" spans="2:4" ht="15.75">
      <c r="B3407" t="s">
        <v>5837</v>
      </c>
      <c r="C3407" s="630">
        <v>180</v>
      </c>
    </row>
    <row r="3408" spans="2:4" ht="15.75">
      <c r="B3408" s="53" t="s">
        <v>5839</v>
      </c>
      <c r="C3408" s="630">
        <f>C3407*0.5</f>
        <v>90</v>
      </c>
    </row>
    <row r="3409" spans="2:10" ht="15.75">
      <c r="B3409" s="53"/>
    </row>
    <row r="3410" spans="2:10" ht="16.5" thickBot="1">
      <c r="B3410" s="53"/>
      <c r="D3410" s="975"/>
    </row>
    <row r="3411" spans="2:10" ht="15.75">
      <c r="B3411" s="636"/>
      <c r="C3411" s="642" t="s">
        <v>899</v>
      </c>
      <c r="D3411" s="642" t="s">
        <v>1364</v>
      </c>
      <c r="E3411" s="1148" t="s">
        <v>5846</v>
      </c>
    </row>
    <row r="3412" spans="2:10" ht="16.5" thickBot="1">
      <c r="B3412" s="648" t="s">
        <v>5854</v>
      </c>
      <c r="C3412" s="649">
        <f>C3368</f>
        <v>528</v>
      </c>
      <c r="D3412" s="650">
        <f>C3385</f>
        <v>481.87936406250003</v>
      </c>
      <c r="E3412" s="1153">
        <f>C3412+D3412</f>
        <v>1009.8793640625</v>
      </c>
      <c r="F3412" s="53"/>
      <c r="G3412" s="53"/>
      <c r="H3412" s="53"/>
      <c r="I3412" s="53"/>
      <c r="J3412" s="53"/>
    </row>
    <row r="3413" spans="2:10" ht="16.5" thickBot="1">
      <c r="B3413" s="53" t="s">
        <v>5853</v>
      </c>
      <c r="C3413" s="1179">
        <f>C3361</f>
        <v>5</v>
      </c>
      <c r="D3413" s="1180">
        <v>5</v>
      </c>
      <c r="E3413" s="1154"/>
      <c r="F3413" s="53"/>
      <c r="G3413" s="53"/>
      <c r="H3413" s="53"/>
      <c r="I3413" s="53"/>
      <c r="J3413" s="53"/>
    </row>
    <row r="3414" spans="2:10" ht="15.75">
      <c r="B3414" s="648" t="s">
        <v>6045</v>
      </c>
      <c r="C3414" s="649">
        <f>D3368</f>
        <v>577.04918032786884</v>
      </c>
      <c r="D3414" s="650">
        <f>D3385</f>
        <v>526.64411372950826</v>
      </c>
      <c r="E3414" s="1153">
        <f>C3414+D3414</f>
        <v>1103.693294057377</v>
      </c>
      <c r="F3414" s="53"/>
      <c r="G3414" s="53"/>
      <c r="H3414" s="53"/>
      <c r="I3414" s="53"/>
      <c r="J3414" s="53"/>
    </row>
    <row r="3415" spans="2:10" ht="15.75">
      <c r="B3415" s="53" t="s">
        <v>5849</v>
      </c>
      <c r="C3415" s="713">
        <f>C3412/Chile!N141</f>
        <v>-114.41354966531074</v>
      </c>
      <c r="D3415" s="713">
        <f>D3412/(Chile!N124-Chile!N134)</f>
        <v>-4.7473181212833566</v>
      </c>
      <c r="E3415" s="1128"/>
      <c r="F3415" s="53"/>
      <c r="G3415" s="53"/>
      <c r="H3415" s="53"/>
      <c r="I3415" s="53"/>
      <c r="J3415" s="53"/>
    </row>
    <row r="3416" spans="2:10" ht="15.75">
      <c r="B3416" s="648"/>
      <c r="C3416" s="648"/>
      <c r="D3416" s="648"/>
      <c r="E3416" s="1155"/>
      <c r="F3416" s="53"/>
      <c r="G3416" s="53"/>
      <c r="H3416" s="53"/>
      <c r="I3416" s="53"/>
      <c r="J3416" s="53"/>
    </row>
    <row r="3417" spans="2:10" ht="15.75">
      <c r="B3417" s="53" t="s">
        <v>6037</v>
      </c>
      <c r="C3417" s="53"/>
      <c r="D3417" s="53"/>
      <c r="E3417" s="1156">
        <f>C3415</f>
        <v>-114.41354966531074</v>
      </c>
      <c r="F3417" s="53"/>
      <c r="G3417" s="53"/>
      <c r="H3417" s="53"/>
      <c r="I3417" s="53"/>
      <c r="J3417" s="53"/>
    </row>
    <row r="3418" spans="2:10" ht="15.75">
      <c r="B3418" s="648" t="s">
        <v>5855</v>
      </c>
      <c r="C3418" s="555"/>
      <c r="D3418" s="648"/>
      <c r="E3418" s="1153">
        <f>E3417*(Chile!N141+Chile!N142+Chile!N153)</f>
        <v>-4539.87978082668</v>
      </c>
      <c r="F3418" s="53"/>
      <c r="G3418" s="630"/>
      <c r="H3418" s="53"/>
      <c r="I3418" s="53"/>
      <c r="J3418" s="53"/>
    </row>
    <row r="3419" spans="2:10" ht="15.75">
      <c r="B3419" s="53" t="s">
        <v>5856</v>
      </c>
      <c r="D3419" s="53"/>
      <c r="E3419" s="1157">
        <f>E3418/E3412-1</f>
        <v>-5.495467421538196</v>
      </c>
      <c r="F3419" s="53"/>
      <c r="G3419" s="53"/>
      <c r="H3419" s="53"/>
      <c r="I3419" s="53"/>
      <c r="J3419" s="53"/>
    </row>
    <row r="3420" spans="2:10" ht="15.75">
      <c r="B3420" s="666" t="s">
        <v>5851</v>
      </c>
      <c r="C3420" s="1147"/>
      <c r="D3420" s="666"/>
      <c r="E3420" s="1158">
        <f>C3354+C3355</f>
        <v>1354</v>
      </c>
      <c r="F3420" s="53"/>
      <c r="G3420" s="53"/>
      <c r="H3420" s="53"/>
      <c r="I3420" s="53"/>
      <c r="J3420" s="53"/>
    </row>
    <row r="3421" spans="2:10" ht="16.5" thickBot="1">
      <c r="B3421" s="53" t="s">
        <v>5850</v>
      </c>
      <c r="C3421" s="630">
        <f>E3421*0.5</f>
        <v>-2946.93989041334</v>
      </c>
      <c r="D3421" s="630">
        <f>E3421-C3421</f>
        <v>-2946.93989041334</v>
      </c>
      <c r="E3421" s="1154">
        <f>E3418-E3420</f>
        <v>-5893.87978082668</v>
      </c>
      <c r="F3421" s="53"/>
      <c r="G3421" s="53"/>
      <c r="H3421" s="53"/>
      <c r="I3421" s="53"/>
      <c r="J3421" s="53"/>
    </row>
    <row r="3422" spans="2:10" ht="16.5" thickBot="1">
      <c r="B3422" s="1111" t="s">
        <v>6046</v>
      </c>
      <c r="C3422" s="1181">
        <f>C3421/SOP!$G$35</f>
        <v>-17.365585683048558</v>
      </c>
      <c r="D3422" s="649"/>
      <c r="E3422" s="1153"/>
      <c r="F3422" s="53"/>
      <c r="G3422" s="53"/>
      <c r="H3422" s="53"/>
      <c r="I3422" s="53"/>
      <c r="J3422" s="53"/>
    </row>
    <row r="3423" spans="2:10" ht="15.75">
      <c r="B3423" s="53"/>
      <c r="C3423" s="630"/>
      <c r="D3423" s="630"/>
      <c r="E3423" s="1154"/>
      <c r="F3423" s="53"/>
      <c r="G3423" s="53"/>
      <c r="H3423" s="53"/>
      <c r="I3423" s="53"/>
      <c r="J3423" s="53"/>
    </row>
    <row r="3424" spans="2:10" ht="15.75">
      <c r="B3424" s="648" t="s">
        <v>5832</v>
      </c>
      <c r="C3424" s="649">
        <f>C3354</f>
        <v>1095</v>
      </c>
      <c r="D3424" s="649">
        <f>C3355</f>
        <v>259</v>
      </c>
      <c r="E3424" s="1153"/>
      <c r="F3424" s="53"/>
      <c r="G3424" s="53"/>
      <c r="H3424" s="53"/>
      <c r="I3424" s="53"/>
      <c r="J3424" s="53"/>
    </row>
    <row r="3425" spans="2:15" ht="15.75">
      <c r="B3425" s="50" t="s">
        <v>5852</v>
      </c>
      <c r="C3425" s="632">
        <f>-C3356</f>
        <v>-79</v>
      </c>
      <c r="D3425" s="632">
        <f>-C3425</f>
        <v>79</v>
      </c>
      <c r="E3425" s="1154"/>
      <c r="F3425" s="53"/>
      <c r="G3425" s="53"/>
      <c r="H3425" s="53"/>
      <c r="I3425" s="53"/>
      <c r="J3425" s="53"/>
    </row>
    <row r="3426" spans="2:15" ht="15.75">
      <c r="B3426" s="648" t="s">
        <v>5867</v>
      </c>
      <c r="C3426" s="649">
        <f>SUM(C3421:C3425)</f>
        <v>-1948.3054760963887</v>
      </c>
      <c r="D3426" s="649">
        <f>SUM(D3421:D3425)</f>
        <v>-2608.93989041334</v>
      </c>
      <c r="E3426" s="1153"/>
      <c r="F3426" s="53"/>
      <c r="I3426" s="53"/>
      <c r="J3426" s="53"/>
      <c r="N3426" s="53"/>
      <c r="O3426" s="53"/>
    </row>
    <row r="3427" spans="2:15" ht="15.75">
      <c r="B3427" s="53" t="s">
        <v>5868</v>
      </c>
      <c r="C3427" s="630">
        <f>C3426/$C$3351*(1000)</f>
        <v>-2129.2956022911353</v>
      </c>
      <c r="D3427" s="630">
        <f>D3426/$C$3351*(1000)</f>
        <v>-2851.3004266812459</v>
      </c>
      <c r="E3427" s="1154"/>
      <c r="F3427" s="53"/>
      <c r="I3427" s="53"/>
      <c r="J3427" s="53"/>
      <c r="N3427" s="630">
        <f>E3418-E3412</f>
        <v>-5549.7591448891799</v>
      </c>
      <c r="O3427" s="53"/>
    </row>
    <row r="3428" spans="2:15" ht="16.5" thickBot="1">
      <c r="B3428" s="648" t="s">
        <v>5869</v>
      </c>
      <c r="C3428" s="649">
        <f>C3427-C3414</f>
        <v>-2706.344782619004</v>
      </c>
      <c r="D3428" s="649">
        <f>D3427-D3414</f>
        <v>-3377.9445404107541</v>
      </c>
      <c r="E3428" s="1153">
        <f>C3428+D3428</f>
        <v>-6084.2893230297577</v>
      </c>
      <c r="I3428" s="53"/>
      <c r="J3428" s="53"/>
      <c r="N3428" s="53">
        <f>E3428*800/1000</f>
        <v>-4867.4314584238064</v>
      </c>
      <c r="O3428" s="53">
        <f>N3428/Chile!N153</f>
        <v>-33.384303555718837</v>
      </c>
    </row>
    <row r="3429" spans="2:15" ht="16.5" thickBot="1">
      <c r="B3429" s="652" t="s">
        <v>5847</v>
      </c>
      <c r="C3429" s="655">
        <f>C3428/E3428</f>
        <v>0.44480869316571908</v>
      </c>
      <c r="D3429" s="655">
        <f>D3428/E3428</f>
        <v>0.55519130683428097</v>
      </c>
      <c r="E3429" s="1154"/>
      <c r="I3429" s="53"/>
      <c r="J3429" s="53"/>
      <c r="N3429" s="53"/>
      <c r="O3429" s="53"/>
    </row>
    <row r="3430" spans="2:15" ht="15.75">
      <c r="B3430" s="1149"/>
      <c r="C3430" s="1150" t="s">
        <v>3679</v>
      </c>
      <c r="D3430" s="1150" t="s">
        <v>1453</v>
      </c>
      <c r="E3430" s="1159"/>
      <c r="I3430" s="53"/>
      <c r="J3430" s="53"/>
      <c r="N3430" s="53"/>
      <c r="O3430" s="53"/>
    </row>
    <row r="3431" spans="2:15" ht="15.75">
      <c r="B3431" s="865" t="s">
        <v>5848</v>
      </c>
      <c r="C3431" s="621">
        <f>(C3421-0)/SOP!$G$35</f>
        <v>-17.365585683048558</v>
      </c>
      <c r="D3431" s="53"/>
      <c r="E3431" s="1128"/>
      <c r="G3431" s="53"/>
      <c r="H3431" s="53"/>
      <c r="I3431" s="53"/>
      <c r="J3431" s="53"/>
    </row>
    <row r="3432" spans="2:15" ht="16.5" thickBot="1">
      <c r="B3432" s="1151" t="s">
        <v>5845</v>
      </c>
      <c r="C3432" s="1152"/>
      <c r="D3432" s="1152">
        <f>D3428/3096</f>
        <v>-1.0910673580138095</v>
      </c>
      <c r="E3432" s="1129"/>
      <c r="F3432" s="53"/>
      <c r="G3432" s="53"/>
      <c r="H3432" s="53"/>
      <c r="I3432" s="53"/>
      <c r="J3432" s="53"/>
    </row>
    <row r="3433" spans="2:15" ht="15.75">
      <c r="B3433" s="53"/>
      <c r="C3433" s="53"/>
      <c r="D3433" s="53"/>
      <c r="E3433" s="53"/>
      <c r="F3433" s="53"/>
      <c r="G3433" s="53"/>
      <c r="H3433" s="53"/>
      <c r="I3433" s="53"/>
      <c r="J3433" s="53"/>
    </row>
    <row r="3434" spans="2:15" ht="15.75">
      <c r="B3434" s="636" t="s">
        <v>4963</v>
      </c>
      <c r="C3434" s="636">
        <v>2021</v>
      </c>
      <c r="D3434" s="636">
        <f>C3434+1</f>
        <v>2022</v>
      </c>
      <c r="E3434" s="636">
        <f>D3434+1</f>
        <v>2023</v>
      </c>
      <c r="F3434" s="636">
        <f>E3434+1</f>
        <v>2024</v>
      </c>
      <c r="G3434" s="636">
        <f>F3434+1</f>
        <v>2025</v>
      </c>
      <c r="H3434" s="636">
        <f>G3434+1</f>
        <v>2026</v>
      </c>
      <c r="I3434" s="53"/>
      <c r="J3434" s="53"/>
    </row>
    <row r="3435" spans="2:15" ht="15.75">
      <c r="B3435" s="648" t="s">
        <v>6054</v>
      </c>
      <c r="C3435" s="649">
        <f>Valuation!L28</f>
        <v>243.97968593955338</v>
      </c>
      <c r="D3435" s="649">
        <f>Valuation!M28</f>
        <v>229.24999999999997</v>
      </c>
      <c r="E3435" s="649">
        <f>Valuation!N28</f>
        <v>193.96999999999989</v>
      </c>
      <c r="F3435" s="649">
        <f ca="1">Valuation!O28</f>
        <v>136.49958891740317</v>
      </c>
      <c r="G3435" s="649">
        <f ca="1">Valuation!P28</f>
        <v>249.28592382841885</v>
      </c>
      <c r="H3435" s="649">
        <f ca="1">G3435*G3435/F3435</f>
        <v>455.26490088253433</v>
      </c>
      <c r="I3435" s="53"/>
      <c r="J3435" s="53"/>
    </row>
    <row r="3436" spans="2:15" ht="15.75">
      <c r="B3436" s="53"/>
      <c r="C3436" s="630"/>
      <c r="D3436" s="630"/>
      <c r="E3436" s="630"/>
      <c r="F3436" s="630"/>
      <c r="G3436" s="630"/>
      <c r="H3436" s="630"/>
      <c r="I3436" s="53"/>
      <c r="J3436" s="53"/>
    </row>
    <row r="3437" spans="2:15" ht="15.75">
      <c r="B3437" s="920" t="s">
        <v>6034</v>
      </c>
      <c r="C3437" s="649"/>
      <c r="D3437" s="649"/>
      <c r="E3437" s="649"/>
      <c r="F3437" s="649"/>
      <c r="G3437" s="649"/>
      <c r="H3437" s="649"/>
      <c r="I3437" s="53"/>
      <c r="J3437" s="53"/>
    </row>
    <row r="3438" spans="2:15" ht="15.75">
      <c r="B3438" s="53" t="s">
        <v>5862</v>
      </c>
      <c r="C3438" s="630"/>
      <c r="D3438" s="630"/>
      <c r="E3438" s="630">
        <f>-(Chile!K141/$C$3351*1000)*0.72</f>
        <v>45.324590163934424</v>
      </c>
      <c r="F3438" s="630">
        <f>-(Chile!L141/$C$3351*1000)*0.72</f>
        <v>34.627465370915303</v>
      </c>
      <c r="G3438" s="630">
        <f>-(Chile!M141/$C$3351*1000)*0.72</f>
        <v>28.333594589385939</v>
      </c>
      <c r="H3438" s="630">
        <f>-(Chile!N141/$C$3351*1000)*0.72</f>
        <v>3.6313479570508802</v>
      </c>
      <c r="I3438" s="53"/>
      <c r="J3438" s="53"/>
    </row>
    <row r="3439" spans="2:15" ht="15.75">
      <c r="B3439" s="666" t="s">
        <v>5857</v>
      </c>
      <c r="C3439" s="696"/>
      <c r="D3439" s="696"/>
      <c r="E3439" s="696">
        <f>0.058*($D$3354+$D$3356)*0.72</f>
        <v>53.580590163934424</v>
      </c>
      <c r="F3439" s="696">
        <f>0.058*($D$3354+$D$3356)*0.72</f>
        <v>53.580590163934424</v>
      </c>
      <c r="G3439" s="696">
        <f>0.058*($D$3354+$D$3356)*0.72</f>
        <v>53.580590163934424</v>
      </c>
      <c r="H3439" s="696">
        <f>0.058*($D$3354+$D$3356)*0.72</f>
        <v>53.580590163934424</v>
      </c>
      <c r="I3439" s="53"/>
      <c r="J3439" s="53"/>
    </row>
    <row r="3440" spans="2:15" ht="15.75">
      <c r="B3440" s="53" t="s">
        <v>16</v>
      </c>
      <c r="C3440" s="481"/>
      <c r="D3440" s="481"/>
      <c r="E3440" s="481">
        <f>SUM(E3438:E3439)</f>
        <v>98.905180327868848</v>
      </c>
      <c r="F3440" s="481">
        <f>SUM(F3438:F3439)</f>
        <v>88.208055534849734</v>
      </c>
      <c r="G3440" s="481">
        <f>SUM(G3438:G3439)</f>
        <v>81.91418475332037</v>
      </c>
      <c r="H3440" s="481">
        <f>SUM(H3438:H3439)</f>
        <v>57.211938120985302</v>
      </c>
      <c r="I3440" s="53"/>
      <c r="J3440" s="53"/>
    </row>
    <row r="3441" spans="2:10" ht="15.75">
      <c r="B3441" s="648"/>
      <c r="C3441" s="650"/>
      <c r="D3441" s="650"/>
      <c r="E3441" s="650"/>
      <c r="F3441" s="650"/>
      <c r="G3441" s="650"/>
      <c r="H3441" s="650"/>
      <c r="I3441" s="53"/>
      <c r="J3441" s="53"/>
    </row>
    <row r="3442" spans="2:10" ht="15.75">
      <c r="B3442" s="1061" t="s">
        <v>6033</v>
      </c>
      <c r="C3442" s="481"/>
      <c r="D3442" s="481"/>
      <c r="E3442" s="481"/>
      <c r="F3442" s="481"/>
      <c r="G3442" s="481"/>
      <c r="H3442" s="481"/>
      <c r="I3442" s="53"/>
      <c r="J3442" s="53"/>
    </row>
    <row r="3443" spans="2:10" ht="15.75">
      <c r="B3443" s="648" t="s">
        <v>27</v>
      </c>
      <c r="C3443" s="650"/>
      <c r="D3443" s="650"/>
      <c r="E3443" s="650">
        <f>(Chile!K141+Chile!K142)*1000/$C$3351</f>
        <v>-160.02170412036944</v>
      </c>
      <c r="F3443" s="650">
        <f>(Chile!L141+Chile!L142)*1000/$C$3351</f>
        <v>-216.2948450674659</v>
      </c>
      <c r="G3443" s="650">
        <f>(Chile!M141+Chile!M142)*1000/$C$3351</f>
        <v>-181.62386581408012</v>
      </c>
      <c r="H3443" s="650">
        <f>(Chile!N141+Chile!N142)*1000/$C$3351</f>
        <v>-115.97861844154252</v>
      </c>
      <c r="I3443" s="53"/>
      <c r="J3443" s="53"/>
    </row>
    <row r="3444" spans="2:10" ht="15.75">
      <c r="B3444" s="53" t="s">
        <v>929</v>
      </c>
      <c r="C3444" s="481"/>
      <c r="D3444" s="481"/>
      <c r="E3444" s="481">
        <f>Chile!K150*1000/$C$3351</f>
        <v>-78.583606557377053</v>
      </c>
      <c r="F3444" s="481">
        <f>Chile!L150*1000/$C$3351</f>
        <v>-89.73770491803279</v>
      </c>
      <c r="G3444" s="481">
        <f>Chile!M150*1000/$C$3351</f>
        <v>-79.724590163934423</v>
      </c>
      <c r="H3444" s="481">
        <f>Chile!N150*1000/$C$3351</f>
        <v>-79.724590163934423</v>
      </c>
      <c r="I3444" s="53"/>
      <c r="J3444" s="53"/>
    </row>
    <row r="3445" spans="2:10" ht="15.75">
      <c r="B3445" s="648" t="s">
        <v>5397</v>
      </c>
      <c r="C3445" s="650"/>
      <c r="D3445" s="650"/>
      <c r="E3445" s="650">
        <f>Chile!K152*1000/$C$3351</f>
        <v>-98.360655737704917</v>
      </c>
      <c r="F3445" s="650">
        <f>Chile!L152*1000/$C$3351</f>
        <v>-71.038251366120221</v>
      </c>
      <c r="G3445" s="650">
        <f>Chile!M152*1000/$C$3351</f>
        <v>-0.60109289617487582</v>
      </c>
      <c r="H3445" s="650">
        <f>Chile!N152*1000/$C$3351</f>
        <v>0</v>
      </c>
      <c r="I3445" s="53"/>
      <c r="J3445" s="53"/>
    </row>
    <row r="3446" spans="2:10" ht="15.75">
      <c r="B3446" s="53" t="s">
        <v>399</v>
      </c>
      <c r="C3446" s="481"/>
      <c r="D3446" s="481"/>
      <c r="E3446" s="481">
        <f>Chile!K153*1000/$C$3351</f>
        <v>0</v>
      </c>
      <c r="F3446" s="481">
        <f>Chile!L153*1000/$C$3351</f>
        <v>31.868852459016399</v>
      </c>
      <c r="G3446" s="481">
        <f>Chile!M153*1000/$C$3351</f>
        <v>127.47540983606559</v>
      </c>
      <c r="H3446" s="481">
        <f>Chile!N153*1000/$C$3351</f>
        <v>159.34426229508196</v>
      </c>
      <c r="I3446" s="53"/>
      <c r="J3446" s="53"/>
    </row>
    <row r="3447" spans="2:10" ht="15.75">
      <c r="B3447" s="666" t="s">
        <v>67</v>
      </c>
      <c r="C3447" s="696"/>
      <c r="D3447" s="696"/>
      <c r="E3447" s="696">
        <f>Chile!K155*1000/$C$3351</f>
        <v>0</v>
      </c>
      <c r="F3447" s="696">
        <f>Chile!L155*1000/$C$3351</f>
        <v>0</v>
      </c>
      <c r="G3447" s="696">
        <f>Chile!M155*1000/$C$3351</f>
        <v>0</v>
      </c>
      <c r="H3447" s="696">
        <f>Chile!N155*1000/$C$3351</f>
        <v>0</v>
      </c>
      <c r="I3447" s="53"/>
      <c r="J3447" s="53"/>
    </row>
    <row r="3448" spans="2:10" ht="15.75">
      <c r="B3448" s="50" t="s">
        <v>6035</v>
      </c>
      <c r="C3448" s="638"/>
      <c r="D3448" s="638"/>
      <c r="E3448" s="638">
        <f>SUM(E3443:E3447)</f>
        <v>-336.96596641545142</v>
      </c>
      <c r="F3448" s="638">
        <f>SUM(F3443:F3447)</f>
        <v>-345.2019488926025</v>
      </c>
      <c r="G3448" s="638">
        <f>SUM(G3443:G3447)</f>
        <v>-134.47413903812384</v>
      </c>
      <c r="H3448" s="638">
        <f>SUM(H3443:H3447)</f>
        <v>-36.358946310394998</v>
      </c>
      <c r="I3448" s="53"/>
      <c r="J3448" s="53"/>
    </row>
    <row r="3449" spans="2:10" ht="15.75">
      <c r="B3449" s="648" t="s">
        <v>6036</v>
      </c>
      <c r="C3449" s="650"/>
      <c r="D3449" s="650"/>
      <c r="E3449" s="650">
        <f>E3448*0.5</f>
        <v>-168.48298320772571</v>
      </c>
      <c r="F3449" s="650">
        <f>F3448*0.5</f>
        <v>-172.60097444630125</v>
      </c>
      <c r="G3449" s="650">
        <f>G3448*0.5</f>
        <v>-67.237069519061919</v>
      </c>
      <c r="H3449" s="650">
        <f>H3448*0.5</f>
        <v>-18.179473155197499</v>
      </c>
      <c r="I3449" s="53"/>
      <c r="J3449" s="53"/>
    </row>
    <row r="3450" spans="2:10" ht="15.75">
      <c r="B3450" s="53"/>
      <c r="C3450" s="481"/>
      <c r="D3450" s="481"/>
      <c r="E3450" s="481"/>
      <c r="F3450" s="481"/>
      <c r="G3450" s="481"/>
      <c r="H3450" s="481"/>
      <c r="I3450" s="53"/>
      <c r="J3450" s="53"/>
    </row>
    <row r="3451" spans="2:10" ht="16.5" thickBot="1">
      <c r="B3451" s="648" t="s">
        <v>5858</v>
      </c>
      <c r="C3451" s="649"/>
      <c r="D3451" s="649"/>
      <c r="E3451" s="649">
        <f>E3440+E3449</f>
        <v>-69.577802879856861</v>
      </c>
      <c r="F3451" s="649">
        <f>F3440+F3449</f>
        <v>-84.392918911451517</v>
      </c>
      <c r="G3451" s="649">
        <f>G3440+G3449</f>
        <v>14.677115234258451</v>
      </c>
      <c r="H3451" s="649">
        <f>H3440+H3449</f>
        <v>39.032464965787803</v>
      </c>
      <c r="I3451" s="53"/>
      <c r="J3451" s="53"/>
    </row>
    <row r="3452" spans="2:10" ht="16.5" thickBot="1">
      <c r="B3452" s="775" t="s">
        <v>5861</v>
      </c>
      <c r="C3452" s="778"/>
      <c r="D3452" s="778"/>
      <c r="E3452" s="776">
        <f>E3451/E3435</f>
        <v>-0.3587039381340254</v>
      </c>
      <c r="F3452" s="776">
        <f ca="1">F3451/F3435</f>
        <v>-0.61826500417168473</v>
      </c>
      <c r="G3452" s="776">
        <f ca="1">G3451/G3435</f>
        <v>5.887663053273947E-2</v>
      </c>
      <c r="H3452" s="777">
        <f ca="1">H3451/H3435</f>
        <v>8.5735721972247547E-2</v>
      </c>
      <c r="I3452" s="53"/>
      <c r="J3452" s="53"/>
    </row>
    <row r="3453" spans="2:10" ht="15.75">
      <c r="B3453" s="53"/>
      <c r="C3453" s="53"/>
      <c r="D3453" s="53"/>
      <c r="E3453" s="53"/>
      <c r="F3453" s="53"/>
      <c r="G3453" s="53"/>
      <c r="H3453" s="53"/>
      <c r="I3453" s="53"/>
      <c r="J3453" s="53"/>
    </row>
    <row r="3454" spans="2:10" ht="15.75">
      <c r="B3454" s="53"/>
      <c r="C3454" s="53"/>
      <c r="D3454" s="53"/>
      <c r="E3454" s="53"/>
      <c r="F3454" s="53"/>
      <c r="G3454" s="53"/>
      <c r="H3454" s="53"/>
      <c r="I3454" s="53"/>
      <c r="J3454" s="53"/>
    </row>
    <row r="3455" spans="2:10" ht="15.75">
      <c r="B3455" s="53"/>
      <c r="C3455" s="53"/>
      <c r="D3455" s="53"/>
      <c r="E3455" s="53"/>
      <c r="F3455" s="53"/>
      <c r="G3455" s="53"/>
      <c r="H3455" s="53"/>
      <c r="I3455" s="53"/>
      <c r="J3455" s="53"/>
    </row>
    <row r="3456" spans="2:10" ht="15.75">
      <c r="B3456" t="s">
        <v>5791</v>
      </c>
      <c r="F3456" s="53">
        <f>E3428*C3351/1000</f>
        <v>-5567.1247305722281</v>
      </c>
    </row>
    <row r="3457" spans="2:6" ht="15.75">
      <c r="B3457" t="s">
        <v>5792</v>
      </c>
      <c r="F3457" s="53">
        <f>F3456/Chile!N153</f>
        <v>-38.183297191853413</v>
      </c>
    </row>
    <row r="3458" spans="2:6">
      <c r="B3458" t="s">
        <v>5793</v>
      </c>
    </row>
    <row r="3459" spans="2:6">
      <c r="B3459" t="s">
        <v>5794</v>
      </c>
    </row>
    <row r="3460" spans="2:6">
      <c r="B3460" t="s">
        <v>5795</v>
      </c>
    </row>
    <row r="3461" spans="2:6">
      <c r="B3461" t="s">
        <v>5796</v>
      </c>
    </row>
    <row r="3463" spans="2:6">
      <c r="B3463" t="s">
        <v>5797</v>
      </c>
    </row>
    <row r="3464" spans="2:6">
      <c r="B3464" t="s">
        <v>399</v>
      </c>
    </row>
    <row r="3465" spans="2:6">
      <c r="C3465" t="s">
        <v>5798</v>
      </c>
    </row>
    <row r="3466" spans="2:6">
      <c r="C3466" t="s">
        <v>5799</v>
      </c>
    </row>
    <row r="3467" spans="2:6">
      <c r="C3467" t="s">
        <v>5800</v>
      </c>
    </row>
    <row r="3468" spans="2:6">
      <c r="D3468" s="16">
        <f>C3468/$C$3351*1000</f>
        <v>0</v>
      </c>
    </row>
    <row r="3469" spans="2:6">
      <c r="B3469" t="s">
        <v>5801</v>
      </c>
    </row>
    <row r="3470" spans="2:6">
      <c r="C3470" t="s">
        <v>5802</v>
      </c>
    </row>
    <row r="3471" spans="2:6">
      <c r="B3471" t="s">
        <v>5803</v>
      </c>
    </row>
    <row r="3472" spans="2:6">
      <c r="C3472" t="s">
        <v>5804</v>
      </c>
    </row>
    <row r="3473" spans="2:5">
      <c r="C3473" t="s">
        <v>5805</v>
      </c>
    </row>
    <row r="3474" spans="2:5">
      <c r="D3474" t="s">
        <v>5806</v>
      </c>
    </row>
    <row r="3475" spans="2:5">
      <c r="E3475" t="s">
        <v>5807</v>
      </c>
    </row>
    <row r="3476" spans="2:5">
      <c r="E3476" t="s">
        <v>5808</v>
      </c>
    </row>
    <row r="3477" spans="2:5">
      <c r="C3477" t="s">
        <v>5810</v>
      </c>
    </row>
    <row r="3478" spans="2:5">
      <c r="B3478" t="s">
        <v>5809</v>
      </c>
    </row>
    <row r="3479" spans="2:5">
      <c r="B3479" t="s">
        <v>5811</v>
      </c>
    </row>
    <row r="3480" spans="2:5">
      <c r="C3480" t="s">
        <v>5812</v>
      </c>
    </row>
    <row r="3481" spans="2:5">
      <c r="B3481" t="s">
        <v>5813</v>
      </c>
    </row>
    <row r="3482" spans="2:5">
      <c r="B3482" t="s">
        <v>5814</v>
      </c>
    </row>
    <row r="3484" spans="2:5">
      <c r="B3484" t="s">
        <v>5815</v>
      </c>
    </row>
    <row r="3485" spans="2:5">
      <c r="C3485" t="s">
        <v>5816</v>
      </c>
    </row>
    <row r="3486" spans="2:5">
      <c r="C3486" t="s">
        <v>5817</v>
      </c>
    </row>
    <row r="3489" spans="2:9">
      <c r="B3489" s="12" t="s">
        <v>5971</v>
      </c>
    </row>
    <row r="3490" spans="2:9" ht="16.5" thickBot="1">
      <c r="B3490" s="58" t="s">
        <v>5976</v>
      </c>
      <c r="C3490" s="53"/>
    </row>
    <row r="3491" spans="2:9" ht="16.5" thickBot="1">
      <c r="B3491" s="1111" t="s">
        <v>5975</v>
      </c>
      <c r="C3491" s="1173">
        <f>C3493/C3492</f>
        <v>5.5181818181818176</v>
      </c>
    </row>
    <row r="3492" spans="2:9" ht="15.75">
      <c r="B3492" s="53" t="s">
        <v>5973</v>
      </c>
      <c r="C3492" s="53">
        <v>165</v>
      </c>
    </row>
    <row r="3493" spans="2:9" ht="15.75">
      <c r="B3493" s="648" t="s">
        <v>331</v>
      </c>
      <c r="C3493" s="650">
        <f>C3496+C3497</f>
        <v>910.49999999999989</v>
      </c>
    </row>
    <row r="3494" spans="2:9" ht="15.75">
      <c r="B3494" s="53"/>
      <c r="C3494" s="53"/>
    </row>
    <row r="3495" spans="2:9" ht="15.75">
      <c r="B3495" s="648" t="s">
        <v>5974</v>
      </c>
      <c r="C3495" s="1174">
        <v>2.25</v>
      </c>
    </row>
    <row r="3496" spans="2:9" ht="15.75">
      <c r="B3496" s="53" t="s">
        <v>115</v>
      </c>
      <c r="C3496" s="481">
        <f>C3495*C3492</f>
        <v>371.25</v>
      </c>
    </row>
    <row r="3497" spans="2:9" ht="15.75">
      <c r="B3497" s="648" t="s">
        <v>5970</v>
      </c>
      <c r="C3497" s="650">
        <f>C3498/0.4</f>
        <v>539.24999999999989</v>
      </c>
    </row>
    <row r="3498" spans="2:9" ht="15.75">
      <c r="B3498" s="50" t="s">
        <v>5972</v>
      </c>
      <c r="C3498" s="638">
        <v>215.7</v>
      </c>
    </row>
    <row r="3500" spans="2:9">
      <c r="B3500" s="552"/>
      <c r="C3500" s="552"/>
      <c r="D3500" s="552">
        <v>2020</v>
      </c>
      <c r="E3500" s="552">
        <f>D3500+1</f>
        <v>2021</v>
      </c>
      <c r="F3500" s="552">
        <f>E3500+1</f>
        <v>2022</v>
      </c>
      <c r="G3500" s="552">
        <f>F3500+1</f>
        <v>2023</v>
      </c>
      <c r="H3500" s="552">
        <f>G3500+1</f>
        <v>2024</v>
      </c>
      <c r="I3500" s="552">
        <f>H3500+1</f>
        <v>2025</v>
      </c>
    </row>
    <row r="3501" spans="2:9">
      <c r="B3501" t="s">
        <v>6042</v>
      </c>
      <c r="D3501" s="486">
        <f>Valuation!K28</f>
        <v>196.00200000000001</v>
      </c>
      <c r="E3501" s="486">
        <f>Valuation!L28</f>
        <v>243.97968593955338</v>
      </c>
      <c r="F3501" s="486">
        <f>Valuation!M28</f>
        <v>229.24999999999997</v>
      </c>
      <c r="G3501" s="486">
        <f>Valuation!N28</f>
        <v>193.96999999999989</v>
      </c>
      <c r="H3501" s="486">
        <f ca="1">Valuation!O28</f>
        <v>136.49958891740317</v>
      </c>
      <c r="I3501" s="486">
        <f ca="1">Valuation!P28</f>
        <v>249.28592382841885</v>
      </c>
    </row>
    <row r="3502" spans="2:9">
      <c r="B3502" t="s">
        <v>6044</v>
      </c>
      <c r="D3502" s="486">
        <f>Valuation!K32</f>
        <v>145.80000000000024</v>
      </c>
      <c r="E3502" s="486">
        <f>Valuation!L32</f>
        <v>199.80000000000007</v>
      </c>
      <c r="F3502" s="486">
        <f>Valuation!M32</f>
        <v>187.70000000000016</v>
      </c>
      <c r="G3502" s="486">
        <f>Valuation!N32</f>
        <v>197</v>
      </c>
      <c r="H3502" s="486">
        <f ca="1">Valuation!O32</f>
        <v>16.464687652834982</v>
      </c>
      <c r="I3502" s="486">
        <f ca="1">Valuation!P32</f>
        <v>379.06196940320535</v>
      </c>
    </row>
    <row r="3504" spans="2:9">
      <c r="B3504" t="s">
        <v>5875</v>
      </c>
      <c r="E3504">
        <f>E3500</f>
        <v>2021</v>
      </c>
      <c r="F3504">
        <f>F3500</f>
        <v>2022</v>
      </c>
      <c r="G3504">
        <f>G3500</f>
        <v>2023</v>
      </c>
      <c r="H3504">
        <f>H3500</f>
        <v>2024</v>
      </c>
      <c r="I3504">
        <f>I3500</f>
        <v>2025</v>
      </c>
    </row>
    <row r="3506" spans="2:9">
      <c r="B3506" t="s">
        <v>6048</v>
      </c>
      <c r="E3506">
        <v>0</v>
      </c>
      <c r="F3506">
        <v>26</v>
      </c>
      <c r="G3506">
        <v>0</v>
      </c>
      <c r="H3506">
        <v>0</v>
      </c>
      <c r="I3506">
        <v>0</v>
      </c>
    </row>
    <row r="3507" spans="2:9">
      <c r="B3507" t="s">
        <v>6047</v>
      </c>
      <c r="E3507" s="16">
        <f>-Master!M231</f>
        <v>65</v>
      </c>
      <c r="F3507" s="16">
        <f>-Master!N231-F3506</f>
        <v>157.35</v>
      </c>
      <c r="G3507" s="16">
        <f>-Master!O231</f>
        <v>100.10000000000001</v>
      </c>
      <c r="H3507" s="16">
        <f>-Master!P231</f>
        <v>150</v>
      </c>
      <c r="I3507" s="16">
        <f>-Master!Q231</f>
        <v>135</v>
      </c>
    </row>
    <row r="3529" spans="2:9">
      <c r="B3529" s="552"/>
      <c r="C3529" s="552"/>
      <c r="D3529" s="552"/>
      <c r="E3529" s="552">
        <f>E3504</f>
        <v>2021</v>
      </c>
      <c r="F3529" s="552">
        <f>F3504</f>
        <v>2022</v>
      </c>
      <c r="G3529" s="552">
        <f>G3504</f>
        <v>2023</v>
      </c>
      <c r="H3529" s="552">
        <f>H3504</f>
        <v>2024</v>
      </c>
      <c r="I3529" s="552">
        <f>I3504</f>
        <v>2025</v>
      </c>
    </row>
    <row r="3530" spans="2:9">
      <c r="B3530" t="s">
        <v>6052</v>
      </c>
      <c r="E3530" s="62">
        <f>Valuation!L33</f>
        <v>0.86971662386279569</v>
      </c>
      <c r="F3530" s="62">
        <f>Valuation!M33</f>
        <v>0.87099767981438592</v>
      </c>
      <c r="G3530" s="62">
        <f>Valuation!N33</f>
        <v>0.96238397655105035</v>
      </c>
      <c r="H3530" s="62">
        <f ca="1">Valuation!O33</f>
        <v>8.9142867638521833E-2</v>
      </c>
      <c r="I3530" s="62">
        <f ca="1">Valuation!P33</f>
        <v>2.233718146159136</v>
      </c>
    </row>
    <row r="3531" spans="2:9">
      <c r="B3531" t="s">
        <v>6053</v>
      </c>
      <c r="E3531" s="5">
        <f>Valuation!L33/Valuation!$B$2</f>
        <v>0.12789950350923465</v>
      </c>
      <c r="F3531" s="5">
        <f>Valuation!M33/Valuation!$B$2</f>
        <v>0.12808789409035087</v>
      </c>
      <c r="G3531" s="5">
        <f>Valuation!N33/Valuation!$B$2</f>
        <v>0.14152705537515448</v>
      </c>
      <c r="H3531" s="5">
        <f ca="1">Valuation!O33/Valuation!$B$2</f>
        <v>1.3109245240959093E-2</v>
      </c>
      <c r="I3531" s="5">
        <f ca="1">Valuation!P33/Valuation!$B$2</f>
        <v>0.32848796267046121</v>
      </c>
    </row>
    <row r="3534" spans="2:9">
      <c r="B3534" s="3" t="s">
        <v>899</v>
      </c>
      <c r="C3534" s="4" t="s">
        <v>5556</v>
      </c>
      <c r="D3534" s="4" t="s">
        <v>5949</v>
      </c>
    </row>
    <row r="3535" spans="2:9">
      <c r="B3535" t="s">
        <v>1568</v>
      </c>
      <c r="D3535">
        <v>39.700000000000003</v>
      </c>
    </row>
    <row r="3536" spans="2:9">
      <c r="B3536" t="s">
        <v>564</v>
      </c>
      <c r="D3536">
        <v>68.900000000000006</v>
      </c>
    </row>
    <row r="3537" spans="2:13">
      <c r="B3537" t="s">
        <v>6072</v>
      </c>
      <c r="D3537">
        <v>17.899999999999999</v>
      </c>
    </row>
    <row r="3538" spans="2:13">
      <c r="B3538" t="s">
        <v>5526</v>
      </c>
      <c r="D3538">
        <f>SUM(D3535:D3537)</f>
        <v>126.5</v>
      </c>
    </row>
    <row r="3539" spans="2:13">
      <c r="B3539" t="s">
        <v>3655</v>
      </c>
      <c r="D3539">
        <v>3.1</v>
      </c>
    </row>
    <row r="3540" spans="2:13">
      <c r="B3540" t="s">
        <v>733</v>
      </c>
      <c r="D3540">
        <f>D3538+D3539</f>
        <v>129.6</v>
      </c>
    </row>
    <row r="3542" spans="2:13">
      <c r="B3542" t="s">
        <v>5490</v>
      </c>
      <c r="D3542">
        <v>9.3000000000000007</v>
      </c>
    </row>
    <row r="3543" spans="2:13">
      <c r="B3543" t="s">
        <v>1617</v>
      </c>
      <c r="D3543">
        <v>1.1000000000000001</v>
      </c>
    </row>
    <row r="3544" spans="2:13">
      <c r="B3544" t="s">
        <v>16</v>
      </c>
      <c r="D3544">
        <f>D3542+D3543</f>
        <v>10.4</v>
      </c>
    </row>
    <row r="3546" spans="2:13">
      <c r="B3546" t="s">
        <v>2412</v>
      </c>
      <c r="D3546">
        <v>7.7</v>
      </c>
    </row>
    <row r="3549" spans="2:13">
      <c r="B3549" s="513" t="s">
        <v>6148</v>
      </c>
    </row>
    <row r="3551" spans="2:13" ht="15.75">
      <c r="B3551" s="58" t="s">
        <v>4963</v>
      </c>
      <c r="C3551" s="816" t="s">
        <v>1422</v>
      </c>
      <c r="D3551" s="816" t="s">
        <v>1422</v>
      </c>
      <c r="E3551" s="816" t="s">
        <v>1422</v>
      </c>
      <c r="F3551" s="53"/>
      <c r="G3551" s="816" t="s">
        <v>1423</v>
      </c>
      <c r="H3551" s="816" t="s">
        <v>1423</v>
      </c>
      <c r="I3551" s="816" t="s">
        <v>1423</v>
      </c>
      <c r="J3551" s="53"/>
      <c r="K3551" s="816" t="s">
        <v>1424</v>
      </c>
      <c r="L3551" s="816" t="s">
        <v>1424</v>
      </c>
      <c r="M3551" s="816" t="s">
        <v>1424</v>
      </c>
    </row>
    <row r="3552" spans="2:13" ht="15.75">
      <c r="B3552" s="636" t="s">
        <v>15</v>
      </c>
      <c r="C3552" s="636">
        <v>2022</v>
      </c>
      <c r="D3552" s="636">
        <f>C3552+1</f>
        <v>2023</v>
      </c>
      <c r="E3552" s="636">
        <f>D3552+1</f>
        <v>2024</v>
      </c>
      <c r="F3552" s="50"/>
      <c r="G3552" s="636">
        <v>2022</v>
      </c>
      <c r="H3552" s="636">
        <f>G3552+1</f>
        <v>2023</v>
      </c>
      <c r="I3552" s="636">
        <f>H3552+1</f>
        <v>2024</v>
      </c>
      <c r="J3552" s="50"/>
      <c r="K3552" s="636">
        <v>2022</v>
      </c>
      <c r="L3552" s="636">
        <f>K3552+1</f>
        <v>2023</v>
      </c>
      <c r="M3552" s="636">
        <f>L3552+1</f>
        <v>2024</v>
      </c>
    </row>
    <row r="3553" spans="2:13" ht="15.75">
      <c r="B3553" s="648" t="s">
        <v>29</v>
      </c>
      <c r="C3553" s="649">
        <f>SUM(Master!N40:N46)</f>
        <v>2589</v>
      </c>
      <c r="D3553" s="649">
        <f>SUM(Master!O40:O46)</f>
        <v>2700.7</v>
      </c>
      <c r="E3553" s="649">
        <f>SUM(Master!P40:P46)</f>
        <v>2757.7449577034972</v>
      </c>
      <c r="F3553" s="648"/>
      <c r="G3553" s="649">
        <v>2446.7737367189361</v>
      </c>
      <c r="H3553" s="649">
        <v>2516.137402658167</v>
      </c>
      <c r="I3553" s="649">
        <v>2569.5041491236434</v>
      </c>
      <c r="J3553" s="648"/>
      <c r="K3553" s="651">
        <f t="shared" ref="K3553:M3558" si="330">C3553/G3553-1</f>
        <v>5.812808154128124E-2</v>
      </c>
      <c r="L3553" s="651">
        <f t="shared" si="330"/>
        <v>7.3351557489210295E-2</v>
      </c>
      <c r="M3553" s="651">
        <f t="shared" si="330"/>
        <v>7.325958537333177E-2</v>
      </c>
    </row>
    <row r="3554" spans="2:13" ht="15.75">
      <c r="B3554" s="53" t="s">
        <v>984</v>
      </c>
      <c r="C3554" s="630">
        <f>Master!N48</f>
        <v>1470.1</v>
      </c>
      <c r="D3554" s="630">
        <f>Master!O48</f>
        <v>1417</v>
      </c>
      <c r="E3554" s="630">
        <f>Master!P48</f>
        <v>1278.8028000000002</v>
      </c>
      <c r="F3554" s="53"/>
      <c r="G3554" s="630">
        <v>1474.6535052182744</v>
      </c>
      <c r="H3554" s="630">
        <v>1509.9635695404727</v>
      </c>
      <c r="I3554" s="630">
        <v>1537.2588041949425</v>
      </c>
      <c r="J3554" s="53"/>
      <c r="K3554" s="54">
        <f t="shared" si="330"/>
        <v>-3.0878475534498184E-3</v>
      </c>
      <c r="L3554" s="54">
        <f t="shared" si="330"/>
        <v>-6.1566763209237041E-2</v>
      </c>
      <c r="M3554" s="54">
        <f t="shared" si="330"/>
        <v>-0.16812784125201019</v>
      </c>
    </row>
    <row r="3555" spans="2:13" ht="15.75">
      <c r="B3555" s="648" t="s">
        <v>468</v>
      </c>
      <c r="C3555" s="649">
        <f>Master!N47</f>
        <v>450.6</v>
      </c>
      <c r="D3555" s="649">
        <f>Master!O47</f>
        <v>0</v>
      </c>
      <c r="E3555" s="649">
        <f>Master!P47</f>
        <v>0</v>
      </c>
      <c r="F3555" s="648"/>
      <c r="G3555" s="649">
        <v>698.75290127415326</v>
      </c>
      <c r="H3555" s="649">
        <v>701.92626117008638</v>
      </c>
      <c r="I3555" s="649">
        <v>727.3194867483877</v>
      </c>
      <c r="J3555" s="648"/>
      <c r="K3555" s="651">
        <f t="shared" si="330"/>
        <v>-0.3551368456884465</v>
      </c>
      <c r="L3555" s="651">
        <f t="shared" si="330"/>
        <v>-1</v>
      </c>
      <c r="M3555" s="651">
        <f t="shared" si="330"/>
        <v>-1</v>
      </c>
    </row>
    <row r="3556" spans="2:13" ht="15.75">
      <c r="B3556" s="53" t="s">
        <v>4234</v>
      </c>
      <c r="C3556" s="630">
        <f>Master!N49</f>
        <v>441.30000000000007</v>
      </c>
      <c r="D3556" s="630">
        <f>Master!O49</f>
        <v>547.9</v>
      </c>
      <c r="E3556" s="630">
        <f>Master!P49</f>
        <v>587.03287333112166</v>
      </c>
      <c r="F3556" s="53"/>
      <c r="G3556" s="630">
        <v>424.01169453078626</v>
      </c>
      <c r="H3556" s="630">
        <v>441.2775226015408</v>
      </c>
      <c r="I3556" s="630">
        <v>452.22051773062105</v>
      </c>
      <c r="J3556" s="53"/>
      <c r="K3556" s="54">
        <f t="shared" si="330"/>
        <v>4.0773180768858719E-2</v>
      </c>
      <c r="L3556" s="54">
        <f t="shared" si="330"/>
        <v>0.24162227155797322</v>
      </c>
      <c r="M3556" s="54">
        <f t="shared" si="330"/>
        <v>0.29811198367785186</v>
      </c>
    </row>
    <row r="3557" spans="2:13" ht="15.75">
      <c r="B3557" s="666" t="s">
        <v>4</v>
      </c>
      <c r="C3557" s="667">
        <f>C3558-SUM(C3553:C3556)</f>
        <v>-136</v>
      </c>
      <c r="D3557" s="667">
        <f>D3558-SUM(D3553:D3556)</f>
        <v>-154.49999999999909</v>
      </c>
      <c r="E3557" s="667">
        <f>E3558-SUM(E3553:E3556)</f>
        <v>-154.49999999999909</v>
      </c>
      <c r="F3557" s="666"/>
      <c r="G3557" s="667">
        <f>G3558-SUM(G3553:G3556)</f>
        <v>-59.999999999999091</v>
      </c>
      <c r="H3557" s="667">
        <f>H3558-SUM(H3553:H3556)</f>
        <v>-60</v>
      </c>
      <c r="I3557" s="667">
        <f>I3558-SUM(I3553:I3556)</f>
        <v>-60.000000000000909</v>
      </c>
      <c r="J3557" s="666"/>
      <c r="K3557" s="882">
        <f t="shared" si="330"/>
        <v>1.2666666666667012</v>
      </c>
      <c r="L3557" s="882">
        <f t="shared" si="330"/>
        <v>1.5749999999999846</v>
      </c>
      <c r="M3557" s="882">
        <f t="shared" si="330"/>
        <v>1.574999999999946</v>
      </c>
    </row>
    <row r="3558" spans="2:13" ht="15.75">
      <c r="B3558" s="58" t="s">
        <v>90</v>
      </c>
      <c r="C3558" s="718">
        <f>Master!N52</f>
        <v>4815</v>
      </c>
      <c r="D3558" s="718">
        <f>Master!O52</f>
        <v>4511.1000000000004</v>
      </c>
      <c r="E3558" s="718">
        <f>Master!P52</f>
        <v>4469.0806310346197</v>
      </c>
      <c r="F3558" s="53"/>
      <c r="G3558" s="718">
        <v>4984.1918377421507</v>
      </c>
      <c r="H3558" s="718">
        <v>5109.3047559702673</v>
      </c>
      <c r="I3558" s="718">
        <v>5226.3029577975949</v>
      </c>
      <c r="J3558" s="53"/>
      <c r="K3558" s="909">
        <f t="shared" si="330"/>
        <v>-3.3945691347786244E-2</v>
      </c>
      <c r="L3558" s="909">
        <f t="shared" si="330"/>
        <v>-0.11708143955814332</v>
      </c>
      <c r="M3558" s="909">
        <f t="shared" si="330"/>
        <v>-0.14488680294226086</v>
      </c>
    </row>
    <row r="3559" spans="2:13" ht="15.75">
      <c r="B3559" s="53"/>
      <c r="C3559" s="53"/>
      <c r="D3559" s="53"/>
      <c r="E3559" s="53"/>
      <c r="F3559" s="53"/>
      <c r="G3559" s="53"/>
      <c r="H3559" s="53"/>
      <c r="I3559" s="53"/>
      <c r="J3559" s="53"/>
      <c r="K3559" s="54"/>
      <c r="L3559" s="54"/>
      <c r="M3559" s="54"/>
    </row>
    <row r="3560" spans="2:13" ht="15.75">
      <c r="B3560" s="636" t="s">
        <v>8</v>
      </c>
      <c r="C3560" s="636">
        <f>C3552</f>
        <v>2022</v>
      </c>
      <c r="D3560" s="636">
        <f>D3552</f>
        <v>2023</v>
      </c>
      <c r="E3560" s="636">
        <f>E3552</f>
        <v>2024</v>
      </c>
      <c r="F3560" s="636"/>
      <c r="G3560" s="636">
        <f>G3552</f>
        <v>2022</v>
      </c>
      <c r="H3560" s="636">
        <f>H3552</f>
        <v>2023</v>
      </c>
      <c r="I3560" s="636">
        <f>I3552</f>
        <v>2024</v>
      </c>
      <c r="J3560" s="636"/>
      <c r="K3560" s="636">
        <f>K3552</f>
        <v>2022</v>
      </c>
      <c r="L3560" s="636">
        <f>L3552</f>
        <v>2023</v>
      </c>
      <c r="M3560" s="636">
        <f>M3552</f>
        <v>2024</v>
      </c>
    </row>
    <row r="3561" spans="2:13" ht="15.75">
      <c r="B3561" s="648" t="str">
        <f t="shared" ref="B3561:B3566" si="331">B3553</f>
        <v>CWC</v>
      </c>
      <c r="C3561" s="649">
        <f>SUM(Master!N63:N69)</f>
        <v>1002.2992214999999</v>
      </c>
      <c r="D3561" s="649">
        <f>SUM(Master!O63:O69)</f>
        <v>1086.2</v>
      </c>
      <c r="E3561" s="649">
        <f>SUM(Master!P63:P69)</f>
        <v>1121.9841984141069</v>
      </c>
      <c r="F3561" s="648"/>
      <c r="G3561" s="649">
        <v>987.10607947014319</v>
      </c>
      <c r="H3561" s="649">
        <v>1014.7525773017388</v>
      </c>
      <c r="I3561" s="649">
        <v>1036.507328586157</v>
      </c>
      <c r="J3561" s="648"/>
      <c r="K3561" s="651">
        <f t="shared" ref="K3561:M3566" si="332">C3561/G3561-1</f>
        <v>1.5391600098352276E-2</v>
      </c>
      <c r="L3561" s="651">
        <f t="shared" si="332"/>
        <v>7.0408712721126809E-2</v>
      </c>
      <c r="M3561" s="651">
        <f t="shared" si="332"/>
        <v>8.2466247435552864E-2</v>
      </c>
    </row>
    <row r="3562" spans="2:13" ht="15.75">
      <c r="B3562" s="53" t="str">
        <f t="shared" si="331"/>
        <v>PR</v>
      </c>
      <c r="C3562" s="630">
        <f>Master!N71</f>
        <v>544.79999999999995</v>
      </c>
      <c r="D3562" s="630">
        <f>Master!O71</f>
        <v>485.5</v>
      </c>
      <c r="E3562" s="630">
        <f>Master!P71</f>
        <v>323.91267200000004</v>
      </c>
      <c r="F3562" s="53"/>
      <c r="G3562" s="630">
        <v>596.0547369852286</v>
      </c>
      <c r="H3562" s="630">
        <v>647.06854690965633</v>
      </c>
      <c r="I3562" s="630">
        <v>698.56192151989353</v>
      </c>
      <c r="J3562" s="53"/>
      <c r="K3562" s="54">
        <f t="shared" si="332"/>
        <v>-8.5989983477807397E-2</v>
      </c>
      <c r="L3562" s="54">
        <f t="shared" si="332"/>
        <v>-0.24969309307536858</v>
      </c>
      <c r="M3562" s="54">
        <f t="shared" si="332"/>
        <v>-0.53631501800835601</v>
      </c>
    </row>
    <row r="3563" spans="2:13" ht="15.75">
      <c r="B3563" s="648" t="str">
        <f t="shared" si="331"/>
        <v>Chile</v>
      </c>
      <c r="C3563" s="649">
        <f>Master!N70</f>
        <v>115.6</v>
      </c>
      <c r="D3563" s="649">
        <f>Master!O70</f>
        <v>0</v>
      </c>
      <c r="E3563" s="649">
        <f>Master!P70</f>
        <v>0</v>
      </c>
      <c r="F3563" s="648"/>
      <c r="G3563" s="649">
        <v>216.61339939498754</v>
      </c>
      <c r="H3563" s="649">
        <v>217.59714096272674</v>
      </c>
      <c r="I3563" s="649">
        <v>232.74223575948406</v>
      </c>
      <c r="J3563" s="648"/>
      <c r="K3563" s="651">
        <f t="shared" si="332"/>
        <v>-0.46633033633710197</v>
      </c>
      <c r="L3563" s="651">
        <f t="shared" si="332"/>
        <v>-1</v>
      </c>
      <c r="M3563" s="651">
        <f t="shared" si="332"/>
        <v>-1</v>
      </c>
    </row>
    <row r="3564" spans="2:13" ht="15.75">
      <c r="B3564" s="53" t="str">
        <f t="shared" si="331"/>
        <v>CR</v>
      </c>
      <c r="C3564" s="630">
        <f>Master!N72</f>
        <v>134.69999999999999</v>
      </c>
      <c r="D3564" s="630">
        <f>Master!O72</f>
        <v>203.1</v>
      </c>
      <c r="E3564" s="630">
        <f>Master!P72</f>
        <v>217.20216313251501</v>
      </c>
      <c r="F3564" s="53"/>
      <c r="G3564" s="630">
        <v>123.05534827851537</v>
      </c>
      <c r="H3564" s="630">
        <v>135.84628744218651</v>
      </c>
      <c r="I3564" s="630">
        <v>146.67604518716632</v>
      </c>
      <c r="J3564" s="53"/>
      <c r="K3564" s="54">
        <f t="shared" si="332"/>
        <v>9.4629383317244242E-2</v>
      </c>
      <c r="L3564" s="54">
        <f t="shared" si="332"/>
        <v>0.49507214237588437</v>
      </c>
      <c r="M3564" s="54">
        <f t="shared" si="332"/>
        <v>0.48082914872264015</v>
      </c>
    </row>
    <row r="3565" spans="2:13" ht="15.75">
      <c r="B3565" s="666" t="str">
        <f t="shared" si="331"/>
        <v>Other</v>
      </c>
      <c r="C3565" s="667">
        <f>C3566-C3561-C3562-C3563-C3564</f>
        <v>-79.399221499999868</v>
      </c>
      <c r="D3565" s="667">
        <f>D3566-D3561-D3562-D3563-D3564</f>
        <v>-73.200000000000131</v>
      </c>
      <c r="E3565" s="667">
        <f>E3566-E3561-E3562-E3563-E3564</f>
        <v>-83.999999999999773</v>
      </c>
      <c r="F3565" s="666"/>
      <c r="G3565" s="667">
        <f>G3566-G3561-G3562-G3563-G3564</f>
        <v>-60.000000000000085</v>
      </c>
      <c r="H3565" s="667">
        <f>H3566-H3561-H3562-H3563-H3564</f>
        <v>-60.000000000000142</v>
      </c>
      <c r="I3565" s="667">
        <f>I3566-I3561-I3562-I3563-I3564</f>
        <v>-60</v>
      </c>
      <c r="J3565" s="666"/>
      <c r="K3565" s="882">
        <f t="shared" si="332"/>
        <v>0.32332035833332928</v>
      </c>
      <c r="L3565" s="882">
        <f t="shared" si="332"/>
        <v>0.21999999999999931</v>
      </c>
      <c r="M3565" s="882">
        <f t="shared" si="332"/>
        <v>0.39999999999999614</v>
      </c>
    </row>
    <row r="3566" spans="2:13" ht="15.75">
      <c r="B3566" s="58" t="str">
        <f t="shared" si="331"/>
        <v>Group</v>
      </c>
      <c r="C3566" s="718">
        <f>Master!N74</f>
        <v>1718</v>
      </c>
      <c r="D3566" s="718">
        <f>Master!O74</f>
        <v>1701.6</v>
      </c>
      <c r="E3566" s="718">
        <f>Master!P74</f>
        <v>1579.0990335466222</v>
      </c>
      <c r="F3566" s="53"/>
      <c r="G3566" s="718">
        <v>1862.8295641288746</v>
      </c>
      <c r="H3566" s="718">
        <v>1955.2645526163083</v>
      </c>
      <c r="I3566" s="718">
        <v>2054.4875310527009</v>
      </c>
      <c r="J3566" s="53"/>
      <c r="K3566" s="909">
        <f t="shared" si="332"/>
        <v>-7.7747082673450096E-2</v>
      </c>
      <c r="L3566" s="909">
        <f t="shared" si="332"/>
        <v>-0.12973413356104879</v>
      </c>
      <c r="M3566" s="909">
        <f t="shared" si="332"/>
        <v>-0.23139030552426565</v>
      </c>
    </row>
    <row r="3567" spans="2:13">
      <c r="B3567" s="555"/>
      <c r="C3567" s="550"/>
      <c r="D3567" s="555"/>
      <c r="E3567" s="555"/>
      <c r="F3567" s="555"/>
      <c r="G3567" s="555"/>
      <c r="H3567" s="555"/>
      <c r="I3567" s="555"/>
      <c r="J3567" s="555"/>
      <c r="K3567" s="555"/>
      <c r="L3567" s="555"/>
      <c r="M3567" s="555"/>
    </row>
    <row r="3568" spans="2:13" ht="15.75">
      <c r="B3568" s="636" t="s">
        <v>27</v>
      </c>
      <c r="C3568" s="636">
        <f>C3560</f>
        <v>2022</v>
      </c>
      <c r="D3568" s="636">
        <f>D3560</f>
        <v>2023</v>
      </c>
      <c r="E3568" s="636">
        <f>E3560</f>
        <v>2024</v>
      </c>
      <c r="F3568" s="636"/>
      <c r="G3568" s="636">
        <f>G3560</f>
        <v>2022</v>
      </c>
      <c r="H3568" s="636">
        <f>H3560</f>
        <v>2023</v>
      </c>
      <c r="I3568" s="636">
        <f>I3560</f>
        <v>2024</v>
      </c>
      <c r="J3568" s="636"/>
      <c r="K3568" s="636">
        <f>K3560</f>
        <v>2022</v>
      </c>
      <c r="L3568" s="636">
        <f>L3560</f>
        <v>2023</v>
      </c>
      <c r="M3568" s="636">
        <f>M3560</f>
        <v>2024</v>
      </c>
    </row>
    <row r="3569" spans="1:13" ht="15.75">
      <c r="B3569" s="648" t="str">
        <f t="shared" ref="B3569:B3574" si="333">B3561</f>
        <v>CWC</v>
      </c>
      <c r="C3569" s="649">
        <f>SUM(Master!N139:N145)</f>
        <v>642.60856349999995</v>
      </c>
      <c r="D3569" s="649">
        <f>SUM(Master!O139:O145)</f>
        <v>686.6</v>
      </c>
      <c r="E3569" s="649">
        <f>SUM(Master!P139:P145)</f>
        <v>721.63710430532478</v>
      </c>
      <c r="F3569" s="648"/>
      <c r="G3569" s="649">
        <v>592.39037688014491</v>
      </c>
      <c r="H3569" s="649">
        <v>608.54361301748838</v>
      </c>
      <c r="I3569" s="649">
        <v>621.41282837321899</v>
      </c>
      <c r="J3569" s="648"/>
      <c r="K3569" s="651">
        <f t="shared" ref="K3569:M3574" si="334">C3569/G3569-1</f>
        <v>8.477211747485125E-2</v>
      </c>
      <c r="L3569" s="651">
        <f t="shared" si="334"/>
        <v>0.1282675313860675</v>
      </c>
      <c r="M3569" s="651">
        <f t="shared" si="334"/>
        <v>0.16128452995487774</v>
      </c>
    </row>
    <row r="3570" spans="1:13" ht="15.75">
      <c r="B3570" s="53" t="str">
        <f t="shared" si="333"/>
        <v>PR</v>
      </c>
      <c r="C3570" s="630">
        <f>Master!N147</f>
        <v>311.29999999999995</v>
      </c>
      <c r="D3570" s="630">
        <f>Master!O147</f>
        <v>266.5</v>
      </c>
      <c r="E3570" s="630">
        <f>Master!P147</f>
        <v>119.304224</v>
      </c>
      <c r="F3570" s="53"/>
      <c r="G3570" s="630">
        <v>360.11017615030465</v>
      </c>
      <c r="H3570" s="630">
        <v>410.07663121071602</v>
      </c>
      <c r="I3570" s="630">
        <v>467.2423849305199</v>
      </c>
      <c r="J3570" s="53"/>
      <c r="K3570" s="54">
        <f t="shared" si="334"/>
        <v>-0.13554234060281611</v>
      </c>
      <c r="L3570" s="54">
        <f t="shared" si="334"/>
        <v>-0.35012146580218029</v>
      </c>
      <c r="M3570" s="54">
        <f t="shared" si="334"/>
        <v>-0.74466309596947022</v>
      </c>
    </row>
    <row r="3571" spans="1:13" ht="15.75">
      <c r="B3571" s="648" t="str">
        <f t="shared" si="333"/>
        <v>Chile</v>
      </c>
      <c r="C3571" s="649">
        <f>Master!N146</f>
        <v>0</v>
      </c>
      <c r="D3571" s="649">
        <f>Master!O146</f>
        <v>0</v>
      </c>
      <c r="E3571" s="649">
        <f>Master!P146</f>
        <v>0</v>
      </c>
      <c r="F3571" s="648"/>
      <c r="G3571" s="649">
        <v>62.887761114673822</v>
      </c>
      <c r="H3571" s="649">
        <v>77.211888728709454</v>
      </c>
      <c r="I3571" s="649">
        <v>101.82472814477427</v>
      </c>
      <c r="J3571" s="648"/>
      <c r="K3571" s="651">
        <f t="shared" si="334"/>
        <v>-1</v>
      </c>
      <c r="L3571" s="651">
        <f t="shared" si="334"/>
        <v>-1</v>
      </c>
      <c r="M3571" s="651">
        <f t="shared" si="334"/>
        <v>-1</v>
      </c>
    </row>
    <row r="3572" spans="1:13" ht="15.75">
      <c r="B3572" s="53" t="str">
        <f t="shared" si="333"/>
        <v>CR</v>
      </c>
      <c r="C3572" s="630">
        <f>Master!N148</f>
        <v>68.999999999999986</v>
      </c>
      <c r="D3572" s="630">
        <f>Master!O148</f>
        <v>127.89999999999999</v>
      </c>
      <c r="E3572" s="630">
        <f>Master!P148</f>
        <v>132.41199399236987</v>
      </c>
      <c r="F3572" s="53"/>
      <c r="G3572" s="630">
        <v>61.322401978390872</v>
      </c>
      <c r="H3572" s="630">
        <v>71.202035292162265</v>
      </c>
      <c r="I3572" s="630">
        <v>80.329064690935837</v>
      </c>
      <c r="J3572" s="53"/>
      <c r="K3572" s="54">
        <f t="shared" si="334"/>
        <v>0.12520054293232974</v>
      </c>
      <c r="L3572" s="54">
        <f t="shared" si="334"/>
        <v>0.79629696644470638</v>
      </c>
      <c r="M3572" s="54">
        <f t="shared" si="334"/>
        <v>0.64836967169755888</v>
      </c>
    </row>
    <row r="3573" spans="1:13" ht="15.75">
      <c r="B3573" s="666" t="str">
        <f t="shared" si="333"/>
        <v>Other</v>
      </c>
      <c r="C3573" s="667">
        <f>C3574-C3569-C3570-C3571-C3572</f>
        <v>-121.20856349999984</v>
      </c>
      <c r="D3573" s="667">
        <f>D3574-D3569-D3570-D3571-D3572</f>
        <v>-110.30000000000008</v>
      </c>
      <c r="E3573" s="667">
        <f>E3574-E3569-E3570-E3571-E3572</f>
        <v>-108.99999999999994</v>
      </c>
      <c r="F3573" s="666"/>
      <c r="G3573" s="667">
        <f>G3574-G3569-G3570-G3571-G3572</f>
        <v>-95.500000000000057</v>
      </c>
      <c r="H3573" s="667">
        <f>H3574-H3569-H3570-H3571-H3572</f>
        <v>-95.500000000000398</v>
      </c>
      <c r="I3573" s="667">
        <f>I3574-I3569-I3570-I3571-I3572</f>
        <v>-95.499999999999858</v>
      </c>
      <c r="J3573" s="666"/>
      <c r="K3573" s="882">
        <f t="shared" si="334"/>
        <v>0.26919961780104473</v>
      </c>
      <c r="L3573" s="882">
        <f t="shared" si="334"/>
        <v>0.15497382198952492</v>
      </c>
      <c r="M3573" s="882">
        <f t="shared" si="334"/>
        <v>0.14136125654450371</v>
      </c>
    </row>
    <row r="3574" spans="1:13" ht="15.75">
      <c r="B3574" s="58" t="str">
        <f t="shared" si="333"/>
        <v>Group</v>
      </c>
      <c r="C3574" s="718">
        <f>Master!N150</f>
        <v>901.7</v>
      </c>
      <c r="D3574" s="718">
        <f>Master!O150</f>
        <v>970.69999999999993</v>
      </c>
      <c r="E3574" s="718">
        <f>Master!P150</f>
        <v>864.35332229769472</v>
      </c>
      <c r="F3574" s="53"/>
      <c r="G3574" s="718">
        <v>981.2107161235142</v>
      </c>
      <c r="H3574" s="718">
        <v>1071.5341682490757</v>
      </c>
      <c r="I3574" s="718">
        <v>1175.3090061394491</v>
      </c>
      <c r="J3574" s="53"/>
      <c r="K3574" s="909">
        <f t="shared" si="334"/>
        <v>-8.1033273298969366E-2</v>
      </c>
      <c r="L3574" s="909">
        <f t="shared" si="334"/>
        <v>-9.4102615891234143E-2</v>
      </c>
      <c r="M3574" s="909">
        <f t="shared" si="334"/>
        <v>-0.26457355658590087</v>
      </c>
    </row>
    <row r="3575" spans="1:13" ht="15.75" thickBot="1">
      <c r="B3575" s="555"/>
      <c r="C3575" s="550"/>
      <c r="D3575" s="555"/>
      <c r="E3575" s="555"/>
      <c r="F3575" s="555"/>
      <c r="G3575" s="555"/>
      <c r="H3575" s="555"/>
      <c r="I3575" s="555"/>
      <c r="J3575" s="555"/>
      <c r="K3575" s="555"/>
      <c r="L3575" s="555"/>
      <c r="M3575" s="555"/>
    </row>
    <row r="3576" spans="1:13" ht="16.5" thickBot="1">
      <c r="B3576" s="1197" t="s">
        <v>377</v>
      </c>
      <c r="C3576" s="1198">
        <f>Valuation!M32</f>
        <v>187.70000000000016</v>
      </c>
      <c r="D3576" s="1198">
        <f>Valuation!N32</f>
        <v>197</v>
      </c>
      <c r="E3576" s="1198">
        <f ca="1">Valuation!O32</f>
        <v>16.464687652834982</v>
      </c>
      <c r="F3576" s="1199"/>
      <c r="G3576" s="1200">
        <v>247.11568535634115</v>
      </c>
      <c r="H3576" s="1200">
        <v>320.26461715275559</v>
      </c>
      <c r="I3576" s="1200">
        <v>415.65543055036244</v>
      </c>
      <c r="J3576" s="1199"/>
      <c r="K3576" s="1201">
        <f>C3576/G3576-1</f>
        <v>-0.24043672205859168</v>
      </c>
      <c r="L3576" s="1201">
        <f>D3576/H3576-1</f>
        <v>-0.38488365729756047</v>
      </c>
      <c r="M3576" s="1202">
        <f ca="1">E3576/I3576-1</f>
        <v>-0.96038861411955001</v>
      </c>
    </row>
    <row r="3578" spans="1:13" ht="15.75">
      <c r="A3578">
        <v>830</v>
      </c>
      <c r="B3578" s="808" t="s">
        <v>6160</v>
      </c>
      <c r="C3578" s="727"/>
      <c r="D3578" s="809"/>
      <c r="E3578" s="809"/>
      <c r="F3578" s="809"/>
      <c r="G3578" s="809"/>
    </row>
    <row r="3579" spans="1:13" ht="15.75">
      <c r="B3579" s="809" t="s">
        <v>6149</v>
      </c>
      <c r="C3579" s="728">
        <f>100000/A3578</f>
        <v>120.48192771084338</v>
      </c>
      <c r="D3579" s="809"/>
      <c r="E3579" s="809"/>
      <c r="F3579" s="809"/>
      <c r="G3579" s="809"/>
    </row>
    <row r="3580" spans="1:13" ht="15.75">
      <c r="B3580" s="809" t="s">
        <v>6150</v>
      </c>
      <c r="C3580" s="728">
        <f>200000/A3578</f>
        <v>240.96385542168676</v>
      </c>
      <c r="D3580" s="809"/>
      <c r="E3580" s="809"/>
      <c r="F3580" s="809"/>
      <c r="G3580" s="809"/>
    </row>
    <row r="3581" spans="1:13" ht="15.75">
      <c r="B3581" s="809"/>
      <c r="C3581" s="809"/>
      <c r="D3581" s="809"/>
      <c r="E3581" s="809"/>
      <c r="F3581" s="809"/>
    </row>
    <row r="3582" spans="1:13" ht="16.5" thickBot="1">
      <c r="B3582" s="808" t="s">
        <v>6151</v>
      </c>
      <c r="C3582" s="956">
        <v>1</v>
      </c>
      <c r="D3582" s="808">
        <f>C3582+1</f>
        <v>2</v>
      </c>
      <c r="E3582" s="808">
        <f>D3582+1</f>
        <v>3</v>
      </c>
      <c r="F3582" s="808">
        <f>E3582+1</f>
        <v>4</v>
      </c>
      <c r="G3582" s="808">
        <f>F3582+1</f>
        <v>5</v>
      </c>
    </row>
    <row r="3583" spans="1:13" ht="16.5" thickBot="1">
      <c r="B3583" s="809" t="s">
        <v>6152</v>
      </c>
      <c r="C3583" s="1182">
        <v>0.25</v>
      </c>
      <c r="D3583" s="809"/>
      <c r="E3583" s="809"/>
      <c r="F3583" s="809"/>
      <c r="G3583" s="809"/>
    </row>
    <row r="3584" spans="1:13" ht="16.5" thickBot="1">
      <c r="B3584" s="809"/>
      <c r="C3584" s="811"/>
      <c r="D3584" s="809"/>
      <c r="E3584" s="809"/>
      <c r="F3584" s="809"/>
      <c r="G3584" s="809"/>
    </row>
    <row r="3585" spans="2:7" ht="16.5" thickBot="1">
      <c r="B3585" s="809" t="s">
        <v>6159</v>
      </c>
      <c r="C3585" s="1182">
        <f>1/G3582</f>
        <v>0.2</v>
      </c>
      <c r="D3585" s="809"/>
      <c r="E3585" s="809"/>
      <c r="F3585" s="809"/>
      <c r="G3585" s="809"/>
    </row>
    <row r="3586" spans="2:7" ht="15.75">
      <c r="B3586" s="809"/>
      <c r="C3586" s="811"/>
      <c r="D3586" s="809"/>
      <c r="E3586" s="809"/>
      <c r="F3586" s="809"/>
      <c r="G3586" s="809"/>
    </row>
    <row r="3587" spans="2:7" ht="15.75">
      <c r="B3587" s="809" t="s">
        <v>6153</v>
      </c>
      <c r="C3587" s="837">
        <f>-C3579/C3583</f>
        <v>-481.92771084337352</v>
      </c>
      <c r="D3587" s="837"/>
      <c r="E3587" s="837"/>
      <c r="F3587" s="837"/>
      <c r="G3587" s="837"/>
    </row>
    <row r="3588" spans="2:7" ht="15.75">
      <c r="B3588" s="809" t="str">
        <f>B3580</f>
        <v>Cost of connect</v>
      </c>
      <c r="C3588" s="837">
        <f>-C3580</f>
        <v>-240.96385542168676</v>
      </c>
      <c r="D3588" s="837"/>
      <c r="E3588" s="837"/>
      <c r="F3588" s="837"/>
      <c r="G3588" s="837"/>
    </row>
    <row r="3589" spans="2:7" ht="15.75">
      <c r="B3589" s="809" t="s">
        <v>6154</v>
      </c>
      <c r="C3589" s="837">
        <v>45</v>
      </c>
      <c r="D3589" s="837">
        <f>C3589</f>
        <v>45</v>
      </c>
      <c r="E3589" s="837">
        <f>D3589</f>
        <v>45</v>
      </c>
      <c r="F3589" s="837">
        <f>E3589</f>
        <v>45</v>
      </c>
      <c r="G3589" s="837">
        <f>F3589</f>
        <v>45</v>
      </c>
    </row>
    <row r="3590" spans="2:7" ht="15.75">
      <c r="B3590" s="809" t="s">
        <v>6155</v>
      </c>
      <c r="C3590" s="837">
        <f>C3589*12</f>
        <v>540</v>
      </c>
      <c r="D3590" s="837">
        <f>D3589*12</f>
        <v>540</v>
      </c>
      <c r="E3590" s="837">
        <f>E3589*12</f>
        <v>540</v>
      </c>
      <c r="F3590" s="837">
        <f>F3589*12</f>
        <v>540</v>
      </c>
      <c r="G3590" s="837">
        <f>G3589*12</f>
        <v>540</v>
      </c>
    </row>
    <row r="3591" spans="2:7" ht="15.75">
      <c r="B3591" s="809" t="s">
        <v>6156</v>
      </c>
      <c r="C3591" s="1183">
        <v>0.6</v>
      </c>
      <c r="D3591" s="1183">
        <v>0.6</v>
      </c>
      <c r="E3591" s="1183">
        <v>0.6</v>
      </c>
      <c r="F3591" s="1183">
        <v>0.6</v>
      </c>
      <c r="G3591" s="1183">
        <v>0.6</v>
      </c>
    </row>
    <row r="3592" spans="2:7" ht="15.75">
      <c r="B3592" s="810" t="s">
        <v>6157</v>
      </c>
      <c r="C3592" s="1184">
        <f>C3591*C3590*0.73</f>
        <v>236.51999999999998</v>
      </c>
      <c r="D3592" s="1184">
        <f>D3591*D3590*0.73</f>
        <v>236.51999999999998</v>
      </c>
      <c r="E3592" s="1184">
        <f>E3591*E3590*0.73</f>
        <v>236.51999999999998</v>
      </c>
      <c r="F3592" s="1184">
        <f>F3591*F3590*0.73</f>
        <v>236.51999999999998</v>
      </c>
      <c r="G3592" s="1184">
        <f>G3591*G3590*0.73</f>
        <v>236.51999999999998</v>
      </c>
    </row>
    <row r="3593" spans="2:7" ht="16.5" thickBot="1">
      <c r="B3593" s="809" t="s">
        <v>16</v>
      </c>
      <c r="C3593" s="837">
        <f>(C3587+C3588)+C3592</f>
        <v>-486.37156626506032</v>
      </c>
      <c r="D3593" s="837">
        <f>(D3587+D3588)+D3592</f>
        <v>236.51999999999998</v>
      </c>
      <c r="E3593" s="837">
        <f>(E3587+E3588)+E3592</f>
        <v>236.51999999999998</v>
      </c>
      <c r="F3593" s="837">
        <f>(F3587+F3588)+F3592</f>
        <v>236.51999999999998</v>
      </c>
      <c r="G3593" s="837">
        <f>(G3587+G3588)+G3592</f>
        <v>236.51999999999998</v>
      </c>
    </row>
    <row r="3594" spans="2:7" ht="16.5" thickBot="1">
      <c r="B3594" s="1185" t="s">
        <v>6158</v>
      </c>
      <c r="C3594" s="1186">
        <f>IRR(C3593:F3593)</f>
        <v>0.21551059860158861</v>
      </c>
      <c r="D3594" s="809"/>
      <c r="E3594" s="809"/>
      <c r="F3594" s="809"/>
      <c r="G3594" s="809"/>
    </row>
    <row r="3597" spans="2:7">
      <c r="B3597" t="s">
        <v>2478</v>
      </c>
      <c r="C3597" s="5">
        <v>0.1</v>
      </c>
      <c r="D3597" s="5">
        <v>-0.23</v>
      </c>
    </row>
    <row r="3598" spans="2:7">
      <c r="C3598" s="5">
        <f>C3597+5%</f>
        <v>0.15000000000000002</v>
      </c>
      <c r="D3598" s="5">
        <v>-0.06</v>
      </c>
    </row>
    <row r="3599" spans="2:7">
      <c r="C3599" s="5">
        <f>C3598+5%</f>
        <v>0.2</v>
      </c>
      <c r="D3599" s="5">
        <v>0.08</v>
      </c>
    </row>
    <row r="3600" spans="2:7">
      <c r="C3600" s="5">
        <f>C3599+5%</f>
        <v>0.25</v>
      </c>
      <c r="D3600" s="5">
        <v>0.22</v>
      </c>
    </row>
    <row r="3601" spans="2:15">
      <c r="C3601" s="5">
        <f>C3600+5%</f>
        <v>0.3</v>
      </c>
      <c r="D3601" s="5">
        <v>0.34</v>
      </c>
    </row>
    <row r="3602" spans="2:15">
      <c r="C3602" s="5"/>
      <c r="D3602" s="5"/>
    </row>
    <row r="3609" spans="2:15" ht="15.75">
      <c r="B3609" s="809" t="s">
        <v>899</v>
      </c>
    </row>
    <row r="3610" spans="2:15" ht="15.75" thickBot="1"/>
    <row r="3611" spans="2:15" ht="16.5">
      <c r="B3611" s="1070"/>
      <c r="C3611" s="1187" t="str">
        <f>'LiLAC valuation'!AH223</f>
        <v>Q1 21</v>
      </c>
      <c r="D3611" s="1187" t="str">
        <f>'LiLAC valuation'!AI223</f>
        <v>Q2 21</v>
      </c>
      <c r="E3611" s="1187" t="str">
        <f>'LiLAC valuation'!AJ223</f>
        <v>Q3 21</v>
      </c>
      <c r="F3611" s="1187" t="str">
        <f>'LiLAC valuation'!AK223</f>
        <v>Q4 21</v>
      </c>
      <c r="G3611" s="1187" t="str">
        <f>'LiLAC valuation'!AL223</f>
        <v>Q1 22</v>
      </c>
      <c r="H3611" s="1188" t="e">
        <f>'LiLAC valuation'!#REF!</f>
        <v>#REF!</v>
      </c>
      <c r="I3611" s="1187" t="e">
        <f>'LiLAC valuation'!#REF!</f>
        <v>#REF!</v>
      </c>
      <c r="J3611" s="1187" t="str">
        <f>'LiLAC valuation'!AP223</f>
        <v>Q1 23</v>
      </c>
      <c r="K3611" s="1187" t="str">
        <f>'LiLAC valuation'!AR223</f>
        <v>Q3 23</v>
      </c>
      <c r="L3611" s="1187" t="str">
        <f>'LiLAC valuation'!AS223</f>
        <v>Q4 23</v>
      </c>
      <c r="M3611" s="1187" t="e">
        <f>'LiLAC valuation'!#REF!</f>
        <v>#REF!</v>
      </c>
      <c r="N3611" s="1187" t="str">
        <f>'LiLAC valuation'!AT223</f>
        <v>Q1 24</v>
      </c>
      <c r="O3611" s="486"/>
    </row>
    <row r="3612" spans="2:15" ht="16.5">
      <c r="B3612" s="1191" t="s">
        <v>2848</v>
      </c>
      <c r="C3612" s="1192">
        <f>'LiLAC valuation'!AH268</f>
        <v>34.73577305353006</v>
      </c>
      <c r="D3612" s="1192">
        <f>'LiLAC valuation'!AI268</f>
        <v>34.519658945769621</v>
      </c>
      <c r="E3612" s="1192">
        <f>'LiLAC valuation'!AJ268</f>
        <v>34.695800900555</v>
      </c>
      <c r="F3612" s="1192">
        <f>'LiLAC valuation'!AK268</f>
        <v>34.270853336178185</v>
      </c>
      <c r="G3612" s="1192">
        <f>'LiLAC valuation'!AL268</f>
        <v>33.318897814910038</v>
      </c>
      <c r="H3612" s="1193" t="e">
        <f>'LiLAC valuation'!#REF!</f>
        <v>#REF!</v>
      </c>
      <c r="I3612" s="1192">
        <f>'LiLAC valuation'!AP268</f>
        <v>0</v>
      </c>
      <c r="J3612" s="1192">
        <f>'LiLAC valuation'!AQ268</f>
        <v>0</v>
      </c>
      <c r="K3612" s="1192">
        <f>'LiLAC valuation'!AR268</f>
        <v>0</v>
      </c>
      <c r="L3612" s="1192">
        <f>'LiLAC valuation'!AS268</f>
        <v>0</v>
      </c>
      <c r="M3612" s="1192">
        <f>'LiLAC valuation'!AT268</f>
        <v>0</v>
      </c>
      <c r="N3612" s="1192">
        <f>'LiLAC valuation'!AU268</f>
        <v>0</v>
      </c>
      <c r="O3612" s="486"/>
    </row>
    <row r="3613" spans="2:15" ht="16.5">
      <c r="B3613" s="1018" t="s">
        <v>3473</v>
      </c>
      <c r="C3613" s="1018">
        <f>'LiLAC valuation'!AH226</f>
        <v>1455.3</v>
      </c>
      <c r="D3613" s="1018">
        <f>'LiLAC valuation'!AI226</f>
        <v>1441.6</v>
      </c>
      <c r="E3613" s="1018">
        <f>'LiLAC valuation'!AJ226</f>
        <v>1423.3</v>
      </c>
      <c r="F3613" s="1018">
        <f>'LiLAC valuation'!AK226</f>
        <v>1388.8</v>
      </c>
      <c r="G3613" s="1018">
        <f>'LiLAC valuation'!AL226</f>
        <v>1373.1</v>
      </c>
      <c r="H3613" s="1189" t="e">
        <f>'LiLAC valuation'!#REF!</f>
        <v>#REF!</v>
      </c>
      <c r="I3613" s="1018">
        <f>'LiLAC valuation'!AP226</f>
        <v>0</v>
      </c>
      <c r="J3613" s="1018">
        <f>'LiLAC valuation'!AQ226</f>
        <v>0</v>
      </c>
      <c r="K3613" s="1018">
        <f>'LiLAC valuation'!AR226</f>
        <v>0</v>
      </c>
      <c r="L3613" s="1018">
        <f>'LiLAC valuation'!AS226</f>
        <v>0</v>
      </c>
      <c r="M3613" s="1018">
        <f>'LiLAC valuation'!AT226</f>
        <v>0</v>
      </c>
      <c r="N3613" s="1018">
        <f>'LiLAC valuation'!AU226</f>
        <v>0</v>
      </c>
      <c r="O3613" s="486"/>
    </row>
    <row r="3614" spans="2:15" ht="16.5">
      <c r="B3614" s="1191" t="s">
        <v>363</v>
      </c>
      <c r="C3614" s="1191">
        <f>'LiLAC valuation'!AH240</f>
        <v>-10.5</v>
      </c>
      <c r="D3614" s="1191">
        <f>'LiLAC valuation'!AI240</f>
        <v>-13.700000000000045</v>
      </c>
      <c r="E3614" s="1191">
        <f>'LiLAC valuation'!AJ240</f>
        <v>-18.299999999999955</v>
      </c>
      <c r="F3614" s="1191">
        <f>'LiLAC valuation'!AK240</f>
        <v>-34.5</v>
      </c>
      <c r="G3614" s="1191">
        <f>'LiLAC valuation'!AL240</f>
        <v>-15.700000000000045</v>
      </c>
      <c r="H3614" s="1194" t="e">
        <f>'LiLAC valuation'!#REF!</f>
        <v>#REF!</v>
      </c>
      <c r="I3614" s="1191">
        <f>'LiLAC valuation'!AP240</f>
        <v>0</v>
      </c>
      <c r="J3614" s="1191">
        <f>'LiLAC valuation'!AQ240</f>
        <v>0</v>
      </c>
      <c r="K3614" s="1191">
        <f>'LiLAC valuation'!AR240</f>
        <v>0</v>
      </c>
      <c r="L3614" s="1191">
        <f>'LiLAC valuation'!AS240</f>
        <v>0</v>
      </c>
      <c r="M3614" s="1191">
        <f>'LiLAC valuation'!AT240</f>
        <v>0</v>
      </c>
      <c r="N3614" s="1191">
        <f>'LiLAC valuation'!AU240</f>
        <v>0</v>
      </c>
      <c r="O3614" s="486"/>
    </row>
    <row r="3615" spans="2:15" ht="16.5">
      <c r="B3615" s="1018"/>
      <c r="C3615" s="1018"/>
      <c r="D3615" s="1018"/>
      <c r="E3615" s="1018"/>
      <c r="F3615" s="1018"/>
      <c r="G3615" s="1018"/>
      <c r="H3615" s="1189"/>
      <c r="I3615" s="1018"/>
      <c r="J3615" s="1018"/>
      <c r="K3615" s="1018"/>
      <c r="L3615" s="1018"/>
      <c r="M3615" s="1018"/>
      <c r="N3615" s="1018"/>
      <c r="O3615" s="486"/>
    </row>
    <row r="3616" spans="2:15" ht="16.5">
      <c r="B3616" s="1191" t="s">
        <v>6162</v>
      </c>
      <c r="C3616" s="1191">
        <f>'LiLAC valuation'!AD266</f>
        <v>165.7</v>
      </c>
      <c r="D3616" s="1191">
        <f>'LiLAC valuation'!AE266</f>
        <v>158.69999999999999</v>
      </c>
      <c r="E3616" s="1191">
        <f>'LiLAC valuation'!AF266</f>
        <v>157.6</v>
      </c>
      <c r="F3616" s="1191">
        <f>'LiLAC valuation'!AG266</f>
        <v>157.80000000000001</v>
      </c>
      <c r="G3616" s="1191">
        <f>'LiLAC valuation'!AH266</f>
        <v>152.19999999999999</v>
      </c>
      <c r="H3616" s="1194">
        <f>'LiLAC valuation'!AI266</f>
        <v>150</v>
      </c>
      <c r="I3616" s="1191">
        <f>'LiLAC valuation'!AJ266</f>
        <v>149.1</v>
      </c>
      <c r="J3616" s="1191">
        <f>'LiLAC valuation'!AK266</f>
        <v>144.55960000000002</v>
      </c>
      <c r="K3616" s="1191">
        <f>'LiLAC valuation'!AL266</f>
        <v>138.03519581250004</v>
      </c>
      <c r="L3616" s="1191" t="e">
        <f>'LiLAC valuation'!#REF!</f>
        <v>#REF!</v>
      </c>
      <c r="M3616" s="1191">
        <f>'LiLAC valuation'!AP266</f>
        <v>0</v>
      </c>
      <c r="N3616" s="1191">
        <f>'LiLAC valuation'!AQ266</f>
        <v>0</v>
      </c>
      <c r="O3616" s="486"/>
    </row>
    <row r="3617" spans="2:15" ht="16.5">
      <c r="B3617" s="1018" t="s">
        <v>6161</v>
      </c>
      <c r="C3617" s="625">
        <f>'LiLAC valuation'!AH267</f>
        <v>-8.1472540736270416E-2</v>
      </c>
      <c r="D3617" s="625">
        <f>'LiLAC valuation'!AI267</f>
        <v>-5.4820415879016982E-2</v>
      </c>
      <c r="E3617" s="625">
        <f>'LiLAC valuation'!AJ267</f>
        <v>-5.3934010152284273E-2</v>
      </c>
      <c r="F3617" s="625">
        <f>'LiLAC valuation'!AK267</f>
        <v>-8.3906210392902358E-2</v>
      </c>
      <c r="G3617" s="625">
        <f>'LiLAC valuation'!AL267</f>
        <v>-9.3067044595926074E-2</v>
      </c>
      <c r="H3617" s="1190" t="e">
        <f>'LiLAC valuation'!#REF!</f>
        <v>#REF!</v>
      </c>
      <c r="I3617" s="625">
        <f>'LiLAC valuation'!AP267</f>
        <v>0</v>
      </c>
      <c r="J3617" s="625">
        <f>'LiLAC valuation'!AQ267</f>
        <v>0</v>
      </c>
      <c r="K3617" s="625">
        <f>'LiLAC valuation'!AR267</f>
        <v>0</v>
      </c>
      <c r="L3617" s="625">
        <f>'LiLAC valuation'!AS267</f>
        <v>0</v>
      </c>
      <c r="M3617" s="625">
        <f>'LiLAC valuation'!AT267</f>
        <v>0</v>
      </c>
      <c r="N3617" s="625">
        <f>'LiLAC valuation'!AU267</f>
        <v>0</v>
      </c>
      <c r="O3617" s="486"/>
    </row>
    <row r="3618" spans="2:15" ht="16.5">
      <c r="B3618" s="1191"/>
      <c r="C3618" s="679"/>
      <c r="D3618" s="679"/>
      <c r="E3618" s="679"/>
      <c r="F3618" s="679"/>
      <c r="G3618" s="679"/>
      <c r="H3618" s="1195"/>
      <c r="I3618" s="679"/>
      <c r="J3618" s="679"/>
      <c r="K3618" s="679"/>
      <c r="L3618" s="679"/>
      <c r="M3618" s="679"/>
      <c r="N3618" s="679"/>
      <c r="O3618" s="486"/>
    </row>
    <row r="3619" spans="2:15" ht="16.5">
      <c r="B3619" s="1018" t="s">
        <v>6163</v>
      </c>
      <c r="C3619" s="1018">
        <f>'LiLAC valuation'!AH272</f>
        <v>50.9</v>
      </c>
      <c r="D3619" s="1018">
        <f>'LiLAC valuation'!AI272</f>
        <v>49.4</v>
      </c>
      <c r="E3619" s="1018">
        <f>'LiLAC valuation'!AJ272</f>
        <v>50.3</v>
      </c>
      <c r="F3619" s="1018">
        <f>'LiLAC valuation'!AK272</f>
        <v>45.7331</v>
      </c>
      <c r="G3619" s="1018">
        <f>'LiLAC valuation'!AL272</f>
        <v>37.579839609375007</v>
      </c>
      <c r="H3619" s="1189" t="e">
        <f>'LiLAC valuation'!#REF!</f>
        <v>#REF!</v>
      </c>
      <c r="I3619" s="1018">
        <f>'LiLAC valuation'!AP272</f>
        <v>0</v>
      </c>
      <c r="J3619" s="1018">
        <f>'LiLAC valuation'!AQ272</f>
        <v>0</v>
      </c>
      <c r="K3619" s="1018">
        <f>'LiLAC valuation'!AR272</f>
        <v>0</v>
      </c>
      <c r="L3619" s="1018">
        <f>'LiLAC valuation'!AS272</f>
        <v>0</v>
      </c>
      <c r="M3619" s="1018">
        <f>'LiLAC valuation'!AT272</f>
        <v>0</v>
      </c>
      <c r="N3619" s="1018">
        <f>'LiLAC valuation'!AU272</f>
        <v>0</v>
      </c>
      <c r="O3619" s="486"/>
    </row>
    <row r="3620" spans="2:15" ht="16.5">
      <c r="B3620" s="1191" t="s">
        <v>4757</v>
      </c>
      <c r="C3620" s="679">
        <f>'LiLAC valuation'!AH272/'LiLAC valuation'!AD272-1</f>
        <v>-0.20592823712948516</v>
      </c>
      <c r="D3620" s="679">
        <f>'LiLAC valuation'!AI272/'LiLAC valuation'!AE272-1</f>
        <v>-0.17940199335548179</v>
      </c>
      <c r="E3620" s="679">
        <f>'LiLAC valuation'!AJ272/'LiLAC valuation'!AF272-1</f>
        <v>-0.18476499189627238</v>
      </c>
      <c r="F3620" s="679">
        <f>'LiLAC valuation'!AK272/'LiLAC valuation'!AG272-1</f>
        <v>-0.19341975308641979</v>
      </c>
      <c r="G3620" s="679">
        <f>'LiLAC valuation'!AL272/'LiLAC valuation'!AH272-1</f>
        <v>-0.26169273851915509</v>
      </c>
      <c r="H3620" s="1195" t="e">
        <f>'LiLAC valuation'!#REF!/'LiLAC valuation'!AI272-1</f>
        <v>#REF!</v>
      </c>
      <c r="I3620" s="679">
        <f>'LiLAC valuation'!AP272/'LiLAC valuation'!AJ272-1</f>
        <v>-1</v>
      </c>
      <c r="J3620" s="679">
        <f>'LiLAC valuation'!AQ272/'LiLAC valuation'!AK272-1</f>
        <v>-1</v>
      </c>
      <c r="K3620" s="679">
        <f>'LiLAC valuation'!AR272/'LiLAC valuation'!AL272-1</f>
        <v>-1</v>
      </c>
      <c r="L3620" s="679" t="e">
        <f>'LiLAC valuation'!AS272/'LiLAC valuation'!#REF!-1</f>
        <v>#REF!</v>
      </c>
      <c r="M3620" s="679" t="e">
        <f>'LiLAC valuation'!AT272/'LiLAC valuation'!AP272-1</f>
        <v>#DIV/0!</v>
      </c>
      <c r="N3620" s="679" t="e">
        <f>'LiLAC valuation'!AU272/'LiLAC valuation'!AQ272-1</f>
        <v>#DIV/0!</v>
      </c>
      <c r="O3620" s="486"/>
    </row>
    <row r="3621" spans="2:15" ht="16.5">
      <c r="B3621" s="1070" t="s">
        <v>18</v>
      </c>
      <c r="C3621" s="1020">
        <f t="shared" ref="C3621:N3621" si="335">C3619/C3616</f>
        <v>0.30718165359082683</v>
      </c>
      <c r="D3621" s="1020">
        <f t="shared" si="335"/>
        <v>0.31127914303717708</v>
      </c>
      <c r="E3621" s="1020">
        <f t="shared" si="335"/>
        <v>0.31916243654822335</v>
      </c>
      <c r="F3621" s="1020">
        <f t="shared" si="335"/>
        <v>0.2898168567807351</v>
      </c>
      <c r="G3621" s="1020">
        <f t="shared" si="335"/>
        <v>0.24691090413518405</v>
      </c>
      <c r="H3621" s="1196" t="e">
        <f t="shared" si="335"/>
        <v>#REF!</v>
      </c>
      <c r="I3621" s="1020">
        <f t="shared" si="335"/>
        <v>0</v>
      </c>
      <c r="J3621" s="1020">
        <f t="shared" si="335"/>
        <v>0</v>
      </c>
      <c r="K3621" s="1020">
        <f t="shared" si="335"/>
        <v>0</v>
      </c>
      <c r="L3621" s="1020" t="e">
        <f t="shared" si="335"/>
        <v>#REF!</v>
      </c>
      <c r="M3621" s="1020" t="e">
        <f t="shared" si="335"/>
        <v>#DIV/0!</v>
      </c>
      <c r="N3621" s="1020" t="e">
        <f t="shared" si="335"/>
        <v>#DIV/0!</v>
      </c>
      <c r="O3621" s="486"/>
    </row>
    <row r="3624" spans="2:15">
      <c r="B3624" t="s">
        <v>468</v>
      </c>
    </row>
    <row r="3625" spans="2:15">
      <c r="B3625" s="552" t="s">
        <v>899</v>
      </c>
      <c r="C3625" s="952" t="str">
        <f>'New quarts'!AC4</f>
        <v>Q1 20</v>
      </c>
      <c r="D3625" s="952" t="str">
        <f>'New quarts'!AD4</f>
        <v>Q2 20</v>
      </c>
      <c r="E3625" s="952" t="str">
        <f>'New quarts'!AE4</f>
        <v>Q3 20</v>
      </c>
      <c r="F3625" s="952" t="str">
        <f>'New quarts'!AF4</f>
        <v>Q4 20</v>
      </c>
      <c r="G3625" s="952" t="str">
        <f>'New quarts'!AH4</f>
        <v>Q1 21</v>
      </c>
      <c r="H3625" s="952" t="str">
        <f>'New quarts'!AI4</f>
        <v>Q2 21</v>
      </c>
      <c r="I3625" s="952" t="str">
        <f>'New quarts'!AJ4</f>
        <v>Q3 21</v>
      </c>
      <c r="J3625" s="952" t="str">
        <f>'New quarts'!AK4</f>
        <v>Q4 21</v>
      </c>
      <c r="K3625" s="952" t="str">
        <f>'New quarts'!AM4</f>
        <v>Q1 22</v>
      </c>
      <c r="L3625" s="952" t="str">
        <f>'New quarts'!AN4</f>
        <v>Q2 22</v>
      </c>
    </row>
    <row r="3626" spans="2:15">
      <c r="B3626" t="s">
        <v>2108</v>
      </c>
      <c r="C3626" s="5">
        <f>'LiLAC valuation'!AD267</f>
        <v>1.9328644066248124E-2</v>
      </c>
      <c r="D3626" s="5">
        <f>'LiLAC valuation'!AE267</f>
        <v>-3.854665812484559E-2</v>
      </c>
      <c r="E3626" s="5">
        <f>'LiLAC valuation'!AF267</f>
        <v>-5.1701521850577969E-2</v>
      </c>
      <c r="F3626" s="5">
        <f>'LiLAC valuation'!AG267</f>
        <v>-5.0541516245487195E-2</v>
      </c>
      <c r="G3626" s="5">
        <f>'LiLAC valuation'!AH267</f>
        <v>-8.1472540736270416E-2</v>
      </c>
      <c r="H3626" s="5">
        <f>'LiLAC valuation'!AI267</f>
        <v>-5.4820415879016982E-2</v>
      </c>
      <c r="I3626" s="5">
        <f>'LiLAC valuation'!AJ267</f>
        <v>-5.3934010152284273E-2</v>
      </c>
      <c r="J3626" s="5">
        <f>'LiLAC valuation'!AK267</f>
        <v>-8.3906210392902358E-2</v>
      </c>
      <c r="K3626" s="5">
        <f>'LiLAC valuation'!AL267</f>
        <v>-9.3067044595926074E-2</v>
      </c>
      <c r="L3626" s="5">
        <f>'LiLAC valuation'!AM267</f>
        <v>-0.15531246153846134</v>
      </c>
      <c r="M3626" s="5"/>
      <c r="N3626" s="5"/>
    </row>
    <row r="3627" spans="2:15">
      <c r="B3627" t="s">
        <v>8</v>
      </c>
      <c r="C3627" s="5">
        <f>'LiLAC valuation'!AD272/'LiLAC valuation'!Z272-1</f>
        <v>1.177164169324918E-2</v>
      </c>
      <c r="D3627" s="5">
        <f>'LiLAC valuation'!AE272/'LiLAC valuation'!AA272-1</f>
        <v>-0.12185955553732264</v>
      </c>
      <c r="E3627" s="5">
        <f>'LiLAC valuation'!AF272/'LiLAC valuation'!AB272-1</f>
        <v>-8.4882013556204838E-2</v>
      </c>
      <c r="F3627" s="5">
        <f>'LiLAC valuation'!AG272/'LiLAC valuation'!AC272-1</f>
        <v>-0.1734693877551019</v>
      </c>
      <c r="G3627" s="5">
        <f>'LiLAC valuation'!AH272/'LiLAC valuation'!AD272-1</f>
        <v>-0.20592823712948516</v>
      </c>
      <c r="H3627" s="5">
        <f>'LiLAC valuation'!AI272/'LiLAC valuation'!AE272-1</f>
        <v>-0.17940199335548179</v>
      </c>
      <c r="I3627" s="5">
        <f>'LiLAC valuation'!AJ272/'LiLAC valuation'!AF272-1</f>
        <v>-0.18476499189627238</v>
      </c>
      <c r="J3627" s="5">
        <f>'LiLAC valuation'!AK272/'LiLAC valuation'!AG272-1</f>
        <v>-0.19341975308641979</v>
      </c>
      <c r="K3627" s="5">
        <f>'LiLAC valuation'!AL272/'LiLAC valuation'!AH272-1</f>
        <v>-0.26169273851915509</v>
      </c>
      <c r="L3627" s="5">
        <f>'LiLAC valuation'!AM272/'LiLAC valuation'!AI272-1</f>
        <v>-0.35195024883213943</v>
      </c>
      <c r="M3627" t="s">
        <v>1536</v>
      </c>
    </row>
    <row r="3628" spans="2:15">
      <c r="B3628" t="s">
        <v>6305</v>
      </c>
      <c r="C3628" s="5"/>
      <c r="D3628" s="5"/>
      <c r="E3628" s="5"/>
      <c r="F3628" s="5"/>
      <c r="G3628" s="5"/>
      <c r="H3628" s="5"/>
      <c r="I3628" s="5"/>
      <c r="J3628" s="5"/>
      <c r="K3628" s="5"/>
      <c r="L3628" s="5">
        <f>'LiLAC valuation'!AM272/'LiLAC valuation'!AJ272-1</f>
        <v>-0.36354557241168362</v>
      </c>
    </row>
    <row r="3630" spans="2:15">
      <c r="B3630" s="552" t="s">
        <v>1453</v>
      </c>
      <c r="C3630" s="952" t="str">
        <f t="shared" ref="C3630:L3630" si="336">C3625</f>
        <v>Q1 20</v>
      </c>
      <c r="D3630" s="952" t="str">
        <f t="shared" si="336"/>
        <v>Q2 20</v>
      </c>
      <c r="E3630" s="952" t="str">
        <f t="shared" si="336"/>
        <v>Q3 20</v>
      </c>
      <c r="F3630" s="952" t="str">
        <f t="shared" si="336"/>
        <v>Q4 20</v>
      </c>
      <c r="G3630" s="952" t="str">
        <f t="shared" si="336"/>
        <v>Q1 21</v>
      </c>
      <c r="H3630" s="952" t="str">
        <f t="shared" si="336"/>
        <v>Q2 21</v>
      </c>
      <c r="I3630" s="952" t="str">
        <f t="shared" si="336"/>
        <v>Q3 21</v>
      </c>
      <c r="J3630" s="952" t="str">
        <f t="shared" si="336"/>
        <v>Q4 21</v>
      </c>
      <c r="K3630" s="952" t="str">
        <f t="shared" si="336"/>
        <v>Q1 22</v>
      </c>
      <c r="L3630" s="952" t="str">
        <f t="shared" si="336"/>
        <v>Q2 22</v>
      </c>
    </row>
    <row r="3631" spans="2:15">
      <c r="B3631" t="s">
        <v>2108</v>
      </c>
      <c r="C3631" s="5">
        <v>-1.1368313064016866E-2</v>
      </c>
      <c r="D3631" s="5">
        <v>-6.9643182178485197E-2</v>
      </c>
      <c r="E3631" s="5">
        <v>-7.1584072660876852E-2</v>
      </c>
      <c r="F3631" s="5">
        <v>-5.6716939381587395E-2</v>
      </c>
      <c r="G3631" s="5">
        <v>-1.6596984669960735E-2</v>
      </c>
      <c r="H3631" s="5">
        <v>2.3016724518775566E-2</v>
      </c>
      <c r="I3631" s="5">
        <v>1.5058873956783847E-2</v>
      </c>
      <c r="J3631" s="5">
        <v>-2.621766775726897E-2</v>
      </c>
      <c r="K3631" s="5">
        <v>-5.5901154587060242E-2</v>
      </c>
      <c r="L3631" s="5">
        <v>-7.7404270282608545E-2</v>
      </c>
    </row>
    <row r="3632" spans="2:15">
      <c r="B3632" t="s">
        <v>8</v>
      </c>
      <c r="C3632" s="5">
        <v>-1.3472393208056044E-3</v>
      </c>
      <c r="D3632" s="5">
        <v>-6.0534138856923714E-2</v>
      </c>
      <c r="E3632" s="5">
        <v>-0.13743399761539776</v>
      </c>
      <c r="F3632" s="5">
        <v>-0.23794420571584474</v>
      </c>
      <c r="G3632" s="5">
        <v>3.5703486614099944E-2</v>
      </c>
      <c r="H3632" s="5">
        <v>5.3078827162069686E-3</v>
      </c>
      <c r="I3632" s="5">
        <v>-6.1733270801964779E-2</v>
      </c>
      <c r="J3632" s="5">
        <v>-0.14786305661221755</v>
      </c>
      <c r="K3632" s="5">
        <v>-0.1913627380524614</v>
      </c>
      <c r="L3632" s="5">
        <v>-0.17405762152557436</v>
      </c>
    </row>
    <row r="3633" spans="2:12">
      <c r="B3633" t="s">
        <v>6305</v>
      </c>
      <c r="L3633" s="5">
        <v>-0.14000000000000001</v>
      </c>
    </row>
    <row r="3649" spans="1:9">
      <c r="A3649" s="1203" t="s">
        <v>6323</v>
      </c>
      <c r="B3649" s="1203" t="s">
        <v>6315</v>
      </c>
      <c r="C3649" s="1203"/>
      <c r="D3649" s="1203"/>
      <c r="E3649" s="1203"/>
      <c r="F3649" s="1203"/>
      <c r="G3649" s="1203"/>
      <c r="H3649" s="1203"/>
      <c r="I3649" s="1203"/>
    </row>
    <row r="3650" spans="1:9">
      <c r="A3650" s="1203"/>
      <c r="B3650" s="1203"/>
      <c r="C3650" s="1203"/>
      <c r="D3650" s="1203"/>
      <c r="E3650" s="1203"/>
      <c r="F3650" s="1203"/>
      <c r="G3650" s="1203"/>
      <c r="H3650" s="1203"/>
      <c r="I3650" s="1203"/>
    </row>
    <row r="3651" spans="1:9">
      <c r="A3651" s="1203"/>
      <c r="B3651" s="1205" t="s">
        <v>4963</v>
      </c>
      <c r="C3651" s="1205">
        <v>2020</v>
      </c>
      <c r="D3651" s="1205">
        <f>C3651+1</f>
        <v>2021</v>
      </c>
      <c r="E3651" s="1205">
        <f>D3651+1</f>
        <v>2022</v>
      </c>
      <c r="F3651" s="1205">
        <f>E3651+1</f>
        <v>2023</v>
      </c>
      <c r="G3651" s="1205">
        <f>F3651+1</f>
        <v>2024</v>
      </c>
      <c r="H3651" s="1205">
        <f>G3651+1</f>
        <v>2025</v>
      </c>
      <c r="I3651" s="1342" t="s">
        <v>16</v>
      </c>
    </row>
    <row r="3652" spans="1:9">
      <c r="A3652" s="1203"/>
      <c r="B3652" s="1346" t="s">
        <v>6418</v>
      </c>
      <c r="C3652" s="1302"/>
      <c r="D3652" s="1302"/>
      <c r="E3652" s="1302"/>
      <c r="F3652" s="1302"/>
      <c r="G3652" s="1302"/>
      <c r="H3652" s="1302"/>
      <c r="I3652" s="1302"/>
    </row>
    <row r="3653" spans="1:9">
      <c r="A3653" s="1203"/>
      <c r="B3653" s="1203" t="s">
        <v>984</v>
      </c>
      <c r="C3653" s="1341">
        <f>'Puerto Rico'!H76</f>
        <v>0</v>
      </c>
      <c r="D3653" s="1341">
        <f>'Puerto Rico'!I76</f>
        <v>12</v>
      </c>
      <c r="E3653" s="1341">
        <f>'Puerto Rico'!J76</f>
        <v>15</v>
      </c>
      <c r="F3653" s="1341">
        <f>'Puerto Rico'!K76</f>
        <v>25</v>
      </c>
      <c r="G3653" s="1341">
        <f>'Puerto Rico'!L76</f>
        <v>23</v>
      </c>
      <c r="H3653" s="1341">
        <f>'Puerto Rico'!M76</f>
        <v>0</v>
      </c>
      <c r="I3653" s="1341">
        <f>SUM(C3653:H3653)</f>
        <v>75</v>
      </c>
    </row>
    <row r="3654" spans="1:9">
      <c r="A3654" s="1203"/>
      <c r="B3654" s="1302" t="s">
        <v>3411</v>
      </c>
      <c r="C3654" s="1345">
        <f>'Costa Rica'!F45</f>
        <v>0</v>
      </c>
      <c r="D3654" s="1345">
        <f>'Costa Rica'!G45</f>
        <v>3.11</v>
      </c>
      <c r="E3654" s="1345">
        <f>'Costa Rica'!H45</f>
        <v>6.47</v>
      </c>
      <c r="F3654" s="1345">
        <f>'Costa Rica'!I45</f>
        <v>6.5640000000000001</v>
      </c>
      <c r="G3654" s="1345">
        <f>'Costa Rica'!J45</f>
        <v>0</v>
      </c>
      <c r="H3654" s="1345">
        <f>'Costa Rica'!K45</f>
        <v>0</v>
      </c>
      <c r="I3654" s="1345">
        <f>SUM(C3654:H3654)</f>
        <v>16.143999999999998</v>
      </c>
    </row>
    <row r="3655" spans="1:9">
      <c r="A3655" s="1203"/>
      <c r="B3655" s="1308" t="s">
        <v>0</v>
      </c>
      <c r="C3655" s="1308">
        <f t="shared" ref="C3655:H3655" si="337">D3333</f>
        <v>0</v>
      </c>
      <c r="D3655" s="1308">
        <f t="shared" si="337"/>
        <v>0</v>
      </c>
      <c r="E3655" s="1308">
        <f t="shared" si="337"/>
        <v>5</v>
      </c>
      <c r="F3655" s="1308">
        <f t="shared" si="337"/>
        <v>10</v>
      </c>
      <c r="G3655" s="1308">
        <f t="shared" si="337"/>
        <v>0</v>
      </c>
      <c r="H3655" s="1308">
        <f t="shared" si="337"/>
        <v>0</v>
      </c>
      <c r="I3655" s="1343">
        <f>SUM(C3655:H3655)</f>
        <v>15</v>
      </c>
    </row>
    <row r="3656" spans="1:9">
      <c r="A3656" s="1203"/>
      <c r="B3656" s="1318" t="s">
        <v>16</v>
      </c>
      <c r="C3656" s="1347">
        <f t="shared" ref="C3656:I3656" si="338">SUM(C3653:C3655)</f>
        <v>0</v>
      </c>
      <c r="D3656" s="1347">
        <f t="shared" si="338"/>
        <v>15.11</v>
      </c>
      <c r="E3656" s="1347">
        <f t="shared" si="338"/>
        <v>26.47</v>
      </c>
      <c r="F3656" s="1347">
        <f t="shared" si="338"/>
        <v>41.564</v>
      </c>
      <c r="G3656" s="1347">
        <f t="shared" si="338"/>
        <v>23</v>
      </c>
      <c r="H3656" s="1347">
        <f t="shared" si="338"/>
        <v>0</v>
      </c>
      <c r="I3656" s="1347">
        <f t="shared" si="338"/>
        <v>106.14400000000001</v>
      </c>
    </row>
    <row r="3657" spans="1:9">
      <c r="A3657" s="1203"/>
      <c r="B3657" s="1203"/>
      <c r="C3657" s="1203"/>
      <c r="D3657" s="1203"/>
      <c r="E3657" s="1203"/>
      <c r="F3657" s="1203"/>
      <c r="G3657" s="1203"/>
      <c r="H3657" s="1203"/>
      <c r="I3657" s="1203"/>
    </row>
    <row r="3658" spans="1:9">
      <c r="A3658" s="1203"/>
      <c r="B3658" s="1346" t="s">
        <v>399</v>
      </c>
      <c r="C3658" s="1302"/>
      <c r="D3658" s="1302"/>
      <c r="E3658" s="1302"/>
      <c r="F3658" s="1302"/>
      <c r="G3658" s="1302"/>
      <c r="H3658" s="1302"/>
      <c r="I3658" s="1302"/>
    </row>
    <row r="3659" spans="1:9">
      <c r="A3659" s="1203"/>
      <c r="B3659" s="1203" t="str">
        <f>B3653</f>
        <v>PR</v>
      </c>
      <c r="C3659" s="1341">
        <f>'Puerto Rico'!H78</f>
        <v>0</v>
      </c>
      <c r="D3659" s="1341">
        <f>'Puerto Rico'!I78</f>
        <v>0</v>
      </c>
      <c r="E3659" s="1341">
        <f>'Puerto Rico'!J78</f>
        <v>0</v>
      </c>
      <c r="F3659" s="1341">
        <f>'Puerto Rico'!K78</f>
        <v>10</v>
      </c>
      <c r="G3659" s="1341">
        <f>'Puerto Rico'!L78</f>
        <v>40</v>
      </c>
      <c r="H3659" s="1341">
        <f>'Puerto Rico'!M78</f>
        <v>70</v>
      </c>
      <c r="I3659" s="1341"/>
    </row>
    <row r="3660" spans="1:9">
      <c r="A3660" s="1203"/>
      <c r="B3660" s="1302" t="str">
        <f>B3654</f>
        <v>Costa Rica</v>
      </c>
      <c r="C3660" s="1345">
        <f>'Costa Rica'!F46</f>
        <v>0</v>
      </c>
      <c r="D3660" s="1345">
        <f>'Costa Rica'!G46</f>
        <v>0</v>
      </c>
      <c r="E3660" s="1345">
        <f>'Costa Rica'!H46</f>
        <v>0.64700000000000002</v>
      </c>
      <c r="F3660" s="1345">
        <f>'Costa Rica'!I46</f>
        <v>5.47</v>
      </c>
      <c r="G3660" s="1345">
        <f>'Costa Rica'!J46</f>
        <v>10.393000000000001</v>
      </c>
      <c r="H3660" s="1345">
        <f>'Costa Rica'!K46</f>
        <v>10.393000000000001</v>
      </c>
      <c r="I3660" s="1345"/>
    </row>
    <row r="3661" spans="1:9">
      <c r="A3661" s="1203"/>
      <c r="B3661" s="1308" t="str">
        <f>B3655</f>
        <v>Panama</v>
      </c>
      <c r="C3661" s="1308">
        <f t="shared" ref="C3661:H3661" si="339">D3329</f>
        <v>0</v>
      </c>
      <c r="D3661" s="1308">
        <f t="shared" si="339"/>
        <v>0</v>
      </c>
      <c r="E3661" s="1308">
        <f t="shared" si="339"/>
        <v>0</v>
      </c>
      <c r="F3661" s="1308">
        <f t="shared" si="339"/>
        <v>17</v>
      </c>
      <c r="G3661" s="1308">
        <f t="shared" si="339"/>
        <v>50</v>
      </c>
      <c r="H3661" s="1308">
        <f t="shared" si="339"/>
        <v>70</v>
      </c>
      <c r="I3661" s="1341"/>
    </row>
    <row r="3662" spans="1:9">
      <c r="A3662" s="1203"/>
      <c r="B3662" s="1318" t="str">
        <f>B3656</f>
        <v>Total</v>
      </c>
      <c r="C3662" s="1347">
        <f t="shared" ref="C3662:H3662" si="340">SUM(C3659:C3661)</f>
        <v>0</v>
      </c>
      <c r="D3662" s="1347">
        <f t="shared" si="340"/>
        <v>0</v>
      </c>
      <c r="E3662" s="1347">
        <f t="shared" si="340"/>
        <v>0.64700000000000002</v>
      </c>
      <c r="F3662" s="1347">
        <f t="shared" si="340"/>
        <v>32.47</v>
      </c>
      <c r="G3662" s="1347">
        <f t="shared" si="340"/>
        <v>100.393</v>
      </c>
      <c r="H3662" s="1347">
        <f t="shared" si="340"/>
        <v>150.393</v>
      </c>
      <c r="I3662" s="1347"/>
    </row>
    <row r="3663" spans="1:9" ht="15.75" thickBot="1">
      <c r="A3663" s="1203"/>
      <c r="B3663" s="1203"/>
      <c r="C3663" s="1203"/>
      <c r="D3663" s="1203"/>
      <c r="E3663" s="1203"/>
      <c r="F3663" s="1203"/>
      <c r="G3663" s="1203"/>
      <c r="H3663" s="1203"/>
      <c r="I3663" s="1203"/>
    </row>
    <row r="3664" spans="1:9">
      <c r="A3664" s="1203"/>
      <c r="B3664" s="1348" t="s">
        <v>6326</v>
      </c>
      <c r="C3664" s="1349">
        <f t="shared" ref="C3664:H3664" si="341">C3662-C3656</f>
        <v>0</v>
      </c>
      <c r="D3664" s="1349">
        <f t="shared" si="341"/>
        <v>-15.11</v>
      </c>
      <c r="E3664" s="1349">
        <f t="shared" si="341"/>
        <v>-25.823</v>
      </c>
      <c r="F3664" s="1349">
        <f t="shared" si="341"/>
        <v>-9.0940000000000012</v>
      </c>
      <c r="G3664" s="1349">
        <f t="shared" si="341"/>
        <v>77.393000000000001</v>
      </c>
      <c r="H3664" s="1349">
        <f t="shared" si="341"/>
        <v>150.393</v>
      </c>
      <c r="I3664" s="1350"/>
    </row>
    <row r="3665" spans="1:9" ht="15.75" thickBot="1">
      <c r="A3665" s="1203"/>
      <c r="B3665" s="1351" t="s">
        <v>6324</v>
      </c>
      <c r="C3665" s="1352">
        <f t="shared" ref="C3665:H3665" si="342">C3664*0.7</f>
        <v>0</v>
      </c>
      <c r="D3665" s="1352">
        <f t="shared" si="342"/>
        <v>-10.576999999999998</v>
      </c>
      <c r="E3665" s="1352">
        <f t="shared" si="342"/>
        <v>-18.0761</v>
      </c>
      <c r="F3665" s="1352">
        <f t="shared" si="342"/>
        <v>-6.3658000000000001</v>
      </c>
      <c r="G3665" s="1352">
        <f t="shared" si="342"/>
        <v>54.1751</v>
      </c>
      <c r="H3665" s="1352">
        <f t="shared" si="342"/>
        <v>105.27509999999999</v>
      </c>
      <c r="I3665" s="1353"/>
    </row>
    <row r="3666" spans="1:9">
      <c r="A3666" s="1203"/>
      <c r="B3666" s="1302"/>
      <c r="C3666" s="1345"/>
      <c r="D3666" s="1345"/>
      <c r="E3666" s="1345"/>
      <c r="F3666" s="1345"/>
      <c r="G3666" s="1345"/>
      <c r="H3666" s="1345"/>
      <c r="I3666" s="1302"/>
    </row>
    <row r="3667" spans="1:9">
      <c r="A3667" s="1203"/>
      <c r="B3667" s="1203"/>
      <c r="C3667" s="1203"/>
      <c r="D3667" s="1203"/>
      <c r="E3667" s="1203"/>
      <c r="F3667" s="1203"/>
      <c r="G3667" s="1203"/>
      <c r="H3667" s="1203"/>
      <c r="I3667" s="1203"/>
    </row>
    <row r="3668" spans="1:9">
      <c r="A3668" s="1203"/>
      <c r="B3668" s="1302" t="s">
        <v>377</v>
      </c>
      <c r="C3668" s="1303">
        <f>Valuation!K32</f>
        <v>145.80000000000024</v>
      </c>
      <c r="D3668" s="1303">
        <f>Valuation!L32</f>
        <v>199.80000000000007</v>
      </c>
      <c r="E3668" s="1303">
        <f>Valuation!M32</f>
        <v>187.70000000000016</v>
      </c>
      <c r="F3668" s="1303">
        <f>Valuation!N32</f>
        <v>197</v>
      </c>
      <c r="G3668" s="1303">
        <f ca="1">Valuation!O32</f>
        <v>16.464687652834982</v>
      </c>
      <c r="H3668" s="1303">
        <f ca="1">Valuation!P32</f>
        <v>379.06196940320535</v>
      </c>
      <c r="I3668" s="1302"/>
    </row>
    <row r="3669" spans="1:9" ht="15.75" thickBot="1">
      <c r="A3669" s="1203"/>
      <c r="B3669" s="1344" t="s">
        <v>6325</v>
      </c>
      <c r="C3669" s="1306"/>
      <c r="D3669" s="1306">
        <f>D3668-C3668</f>
        <v>53.999999999999829</v>
      </c>
      <c r="E3669" s="1306">
        <f>E3668-D3668</f>
        <v>-12.099999999999909</v>
      </c>
      <c r="F3669" s="1306">
        <f>F3668-E3668</f>
        <v>9.2999999999998408</v>
      </c>
      <c r="G3669" s="1306">
        <f ca="1">G3668-F3668</f>
        <v>-180.53531234716502</v>
      </c>
      <c r="H3669" s="1306">
        <f ca="1">H3668-G3668</f>
        <v>362.59728175037037</v>
      </c>
      <c r="I3669" s="1203"/>
    </row>
    <row r="3670" spans="1:9" ht="15.75" thickBot="1">
      <c r="A3670" s="1203"/>
      <c r="B3670" s="1361" t="s">
        <v>6327</v>
      </c>
      <c r="C3670" s="1362"/>
      <c r="D3670" s="1363">
        <f>D3665-C3665</f>
        <v>-10.576999999999998</v>
      </c>
      <c r="E3670" s="1363">
        <f>E3665-D3665</f>
        <v>-7.4991000000000021</v>
      </c>
      <c r="F3670" s="1363">
        <f>F3665-E3665</f>
        <v>11.7103</v>
      </c>
      <c r="G3670" s="1363">
        <f>G3665-F3665</f>
        <v>60.540900000000001</v>
      </c>
      <c r="H3670" s="1363">
        <f>H3665-G3665</f>
        <v>51.099999999999994</v>
      </c>
      <c r="I3670" s="1364"/>
    </row>
    <row r="3671" spans="1:9">
      <c r="A3671" s="1203"/>
      <c r="B3671" s="1365" t="s">
        <v>6328</v>
      </c>
      <c r="C3671" s="1366"/>
      <c r="D3671" s="1367">
        <f>D3669-D3670</f>
        <v>64.576999999999828</v>
      </c>
      <c r="E3671" s="1367">
        <f>E3669-E3670</f>
        <v>-4.600899999999907</v>
      </c>
      <c r="F3671" s="1367">
        <f>F3669-F3670</f>
        <v>-2.4103000000001593</v>
      </c>
      <c r="G3671" s="1367">
        <f ca="1">G3669-G3670</f>
        <v>-241.07621234716501</v>
      </c>
      <c r="H3671" s="1367">
        <f ca="1">H3669-H3670</f>
        <v>311.49728175037035</v>
      </c>
      <c r="I3671" s="1366"/>
    </row>
    <row r="3672" spans="1:9">
      <c r="B3672" s="1203"/>
      <c r="C3672" s="1203"/>
      <c r="D3672" s="1203"/>
      <c r="E3672" s="1203"/>
      <c r="F3672" s="1203"/>
      <c r="G3672" s="1203"/>
      <c r="H3672" s="1203"/>
    </row>
    <row r="3673" spans="1:9">
      <c r="B3673" s="1203"/>
      <c r="C3673" s="1203"/>
      <c r="D3673" s="1203"/>
      <c r="E3673" s="1203"/>
      <c r="F3673" s="1203"/>
      <c r="G3673" s="1203"/>
      <c r="H3673" s="1203"/>
    </row>
    <row r="3674" spans="1:9">
      <c r="B3674" s="1203" t="s">
        <v>377</v>
      </c>
      <c r="C3674" s="1306"/>
      <c r="D3674" s="1306">
        <f>Valuation!L32</f>
        <v>199.80000000000007</v>
      </c>
      <c r="E3674" s="1306">
        <f>Valuation!M32</f>
        <v>187.70000000000016</v>
      </c>
      <c r="F3674" s="1306">
        <f>Valuation!N32</f>
        <v>197</v>
      </c>
      <c r="G3674" s="1306">
        <f ca="1">Valuation!O32</f>
        <v>16.464687652834982</v>
      </c>
      <c r="H3674" s="1306">
        <f ca="1">Valuation!P32</f>
        <v>379.06196940320535</v>
      </c>
    </row>
    <row r="3675" spans="1:9">
      <c r="B3675" s="1203" t="s">
        <v>6053</v>
      </c>
      <c r="C3675" s="1307"/>
      <c r="D3675" s="1307">
        <f>Valuation!L34</f>
        <v>0.12789950350923468</v>
      </c>
      <c r="E3675" s="1307">
        <f>Valuation!M34</f>
        <v>0.12808789409035087</v>
      </c>
      <c r="F3675" s="1307">
        <f>Valuation!N34</f>
        <v>0.14152705537515448</v>
      </c>
      <c r="G3675" s="1307">
        <f ca="1">Valuation!O34</f>
        <v>1.3109245240959095E-2</v>
      </c>
      <c r="H3675" s="1307">
        <f ca="1">Valuation!P34</f>
        <v>0.32848796267046121</v>
      </c>
    </row>
    <row r="3676" spans="1:9">
      <c r="B3676" s="1203" t="s">
        <v>6419</v>
      </c>
      <c r="C3676" s="1307"/>
      <c r="D3676" s="1307">
        <f>Valuation!L43</f>
        <v>5.1196175482965234E-2</v>
      </c>
      <c r="E3676" s="1307">
        <f>Valuation!M43</f>
        <v>6.2424567538318938E-2</v>
      </c>
      <c r="F3676" s="1307">
        <f ca="1">Valuation!N43</f>
        <v>7.6495534444874558E-2</v>
      </c>
      <c r="G3676" s="1307">
        <f ca="1">Valuation!O43</f>
        <v>-4.551728375445617E-2</v>
      </c>
      <c r="H3676" s="1307">
        <f ca="1">Valuation!P43</f>
        <v>0.25132898231650719</v>
      </c>
    </row>
    <row r="3677" spans="1:9">
      <c r="B3677" s="1203"/>
      <c r="C3677" s="1306"/>
      <c r="D3677" s="1306"/>
      <c r="E3677" s="1306"/>
      <c r="F3677" s="1306"/>
      <c r="G3677" s="1306"/>
      <c r="H3677" s="1306"/>
    </row>
    <row r="3678" spans="1:9">
      <c r="B3678" s="1203"/>
    </row>
    <row r="3679" spans="1:9">
      <c r="B3679" s="1203" t="s">
        <v>6451</v>
      </c>
      <c r="C3679" s="1306">
        <f>E3674</f>
        <v>187.70000000000016</v>
      </c>
      <c r="D3679" s="1203"/>
      <c r="E3679" s="1203"/>
      <c r="F3679" s="1203"/>
      <c r="G3679" s="1203"/>
      <c r="H3679" s="1203"/>
    </row>
    <row r="3680" spans="1:9">
      <c r="B3680" s="1203" t="s">
        <v>6452</v>
      </c>
      <c r="C3680" s="486">
        <f>C3679</f>
        <v>187.70000000000016</v>
      </c>
      <c r="D3680" s="1341">
        <v>85</v>
      </c>
      <c r="E3680" s="1203"/>
      <c r="F3680" s="1203"/>
      <c r="G3680" s="1203"/>
      <c r="H3680" s="1203"/>
    </row>
    <row r="3681" spans="2:8">
      <c r="B3681" s="1203" t="s">
        <v>6453</v>
      </c>
      <c r="C3681" s="486">
        <f>C3680+D3680</f>
        <v>272.70000000000016</v>
      </c>
      <c r="D3681" s="1341">
        <f>F3670</f>
        <v>11.7103</v>
      </c>
      <c r="E3681" s="1203"/>
      <c r="F3681" s="1203"/>
      <c r="G3681" s="1203"/>
      <c r="H3681" s="1203"/>
    </row>
    <row r="3682" spans="2:8">
      <c r="B3682" s="1203" t="s">
        <v>2180</v>
      </c>
      <c r="C3682" s="486">
        <f>C3681+D3681</f>
        <v>284.41030000000018</v>
      </c>
      <c r="D3682" s="1306">
        <f>F3671</f>
        <v>-2.4103000000001593</v>
      </c>
      <c r="E3682" s="1203"/>
      <c r="F3682" s="1203"/>
      <c r="G3682" s="1203"/>
      <c r="H3682" s="1203"/>
    </row>
    <row r="3683" spans="2:8">
      <c r="B3683" s="1203" t="s">
        <v>6454</v>
      </c>
      <c r="C3683" s="486">
        <f>C3682+D3682</f>
        <v>282</v>
      </c>
    </row>
    <row r="3698" spans="2:8">
      <c r="B3698" s="1308" t="s">
        <v>6420</v>
      </c>
      <c r="C3698" s="3"/>
      <c r="D3698" s="1308">
        <v>2021</v>
      </c>
      <c r="E3698" s="1308">
        <f>D3698+1</f>
        <v>2022</v>
      </c>
      <c r="F3698" s="1308">
        <f>E3698+1</f>
        <v>2023</v>
      </c>
      <c r="G3698" s="1308">
        <f>F3698+1</f>
        <v>2024</v>
      </c>
      <c r="H3698" s="1308">
        <f>G3698+1</f>
        <v>2025</v>
      </c>
    </row>
    <row r="3699" spans="2:8">
      <c r="B3699" s="1203" t="s">
        <v>377</v>
      </c>
      <c r="C3699" s="1306"/>
      <c r="D3699" s="1306">
        <f>D3674</f>
        <v>199.80000000000007</v>
      </c>
      <c r="E3699" s="1306">
        <f>E3674</f>
        <v>187.70000000000016</v>
      </c>
      <c r="F3699" s="1354">
        <f>F3674-(Chile!K77*1000/Chile!K85)</f>
        <v>320.0145816833919</v>
      </c>
      <c r="G3699" s="1354">
        <f ca="1">G3674-(Chile!L77*1000/Chile!L85)</f>
        <v>111.1435243002818</v>
      </c>
      <c r="H3699" s="1354">
        <f ca="1">H3674-(Chile!M77*1000/Chile!M85)</f>
        <v>469.36015718398312</v>
      </c>
    </row>
    <row r="3700" spans="2:8">
      <c r="B3700" s="1203" t="s">
        <v>6053</v>
      </c>
      <c r="C3700" s="1307"/>
      <c r="D3700" s="1307">
        <f>D3699/Valuation!L8</f>
        <v>0.12789950350923468</v>
      </c>
      <c r="E3700" s="1307">
        <f>E3699/Valuation!M8</f>
        <v>0.12808789409035087</v>
      </c>
      <c r="F3700" s="1307">
        <f>F3699/Valuation!N8</f>
        <v>0.22990213920183908</v>
      </c>
      <c r="G3700" s="1307">
        <f ca="1">G3699/Valuation!O8</f>
        <v>8.8492885362815549E-2</v>
      </c>
      <c r="H3700" s="1307">
        <f ca="1">H3699/Valuation!P8</f>
        <v>0.40673867134387953</v>
      </c>
    </row>
    <row r="3701" spans="2:8">
      <c r="B3701" s="1203" t="s">
        <v>6450</v>
      </c>
      <c r="C3701" s="1307"/>
      <c r="D3701" s="1307"/>
      <c r="E3701" s="1307"/>
      <c r="F3701" s="1306">
        <f>F3699+Master!O14</f>
        <v>231.0145816833919</v>
      </c>
      <c r="G3701" s="1306">
        <f ca="1">G3699+Master!P14</f>
        <v>36.143524300281797</v>
      </c>
      <c r="H3701" s="1306">
        <f ca="1">H3699+Master!Q14</f>
        <v>389.36015718398312</v>
      </c>
    </row>
    <row r="3702" spans="2:8">
      <c r="B3702" s="1203" t="s">
        <v>6419</v>
      </c>
      <c r="C3702" s="1307"/>
      <c r="D3702" s="1307">
        <f>(D3699+Master!M14)/Valuation!L42</f>
        <v>5.1196175482965234E-2</v>
      </c>
      <c r="E3702" s="1307">
        <f>(E3699+Master!N14)/Valuation!M42</f>
        <v>6.2424567538318938E-2</v>
      </c>
      <c r="F3702" s="1307">
        <f ca="1">F3701/Valuation!N42</f>
        <v>0.1636257767632425</v>
      </c>
      <c r="G3702" s="1307">
        <f ca="1">G3701/Valuation!O42</f>
        <v>2.8105343347359566E-2</v>
      </c>
      <c r="H3702" s="1307">
        <f ca="1">H3701/Valuation!P42</f>
        <v>0.32721476507001462</v>
      </c>
    </row>
    <row r="3704" spans="2:8">
      <c r="F3704" s="486">
        <f>F3699+Master!O14</f>
        <v>231.0145816833919</v>
      </c>
      <c r="G3704" s="486">
        <f ca="1">G3699+Master!P14</f>
        <v>36.143524300281797</v>
      </c>
      <c r="H3704" s="486">
        <f ca="1">H3699+Master!Q14</f>
        <v>389.36015718398312</v>
      </c>
    </row>
    <row r="3713" spans="2:8">
      <c r="B3713" s="1203"/>
      <c r="C3713" s="1203"/>
      <c r="D3713" s="1203"/>
      <c r="E3713" s="1203"/>
      <c r="F3713" s="1203"/>
      <c r="G3713" s="1203"/>
      <c r="H3713" s="1203"/>
    </row>
    <row r="3714" spans="2:8">
      <c r="B3714" s="1203"/>
      <c r="C3714" s="1203"/>
      <c r="D3714" s="1203"/>
      <c r="E3714" s="1203"/>
      <c r="F3714" s="1203"/>
      <c r="G3714" s="1203"/>
      <c r="H3714" s="1203"/>
    </row>
    <row r="3715" spans="2:8">
      <c r="B3715" s="1203"/>
      <c r="C3715" s="1203"/>
      <c r="D3715" s="1203"/>
      <c r="E3715" s="1203"/>
      <c r="F3715" s="1203"/>
      <c r="G3715" s="1203"/>
      <c r="H3715" s="1203"/>
    </row>
    <row r="3716" spans="2:8">
      <c r="B3716" s="1203" t="s">
        <v>6458</v>
      </c>
      <c r="C3716" s="1358">
        <v>918</v>
      </c>
      <c r="D3716" s="1203"/>
      <c r="E3716" s="1203"/>
      <c r="F3716" s="1203"/>
      <c r="G3716" s="1203"/>
      <c r="H3716" s="1203"/>
    </row>
    <row r="3717" spans="2:8">
      <c r="B3717" s="1203"/>
      <c r="C3717" s="1203"/>
      <c r="D3717" s="1203"/>
      <c r="E3717" s="1203"/>
      <c r="F3717" s="1203"/>
      <c r="G3717" s="1203"/>
      <c r="H3717" s="1203"/>
    </row>
    <row r="3718" spans="2:8">
      <c r="B3718" s="1203"/>
      <c r="C3718" s="1203"/>
      <c r="D3718" s="1203"/>
      <c r="E3718" s="1203"/>
      <c r="F3718" s="1203"/>
      <c r="G3718" s="1203"/>
      <c r="H3718" s="1203"/>
    </row>
    <row r="3719" spans="2:8">
      <c r="B3719" s="1203" t="s">
        <v>6455</v>
      </c>
      <c r="C3719" s="1203"/>
      <c r="D3719" s="1203"/>
      <c r="E3719" s="1203"/>
      <c r="F3719" s="1203"/>
      <c r="G3719" s="1203"/>
      <c r="H3719" s="1203"/>
    </row>
    <row r="3720" spans="2:8">
      <c r="B3720" s="1203"/>
      <c r="C3720" s="1203"/>
      <c r="D3720" s="1203"/>
      <c r="E3720" s="1203"/>
      <c r="F3720" s="1203"/>
      <c r="G3720" s="1203"/>
      <c r="H3720" s="1203"/>
    </row>
    <row r="3721" spans="2:8">
      <c r="B3721" s="1308"/>
      <c r="C3721" s="1359" t="s">
        <v>3871</v>
      </c>
      <c r="D3721" s="1203"/>
      <c r="E3721" s="1203"/>
      <c r="F3721" s="1203"/>
      <c r="G3721" s="1203"/>
      <c r="H3721" s="1203"/>
    </row>
    <row r="3722" spans="2:8">
      <c r="B3722" s="1203" t="s">
        <v>6456</v>
      </c>
      <c r="C3722" s="1306">
        <f>'New quarts'!AN399</f>
        <v>9419</v>
      </c>
      <c r="D3722" s="1203"/>
      <c r="E3722" s="1203"/>
      <c r="F3722" s="1203"/>
      <c r="G3722" s="1203"/>
      <c r="H3722" s="1203"/>
    </row>
    <row r="3723" spans="2:8">
      <c r="B3723" s="1203" t="s">
        <v>707</v>
      </c>
      <c r="C3723" s="1306">
        <f>'New quarts'!AN401</f>
        <v>1098</v>
      </c>
      <c r="D3723" s="1203"/>
      <c r="E3723" s="1203"/>
      <c r="F3723" s="1203"/>
      <c r="G3723" s="1203"/>
      <c r="H3723" s="1203"/>
    </row>
    <row r="3724" spans="2:8">
      <c r="B3724" s="1308" t="s">
        <v>6459</v>
      </c>
      <c r="C3724" s="1309">
        <v>221</v>
      </c>
      <c r="D3724" s="1203"/>
      <c r="E3724" s="1203"/>
      <c r="F3724" s="1203"/>
      <c r="G3724" s="1203"/>
      <c r="H3724" s="1203"/>
    </row>
    <row r="3725" spans="2:8">
      <c r="B3725" s="1203" t="s">
        <v>115</v>
      </c>
      <c r="C3725" s="1306">
        <f>C3722-C3723-C3724</f>
        <v>8100</v>
      </c>
      <c r="D3725" s="1203"/>
      <c r="E3725" s="1203" t="s">
        <v>6464</v>
      </c>
      <c r="F3725" s="1306">
        <f>C3725</f>
        <v>8100</v>
      </c>
      <c r="H3725" s="1203"/>
    </row>
    <row r="3726" spans="2:8">
      <c r="B3726" s="1203" t="s">
        <v>6463</v>
      </c>
      <c r="C3726" s="1306">
        <f>('New quarts'!AM236+'New quarts'!AN236)*2</f>
        <v>1807.2</v>
      </c>
      <c r="D3726" s="1203"/>
      <c r="E3726" s="1203" t="s">
        <v>6465</v>
      </c>
      <c r="F3726" s="1306">
        <f>F3725-G3726</f>
        <v>6958.7145969498915</v>
      </c>
      <c r="G3726" s="1306">
        <f>C3729</f>
        <v>1141.2854030501087</v>
      </c>
    </row>
    <row r="3727" spans="2:8">
      <c r="B3727" s="1203" t="s">
        <v>895</v>
      </c>
      <c r="C3727" s="1360">
        <f>C3725/C3726</f>
        <v>4.4820717131474099</v>
      </c>
      <c r="D3727" s="1203"/>
      <c r="E3727" s="1203" t="s">
        <v>6466</v>
      </c>
      <c r="F3727" s="1306">
        <f>C3734</f>
        <v>6958.7145969498915</v>
      </c>
      <c r="H3727" s="1203"/>
    </row>
    <row r="3728" spans="2:8">
      <c r="B3728" s="1203"/>
      <c r="C3728" s="1203"/>
      <c r="D3728" s="1203"/>
      <c r="E3728" s="1203"/>
      <c r="F3728" s="1203"/>
      <c r="G3728" s="1203"/>
      <c r="H3728" s="1203"/>
    </row>
    <row r="3729" spans="2:8">
      <c r="B3729" s="1203" t="s">
        <v>6457</v>
      </c>
      <c r="C3729" s="1306">
        <f>Notes!E3773*1000/C3716</f>
        <v>1141.2854030501087</v>
      </c>
      <c r="D3729" s="1203"/>
      <c r="E3729" s="1203" t="s">
        <v>6467</v>
      </c>
      <c r="F3729" s="1306">
        <f>C3726</f>
        <v>1807.2</v>
      </c>
      <c r="G3729" s="1203"/>
      <c r="H3729" s="1203"/>
    </row>
    <row r="3730" spans="2:8">
      <c r="B3730" s="1203" t="s">
        <v>6461</v>
      </c>
      <c r="C3730" s="1306">
        <f>('New quarts'!AM239+'New quarts'!AN239)*2</f>
        <v>168.8</v>
      </c>
      <c r="D3730" s="1203"/>
      <c r="E3730" s="1203" t="s">
        <v>6460</v>
      </c>
      <c r="F3730" s="1306">
        <f>F3729-G3730</f>
        <v>1638.4</v>
      </c>
      <c r="G3730" s="1306">
        <f>C3730</f>
        <v>168.8</v>
      </c>
      <c r="H3730" s="1203"/>
    </row>
    <row r="3731" spans="2:8">
      <c r="B3731" s="1203" t="s">
        <v>3091</v>
      </c>
      <c r="C3731" s="1360">
        <f>C3729/C3730</f>
        <v>6.7611694493489845</v>
      </c>
      <c r="D3731" s="1203"/>
      <c r="E3731" s="1203" t="s">
        <v>6468</v>
      </c>
      <c r="F3731" s="1306">
        <f>C3735</f>
        <v>1638.4</v>
      </c>
      <c r="G3731" s="1203"/>
      <c r="H3731" s="1203"/>
    </row>
    <row r="3732" spans="2:8">
      <c r="B3732" s="1203"/>
      <c r="C3732" s="1360"/>
      <c r="D3732" s="1203"/>
      <c r="E3732" s="1203"/>
      <c r="F3732" s="1203"/>
      <c r="G3732" s="1203"/>
      <c r="H3732" s="1203"/>
    </row>
    <row r="3733" spans="2:8">
      <c r="B3733" s="1203" t="s">
        <v>6462</v>
      </c>
      <c r="C3733" s="1360"/>
      <c r="D3733" s="1203"/>
      <c r="E3733" s="1203"/>
      <c r="F3733" s="1203"/>
      <c r="G3733" s="1203"/>
      <c r="H3733" s="1203"/>
    </row>
    <row r="3734" spans="2:8">
      <c r="B3734" s="1203" t="s">
        <v>115</v>
      </c>
      <c r="C3734" s="1306">
        <f>C3725-C3729</f>
        <v>6958.7145969498915</v>
      </c>
      <c r="D3734" s="1203"/>
      <c r="E3734" s="1306"/>
      <c r="F3734" s="1203"/>
      <c r="G3734" s="1203"/>
      <c r="H3734" s="1203"/>
    </row>
    <row r="3735" spans="2:8">
      <c r="B3735" s="1203" t="s">
        <v>8</v>
      </c>
      <c r="C3735" s="1306">
        <f>C3726-C3730</f>
        <v>1638.4</v>
      </c>
      <c r="D3735" s="1203"/>
      <c r="E3735" s="1203"/>
      <c r="F3735" s="1203"/>
      <c r="G3735" s="1203"/>
      <c r="H3735" s="1203"/>
    </row>
    <row r="3736" spans="2:8">
      <c r="B3736" s="1203" t="s">
        <v>3091</v>
      </c>
      <c r="C3736" s="1360">
        <f>C3734/C3735</f>
        <v>4.2472623272399241</v>
      </c>
      <c r="D3736" s="1203"/>
      <c r="E3736" s="1203"/>
      <c r="F3736" s="1203"/>
      <c r="G3736" s="1203"/>
      <c r="H3736" s="1203"/>
    </row>
    <row r="3737" spans="2:8">
      <c r="B3737" s="1203"/>
      <c r="C3737" s="1203"/>
      <c r="D3737" s="1203"/>
      <c r="E3737" s="1203"/>
      <c r="F3737" s="1203"/>
      <c r="G3737" s="1203"/>
      <c r="H3737" s="1203"/>
    </row>
    <row r="3738" spans="2:8">
      <c r="B3738" s="1203"/>
      <c r="C3738" s="1203"/>
      <c r="D3738" s="1203"/>
      <c r="E3738" s="1203"/>
      <c r="F3738" s="1203"/>
      <c r="G3738" s="1203"/>
      <c r="H3738" s="1203"/>
    </row>
    <row r="3739" spans="2:8">
      <c r="B3739" s="1203"/>
      <c r="C3739" s="1203"/>
      <c r="D3739" s="1203"/>
      <c r="E3739" s="1203"/>
      <c r="F3739" s="1203"/>
      <c r="G3739" s="1203"/>
      <c r="H3739" s="1203"/>
    </row>
    <row r="3740" spans="2:8">
      <c r="B3740" s="1203"/>
      <c r="C3740" s="1203"/>
      <c r="D3740" s="1203"/>
      <c r="E3740" s="1203"/>
      <c r="F3740" s="1203"/>
      <c r="G3740" s="1203"/>
      <c r="H3740" s="1203"/>
    </row>
    <row r="3741" spans="2:8">
      <c r="B3741" s="1203"/>
      <c r="C3741" s="1203"/>
      <c r="D3741" s="1203"/>
      <c r="E3741" s="1203"/>
      <c r="F3741" s="1203"/>
      <c r="G3741" s="1203"/>
      <c r="H3741" s="1203"/>
    </row>
    <row r="3756" spans="2:24">
      <c r="B3756" s="552" t="s">
        <v>8</v>
      </c>
      <c r="C3756" s="552"/>
      <c r="D3756" s="552"/>
      <c r="E3756" s="552"/>
      <c r="F3756" s="552"/>
      <c r="G3756" s="552">
        <v>2022</v>
      </c>
      <c r="H3756" s="552">
        <v>2023</v>
      </c>
      <c r="I3756" s="552">
        <v>2024</v>
      </c>
      <c r="J3756" s="552">
        <v>2025</v>
      </c>
      <c r="L3756" s="552">
        <f>H3756</f>
        <v>2023</v>
      </c>
      <c r="M3756" s="552">
        <f>I3756</f>
        <v>2024</v>
      </c>
      <c r="N3756" s="552">
        <f>J3756</f>
        <v>2025</v>
      </c>
      <c r="P3756" s="952" t="s">
        <v>5949</v>
      </c>
      <c r="Q3756" s="952" t="s">
        <v>5950</v>
      </c>
      <c r="R3756" s="952" t="s">
        <v>5951</v>
      </c>
      <c r="S3756" s="952" t="s">
        <v>4932</v>
      </c>
      <c r="U3756" s="952" t="s">
        <v>5556</v>
      </c>
      <c r="V3756" s="952" t="s">
        <v>5696</v>
      </c>
      <c r="W3756" s="952" t="s">
        <v>5878</v>
      </c>
      <c r="X3756" s="952" t="s">
        <v>6529</v>
      </c>
    </row>
    <row r="3757" spans="2:24">
      <c r="B3757" t="s">
        <v>29</v>
      </c>
      <c r="G3757" s="16">
        <f>Master!N85-G3758</f>
        <v>813.49922149999998</v>
      </c>
      <c r="H3757" s="16">
        <f>Master!O85-H3758</f>
        <v>858.5</v>
      </c>
      <c r="I3757" s="16">
        <f>Master!P85-I3758</f>
        <v>867.30563021067439</v>
      </c>
      <c r="J3757" s="16">
        <f>Master!Q85-J3758</f>
        <v>910.01531024977839</v>
      </c>
      <c r="L3757" s="16">
        <f t="shared" ref="L3757:N3763" si="343">H3757-G3757</f>
        <v>45.000778500000024</v>
      </c>
      <c r="M3757" s="16">
        <f t="shared" si="343"/>
        <v>8.8056302106743942</v>
      </c>
      <c r="N3757" s="16">
        <f t="shared" si="343"/>
        <v>42.709680039104001</v>
      </c>
    </row>
    <row r="3758" spans="2:24">
      <c r="B3758" t="s">
        <v>0</v>
      </c>
      <c r="G3758" s="16">
        <f>Master!N66</f>
        <v>188.8</v>
      </c>
      <c r="H3758" s="16">
        <f>Master!O66</f>
        <v>227.7</v>
      </c>
      <c r="I3758" s="16">
        <f>Master!P66</f>
        <v>254.67856820343255</v>
      </c>
      <c r="J3758" s="16">
        <f>Master!Q66</f>
        <v>274.23517452315855</v>
      </c>
      <c r="L3758" s="16">
        <f t="shared" si="343"/>
        <v>38.899999999999977</v>
      </c>
      <c r="M3758" s="16">
        <f t="shared" si="343"/>
        <v>26.978568203432559</v>
      </c>
      <c r="N3758" s="16">
        <f t="shared" si="343"/>
        <v>19.556606319726001</v>
      </c>
    </row>
    <row r="3759" spans="2:24">
      <c r="B3759" t="s">
        <v>469</v>
      </c>
      <c r="G3759" s="16">
        <f>Master!N71</f>
        <v>544.79999999999995</v>
      </c>
      <c r="H3759" s="16">
        <f>Master!O71</f>
        <v>485.5</v>
      </c>
      <c r="I3759" s="16">
        <f>Master!P71</f>
        <v>323.91267200000004</v>
      </c>
      <c r="J3759" s="16">
        <f>Master!Q71</f>
        <v>481.47579900720001</v>
      </c>
      <c r="L3759" s="16">
        <f t="shared" si="343"/>
        <v>-59.299999999999955</v>
      </c>
      <c r="M3759" s="16">
        <f t="shared" si="343"/>
        <v>-161.58732799999996</v>
      </c>
      <c r="N3759" s="16">
        <f t="shared" si="343"/>
        <v>157.56312700719997</v>
      </c>
    </row>
    <row r="3760" spans="2:24">
      <c r="B3760" t="s">
        <v>3411</v>
      </c>
      <c r="G3760" s="16">
        <f>Master!N72</f>
        <v>134.69999999999999</v>
      </c>
      <c r="H3760" s="16">
        <f>Master!O72</f>
        <v>203.1</v>
      </c>
      <c r="I3760" s="16">
        <f>Master!P72</f>
        <v>217.20216313251501</v>
      </c>
      <c r="J3760" s="16">
        <f>Master!Q72</f>
        <v>221.10334865412818</v>
      </c>
      <c r="L3760" s="16">
        <f t="shared" si="343"/>
        <v>68.400000000000006</v>
      </c>
      <c r="M3760" s="16">
        <f t="shared" si="343"/>
        <v>14.102163132515017</v>
      </c>
      <c r="N3760" s="16">
        <f t="shared" si="343"/>
        <v>3.9011855216131721</v>
      </c>
    </row>
    <row r="3761" spans="2:24">
      <c r="B3761" t="s">
        <v>899</v>
      </c>
      <c r="G3761" s="16">
        <f>Master!N70</f>
        <v>115.6</v>
      </c>
      <c r="H3761" s="16">
        <f>Master!O70</f>
        <v>0</v>
      </c>
      <c r="I3761" s="16">
        <f>Master!P70</f>
        <v>0</v>
      </c>
      <c r="J3761" s="16">
        <f>Master!Q70</f>
        <v>0</v>
      </c>
      <c r="L3761" s="16">
        <f t="shared" si="343"/>
        <v>-115.6</v>
      </c>
      <c r="M3761" s="16">
        <f t="shared" si="343"/>
        <v>0</v>
      </c>
      <c r="N3761" s="16">
        <f t="shared" si="343"/>
        <v>0</v>
      </c>
    </row>
    <row r="3762" spans="2:24">
      <c r="B3762" s="3" t="s">
        <v>795</v>
      </c>
      <c r="C3762" s="3"/>
      <c r="D3762" s="3"/>
      <c r="E3762" s="3"/>
      <c r="F3762" s="3"/>
      <c r="G3762" s="64">
        <f>G3763-G3757-G3758-G3759-G3760-G3761</f>
        <v>-79.399221499999868</v>
      </c>
      <c r="H3762" s="64">
        <f>H3763-H3757-H3758-H3759-H3760-H3761</f>
        <v>-73.200000000000131</v>
      </c>
      <c r="I3762" s="64">
        <f>I3763-I3757-I3758-I3759-I3760-I3761</f>
        <v>-83.999999999999773</v>
      </c>
      <c r="J3762" s="64">
        <f>J3763-J3757-J3758-J3759-J3760-J3761</f>
        <v>-83.999999999999886</v>
      </c>
      <c r="L3762" s="64">
        <f t="shared" si="343"/>
        <v>6.1992214999997373</v>
      </c>
      <c r="M3762" s="64">
        <f t="shared" si="343"/>
        <v>-10.799999999999642</v>
      </c>
      <c r="N3762" s="64">
        <f t="shared" si="343"/>
        <v>-1.1368683772161603E-13</v>
      </c>
    </row>
    <row r="3763" spans="2:24">
      <c r="B3763" t="s">
        <v>16</v>
      </c>
      <c r="G3763" s="16">
        <f>Master!N74</f>
        <v>1718</v>
      </c>
      <c r="H3763" s="16">
        <f>Master!O74</f>
        <v>1701.6</v>
      </c>
      <c r="I3763" s="16">
        <f>Master!P74</f>
        <v>1579.0990335466222</v>
      </c>
      <c r="J3763" s="16">
        <f>Master!Q74</f>
        <v>1802.8296324342652</v>
      </c>
      <c r="L3763" s="16">
        <f t="shared" si="343"/>
        <v>-16.400000000000091</v>
      </c>
      <c r="M3763" s="16">
        <f t="shared" si="343"/>
        <v>-122.50096645337771</v>
      </c>
      <c r="N3763" s="16">
        <f t="shared" si="343"/>
        <v>223.73059888764305</v>
      </c>
    </row>
    <row r="3764" spans="2:24">
      <c r="S3764" t="s">
        <v>72</v>
      </c>
      <c r="V3764" s="16"/>
    </row>
    <row r="3765" spans="2:24">
      <c r="B3765" s="552" t="s">
        <v>19</v>
      </c>
      <c r="C3765" s="552"/>
      <c r="D3765" s="552"/>
      <c r="E3765" s="552"/>
      <c r="F3765" s="552"/>
      <c r="G3765" s="552">
        <v>2022</v>
      </c>
      <c r="H3765" s="552">
        <v>2023</v>
      </c>
      <c r="I3765" s="552">
        <v>2024</v>
      </c>
      <c r="J3765" s="552">
        <v>2024</v>
      </c>
      <c r="V3765" s="16"/>
    </row>
    <row r="3766" spans="2:24">
      <c r="B3766" t="s">
        <v>29</v>
      </c>
      <c r="G3766" s="16">
        <f>SUM(Master!N110:N116)-G3767</f>
        <v>261.29065800000001</v>
      </c>
      <c r="H3766" s="16">
        <f>SUM(Master!O110:O116)-H3767</f>
        <v>282.60000000000002</v>
      </c>
      <c r="I3766" s="16">
        <f>SUM(Master!P110:P116)-I3767</f>
        <v>289.36318340666963</v>
      </c>
      <c r="J3766" s="16">
        <f>SUM(Master!Q110:Q116)-J3767</f>
        <v>296.39422909323935</v>
      </c>
      <c r="L3766" s="16">
        <f t="shared" ref="L3766:N3772" si="344">H3766-G3766</f>
        <v>21.309342000000015</v>
      </c>
      <c r="M3766" s="16">
        <f t="shared" si="344"/>
        <v>6.7631834066696115</v>
      </c>
      <c r="N3766" s="16">
        <f t="shared" si="344"/>
        <v>7.031045686569712</v>
      </c>
      <c r="P3766" s="16">
        <v>51.6</v>
      </c>
      <c r="Q3766" s="16">
        <v>61.6</v>
      </c>
      <c r="R3766" s="16">
        <f>58.5+11.7</f>
        <v>70.2</v>
      </c>
      <c r="S3766" s="16">
        <f t="shared" ref="S3766:S3771" si="345">G3766-P3766-Q3766-R3766</f>
        <v>77.890658000000016</v>
      </c>
      <c r="T3766" s="16"/>
      <c r="U3766" s="16">
        <v>49.6</v>
      </c>
      <c r="V3766" s="16">
        <v>73.2</v>
      </c>
      <c r="W3766" s="16">
        <f>56.7+11.4</f>
        <v>68.100000000000009</v>
      </c>
      <c r="X3766" s="16">
        <f>77.3</f>
        <v>77.3</v>
      </c>
    </row>
    <row r="3767" spans="2:24">
      <c r="B3767" t="s">
        <v>0</v>
      </c>
      <c r="G3767" s="16">
        <f>Master!N113</f>
        <v>98.4</v>
      </c>
      <c r="H3767" s="16">
        <f>Master!O113</f>
        <v>117</v>
      </c>
      <c r="I3767" s="16">
        <f>Master!P113</f>
        <v>110.98391070211262</v>
      </c>
      <c r="J3767" s="16">
        <f>Master!Q113</f>
        <v>104.02635873481427</v>
      </c>
      <c r="L3767" s="16">
        <f t="shared" si="344"/>
        <v>18.599999999999994</v>
      </c>
      <c r="M3767" s="16">
        <f t="shared" si="344"/>
        <v>-6.0160892978873761</v>
      </c>
      <c r="N3767" s="16">
        <f t="shared" si="344"/>
        <v>-6.9575519672983575</v>
      </c>
      <c r="P3767" s="16">
        <v>15</v>
      </c>
      <c r="Q3767" s="16">
        <v>26.4</v>
      </c>
      <c r="R3767" s="16">
        <v>30.2</v>
      </c>
      <c r="S3767" s="16">
        <f t="shared" si="345"/>
        <v>26.800000000000008</v>
      </c>
      <c r="T3767" s="16"/>
      <c r="U3767" s="16">
        <v>10.7</v>
      </c>
      <c r="V3767" s="16">
        <v>20.100000000000001</v>
      </c>
      <c r="W3767" s="16">
        <v>33.700000000000003</v>
      </c>
      <c r="X3767" s="16">
        <v>24.4</v>
      </c>
    </row>
    <row r="3768" spans="2:24">
      <c r="B3768" t="s">
        <v>469</v>
      </c>
      <c r="G3768" s="16">
        <f>Master!N118</f>
        <v>233.5</v>
      </c>
      <c r="H3768" s="16">
        <f>Master!O118</f>
        <v>219</v>
      </c>
      <c r="I3768" s="16">
        <f>Master!P118</f>
        <v>204.60844800000004</v>
      </c>
      <c r="J3768" s="16">
        <f>Master!Q118</f>
        <v>212.37460593920002</v>
      </c>
      <c r="L3768" s="16">
        <f t="shared" si="344"/>
        <v>-14.5</v>
      </c>
      <c r="M3768" s="16">
        <f t="shared" si="344"/>
        <v>-14.391551999999962</v>
      </c>
      <c r="N3768" s="16">
        <f t="shared" si="344"/>
        <v>7.7661579391999851</v>
      </c>
      <c r="P3768" s="16">
        <v>44.5</v>
      </c>
      <c r="Q3768" s="16">
        <v>46.5</v>
      </c>
      <c r="R3768" s="16">
        <v>63.8</v>
      </c>
      <c r="S3768" s="16">
        <f t="shared" si="345"/>
        <v>78.7</v>
      </c>
      <c r="T3768" s="16"/>
      <c r="U3768" s="16">
        <v>33.700000000000003</v>
      </c>
      <c r="V3768" s="16">
        <v>51.2</v>
      </c>
      <c r="W3768" s="16">
        <v>54.2</v>
      </c>
      <c r="X3768" s="16">
        <v>80.099999999999994</v>
      </c>
    </row>
    <row r="3769" spans="2:24">
      <c r="B3769" t="s">
        <v>3411</v>
      </c>
      <c r="G3769" s="16">
        <f>Master!N119</f>
        <v>65.7</v>
      </c>
      <c r="H3769" s="16">
        <f>Master!O119</f>
        <v>75.2</v>
      </c>
      <c r="I3769" s="16">
        <f>Master!P119</f>
        <v>84.790169140145139</v>
      </c>
      <c r="J3769" s="16">
        <f>Master!Q119</f>
        <v>83.66072651777823</v>
      </c>
      <c r="L3769" s="16">
        <f t="shared" si="344"/>
        <v>9.5</v>
      </c>
      <c r="M3769" s="16">
        <f t="shared" si="344"/>
        <v>9.5901691401451359</v>
      </c>
      <c r="N3769" s="16">
        <f t="shared" si="344"/>
        <v>-1.1294426223669092</v>
      </c>
      <c r="P3769" s="16">
        <v>9.9</v>
      </c>
      <c r="Q3769" s="16">
        <v>15.3</v>
      </c>
      <c r="R3769" s="16">
        <v>20.5</v>
      </c>
      <c r="S3769" s="16">
        <f t="shared" si="345"/>
        <v>20</v>
      </c>
      <c r="T3769" s="16"/>
      <c r="U3769" s="16">
        <v>7.3</v>
      </c>
      <c r="V3769" s="16">
        <v>7.3</v>
      </c>
      <c r="W3769" s="16">
        <v>11</v>
      </c>
      <c r="X3769" s="16">
        <v>19.399999999999999</v>
      </c>
    </row>
    <row r="3770" spans="2:24">
      <c r="B3770" t="s">
        <v>899</v>
      </c>
      <c r="G3770" s="16">
        <f>Master!N117</f>
        <v>115.6</v>
      </c>
      <c r="H3770" s="16">
        <f>Master!O117</f>
        <v>0</v>
      </c>
      <c r="I3770" s="16">
        <f>Master!P117</f>
        <v>0</v>
      </c>
      <c r="J3770" s="16">
        <f>Master!Q117</f>
        <v>0</v>
      </c>
      <c r="L3770" s="16">
        <f t="shared" si="344"/>
        <v>-115.6</v>
      </c>
      <c r="M3770" s="16">
        <f t="shared" si="344"/>
        <v>0</v>
      </c>
      <c r="N3770" s="16">
        <f t="shared" si="344"/>
        <v>0</v>
      </c>
      <c r="P3770" s="16">
        <v>44.7</v>
      </c>
      <c r="Q3770" s="16">
        <v>35</v>
      </c>
      <c r="R3770" s="16">
        <v>27.6</v>
      </c>
      <c r="S3770" s="16">
        <f t="shared" si="345"/>
        <v>8.2999999999999901</v>
      </c>
      <c r="T3770" s="16"/>
      <c r="U3770" s="16">
        <v>46.7</v>
      </c>
      <c r="V3770" s="16">
        <v>55.8</v>
      </c>
      <c r="W3770" s="16">
        <v>55.5</v>
      </c>
      <c r="X3770" s="16">
        <v>41.1</v>
      </c>
    </row>
    <row r="3771" spans="2:24">
      <c r="B3771" s="3" t="s">
        <v>795</v>
      </c>
      <c r="C3771" s="3"/>
      <c r="D3771" s="3"/>
      <c r="E3771" s="3"/>
      <c r="F3771" s="3"/>
      <c r="G3771" s="64">
        <f>G3772-G3766-G3767-G3768-G3769-G3770</f>
        <v>41.809341999999987</v>
      </c>
      <c r="H3771" s="64">
        <f>H3772-H3766-H3767-H3768-H3769-H3770</f>
        <v>37.099999999999952</v>
      </c>
      <c r="I3771" s="64">
        <f>I3772-I3766-I3767-I3768-I3769-I3770</f>
        <v>25.000000000000057</v>
      </c>
      <c r="J3771" s="64">
        <f>J3772-J3766-J3767-J3768-J3769-J3770</f>
        <v>25.000000000000014</v>
      </c>
      <c r="L3771" s="64">
        <f t="shared" si="344"/>
        <v>-4.709342000000035</v>
      </c>
      <c r="M3771" s="64">
        <f t="shared" si="344"/>
        <v>-12.099999999999895</v>
      </c>
      <c r="N3771" s="64">
        <f t="shared" si="344"/>
        <v>-4.2632564145606011E-14</v>
      </c>
      <c r="P3771" s="64">
        <v>9.6999999999999993</v>
      </c>
      <c r="Q3771" s="64">
        <v>6.9</v>
      </c>
      <c r="R3771" s="64">
        <v>11.7</v>
      </c>
      <c r="S3771" s="64">
        <f t="shared" si="345"/>
        <v>13.509341999999986</v>
      </c>
      <c r="T3771" s="16"/>
      <c r="U3771" s="64">
        <v>4.4000000000000004</v>
      </c>
      <c r="V3771" s="64">
        <v>7.1</v>
      </c>
      <c r="W3771" s="64">
        <v>9.4</v>
      </c>
      <c r="X3771" s="64">
        <v>14.6</v>
      </c>
    </row>
    <row r="3772" spans="2:24">
      <c r="B3772" t="s">
        <v>16</v>
      </c>
      <c r="G3772" s="16">
        <f>Master!N121</f>
        <v>816.3</v>
      </c>
      <c r="H3772" s="16">
        <f>Master!O121</f>
        <v>730.9</v>
      </c>
      <c r="I3772" s="16">
        <f>Master!P121</f>
        <v>714.74571124892748</v>
      </c>
      <c r="J3772" s="16">
        <f>Master!Q121</f>
        <v>721.45592028503188</v>
      </c>
      <c r="L3772" s="16">
        <f t="shared" si="344"/>
        <v>-85.399999999999977</v>
      </c>
      <c r="M3772" s="16">
        <f t="shared" si="344"/>
        <v>-16.1542887510725</v>
      </c>
      <c r="N3772" s="16">
        <f t="shared" si="344"/>
        <v>6.710209036104402</v>
      </c>
      <c r="P3772" s="16">
        <f>SUM(P3766:P3771)</f>
        <v>175.39999999999998</v>
      </c>
      <c r="Q3772" s="16">
        <f>SUM(Q3766:Q3771)</f>
        <v>191.70000000000002</v>
      </c>
      <c r="R3772" s="16">
        <f>SUM(R3766:R3771)</f>
        <v>223.99999999999997</v>
      </c>
      <c r="S3772" s="16">
        <f>SUM(S3766:S3771)</f>
        <v>225.2</v>
      </c>
      <c r="T3772" s="16"/>
      <c r="U3772" s="16">
        <f>SUM(U3766:U3771)</f>
        <v>152.4</v>
      </c>
      <c r="V3772" s="16">
        <f>SUM(V3766:V3771)</f>
        <v>214.70000000000002</v>
      </c>
      <c r="W3772" s="16">
        <f>SUM(W3766:W3771)</f>
        <v>231.9</v>
      </c>
      <c r="X3772" s="16">
        <f>SUM(X3766:X3771)</f>
        <v>256.89999999999998</v>
      </c>
    </row>
    <row r="3774" spans="2:24">
      <c r="B3774" s="552" t="s">
        <v>27</v>
      </c>
      <c r="C3774" s="552"/>
      <c r="D3774" s="552"/>
      <c r="E3774" s="552"/>
      <c r="F3774" s="552"/>
      <c r="G3774" s="552">
        <v>2022</v>
      </c>
      <c r="H3774" s="552">
        <v>2023</v>
      </c>
      <c r="I3774" s="552">
        <v>2024</v>
      </c>
      <c r="J3774" s="552">
        <v>2024</v>
      </c>
    </row>
    <row r="3775" spans="2:24">
      <c r="B3775" t="s">
        <v>29</v>
      </c>
      <c r="G3775" s="16">
        <f t="shared" ref="G3775:J3781" si="346">G3757-G3766</f>
        <v>552.20856349999997</v>
      </c>
      <c r="H3775" s="16">
        <f t="shared" si="346"/>
        <v>575.9</v>
      </c>
      <c r="I3775" s="16">
        <f t="shared" si="346"/>
        <v>577.9424468040047</v>
      </c>
      <c r="J3775" s="16">
        <f t="shared" si="346"/>
        <v>613.62108115653905</v>
      </c>
      <c r="L3775" s="16">
        <f t="shared" ref="L3775:L3783" si="347">H3775-G3775</f>
        <v>23.691436500000009</v>
      </c>
      <c r="M3775" s="16">
        <f t="shared" ref="M3775:M3783" si="348">I3775-H3775</f>
        <v>2.0424468040047259</v>
      </c>
      <c r="N3775" s="16">
        <f t="shared" ref="N3775:N3783" si="349">J3775-I3775</f>
        <v>35.678634352534345</v>
      </c>
    </row>
    <row r="3776" spans="2:24">
      <c r="B3776" t="s">
        <v>0</v>
      </c>
      <c r="G3776" s="16">
        <f t="shared" si="346"/>
        <v>90.4</v>
      </c>
      <c r="H3776" s="16">
        <f t="shared" si="346"/>
        <v>110.69999999999999</v>
      </c>
      <c r="I3776" s="16">
        <f t="shared" si="346"/>
        <v>143.69465750131991</v>
      </c>
      <c r="J3776" s="16">
        <f t="shared" si="346"/>
        <v>170.20881578834428</v>
      </c>
      <c r="L3776" s="16">
        <f t="shared" si="347"/>
        <v>20.299999999999983</v>
      </c>
      <c r="M3776" s="16">
        <f t="shared" si="348"/>
        <v>32.994657501319921</v>
      </c>
      <c r="N3776" s="16">
        <f t="shared" si="349"/>
        <v>26.514158287024372</v>
      </c>
    </row>
    <row r="3777" spans="2:14">
      <c r="B3777" t="s">
        <v>469</v>
      </c>
      <c r="G3777" s="16">
        <f t="shared" si="346"/>
        <v>311.29999999999995</v>
      </c>
      <c r="H3777" s="16">
        <f t="shared" si="346"/>
        <v>266.5</v>
      </c>
      <c r="I3777" s="16">
        <f t="shared" si="346"/>
        <v>119.304224</v>
      </c>
      <c r="J3777" s="16">
        <f t="shared" si="346"/>
        <v>269.10119306799999</v>
      </c>
      <c r="L3777" s="16">
        <f t="shared" si="347"/>
        <v>-44.799999999999955</v>
      </c>
      <c r="M3777" s="16">
        <f t="shared" si="348"/>
        <v>-147.195776</v>
      </c>
      <c r="N3777" s="16">
        <f t="shared" si="349"/>
        <v>149.79696906799998</v>
      </c>
    </row>
    <row r="3778" spans="2:14">
      <c r="B3778" t="s">
        <v>3411</v>
      </c>
      <c r="G3778" s="16">
        <f t="shared" si="346"/>
        <v>68.999999999999986</v>
      </c>
      <c r="H3778" s="16">
        <f t="shared" si="346"/>
        <v>127.89999999999999</v>
      </c>
      <c r="I3778" s="16">
        <f t="shared" si="346"/>
        <v>132.41199399236987</v>
      </c>
      <c r="J3778" s="16">
        <f t="shared" si="346"/>
        <v>137.44262213634994</v>
      </c>
      <c r="L3778" s="16">
        <f t="shared" si="347"/>
        <v>58.900000000000006</v>
      </c>
      <c r="M3778" s="16">
        <f t="shared" si="348"/>
        <v>4.5119939923698809</v>
      </c>
      <c r="N3778" s="16">
        <f t="shared" si="349"/>
        <v>5.0306281439800671</v>
      </c>
    </row>
    <row r="3779" spans="2:14">
      <c r="B3779" t="s">
        <v>899</v>
      </c>
      <c r="G3779" s="16">
        <f t="shared" si="346"/>
        <v>0</v>
      </c>
      <c r="H3779" s="16">
        <f t="shared" si="346"/>
        <v>0</v>
      </c>
      <c r="I3779" s="16">
        <f t="shared" si="346"/>
        <v>0</v>
      </c>
      <c r="J3779" s="16">
        <f t="shared" si="346"/>
        <v>0</v>
      </c>
      <c r="L3779" s="16">
        <f t="shared" si="347"/>
        <v>0</v>
      </c>
      <c r="M3779" s="16">
        <f t="shared" si="348"/>
        <v>0</v>
      </c>
      <c r="N3779" s="16">
        <f t="shared" si="349"/>
        <v>0</v>
      </c>
    </row>
    <row r="3780" spans="2:14">
      <c r="B3780" s="3" t="s">
        <v>795</v>
      </c>
      <c r="C3780" s="3"/>
      <c r="D3780" s="3"/>
      <c r="E3780" s="3"/>
      <c r="F3780" s="3"/>
      <c r="G3780" s="64">
        <f t="shared" si="346"/>
        <v>-121.20856349999985</v>
      </c>
      <c r="H3780" s="64">
        <f t="shared" si="346"/>
        <v>-110.30000000000008</v>
      </c>
      <c r="I3780" s="64">
        <f t="shared" si="346"/>
        <v>-108.99999999999983</v>
      </c>
      <c r="J3780" s="64">
        <f t="shared" si="346"/>
        <v>-108.9999999999999</v>
      </c>
      <c r="L3780" s="64">
        <f t="shared" si="347"/>
        <v>10.908563499999772</v>
      </c>
      <c r="M3780" s="64">
        <f t="shared" si="348"/>
        <v>1.300000000000253</v>
      </c>
      <c r="N3780" s="64">
        <f t="shared" si="349"/>
        <v>0</v>
      </c>
    </row>
    <row r="3781" spans="2:14">
      <c r="B3781" t="s">
        <v>16</v>
      </c>
      <c r="G3781" s="16">
        <f t="shared" si="346"/>
        <v>901.7</v>
      </c>
      <c r="H3781" s="16">
        <f t="shared" si="346"/>
        <v>970.69999999999993</v>
      </c>
      <c r="I3781" s="16">
        <f t="shared" si="346"/>
        <v>864.35332229769472</v>
      </c>
      <c r="J3781" s="16">
        <f t="shared" si="346"/>
        <v>1081.3737121492334</v>
      </c>
      <c r="L3781" s="16">
        <f t="shared" si="347"/>
        <v>68.999999999999886</v>
      </c>
      <c r="M3781" s="16">
        <f t="shared" si="348"/>
        <v>-106.34667770230521</v>
      </c>
      <c r="N3781" s="16">
        <f t="shared" si="349"/>
        <v>217.02038985153865</v>
      </c>
    </row>
    <row r="3782" spans="2:14">
      <c r="B3782" s="3" t="s">
        <v>6530</v>
      </c>
      <c r="C3782" s="3"/>
      <c r="D3782" s="3"/>
      <c r="E3782" s="3"/>
      <c r="F3782" s="3"/>
      <c r="G3782" s="3">
        <v>-20</v>
      </c>
      <c r="H3782" s="3">
        <v>0</v>
      </c>
      <c r="I3782" s="3">
        <v>0</v>
      </c>
      <c r="J3782" s="3">
        <v>0</v>
      </c>
      <c r="K3782" s="3"/>
      <c r="L3782" s="64">
        <f t="shared" si="347"/>
        <v>20</v>
      </c>
      <c r="M3782" s="64">
        <f t="shared" si="348"/>
        <v>0</v>
      </c>
      <c r="N3782" s="64">
        <f t="shared" si="349"/>
        <v>0</v>
      </c>
    </row>
    <row r="3783" spans="2:14">
      <c r="B3783" t="s">
        <v>6531</v>
      </c>
      <c r="G3783" s="16">
        <f>G3781-G3782</f>
        <v>921.7</v>
      </c>
      <c r="H3783" s="16">
        <f>H3781-H3782</f>
        <v>970.69999999999993</v>
      </c>
      <c r="I3783" s="16">
        <f>I3781-I3782</f>
        <v>864.35332229769472</v>
      </c>
      <c r="J3783" s="16">
        <f>J3781-J3782</f>
        <v>1081.3737121492334</v>
      </c>
      <c r="L3783" s="16">
        <f t="shared" si="347"/>
        <v>48.999999999999886</v>
      </c>
      <c r="M3783" s="16">
        <f t="shared" si="348"/>
        <v>-106.34667770230521</v>
      </c>
      <c r="N3783" s="16">
        <f t="shared" si="349"/>
        <v>217.02038985153865</v>
      </c>
    </row>
    <row r="3785" spans="2:14">
      <c r="B3785" s="12" t="s">
        <v>6533</v>
      </c>
      <c r="C3785" s="12"/>
      <c r="D3785" s="12"/>
      <c r="E3785" s="12"/>
      <c r="F3785" s="12"/>
      <c r="G3785" s="1166"/>
      <c r="H3785" s="1166">
        <f>Valuation!M32</f>
        <v>187.70000000000016</v>
      </c>
      <c r="I3785" s="870"/>
    </row>
    <row r="3786" spans="2:14">
      <c r="B3786" t="s">
        <v>6541</v>
      </c>
      <c r="G3786" s="486">
        <f>G3785+H3785</f>
        <v>187.70000000000016</v>
      </c>
      <c r="H3786" s="16">
        <f>I3786</f>
        <v>-10</v>
      </c>
      <c r="I3786" s="16">
        <f>Analysis!E3653-Analysis!F3653</f>
        <v>-10</v>
      </c>
    </row>
    <row r="3787" spans="2:14">
      <c r="B3787" t="s">
        <v>6542</v>
      </c>
      <c r="G3787" s="486">
        <f>G3786+H3786-H3787</f>
        <v>172.70000000000016</v>
      </c>
      <c r="H3787" s="16">
        <f>-I3787</f>
        <v>5</v>
      </c>
      <c r="I3787" s="16">
        <f>Analysis!E3655-Analysis!F3655</f>
        <v>-5</v>
      </c>
    </row>
    <row r="3788" spans="2:14">
      <c r="B3788" t="s">
        <v>6543</v>
      </c>
      <c r="G3788" s="486">
        <f>G3787-H3788</f>
        <v>172.60600000000017</v>
      </c>
      <c r="H3788" s="16">
        <f>-I3788</f>
        <v>9.4000000000000306E-2</v>
      </c>
      <c r="I3788" s="16">
        <f>Analysis!E3654-Analysis!F3654</f>
        <v>-9.4000000000000306E-2</v>
      </c>
    </row>
    <row r="3789" spans="2:14">
      <c r="B3789" t="s">
        <v>6534</v>
      </c>
      <c r="G3789" s="1381">
        <f>G3788</f>
        <v>172.60600000000017</v>
      </c>
      <c r="H3789" s="16">
        <f>I3789</f>
        <v>10</v>
      </c>
      <c r="I3789" s="16">
        <f>Analysis!F3659-Analysis!E3659</f>
        <v>10</v>
      </c>
    </row>
    <row r="3790" spans="2:14">
      <c r="B3790" t="s">
        <v>6535</v>
      </c>
      <c r="G3790" s="486">
        <f>G3789+H3789</f>
        <v>182.60600000000017</v>
      </c>
      <c r="H3790" s="16">
        <f>I3790</f>
        <v>17</v>
      </c>
      <c r="I3790" s="16">
        <f>Analysis!F3661-Analysis!E3661</f>
        <v>17</v>
      </c>
      <c r="L3790" s="16">
        <f>L3777-I3786-I3789-I3795</f>
        <v>-64.799999999999955</v>
      </c>
      <c r="M3790" s="16">
        <f>M3777-I3802-I3805</f>
        <v>-179.195776</v>
      </c>
    </row>
    <row r="3791" spans="2:14">
      <c r="B3791" t="s">
        <v>6536</v>
      </c>
      <c r="G3791" s="486">
        <f>G3790+H3790</f>
        <v>199.60600000000017</v>
      </c>
      <c r="H3791" s="16">
        <f>I3791</f>
        <v>4.8229999999999995</v>
      </c>
      <c r="I3791" s="16">
        <f>Analysis!F3660-Analysis!E3660</f>
        <v>4.8229999999999995</v>
      </c>
      <c r="L3791" s="16">
        <f>L3776-I3787-I3790</f>
        <v>8.2999999999999829</v>
      </c>
      <c r="M3791" s="16">
        <f>M3776-I3803-I3806</f>
        <v>-10.005342498680079</v>
      </c>
    </row>
    <row r="3792" spans="2:14">
      <c r="B3792" t="s">
        <v>6538</v>
      </c>
      <c r="G3792" s="486">
        <f>G3791+H3791-H3792</f>
        <v>202.10000000000019</v>
      </c>
      <c r="H3792" s="16">
        <f>-I3792</f>
        <v>2.3289999999999651</v>
      </c>
      <c r="I3792" s="16">
        <f>SUM(L3790:L3792)</f>
        <v>-2.3289999999999651</v>
      </c>
      <c r="L3792" s="16">
        <f>L3778-I3788-I3791</f>
        <v>54.171000000000006</v>
      </c>
      <c r="M3792" s="16">
        <f>M3778-I3804-I3807</f>
        <v>-6.9750060076301201</v>
      </c>
    </row>
    <row r="3793" spans="2:9">
      <c r="B3793" t="s">
        <v>6547</v>
      </c>
      <c r="G3793" s="486">
        <f>G3792</f>
        <v>202.10000000000019</v>
      </c>
      <c r="H3793" s="16">
        <f>I3793</f>
        <v>85</v>
      </c>
      <c r="I3793" s="16">
        <f>Analysis!D3680</f>
        <v>85</v>
      </c>
    </row>
    <row r="3794" spans="2:9">
      <c r="B3794" t="s">
        <v>67</v>
      </c>
      <c r="G3794" s="486">
        <f>G3793+H3793-H3794</f>
        <v>301.32000000000022</v>
      </c>
      <c r="H3794" s="16">
        <f>-I3794</f>
        <v>-14.220000000000027</v>
      </c>
      <c r="I3794" s="486">
        <f>Valuation!N26-Valuation!M26</f>
        <v>14.220000000000027</v>
      </c>
    </row>
    <row r="3795" spans="2:9">
      <c r="B3795" t="s">
        <v>6539</v>
      </c>
      <c r="G3795" s="486">
        <f>G3794</f>
        <v>301.32000000000022</v>
      </c>
      <c r="H3795" s="16">
        <f>I3795</f>
        <v>20</v>
      </c>
      <c r="I3795" s="16">
        <f>L3782</f>
        <v>20</v>
      </c>
    </row>
    <row r="3796" spans="2:9">
      <c r="B3796" t="s">
        <v>6537</v>
      </c>
      <c r="G3796" s="486">
        <f>G3795+H3795-H3796</f>
        <v>197</v>
      </c>
      <c r="H3796" s="486">
        <f>-I3796</f>
        <v>124.32000000000022</v>
      </c>
      <c r="I3796" s="486">
        <f>I3798-SUM(I3786:I3795)</f>
        <v>-124.32000000000022</v>
      </c>
    </row>
    <row r="3797" spans="2:9">
      <c r="B3797" s="12" t="s">
        <v>6532</v>
      </c>
      <c r="C3797" s="12"/>
      <c r="D3797" s="12"/>
      <c r="E3797" s="12"/>
      <c r="F3797" s="12"/>
      <c r="G3797" s="1166"/>
      <c r="H3797" s="1166">
        <f>Valuation!N32</f>
        <v>197</v>
      </c>
      <c r="I3797" s="1166"/>
    </row>
    <row r="3798" spans="2:9">
      <c r="B3798" t="s">
        <v>260</v>
      </c>
      <c r="I3798" s="486">
        <f>H3797-H3785</f>
        <v>9.2999999999998408</v>
      </c>
    </row>
    <row r="3801" spans="2:9">
      <c r="B3801" s="12" t="s">
        <v>6532</v>
      </c>
      <c r="C3801" s="12"/>
      <c r="D3801" s="12"/>
      <c r="E3801" s="12"/>
      <c r="F3801" s="12"/>
      <c r="G3801" s="1166"/>
      <c r="H3801" s="1166">
        <f>H3797</f>
        <v>197</v>
      </c>
      <c r="I3801" s="870"/>
    </row>
    <row r="3802" spans="2:9">
      <c r="B3802" t="s">
        <v>6541</v>
      </c>
      <c r="G3802" s="486">
        <f t="shared" ref="G3802:G3809" si="350">G3801+H3801</f>
        <v>197</v>
      </c>
      <c r="H3802" s="16">
        <f t="shared" ref="H3802:H3809" si="351">I3802</f>
        <v>2</v>
      </c>
      <c r="I3802" s="16">
        <f>Analysis!F3653-Analysis!G3653</f>
        <v>2</v>
      </c>
    </row>
    <row r="3803" spans="2:9">
      <c r="B3803" t="s">
        <v>6542</v>
      </c>
      <c r="G3803" s="486">
        <f t="shared" si="350"/>
        <v>199</v>
      </c>
      <c r="H3803" s="16">
        <f t="shared" si="351"/>
        <v>10</v>
      </c>
      <c r="I3803" s="16">
        <f>Analysis!F3655-Analysis!G3655</f>
        <v>10</v>
      </c>
    </row>
    <row r="3804" spans="2:9">
      <c r="B3804" t="s">
        <v>6543</v>
      </c>
      <c r="G3804" s="486">
        <f t="shared" si="350"/>
        <v>209</v>
      </c>
      <c r="H3804" s="16">
        <f t="shared" si="351"/>
        <v>6.5640000000000001</v>
      </c>
      <c r="I3804" s="16">
        <f>Analysis!F3654-Analysis!G3654</f>
        <v>6.5640000000000001</v>
      </c>
    </row>
    <row r="3805" spans="2:9">
      <c r="B3805" t="s">
        <v>6534</v>
      </c>
      <c r="G3805" s="486">
        <f t="shared" si="350"/>
        <v>215.56399999999999</v>
      </c>
      <c r="H3805" s="16">
        <f t="shared" si="351"/>
        <v>30</v>
      </c>
      <c r="I3805" s="16">
        <f>Analysis!G3659-Analysis!F3659</f>
        <v>30</v>
      </c>
    </row>
    <row r="3806" spans="2:9">
      <c r="B3806" t="s">
        <v>6535</v>
      </c>
      <c r="G3806" s="486">
        <f t="shared" si="350"/>
        <v>245.56399999999999</v>
      </c>
      <c r="H3806" s="16">
        <f t="shared" si="351"/>
        <v>33</v>
      </c>
      <c r="I3806" s="16">
        <f>Analysis!G3661-Analysis!F3661</f>
        <v>33</v>
      </c>
    </row>
    <row r="3807" spans="2:9">
      <c r="B3807" t="s">
        <v>6536</v>
      </c>
      <c r="G3807" s="486">
        <f t="shared" si="350"/>
        <v>278.56399999999996</v>
      </c>
      <c r="H3807" s="16">
        <f t="shared" si="351"/>
        <v>4.9230000000000009</v>
      </c>
      <c r="I3807" s="16">
        <f>Analysis!G3660-Analysis!F3660</f>
        <v>4.9230000000000009</v>
      </c>
    </row>
    <row r="3808" spans="2:9">
      <c r="B3808" t="s">
        <v>6538</v>
      </c>
      <c r="G3808" s="486">
        <f t="shared" si="350"/>
        <v>283.48699999999997</v>
      </c>
      <c r="H3808" s="16">
        <f t="shared" si="351"/>
        <v>-196.1761245063102</v>
      </c>
      <c r="I3808" s="16">
        <f>SUM(M3790:M3792)</f>
        <v>-196.1761245063102</v>
      </c>
    </row>
    <row r="3809" spans="2:17">
      <c r="B3809" t="s">
        <v>6546</v>
      </c>
      <c r="G3809" s="486">
        <f t="shared" si="350"/>
        <v>87.310875493689764</v>
      </c>
      <c r="H3809" s="16">
        <f t="shared" ca="1" si="351"/>
        <v>-17.653909558547298</v>
      </c>
      <c r="I3809" s="16">
        <f ca="1">Valuation!O25-Valuation!N25</f>
        <v>-17.653909558547298</v>
      </c>
    </row>
    <row r="3810" spans="2:17">
      <c r="B3810" t="s">
        <v>67</v>
      </c>
      <c r="G3810" s="486">
        <f ca="1">G3809+H3809-H3810</f>
        <v>95.787142113398232</v>
      </c>
      <c r="H3810" s="16">
        <f ca="1">-I3810</f>
        <v>-26.130176178255766</v>
      </c>
      <c r="I3810" s="486">
        <f ca="1">Valuation!O26-Valuation!N26</f>
        <v>26.130176178255766</v>
      </c>
    </row>
    <row r="3811" spans="2:17">
      <c r="B3811" t="s">
        <v>6537</v>
      </c>
      <c r="G3811" s="486">
        <f ca="1">G3810</f>
        <v>95.787142113398232</v>
      </c>
      <c r="H3811" s="486">
        <f ca="1">I3811</f>
        <v>-79.322454460563279</v>
      </c>
      <c r="I3811" s="486">
        <f ca="1">I3813-SUM(I3802:I3810)</f>
        <v>-79.322454460563279</v>
      </c>
    </row>
    <row r="3812" spans="2:17">
      <c r="B3812" s="12" t="s">
        <v>6540</v>
      </c>
      <c r="C3812" s="12"/>
      <c r="D3812" s="12"/>
      <c r="E3812" s="12"/>
      <c r="F3812" s="12"/>
      <c r="G3812" s="1166"/>
      <c r="H3812" s="1166">
        <f ca="1">Valuation!O32</f>
        <v>16.464687652834982</v>
      </c>
      <c r="I3812" s="1166"/>
    </row>
    <row r="3813" spans="2:17">
      <c r="B3813" t="s">
        <v>260</v>
      </c>
      <c r="I3813" s="486">
        <f ca="1">H3812-H3801</f>
        <v>-180.53531234716502</v>
      </c>
    </row>
    <row r="3816" spans="2:17">
      <c r="B3816" s="12" t="s">
        <v>6544</v>
      </c>
    </row>
    <row r="3817" spans="2:17">
      <c r="B3817" s="1386">
        <v>44866</v>
      </c>
      <c r="C3817" s="870" t="s">
        <v>1422</v>
      </c>
      <c r="D3817" s="870" t="s">
        <v>1422</v>
      </c>
      <c r="E3817" s="870" t="s">
        <v>1422</v>
      </c>
      <c r="F3817" s="870" t="s">
        <v>1422</v>
      </c>
      <c r="H3817" s="870" t="s">
        <v>1422</v>
      </c>
      <c r="I3817" s="870" t="s">
        <v>1422</v>
      </c>
      <c r="J3817" s="870" t="s">
        <v>1422</v>
      </c>
      <c r="K3817" s="870" t="s">
        <v>1422</v>
      </c>
      <c r="M3817" s="870" t="s">
        <v>1422</v>
      </c>
      <c r="N3817" s="870" t="s">
        <v>1422</v>
      </c>
      <c r="O3817" s="870" t="s">
        <v>1422</v>
      </c>
      <c r="P3817" s="870" t="s">
        <v>1422</v>
      </c>
    </row>
    <row r="3818" spans="2:17">
      <c r="B3818" s="552" t="s">
        <v>5962</v>
      </c>
      <c r="C3818" s="552">
        <v>2022</v>
      </c>
      <c r="D3818" s="552">
        <f>C3818+1</f>
        <v>2023</v>
      </c>
      <c r="E3818" s="552">
        <f>D3818+1</f>
        <v>2024</v>
      </c>
      <c r="F3818" s="552">
        <f>E3818+1</f>
        <v>2025</v>
      </c>
      <c r="H3818" s="552">
        <v>2022</v>
      </c>
      <c r="I3818" s="552">
        <f>H3818+1</f>
        <v>2023</v>
      </c>
      <c r="J3818" s="552">
        <f>I3818+1</f>
        <v>2024</v>
      </c>
      <c r="K3818" s="552">
        <f>J3818+1</f>
        <v>2025</v>
      </c>
      <c r="M3818" s="552">
        <v>2022</v>
      </c>
      <c r="N3818" s="552">
        <f>M3818+1</f>
        <v>2023</v>
      </c>
      <c r="O3818" s="552">
        <f>N3818+1</f>
        <v>2024</v>
      </c>
      <c r="P3818" s="552">
        <f>O3818+1</f>
        <v>2025</v>
      </c>
    </row>
    <row r="3819" spans="2:17">
      <c r="B3819" t="s">
        <v>29</v>
      </c>
      <c r="C3819" s="486">
        <f>Master!N58</f>
        <v>2589</v>
      </c>
      <c r="D3819" s="486">
        <f>Master!O58</f>
        <v>2700.7</v>
      </c>
      <c r="E3819" s="486">
        <f>Master!P58</f>
        <v>2757.7449577034972</v>
      </c>
      <c r="F3819" s="486">
        <f>Master!Q58</f>
        <v>2824.216675131273</v>
      </c>
      <c r="H3819" s="486">
        <v>2511.7878712090696</v>
      </c>
      <c r="I3819" s="486">
        <v>2662.3225788455038</v>
      </c>
      <c r="J3819" s="486">
        <v>2716.790748785264</v>
      </c>
      <c r="K3819" s="486">
        <v>2777.3786815816093</v>
      </c>
      <c r="M3819" s="5">
        <f t="shared" ref="M3819:O3821" si="352">C3819/H3819-1</f>
        <v>3.0739908284437956E-2</v>
      </c>
      <c r="N3819" s="5">
        <f t="shared" si="352"/>
        <v>1.4415015467861947E-2</v>
      </c>
      <c r="O3819" s="5">
        <f t="shared" si="352"/>
        <v>1.5074480409116742E-2</v>
      </c>
      <c r="P3819" s="5">
        <f t="shared" ref="P3819:P3823" si="353">F3819/K3819-1</f>
        <v>1.6864100621306388E-2</v>
      </c>
      <c r="Q3819" s="5"/>
    </row>
    <row r="3820" spans="2:17">
      <c r="B3820" t="s">
        <v>469</v>
      </c>
      <c r="C3820" s="486">
        <f>Master!N48</f>
        <v>1470.1</v>
      </c>
      <c r="D3820" s="486">
        <f>Master!O48</f>
        <v>1417</v>
      </c>
      <c r="E3820" s="486">
        <f>Master!P48</f>
        <v>1278.8028000000002</v>
      </c>
      <c r="F3820" s="486">
        <f>Master!Q48</f>
        <v>1327.3412871200001</v>
      </c>
      <c r="H3820" s="486">
        <v>1485.2944452182746</v>
      </c>
      <c r="I3820" s="486">
        <v>1520.8183924344726</v>
      </c>
      <c r="J3820" s="486">
        <v>1548.3318090291123</v>
      </c>
      <c r="K3820" s="486">
        <v>1574.7042046422589</v>
      </c>
      <c r="M3820" s="5">
        <f t="shared" si="352"/>
        <v>-1.0229921257156382E-2</v>
      </c>
      <c r="N3820" s="5">
        <f t="shared" si="352"/>
        <v>-6.826481909406934E-2</v>
      </c>
      <c r="O3820" s="5">
        <f t="shared" si="352"/>
        <v>-0.17407703404228414</v>
      </c>
      <c r="P3820" s="5">
        <f t="shared" si="353"/>
        <v>-0.15708532230562933</v>
      </c>
      <c r="Q3820" s="5"/>
    </row>
    <row r="3821" spans="2:17">
      <c r="B3821" t="s">
        <v>3411</v>
      </c>
      <c r="C3821" s="486">
        <f>Master!N49</f>
        <v>441.30000000000007</v>
      </c>
      <c r="D3821" s="486">
        <f>Master!O49</f>
        <v>547.9</v>
      </c>
      <c r="E3821" s="486">
        <f>Master!P49</f>
        <v>587.03287333112166</v>
      </c>
      <c r="F3821" s="486">
        <f>Master!Q49</f>
        <v>597.57661798413017</v>
      </c>
      <c r="H3821" s="486">
        <v>424.01169453078626</v>
      </c>
      <c r="I3821" s="486">
        <v>441.2775226015408</v>
      </c>
      <c r="J3821" s="486">
        <v>452.22051773062105</v>
      </c>
      <c r="K3821" s="486">
        <v>464.10927565613878</v>
      </c>
      <c r="M3821" s="5">
        <f t="shared" si="352"/>
        <v>4.0773180768858719E-2</v>
      </c>
      <c r="N3821" s="5">
        <f t="shared" si="352"/>
        <v>0.24162227155797322</v>
      </c>
      <c r="O3821" s="5">
        <f t="shared" si="352"/>
        <v>0.29811198367785186</v>
      </c>
      <c r="P3821" s="5">
        <f t="shared" si="353"/>
        <v>0.2875774075820845</v>
      </c>
      <c r="Q3821" s="5"/>
    </row>
    <row r="3822" spans="2:17">
      <c r="B3822" s="3" t="s">
        <v>4</v>
      </c>
      <c r="C3822" s="487">
        <f>C3823-C3819-C3820-C3821</f>
        <v>-136.00000000000034</v>
      </c>
      <c r="D3822" s="487">
        <f>D3823-D3819-D3820-D3821</f>
        <v>-154.49999999999943</v>
      </c>
      <c r="E3822" s="487">
        <f>E3823-E3819-E3820-E3821</f>
        <v>-154.49999999999932</v>
      </c>
      <c r="F3822" s="487">
        <f>F3823-F3819-F3820-F3821</f>
        <v>-154.49999999999875</v>
      </c>
      <c r="H3822" s="487">
        <f>H3823-H3819-H3820-H3821</f>
        <v>-56.999999999999886</v>
      </c>
      <c r="I3822" s="487">
        <f t="shared" ref="I3822" si="354">I3823-I3819-I3820-I3821</f>
        <v>-57.000000000000227</v>
      </c>
      <c r="J3822" s="487">
        <f t="shared" ref="J3822" si="355">J3823-J3819-J3820-J3821</f>
        <v>-56.999999999999204</v>
      </c>
      <c r="K3822" s="487">
        <f t="shared" ref="K3822" si="356">K3823-K3819-K3820-K3821</f>
        <v>-57.000000000000853</v>
      </c>
      <c r="M3822" s="512"/>
      <c r="N3822" s="512"/>
      <c r="O3822" s="512"/>
      <c r="P3822" s="512"/>
      <c r="Q3822" s="5"/>
    </row>
    <row r="3823" spans="2:17">
      <c r="B3823" t="s">
        <v>90</v>
      </c>
      <c r="C3823" s="486">
        <f>Master!N52-Master!N47</f>
        <v>4364.3999999999996</v>
      </c>
      <c r="D3823" s="486">
        <f>Master!O52-Master!O47</f>
        <v>4511.1000000000004</v>
      </c>
      <c r="E3823" s="486">
        <f>Master!P52-Master!P47</f>
        <v>4469.0806310346197</v>
      </c>
      <c r="F3823" s="486">
        <f>Master!Q52-Master!Q47</f>
        <v>4594.6345802354044</v>
      </c>
      <c r="H3823" s="486">
        <v>4364.0940109581306</v>
      </c>
      <c r="I3823" s="486">
        <v>4567.418493881517</v>
      </c>
      <c r="J3823" s="486">
        <v>4660.3430755449981</v>
      </c>
      <c r="K3823" s="486">
        <v>4759.1921618800061</v>
      </c>
      <c r="M3823" s="5">
        <f>C3823/H3823-1</f>
        <v>7.0115135260673256E-5</v>
      </c>
      <c r="N3823" s="5">
        <f>D3823/I3823-1</f>
        <v>-1.2330486894721937E-2</v>
      </c>
      <c r="O3823" s="5">
        <f>E3823/J3823-1</f>
        <v>-4.1040421576261643E-2</v>
      </c>
      <c r="P3823" s="5">
        <f t="shared" si="353"/>
        <v>-3.4576788674907655E-2</v>
      </c>
      <c r="Q3823" s="5"/>
    </row>
    <row r="3825" spans="2:16">
      <c r="B3825" s="552" t="s">
        <v>8</v>
      </c>
      <c r="C3825" s="552">
        <v>2022</v>
      </c>
      <c r="D3825" s="552">
        <f>C3825+1</f>
        <v>2023</v>
      </c>
      <c r="E3825" s="552">
        <f>D3825+1</f>
        <v>2024</v>
      </c>
      <c r="F3825" s="552">
        <f>E3825+1</f>
        <v>2025</v>
      </c>
      <c r="H3825" s="552">
        <v>2022</v>
      </c>
      <c r="I3825" s="552">
        <f>H3825+1</f>
        <v>2023</v>
      </c>
      <c r="J3825" s="552">
        <f>I3825+1</f>
        <v>2024</v>
      </c>
      <c r="K3825" s="552">
        <f>J3825+1</f>
        <v>2025</v>
      </c>
    </row>
    <row r="3826" spans="2:16">
      <c r="B3826" t="s">
        <v>29</v>
      </c>
      <c r="C3826" s="486">
        <f>SUM(Master!N63:N69)</f>
        <v>1002.2992214999999</v>
      </c>
      <c r="D3826" s="486">
        <f>SUM(Master!O63:O69)</f>
        <v>1086.2</v>
      </c>
      <c r="E3826" s="486">
        <f>SUM(Master!P63:P69)</f>
        <v>1121.9841984141069</v>
      </c>
      <c r="F3826" s="486">
        <f>SUM(Master!Q63:Q69)</f>
        <v>1184.2504847729369</v>
      </c>
      <c r="H3826" s="486">
        <v>989.3552689503822</v>
      </c>
      <c r="I3826" s="486">
        <v>1032.2143712678117</v>
      </c>
      <c r="J3826" s="486">
        <v>1064.1863973138154</v>
      </c>
      <c r="K3826" s="486">
        <v>1102.2946793846459</v>
      </c>
      <c r="M3826" s="5">
        <f t="shared" ref="M3826:O3828" si="357">C3826/H3826-1</f>
        <v>1.3083219906788512E-2</v>
      </c>
      <c r="N3826" s="5">
        <f t="shared" si="357"/>
        <v>5.2300791613549169E-2</v>
      </c>
      <c r="O3826" s="5">
        <f t="shared" si="357"/>
        <v>5.4311727011529864E-2</v>
      </c>
      <c r="P3826" s="5">
        <f t="shared" ref="P3826:P3830" si="358">F3826/K3826-1</f>
        <v>7.4350177789157756E-2</v>
      </c>
    </row>
    <row r="3827" spans="2:16">
      <c r="B3827" t="s">
        <v>469</v>
      </c>
      <c r="C3827" s="16">
        <f>Master!N71</f>
        <v>544.79999999999995</v>
      </c>
      <c r="D3827" s="16">
        <f>Master!O71</f>
        <v>485.5</v>
      </c>
      <c r="E3827" s="16">
        <f>Master!P71</f>
        <v>323.91267200000004</v>
      </c>
      <c r="F3827" s="16">
        <f>Master!Q71</f>
        <v>481.47579900720001</v>
      </c>
      <c r="H3827" s="16">
        <v>575.89369531132002</v>
      </c>
      <c r="I3827" s="16">
        <v>611.68164063764368</v>
      </c>
      <c r="J3827" s="16">
        <v>692.4326531705974</v>
      </c>
      <c r="K3827" s="16">
        <v>713.5118767691954</v>
      </c>
      <c r="M3827" s="5">
        <f t="shared" si="357"/>
        <v>-5.3992074517348665E-2</v>
      </c>
      <c r="N3827" s="5">
        <f t="shared" si="357"/>
        <v>-0.20628646056158628</v>
      </c>
      <c r="O3827" s="5">
        <f t="shared" si="357"/>
        <v>-0.53221057597900945</v>
      </c>
      <c r="P3827" s="5">
        <f t="shared" si="358"/>
        <v>-0.32520282467148576</v>
      </c>
    </row>
    <row r="3828" spans="2:16">
      <c r="B3828" t="s">
        <v>3411</v>
      </c>
      <c r="C3828" s="16">
        <f>Master!N72</f>
        <v>134.69999999999999</v>
      </c>
      <c r="D3828" s="16">
        <f>Master!O72</f>
        <v>203.1</v>
      </c>
      <c r="E3828" s="16">
        <f>Master!P72</f>
        <v>217.20216313251501</v>
      </c>
      <c r="F3828" s="16">
        <f>Master!Q72</f>
        <v>221.10334865412818</v>
      </c>
      <c r="H3828" s="16">
        <v>136.91537521505248</v>
      </c>
      <c r="I3828" s="16">
        <v>143.00170226024028</v>
      </c>
      <c r="J3828" s="16">
        <v>146.67604518716632</v>
      </c>
      <c r="K3828" s="16">
        <v>156.4027849576749</v>
      </c>
      <c r="M3828" s="5">
        <f t="shared" si="357"/>
        <v>-1.6180616761067301E-2</v>
      </c>
      <c r="N3828" s="5">
        <f t="shared" si="357"/>
        <v>0.42026281358798379</v>
      </c>
      <c r="O3828" s="5">
        <f t="shared" si="357"/>
        <v>0.48082914872264015</v>
      </c>
      <c r="P3828" s="5">
        <f t="shared" si="358"/>
        <v>0.41367910241471906</v>
      </c>
    </row>
    <row r="3829" spans="2:16">
      <c r="B3829" s="3" t="s">
        <v>4</v>
      </c>
      <c r="C3829" s="487">
        <f>C3830-C3826-C3827-C3828</f>
        <v>-79.399221499999783</v>
      </c>
      <c r="D3829" s="487">
        <f>D3830-D3826-D3827-D3828</f>
        <v>-73.200000000000131</v>
      </c>
      <c r="E3829" s="487">
        <f>E3830-E3826-E3827-E3828</f>
        <v>-83.999999999999773</v>
      </c>
      <c r="F3829" s="487">
        <f>F3830-F3826-F3827-F3828</f>
        <v>-83.999999999999886</v>
      </c>
      <c r="H3829" s="487">
        <f t="shared" ref="H3829" si="359">H3830-H3826-H3827-H3828</f>
        <v>-56.999999999999915</v>
      </c>
      <c r="I3829" s="487">
        <f t="shared" ref="I3829" si="360">I3830-I3826-I3827-I3828</f>
        <v>-56.999999999999829</v>
      </c>
      <c r="J3829" s="487">
        <f t="shared" ref="J3829" si="361">J3830-J3826-J3827-J3828</f>
        <v>-56.999999999999886</v>
      </c>
      <c r="K3829" s="487">
        <f t="shared" ref="K3829" si="362">K3830-K3826-K3827-K3828</f>
        <v>-57.000000000000057</v>
      </c>
      <c r="M3829" s="512"/>
      <c r="N3829" s="512"/>
      <c r="O3829" s="512"/>
      <c r="P3829" s="512"/>
    </row>
    <row r="3830" spans="2:16">
      <c r="B3830" t="s">
        <v>90</v>
      </c>
      <c r="C3830" s="16">
        <f>Master!N74-Master!N70</f>
        <v>1602.4</v>
      </c>
      <c r="D3830" s="16">
        <f>Master!O74-Master!O70</f>
        <v>1701.6</v>
      </c>
      <c r="E3830" s="16">
        <f>Master!P74-Master!P70</f>
        <v>1579.0990335466222</v>
      </c>
      <c r="F3830" s="16">
        <f>Master!Q74-Master!Q70</f>
        <v>1802.8296324342652</v>
      </c>
      <c r="H3830" s="16">
        <v>1645.1643394767548</v>
      </c>
      <c r="I3830" s="16">
        <v>1729.8977141656958</v>
      </c>
      <c r="J3830" s="16">
        <v>1846.2950956715792</v>
      </c>
      <c r="K3830" s="16">
        <v>1915.2093411115161</v>
      </c>
      <c r="M3830" s="5">
        <f>C3830/H3830-1</f>
        <v>-2.5993962092781486E-2</v>
      </c>
      <c r="N3830" s="5">
        <f>D3830/I3830-1</f>
        <v>-1.6358027375822926E-2</v>
      </c>
      <c r="O3830" s="5">
        <f>E3830/J3830-1</f>
        <v>-0.14472012775821519</v>
      </c>
      <c r="P3830" s="5">
        <f t="shared" si="358"/>
        <v>-5.8677506560212311E-2</v>
      </c>
    </row>
    <row r="3832" spans="2:16">
      <c r="B3832" s="552" t="s">
        <v>19</v>
      </c>
      <c r="C3832" s="552">
        <v>2022</v>
      </c>
      <c r="D3832" s="552">
        <f>C3832+1</f>
        <v>2023</v>
      </c>
      <c r="E3832" s="552">
        <f>D3832+1</f>
        <v>2024</v>
      </c>
      <c r="F3832" s="552">
        <f>E3832+1</f>
        <v>2025</v>
      </c>
      <c r="H3832" s="552">
        <v>2022</v>
      </c>
      <c r="I3832" s="552">
        <f>H3832+1</f>
        <v>2023</v>
      </c>
      <c r="J3832" s="552">
        <f>I3832+1</f>
        <v>2024</v>
      </c>
      <c r="K3832" s="552">
        <f>J3832+1</f>
        <v>2025</v>
      </c>
    </row>
    <row r="3833" spans="2:16">
      <c r="B3833" t="s">
        <v>29</v>
      </c>
      <c r="C3833" s="16">
        <f>SUM(Master!N110:N116)</f>
        <v>359.69065800000004</v>
      </c>
      <c r="D3833" s="16">
        <f>SUM(Master!O110:O116)</f>
        <v>399.6</v>
      </c>
      <c r="E3833" s="16">
        <f>SUM(Master!P110:P116)</f>
        <v>400.34709410878224</v>
      </c>
      <c r="F3833" s="16">
        <f>SUM(Master!Q110:Q116)</f>
        <v>400.42058782805361</v>
      </c>
      <c r="H3833" s="16">
        <v>404.20494782694084</v>
      </c>
      <c r="I3833" s="16">
        <v>410.73281919170597</v>
      </c>
      <c r="J3833" s="16">
        <v>412.20222027031025</v>
      </c>
      <c r="K3833" s="16">
        <v>416.34825130863709</v>
      </c>
      <c r="M3833" s="5">
        <f t="shared" ref="M3833:O3835" si="363">C3833/H3833-1</f>
        <v>-0.11012801814093442</v>
      </c>
      <c r="N3833" s="5">
        <f t="shared" si="363"/>
        <v>-2.7104771451218812E-2</v>
      </c>
      <c r="O3833" s="5">
        <f t="shared" si="363"/>
        <v>-2.8760461682505678E-2</v>
      </c>
      <c r="P3833" s="5">
        <f t="shared" ref="P3833:P3837" si="364">F3833/K3833-1</f>
        <v>-3.8255627183543472E-2</v>
      </c>
    </row>
    <row r="3834" spans="2:16">
      <c r="B3834" t="s">
        <v>469</v>
      </c>
      <c r="C3834" s="16">
        <f>Master!N118</f>
        <v>233.5</v>
      </c>
      <c r="D3834" s="16">
        <f>Master!O118</f>
        <v>219</v>
      </c>
      <c r="E3834" s="16">
        <f>Master!P118</f>
        <v>204.60844800000004</v>
      </c>
      <c r="F3834" s="16">
        <f>Master!Q118</f>
        <v>212.37460593920002</v>
      </c>
      <c r="H3834" s="16">
        <v>237.64711123492395</v>
      </c>
      <c r="I3834" s="16">
        <v>238.62013913304037</v>
      </c>
      <c r="J3834" s="16">
        <v>232.86975726615736</v>
      </c>
      <c r="K3834" s="16">
        <v>236.8768093137696</v>
      </c>
      <c r="M3834" s="5">
        <f t="shared" si="363"/>
        <v>-1.7450711743869474E-2</v>
      </c>
      <c r="N3834" s="5">
        <f t="shared" si="363"/>
        <v>-8.2223316122120527E-2</v>
      </c>
      <c r="O3834" s="5">
        <f t="shared" si="363"/>
        <v>-0.1213610113994158</v>
      </c>
      <c r="P3834" s="5">
        <f t="shared" si="364"/>
        <v>-0.10343859090956298</v>
      </c>
    </row>
    <row r="3835" spans="2:16">
      <c r="B3835" t="s">
        <v>3411</v>
      </c>
      <c r="C3835" s="16">
        <f>Master!N119</f>
        <v>65.7</v>
      </c>
      <c r="D3835" s="16">
        <f>Master!O119</f>
        <v>75.2</v>
      </c>
      <c r="E3835" s="16">
        <f>Master!P119</f>
        <v>84.790169140145139</v>
      </c>
      <c r="F3835" s="16">
        <f>Master!Q119</f>
        <v>83.66072651777823</v>
      </c>
      <c r="H3835" s="16">
        <v>61.732946300124496</v>
      </c>
      <c r="I3835" s="16">
        <v>64.644252150024244</v>
      </c>
      <c r="J3835" s="16">
        <v>66.346980496230486</v>
      </c>
      <c r="K3835" s="16">
        <v>66.432178368112545</v>
      </c>
      <c r="M3835" s="5">
        <f t="shared" si="363"/>
        <v>6.4261531931248728E-2</v>
      </c>
      <c r="N3835" s="5">
        <f t="shared" si="363"/>
        <v>0.16328981307538881</v>
      </c>
      <c r="O3835" s="5">
        <f t="shared" si="363"/>
        <v>0.27798082905916877</v>
      </c>
      <c r="P3835" s="5">
        <f t="shared" si="364"/>
        <v>0.25934040660535351</v>
      </c>
    </row>
    <row r="3836" spans="2:16">
      <c r="B3836" t="s">
        <v>4</v>
      </c>
      <c r="C3836" s="64">
        <f>C3837-C3833-C3834-C3835</f>
        <v>41.809341999999887</v>
      </c>
      <c r="D3836" s="64">
        <f>D3837-D3833-D3834-D3835</f>
        <v>37.099999999999952</v>
      </c>
      <c r="E3836" s="64">
        <f>E3837-E3833-E3834-E3835</f>
        <v>25.000000000000057</v>
      </c>
      <c r="F3836" s="64">
        <f>F3837-F3833-F3834-F3835</f>
        <v>25.000000000000014</v>
      </c>
      <c r="H3836" s="64">
        <f>H3837-H3833-H3834-H3835</f>
        <v>35.499999999999972</v>
      </c>
      <c r="I3836" s="64">
        <f t="shared" ref="I3836" si="365">I3837-I3833-I3834-I3835</f>
        <v>35.499999999999972</v>
      </c>
      <c r="J3836" s="64">
        <f t="shared" ref="J3836" si="366">J3837-J3833-J3834-J3835</f>
        <v>35.499999999999915</v>
      </c>
      <c r="K3836" s="64">
        <f t="shared" ref="K3836" si="367">K3837-K3833-K3834-K3835</f>
        <v>35.499999999999972</v>
      </c>
      <c r="M3836" s="512"/>
      <c r="N3836" s="512"/>
      <c r="O3836" s="512"/>
      <c r="P3836" s="512"/>
    </row>
    <row r="3837" spans="2:16">
      <c r="B3837" t="s">
        <v>90</v>
      </c>
      <c r="C3837" s="16">
        <f>Master!N121-Master!N117</f>
        <v>700.69999999999993</v>
      </c>
      <c r="D3837" s="16">
        <f>Master!O121-Master!O117</f>
        <v>730.9</v>
      </c>
      <c r="E3837" s="16">
        <f>Master!P121-Master!P117</f>
        <v>714.74571124892748</v>
      </c>
      <c r="F3837" s="16">
        <f>Master!Q121-Master!Q117</f>
        <v>721.45592028503188</v>
      </c>
      <c r="H3837" s="16">
        <v>739.08500536198926</v>
      </c>
      <c r="I3837" s="16">
        <v>749.49721047477055</v>
      </c>
      <c r="J3837" s="16">
        <v>746.91895803269801</v>
      </c>
      <c r="K3837" s="16">
        <v>755.1572389905192</v>
      </c>
      <c r="M3837" s="5">
        <f>C3837/H3837-1</f>
        <v>-5.1935846463545987E-2</v>
      </c>
      <c r="N3837" s="5">
        <f>D3837/I3837-1</f>
        <v>-2.4812914864606572E-2</v>
      </c>
      <c r="O3837" s="5">
        <f>E3837/J3837-1</f>
        <v>-4.3074615308347886E-2</v>
      </c>
      <c r="P3837" s="5">
        <f t="shared" si="364"/>
        <v>-4.4628213788347804E-2</v>
      </c>
    </row>
    <row r="3839" spans="2:16">
      <c r="B3839" s="552" t="s">
        <v>27</v>
      </c>
      <c r="C3839" s="552">
        <v>2022</v>
      </c>
      <c r="D3839" s="552">
        <f>C3839+1</f>
        <v>2023</v>
      </c>
      <c r="E3839" s="552">
        <f>D3839+1</f>
        <v>2024</v>
      </c>
      <c r="F3839" s="552">
        <f>E3839+1</f>
        <v>2025</v>
      </c>
      <c r="H3839" s="552">
        <v>2022</v>
      </c>
      <c r="I3839" s="552">
        <f>H3839+1</f>
        <v>2023</v>
      </c>
      <c r="J3839" s="552">
        <f>I3839+1</f>
        <v>2024</v>
      </c>
      <c r="K3839" s="552">
        <f>J3839+1</f>
        <v>2025</v>
      </c>
    </row>
    <row r="3840" spans="2:16">
      <c r="B3840" t="s">
        <v>29</v>
      </c>
      <c r="C3840" s="486">
        <f t="shared" ref="C3840:F3844" si="368">C3826-C3833</f>
        <v>642.60856349999995</v>
      </c>
      <c r="D3840" s="486">
        <f t="shared" si="368"/>
        <v>686.6</v>
      </c>
      <c r="E3840" s="486">
        <f t="shared" si="368"/>
        <v>721.63710430532467</v>
      </c>
      <c r="F3840" s="486">
        <f t="shared" si="368"/>
        <v>783.82989694488333</v>
      </c>
      <c r="H3840" s="486">
        <f>H3826-H3833</f>
        <v>585.15032112344136</v>
      </c>
      <c r="I3840" s="486">
        <f t="shared" ref="I3840:K3840" si="369">I3826-I3833</f>
        <v>621.48155207610569</v>
      </c>
      <c r="J3840" s="486">
        <f t="shared" si="369"/>
        <v>651.98417704350516</v>
      </c>
      <c r="K3840" s="486">
        <f t="shared" si="369"/>
        <v>685.94642807600871</v>
      </c>
      <c r="M3840" s="5">
        <f t="shared" ref="M3840:O3842" si="370">C3840/H3840-1</f>
        <v>9.8193985891084301E-2</v>
      </c>
      <c r="N3840" s="5">
        <f t="shared" si="370"/>
        <v>0.10477937391119863</v>
      </c>
      <c r="O3840" s="5">
        <f t="shared" si="370"/>
        <v>0.10683223568042477</v>
      </c>
      <c r="P3840" s="5">
        <f t="shared" ref="P3840:P3844" si="371">F3840/K3840-1</f>
        <v>0.14269841617723</v>
      </c>
    </row>
    <row r="3841" spans="2:16">
      <c r="B3841" t="s">
        <v>469</v>
      </c>
      <c r="C3841" s="486">
        <f t="shared" si="368"/>
        <v>311.29999999999995</v>
      </c>
      <c r="D3841" s="486">
        <f t="shared" si="368"/>
        <v>266.5</v>
      </c>
      <c r="E3841" s="486">
        <f t="shared" si="368"/>
        <v>119.304224</v>
      </c>
      <c r="F3841" s="486">
        <f t="shared" si="368"/>
        <v>269.10119306799999</v>
      </c>
      <c r="H3841" s="486">
        <f t="shared" ref="H3841:K3841" si="372">H3827-H3834</f>
        <v>338.24658407639606</v>
      </c>
      <c r="I3841" s="486">
        <f t="shared" si="372"/>
        <v>373.06150150460331</v>
      </c>
      <c r="J3841" s="486">
        <f t="shared" si="372"/>
        <v>459.56289590444004</v>
      </c>
      <c r="K3841" s="486">
        <f t="shared" si="372"/>
        <v>476.63506745542577</v>
      </c>
      <c r="M3841" s="5">
        <f t="shared" si="370"/>
        <v>-7.9665502461689242E-2</v>
      </c>
      <c r="N3841" s="5">
        <f t="shared" si="370"/>
        <v>-0.28564057420781175</v>
      </c>
      <c r="O3841" s="5">
        <f t="shared" si="370"/>
        <v>-0.74039630905100806</v>
      </c>
      <c r="P3841" s="5">
        <f t="shared" si="371"/>
        <v>-0.43541461499123557</v>
      </c>
    </row>
    <row r="3842" spans="2:16">
      <c r="B3842" t="s">
        <v>3411</v>
      </c>
      <c r="C3842" s="486">
        <f t="shared" si="368"/>
        <v>68.999999999999986</v>
      </c>
      <c r="D3842" s="486">
        <f t="shared" si="368"/>
        <v>127.89999999999999</v>
      </c>
      <c r="E3842" s="486">
        <f t="shared" si="368"/>
        <v>132.41199399236987</v>
      </c>
      <c r="F3842" s="486">
        <f t="shared" si="368"/>
        <v>137.44262213634994</v>
      </c>
      <c r="H3842" s="486">
        <f t="shared" ref="H3842:K3842" si="373">H3828-H3835</f>
        <v>75.182428914927982</v>
      </c>
      <c r="I3842" s="486">
        <f t="shared" si="373"/>
        <v>78.357450110216035</v>
      </c>
      <c r="J3842" s="486">
        <f t="shared" si="373"/>
        <v>80.329064690935837</v>
      </c>
      <c r="K3842" s="486">
        <f t="shared" si="373"/>
        <v>89.970606589562351</v>
      </c>
      <c r="M3842" s="5">
        <f t="shared" si="370"/>
        <v>-8.2232364718140105E-2</v>
      </c>
      <c r="N3842" s="5">
        <f t="shared" si="370"/>
        <v>0.63226342638891886</v>
      </c>
      <c r="O3842" s="5">
        <f t="shared" si="370"/>
        <v>0.64836967169755888</v>
      </c>
      <c r="P3842" s="5">
        <f t="shared" si="371"/>
        <v>0.5276391629029531</v>
      </c>
    </row>
    <row r="3843" spans="2:16">
      <c r="B3843" s="3" t="s">
        <v>4</v>
      </c>
      <c r="C3843" s="487">
        <f t="shared" si="368"/>
        <v>-121.20856349999967</v>
      </c>
      <c r="D3843" s="487">
        <f t="shared" si="368"/>
        <v>-110.30000000000008</v>
      </c>
      <c r="E3843" s="487">
        <f t="shared" si="368"/>
        <v>-108.99999999999983</v>
      </c>
      <c r="F3843" s="487">
        <f t="shared" si="368"/>
        <v>-108.9999999999999</v>
      </c>
      <c r="H3843" s="487">
        <f t="shared" ref="H3843:K3843" si="374">H3829-H3836</f>
        <v>-92.499999999999886</v>
      </c>
      <c r="I3843" s="487">
        <f t="shared" si="374"/>
        <v>-92.499999999999801</v>
      </c>
      <c r="J3843" s="487">
        <f t="shared" si="374"/>
        <v>-92.499999999999801</v>
      </c>
      <c r="K3843" s="487">
        <f t="shared" si="374"/>
        <v>-92.500000000000028</v>
      </c>
      <c r="M3843" s="512"/>
      <c r="N3843" s="512"/>
      <c r="O3843" s="512"/>
      <c r="P3843" s="512"/>
    </row>
    <row r="3844" spans="2:16">
      <c r="B3844" t="s">
        <v>90</v>
      </c>
      <c r="C3844" s="486">
        <f t="shared" si="368"/>
        <v>901.70000000000016</v>
      </c>
      <c r="D3844" s="486">
        <f t="shared" si="368"/>
        <v>970.69999999999993</v>
      </c>
      <c r="E3844" s="486">
        <f t="shared" si="368"/>
        <v>864.35332229769472</v>
      </c>
      <c r="F3844" s="486">
        <f t="shared" si="368"/>
        <v>1081.3737121492334</v>
      </c>
      <c r="H3844" s="486">
        <f t="shared" ref="H3844:K3844" si="375">H3830-H3837</f>
        <v>906.07933411476552</v>
      </c>
      <c r="I3844" s="486">
        <f t="shared" si="375"/>
        <v>980.40050369092523</v>
      </c>
      <c r="J3844" s="486">
        <f t="shared" si="375"/>
        <v>1099.3761376388811</v>
      </c>
      <c r="K3844" s="486">
        <f t="shared" si="375"/>
        <v>1160.052102120997</v>
      </c>
      <c r="M3844" s="5">
        <f>C3844/H3844-1</f>
        <v>-4.8332788861628062E-3</v>
      </c>
      <c r="N3844" s="5">
        <f>D3844/I3844-1</f>
        <v>-9.8944295258985848E-3</v>
      </c>
      <c r="O3844" s="5">
        <f>E3844/J3844-1</f>
        <v>-0.21377834873325752</v>
      </c>
      <c r="P3844" s="5">
        <f t="shared" si="371"/>
        <v>-6.7823151932495884E-2</v>
      </c>
    </row>
    <row r="3846" spans="2:16">
      <c r="B3846" t="s">
        <v>6549</v>
      </c>
    </row>
    <row r="3848" spans="2:16">
      <c r="B3848" t="s">
        <v>6551</v>
      </c>
    </row>
    <row r="3850" spans="2:16">
      <c r="B3850" t="s">
        <v>6554</v>
      </c>
      <c r="D3850" s="16">
        <f>'New quarts'!AJ43</f>
        <v>357.29999999999995</v>
      </c>
    </row>
    <row r="3851" spans="2:16">
      <c r="B3851" t="s">
        <v>3922</v>
      </c>
      <c r="C3851" s="16">
        <f>D3850</f>
        <v>357.29999999999995</v>
      </c>
      <c r="D3851" s="16">
        <f>E3851</f>
        <v>10.7</v>
      </c>
      <c r="E3851" s="16">
        <f>'New quarts'!AO42-'New quarts'!AJ42</f>
        <v>10.7</v>
      </c>
    </row>
    <row r="3852" spans="2:16">
      <c r="B3852" t="s">
        <v>6553</v>
      </c>
      <c r="C3852" s="16">
        <f>C3851+D3851</f>
        <v>367.99999999999994</v>
      </c>
      <c r="D3852" s="16">
        <f>E3852</f>
        <v>9.7999999999999829</v>
      </c>
      <c r="E3852" s="16">
        <f>'New quarts'!AO38-'New quarts'!AJ38</f>
        <v>9.7999999999999829</v>
      </c>
    </row>
    <row r="3853" spans="2:16">
      <c r="B3853" t="s">
        <v>6557</v>
      </c>
      <c r="C3853" s="16">
        <f>C3852+D3852</f>
        <v>377.79999999999995</v>
      </c>
      <c r="D3853" s="16">
        <f>E3853</f>
        <v>9.1000000000000085</v>
      </c>
      <c r="E3853" s="16">
        <f>'New quarts'!AO40-'New quarts'!AJ40-E3855</f>
        <v>9.1000000000000085</v>
      </c>
    </row>
    <row r="3854" spans="2:16">
      <c r="B3854" t="s">
        <v>6552</v>
      </c>
      <c r="C3854" s="16">
        <f>C3853+D3853-D3854</f>
        <v>376.9</v>
      </c>
      <c r="D3854" s="16">
        <f>-E3854</f>
        <v>10</v>
      </c>
      <c r="E3854">
        <v>-10</v>
      </c>
    </row>
    <row r="3855" spans="2:16">
      <c r="B3855" t="s">
        <v>6556</v>
      </c>
      <c r="C3855" s="16">
        <f>C3854-D3855</f>
        <v>368.9</v>
      </c>
      <c r="D3855" s="16">
        <f>-E3855</f>
        <v>8</v>
      </c>
      <c r="E3855" s="16">
        <v>-8</v>
      </c>
    </row>
    <row r="3856" spans="2:16">
      <c r="B3856" t="s">
        <v>6550</v>
      </c>
      <c r="C3856" s="16">
        <f>C3855-D3856</f>
        <v>368.09999999999997</v>
      </c>
      <c r="D3856" s="16">
        <f>-E3856</f>
        <v>0.79999999999999716</v>
      </c>
      <c r="E3856" s="16">
        <f>'New quarts'!AO37-'New quarts'!AJ37-E3854</f>
        <v>-0.79999999999999716</v>
      </c>
    </row>
    <row r="3857" spans="2:8">
      <c r="B3857" t="s">
        <v>2412</v>
      </c>
      <c r="C3857" s="16">
        <f>C3856-D3857</f>
        <v>366.9</v>
      </c>
      <c r="D3857" s="16">
        <f>-E3857</f>
        <v>1.2000000000000028</v>
      </c>
      <c r="E3857" s="16">
        <f>'New quarts'!AO41-'New quarts'!AJ41</f>
        <v>-1.2000000000000028</v>
      </c>
    </row>
    <row r="3858" spans="2:8">
      <c r="B3858" t="s">
        <v>6555</v>
      </c>
      <c r="D3858" s="16">
        <f>'New quarts'!AO43</f>
        <v>366.9</v>
      </c>
    </row>
    <row r="3859" spans="2:8">
      <c r="E3859" s="16">
        <f>D3858-D3850</f>
        <v>9.6000000000000227</v>
      </c>
    </row>
    <row r="3860" spans="2:8">
      <c r="B3860" s="12" t="s">
        <v>1827</v>
      </c>
    </row>
    <row r="3861" spans="2:8" ht="15.75" thickBot="1">
      <c r="B3861" s="552"/>
      <c r="C3861" s="552"/>
      <c r="D3861" s="952" t="s">
        <v>6561</v>
      </c>
      <c r="E3861" s="952" t="s">
        <v>6562</v>
      </c>
      <c r="F3861" s="870" t="s">
        <v>6566</v>
      </c>
    </row>
    <row r="3862" spans="2:8">
      <c r="B3862" s="1257" t="s">
        <v>1900</v>
      </c>
      <c r="C3862" s="1257" t="s">
        <v>1824</v>
      </c>
      <c r="D3862" s="1257">
        <v>3</v>
      </c>
      <c r="E3862" s="1257">
        <v>15</v>
      </c>
      <c r="F3862" s="1387">
        <v>50</v>
      </c>
    </row>
    <row r="3863" spans="2:8">
      <c r="C3863" t="s">
        <v>4207</v>
      </c>
      <c r="D3863">
        <v>65</v>
      </c>
      <c r="E3863">
        <v>75</v>
      </c>
      <c r="F3863" s="1388">
        <v>85</v>
      </c>
      <c r="H3863" t="s">
        <v>6559</v>
      </c>
    </row>
    <row r="3864" spans="2:8">
      <c r="B3864" s="1257"/>
      <c r="C3864" s="1257"/>
      <c r="D3864" s="1257"/>
      <c r="E3864" s="1257"/>
      <c r="F3864" s="1389"/>
    </row>
    <row r="3865" spans="2:8">
      <c r="B3865" t="s">
        <v>6558</v>
      </c>
      <c r="C3865" t="s">
        <v>1824</v>
      </c>
      <c r="D3865">
        <v>5</v>
      </c>
      <c r="F3865" s="1388">
        <v>40</v>
      </c>
      <c r="H3865" t="s">
        <v>6560</v>
      </c>
    </row>
    <row r="3866" spans="2:8">
      <c r="B3866" s="1257"/>
      <c r="C3866" s="1257" t="s">
        <v>4207</v>
      </c>
      <c r="D3866" s="1257">
        <v>70</v>
      </c>
      <c r="E3866" s="1257"/>
      <c r="F3866" s="1389">
        <v>85</v>
      </c>
    </row>
    <row r="3867" spans="2:8">
      <c r="F3867" s="1388"/>
    </row>
    <row r="3868" spans="2:8">
      <c r="B3868" s="1257" t="s">
        <v>1364</v>
      </c>
      <c r="C3868" s="1257" t="s">
        <v>1824</v>
      </c>
      <c r="D3868" s="1257">
        <v>2</v>
      </c>
      <c r="E3868" s="1257"/>
      <c r="F3868" s="1389">
        <v>40</v>
      </c>
    </row>
    <row r="3869" spans="2:8" ht="15.75" thickBot="1">
      <c r="B3869" s="3"/>
      <c r="C3869" s="3" t="s">
        <v>4207</v>
      </c>
      <c r="D3869" s="3">
        <v>50</v>
      </c>
      <c r="E3869" s="3"/>
      <c r="F3869" s="1390">
        <v>80</v>
      </c>
    </row>
    <row r="3871" spans="2:8">
      <c r="B3871" s="12" t="s">
        <v>1827</v>
      </c>
    </row>
    <row r="3872" spans="2:8" ht="15.75" thickBot="1">
      <c r="B3872" s="552"/>
      <c r="C3872" s="3"/>
      <c r="D3872" s="952" t="s">
        <v>6561</v>
      </c>
      <c r="E3872" s="870" t="s">
        <v>6562</v>
      </c>
      <c r="F3872" s="952" t="s">
        <v>6566</v>
      </c>
      <c r="G3872" s="952" t="s">
        <v>6567</v>
      </c>
      <c r="H3872" s="952" t="s">
        <v>6568</v>
      </c>
    </row>
    <row r="3873" spans="2:8">
      <c r="B3873" s="1257" t="s">
        <v>6564</v>
      </c>
      <c r="C3873" s="1257" t="s">
        <v>1824</v>
      </c>
      <c r="D3873" s="1257">
        <v>4</v>
      </c>
      <c r="E3873" s="1387">
        <v>8</v>
      </c>
      <c r="F3873" s="1257">
        <v>16</v>
      </c>
      <c r="G3873" s="1257"/>
      <c r="H3873" s="1257" t="s">
        <v>6565</v>
      </c>
    </row>
    <row r="3874" spans="2:8">
      <c r="C3874" t="s">
        <v>1122</v>
      </c>
      <c r="D3874">
        <v>20</v>
      </c>
      <c r="E3874" s="1388">
        <v>30</v>
      </c>
      <c r="F3874">
        <v>40</v>
      </c>
      <c r="H3874">
        <v>45</v>
      </c>
    </row>
    <row r="3875" spans="2:8">
      <c r="B3875" s="1257"/>
      <c r="C3875" s="1257"/>
      <c r="D3875" s="1257"/>
      <c r="E3875" s="1389"/>
      <c r="F3875" s="1257"/>
      <c r="G3875" s="1257"/>
      <c r="H3875" s="1257"/>
    </row>
    <row r="3876" spans="2:8">
      <c r="E3876" s="1388"/>
    </row>
    <row r="3877" spans="2:8">
      <c r="B3877" s="1257" t="s">
        <v>6558</v>
      </c>
      <c r="C3877" s="1257" t="s">
        <v>6563</v>
      </c>
      <c r="D3877" s="1257">
        <v>3</v>
      </c>
      <c r="E3877" s="1389">
        <v>6</v>
      </c>
      <c r="F3877" s="1257"/>
      <c r="G3877" s="1257">
        <v>10</v>
      </c>
      <c r="H3877" s="1257" t="s">
        <v>2463</v>
      </c>
    </row>
    <row r="3878" spans="2:8">
      <c r="C3878" t="s">
        <v>1122</v>
      </c>
      <c r="D3878">
        <v>15</v>
      </c>
      <c r="E3878" s="1388">
        <v>25</v>
      </c>
      <c r="G3878">
        <v>40</v>
      </c>
      <c r="H3878">
        <v>50</v>
      </c>
    </row>
    <row r="3879" spans="2:8">
      <c r="B3879" s="1257"/>
      <c r="C3879" s="1257"/>
      <c r="D3879" s="1257"/>
      <c r="E3879" s="1389"/>
      <c r="F3879" s="1257"/>
      <c r="G3879" s="1257"/>
      <c r="H3879" s="1257"/>
    </row>
    <row r="3880" spans="2:8">
      <c r="B3880" t="s">
        <v>1364</v>
      </c>
      <c r="C3880" t="s">
        <v>1824</v>
      </c>
      <c r="D3880">
        <v>3</v>
      </c>
      <c r="E3880" s="1388">
        <v>8</v>
      </c>
      <c r="F3880">
        <v>29</v>
      </c>
      <c r="G3880">
        <v>39</v>
      </c>
      <c r="H3880">
        <v>50</v>
      </c>
    </row>
    <row r="3881" spans="2:8" ht="15.75" thickBot="1">
      <c r="B3881" s="1314"/>
      <c r="C3881" s="1314" t="s">
        <v>1122</v>
      </c>
      <c r="D3881" s="1314">
        <v>15</v>
      </c>
      <c r="E3881" s="1391">
        <v>20</v>
      </c>
      <c r="F3881" s="1314">
        <v>29</v>
      </c>
      <c r="G3881" s="1314">
        <v>39</v>
      </c>
      <c r="H3881" s="1314">
        <v>50</v>
      </c>
    </row>
    <row r="3884" spans="2:8">
      <c r="B3884" t="s">
        <v>6595</v>
      </c>
    </row>
    <row r="3885" spans="2:8">
      <c r="D3885" s="80" t="s">
        <v>6596</v>
      </c>
    </row>
    <row r="3886" spans="2:8">
      <c r="B3886" t="s">
        <v>29</v>
      </c>
      <c r="C3886" s="6">
        <f>Master!O85/Master!N85-1</f>
        <v>8.3708314543472939E-2</v>
      </c>
      <c r="D3886" s="5">
        <f>'New Format'!J252/Master!O74</f>
        <v>0.63834038551951111</v>
      </c>
    </row>
    <row r="3887" spans="2:8">
      <c r="B3887" t="s">
        <v>984</v>
      </c>
      <c r="C3887" s="6">
        <f>Master!O71/Master!N71-1</f>
        <v>-0.10884728340675465</v>
      </c>
      <c r="D3887" s="5">
        <f>Master!O71/Master!O74</f>
        <v>0.28531969910672311</v>
      </c>
    </row>
    <row r="3888" spans="2:8">
      <c r="B3888" t="s">
        <v>3411</v>
      </c>
      <c r="C3888" s="6">
        <f>'Costa Rica'!I48/'Costa Rica'!H48-1</f>
        <v>0.13677356592489409</v>
      </c>
      <c r="D3888" s="5">
        <f>Master!O72/Master!O74</f>
        <v>0.11935825105782794</v>
      </c>
    </row>
    <row r="3889" spans="2:3">
      <c r="B3889" t="s">
        <v>16</v>
      </c>
      <c r="C3889" s="6">
        <f>(C3886*D3886)+(C3887*D3887)+(C3888*D3888)</f>
        <v>3.8703177246407455E-2</v>
      </c>
    </row>
    <row r="3908" spans="2:18">
      <c r="B3908" s="552" t="s">
        <v>6806</v>
      </c>
      <c r="C3908" s="552"/>
      <c r="D3908" s="952" t="s">
        <v>4755</v>
      </c>
      <c r="E3908" s="952" t="s">
        <v>4922</v>
      </c>
      <c r="F3908" s="952" t="s">
        <v>5188</v>
      </c>
      <c r="G3908" s="952" t="s">
        <v>5371</v>
      </c>
      <c r="H3908" s="952" t="s">
        <v>5556</v>
      </c>
      <c r="I3908" s="952" t="s">
        <v>5696</v>
      </c>
      <c r="J3908" s="952" t="s">
        <v>5878</v>
      </c>
      <c r="K3908" s="952" t="s">
        <v>5920</v>
      </c>
      <c r="L3908" s="952" t="s">
        <v>5949</v>
      </c>
      <c r="M3908" s="952" t="s">
        <v>5950</v>
      </c>
      <c r="N3908" s="952" t="s">
        <v>5951</v>
      </c>
      <c r="O3908" s="952" t="s">
        <v>5952</v>
      </c>
      <c r="P3908" s="952" t="s">
        <v>6525</v>
      </c>
    </row>
    <row r="3909" spans="2:18">
      <c r="B3909" s="12" t="s">
        <v>15</v>
      </c>
      <c r="C3909" s="12"/>
      <c r="D3909" s="600">
        <f>D3930</f>
        <v>165.7</v>
      </c>
      <c r="E3909" s="600">
        <f>E3930</f>
        <v>158.69999999999999</v>
      </c>
      <c r="F3909" s="600">
        <f>F3930</f>
        <v>157.6</v>
      </c>
      <c r="G3909" s="600">
        <f>G3930</f>
        <v>157.80000000000001</v>
      </c>
      <c r="H3909" s="600">
        <f t="shared" ref="H3909:J3909" si="376">H3930</f>
        <v>152.19999999999999</v>
      </c>
      <c r="I3909" s="600">
        <f t="shared" si="376"/>
        <v>150</v>
      </c>
      <c r="J3909" s="600">
        <f t="shared" si="376"/>
        <v>149.1</v>
      </c>
      <c r="K3909" s="600">
        <f>K3930</f>
        <v>144.55960000000002</v>
      </c>
      <c r="L3909" s="12">
        <v>138.1</v>
      </c>
      <c r="M3909" s="12">
        <v>126.5</v>
      </c>
      <c r="N3909" s="12">
        <v>120.2</v>
      </c>
      <c r="O3909" s="1422">
        <v>114</v>
      </c>
      <c r="P3909" s="12">
        <v>111.5</v>
      </c>
      <c r="Q3909" s="12"/>
    </row>
    <row r="3910" spans="2:18">
      <c r="B3910" s="12"/>
      <c r="C3910" s="12"/>
      <c r="D3910" s="600"/>
      <c r="E3910" s="600"/>
      <c r="F3910" s="600"/>
      <c r="G3910" s="600"/>
      <c r="H3910" s="614">
        <f>H3909/D3909-1</f>
        <v>-8.1472540736270416E-2</v>
      </c>
      <c r="I3910" s="614">
        <f>I3909/E3909-1</f>
        <v>-5.4820415879016982E-2</v>
      </c>
      <c r="J3910" s="614">
        <f t="shared" ref="J3910" si="377">J3909/F3909-1</f>
        <v>-5.3934010152284273E-2</v>
      </c>
      <c r="K3910" s="614">
        <f t="shared" ref="K3910" si="378">K3909/G3909-1</f>
        <v>-8.3906210392902358E-2</v>
      </c>
      <c r="L3910" s="614">
        <f t="shared" ref="L3910:O3910" si="379">L3909/H3909-1</f>
        <v>-9.2641261498028871E-2</v>
      </c>
      <c r="M3910" s="614">
        <f t="shared" si="379"/>
        <v>-0.15666666666666662</v>
      </c>
      <c r="N3910" s="614">
        <f t="shared" si="379"/>
        <v>-0.19382964453386986</v>
      </c>
      <c r="O3910" s="614">
        <f t="shared" si="379"/>
        <v>-0.21139792860522588</v>
      </c>
      <c r="P3910" s="614">
        <f>P3909/L3909-1</f>
        <v>-0.19261404779145541</v>
      </c>
      <c r="Q3910" s="12"/>
      <c r="R3910" s="614"/>
    </row>
    <row r="3911" spans="2:18">
      <c r="B3911" s="12"/>
      <c r="C3911" s="12"/>
      <c r="D3911" s="600"/>
      <c r="E3911" s="600"/>
      <c r="F3911" s="600"/>
      <c r="G3911" s="600"/>
      <c r="H3911" s="614"/>
      <c r="I3911" s="614"/>
      <c r="J3911" s="614"/>
      <c r="K3911" s="614"/>
      <c r="L3911" s="614"/>
      <c r="M3911" s="614"/>
      <c r="N3911" s="614"/>
      <c r="O3911" s="614"/>
      <c r="P3911" s="614"/>
      <c r="Q3911" s="12"/>
      <c r="R3911" s="614"/>
    </row>
    <row r="3912" spans="2:18">
      <c r="B3912" t="s">
        <v>6810</v>
      </c>
      <c r="C3912" s="12"/>
      <c r="H3912">
        <v>132.6</v>
      </c>
      <c r="I3912">
        <v>130.19999999999999</v>
      </c>
      <c r="J3912">
        <v>129.80000000000001</v>
      </c>
      <c r="K3912" s="62">
        <f>518.3-H3912-I3912-J3912</f>
        <v>125.69999999999993</v>
      </c>
      <c r="L3912" s="62">
        <v>121</v>
      </c>
      <c r="M3912">
        <v>109.5</v>
      </c>
      <c r="N3912">
        <v>104.4</v>
      </c>
      <c r="O3912">
        <f>434-L3912-M3912-N3912</f>
        <v>99.1</v>
      </c>
      <c r="P3912" s="62">
        <v>97.4</v>
      </c>
      <c r="Q3912" s="12"/>
      <c r="R3912" s="614"/>
    </row>
    <row r="3913" spans="2:18">
      <c r="B3913" s="488" t="s">
        <v>6807</v>
      </c>
      <c r="C3913" s="12"/>
      <c r="H3913" s="62">
        <f t="shared" ref="H3913:O3913" si="380">H3909-H3912</f>
        <v>19.599999999999994</v>
      </c>
      <c r="I3913" s="62">
        <f t="shared" si="380"/>
        <v>19.800000000000011</v>
      </c>
      <c r="J3913" s="62">
        <f t="shared" si="380"/>
        <v>19.299999999999983</v>
      </c>
      <c r="K3913" s="62">
        <f t="shared" si="380"/>
        <v>18.859600000000086</v>
      </c>
      <c r="L3913" s="62">
        <f t="shared" si="380"/>
        <v>17.099999999999994</v>
      </c>
      <c r="M3913" s="62">
        <f t="shared" si="380"/>
        <v>17</v>
      </c>
      <c r="N3913" s="62">
        <f t="shared" si="380"/>
        <v>15.799999999999997</v>
      </c>
      <c r="O3913" s="62">
        <f t="shared" si="380"/>
        <v>14.900000000000006</v>
      </c>
      <c r="P3913" s="62">
        <f>P3909-P3912</f>
        <v>14.099999999999994</v>
      </c>
      <c r="Q3913" s="12"/>
      <c r="R3913" s="614"/>
    </row>
    <row r="3914" spans="2:18">
      <c r="C3914" s="12"/>
      <c r="K3914" s="16"/>
      <c r="P3914" s="16"/>
      <c r="Q3914" s="12"/>
      <c r="R3914" s="614"/>
    </row>
    <row r="3915" spans="2:18">
      <c r="B3915" t="s">
        <v>571</v>
      </c>
      <c r="C3915" s="12"/>
      <c r="D3915" s="16">
        <f>'LiLAC valuation'!AD231</f>
        <v>2970.5</v>
      </c>
      <c r="E3915" s="16">
        <f>'LiLAC valuation'!AE231</f>
        <v>2975.6</v>
      </c>
      <c r="F3915" s="16">
        <f>'LiLAC valuation'!AF231</f>
        <v>2888.3</v>
      </c>
      <c r="G3915" s="16">
        <f>'LiLAC valuation'!AG231</f>
        <v>2848.7999999999997</v>
      </c>
      <c r="H3915" s="16">
        <f>'LiLAC valuation'!AH231</f>
        <v>2855.3</v>
      </c>
      <c r="I3915" s="16">
        <f>'LiLAC valuation'!AI231</f>
        <v>2852.5</v>
      </c>
      <c r="J3915" s="16">
        <f>'LiLAC valuation'!AJ231</f>
        <v>2856.8999999999996</v>
      </c>
      <c r="K3915" s="16">
        <f>'LiLAC valuation'!AK231</f>
        <v>2824.3</v>
      </c>
      <c r="L3915" s="16">
        <f>'LiLAC valuation'!AL231</f>
        <v>2779.6000000000004</v>
      </c>
      <c r="M3915" s="16">
        <f>'LiLAC valuation'!AM231</f>
        <v>2692.9</v>
      </c>
      <c r="N3915" s="16">
        <f>'LiLAC valuation'!AN231</f>
        <v>2625.7999999999997</v>
      </c>
      <c r="O3915" s="16">
        <f>SUM(O3916:O3918)</f>
        <v>2507.1999999999998</v>
      </c>
      <c r="P3915" s="16">
        <f>SUM(P3916:P3918)</f>
        <v>2443.6999999999998</v>
      </c>
      <c r="Q3915" s="12" t="s">
        <v>72</v>
      </c>
      <c r="R3915" s="614"/>
    </row>
    <row r="3916" spans="2:18">
      <c r="B3916" s="488" t="s">
        <v>6807</v>
      </c>
      <c r="C3916" s="12"/>
      <c r="D3916" s="16">
        <f>'LiLAC valuation'!AD228</f>
        <v>1331.4</v>
      </c>
      <c r="E3916" s="16">
        <f>'LiLAC valuation'!AE228</f>
        <v>1350</v>
      </c>
      <c r="F3916" s="16">
        <f>'LiLAC valuation'!AF228</f>
        <v>1316</v>
      </c>
      <c r="G3916" s="16">
        <f>'LiLAC valuation'!AG228</f>
        <v>1286.0999999999999</v>
      </c>
      <c r="H3916" s="16">
        <f>'LiLAC valuation'!AH228</f>
        <v>1277.9000000000001</v>
      </c>
      <c r="I3916" s="16">
        <f>'LiLAC valuation'!AI228</f>
        <v>1266.3</v>
      </c>
      <c r="J3916" s="16">
        <f>'LiLAC valuation'!AJ228</f>
        <v>1249.5999999999999</v>
      </c>
      <c r="K3916" s="16">
        <f>'LiLAC valuation'!AK228</f>
        <v>1218.9000000000001</v>
      </c>
      <c r="L3916" s="16">
        <f>'LiLAC valuation'!AL228</f>
        <v>1209.7</v>
      </c>
      <c r="M3916" s="16">
        <f>'LiLAC valuation'!AM228</f>
        <v>1192</v>
      </c>
      <c r="N3916" s="16">
        <f>'LiLAC valuation'!AN228</f>
        <v>1171.8</v>
      </c>
      <c r="O3916" s="16">
        <v>1119.5</v>
      </c>
      <c r="P3916" s="16">
        <v>1097.9000000000001</v>
      </c>
      <c r="Q3916" s="12"/>
      <c r="R3916" s="614"/>
    </row>
    <row r="3917" spans="2:18">
      <c r="B3917" s="488" t="s">
        <v>6808</v>
      </c>
      <c r="C3917" s="12"/>
      <c r="D3917" s="16">
        <f>'LiLAC valuation'!AD227</f>
        <v>1099.0999999999999</v>
      </c>
      <c r="E3917" s="16">
        <f>'LiLAC valuation'!AE227</f>
        <v>1096.5</v>
      </c>
      <c r="F3917" s="16">
        <f>'LiLAC valuation'!AF227</f>
        <v>1073.5</v>
      </c>
      <c r="G3917" s="16">
        <f>'LiLAC valuation'!AG227</f>
        <v>1065.5</v>
      </c>
      <c r="H3917" s="16">
        <f>'LiLAC valuation'!AH227</f>
        <v>1067.2</v>
      </c>
      <c r="I3917" s="16">
        <f>'LiLAC valuation'!AI227</f>
        <v>1068.9000000000001</v>
      </c>
      <c r="J3917" s="16">
        <f>'LiLAC valuation'!AJ227</f>
        <v>1070.5</v>
      </c>
      <c r="K3917" s="16">
        <f>'LiLAC valuation'!AK227</f>
        <v>1060.5</v>
      </c>
      <c r="L3917" s="16">
        <f>'LiLAC valuation'!AL227</f>
        <v>1037.5999999999999</v>
      </c>
      <c r="M3917" s="16">
        <f>'LiLAC valuation'!AM227</f>
        <v>997.9</v>
      </c>
      <c r="N3917" s="16">
        <f>'LiLAC valuation'!AN227</f>
        <v>967.9</v>
      </c>
      <c r="O3917" s="16">
        <v>920.7</v>
      </c>
      <c r="P3917" s="16">
        <v>897.3</v>
      </c>
      <c r="Q3917" s="12"/>
      <c r="R3917" s="614"/>
    </row>
    <row r="3918" spans="2:18">
      <c r="B3918" s="488" t="s">
        <v>6809</v>
      </c>
      <c r="C3918" s="12"/>
      <c r="D3918" s="16">
        <f>'LiLAC valuation'!AD229</f>
        <v>540</v>
      </c>
      <c r="E3918" s="16">
        <f>'LiLAC valuation'!AE229</f>
        <v>529.1</v>
      </c>
      <c r="F3918" s="16">
        <f>'LiLAC valuation'!AF229</f>
        <v>498.8</v>
      </c>
      <c r="G3918" s="16">
        <f>'LiLAC valuation'!AG229</f>
        <v>497.2</v>
      </c>
      <c r="H3918" s="16">
        <f>'LiLAC valuation'!AH229</f>
        <v>510.2</v>
      </c>
      <c r="I3918" s="16">
        <f>'LiLAC valuation'!AI229</f>
        <v>517.29999999999995</v>
      </c>
      <c r="J3918" s="16">
        <f>'LiLAC valuation'!AJ229</f>
        <v>536.79999999999995</v>
      </c>
      <c r="K3918" s="16">
        <f>'LiLAC valuation'!AK229</f>
        <v>544.9</v>
      </c>
      <c r="L3918" s="16">
        <f>'LiLAC valuation'!AL229</f>
        <v>532.29999999999995</v>
      </c>
      <c r="M3918" s="16">
        <f>'LiLAC valuation'!AM229</f>
        <v>503</v>
      </c>
      <c r="N3918" s="16">
        <f>'LiLAC valuation'!AN229</f>
        <v>486.1</v>
      </c>
      <c r="O3918" s="16">
        <v>467</v>
      </c>
      <c r="P3918" s="16">
        <v>448.5</v>
      </c>
      <c r="Q3918" s="12"/>
      <c r="R3918" s="614"/>
    </row>
    <row r="3919" spans="2:18">
      <c r="C3919" s="12"/>
      <c r="D3919" s="16"/>
      <c r="E3919" s="16"/>
      <c r="F3919" s="16"/>
      <c r="G3919" s="16"/>
      <c r="H3919" s="16"/>
      <c r="I3919" s="16"/>
      <c r="J3919" s="16"/>
      <c r="K3919" s="16"/>
      <c r="L3919" s="16"/>
      <c r="M3919" s="16"/>
      <c r="N3919" s="16"/>
      <c r="O3919" s="16"/>
      <c r="P3919" s="16"/>
      <c r="Q3919" s="12"/>
      <c r="R3919" s="614"/>
    </row>
    <row r="3920" spans="2:18">
      <c r="B3920" t="s">
        <v>363</v>
      </c>
      <c r="C3920" s="12"/>
      <c r="D3920" s="16"/>
      <c r="E3920" s="16"/>
      <c r="F3920" s="16"/>
      <c r="G3920" s="16"/>
      <c r="H3920" s="16">
        <f t="shared" ref="H3920:O3920" si="381">H3915-G3915</f>
        <v>6.5000000000004547</v>
      </c>
      <c r="I3920" s="16">
        <f t="shared" si="381"/>
        <v>-2.8000000000001819</v>
      </c>
      <c r="J3920" s="16">
        <f t="shared" si="381"/>
        <v>4.3999999999996362</v>
      </c>
      <c r="K3920" s="16">
        <f t="shared" si="381"/>
        <v>-32.599999999999454</v>
      </c>
      <c r="L3920" s="16">
        <f t="shared" si="381"/>
        <v>-44.699999999999818</v>
      </c>
      <c r="M3920" s="16">
        <f t="shared" si="381"/>
        <v>-86.700000000000273</v>
      </c>
      <c r="N3920" s="16">
        <f t="shared" si="381"/>
        <v>-67.100000000000364</v>
      </c>
      <c r="O3920" s="16">
        <f t="shared" si="381"/>
        <v>-118.59999999999991</v>
      </c>
      <c r="P3920" s="16">
        <f>P3915-O3915</f>
        <v>-63.5</v>
      </c>
      <c r="Q3920" s="12"/>
      <c r="R3920" s="614"/>
    </row>
    <row r="3921" spans="2:18">
      <c r="B3921" t="str">
        <f>B3916</f>
        <v xml:space="preserve"> - of which BB</v>
      </c>
      <c r="C3921" s="12"/>
      <c r="D3921" s="16"/>
      <c r="E3921" s="16"/>
      <c r="F3921" s="16"/>
      <c r="G3921" s="16"/>
      <c r="H3921" s="16">
        <f t="shared" ref="H3921:P3921" si="382">H3916-G3916</f>
        <v>-8.1999999999998181</v>
      </c>
      <c r="I3921" s="16">
        <f t="shared" si="382"/>
        <v>-11.600000000000136</v>
      </c>
      <c r="J3921" s="16">
        <f t="shared" si="382"/>
        <v>-16.700000000000045</v>
      </c>
      <c r="K3921" s="16">
        <f t="shared" si="382"/>
        <v>-30.699999999999818</v>
      </c>
      <c r="L3921" s="16">
        <f t="shared" si="382"/>
        <v>-9.2000000000000455</v>
      </c>
      <c r="M3921" s="16">
        <f t="shared" si="382"/>
        <v>-17.700000000000045</v>
      </c>
      <c r="N3921" s="16">
        <f t="shared" si="382"/>
        <v>-20.200000000000045</v>
      </c>
      <c r="O3921" s="16">
        <f t="shared" si="382"/>
        <v>-52.299999999999955</v>
      </c>
      <c r="P3921" s="16">
        <f t="shared" si="382"/>
        <v>-21.599999999999909</v>
      </c>
      <c r="Q3921" s="12"/>
      <c r="R3921" s="614"/>
    </row>
    <row r="3922" spans="2:18">
      <c r="B3922" t="str">
        <f>B3917</f>
        <v xml:space="preserve"> - of which TV</v>
      </c>
      <c r="C3922" s="12"/>
      <c r="D3922" s="16"/>
      <c r="E3922" s="16"/>
      <c r="F3922" s="16"/>
      <c r="G3922" s="16"/>
      <c r="H3922" s="16">
        <f t="shared" ref="H3922:P3922" si="383">H3917-G3917</f>
        <v>1.7000000000000455</v>
      </c>
      <c r="I3922" s="16">
        <f t="shared" si="383"/>
        <v>1.7000000000000455</v>
      </c>
      <c r="J3922" s="16">
        <f t="shared" si="383"/>
        <v>1.5999999999999091</v>
      </c>
      <c r="K3922" s="16">
        <f t="shared" si="383"/>
        <v>-10</v>
      </c>
      <c r="L3922" s="16">
        <f t="shared" si="383"/>
        <v>-22.900000000000091</v>
      </c>
      <c r="M3922" s="16">
        <f t="shared" si="383"/>
        <v>-39.699999999999932</v>
      </c>
      <c r="N3922" s="16">
        <f t="shared" si="383"/>
        <v>-30</v>
      </c>
      <c r="O3922" s="16">
        <f t="shared" si="383"/>
        <v>-47.199999999999932</v>
      </c>
      <c r="P3922" s="16">
        <f t="shared" si="383"/>
        <v>-23.400000000000091</v>
      </c>
      <c r="Q3922" s="12"/>
      <c r="R3922" s="614"/>
    </row>
    <row r="3923" spans="2:18">
      <c r="B3923" t="str">
        <f>B3918</f>
        <v xml:space="preserve"> - of which voice</v>
      </c>
      <c r="C3923" s="12"/>
      <c r="D3923" s="16"/>
      <c r="E3923" s="16"/>
      <c r="F3923" s="16"/>
      <c r="G3923" s="16"/>
      <c r="H3923" s="16">
        <f t="shared" ref="H3923:P3923" si="384">H3918-G3918</f>
        <v>13</v>
      </c>
      <c r="I3923" s="16">
        <f t="shared" si="384"/>
        <v>7.0999999999999659</v>
      </c>
      <c r="J3923" s="16">
        <f t="shared" si="384"/>
        <v>19.5</v>
      </c>
      <c r="K3923" s="16">
        <f t="shared" si="384"/>
        <v>8.1000000000000227</v>
      </c>
      <c r="L3923" s="16">
        <f t="shared" si="384"/>
        <v>-12.600000000000023</v>
      </c>
      <c r="M3923" s="16">
        <f t="shared" si="384"/>
        <v>-29.299999999999955</v>
      </c>
      <c r="N3923" s="16">
        <f t="shared" si="384"/>
        <v>-16.899999999999977</v>
      </c>
      <c r="O3923" s="16">
        <f t="shared" si="384"/>
        <v>-19.100000000000023</v>
      </c>
      <c r="P3923" s="16">
        <f t="shared" si="384"/>
        <v>-18.5</v>
      </c>
      <c r="Q3923" s="12"/>
      <c r="R3923" s="614"/>
    </row>
    <row r="3924" spans="2:18">
      <c r="C3924" s="12"/>
      <c r="D3924" s="16"/>
      <c r="E3924" s="16"/>
      <c r="F3924" s="16"/>
      <c r="G3924" s="16"/>
      <c r="H3924" s="16"/>
      <c r="I3924" s="16"/>
      <c r="J3924" s="16"/>
      <c r="K3924" s="16"/>
      <c r="L3924" s="16"/>
      <c r="M3924" s="16"/>
      <c r="N3924" s="16"/>
      <c r="O3924" s="16"/>
      <c r="P3924" s="16"/>
      <c r="Q3924" s="12"/>
      <c r="R3924" s="614"/>
    </row>
    <row r="3925" spans="2:18">
      <c r="C3925" s="12"/>
      <c r="D3925" s="16"/>
      <c r="E3925" s="16"/>
      <c r="F3925" s="16"/>
      <c r="G3925" s="16"/>
      <c r="H3925" s="16"/>
      <c r="I3925" s="16"/>
      <c r="J3925" s="16"/>
      <c r="K3925" s="16"/>
      <c r="L3925" s="16"/>
      <c r="M3925" s="16"/>
      <c r="N3925" s="16"/>
      <c r="O3925" s="16"/>
      <c r="P3925" s="16"/>
      <c r="Q3925" s="12"/>
      <c r="R3925" s="614"/>
    </row>
    <row r="3926" spans="2:18">
      <c r="B3926" t="s">
        <v>904</v>
      </c>
      <c r="C3926" s="12"/>
      <c r="D3926" s="16"/>
      <c r="E3926" s="16"/>
      <c r="F3926" s="16"/>
      <c r="G3926" s="16"/>
      <c r="H3926" s="486">
        <f t="shared" ref="H3926:P3926" si="385">H3912/AVERAGE(G3915,H3915)/3*1000000</f>
        <v>15497.624515699234</v>
      </c>
      <c r="I3926" s="486">
        <f t="shared" si="385"/>
        <v>15207.260240372821</v>
      </c>
      <c r="J3926" s="486">
        <f t="shared" si="385"/>
        <v>15156.29196296167</v>
      </c>
      <c r="K3926" s="486">
        <f t="shared" si="385"/>
        <v>14750.404844047023</v>
      </c>
      <c r="L3926" s="486">
        <f t="shared" si="385"/>
        <v>14394.736998637851</v>
      </c>
      <c r="M3926" s="486">
        <f t="shared" si="385"/>
        <v>13339.424394700776</v>
      </c>
      <c r="N3926" s="486">
        <f t="shared" si="385"/>
        <v>13085.904450335609</v>
      </c>
      <c r="O3926" s="486">
        <f t="shared" si="385"/>
        <v>12870.965647119941</v>
      </c>
      <c r="P3926" s="486">
        <f t="shared" si="385"/>
        <v>13115.460488665361</v>
      </c>
      <c r="Q3926" s="12"/>
      <c r="R3926" s="614"/>
    </row>
    <row r="3927" spans="2:18">
      <c r="B3927" s="12"/>
      <c r="C3927" s="12"/>
      <c r="D3927" s="600"/>
      <c r="E3927" s="600"/>
      <c r="F3927" s="600"/>
      <c r="G3927" s="600"/>
      <c r="H3927" s="614"/>
      <c r="I3927" s="614"/>
      <c r="J3927" s="614"/>
      <c r="K3927" s="614"/>
      <c r="M3927" s="614"/>
      <c r="N3927" s="614"/>
      <c r="O3927" s="614"/>
      <c r="Q3927" s="12"/>
      <c r="R3927" s="614"/>
    </row>
    <row r="3928" spans="2:18">
      <c r="B3928" s="12"/>
      <c r="C3928" s="12"/>
      <c r="D3928" s="600"/>
      <c r="E3928" s="600"/>
      <c r="F3928" s="600"/>
      <c r="G3928" s="600"/>
      <c r="H3928" s="614"/>
      <c r="I3928" s="614"/>
      <c r="J3928" s="614"/>
      <c r="K3928" s="614"/>
      <c r="L3928" s="614"/>
      <c r="M3928" s="614"/>
      <c r="N3928" s="614"/>
      <c r="O3928" s="614"/>
      <c r="P3928" s="614"/>
      <c r="Q3928" s="12"/>
      <c r="R3928" s="614"/>
    </row>
    <row r="3929" spans="2:18">
      <c r="B3929" t="s">
        <v>8</v>
      </c>
      <c r="L3929" s="16">
        <v>36.6</v>
      </c>
      <c r="M3929">
        <v>29.8</v>
      </c>
      <c r="N3929">
        <v>27.3</v>
      </c>
      <c r="O3929">
        <v>21.1</v>
      </c>
    </row>
    <row r="3930" spans="2:18">
      <c r="B3930" s="8" t="s">
        <v>6805</v>
      </c>
      <c r="D3930" s="16">
        <f>'LiLAC valuation'!AD266</f>
        <v>165.7</v>
      </c>
      <c r="E3930" s="16">
        <f>'LiLAC valuation'!AE266</f>
        <v>158.69999999999999</v>
      </c>
      <c r="F3930" s="16">
        <f>'LiLAC valuation'!AF266</f>
        <v>157.6</v>
      </c>
      <c r="G3930" s="16">
        <f>'LiLAC valuation'!AG266</f>
        <v>157.80000000000001</v>
      </c>
      <c r="H3930" s="16">
        <f>'LiLAC valuation'!AH266</f>
        <v>152.19999999999999</v>
      </c>
      <c r="I3930" s="16">
        <f>'LiLAC valuation'!AI266</f>
        <v>150</v>
      </c>
      <c r="J3930" s="16">
        <f>'LiLAC valuation'!AJ266</f>
        <v>149.1</v>
      </c>
      <c r="K3930" s="16">
        <f>'LiLAC valuation'!AK266</f>
        <v>144.55960000000002</v>
      </c>
      <c r="L3930" s="16"/>
    </row>
    <row r="3931" spans="2:18">
      <c r="B3931" s="8" t="s">
        <v>6800</v>
      </c>
      <c r="C3931" s="8"/>
      <c r="D3931" s="1421">
        <f>'LiLAC valuation'!AD272</f>
        <v>64.099999999999994</v>
      </c>
      <c r="E3931" s="1421">
        <f>'LiLAC valuation'!AE272</f>
        <v>60.2</v>
      </c>
      <c r="F3931" s="1421">
        <f>'LiLAC valuation'!AF272</f>
        <v>61.7</v>
      </c>
      <c r="G3931" s="1421">
        <f>'LiLAC valuation'!AG272</f>
        <v>56.7</v>
      </c>
      <c r="H3931" s="1421">
        <f>'LiLAC valuation'!AH272</f>
        <v>50.9</v>
      </c>
      <c r="I3931" s="1421">
        <f>'LiLAC valuation'!AI272</f>
        <v>49.4</v>
      </c>
      <c r="J3931" s="1421">
        <f>'LiLAC valuation'!AJ272</f>
        <v>50.3</v>
      </c>
      <c r="K3931" s="1421">
        <f>'LiLAC valuation'!AK272</f>
        <v>45.7331</v>
      </c>
      <c r="L3931" s="1421">
        <f>'LiLAC valuation'!AL272</f>
        <v>37.579839609375007</v>
      </c>
      <c r="M3931" s="1421">
        <f>'LiLAC valuation'!AM272</f>
        <v>32.01365770769231</v>
      </c>
      <c r="N3931" s="1421">
        <f>'LiLAC valuation'!AN272</f>
        <v>28.891200000000001</v>
      </c>
      <c r="O3931" s="8"/>
      <c r="P3931" s="8"/>
    </row>
    <row r="3933" spans="2:18">
      <c r="B3933" t="s">
        <v>668</v>
      </c>
      <c r="L3933">
        <v>-3.3</v>
      </c>
      <c r="P3933">
        <v>-31.9</v>
      </c>
    </row>
    <row r="3934" spans="2:18">
      <c r="B3934" t="s">
        <v>6801</v>
      </c>
      <c r="L3934">
        <v>33.4</v>
      </c>
      <c r="P3934">
        <v>42.5</v>
      </c>
    </row>
    <row r="3935" spans="2:18">
      <c r="B3935" t="s">
        <v>6802</v>
      </c>
      <c r="L3935">
        <v>2.6</v>
      </c>
      <c r="P3935">
        <v>0.6</v>
      </c>
    </row>
    <row r="3936" spans="2:18">
      <c r="B3936" t="s">
        <v>6803</v>
      </c>
      <c r="L3936">
        <v>3.2</v>
      </c>
      <c r="P3936">
        <v>0</v>
      </c>
    </row>
    <row r="3937" spans="2:18">
      <c r="B3937" s="3" t="s">
        <v>6804</v>
      </c>
      <c r="C3937" s="3"/>
      <c r="D3937" s="3"/>
      <c r="E3937" s="3"/>
      <c r="F3937" s="3"/>
      <c r="G3937" s="3"/>
      <c r="H3937" s="3"/>
      <c r="I3937" s="3"/>
      <c r="J3937" s="3"/>
      <c r="K3937" s="3"/>
      <c r="L3937" s="3">
        <v>0.7</v>
      </c>
      <c r="M3937" s="3"/>
      <c r="N3937" s="3"/>
      <c r="O3937" s="3"/>
      <c r="P3937" s="3">
        <v>5.5</v>
      </c>
    </row>
    <row r="3938" spans="2:18">
      <c r="B3938" s="12" t="s">
        <v>8</v>
      </c>
      <c r="C3938" s="12"/>
      <c r="D3938" s="1422">
        <f>D3931</f>
        <v>64.099999999999994</v>
      </c>
      <c r="E3938" s="1422">
        <f>E3931</f>
        <v>60.2</v>
      </c>
      <c r="F3938" s="1422">
        <f>F3931</f>
        <v>61.7</v>
      </c>
      <c r="G3938" s="1422">
        <f>G3931</f>
        <v>56.7</v>
      </c>
      <c r="H3938" s="1422">
        <f t="shared" ref="H3938:J3938" si="386">H3931</f>
        <v>50.9</v>
      </c>
      <c r="I3938" s="1422">
        <f t="shared" si="386"/>
        <v>49.4</v>
      </c>
      <c r="J3938" s="1422">
        <f t="shared" si="386"/>
        <v>50.3</v>
      </c>
      <c r="K3938" s="1422">
        <f>K3931</f>
        <v>45.7331</v>
      </c>
      <c r="L3938" s="12">
        <f>SUM(L3933:L3937)</f>
        <v>36.6</v>
      </c>
      <c r="M3938" s="12">
        <f>M3929</f>
        <v>29.8</v>
      </c>
      <c r="N3938" s="12">
        <f t="shared" ref="N3938:O3938" si="387">N3929</f>
        <v>27.3</v>
      </c>
      <c r="O3938" s="12">
        <f t="shared" si="387"/>
        <v>21.1</v>
      </c>
      <c r="P3938" s="12">
        <f>SUM(P3933:P3937)</f>
        <v>16.700000000000003</v>
      </c>
    </row>
    <row r="3939" spans="2:18">
      <c r="B3939" t="s">
        <v>251</v>
      </c>
      <c r="D3939" s="6">
        <f>D3938/D3909</f>
        <v>0.38684369342184671</v>
      </c>
      <c r="E3939" s="6">
        <f>E3938/E3909</f>
        <v>0.37933207309388789</v>
      </c>
      <c r="F3939" s="6">
        <f t="shared" ref="F3939" si="388">F3938/F3909</f>
        <v>0.39149746192893403</v>
      </c>
      <c r="G3939" s="6">
        <f t="shared" ref="G3939" si="389">G3938/G3909</f>
        <v>0.35931558935361219</v>
      </c>
      <c r="H3939" s="6">
        <f t="shared" ref="H3939:K3939" si="390">H3938/H3909</f>
        <v>0.33442838370565048</v>
      </c>
      <c r="I3939" s="6">
        <f t="shared" si="390"/>
        <v>0.32933333333333331</v>
      </c>
      <c r="J3939" s="6">
        <f t="shared" si="390"/>
        <v>0.33735747820254863</v>
      </c>
      <c r="K3939" s="6">
        <f t="shared" si="390"/>
        <v>0.31636155606407318</v>
      </c>
      <c r="L3939" s="6">
        <f>L3938/L3909</f>
        <v>0.26502534395365679</v>
      </c>
      <c r="M3939" s="6">
        <f t="shared" ref="M3939:O3939" si="391">M3938/M3909</f>
        <v>0.23557312252964427</v>
      </c>
      <c r="N3939" s="6">
        <f t="shared" si="391"/>
        <v>0.22712146422628951</v>
      </c>
      <c r="O3939" s="6">
        <f t="shared" si="391"/>
        <v>0.18508771929824563</v>
      </c>
      <c r="P3939" s="6">
        <f>P3938/P3909</f>
        <v>0.14977578475336326</v>
      </c>
    </row>
    <row r="3941" spans="2:18">
      <c r="B3941" s="12" t="s">
        <v>258</v>
      </c>
      <c r="D3941" s="12">
        <f>D3909-D3938</f>
        <v>101.6</v>
      </c>
      <c r="E3941" s="12">
        <f>E3909-E3938</f>
        <v>98.499999999999986</v>
      </c>
      <c r="F3941" s="12">
        <f>F3909-F3938</f>
        <v>95.899999999999991</v>
      </c>
      <c r="G3941" s="12">
        <f>G3909-G3938</f>
        <v>101.10000000000001</v>
      </c>
      <c r="H3941" s="12">
        <f t="shared" ref="H3941:K3941" si="392">H3909-H3938</f>
        <v>101.29999999999998</v>
      </c>
      <c r="I3941" s="12">
        <f t="shared" si="392"/>
        <v>100.6</v>
      </c>
      <c r="J3941" s="12">
        <f t="shared" si="392"/>
        <v>98.8</v>
      </c>
      <c r="K3941" s="1422">
        <f t="shared" si="392"/>
        <v>98.82650000000001</v>
      </c>
      <c r="L3941" s="12">
        <f>L3909-L3938</f>
        <v>101.5</v>
      </c>
      <c r="M3941" s="12">
        <f t="shared" ref="M3941:P3941" si="393">M3909-M3938</f>
        <v>96.7</v>
      </c>
      <c r="N3941" s="12">
        <f t="shared" si="393"/>
        <v>92.9</v>
      </c>
      <c r="O3941" s="12">
        <f t="shared" si="393"/>
        <v>92.9</v>
      </c>
      <c r="P3941" s="12">
        <f t="shared" si="393"/>
        <v>94.8</v>
      </c>
      <c r="R3941" s="614">
        <f>P3941/L3941-1</f>
        <v>-6.6009852216748821E-2</v>
      </c>
    </row>
    <row r="3943" spans="2:18">
      <c r="B3943" t="s">
        <v>6811</v>
      </c>
      <c r="H3943">
        <v>33.799999999999997</v>
      </c>
      <c r="I3943">
        <f>73.9-H3943</f>
        <v>40.100000000000009</v>
      </c>
      <c r="J3943">
        <f>116.7-H3943-I3943</f>
        <v>42.8</v>
      </c>
      <c r="K3943">
        <f>150.6-H3943-I3943-J3943</f>
        <v>33.899999999999991</v>
      </c>
      <c r="L3943">
        <v>36.1</v>
      </c>
      <c r="M3943">
        <f>65.7-L3943</f>
        <v>29.6</v>
      </c>
      <c r="N3943">
        <f>91.2-L3943-M3943</f>
        <v>25.5</v>
      </c>
      <c r="O3943">
        <f>118.6-L3943-M3943-N3943</f>
        <v>27.4</v>
      </c>
      <c r="P3943">
        <v>24.3</v>
      </c>
    </row>
    <row r="3944" spans="2:18">
      <c r="B3944" t="s">
        <v>1994</v>
      </c>
      <c r="H3944" s="5">
        <f t="shared" ref="H3944:K3944" si="394">H3943/H3909</f>
        <v>0.22207621550591328</v>
      </c>
      <c r="I3944" s="5">
        <f t="shared" si="394"/>
        <v>0.26733333333333337</v>
      </c>
      <c r="J3944" s="5">
        <f t="shared" si="394"/>
        <v>0.28705566733735749</v>
      </c>
      <c r="K3944" s="5">
        <f t="shared" si="394"/>
        <v>0.23450535280949855</v>
      </c>
      <c r="L3944" s="5">
        <f>L3943/L3909</f>
        <v>0.26140477914554672</v>
      </c>
      <c r="M3944" s="5">
        <f t="shared" ref="M3944:O3944" si="395">M3943/M3909</f>
        <v>0.23399209486166009</v>
      </c>
      <c r="N3944" s="5">
        <f t="shared" si="395"/>
        <v>0.21214642262895175</v>
      </c>
      <c r="O3944" s="5">
        <f t="shared" si="395"/>
        <v>0.24035087719298245</v>
      </c>
      <c r="P3944" s="5">
        <f>P3943/P3909</f>
        <v>0.21793721973094171</v>
      </c>
    </row>
    <row r="3946" spans="2:18">
      <c r="B3946" t="s">
        <v>27</v>
      </c>
      <c r="H3946" s="16">
        <f t="shared" ref="H3946:O3946" si="396">H3938-H3943</f>
        <v>17.100000000000001</v>
      </c>
      <c r="I3946" s="16">
        <f t="shared" si="396"/>
        <v>9.2999999999999901</v>
      </c>
      <c r="J3946" s="16">
        <f t="shared" si="396"/>
        <v>7.5</v>
      </c>
      <c r="K3946" s="16">
        <f t="shared" si="396"/>
        <v>11.833100000000009</v>
      </c>
      <c r="L3946" s="16">
        <f t="shared" si="396"/>
        <v>0.5</v>
      </c>
      <c r="M3946" s="16">
        <f t="shared" si="396"/>
        <v>0.19999999999999929</v>
      </c>
      <c r="N3946" s="16">
        <f t="shared" si="396"/>
        <v>1.8000000000000007</v>
      </c>
      <c r="O3946" s="16">
        <f t="shared" si="396"/>
        <v>-6.2999999999999972</v>
      </c>
      <c r="P3946" s="16">
        <f>P3938-P3943</f>
        <v>-7.5999999999999979</v>
      </c>
    </row>
    <row r="3947" spans="2:18">
      <c r="B3947" t="s">
        <v>91</v>
      </c>
      <c r="H3947" s="5">
        <f>H3946/H3909</f>
        <v>0.1123521681997372</v>
      </c>
      <c r="I3947" s="5">
        <f t="shared" ref="I3947:P3947" si="397">I3946/I3909</f>
        <v>6.1999999999999937E-2</v>
      </c>
      <c r="J3947" s="5">
        <f t="shared" si="397"/>
        <v>5.030181086519115E-2</v>
      </c>
      <c r="K3947" s="5">
        <f t="shared" si="397"/>
        <v>8.1856203254574642E-2</v>
      </c>
      <c r="L3947" s="5">
        <f t="shared" si="397"/>
        <v>3.6205648081100651E-3</v>
      </c>
      <c r="M3947" s="5">
        <f t="shared" si="397"/>
        <v>1.5810276679841841E-3</v>
      </c>
      <c r="N3947" s="5">
        <f t="shared" si="397"/>
        <v>1.4975041597337776E-2</v>
      </c>
      <c r="O3947" s="5">
        <f t="shared" si="397"/>
        <v>-5.526315789473682E-2</v>
      </c>
      <c r="P3947" s="5">
        <f t="shared" si="397"/>
        <v>-6.8161434977578456E-2</v>
      </c>
    </row>
    <row r="3973" spans="3:22">
      <c r="C3973" s="1">
        <v>44470</v>
      </c>
      <c r="D3973" s="1">
        <v>44501</v>
      </c>
      <c r="E3973" s="1">
        <v>44531</v>
      </c>
      <c r="F3973" s="1">
        <v>44562</v>
      </c>
      <c r="G3973" s="1">
        <v>44593</v>
      </c>
      <c r="H3973" s="1">
        <v>44621</v>
      </c>
      <c r="I3973" s="1">
        <v>44652</v>
      </c>
      <c r="J3973" s="1">
        <v>44682</v>
      </c>
      <c r="K3973" s="1">
        <v>44713</v>
      </c>
      <c r="L3973" s="1">
        <v>44743</v>
      </c>
      <c r="M3973" s="1">
        <v>44774</v>
      </c>
      <c r="N3973" s="1">
        <v>44805</v>
      </c>
      <c r="O3973" s="1">
        <v>44835</v>
      </c>
      <c r="P3973" s="1">
        <v>44866</v>
      </c>
      <c r="Q3973" s="1">
        <v>44896</v>
      </c>
      <c r="R3973" s="1">
        <v>44927</v>
      </c>
      <c r="S3973" s="1">
        <v>44958</v>
      </c>
      <c r="T3973" s="1">
        <v>44986</v>
      </c>
      <c r="U3973" s="1">
        <v>45017</v>
      </c>
      <c r="V3973" s="1">
        <v>45047</v>
      </c>
    </row>
    <row r="3974" spans="3:22">
      <c r="C3974" s="6"/>
      <c r="D3974" s="6"/>
      <c r="E3974" s="6"/>
      <c r="F3974" s="6">
        <v>7.6999999999999999E-2</v>
      </c>
      <c r="G3974" s="6">
        <v>7.8E-2</v>
      </c>
      <c r="H3974" s="6">
        <v>9.4E-2</v>
      </c>
      <c r="I3974" s="6">
        <v>0.105</v>
      </c>
      <c r="J3974" s="6">
        <v>0.115</v>
      </c>
      <c r="K3974" s="6">
        <v>0.125</v>
      </c>
      <c r="L3974" s="6">
        <v>0.13100000000000001</v>
      </c>
      <c r="M3974" s="6">
        <v>0.14099999999999999</v>
      </c>
      <c r="N3974" s="6">
        <v>0.13700000000000001</v>
      </c>
      <c r="O3974" s="6">
        <v>0.128</v>
      </c>
      <c r="P3974" s="6">
        <v>0.13300000000000001</v>
      </c>
      <c r="Q3974" s="6">
        <v>0.128</v>
      </c>
      <c r="R3974" s="6">
        <v>0.123</v>
      </c>
      <c r="S3974" s="6">
        <v>0.11899999999999999</v>
      </c>
      <c r="T3974" s="6">
        <v>0.111</v>
      </c>
      <c r="U3974" s="6">
        <v>9.9000000000000005E-2</v>
      </c>
      <c r="V3974" s="6">
        <v>8.6999999999999994E-2</v>
      </c>
    </row>
    <row r="4022" spans="2:4">
      <c r="B4022" s="1098">
        <v>2023</v>
      </c>
    </row>
    <row r="4023" spans="2:4">
      <c r="B4023" t="s">
        <v>5397</v>
      </c>
      <c r="C4023" t="s">
        <v>7156</v>
      </c>
    </row>
    <row r="4024" spans="2:4">
      <c r="C4024" t="s">
        <v>7157</v>
      </c>
    </row>
    <row r="4025" spans="2:4">
      <c r="B4025" s="1098">
        <v>2024</v>
      </c>
    </row>
    <row r="4026" spans="2:4">
      <c r="B4026" s="1098"/>
      <c r="C4026" t="s">
        <v>7158</v>
      </c>
    </row>
    <row r="4027" spans="2:4">
      <c r="B4027" s="1098"/>
    </row>
    <row r="4029" spans="2:4">
      <c r="B4029" s="12" t="s">
        <v>377</v>
      </c>
    </row>
    <row r="4031" spans="2:4">
      <c r="B4031" t="s">
        <v>7141</v>
      </c>
      <c r="C4031">
        <v>0</v>
      </c>
      <c r="D4031">
        <f>273*3</f>
        <v>819</v>
      </c>
    </row>
    <row r="4032" spans="2:4">
      <c r="B4032" t="s">
        <v>7143</v>
      </c>
      <c r="C4032">
        <f>D4031</f>
        <v>819</v>
      </c>
      <c r="D4032" s="16">
        <f>SUM(Notes!E4491:G4491)</f>
        <v>527.83275000000049</v>
      </c>
    </row>
    <row r="4033" spans="2:4">
      <c r="B4033" t="s">
        <v>7142</v>
      </c>
      <c r="C4033" s="16">
        <f>C4032+D4032-D4033</f>
        <v>1321.8327500000005</v>
      </c>
      <c r="D4033">
        <v>25</v>
      </c>
    </row>
    <row r="4034" spans="2:4">
      <c r="B4034" t="s">
        <v>67</v>
      </c>
      <c r="C4034" s="16">
        <f>C4033-D4034</f>
        <v>1201.1528900000003</v>
      </c>
      <c r="D4034" s="16">
        <f>0.24*(D4032-D4033)</f>
        <v>120.67986000000012</v>
      </c>
    </row>
    <row r="4035" spans="2:4">
      <c r="B4035" t="s">
        <v>6569</v>
      </c>
      <c r="C4035" s="16">
        <f>C4034-D4035</f>
        <v>1051.1528900000003</v>
      </c>
      <c r="D4035">
        <v>150</v>
      </c>
    </row>
    <row r="4036" spans="2:4">
      <c r="B4036" t="s">
        <v>7155</v>
      </c>
      <c r="C4036" s="16">
        <f>C4035-D4036</f>
        <v>996.1528900000003</v>
      </c>
      <c r="D4036">
        <v>55</v>
      </c>
    </row>
    <row r="4037" spans="2:4">
      <c r="B4037" s="3" t="s">
        <v>7144</v>
      </c>
      <c r="C4037" s="64">
        <f>C4036-D4037</f>
        <v>951.1528900000003</v>
      </c>
      <c r="D4037" s="3">
        <v>45</v>
      </c>
    </row>
    <row r="4038" spans="2:4">
      <c r="B4038" t="s">
        <v>7145</v>
      </c>
      <c r="D4038" s="16">
        <f>C4037</f>
        <v>951.1528900000003</v>
      </c>
    </row>
    <row r="4042" spans="2:4">
      <c r="B4042" t="s">
        <v>7141</v>
      </c>
      <c r="C4042">
        <v>0</v>
      </c>
      <c r="D4042">
        <f>273*3</f>
        <v>819</v>
      </c>
    </row>
    <row r="4043" spans="2:4">
      <c r="B4043" t="s">
        <v>7146</v>
      </c>
      <c r="C4043">
        <f>D4042</f>
        <v>819</v>
      </c>
      <c r="D4043" s="16">
        <f>SUM(Notes!E4493:G4493)</f>
        <v>861.40262400000051</v>
      </c>
    </row>
    <row r="4044" spans="2:4">
      <c r="B4044" t="s">
        <v>7142</v>
      </c>
      <c r="C4044" s="16">
        <f>C4043+D4043-D4044</f>
        <v>1655.4026240000005</v>
      </c>
      <c r="D4044">
        <v>25</v>
      </c>
    </row>
    <row r="4045" spans="2:4">
      <c r="B4045" t="s">
        <v>67</v>
      </c>
      <c r="C4045" s="16">
        <f>C4044-D4045</f>
        <v>1454.6659942400004</v>
      </c>
      <c r="D4045" s="16">
        <f>0.24*(D4043-D4044)</f>
        <v>200.73662976000011</v>
      </c>
    </row>
    <row r="4046" spans="2:4">
      <c r="B4046" t="s">
        <v>6569</v>
      </c>
      <c r="C4046" s="16">
        <f>C4045-D4046</f>
        <v>1304.6659942400004</v>
      </c>
      <c r="D4046">
        <v>150</v>
      </c>
    </row>
    <row r="4047" spans="2:4">
      <c r="B4047" t="s">
        <v>7155</v>
      </c>
      <c r="C4047" s="16">
        <f>C4046-D4047</f>
        <v>1249.6659942400004</v>
      </c>
      <c r="D4047">
        <v>55</v>
      </c>
    </row>
    <row r="4048" spans="2:4">
      <c r="B4048" s="3" t="s">
        <v>7144</v>
      </c>
      <c r="C4048" s="64">
        <f>C4047-D4048</f>
        <v>1204.6659942400004</v>
      </c>
      <c r="D4048" s="3">
        <v>45</v>
      </c>
    </row>
    <row r="4049" spans="2:18">
      <c r="B4049" t="s">
        <v>7145</v>
      </c>
      <c r="D4049" s="16">
        <f>C4048</f>
        <v>1204.6659942400004</v>
      </c>
    </row>
    <row r="4052" spans="2:18">
      <c r="B4052" t="s">
        <v>7160</v>
      </c>
    </row>
    <row r="4053" spans="2:18">
      <c r="B4053" t="s">
        <v>7159</v>
      </c>
      <c r="C4053">
        <f>45*12</f>
        <v>540</v>
      </c>
    </row>
    <row r="4057" spans="2:18">
      <c r="G4057" s="80" t="str">
        <f>'New quarts'!CC27</f>
        <v>Q1 22</v>
      </c>
      <c r="H4057" s="80" t="str">
        <f>'New quarts'!CD27</f>
        <v>Q2 22</v>
      </c>
      <c r="I4057" s="80" t="str">
        <f>'New quarts'!CE27</f>
        <v>Q3 22</v>
      </c>
      <c r="J4057" s="80" t="str">
        <f>'New quarts'!CF27</f>
        <v>Q4 22</v>
      </c>
      <c r="K4057" s="80" t="str">
        <f>'New quarts'!CG27</f>
        <v>Q1 23</v>
      </c>
      <c r="L4057" s="80" t="str">
        <f>'New quarts'!CH27</f>
        <v>Q2 23</v>
      </c>
      <c r="M4057" s="80" t="str">
        <f>'New quarts'!CI27</f>
        <v>Q3 23</v>
      </c>
      <c r="N4057" s="80" t="str">
        <f>'New quarts'!CJ27</f>
        <v>Q4 23</v>
      </c>
      <c r="O4057" s="80" t="str">
        <f>'New quarts'!CK27</f>
        <v>Q1 24</v>
      </c>
      <c r="P4057" s="80" t="str">
        <f>'New quarts'!CL27</f>
        <v>Q2 24</v>
      </c>
      <c r="Q4057" s="80" t="str">
        <f>'New quarts'!CM27</f>
        <v>Q3 24</v>
      </c>
      <c r="R4057" s="80" t="str">
        <f>'New quarts'!CN27</f>
        <v>Q4 24e</v>
      </c>
    </row>
    <row r="4058" spans="2:18">
      <c r="F4058" t="s">
        <v>733</v>
      </c>
      <c r="G4058" s="5">
        <f>'New quarts'!CC40</f>
        <v>9.0827338129496393E-2</v>
      </c>
      <c r="H4058" s="5">
        <f>'New quarts'!CD40</f>
        <v>5.856643356643354E-2</v>
      </c>
      <c r="I4058" s="5">
        <f>'New quarts'!CE40</f>
        <v>9.5155709342560346E-3</v>
      </c>
      <c r="J4058" s="5">
        <f>'New quarts'!CF40</f>
        <v>3.4393809114358964E-2</v>
      </c>
      <c r="K4058" s="5">
        <f>'New quarts'!CG40</f>
        <v>1.154163231657046E-2</v>
      </c>
      <c r="L4058" s="5">
        <f>'New quarts'!CH40</f>
        <v>4.9545829892650772E-2</v>
      </c>
      <c r="M4058" s="5">
        <f>'New quarts'!CI40</f>
        <v>9.8543273350471194E-2</v>
      </c>
      <c r="N4058" s="5">
        <f>'New quarts'!CJ40</f>
        <v>4.9044056525353596E-2</v>
      </c>
      <c r="O4058" s="5">
        <f>'New quarts'!CK40</f>
        <v>1.9559902200488866E-2</v>
      </c>
      <c r="P4058" s="5">
        <f>'New quarts'!CL40</f>
        <v>-7.8678206136899576E-3</v>
      </c>
      <c r="Q4058" s="5">
        <f>'New quarts'!CM40</f>
        <v>-4.1341653666146505E-2</v>
      </c>
      <c r="R4058" s="5">
        <f>'New quarts'!CN40</f>
        <v>-2.9025356576862005E-2</v>
      </c>
    </row>
    <row r="4082" spans="2:4">
      <c r="B4082" s="1386">
        <v>45383</v>
      </c>
    </row>
    <row r="4083" spans="2:4">
      <c r="B4083" s="1386"/>
    </row>
    <row r="4084" spans="2:4">
      <c r="B4084" s="12" t="s">
        <v>7318</v>
      </c>
    </row>
    <row r="4086" spans="2:4">
      <c r="B4086" s="552" t="s">
        <v>564</v>
      </c>
      <c r="C4086" s="952" t="s">
        <v>900</v>
      </c>
      <c r="D4086" s="952" t="s">
        <v>7317</v>
      </c>
    </row>
    <row r="4087" spans="2:4">
      <c r="B4087" t="s">
        <v>5043</v>
      </c>
      <c r="C4087">
        <v>300</v>
      </c>
      <c r="D4087" s="5">
        <f>C4087/C$4092</f>
        <v>0.26213694033763235</v>
      </c>
    </row>
    <row r="4088" spans="2:4">
      <c r="B4088" t="s">
        <v>7313</v>
      </c>
      <c r="C4088" s="16">
        <f>'New quarts'!AH475</f>
        <v>262.3</v>
      </c>
      <c r="D4088" s="5">
        <f>C4088/C$4092</f>
        <v>0.22919506483520324</v>
      </c>
    </row>
    <row r="4089" spans="2:4">
      <c r="B4089" t="s">
        <v>5072</v>
      </c>
      <c r="C4089" s="16">
        <v>240</v>
      </c>
      <c r="D4089" s="5">
        <f>C4089/C$4092</f>
        <v>0.2097095522701059</v>
      </c>
    </row>
    <row r="4090" spans="2:4">
      <c r="B4090" t="s">
        <v>7314</v>
      </c>
      <c r="C4090" s="16">
        <f>234*0.8</f>
        <v>187.20000000000002</v>
      </c>
      <c r="D4090" s="5">
        <f>C4090/C$4092</f>
        <v>0.16357345077068261</v>
      </c>
    </row>
    <row r="4091" spans="2:4">
      <c r="B4091" s="3" t="s">
        <v>7315</v>
      </c>
      <c r="C4091" s="64">
        <f>C4092-C4087-C4088-C4090-C4089</f>
        <v>154.94000000000005</v>
      </c>
      <c r="D4091" s="512">
        <f>C4091/C$4092</f>
        <v>0.13538499178637592</v>
      </c>
    </row>
    <row r="4092" spans="2:4">
      <c r="B4092" t="s">
        <v>16</v>
      </c>
      <c r="C4092" s="16">
        <f>1100*(1.02)^2</f>
        <v>1144.44</v>
      </c>
      <c r="D4092" s="5">
        <f>SUM(D4087:D4091)</f>
        <v>1</v>
      </c>
    </row>
    <row r="4093" spans="2:4">
      <c r="B4093" t="s">
        <v>7319</v>
      </c>
    </row>
    <row r="4096" spans="2:4">
      <c r="B4096" s="552" t="s">
        <v>5</v>
      </c>
      <c r="C4096" s="952" t="s">
        <v>900</v>
      </c>
      <c r="D4096" s="952" t="s">
        <v>7317</v>
      </c>
    </row>
    <row r="4097" spans="2:25">
      <c r="B4097" t="s">
        <v>7316</v>
      </c>
      <c r="C4097" s="16">
        <v>2500</v>
      </c>
      <c r="D4097" s="5">
        <f>C4097/C$4100</f>
        <v>0.35714285714285715</v>
      </c>
    </row>
    <row r="4098" spans="2:25">
      <c r="B4098" t="str">
        <f>B4088</f>
        <v>CWC (Liberty LA)</v>
      </c>
      <c r="C4098" s="16">
        <f>'New quarts'!AH477</f>
        <v>3171.7</v>
      </c>
      <c r="D4098" s="5">
        <f>C4098/C$4100</f>
        <v>0.45309999999999995</v>
      </c>
    </row>
    <row r="4099" spans="2:25">
      <c r="B4099" s="3" t="s">
        <v>1364</v>
      </c>
      <c r="C4099" s="64">
        <f>C4100-C4097-C4098</f>
        <v>1328.3000000000002</v>
      </c>
      <c r="D4099" s="512">
        <f>C4099/C$4100</f>
        <v>0.18975714285714287</v>
      </c>
    </row>
    <row r="4100" spans="2:25">
      <c r="B4100" t="s">
        <v>16</v>
      </c>
      <c r="C4100" s="16">
        <v>7000</v>
      </c>
      <c r="D4100" s="5">
        <f>SUM(D4097:D4099)</f>
        <v>0.99999999999999989</v>
      </c>
    </row>
    <row r="4102" spans="2:25">
      <c r="B4102" s="1554" t="s">
        <v>3411</v>
      </c>
      <c r="C4102" s="1555" t="s">
        <v>2752</v>
      </c>
      <c r="D4102" s="1555" t="s">
        <v>2752</v>
      </c>
      <c r="E4102" s="1556"/>
      <c r="F4102" s="1556"/>
      <c r="G4102" s="1555" t="s">
        <v>7327</v>
      </c>
      <c r="H4102" s="1555" t="s">
        <v>7327</v>
      </c>
      <c r="I4102" s="1556"/>
      <c r="J4102" s="1556"/>
      <c r="K4102" s="1555" t="s">
        <v>7327</v>
      </c>
      <c r="L4102" s="1555" t="s">
        <v>7327</v>
      </c>
      <c r="M4102" s="1556"/>
      <c r="N4102" s="1556"/>
      <c r="O4102" s="1555" t="s">
        <v>7327</v>
      </c>
      <c r="P4102" s="1555" t="s">
        <v>7327</v>
      </c>
      <c r="Q4102" s="1556"/>
      <c r="R4102" s="1556"/>
      <c r="S4102" s="1555" t="s">
        <v>7327</v>
      </c>
      <c r="T4102" s="1555" t="s">
        <v>7327</v>
      </c>
      <c r="U4102" s="1556"/>
      <c r="V4102" s="1556"/>
      <c r="W4102" s="1555" t="s">
        <v>7327</v>
      </c>
      <c r="X4102" s="1555" t="s">
        <v>7327</v>
      </c>
      <c r="Y4102" s="1556"/>
    </row>
    <row r="4103" spans="2:25">
      <c r="B4103" s="1557"/>
      <c r="C4103" s="1558"/>
      <c r="D4103" s="1558"/>
      <c r="E4103" s="1557"/>
      <c r="F4103" s="1557"/>
      <c r="G4103" s="1558" t="s">
        <v>7325</v>
      </c>
      <c r="H4103" s="1558" t="s">
        <v>7325</v>
      </c>
      <c r="I4103" s="1557"/>
      <c r="J4103" s="1557"/>
      <c r="K4103" s="1558" t="s">
        <v>7326</v>
      </c>
      <c r="L4103" s="1558" t="s">
        <v>7326</v>
      </c>
      <c r="M4103" s="1557"/>
      <c r="N4103" s="1557"/>
      <c r="O4103" s="1558" t="s">
        <v>2453</v>
      </c>
      <c r="P4103" s="1558" t="s">
        <v>2453</v>
      </c>
      <c r="Q4103" s="1557"/>
      <c r="R4103" s="1557"/>
      <c r="S4103" s="1558" t="s">
        <v>7324</v>
      </c>
      <c r="T4103" s="1558" t="s">
        <v>7324</v>
      </c>
      <c r="U4103" s="1557"/>
      <c r="V4103" s="1557"/>
      <c r="W4103" s="1558" t="s">
        <v>7325</v>
      </c>
      <c r="X4103" s="1558" t="s">
        <v>7325</v>
      </c>
      <c r="Y4103" s="1557"/>
    </row>
    <row r="4104" spans="2:25">
      <c r="B4104" s="1205" t="s">
        <v>3871</v>
      </c>
      <c r="C4104" s="1205">
        <v>2022</v>
      </c>
      <c r="D4104" s="1205">
        <v>2023</v>
      </c>
      <c r="E4104" s="1342" t="s">
        <v>1424</v>
      </c>
      <c r="F4104" s="1203"/>
      <c r="G4104" s="1205">
        <v>2023</v>
      </c>
      <c r="H4104" s="1205">
        <v>2024</v>
      </c>
      <c r="I4104" s="1342" t="s">
        <v>1424</v>
      </c>
      <c r="J4104" s="1203"/>
      <c r="K4104" s="1205">
        <v>2022</v>
      </c>
      <c r="L4104" s="1205">
        <v>2023</v>
      </c>
      <c r="M4104" s="1342" t="s">
        <v>1424</v>
      </c>
      <c r="N4104" s="1203"/>
      <c r="O4104" s="1205">
        <v>2022</v>
      </c>
      <c r="P4104" s="1205">
        <v>2023</v>
      </c>
      <c r="Q4104" s="1342" t="s">
        <v>1424</v>
      </c>
      <c r="R4104" s="1203"/>
      <c r="S4104" s="1205">
        <v>2022</v>
      </c>
      <c r="T4104" s="1205">
        <v>2023</v>
      </c>
      <c r="U4104" s="1342" t="s">
        <v>1424</v>
      </c>
      <c r="V4104" s="1203"/>
      <c r="W4104" s="1205">
        <v>2022</v>
      </c>
      <c r="X4104" s="1205">
        <v>2023</v>
      </c>
      <c r="Y4104" s="1342" t="s">
        <v>1424</v>
      </c>
    </row>
    <row r="4105" spans="2:25">
      <c r="B4105" s="1203" t="s">
        <v>7320</v>
      </c>
      <c r="C4105" s="1203">
        <v>131.5</v>
      </c>
      <c r="D4105" s="1203">
        <v>144.30000000000001</v>
      </c>
      <c r="E4105" s="1305">
        <f>D4105/C4105-1</f>
        <v>9.7338403041825172E-2</v>
      </c>
      <c r="F4105" s="1203"/>
      <c r="G4105" s="1203">
        <v>36.1</v>
      </c>
      <c r="H4105" s="1203">
        <v>35.4</v>
      </c>
      <c r="I4105" s="1305">
        <f>H4105/G4105-1</f>
        <v>-1.939058171745156E-2</v>
      </c>
      <c r="J4105" s="1203"/>
      <c r="K4105" s="1203">
        <f t="shared" ref="K4105:L4107" si="398">C4105-O4105-S4105-W4105</f>
        <v>29.600000000000009</v>
      </c>
      <c r="L4105" s="1203">
        <f t="shared" si="398"/>
        <v>29.200000000000003</v>
      </c>
      <c r="M4105" s="1305">
        <f>L4105/K4105-1</f>
        <v>-1.3513513513513709E-2</v>
      </c>
      <c r="N4105" s="1203"/>
      <c r="O4105" s="1203">
        <v>33.799999999999997</v>
      </c>
      <c r="P4105" s="1203">
        <v>37.9</v>
      </c>
      <c r="Q4105" s="1305">
        <f>P4105/O4105-1</f>
        <v>0.12130177514792906</v>
      </c>
      <c r="R4105" s="1203"/>
      <c r="S4105" s="1203">
        <v>33.4</v>
      </c>
      <c r="T4105" s="1203">
        <v>39.4</v>
      </c>
      <c r="U4105" s="1305">
        <f>T4105/S4105-1</f>
        <v>0.17964071856287434</v>
      </c>
      <c r="V4105" s="1203"/>
      <c r="W4105" s="1203">
        <v>34.700000000000003</v>
      </c>
      <c r="X4105" s="1203">
        <v>37.799999999999997</v>
      </c>
      <c r="Y4105" s="1305">
        <f>X4105/W4105-1</f>
        <v>8.9337175792506995E-2</v>
      </c>
    </row>
    <row r="4106" spans="2:25">
      <c r="B4106" s="1203" t="s">
        <v>7321</v>
      </c>
      <c r="C4106" s="1308">
        <v>5.0999999999999996</v>
      </c>
      <c r="D4106" s="1308">
        <v>14.3</v>
      </c>
      <c r="E4106" s="1305">
        <f>D4106/C4106-1</f>
        <v>1.8039215686274512</v>
      </c>
      <c r="F4106" s="1203"/>
      <c r="G4106" s="1308">
        <v>2.5</v>
      </c>
      <c r="H4106" s="1308">
        <v>9.6999999999999993</v>
      </c>
      <c r="I4106" s="1305">
        <f>H4106/G4106-1</f>
        <v>2.88</v>
      </c>
      <c r="J4106" s="1203"/>
      <c r="K4106" s="1308">
        <f t="shared" si="398"/>
        <v>2.5</v>
      </c>
      <c r="L4106" s="1308">
        <f t="shared" si="398"/>
        <v>5.2000000000000011</v>
      </c>
      <c r="M4106" s="1305">
        <f>L4106/K4106-1</f>
        <v>1.0800000000000005</v>
      </c>
      <c r="N4106" s="1203"/>
      <c r="O4106" s="1308">
        <v>1</v>
      </c>
      <c r="P4106" s="1308">
        <v>4</v>
      </c>
      <c r="Q4106" s="1305">
        <f>P4106/O4106-1</f>
        <v>3</v>
      </c>
      <c r="R4106" s="1203"/>
      <c r="S4106" s="1308">
        <v>0.8</v>
      </c>
      <c r="T4106" s="1308">
        <v>2.6</v>
      </c>
      <c r="U4106" s="1305">
        <f>T4106/S4106-1</f>
        <v>2.25</v>
      </c>
      <c r="V4106" s="1203"/>
      <c r="W4106" s="1308">
        <v>0.8</v>
      </c>
      <c r="X4106" s="1308">
        <v>2.5</v>
      </c>
      <c r="Y4106" s="1305">
        <f>X4106/W4106-1</f>
        <v>2.125</v>
      </c>
    </row>
    <row r="4107" spans="2:25">
      <c r="B4107" s="1203" t="s">
        <v>4711</v>
      </c>
      <c r="C4107" s="1203">
        <f>SUM(C4105:C4106)</f>
        <v>136.6</v>
      </c>
      <c r="D4107" s="1203">
        <f>SUM(D4105:D4106)</f>
        <v>158.60000000000002</v>
      </c>
      <c r="E4107" s="1305">
        <f>D4107/C4107-1</f>
        <v>0.16105417276720368</v>
      </c>
      <c r="F4107" s="1203"/>
      <c r="G4107" s="1203">
        <f>G4105+G4106</f>
        <v>38.6</v>
      </c>
      <c r="H4107" s="1203">
        <f>H4105+H4106</f>
        <v>45.099999999999994</v>
      </c>
      <c r="I4107" s="1305">
        <f>H4107/G4107-1</f>
        <v>0.1683937823834194</v>
      </c>
      <c r="J4107" s="1203"/>
      <c r="K4107" s="1203">
        <f t="shared" si="398"/>
        <v>32.099999999999994</v>
      </c>
      <c r="L4107" s="1203">
        <f t="shared" si="398"/>
        <v>34.40000000000002</v>
      </c>
      <c r="M4107" s="1305">
        <f>L4107/K4107-1</f>
        <v>7.1651090342679913E-2</v>
      </c>
      <c r="N4107" s="1203"/>
      <c r="O4107" s="1203">
        <f>SUM(O4105:O4106)</f>
        <v>34.799999999999997</v>
      </c>
      <c r="P4107" s="1203">
        <f>SUM(P4105:P4106)</f>
        <v>41.9</v>
      </c>
      <c r="Q4107" s="1305">
        <f>P4107/O4107-1</f>
        <v>0.20402298850574718</v>
      </c>
      <c r="R4107" s="1203"/>
      <c r="S4107" s="1203">
        <f>SUM(S4105:S4106)</f>
        <v>34.199999999999996</v>
      </c>
      <c r="T4107" s="1203">
        <f>SUM(T4105:T4106)</f>
        <v>42</v>
      </c>
      <c r="U4107" s="1305">
        <f>T4107/S4107-1</f>
        <v>0.22807017543859653</v>
      </c>
      <c r="V4107" s="1203"/>
      <c r="W4107" s="1203">
        <f>SUM(W4105:W4106)</f>
        <v>35.5</v>
      </c>
      <c r="X4107" s="1203">
        <f>SUM(X4105:X4106)</f>
        <v>40.299999999999997</v>
      </c>
      <c r="Y4107" s="1305">
        <f>X4107/W4107-1</f>
        <v>0.13521126760563362</v>
      </c>
    </row>
    <row r="4108" spans="2:25">
      <c r="B4108" s="1203"/>
      <c r="C4108" s="1203"/>
      <c r="D4108" s="1203"/>
      <c r="E4108" s="1203"/>
      <c r="F4108" s="1203"/>
      <c r="G4108" s="1203"/>
      <c r="H4108" s="1203"/>
      <c r="I4108" s="1203"/>
      <c r="J4108" s="1203"/>
      <c r="K4108" s="1203"/>
      <c r="L4108" s="1203"/>
      <c r="M4108" s="1203"/>
      <c r="N4108" s="1203"/>
      <c r="O4108" s="1203"/>
      <c r="P4108" s="1203"/>
      <c r="Q4108" s="1203"/>
      <c r="R4108" s="1203"/>
      <c r="S4108" s="1203"/>
      <c r="T4108" s="1203"/>
      <c r="U4108" s="1203"/>
      <c r="V4108" s="1203"/>
      <c r="W4108" s="1203"/>
      <c r="X4108" s="1203"/>
      <c r="Y4108" s="1203"/>
    </row>
    <row r="4109" spans="2:25">
      <c r="B4109" s="1203" t="s">
        <v>5490</v>
      </c>
      <c r="C4109" s="1203">
        <v>195.1</v>
      </c>
      <c r="D4109" s="1203">
        <v>242.1</v>
      </c>
      <c r="E4109" s="1305">
        <f>D4109/C4109-1</f>
        <v>0.24090210148641722</v>
      </c>
      <c r="F4109" s="1203"/>
      <c r="G4109" s="1217">
        <v>57.8</v>
      </c>
      <c r="H4109" s="1203">
        <v>67.8</v>
      </c>
      <c r="I4109" s="1305">
        <f>H4109/G4109-1</f>
        <v>0.17301038062283736</v>
      </c>
      <c r="J4109" s="1203"/>
      <c r="K4109" s="1203">
        <f t="shared" ref="K4109:L4114" si="399">C4109-O4109-S4109-W4109</f>
        <v>52.3</v>
      </c>
      <c r="L4109" s="1203">
        <f t="shared" si="399"/>
        <v>63.299999999999983</v>
      </c>
      <c r="M4109" s="1305">
        <f>L4109/K4109-1</f>
        <v>0.21032504780114691</v>
      </c>
      <c r="N4109" s="1203"/>
      <c r="O4109" s="1203">
        <v>48</v>
      </c>
      <c r="P4109" s="1203">
        <v>60.7</v>
      </c>
      <c r="Q4109" s="1305">
        <f>P4109/O4109-1</f>
        <v>0.26458333333333339</v>
      </c>
      <c r="R4109" s="1203"/>
      <c r="S4109" s="1203">
        <v>48.6</v>
      </c>
      <c r="T4109" s="1203">
        <v>60.3</v>
      </c>
      <c r="U4109" s="1305">
        <f>T4109/S4109-1</f>
        <v>0.2407407407407407</v>
      </c>
      <c r="V4109" s="1203"/>
      <c r="W4109" s="1203">
        <v>46.2</v>
      </c>
      <c r="X4109" s="1203">
        <v>57.8</v>
      </c>
      <c r="Y4109" s="1305">
        <f>X4109/W4109-1</f>
        <v>0.25108225108225102</v>
      </c>
    </row>
    <row r="4110" spans="2:25">
      <c r="B4110" s="1203" t="s">
        <v>3655</v>
      </c>
      <c r="C4110" s="1308">
        <v>64.8</v>
      </c>
      <c r="D4110" s="1308">
        <v>80.2</v>
      </c>
      <c r="E4110" s="1305">
        <f>D4110/C4110-1</f>
        <v>0.23765432098765449</v>
      </c>
      <c r="F4110" s="1203"/>
      <c r="G4110" s="1308">
        <v>18</v>
      </c>
      <c r="H4110" s="1308">
        <v>23</v>
      </c>
      <c r="I4110" s="1305">
        <f>H4110/G4110-1</f>
        <v>0.27777777777777768</v>
      </c>
      <c r="J4110" s="1203"/>
      <c r="K4110" s="1308">
        <f t="shared" si="399"/>
        <v>16.299999999999997</v>
      </c>
      <c r="L4110" s="1308">
        <f t="shared" si="399"/>
        <v>23.800000000000004</v>
      </c>
      <c r="M4110" s="1305">
        <f>L4110/K4110-1</f>
        <v>0.46012269938650352</v>
      </c>
      <c r="N4110" s="1203"/>
      <c r="O4110" s="1308">
        <v>16.399999999999999</v>
      </c>
      <c r="P4110" s="1308">
        <v>19.3</v>
      </c>
      <c r="Q4110" s="1305">
        <f>P4110/O4110-1</f>
        <v>0.17682926829268308</v>
      </c>
      <c r="R4110" s="1203"/>
      <c r="S4110" s="1308">
        <v>15.6</v>
      </c>
      <c r="T4110" s="1308">
        <v>19.100000000000001</v>
      </c>
      <c r="U4110" s="1305">
        <f>T4110/S4110-1</f>
        <v>0.22435897435897445</v>
      </c>
      <c r="V4110" s="1203"/>
      <c r="W4110" s="1308">
        <v>16.5</v>
      </c>
      <c r="X4110" s="1308">
        <v>18</v>
      </c>
      <c r="Y4110" s="1305">
        <f>X4110/W4110-1</f>
        <v>9.0909090909090828E-2</v>
      </c>
    </row>
    <row r="4111" spans="2:25">
      <c r="B4111" s="1203" t="s">
        <v>5</v>
      </c>
      <c r="C4111" s="1203">
        <f>SUM(C4109:C4110)</f>
        <v>259.89999999999998</v>
      </c>
      <c r="D4111" s="1203">
        <f>SUM(D4109:D4110)</f>
        <v>322.3</v>
      </c>
      <c r="E4111" s="1305">
        <f>D4111/C4111-1</f>
        <v>0.24009234320892658</v>
      </c>
      <c r="F4111" s="1203"/>
      <c r="G4111" s="1203">
        <f>G4109+G4110</f>
        <v>75.8</v>
      </c>
      <c r="H4111" s="1203">
        <f>H4109+H4110</f>
        <v>90.8</v>
      </c>
      <c r="I4111" s="1305">
        <f>H4111/G4111-1</f>
        <v>0.19788918205804751</v>
      </c>
      <c r="J4111" s="1203"/>
      <c r="K4111" s="1203">
        <f t="shared" si="399"/>
        <v>68.599999999999952</v>
      </c>
      <c r="L4111" s="1203">
        <f t="shared" si="399"/>
        <v>87.100000000000009</v>
      </c>
      <c r="M4111" s="1305">
        <f>L4111/K4111-1</f>
        <v>0.2696793002915463</v>
      </c>
      <c r="N4111" s="1203"/>
      <c r="O4111" s="1203">
        <f>SUM(O4109:O4110)</f>
        <v>64.400000000000006</v>
      </c>
      <c r="P4111" s="1203">
        <f>SUM(P4109:P4110)</f>
        <v>80</v>
      </c>
      <c r="Q4111" s="1305">
        <f>P4111/O4111-1</f>
        <v>0.2422360248447204</v>
      </c>
      <c r="R4111" s="1203"/>
      <c r="S4111" s="1203">
        <f>SUM(S4109:S4110)</f>
        <v>64.2</v>
      </c>
      <c r="T4111" s="1203">
        <f>SUM(T4109:T4110)</f>
        <v>79.400000000000006</v>
      </c>
      <c r="U4111" s="1305">
        <f>T4111/S4111-1</f>
        <v>0.23676012461059193</v>
      </c>
      <c r="V4111" s="1203"/>
      <c r="W4111" s="1203">
        <f>SUM(W4109:W4110)</f>
        <v>62.7</v>
      </c>
      <c r="X4111" s="1203">
        <f>SUM(X4109:X4110)</f>
        <v>75.8</v>
      </c>
      <c r="Y4111" s="1305">
        <f>X4111/W4111-1</f>
        <v>0.20893141945773519</v>
      </c>
    </row>
    <row r="4112" spans="2:25">
      <c r="B4112" s="1203"/>
      <c r="C4112" s="1203"/>
      <c r="D4112" s="1203"/>
      <c r="E4112" s="1203"/>
      <c r="F4112" s="1203"/>
      <c r="G4112" s="1203"/>
      <c r="H4112" s="1203"/>
      <c r="I4112" s="1203"/>
      <c r="J4112" s="1203"/>
      <c r="K4112" s="1203">
        <f t="shared" si="399"/>
        <v>0</v>
      </c>
      <c r="L4112" s="1203">
        <f t="shared" si="399"/>
        <v>0</v>
      </c>
      <c r="M4112" s="1203"/>
      <c r="N4112" s="1203"/>
      <c r="O4112" s="1203"/>
      <c r="P4112" s="1203"/>
      <c r="Q4112" s="1203"/>
      <c r="R4112" s="1203"/>
      <c r="S4112" s="1203"/>
      <c r="T4112" s="1203"/>
      <c r="U4112" s="1203"/>
      <c r="V4112" s="1203"/>
      <c r="W4112" s="1203"/>
      <c r="X4112" s="1203"/>
      <c r="Y4112" s="1203"/>
    </row>
    <row r="4113" spans="2:25">
      <c r="B4113" s="1308" t="s">
        <v>2412</v>
      </c>
      <c r="C4113" s="1308">
        <v>44.8</v>
      </c>
      <c r="D4113" s="1308">
        <v>67</v>
      </c>
      <c r="E4113" s="1331">
        <f>D4113/C4113-1</f>
        <v>0.49553571428571441</v>
      </c>
      <c r="F4113" s="1203"/>
      <c r="G4113" s="1308">
        <v>14.8</v>
      </c>
      <c r="H4113" s="1308">
        <v>16.399999999999999</v>
      </c>
      <c r="I4113" s="1331">
        <f>H4113/G4113-1</f>
        <v>0.10810810810810789</v>
      </c>
      <c r="J4113" s="1203"/>
      <c r="K4113" s="1308">
        <f t="shared" si="399"/>
        <v>15.999999999999996</v>
      </c>
      <c r="L4113" s="1308">
        <f t="shared" si="399"/>
        <v>27.4</v>
      </c>
      <c r="M4113" s="1331">
        <f>L4113/K4113-1</f>
        <v>0.71250000000000036</v>
      </c>
      <c r="N4113" s="1203"/>
      <c r="O4113" s="1308">
        <v>10</v>
      </c>
      <c r="P4113" s="1308">
        <v>12.7</v>
      </c>
      <c r="Q4113" s="1331">
        <f>P4113/O4113-1</f>
        <v>0.27</v>
      </c>
      <c r="R4113" s="1203"/>
      <c r="S4113" s="1308">
        <v>9.6</v>
      </c>
      <c r="T4113" s="1308">
        <v>13.8</v>
      </c>
      <c r="U4113" s="1331">
        <f>T4113/S4113-1</f>
        <v>0.43750000000000022</v>
      </c>
      <c r="V4113" s="1203"/>
      <c r="W4113" s="1308">
        <v>9.1999999999999993</v>
      </c>
      <c r="X4113" s="1308">
        <v>13.1</v>
      </c>
      <c r="Y4113" s="1331">
        <f>X4113/W4113-1</f>
        <v>0.42391304347826098</v>
      </c>
    </row>
    <row r="4114" spans="2:25">
      <c r="B4114" s="1203" t="s">
        <v>16</v>
      </c>
      <c r="C4114" s="1203">
        <f>C4107+C4111+C4113</f>
        <v>441.3</v>
      </c>
      <c r="D4114" s="1203">
        <f>D4107+D4111+D4113</f>
        <v>547.90000000000009</v>
      </c>
      <c r="E4114" s="1305">
        <f>D4114/C4114-1</f>
        <v>0.24155903013822821</v>
      </c>
      <c r="F4114" s="1203"/>
      <c r="G4114" s="1203">
        <f>G4107+G4111+G4113</f>
        <v>129.20000000000002</v>
      </c>
      <c r="H4114" s="1203">
        <f>H4107+H4111+H4113</f>
        <v>152.29999999999998</v>
      </c>
      <c r="I4114" s="1305">
        <f>H4114/G4114-1</f>
        <v>0.17879256965944235</v>
      </c>
      <c r="J4114" s="1203"/>
      <c r="K4114" s="1203">
        <f t="shared" si="399"/>
        <v>116.70000000000002</v>
      </c>
      <c r="L4114" s="1203">
        <f t="shared" si="399"/>
        <v>148.90000000000003</v>
      </c>
      <c r="M4114" s="1305">
        <f>L4114/K4114-1</f>
        <v>0.27592116538131983</v>
      </c>
      <c r="N4114" s="1203"/>
      <c r="O4114" s="1203">
        <f>O4107+O4111+O4113</f>
        <v>109.2</v>
      </c>
      <c r="P4114" s="1203">
        <f>P4107+P4111+P4113</f>
        <v>134.6</v>
      </c>
      <c r="Q4114" s="1305">
        <f>P4114/O4114-1</f>
        <v>0.23260073260073244</v>
      </c>
      <c r="R4114" s="1203"/>
      <c r="S4114" s="1203">
        <f>S4107+S4111+S4113</f>
        <v>108</v>
      </c>
      <c r="T4114" s="1203">
        <f>T4107+T4111+T4113</f>
        <v>135.20000000000002</v>
      </c>
      <c r="U4114" s="1305">
        <f>T4114/S4114-1</f>
        <v>0.25185185185185199</v>
      </c>
      <c r="V4114" s="1203"/>
      <c r="W4114" s="1203">
        <f>W4107+W4111+W4113</f>
        <v>107.4</v>
      </c>
      <c r="X4114" s="1203">
        <f>X4107+X4111+X4113</f>
        <v>129.19999999999999</v>
      </c>
      <c r="Y4114" s="1305">
        <f>X4114/W4114-1</f>
        <v>0.20297951582867757</v>
      </c>
    </row>
    <row r="4115" spans="2:25">
      <c r="B4115" s="1203"/>
      <c r="C4115" s="1203"/>
      <c r="D4115" s="1203"/>
      <c r="E4115" s="1203"/>
      <c r="F4115" s="1203"/>
      <c r="J4115" s="1203"/>
      <c r="K4115" s="1203"/>
      <c r="L4115" s="1203"/>
      <c r="M4115" s="1203"/>
      <c r="N4115" s="1203"/>
      <c r="O4115" s="1203"/>
      <c r="P4115" s="1203"/>
      <c r="Q4115" s="1203"/>
      <c r="R4115" s="1203"/>
      <c r="S4115" s="1203"/>
      <c r="T4115" s="1203"/>
      <c r="U4115" s="1203"/>
      <c r="V4115" s="1203"/>
      <c r="W4115" s="1203"/>
      <c r="X4115" s="1203"/>
      <c r="Y4115" s="1203"/>
    </row>
    <row r="4116" spans="2:25">
      <c r="B4116" s="1203" t="s">
        <v>7322</v>
      </c>
      <c r="C4116" s="1203">
        <v>647</v>
      </c>
      <c r="D4116" s="1203">
        <v>544</v>
      </c>
      <c r="E4116" s="1305">
        <f>D4116/C4116-1</f>
        <v>-0.15919629057187012</v>
      </c>
      <c r="F4116" s="1203"/>
      <c r="G4116">
        <f>X4116</f>
        <v>562</v>
      </c>
      <c r="H4116">
        <v>514</v>
      </c>
      <c r="I4116" s="1305">
        <f>H4116/G4116-1</f>
        <v>-8.5409252669039093E-2</v>
      </c>
      <c r="K4116" s="1203">
        <v>609</v>
      </c>
      <c r="L4116" s="1203">
        <v>531</v>
      </c>
      <c r="M4116" s="1305">
        <f>L4116/K4116-1</f>
        <v>-0.1280788177339901</v>
      </c>
      <c r="N4116" s="1203"/>
      <c r="O4116" s="1203">
        <v>660</v>
      </c>
      <c r="P4116" s="1203">
        <v>540</v>
      </c>
      <c r="Q4116" s="1305">
        <f>P4116/O4116-1</f>
        <v>-0.18181818181818177</v>
      </c>
      <c r="R4116" s="1203"/>
      <c r="S4116" s="1203">
        <v>674</v>
      </c>
      <c r="T4116" s="1203">
        <v>541</v>
      </c>
      <c r="U4116" s="1305">
        <f>T4116/S4116-1</f>
        <v>-0.19732937685459939</v>
      </c>
      <c r="V4116" s="1203"/>
      <c r="W4116" s="1203">
        <v>645</v>
      </c>
      <c r="X4116" s="1203">
        <v>562</v>
      </c>
      <c r="Y4116" s="1305">
        <f>X4116/W4116-1</f>
        <v>-0.12868217054263564</v>
      </c>
    </row>
    <row r="4117" spans="2:25">
      <c r="B4117" s="1203"/>
      <c r="C4117" s="1203"/>
      <c r="D4117" s="1203"/>
      <c r="E4117" s="1203"/>
      <c r="F4117" s="1203"/>
      <c r="K4117" s="1203"/>
      <c r="L4117" s="1203"/>
      <c r="M4117" s="1203"/>
      <c r="N4117" s="1203"/>
      <c r="O4117" s="1203"/>
      <c r="P4117" s="1203"/>
      <c r="Q4117" s="1203"/>
      <c r="R4117" s="1203"/>
      <c r="S4117" s="1203"/>
      <c r="T4117" s="1203"/>
      <c r="U4117" s="1203"/>
      <c r="V4117" s="1203"/>
      <c r="W4117" s="1203"/>
      <c r="X4117" s="1203"/>
      <c r="Y4117" s="1203"/>
    </row>
    <row r="4118" spans="2:25">
      <c r="B4118" s="1205" t="s">
        <v>7323</v>
      </c>
      <c r="C4118" s="1205">
        <v>2022</v>
      </c>
      <c r="D4118" s="1205">
        <v>2023</v>
      </c>
      <c r="E4118" s="1342" t="s">
        <v>1424</v>
      </c>
      <c r="F4118" s="1203"/>
      <c r="G4118" s="1205">
        <v>2022</v>
      </c>
      <c r="H4118" s="1205">
        <v>2023</v>
      </c>
      <c r="I4118" s="1342" t="s">
        <v>1424</v>
      </c>
      <c r="K4118" s="1205">
        <v>2022</v>
      </c>
      <c r="L4118" s="1205">
        <v>2023</v>
      </c>
      <c r="M4118" s="1342" t="s">
        <v>1424</v>
      </c>
      <c r="N4118" s="1203"/>
      <c r="O4118" s="1205">
        <v>2022</v>
      </c>
      <c r="P4118" s="1205">
        <v>2023</v>
      </c>
      <c r="Q4118" s="1342" t="s">
        <v>1424</v>
      </c>
      <c r="R4118" s="1203"/>
      <c r="S4118" s="1205">
        <v>2022</v>
      </c>
      <c r="T4118" s="1205">
        <v>2023</v>
      </c>
      <c r="U4118" s="1342" t="s">
        <v>1424</v>
      </c>
      <c r="V4118" s="1203"/>
      <c r="W4118" s="1205">
        <v>2022</v>
      </c>
      <c r="X4118" s="1205">
        <v>2023</v>
      </c>
      <c r="Y4118" s="1342" t="s">
        <v>1424</v>
      </c>
    </row>
    <row r="4119" spans="2:25">
      <c r="B4119" s="1203" t="s">
        <v>7320</v>
      </c>
      <c r="C4119" s="1341">
        <f>C4105*C$4116</f>
        <v>85080.5</v>
      </c>
      <c r="D4119" s="1341">
        <f>D4105*D$4116</f>
        <v>78499.200000000012</v>
      </c>
      <c r="E4119" s="1305">
        <f>D4119/C4119-1</f>
        <v>-7.7353800224493119E-2</v>
      </c>
      <c r="F4119" s="1203"/>
      <c r="G4119" s="1341">
        <f>G4105*G$4116</f>
        <v>20288.2</v>
      </c>
      <c r="H4119" s="1341">
        <f>H4105*H$4116</f>
        <v>18195.599999999999</v>
      </c>
      <c r="I4119" s="1305">
        <f>H4119/G4119-1</f>
        <v>-0.10314369929318534</v>
      </c>
      <c r="K4119" s="1341">
        <f>K4105*K$4116</f>
        <v>18026.400000000005</v>
      </c>
      <c r="L4119" s="1341">
        <f>L4105*L$4116</f>
        <v>15505.2</v>
      </c>
      <c r="M4119" s="1305">
        <f>L4119/K4119-1</f>
        <v>-0.13986153641326071</v>
      </c>
      <c r="N4119" s="1203"/>
      <c r="O4119" s="1341">
        <f>O4105*O$4116</f>
        <v>22307.999999999996</v>
      </c>
      <c r="P4119" s="1341">
        <f>P4105*P$4116</f>
        <v>20466</v>
      </c>
      <c r="Q4119" s="1305">
        <f>P4119/O4119-1</f>
        <v>-8.2571274878966983E-2</v>
      </c>
      <c r="R4119" s="1203"/>
      <c r="S4119" s="1341">
        <f>S4105*S$4116</f>
        <v>22511.599999999999</v>
      </c>
      <c r="T4119" s="1341">
        <f>T4105*T$4116</f>
        <v>21315.399999999998</v>
      </c>
      <c r="U4119" s="1305">
        <f>T4119/S4119-1</f>
        <v>-5.3137049343449649E-2</v>
      </c>
      <c r="V4119" s="1203"/>
      <c r="W4119" s="1341">
        <f>W4105*W$4116</f>
        <v>22381.500000000004</v>
      </c>
      <c r="X4119" s="1341">
        <f>X4105*X$4116</f>
        <v>21243.599999999999</v>
      </c>
      <c r="Y4119" s="1305">
        <f>X4119/W4119-1</f>
        <v>-5.0841096441257561E-2</v>
      </c>
    </row>
    <row r="4120" spans="2:25">
      <c r="B4120" s="1203" t="s">
        <v>7321</v>
      </c>
      <c r="C4120" s="1343">
        <f>C4106*C$4116</f>
        <v>3299.7</v>
      </c>
      <c r="D4120" s="1343">
        <f>D4106*D$4116</f>
        <v>7779.2000000000007</v>
      </c>
      <c r="E4120" s="1305">
        <f>D4120/C4120-1</f>
        <v>1.3575476558475015</v>
      </c>
      <c r="F4120" s="1203"/>
      <c r="G4120" s="1343">
        <f>G4106*G$4116</f>
        <v>1405</v>
      </c>
      <c r="H4120" s="1343">
        <f>H4106*H$4116</f>
        <v>4985.7999999999993</v>
      </c>
      <c r="I4120" s="1305">
        <f>H4120/G4120-1</f>
        <v>2.5486120996441275</v>
      </c>
      <c r="K4120" s="1343">
        <f>K4106*K$4116</f>
        <v>1522.5</v>
      </c>
      <c r="L4120" s="1343">
        <f>L4106*L$4116</f>
        <v>2761.2000000000007</v>
      </c>
      <c r="M4120" s="1305">
        <f>L4120/K4120-1</f>
        <v>0.81359605911330091</v>
      </c>
      <c r="N4120" s="1203"/>
      <c r="O4120" s="1343">
        <f>O4106*O$4116</f>
        <v>660</v>
      </c>
      <c r="P4120" s="1343">
        <f>P4106*P$4116</f>
        <v>2160</v>
      </c>
      <c r="Q4120" s="1305">
        <f>P4120/O4120-1</f>
        <v>2.2727272727272729</v>
      </c>
      <c r="R4120" s="1203"/>
      <c r="S4120" s="1343">
        <f>S4106*S$4116</f>
        <v>539.20000000000005</v>
      </c>
      <c r="T4120" s="1343">
        <f>T4106*T$4116</f>
        <v>1406.6000000000001</v>
      </c>
      <c r="U4120" s="1305">
        <f>T4120/S4120-1</f>
        <v>1.6086795252225521</v>
      </c>
      <c r="V4120" s="1203"/>
      <c r="W4120" s="1343">
        <f>W4106*W$4116</f>
        <v>516</v>
      </c>
      <c r="X4120" s="1343">
        <f>X4106*X$4116</f>
        <v>1405</v>
      </c>
      <c r="Y4120" s="1305">
        <f>X4120/W4120-1</f>
        <v>1.7228682170542635</v>
      </c>
    </row>
    <row r="4121" spans="2:25">
      <c r="B4121" s="1203" t="s">
        <v>4711</v>
      </c>
      <c r="C4121" s="1341">
        <f>SUM(C4119:C4120)</f>
        <v>88380.2</v>
      </c>
      <c r="D4121" s="1341">
        <f>SUM(D4119:D4120)</f>
        <v>86278.400000000009</v>
      </c>
      <c r="E4121" s="1305">
        <f>D4121/C4121-1</f>
        <v>-2.3781344690326445E-2</v>
      </c>
      <c r="F4121" s="1203"/>
      <c r="G4121" s="1341">
        <f>SUM(G4119:G4120)</f>
        <v>21693.200000000001</v>
      </c>
      <c r="H4121" s="1341">
        <f>SUM(H4119:H4120)</f>
        <v>23181.399999999998</v>
      </c>
      <c r="I4121" s="1305">
        <f>H4121/G4121-1</f>
        <v>6.8602142606899674E-2</v>
      </c>
      <c r="K4121" s="1341">
        <f>SUM(K4119:K4120)</f>
        <v>19548.900000000005</v>
      </c>
      <c r="L4121" s="1341">
        <f>SUM(L4119:L4120)</f>
        <v>18266.400000000001</v>
      </c>
      <c r="M4121" s="1305">
        <f>L4121/K4121-1</f>
        <v>-6.5604714331752856E-2</v>
      </c>
      <c r="N4121" s="1203"/>
      <c r="O4121" s="1341">
        <f>SUM(O4119:O4120)</f>
        <v>22967.999999999996</v>
      </c>
      <c r="P4121" s="1341">
        <f>SUM(P4119:P4120)</f>
        <v>22626</v>
      </c>
      <c r="Q4121" s="1305">
        <f>P4121/O4121-1</f>
        <v>-1.4890282131661325E-2</v>
      </c>
      <c r="R4121" s="1203"/>
      <c r="S4121" s="1341">
        <f>SUM(S4119:S4120)</f>
        <v>23050.799999999999</v>
      </c>
      <c r="T4121" s="1341">
        <f>SUM(T4119:T4120)</f>
        <v>22721.999999999996</v>
      </c>
      <c r="U4121" s="1305">
        <f>T4121/S4121-1</f>
        <v>-1.426414701442047E-2</v>
      </c>
      <c r="V4121" s="1203"/>
      <c r="W4121" s="1341">
        <f>SUM(W4119:W4120)</f>
        <v>22897.500000000004</v>
      </c>
      <c r="X4121" s="1341">
        <f>SUM(X4119:X4120)</f>
        <v>22648.6</v>
      </c>
      <c r="Y4121" s="1305">
        <f>X4121/W4121-1</f>
        <v>-1.0870182334316247E-2</v>
      </c>
    </row>
    <row r="4122" spans="2:25">
      <c r="B4122" s="1203"/>
      <c r="C4122" s="1203"/>
      <c r="D4122" s="1203"/>
      <c r="E4122" s="1203"/>
      <c r="F4122" s="1203"/>
      <c r="G4122" s="1203"/>
      <c r="H4122" s="1203"/>
      <c r="I4122" s="1203"/>
      <c r="K4122" s="1203"/>
      <c r="L4122" s="1203"/>
      <c r="M4122" s="1203"/>
      <c r="N4122" s="1203"/>
      <c r="O4122" s="1203"/>
      <c r="P4122" s="1203"/>
      <c r="Q4122" s="1203"/>
      <c r="R4122" s="1203"/>
      <c r="S4122" s="1203"/>
      <c r="T4122" s="1203"/>
      <c r="U4122" s="1203"/>
      <c r="V4122" s="1203"/>
      <c r="W4122" s="1203"/>
      <c r="X4122" s="1203"/>
      <c r="Y4122" s="1203"/>
    </row>
    <row r="4123" spans="2:25">
      <c r="B4123" s="1203" t="s">
        <v>5490</v>
      </c>
      <c r="C4123" s="1341">
        <f>C4109*C$4116</f>
        <v>126229.7</v>
      </c>
      <c r="D4123" s="1341">
        <f>D4109*D$4116</f>
        <v>131702.39999999999</v>
      </c>
      <c r="E4123" s="1305">
        <f>D4123/C4123-1</f>
        <v>4.3355089966941263E-2</v>
      </c>
      <c r="F4123" s="1203"/>
      <c r="G4123" s="1341">
        <f>G4109*G$4116</f>
        <v>32483.599999999999</v>
      </c>
      <c r="H4123" s="1341">
        <f>H4109*H$4116</f>
        <v>34849.199999999997</v>
      </c>
      <c r="I4123" s="1305">
        <f>H4123/G4123-1</f>
        <v>7.2824440640815613E-2</v>
      </c>
      <c r="K4123" s="1341">
        <f>K4109*K$4116</f>
        <v>31850.699999999997</v>
      </c>
      <c r="L4123" s="1341">
        <f>L4109*L$4116</f>
        <v>33612.299999999988</v>
      </c>
      <c r="M4123" s="1305">
        <f>L4123/K4123-1</f>
        <v>5.530804660494093E-2</v>
      </c>
      <c r="N4123" s="1203"/>
      <c r="O4123" s="1341">
        <f>O4109*O$4116</f>
        <v>31680</v>
      </c>
      <c r="P4123" s="1341">
        <f>P4109*P$4116</f>
        <v>32778</v>
      </c>
      <c r="Q4123" s="1305">
        <f>P4123/O4123-1</f>
        <v>3.4659090909090917E-2</v>
      </c>
      <c r="R4123" s="1203"/>
      <c r="S4123" s="1341">
        <f>S4109*S$4116</f>
        <v>32756.400000000001</v>
      </c>
      <c r="T4123" s="1341">
        <f>T4109*T$4116</f>
        <v>32622.3</v>
      </c>
      <c r="U4123" s="1305">
        <f>T4123/S4123-1</f>
        <v>-4.0938564677437395E-3</v>
      </c>
      <c r="V4123" s="1203"/>
      <c r="W4123" s="1341">
        <f>W4109*W$4116</f>
        <v>29799.000000000004</v>
      </c>
      <c r="X4123" s="1341">
        <f>X4109*X$4116</f>
        <v>32483.599999999999</v>
      </c>
      <c r="Y4123" s="1305">
        <f>X4123/W4123-1</f>
        <v>9.009027148562021E-2</v>
      </c>
    </row>
    <row r="4124" spans="2:25">
      <c r="B4124" s="1203" t="s">
        <v>3655</v>
      </c>
      <c r="C4124" s="1343">
        <f>C4110*C$4116</f>
        <v>41925.599999999999</v>
      </c>
      <c r="D4124" s="1343">
        <f>D4110*D$4116</f>
        <v>43628.800000000003</v>
      </c>
      <c r="E4124" s="1331">
        <f>D4124/C4124-1</f>
        <v>4.0624344076173102E-2</v>
      </c>
      <c r="F4124" s="1203"/>
      <c r="G4124" s="1343">
        <f>G4110*G$4116</f>
        <v>10116</v>
      </c>
      <c r="H4124" s="1343">
        <f>H4110*H$4116</f>
        <v>11822</v>
      </c>
      <c r="I4124" s="1331">
        <f>H4124/G4124-1</f>
        <v>0.16864373270067223</v>
      </c>
      <c r="K4124" s="1343">
        <f>K4110*K$4116</f>
        <v>9926.6999999999989</v>
      </c>
      <c r="L4124" s="1343">
        <f>L4110*L$4116</f>
        <v>12637.800000000003</v>
      </c>
      <c r="M4124" s="1331">
        <f>L4124/K4124-1</f>
        <v>0.27311191030251791</v>
      </c>
      <c r="N4124" s="1203"/>
      <c r="O4124" s="1343">
        <f>O4110*O$4116</f>
        <v>10823.999999999998</v>
      </c>
      <c r="P4124" s="1343">
        <f>P4110*P$4116</f>
        <v>10422</v>
      </c>
      <c r="Q4124" s="1331">
        <f>P4124/O4124-1</f>
        <v>-3.713968957871383E-2</v>
      </c>
      <c r="R4124" s="1203"/>
      <c r="S4124" s="1343">
        <f>S4110*S$4116</f>
        <v>10514.4</v>
      </c>
      <c r="T4124" s="1343">
        <f>T4110*T$4116</f>
        <v>10333.1</v>
      </c>
      <c r="U4124" s="1331">
        <f>T4124/S4124-1</f>
        <v>-1.7243019097618384E-2</v>
      </c>
      <c r="V4124" s="1203"/>
      <c r="W4124" s="1343">
        <f>W4110*W$4116</f>
        <v>10642.5</v>
      </c>
      <c r="X4124" s="1343">
        <f>X4110*X$4116</f>
        <v>10116</v>
      </c>
      <c r="Y4124" s="1331">
        <f>X4124/W4124-1</f>
        <v>-4.9471458773784338E-2</v>
      </c>
    </row>
    <row r="4125" spans="2:25">
      <c r="B4125" s="1203" t="s">
        <v>5</v>
      </c>
      <c r="C4125" s="1341">
        <f>SUM(C4123:C4124)</f>
        <v>168155.3</v>
      </c>
      <c r="D4125" s="1341">
        <f>SUM(D4123:D4124)</f>
        <v>175331.20000000001</v>
      </c>
      <c r="E4125" s="1305">
        <f>D4125/C4125-1</f>
        <v>4.2674242203487145E-2</v>
      </c>
      <c r="F4125" s="1203"/>
      <c r="G4125" s="1341">
        <f>SUM(G4123:G4124)</f>
        <v>42599.6</v>
      </c>
      <c r="H4125" s="1341">
        <f>SUM(H4123:H4124)</f>
        <v>46671.199999999997</v>
      </c>
      <c r="I4125" s="1305">
        <f>H4125/G4125-1</f>
        <v>9.5578362238142978E-2</v>
      </c>
      <c r="K4125" s="1341">
        <f>SUM(K4123:K4124)</f>
        <v>41777.399999999994</v>
      </c>
      <c r="L4125" s="1341">
        <f>SUM(L4123:L4124)</f>
        <v>46250.099999999991</v>
      </c>
      <c r="M4125" s="1305">
        <f>L4125/K4125-1</f>
        <v>0.10706027660888418</v>
      </c>
      <c r="N4125" s="1203"/>
      <c r="O4125" s="1341">
        <f>SUM(O4123:O4124)</f>
        <v>42504</v>
      </c>
      <c r="P4125" s="1341">
        <f>SUM(P4123:P4124)</f>
        <v>43200</v>
      </c>
      <c r="Q4125" s="1305">
        <f>P4125/O4125-1</f>
        <v>1.637492941840768E-2</v>
      </c>
      <c r="R4125" s="1203"/>
      <c r="S4125" s="1341">
        <f>SUM(S4123:S4124)</f>
        <v>43270.8</v>
      </c>
      <c r="T4125" s="1341">
        <f>SUM(T4123:T4124)</f>
        <v>42955.4</v>
      </c>
      <c r="U4125" s="1305">
        <f>T4125/S4125-1</f>
        <v>-7.2889800974329511E-3</v>
      </c>
      <c r="V4125" s="1203"/>
      <c r="W4125" s="1341">
        <f>SUM(W4123:W4124)</f>
        <v>40441.5</v>
      </c>
      <c r="X4125" s="1341">
        <f>SUM(X4123:X4124)</f>
        <v>42599.6</v>
      </c>
      <c r="Y4125" s="1305">
        <f>X4125/W4125-1</f>
        <v>5.336350036472437E-2</v>
      </c>
    </row>
    <row r="4126" spans="2:25">
      <c r="B4126" s="1203"/>
      <c r="C4126" s="1203"/>
      <c r="D4126" s="1203"/>
      <c r="E4126" s="1203"/>
      <c r="F4126" s="1203"/>
      <c r="G4126" s="1203"/>
      <c r="H4126" s="1203"/>
      <c r="I4126" s="1203"/>
      <c r="K4126" s="1203"/>
      <c r="L4126" s="1203"/>
      <c r="M4126" s="1203"/>
      <c r="N4126" s="1203"/>
      <c r="O4126" s="1203"/>
      <c r="P4126" s="1203"/>
      <c r="Q4126" s="1203"/>
      <c r="R4126" s="1203"/>
      <c r="S4126" s="1203"/>
      <c r="T4126" s="1203"/>
      <c r="U4126" s="1203"/>
      <c r="V4126" s="1203"/>
      <c r="W4126" s="1203"/>
      <c r="X4126" s="1203"/>
      <c r="Y4126" s="1203"/>
    </row>
    <row r="4127" spans="2:25">
      <c r="B4127" s="1308" t="s">
        <v>2412</v>
      </c>
      <c r="C4127" s="1343">
        <f>C4113*C$4116</f>
        <v>28985.599999999999</v>
      </c>
      <c r="D4127" s="1343">
        <f>D4113*D$4116</f>
        <v>36448</v>
      </c>
      <c r="E4127" s="1331">
        <f>D4127/C4127-1</f>
        <v>0.25745197615367643</v>
      </c>
      <c r="F4127" s="1203"/>
      <c r="G4127" s="1343">
        <f>G4113*G$4116</f>
        <v>8317.6</v>
      </c>
      <c r="H4127" s="1343">
        <f>H4113*H$4116</f>
        <v>8429.5999999999985</v>
      </c>
      <c r="I4127" s="1331">
        <f>H4127/G4127-1</f>
        <v>1.346542271809148E-2</v>
      </c>
      <c r="K4127" s="1343">
        <f>K4113*K$4116</f>
        <v>9743.9999999999982</v>
      </c>
      <c r="L4127" s="1343">
        <f>L4113*L$4116</f>
        <v>14549.4</v>
      </c>
      <c r="M4127" s="1331">
        <f>L4127/K4127-1</f>
        <v>0.49316502463054213</v>
      </c>
      <c r="N4127" s="1203"/>
      <c r="O4127" s="1343">
        <f>O4113*O$4116</f>
        <v>6600</v>
      </c>
      <c r="P4127" s="1343">
        <f>P4113*P$4116</f>
        <v>6858</v>
      </c>
      <c r="Q4127" s="1331">
        <f>P4127/O4127-1</f>
        <v>3.9090909090909065E-2</v>
      </c>
      <c r="R4127" s="1203"/>
      <c r="S4127" s="1343">
        <f>S4113*S$4116</f>
        <v>6470.4</v>
      </c>
      <c r="T4127" s="1343">
        <f>T4113*T$4116</f>
        <v>7465.8</v>
      </c>
      <c r="U4127" s="1331">
        <f>T4127/S4127-1</f>
        <v>0.15383902077151346</v>
      </c>
      <c r="V4127" s="1203"/>
      <c r="W4127" s="1343">
        <f>W4113*W$4116</f>
        <v>5933.9999999999991</v>
      </c>
      <c r="X4127" s="1343">
        <f>X4113*X$4116</f>
        <v>7362.2</v>
      </c>
      <c r="Y4127" s="1331">
        <f>X4127/W4127-1</f>
        <v>0.24068082237950805</v>
      </c>
    </row>
    <row r="4128" spans="2:25">
      <c r="B4128" s="1203" t="s">
        <v>16</v>
      </c>
      <c r="C4128" s="1203">
        <f>C4121+C4125+C4127</f>
        <v>285521.09999999998</v>
      </c>
      <c r="D4128" s="1203">
        <f>D4121+D4125+D4127</f>
        <v>298057.60000000003</v>
      </c>
      <c r="E4128" s="1305">
        <f>D4128/C4128-1</f>
        <v>4.3907438014213485E-2</v>
      </c>
      <c r="F4128" s="1203"/>
      <c r="G4128" s="1203">
        <f>G4121+G4125+G4127</f>
        <v>72610.400000000009</v>
      </c>
      <c r="H4128" s="1203">
        <f>H4121+H4125+H4127</f>
        <v>78282.199999999983</v>
      </c>
      <c r="I4128" s="1305">
        <f>H4128/G4128-1</f>
        <v>7.811277723301302E-2</v>
      </c>
      <c r="K4128" s="1203">
        <f>K4121+K4125+K4127</f>
        <v>71070.3</v>
      </c>
      <c r="L4128" s="1203">
        <f>L4121+L4125+L4127</f>
        <v>79065.899999999994</v>
      </c>
      <c r="M4128" s="1305">
        <f>L4128/K4128-1</f>
        <v>0.11250269099750509</v>
      </c>
      <c r="N4128" s="1203"/>
      <c r="O4128" s="1203">
        <f>O4121+O4125+O4127</f>
        <v>72072</v>
      </c>
      <c r="P4128" s="1203">
        <f>P4121+P4125+P4127</f>
        <v>72684</v>
      </c>
      <c r="Q4128" s="1305">
        <f>P4128/O4128-1</f>
        <v>8.4915084915084815E-3</v>
      </c>
      <c r="R4128" s="1203"/>
      <c r="S4128" s="1203">
        <f>S4121+S4125+S4127</f>
        <v>72792</v>
      </c>
      <c r="T4128" s="1203">
        <f>T4121+T4125+T4127</f>
        <v>73143.199999999997</v>
      </c>
      <c r="U4128" s="1305">
        <f>T4128/S4128-1</f>
        <v>4.8247060116495266E-3</v>
      </c>
      <c r="V4128" s="1203"/>
      <c r="W4128" s="1203">
        <f>W4121+W4125+W4127</f>
        <v>69273</v>
      </c>
      <c r="X4128" s="1203">
        <f>X4121+X4125+X4127</f>
        <v>72610.399999999994</v>
      </c>
      <c r="Y4128" s="1305">
        <f>X4128/W4128-1</f>
        <v>4.8177500613514557E-2</v>
      </c>
    </row>
    <row r="4129" spans="2:21">
      <c r="B4129" s="1203"/>
      <c r="C4129" s="1203"/>
      <c r="D4129" s="1203"/>
      <c r="E4129" s="1203"/>
      <c r="F4129" s="1203"/>
      <c r="G4129" s="1203"/>
      <c r="H4129" s="1203"/>
      <c r="I4129" s="1203"/>
      <c r="J4129" s="1203"/>
      <c r="K4129" s="1203"/>
      <c r="L4129" s="1203"/>
      <c r="M4129" s="1203"/>
      <c r="N4129" s="1203"/>
      <c r="O4129" s="1203"/>
      <c r="P4129" s="1203"/>
      <c r="Q4129" s="1203"/>
      <c r="R4129" s="1203"/>
      <c r="S4129" s="1203"/>
      <c r="T4129" s="1203"/>
      <c r="U4129" s="1203"/>
    </row>
    <row r="4130" spans="2:21">
      <c r="B4130" s="1205" t="s">
        <v>7329</v>
      </c>
      <c r="C4130" s="1342" t="s">
        <v>6525</v>
      </c>
      <c r="D4130" s="1342" t="s">
        <v>6526</v>
      </c>
      <c r="E4130" s="1342" t="s">
        <v>6527</v>
      </c>
      <c r="F4130" s="1342" t="s">
        <v>6528</v>
      </c>
      <c r="G4130" s="1203"/>
      <c r="H4130" s="1203"/>
      <c r="I4130" s="1203"/>
      <c r="J4130" s="1203"/>
      <c r="K4130" s="1203"/>
      <c r="L4130" s="1203"/>
      <c r="M4130" s="1203"/>
      <c r="N4130" s="1203"/>
      <c r="O4130" s="1203"/>
      <c r="P4130" s="1203"/>
      <c r="Q4130" s="1203"/>
      <c r="R4130" s="1203"/>
      <c r="S4130" s="1203"/>
      <c r="T4130" s="1203"/>
      <c r="U4130" s="1203"/>
    </row>
    <row r="4131" spans="2:21">
      <c r="B4131" s="1203" t="str">
        <f>B4105</f>
        <v>Fixed res</v>
      </c>
      <c r="C4131" s="1305">
        <f>Y4119</f>
        <v>-5.0841096441257561E-2</v>
      </c>
      <c r="D4131" s="1305">
        <f>U4119</f>
        <v>-5.3137049343449649E-2</v>
      </c>
      <c r="E4131" s="1305">
        <f>Q4119</f>
        <v>-8.2571274878966983E-2</v>
      </c>
      <c r="F4131" s="1305">
        <f>M4119</f>
        <v>-0.13986153641326071</v>
      </c>
      <c r="G4131" s="1203"/>
      <c r="H4131" s="1203"/>
      <c r="I4131" s="1203"/>
      <c r="J4131" s="1203"/>
      <c r="K4131" s="1203"/>
      <c r="L4131" s="1203"/>
      <c r="M4131" s="1203"/>
      <c r="N4131" s="1203"/>
      <c r="O4131" s="1203"/>
      <c r="P4131" s="1203"/>
      <c r="Q4131" s="1203"/>
      <c r="R4131" s="1203"/>
      <c r="S4131" s="1203"/>
      <c r="T4131" s="1203"/>
      <c r="U4131" s="1203"/>
    </row>
    <row r="4132" spans="2:21">
      <c r="B4132" s="1308" t="str">
        <f>B4106</f>
        <v>Non susbcription</v>
      </c>
      <c r="C4132" s="1331">
        <f>Y4120</f>
        <v>1.7228682170542635</v>
      </c>
      <c r="D4132" s="1331">
        <f>U4120</f>
        <v>1.6086795252225521</v>
      </c>
      <c r="E4132" s="1331">
        <f>Q4120</f>
        <v>2.2727272727272729</v>
      </c>
      <c r="F4132" s="1331">
        <f>M4120</f>
        <v>0.81359605911330091</v>
      </c>
      <c r="G4132" s="1203"/>
      <c r="H4132" s="1203"/>
      <c r="I4132" s="1203"/>
      <c r="J4132" s="1203"/>
      <c r="K4132" s="1203"/>
      <c r="L4132" s="1203"/>
      <c r="M4132" s="1203"/>
      <c r="N4132" s="1203"/>
      <c r="O4132" s="1203"/>
      <c r="P4132" s="1203"/>
      <c r="Q4132" s="1203"/>
      <c r="R4132" s="1203"/>
      <c r="S4132" s="1203"/>
      <c r="T4132" s="1203"/>
      <c r="U4132" s="1203"/>
    </row>
    <row r="4133" spans="2:21">
      <c r="B4133" s="1203" t="str">
        <f>B4107</f>
        <v xml:space="preserve">Fixed </v>
      </c>
      <c r="C4133" s="1305">
        <f>Y4121</f>
        <v>-1.0870182334316247E-2</v>
      </c>
      <c r="D4133" s="1305">
        <f>U4121</f>
        <v>-1.426414701442047E-2</v>
      </c>
      <c r="E4133" s="1305">
        <f>Q4121</f>
        <v>-1.4890282131661325E-2</v>
      </c>
      <c r="F4133" s="1305">
        <f>M4121</f>
        <v>-6.5604714331752856E-2</v>
      </c>
      <c r="G4133" s="1203"/>
      <c r="H4133" s="1203"/>
      <c r="I4133" s="1203"/>
      <c r="J4133" s="1203"/>
      <c r="K4133" s="1203"/>
      <c r="L4133" s="1203"/>
      <c r="M4133" s="1203"/>
      <c r="N4133" s="1203"/>
      <c r="O4133" s="1203"/>
      <c r="P4133" s="1203"/>
      <c r="Q4133" s="1203"/>
      <c r="R4133" s="1203"/>
      <c r="S4133" s="1203"/>
      <c r="T4133" s="1203"/>
      <c r="U4133" s="1203"/>
    </row>
    <row r="4134" spans="2:21">
      <c r="B4134" s="1203"/>
      <c r="C4134" s="1305"/>
      <c r="D4134" s="1305"/>
      <c r="E4134" s="1305"/>
      <c r="F4134" s="1305"/>
      <c r="G4134" s="1203"/>
      <c r="H4134" s="1203"/>
      <c r="I4134" s="1203"/>
      <c r="J4134" s="1203"/>
      <c r="K4134" s="1203"/>
      <c r="L4134" s="1203"/>
      <c r="M4134" s="1203"/>
      <c r="N4134" s="1203"/>
      <c r="O4134" s="1203"/>
      <c r="P4134" s="1203"/>
      <c r="Q4134" s="1203"/>
      <c r="R4134" s="1203"/>
      <c r="S4134" s="1203"/>
      <c r="T4134" s="1203"/>
      <c r="U4134" s="1203"/>
    </row>
    <row r="4135" spans="2:21">
      <c r="B4135" s="1203" t="str">
        <f>B4109</f>
        <v>Mobile service</v>
      </c>
      <c r="C4135" s="1305">
        <f>Y4123</f>
        <v>9.009027148562021E-2</v>
      </c>
      <c r="D4135" s="1305">
        <f>U4123</f>
        <v>-4.0938564677437395E-3</v>
      </c>
      <c r="E4135" s="1305">
        <f>Q4123</f>
        <v>3.4659090909090917E-2</v>
      </c>
      <c r="F4135" s="1305">
        <f>M4123</f>
        <v>5.530804660494093E-2</v>
      </c>
      <c r="G4135" s="1203"/>
      <c r="H4135" s="1203"/>
      <c r="I4135" s="1203"/>
      <c r="J4135" s="1203"/>
      <c r="K4135" s="1203"/>
      <c r="L4135" s="1203"/>
      <c r="M4135" s="1203"/>
      <c r="N4135" s="1203"/>
      <c r="O4135" s="1203"/>
      <c r="P4135" s="1203"/>
      <c r="Q4135" s="1203"/>
      <c r="R4135" s="1203"/>
      <c r="S4135" s="1203"/>
      <c r="T4135" s="1203"/>
      <c r="U4135" s="1203"/>
    </row>
    <row r="4136" spans="2:21">
      <c r="B4136" s="1308" t="str">
        <f>B4110</f>
        <v>Equipment</v>
      </c>
      <c r="C4136" s="1331">
        <f>Y4124</f>
        <v>-4.9471458773784338E-2</v>
      </c>
      <c r="D4136" s="1331">
        <f>U4124</f>
        <v>-1.7243019097618384E-2</v>
      </c>
      <c r="E4136" s="1331">
        <f>Q4124</f>
        <v>-3.713968957871383E-2</v>
      </c>
      <c r="F4136" s="1331">
        <f>M4124</f>
        <v>0.27311191030251791</v>
      </c>
      <c r="G4136" s="1203"/>
      <c r="H4136" s="1203"/>
      <c r="I4136" s="1203"/>
      <c r="J4136" s="1203"/>
      <c r="K4136" s="1203"/>
      <c r="L4136" s="1203"/>
      <c r="M4136" s="1203"/>
      <c r="N4136" s="1203"/>
      <c r="O4136" s="1203"/>
      <c r="P4136" s="1203"/>
      <c r="Q4136" s="1203"/>
      <c r="R4136" s="1203"/>
      <c r="S4136" s="1203"/>
      <c r="T4136" s="1203"/>
      <c r="U4136" s="1203"/>
    </row>
    <row r="4137" spans="2:21">
      <c r="B4137" s="1203" t="str">
        <f>B4111</f>
        <v>Mobile</v>
      </c>
      <c r="C4137" s="1305">
        <f>Y4125</f>
        <v>5.336350036472437E-2</v>
      </c>
      <c r="D4137" s="1305">
        <f>U4125</f>
        <v>-7.2889800974329511E-3</v>
      </c>
      <c r="E4137" s="1305">
        <f>Q4125</f>
        <v>1.637492941840768E-2</v>
      </c>
      <c r="F4137" s="1305">
        <f>M4125</f>
        <v>0.10706027660888418</v>
      </c>
      <c r="G4137" s="1203"/>
      <c r="H4137" s="1203"/>
      <c r="I4137" s="1203"/>
      <c r="J4137" s="1203"/>
      <c r="K4137" s="1203"/>
      <c r="L4137" s="1203"/>
      <c r="M4137" s="1203"/>
      <c r="N4137" s="1203"/>
      <c r="O4137" s="1203"/>
      <c r="P4137" s="1203"/>
      <c r="Q4137" s="1203"/>
      <c r="R4137" s="1203"/>
      <c r="S4137" s="1203"/>
      <c r="T4137" s="1203"/>
      <c r="U4137" s="1203"/>
    </row>
    <row r="4138" spans="2:21">
      <c r="B4138" s="1203"/>
      <c r="C4138" s="1305"/>
      <c r="D4138" s="1305"/>
      <c r="E4138" s="1305"/>
      <c r="F4138" s="1305"/>
      <c r="G4138" s="1203"/>
      <c r="H4138" s="1203"/>
      <c r="I4138" s="1203"/>
      <c r="J4138" s="1203"/>
      <c r="K4138" s="1203"/>
      <c r="L4138" s="1203"/>
      <c r="M4138" s="1203"/>
      <c r="N4138" s="1203"/>
      <c r="O4138" s="1203"/>
      <c r="P4138" s="1203"/>
      <c r="Q4138" s="1203"/>
      <c r="R4138" s="1203"/>
      <c r="S4138" s="1203"/>
      <c r="T4138" s="1203"/>
      <c r="U4138" s="1203"/>
    </row>
    <row r="4139" spans="2:21">
      <c r="B4139" s="1308" t="str">
        <f>B4113</f>
        <v>B2B</v>
      </c>
      <c r="C4139" s="1331">
        <f>Y4127</f>
        <v>0.24068082237950805</v>
      </c>
      <c r="D4139" s="1331">
        <f>U4127</f>
        <v>0.15383902077151346</v>
      </c>
      <c r="E4139" s="1331">
        <f>Q4127</f>
        <v>3.9090909090909065E-2</v>
      </c>
      <c r="F4139" s="1331">
        <f>M4127</f>
        <v>0.49316502463054213</v>
      </c>
      <c r="G4139" s="1203"/>
      <c r="H4139" s="1203"/>
      <c r="I4139" s="1203"/>
      <c r="J4139" s="1203"/>
      <c r="K4139" s="1203"/>
      <c r="L4139" s="1203"/>
      <c r="M4139" s="1203"/>
      <c r="N4139" s="1203"/>
      <c r="O4139" s="1203"/>
      <c r="P4139" s="1203"/>
      <c r="Q4139" s="1203"/>
      <c r="R4139" s="1203"/>
      <c r="S4139" s="1203"/>
      <c r="T4139" s="1203"/>
      <c r="U4139" s="1203"/>
    </row>
    <row r="4140" spans="2:21">
      <c r="B4140" s="1204" t="s">
        <v>17</v>
      </c>
      <c r="C4140" s="1542">
        <f>Y4128</f>
        <v>4.8177500613514557E-2</v>
      </c>
      <c r="D4140" s="1542">
        <f>U4128</f>
        <v>4.8247060116495266E-3</v>
      </c>
      <c r="E4140" s="1542">
        <f>Q4128</f>
        <v>8.4915084915084815E-3</v>
      </c>
      <c r="F4140" s="1542">
        <f>M4128</f>
        <v>0.11250269099750509</v>
      </c>
      <c r="G4140" s="1203"/>
      <c r="H4140" s="1203"/>
      <c r="I4140" s="1203"/>
      <c r="J4140" s="1203"/>
      <c r="K4140" s="1203"/>
      <c r="L4140" s="1203"/>
      <c r="M4140" s="1203"/>
      <c r="N4140" s="1203"/>
      <c r="O4140" s="1203"/>
      <c r="P4140" s="1203"/>
      <c r="Q4140" s="1203"/>
      <c r="R4140" s="1203"/>
      <c r="S4140" s="1203"/>
      <c r="T4140" s="1203"/>
      <c r="U4140" s="1203"/>
    </row>
    <row r="4141" spans="2:21">
      <c r="B4141" s="1203"/>
      <c r="C4141" s="1203"/>
      <c r="D4141" s="1203"/>
      <c r="E4141" s="1203"/>
      <c r="F4141" s="1203"/>
      <c r="G4141" s="1203"/>
      <c r="H4141" s="1203"/>
      <c r="I4141" s="1203"/>
      <c r="J4141" s="1203"/>
      <c r="K4141" s="1203"/>
      <c r="L4141" s="1203"/>
      <c r="M4141" s="1203"/>
      <c r="N4141" s="1203"/>
      <c r="O4141" s="1203"/>
      <c r="P4141" s="1203"/>
      <c r="Q4141" s="1203"/>
      <c r="R4141" s="1203"/>
      <c r="S4141" s="1203"/>
      <c r="T4141" s="1203"/>
      <c r="U4141" s="1203"/>
    </row>
    <row r="4142" spans="2:21">
      <c r="B4142" s="1203" t="s">
        <v>18</v>
      </c>
      <c r="C4142" s="1307">
        <f>Snaps!O49</f>
        <v>0.34984520123839014</v>
      </c>
      <c r="D4142" s="1307">
        <f>Snaps!P49</f>
        <v>0.37056213017751483</v>
      </c>
      <c r="E4142" s="1307">
        <f>Snaps!Q49</f>
        <v>0.37072808320950967</v>
      </c>
      <c r="F4142" s="1307">
        <f>Snaps!R49</f>
        <v>0.38885157824042982</v>
      </c>
      <c r="G4142" s="1203"/>
      <c r="H4142" s="1203"/>
      <c r="I4142" s="1203"/>
      <c r="J4142" s="1203"/>
      <c r="K4142" s="1203"/>
      <c r="L4142" s="1203"/>
      <c r="M4142" s="1203"/>
      <c r="N4142" s="1203"/>
      <c r="O4142" s="1203"/>
      <c r="P4142" s="1203"/>
      <c r="Q4142" s="1203"/>
      <c r="R4142" s="1203"/>
      <c r="S4142" s="1203"/>
      <c r="T4142" s="1203"/>
      <c r="U4142" s="1203"/>
    </row>
    <row r="4143" spans="2:21">
      <c r="B4143" s="1203"/>
      <c r="C4143" s="1203"/>
      <c r="D4143" s="1203"/>
      <c r="E4143" s="1203"/>
      <c r="F4143" s="1203"/>
      <c r="G4143" s="1203"/>
      <c r="H4143" s="1203"/>
      <c r="I4143" s="1203"/>
      <c r="J4143" s="1203"/>
      <c r="K4143" s="1203"/>
      <c r="L4143" s="1203"/>
      <c r="M4143" s="1203"/>
      <c r="N4143" s="1203"/>
      <c r="O4143" s="1203"/>
      <c r="P4143" s="1203"/>
      <c r="Q4143" s="1203"/>
      <c r="R4143" s="1203"/>
      <c r="S4143" s="1203"/>
      <c r="T4143" s="1203"/>
      <c r="U4143" s="1203"/>
    </row>
    <row r="4144" spans="2:21">
      <c r="B4144" s="1204" t="s">
        <v>7328</v>
      </c>
      <c r="C4144" s="1542">
        <f>Snaps!S138</f>
        <v>0.28000000000000003</v>
      </c>
      <c r="D4144" s="1542">
        <f>Snaps!T138</f>
        <v>0.1</v>
      </c>
      <c r="E4144" s="1542">
        <f>Snaps!U138</f>
        <v>0.21</v>
      </c>
      <c r="F4144" s="1542">
        <f>Snaps!V138</f>
        <v>0.36</v>
      </c>
      <c r="G4144" s="1203"/>
      <c r="H4144" s="1203"/>
      <c r="I4144" s="1203"/>
      <c r="J4144" s="1203"/>
      <c r="K4144" s="1203"/>
      <c r="L4144" s="1203"/>
      <c r="M4144" s="1203"/>
      <c r="N4144" s="1203"/>
      <c r="O4144" s="1203"/>
      <c r="P4144" s="1203"/>
      <c r="Q4144" s="1203"/>
      <c r="R4144" s="1203"/>
      <c r="S4144" s="1203"/>
      <c r="T4144" s="1203"/>
      <c r="U4144" s="1203"/>
    </row>
    <row r="4146" spans="2:25">
      <c r="B4146" s="1554" t="s">
        <v>0</v>
      </c>
      <c r="C4146" s="1555" t="s">
        <v>2752</v>
      </c>
      <c r="D4146" s="1555" t="s">
        <v>2752</v>
      </c>
      <c r="E4146" s="1556"/>
      <c r="F4146" s="1556"/>
      <c r="G4146" s="1555" t="s">
        <v>7327</v>
      </c>
      <c r="H4146" s="1555" t="s">
        <v>7327</v>
      </c>
      <c r="I4146" s="1556"/>
      <c r="J4146" s="1556"/>
      <c r="K4146" s="1555" t="s">
        <v>7327</v>
      </c>
      <c r="L4146" s="1555" t="s">
        <v>7327</v>
      </c>
      <c r="M4146" s="1556"/>
      <c r="N4146" s="1556"/>
      <c r="O4146" s="1555" t="s">
        <v>7327</v>
      </c>
      <c r="P4146" s="1555" t="s">
        <v>7327</v>
      </c>
      <c r="Q4146" s="1556"/>
      <c r="R4146" s="1556"/>
      <c r="S4146" s="1555" t="s">
        <v>7327</v>
      </c>
      <c r="T4146" s="1555" t="s">
        <v>7327</v>
      </c>
      <c r="U4146" s="1556"/>
      <c r="V4146" s="1556"/>
      <c r="W4146" s="1555" t="s">
        <v>7327</v>
      </c>
      <c r="X4146" s="1555" t="s">
        <v>7327</v>
      </c>
      <c r="Y4146" s="1556"/>
    </row>
    <row r="4147" spans="2:25">
      <c r="B4147" s="1557"/>
      <c r="C4147" s="1558"/>
      <c r="D4147" s="1558"/>
      <c r="E4147" s="1557"/>
      <c r="F4147" s="1557"/>
      <c r="G4147" s="1558" t="s">
        <v>7325</v>
      </c>
      <c r="H4147" s="1558" t="s">
        <v>7325</v>
      </c>
      <c r="I4147" s="1557"/>
      <c r="J4147" s="1557"/>
      <c r="K4147" s="1558" t="s">
        <v>7326</v>
      </c>
      <c r="L4147" s="1558" t="s">
        <v>7326</v>
      </c>
      <c r="M4147" s="1557"/>
      <c r="N4147" s="1557"/>
      <c r="O4147" s="1558" t="s">
        <v>2453</v>
      </c>
      <c r="P4147" s="1558" t="s">
        <v>2453</v>
      </c>
      <c r="Q4147" s="1557"/>
      <c r="R4147" s="1557"/>
      <c r="S4147" s="1558" t="s">
        <v>7324</v>
      </c>
      <c r="T4147" s="1558" t="s">
        <v>7324</v>
      </c>
      <c r="U4147" s="1557"/>
      <c r="V4147" s="1557"/>
      <c r="W4147" s="1558" t="s">
        <v>7325</v>
      </c>
      <c r="X4147" s="1558" t="s">
        <v>7325</v>
      </c>
      <c r="Y4147" s="1557"/>
    </row>
    <row r="4148" spans="2:25">
      <c r="B4148" s="1205" t="s">
        <v>3871</v>
      </c>
      <c r="C4148" s="1205">
        <v>2022</v>
      </c>
      <c r="D4148" s="1205">
        <v>2023</v>
      </c>
      <c r="E4148" s="1342" t="s">
        <v>1424</v>
      </c>
      <c r="F4148" s="1203"/>
      <c r="G4148" s="1205">
        <v>2023</v>
      </c>
      <c r="H4148" s="1205">
        <v>2024</v>
      </c>
      <c r="I4148" s="1342" t="s">
        <v>1424</v>
      </c>
      <c r="K4148" s="1205">
        <v>2022</v>
      </c>
      <c r="L4148" s="1205">
        <v>2023</v>
      </c>
      <c r="M4148" s="1342" t="s">
        <v>1424</v>
      </c>
      <c r="N4148" s="1203"/>
      <c r="O4148" s="1205">
        <v>2022</v>
      </c>
      <c r="P4148" s="1205">
        <v>2023</v>
      </c>
      <c r="Q4148" s="1342" t="s">
        <v>1424</v>
      </c>
      <c r="R4148" s="1203"/>
      <c r="S4148" s="1205">
        <v>2022</v>
      </c>
      <c r="T4148" s="1205">
        <v>2023</v>
      </c>
      <c r="U4148" s="1342" t="s">
        <v>1424</v>
      </c>
      <c r="V4148" s="1203"/>
      <c r="W4148" s="1205">
        <v>2022</v>
      </c>
      <c r="X4148" s="1205">
        <v>2023</v>
      </c>
      <c r="Y4148" s="1342" t="s">
        <v>1424</v>
      </c>
    </row>
    <row r="4149" spans="2:25">
      <c r="B4149" s="1203" t="s">
        <v>7320</v>
      </c>
      <c r="C4149" s="1203">
        <v>131.5</v>
      </c>
      <c r="D4149" s="1203">
        <v>144.30000000000001</v>
      </c>
      <c r="E4149" s="1305">
        <f>D4149/C4149-1</f>
        <v>9.7338403041825172E-2</v>
      </c>
      <c r="F4149" s="1203"/>
      <c r="G4149" s="1203">
        <v>28.3</v>
      </c>
      <c r="H4149" s="1203">
        <v>30.4</v>
      </c>
      <c r="I4149" s="1305">
        <f>H4149/G4149-1</f>
        <v>7.4204946996466292E-2</v>
      </c>
      <c r="K4149" s="1203">
        <f t="shared" ref="K4149:L4151" si="400">C4149-O4149-S4149-W4149</f>
        <v>29.600000000000009</v>
      </c>
      <c r="L4149" s="1203">
        <f t="shared" si="400"/>
        <v>29.200000000000003</v>
      </c>
      <c r="M4149" s="1305">
        <f>L4149/K4149-1</f>
        <v>-1.3513513513513709E-2</v>
      </c>
      <c r="N4149" s="1203"/>
      <c r="O4149" s="1203">
        <v>33.799999999999997</v>
      </c>
      <c r="P4149" s="1203">
        <v>37.9</v>
      </c>
      <c r="Q4149" s="1305">
        <f>P4149/O4149-1</f>
        <v>0.12130177514792906</v>
      </c>
      <c r="R4149" s="1203"/>
      <c r="S4149" s="1203">
        <v>33.4</v>
      </c>
      <c r="T4149" s="1203">
        <v>39.4</v>
      </c>
      <c r="U4149" s="1305">
        <f>T4149/S4149-1</f>
        <v>0.17964071856287434</v>
      </c>
      <c r="V4149" s="1203"/>
      <c r="W4149" s="1203">
        <v>34.700000000000003</v>
      </c>
      <c r="X4149" s="1203">
        <v>37.799999999999997</v>
      </c>
      <c r="Y4149" s="1305">
        <f>X4149/W4149-1</f>
        <v>8.9337175792506995E-2</v>
      </c>
    </row>
    <row r="4150" spans="2:25">
      <c r="B4150" s="1203" t="s">
        <v>3642</v>
      </c>
      <c r="C4150" s="1308">
        <v>5.0999999999999996</v>
      </c>
      <c r="D4150" s="1308">
        <v>14.3</v>
      </c>
      <c r="E4150" s="1305">
        <f>D4150/C4150-1</f>
        <v>1.8039215686274512</v>
      </c>
      <c r="F4150" s="1203"/>
      <c r="G4150" s="1308">
        <v>1.4</v>
      </c>
      <c r="H4150" s="1308">
        <v>1.2</v>
      </c>
      <c r="I4150" s="1305">
        <f>H4150/G4150-1</f>
        <v>-0.14285714285714279</v>
      </c>
      <c r="K4150" s="1308">
        <f t="shared" si="400"/>
        <v>2.5</v>
      </c>
      <c r="L4150" s="1308">
        <f t="shared" si="400"/>
        <v>5.2000000000000011</v>
      </c>
      <c r="M4150" s="1305">
        <f>L4150/K4150-1</f>
        <v>1.0800000000000005</v>
      </c>
      <c r="N4150" s="1203"/>
      <c r="O4150" s="1308">
        <v>1</v>
      </c>
      <c r="P4150" s="1308">
        <v>4</v>
      </c>
      <c r="Q4150" s="1305">
        <f>P4150/O4150-1</f>
        <v>3</v>
      </c>
      <c r="R4150" s="1203"/>
      <c r="S4150" s="1308">
        <v>0.8</v>
      </c>
      <c r="T4150" s="1308">
        <v>2.6</v>
      </c>
      <c r="U4150" s="1305">
        <f>T4150/S4150-1</f>
        <v>2.25</v>
      </c>
      <c r="V4150" s="1203"/>
      <c r="W4150" s="1308">
        <v>0.8</v>
      </c>
      <c r="X4150" s="1308">
        <v>2.5</v>
      </c>
      <c r="Y4150" s="1305">
        <f>X4150/W4150-1</f>
        <v>2.125</v>
      </c>
    </row>
    <row r="4151" spans="2:25">
      <c r="B4151" s="1203" t="s">
        <v>4711</v>
      </c>
      <c r="C4151" s="1203">
        <f>SUM(C4149:C4150)</f>
        <v>136.6</v>
      </c>
      <c r="D4151" s="1203">
        <f>SUM(D4149:D4150)</f>
        <v>158.60000000000002</v>
      </c>
      <c r="E4151" s="1305">
        <f>D4151/C4151-1</f>
        <v>0.16105417276720368</v>
      </c>
      <c r="F4151" s="1203"/>
      <c r="G4151" s="1203">
        <f>G4149+G4150</f>
        <v>29.7</v>
      </c>
      <c r="H4151" s="1203">
        <f>H4149+H4150</f>
        <v>31.599999999999998</v>
      </c>
      <c r="I4151" s="1305">
        <f>H4151/G4151-1</f>
        <v>6.3973063973064015E-2</v>
      </c>
      <c r="K4151" s="1203">
        <f t="shared" si="400"/>
        <v>32.099999999999994</v>
      </c>
      <c r="L4151" s="1203">
        <f t="shared" si="400"/>
        <v>34.40000000000002</v>
      </c>
      <c r="M4151" s="1305">
        <f>L4151/K4151-1</f>
        <v>7.1651090342679913E-2</v>
      </c>
      <c r="N4151" s="1203"/>
      <c r="O4151" s="1203">
        <f>SUM(O4149:O4150)</f>
        <v>34.799999999999997</v>
      </c>
      <c r="P4151" s="1203">
        <f>SUM(P4149:P4150)</f>
        <v>41.9</v>
      </c>
      <c r="Q4151" s="1305">
        <f>P4151/O4151-1</f>
        <v>0.20402298850574718</v>
      </c>
      <c r="R4151" s="1203"/>
      <c r="S4151" s="1203">
        <f>SUM(S4149:S4150)</f>
        <v>34.199999999999996</v>
      </c>
      <c r="T4151" s="1203">
        <f>SUM(T4149:T4150)</f>
        <v>42</v>
      </c>
      <c r="U4151" s="1305">
        <f>T4151/S4151-1</f>
        <v>0.22807017543859653</v>
      </c>
      <c r="V4151" s="1203"/>
      <c r="W4151" s="1203">
        <f>SUM(W4149:W4150)</f>
        <v>35.5</v>
      </c>
      <c r="X4151" s="1203">
        <f>SUM(X4149:X4150)</f>
        <v>40.299999999999997</v>
      </c>
      <c r="Y4151" s="1305">
        <f>X4151/W4151-1</f>
        <v>0.13521126760563362</v>
      </c>
    </row>
    <row r="4152" spans="2:25">
      <c r="B4152" s="1203"/>
      <c r="C4152" s="1203"/>
      <c r="D4152" s="1203"/>
      <c r="E4152" s="1203"/>
      <c r="F4152" s="1203"/>
      <c r="G4152" s="1203"/>
      <c r="H4152" s="1203"/>
      <c r="I4152" s="1203"/>
      <c r="K4152" s="1203"/>
      <c r="L4152" s="1203"/>
      <c r="M4152" s="1203"/>
      <c r="N4152" s="1203"/>
      <c r="O4152" s="1203"/>
      <c r="P4152" s="1203"/>
      <c r="Q4152" s="1203"/>
      <c r="R4152" s="1203"/>
      <c r="S4152" s="1203"/>
      <c r="T4152" s="1203"/>
      <c r="U4152" s="1203"/>
      <c r="V4152" s="1203"/>
      <c r="W4152" s="1203"/>
      <c r="X4152" s="1203"/>
      <c r="Y4152" s="1203"/>
    </row>
    <row r="4153" spans="2:25">
      <c r="B4153" s="1203" t="s">
        <v>5490</v>
      </c>
      <c r="C4153" s="1203">
        <v>195.1</v>
      </c>
      <c r="D4153" s="1203">
        <v>242.1</v>
      </c>
      <c r="E4153" s="1305">
        <f>D4153/C4153-1</f>
        <v>0.24090210148641722</v>
      </c>
      <c r="F4153" s="1203"/>
      <c r="G4153" s="1217">
        <v>65</v>
      </c>
      <c r="H4153" s="1203">
        <v>61.8</v>
      </c>
      <c r="I4153" s="1305">
        <f>H4153/G4153-1</f>
        <v>-4.92307692307693E-2</v>
      </c>
      <c r="K4153" s="1203">
        <f t="shared" ref="K4153:L4158" si="401">C4153-O4153-S4153-W4153</f>
        <v>52.3</v>
      </c>
      <c r="L4153" s="1203">
        <f t="shared" si="401"/>
        <v>63.299999999999983</v>
      </c>
      <c r="M4153" s="1305">
        <f>L4153/K4153-1</f>
        <v>0.21032504780114691</v>
      </c>
      <c r="N4153" s="1203"/>
      <c r="O4153" s="1203">
        <v>48</v>
      </c>
      <c r="P4153" s="1203">
        <v>60.7</v>
      </c>
      <c r="Q4153" s="1305">
        <f>P4153/O4153-1</f>
        <v>0.26458333333333339</v>
      </c>
      <c r="R4153" s="1203"/>
      <c r="S4153" s="1203">
        <v>48.6</v>
      </c>
      <c r="T4153" s="1203">
        <v>60.3</v>
      </c>
      <c r="U4153" s="1305">
        <f>T4153/S4153-1</f>
        <v>0.2407407407407407</v>
      </c>
      <c r="V4153" s="1203"/>
      <c r="W4153" s="1203">
        <v>46.2</v>
      </c>
      <c r="X4153" s="1203">
        <v>57.8</v>
      </c>
      <c r="Y4153" s="1305">
        <f>X4153/W4153-1</f>
        <v>0.25108225108225102</v>
      </c>
    </row>
    <row r="4154" spans="2:25">
      <c r="B4154" s="1203" t="s">
        <v>3655</v>
      </c>
      <c r="C4154" s="1308">
        <v>64.8</v>
      </c>
      <c r="D4154" s="1308">
        <v>80.2</v>
      </c>
      <c r="E4154" s="1305">
        <f>D4154/C4154-1</f>
        <v>0.23765432098765449</v>
      </c>
      <c r="F4154" s="1203"/>
      <c r="G4154" s="1308">
        <v>13.3</v>
      </c>
      <c r="H4154" s="1308">
        <v>12.7</v>
      </c>
      <c r="I4154" s="1305">
        <f>H4154/G4154-1</f>
        <v>-4.5112781954887327E-2</v>
      </c>
      <c r="K4154" s="1308">
        <f t="shared" si="401"/>
        <v>16.299999999999997</v>
      </c>
      <c r="L4154" s="1308">
        <f t="shared" si="401"/>
        <v>23.800000000000004</v>
      </c>
      <c r="M4154" s="1305">
        <f>L4154/K4154-1</f>
        <v>0.46012269938650352</v>
      </c>
      <c r="N4154" s="1203"/>
      <c r="O4154" s="1308">
        <v>16.399999999999999</v>
      </c>
      <c r="P4154" s="1308">
        <v>19.3</v>
      </c>
      <c r="Q4154" s="1305">
        <f>P4154/O4154-1</f>
        <v>0.17682926829268308</v>
      </c>
      <c r="R4154" s="1203"/>
      <c r="S4154" s="1308">
        <v>15.6</v>
      </c>
      <c r="T4154" s="1308">
        <v>19.100000000000001</v>
      </c>
      <c r="U4154" s="1305">
        <f>T4154/S4154-1</f>
        <v>0.22435897435897445</v>
      </c>
      <c r="V4154" s="1203"/>
      <c r="W4154" s="1308">
        <v>16.5</v>
      </c>
      <c r="X4154" s="1308">
        <v>18</v>
      </c>
      <c r="Y4154" s="1305">
        <f>X4154/W4154-1</f>
        <v>9.0909090909090828E-2</v>
      </c>
    </row>
    <row r="4155" spans="2:25">
      <c r="B4155" s="1203" t="s">
        <v>5</v>
      </c>
      <c r="C4155" s="1203">
        <f>SUM(C4153:C4154)</f>
        <v>259.89999999999998</v>
      </c>
      <c r="D4155" s="1203">
        <f>SUM(D4153:D4154)</f>
        <v>322.3</v>
      </c>
      <c r="E4155" s="1305">
        <f>D4155/C4155-1</f>
        <v>0.24009234320892658</v>
      </c>
      <c r="F4155" s="1203"/>
      <c r="G4155" s="1203">
        <f>G4153+G4154</f>
        <v>78.3</v>
      </c>
      <c r="H4155" s="1203">
        <f>H4153+H4154</f>
        <v>74.5</v>
      </c>
      <c r="I4155" s="1305">
        <f>H4155/G4155-1</f>
        <v>-4.8531289910600184E-2</v>
      </c>
      <c r="K4155" s="1203">
        <f t="shared" si="401"/>
        <v>68.599999999999952</v>
      </c>
      <c r="L4155" s="1203">
        <f t="shared" si="401"/>
        <v>87.100000000000009</v>
      </c>
      <c r="M4155" s="1305">
        <f>L4155/K4155-1</f>
        <v>0.2696793002915463</v>
      </c>
      <c r="N4155" s="1203"/>
      <c r="O4155" s="1203">
        <f>SUM(O4153:O4154)</f>
        <v>64.400000000000006</v>
      </c>
      <c r="P4155" s="1203">
        <f>SUM(P4153:P4154)</f>
        <v>80</v>
      </c>
      <c r="Q4155" s="1305">
        <f>P4155/O4155-1</f>
        <v>0.2422360248447204</v>
      </c>
      <c r="R4155" s="1203"/>
      <c r="S4155" s="1203">
        <f>SUM(S4153:S4154)</f>
        <v>64.2</v>
      </c>
      <c r="T4155" s="1203">
        <f>SUM(T4153:T4154)</f>
        <v>79.400000000000006</v>
      </c>
      <c r="U4155" s="1305">
        <f>T4155/S4155-1</f>
        <v>0.23676012461059193</v>
      </c>
      <c r="V4155" s="1203"/>
      <c r="W4155" s="1203">
        <f>SUM(W4153:W4154)</f>
        <v>62.7</v>
      </c>
      <c r="X4155" s="1203">
        <f>SUM(X4153:X4154)</f>
        <v>75.8</v>
      </c>
      <c r="Y4155" s="1305">
        <f>X4155/W4155-1</f>
        <v>0.20893141945773519</v>
      </c>
    </row>
    <row r="4156" spans="2:25">
      <c r="B4156" s="1203"/>
      <c r="C4156" s="1203"/>
      <c r="D4156" s="1203"/>
      <c r="E4156" s="1203"/>
      <c r="F4156" s="1203"/>
      <c r="G4156" s="1203"/>
      <c r="H4156" s="1203"/>
      <c r="I4156" s="1203"/>
      <c r="K4156" s="1203">
        <f t="shared" si="401"/>
        <v>0</v>
      </c>
      <c r="L4156" s="1203">
        <f t="shared" si="401"/>
        <v>0</v>
      </c>
      <c r="M4156" s="1203"/>
      <c r="N4156" s="1203"/>
      <c r="O4156" s="1203"/>
      <c r="P4156" s="1203"/>
      <c r="Q4156" s="1203"/>
      <c r="R4156" s="1203"/>
      <c r="S4156" s="1203"/>
      <c r="T4156" s="1203"/>
      <c r="U4156" s="1203"/>
      <c r="V4156" s="1203"/>
      <c r="W4156" s="1203"/>
      <c r="X4156" s="1203"/>
      <c r="Y4156" s="1203"/>
    </row>
    <row r="4157" spans="2:25">
      <c r="B4157" s="1308" t="s">
        <v>2412</v>
      </c>
      <c r="C4157" s="1308">
        <v>44.8</v>
      </c>
      <c r="D4157" s="1308">
        <v>67</v>
      </c>
      <c r="E4157" s="1331">
        <f>D4157/C4157-1</f>
        <v>0.49553571428571441</v>
      </c>
      <c r="F4157" s="1203"/>
      <c r="G4157" s="1308">
        <v>57.2</v>
      </c>
      <c r="H4157" s="1308">
        <v>63.1</v>
      </c>
      <c r="I4157" s="1331">
        <f>H4157/G4157-1</f>
        <v>0.10314685314685312</v>
      </c>
      <c r="K4157" s="1308">
        <f t="shared" si="401"/>
        <v>15.999999999999996</v>
      </c>
      <c r="L4157" s="1308">
        <f t="shared" si="401"/>
        <v>27.4</v>
      </c>
      <c r="M4157" s="1331">
        <f>L4157/K4157-1</f>
        <v>0.71250000000000036</v>
      </c>
      <c r="N4157" s="1203"/>
      <c r="O4157" s="1308">
        <v>10</v>
      </c>
      <c r="P4157" s="1308">
        <v>12.7</v>
      </c>
      <c r="Q4157" s="1331">
        <f>P4157/O4157-1</f>
        <v>0.27</v>
      </c>
      <c r="R4157" s="1203"/>
      <c r="S4157" s="1308">
        <v>9.6</v>
      </c>
      <c r="T4157" s="1308">
        <v>13.8</v>
      </c>
      <c r="U4157" s="1331">
        <f>T4157/S4157-1</f>
        <v>0.43750000000000022</v>
      </c>
      <c r="V4157" s="1203"/>
      <c r="W4157" s="1308">
        <v>9.1999999999999993</v>
      </c>
      <c r="X4157" s="1308">
        <v>13.1</v>
      </c>
      <c r="Y4157" s="1331">
        <f>X4157/W4157-1</f>
        <v>0.42391304347826098</v>
      </c>
    </row>
    <row r="4158" spans="2:25">
      <c r="B4158" s="1203" t="s">
        <v>16</v>
      </c>
      <c r="C4158" s="1203">
        <f>C4151+C4155+C4157</f>
        <v>441.3</v>
      </c>
      <c r="D4158" s="1203">
        <f>D4151+D4155+D4157</f>
        <v>547.90000000000009</v>
      </c>
      <c r="E4158" s="1305">
        <f>D4158/C4158-1</f>
        <v>0.24155903013822821</v>
      </c>
      <c r="F4158" s="1203"/>
      <c r="G4158" s="1203">
        <f>G4151+G4155+G4157</f>
        <v>165.2</v>
      </c>
      <c r="H4158" s="1203">
        <f>H4151+H4155+H4157</f>
        <v>169.2</v>
      </c>
      <c r="I4158" s="1305">
        <f>H4158/G4158-1</f>
        <v>2.4213075060532718E-2</v>
      </c>
      <c r="K4158" s="1203">
        <f t="shared" si="401"/>
        <v>116.70000000000002</v>
      </c>
      <c r="L4158" s="1203">
        <f t="shared" si="401"/>
        <v>148.90000000000003</v>
      </c>
      <c r="M4158" s="1305">
        <f>L4158/K4158-1</f>
        <v>0.27592116538131983</v>
      </c>
      <c r="N4158" s="1203"/>
      <c r="O4158" s="1203">
        <f>O4151+O4155+O4157</f>
        <v>109.2</v>
      </c>
      <c r="P4158" s="1203">
        <f>P4151+P4155+P4157</f>
        <v>134.6</v>
      </c>
      <c r="Q4158" s="1305">
        <f>P4158/O4158-1</f>
        <v>0.23260073260073244</v>
      </c>
      <c r="R4158" s="1203"/>
      <c r="S4158" s="1203">
        <f>S4151+S4155+S4157</f>
        <v>108</v>
      </c>
      <c r="T4158" s="1203">
        <f>T4151+T4155+T4157</f>
        <v>135.20000000000002</v>
      </c>
      <c r="U4158" s="1305">
        <f>T4158/S4158-1</f>
        <v>0.25185185185185199</v>
      </c>
      <c r="V4158" s="1203"/>
      <c r="W4158" s="1203">
        <f>W4151+W4155+W4157</f>
        <v>107.4</v>
      </c>
      <c r="X4158" s="1203">
        <f>X4151+X4155+X4157</f>
        <v>129.19999999999999</v>
      </c>
      <c r="Y4158" s="1305">
        <f>X4158/W4158-1</f>
        <v>0.20297951582867757</v>
      </c>
    </row>
    <row r="4163" spans="2:4">
      <c r="B4163" s="513" t="s">
        <v>469</v>
      </c>
    </row>
    <row r="4165" spans="2:4">
      <c r="B4165" s="552" t="s">
        <v>564</v>
      </c>
      <c r="C4165" s="952" t="s">
        <v>900</v>
      </c>
      <c r="D4165" s="952" t="s">
        <v>7317</v>
      </c>
    </row>
    <row r="4166" spans="2:4">
      <c r="B4166" t="s">
        <v>1900</v>
      </c>
      <c r="C4166" s="16">
        <f>'LiLAC valuation'!AS330</f>
        <v>547.1</v>
      </c>
      <c r="D4166" s="5">
        <v>0.8</v>
      </c>
    </row>
    <row r="4167" spans="2:4">
      <c r="B4167" s="3" t="s">
        <v>1364</v>
      </c>
      <c r="C4167" s="64">
        <f>C4168-C4166</f>
        <v>136.77499999999998</v>
      </c>
      <c r="D4167" s="512">
        <f>C4167/C4168</f>
        <v>0.19999999999999996</v>
      </c>
    </row>
    <row r="4168" spans="2:4">
      <c r="B4168" t="s">
        <v>16</v>
      </c>
      <c r="C4168" s="16">
        <f>C4166/D4166</f>
        <v>683.875</v>
      </c>
      <c r="D4168" s="5">
        <f>SUM(D4166:D4167)</f>
        <v>1</v>
      </c>
    </row>
    <row r="4170" spans="2:4">
      <c r="B4170" s="552" t="s">
        <v>5</v>
      </c>
      <c r="C4170" s="952" t="s">
        <v>900</v>
      </c>
      <c r="D4170" s="952" t="s">
        <v>7317</v>
      </c>
    </row>
    <row r="4171" spans="2:4">
      <c r="B4171" t="s">
        <v>6558</v>
      </c>
      <c r="C4171" s="16">
        <f>C4174-C4172-C4173</f>
        <v>1958.6</v>
      </c>
      <c r="D4171" s="5">
        <f>C4171/C4174</f>
        <v>0.49999999999999994</v>
      </c>
    </row>
    <row r="4172" spans="2:4">
      <c r="B4172" t="s">
        <v>1900</v>
      </c>
      <c r="C4172" s="16">
        <f>'LiLAC valuation'!AS336</f>
        <v>979.30000000000007</v>
      </c>
      <c r="D4172" s="5">
        <v>0.25</v>
      </c>
    </row>
    <row r="4173" spans="2:4">
      <c r="B4173" s="3" t="s">
        <v>1364</v>
      </c>
      <c r="C4173" s="64">
        <f>C4174*D4173</f>
        <v>979.30000000000007</v>
      </c>
      <c r="D4173" s="512">
        <v>0.25</v>
      </c>
    </row>
    <row r="4174" spans="2:4">
      <c r="B4174" t="s">
        <v>16</v>
      </c>
      <c r="C4174" s="16">
        <f>C4172/D4172</f>
        <v>3917.2000000000003</v>
      </c>
      <c r="D4174" s="5">
        <f>SUM(D4171:D4173)</f>
        <v>1</v>
      </c>
    </row>
    <row r="4176" spans="2:4">
      <c r="B4176" t="s">
        <v>7013</v>
      </c>
      <c r="C4176">
        <v>3200</v>
      </c>
    </row>
    <row r="4177" spans="2:4">
      <c r="B4177" t="s">
        <v>7423</v>
      </c>
      <c r="C4177" s="16">
        <f>C4176/3.5</f>
        <v>914.28571428571433</v>
      </c>
    </row>
    <row r="4178" spans="2:4">
      <c r="B4178" s="12" t="s">
        <v>7422</v>
      </c>
      <c r="C4178" s="614">
        <f>C4168/C4177</f>
        <v>0.74798828124999994</v>
      </c>
    </row>
    <row r="4180" spans="2:4">
      <c r="B4180" s="513" t="s">
        <v>32</v>
      </c>
    </row>
    <row r="4182" spans="2:4">
      <c r="B4182" s="552" t="s">
        <v>564</v>
      </c>
      <c r="C4182" s="952" t="s">
        <v>900</v>
      </c>
      <c r="D4182" s="952" t="s">
        <v>7317</v>
      </c>
    </row>
    <row r="4183" spans="2:4">
      <c r="B4183" t="s">
        <v>1900</v>
      </c>
      <c r="C4183" s="16">
        <f>'New quarts'!AH430</f>
        <v>330.9</v>
      </c>
      <c r="D4183" s="5">
        <f>C4183/C$4185</f>
        <v>0.75204545454545446</v>
      </c>
    </row>
    <row r="4184" spans="2:4">
      <c r="B4184" s="3" t="s">
        <v>1365</v>
      </c>
      <c r="C4184" s="64">
        <f>C4185-C4183</f>
        <v>109.10000000000002</v>
      </c>
      <c r="D4184" s="512">
        <f>C4184/C$4185</f>
        <v>0.24795454545454551</v>
      </c>
    </row>
    <row r="4185" spans="2:4">
      <c r="B4185" t="s">
        <v>16</v>
      </c>
      <c r="C4185" s="16">
        <v>440</v>
      </c>
      <c r="D4185" s="5">
        <f>SUM(D4183:D4184)</f>
        <v>1</v>
      </c>
    </row>
    <row r="4187" spans="2:4">
      <c r="B4187" s="552" t="s">
        <v>5</v>
      </c>
      <c r="C4187" s="952" t="s">
        <v>900</v>
      </c>
      <c r="D4187" s="952" t="s">
        <v>7317</v>
      </c>
    </row>
    <row r="4188" spans="2:4">
      <c r="B4188" t="s">
        <v>1365</v>
      </c>
      <c r="C4188" s="16">
        <f>C4190-C4189</f>
        <v>1774.5</v>
      </c>
      <c r="D4188" s="5">
        <f>C4188/C$4190</f>
        <v>0.59110592938041306</v>
      </c>
    </row>
    <row r="4189" spans="2:4">
      <c r="B4189" s="3" t="s">
        <v>1900</v>
      </c>
      <c r="C4189" s="64">
        <f>'New quarts'!AH432</f>
        <v>1227.5</v>
      </c>
      <c r="D4189" s="512">
        <f>C4189/C$4190</f>
        <v>0.40889407061958694</v>
      </c>
    </row>
    <row r="4190" spans="2:4">
      <c r="B4190" t="s">
        <v>16</v>
      </c>
      <c r="C4190" s="16">
        <v>3002</v>
      </c>
      <c r="D4190" s="5">
        <f>SUM(D4188:D4189)</f>
        <v>1</v>
      </c>
    </row>
    <row r="4193" spans="2:6">
      <c r="B4193" t="s">
        <v>7392</v>
      </c>
      <c r="C4193">
        <v>0</v>
      </c>
      <c r="D4193" s="16">
        <f>'New quarts'!AW258</f>
        <v>0</v>
      </c>
    </row>
    <row r="4194" spans="2:6">
      <c r="B4194" t="s">
        <v>7397</v>
      </c>
      <c r="C4194" s="16">
        <f>D4193</f>
        <v>0</v>
      </c>
      <c r="D4194">
        <f>9/3</f>
        <v>3</v>
      </c>
    </row>
    <row r="4195" spans="2:6">
      <c r="B4195" t="s">
        <v>7398</v>
      </c>
      <c r="C4195" s="16">
        <f t="shared" ref="C4195:C4200" si="402">C4194+D4194</f>
        <v>3</v>
      </c>
      <c r="D4195" s="16">
        <f>14/3</f>
        <v>4.666666666666667</v>
      </c>
    </row>
    <row r="4196" spans="2:6">
      <c r="B4196" t="s">
        <v>7399</v>
      </c>
      <c r="C4196" s="16">
        <f t="shared" si="402"/>
        <v>7.666666666666667</v>
      </c>
      <c r="D4196" s="16">
        <f>18/3-1/3</f>
        <v>5.666666666666667</v>
      </c>
      <c r="F4196">
        <f>31+9/3</f>
        <v>34</v>
      </c>
    </row>
    <row r="4197" spans="2:6">
      <c r="B4197" t="s">
        <v>7393</v>
      </c>
      <c r="C4197" s="16">
        <f t="shared" si="402"/>
        <v>13.333333333333334</v>
      </c>
      <c r="D4197">
        <v>2</v>
      </c>
    </row>
    <row r="4198" spans="2:6">
      <c r="B4198" t="s">
        <v>7394</v>
      </c>
      <c r="C4198" s="16">
        <f t="shared" si="402"/>
        <v>15.333333333333334</v>
      </c>
      <c r="D4198" s="16">
        <v>2.6</v>
      </c>
    </row>
    <row r="4199" spans="2:6">
      <c r="B4199" t="s">
        <v>7395</v>
      </c>
      <c r="C4199" s="16">
        <f t="shared" si="402"/>
        <v>17.933333333333334</v>
      </c>
      <c r="D4199">
        <v>2</v>
      </c>
    </row>
    <row r="4200" spans="2:6">
      <c r="B4200" t="s">
        <v>7400</v>
      </c>
      <c r="C4200" s="16">
        <f t="shared" si="402"/>
        <v>19.933333333333334</v>
      </c>
      <c r="D4200">
        <v>2</v>
      </c>
    </row>
    <row r="4201" spans="2:6">
      <c r="B4201" t="s">
        <v>7396</v>
      </c>
      <c r="C4201" s="16">
        <v>0</v>
      </c>
      <c r="D4201" s="16">
        <f>C4200+D4200</f>
        <v>21.933333333333334</v>
      </c>
    </row>
    <row r="4212" spans="2:8">
      <c r="C4212" s="80" t="str">
        <f>'New quarts'!AW4</f>
        <v>Q1 24</v>
      </c>
      <c r="D4212" s="80" t="e">
        <f>'New quarts'!#REF!</f>
        <v>#REF!</v>
      </c>
      <c r="E4212" s="80" t="e">
        <f>'New quarts'!#REF!</f>
        <v>#REF!</v>
      </c>
      <c r="F4212" s="80" t="str">
        <f>'New quarts'!AZ4</f>
        <v>Q4 24e</v>
      </c>
      <c r="G4212" s="80" t="s">
        <v>7030</v>
      </c>
      <c r="H4212" s="80" t="s">
        <v>7031</v>
      </c>
    </row>
    <row r="4213" spans="2:8">
      <c r="B4213" t="s">
        <v>7401</v>
      </c>
      <c r="C4213" s="62">
        <f>'New quarts'!AW258</f>
        <v>0</v>
      </c>
      <c r="D4213" s="62" t="e">
        <f>'New quarts'!#REF!</f>
        <v>#REF!</v>
      </c>
      <c r="E4213" s="62" t="e">
        <f>'New quarts'!#REF!</f>
        <v>#REF!</v>
      </c>
      <c r="F4213" s="62">
        <f>'New quarts'!AZ258</f>
        <v>0</v>
      </c>
      <c r="G4213" s="62">
        <f>Master!Q71/12</f>
        <v>40.122983250600001</v>
      </c>
      <c r="H4213" s="62">
        <f>Master!R71/12</f>
        <v>43.052339421727574</v>
      </c>
    </row>
    <row r="4230" spans="2:10" ht="15.75" thickBot="1"/>
    <row r="4231" spans="2:10">
      <c r="B4231" s="552" t="s">
        <v>4963</v>
      </c>
      <c r="C4231" s="552">
        <v>2023</v>
      </c>
      <c r="D4231" s="1559" t="s">
        <v>7121</v>
      </c>
      <c r="E4231" s="1560" t="s">
        <v>7017</v>
      </c>
      <c r="F4231" s="1560" t="s">
        <v>7019</v>
      </c>
      <c r="G4231" s="1561" t="s">
        <v>7018</v>
      </c>
      <c r="H4231" s="552">
        <f>C4231+1</f>
        <v>2024</v>
      </c>
      <c r="I4231" s="552">
        <f>H4231+1</f>
        <v>2025</v>
      </c>
      <c r="J4231" s="552">
        <f>I4231+1</f>
        <v>2026</v>
      </c>
    </row>
    <row r="4232" spans="2:10">
      <c r="B4232" s="1257" t="s">
        <v>469</v>
      </c>
      <c r="C4232" s="1547">
        <f>Master!O71</f>
        <v>485.5</v>
      </c>
      <c r="D4232" s="1570">
        <f>'New quarts'!AW232</f>
        <v>69.099999999999994</v>
      </c>
      <c r="E4232" s="1547" t="e">
        <f>'New quarts'!#REF!</f>
        <v>#REF!</v>
      </c>
      <c r="F4232" s="1547" t="e">
        <f>'New quarts'!#REF!</f>
        <v>#REF!</v>
      </c>
      <c r="G4232" s="1571">
        <f>'New quarts'!AZ232</f>
        <v>95.512672000000052</v>
      </c>
      <c r="H4232" s="1547">
        <f>Master!P71</f>
        <v>323.91267200000004</v>
      </c>
      <c r="I4232" s="1547">
        <f>Master!Q71</f>
        <v>481.47579900720001</v>
      </c>
      <c r="J4232" s="1547">
        <f>Master!R71</f>
        <v>516.62807306073091</v>
      </c>
    </row>
    <row r="4233" spans="2:10">
      <c r="B4233" t="s">
        <v>29</v>
      </c>
      <c r="C4233" s="486">
        <f>Master!O85</f>
        <v>1086.2</v>
      </c>
      <c r="D4233" s="1568">
        <f>'New quarts'!AW211</f>
        <v>266.60000000000002</v>
      </c>
      <c r="E4233" s="486" t="e">
        <f>'New quarts'!#REF!</f>
        <v>#REF!</v>
      </c>
      <c r="F4233" s="486" t="e">
        <f>'New quarts'!#REF!</f>
        <v>#REF!</v>
      </c>
      <c r="G4233" s="1569">
        <f>'New quarts'!AZ211</f>
        <v>284.78419841410692</v>
      </c>
      <c r="H4233" s="486">
        <f>Master!P85</f>
        <v>1121.9841984141069</v>
      </c>
      <c r="I4233" s="486">
        <f>Master!Q85</f>
        <v>1184.2504847729369</v>
      </c>
      <c r="J4233" s="486">
        <f>Master!R85</f>
        <v>1222.7859544035505</v>
      </c>
    </row>
    <row r="4234" spans="2:10">
      <c r="B4234" s="1257" t="s">
        <v>3411</v>
      </c>
      <c r="C4234" s="1547">
        <f>Master!O72</f>
        <v>203.1</v>
      </c>
      <c r="D4234" s="1570">
        <f>'New quarts'!AW233</f>
        <v>58.3</v>
      </c>
      <c r="E4234" s="1547" t="e">
        <f>'New quarts'!#REF!</f>
        <v>#REF!</v>
      </c>
      <c r="F4234" s="1547" t="e">
        <f>'New quarts'!#REF!</f>
        <v>#REF!</v>
      </c>
      <c r="G4234" s="1571">
        <f>'New quarts'!AZ233</f>
        <v>54.702163132514997</v>
      </c>
      <c r="H4234" s="1547">
        <f>Master!P72</f>
        <v>217.20216313251501</v>
      </c>
      <c r="I4234" s="1547">
        <f>Master!Q72</f>
        <v>221.10334865412818</v>
      </c>
      <c r="J4234" s="1547">
        <f>Master!R72</f>
        <v>232.42211034164094</v>
      </c>
    </row>
    <row r="4235" spans="2:10">
      <c r="B4235" s="3" t="s">
        <v>1417</v>
      </c>
      <c r="C4235" s="487">
        <f>C4236-C4232-C4233-C4234</f>
        <v>-73.200000000000131</v>
      </c>
      <c r="D4235" s="1564">
        <f>'New quarts'!AW234</f>
        <v>-19.8</v>
      </c>
      <c r="E4235" s="487" t="e">
        <f>'New quarts'!#REF!</f>
        <v>#REF!</v>
      </c>
      <c r="F4235" s="487" t="e">
        <f>'New quarts'!#REF!</f>
        <v>#REF!</v>
      </c>
      <c r="G4235" s="1565">
        <f>'New quarts'!AZ234</f>
        <v>-22.300000000000004</v>
      </c>
      <c r="H4235" s="487">
        <f>H4236-H4232-H4233-H4234</f>
        <v>-83.999999999999659</v>
      </c>
      <c r="I4235" s="487">
        <f>I4236-I4232-I4233-I4234</f>
        <v>-83.999999999999943</v>
      </c>
      <c r="J4235" s="487">
        <f>J4236-J4232-J4233-J4234</f>
        <v>-83.999999999999972</v>
      </c>
    </row>
    <row r="4236" spans="2:10">
      <c r="B4236" s="1552" t="s">
        <v>8</v>
      </c>
      <c r="C4236" s="1553">
        <f>Valuation!N23</f>
        <v>1701.6</v>
      </c>
      <c r="D4236" s="1566">
        <f>SUM(D4232:D4235)</f>
        <v>374.20000000000005</v>
      </c>
      <c r="E4236" s="1553" t="e">
        <f>SUM(E4232:E4235)</f>
        <v>#REF!</v>
      </c>
      <c r="F4236" s="1553" t="e">
        <f>SUM(F4232:F4235)</f>
        <v>#REF!</v>
      </c>
      <c r="G4236" s="1567">
        <f>SUM(G4232:G4235)</f>
        <v>412.69903354662199</v>
      </c>
      <c r="H4236" s="1553">
        <f>Valuation!O23</f>
        <v>1579.0990335466222</v>
      </c>
      <c r="I4236" s="1553">
        <f>Valuation!P23</f>
        <v>1802.8296324342652</v>
      </c>
      <c r="J4236" s="1553">
        <f>Valuation!Q23</f>
        <v>1887.8361378059224</v>
      </c>
    </row>
    <row r="4237" spans="2:10">
      <c r="C4237" s="486"/>
      <c r="D4237" s="1568"/>
      <c r="E4237" s="486"/>
      <c r="F4237" s="486"/>
      <c r="G4237" s="1569"/>
      <c r="H4237" s="486"/>
      <c r="I4237" s="486"/>
      <c r="J4237" s="486"/>
    </row>
    <row r="4238" spans="2:10">
      <c r="B4238" s="1257" t="s">
        <v>679</v>
      </c>
      <c r="C4238" s="1547">
        <f>Master!O198</f>
        <v>-521.4</v>
      </c>
      <c r="D4238" s="1570">
        <f>-'New quarts'!AW316</f>
        <v>-155.9</v>
      </c>
      <c r="E4238" s="1547" t="e">
        <f>-'New quarts'!#REF!</f>
        <v>#REF!</v>
      </c>
      <c r="F4238" s="1547" t="e">
        <f>-'New quarts'!#REF!</f>
        <v>#REF!</v>
      </c>
      <c r="G4238" s="1571">
        <f ca="1">-'New quarts'!AZ316</f>
        <v>-148.05390955854739</v>
      </c>
      <c r="H4238" s="1547">
        <f ca="1">Master!P198</f>
        <v>-619.35390955854734</v>
      </c>
      <c r="I4238" s="1547">
        <f ca="1">Master!Q198</f>
        <v>-653.82239239434932</v>
      </c>
      <c r="J4238" s="1547">
        <f ca="1">Master!R198</f>
        <v>-711.84928438857503</v>
      </c>
    </row>
    <row r="4239" spans="2:10">
      <c r="B4239" t="s">
        <v>205</v>
      </c>
      <c r="C4239" s="486">
        <f>Master!O199</f>
        <v>-79.8</v>
      </c>
      <c r="D4239" s="1568">
        <v>-54.4</v>
      </c>
      <c r="E4239" s="486" t="e">
        <f>0-0.08*E4236</f>
        <v>#REF!</v>
      </c>
      <c r="F4239" s="486" t="e">
        <f>0-0.08*F4236</f>
        <v>#REF!</v>
      </c>
      <c r="G4239" s="1569" t="e">
        <f>H4239-D4239-E4239-F4239</f>
        <v>#REF!</v>
      </c>
      <c r="H4239" s="486">
        <f>Master!P199</f>
        <v>-284.23782603839197</v>
      </c>
      <c r="I4239" s="486">
        <f>Master!Q199</f>
        <v>-144.22637059474121</v>
      </c>
      <c r="J4239" s="486">
        <f>Master!R199</f>
        <v>-151.0268910244738</v>
      </c>
    </row>
    <row r="4240" spans="2:10">
      <c r="B4240" s="1314" t="s">
        <v>7406</v>
      </c>
      <c r="C4240" s="1548">
        <f>Master!O200</f>
        <v>-203.39999999999992</v>
      </c>
      <c r="D4240" s="1572">
        <f>-(D4236-D4241)-D4238-D4239</f>
        <v>-140.60000000000002</v>
      </c>
      <c r="E4240" s="1548" t="e">
        <f>-(E4236-E4241)-E4238-E4239</f>
        <v>#REF!</v>
      </c>
      <c r="F4240" s="1548" t="e">
        <f>-(F4236-F4241)-F4238-F4239</f>
        <v>#REF!</v>
      </c>
      <c r="G4240" s="1573" t="e">
        <f ca="1">-(G4236-G4241)-G4238-G4239</f>
        <v>#REF!</v>
      </c>
      <c r="H4240" s="1548">
        <f>Master!P200</f>
        <v>-4.7130538775945752E-3</v>
      </c>
      <c r="I4240" s="1548">
        <f>Master!Q200</f>
        <v>-26.768792555420475</v>
      </c>
      <c r="J4240" s="1548">
        <f>Master!R200</f>
        <v>-27.25126617301828</v>
      </c>
    </row>
    <row r="4241" spans="2:10">
      <c r="B4241" s="12" t="s">
        <v>7405</v>
      </c>
      <c r="C4241" s="1166">
        <f>Master!O201</f>
        <v>897</v>
      </c>
      <c r="D4241" s="1574">
        <f>'New quarts'!AW358</f>
        <v>23.3</v>
      </c>
      <c r="E4241" s="1166" t="e">
        <f>'New quarts'!#REF!</f>
        <v>#REF!</v>
      </c>
      <c r="F4241" s="1166" t="e">
        <f>'New quarts'!#REF!</f>
        <v>#REF!</v>
      </c>
      <c r="G4241" s="1575">
        <f ca="1">'New quarts'!AZ358</f>
        <v>288.40258489580515</v>
      </c>
      <c r="H4241" s="1166">
        <f ca="1">Master!P201</f>
        <v>675.50258489580528</v>
      </c>
      <c r="I4241" s="1166">
        <f ca="1">Master!Q201</f>
        <v>978.0120768897541</v>
      </c>
      <c r="J4241" s="1166">
        <f ca="1">Master!R201</f>
        <v>997.70869621985537</v>
      </c>
    </row>
    <row r="4242" spans="2:10">
      <c r="B4242" s="1257"/>
      <c r="C4242" s="1547"/>
      <c r="D4242" s="1570"/>
      <c r="E4242" s="1547"/>
      <c r="F4242" s="1547"/>
      <c r="G4242" s="1571"/>
      <c r="H4242" s="1547"/>
      <c r="I4242" s="1547"/>
      <c r="J4242" s="1547"/>
    </row>
    <row r="4243" spans="2:10">
      <c r="B4243" t="str">
        <f>'New quarts'!B362</f>
        <v>Expenses financed by intermediary</v>
      </c>
      <c r="C4243" s="486">
        <f>Master!O203</f>
        <v>176.9</v>
      </c>
      <c r="D4243" s="1568">
        <f>'New quarts'!AW362</f>
        <v>32.200000000000003</v>
      </c>
      <c r="E4243" s="486" t="e">
        <f>'New quarts'!#REF!</f>
        <v>#REF!</v>
      </c>
      <c r="F4243" s="486" t="e">
        <f>'New quarts'!#REF!</f>
        <v>#REF!</v>
      </c>
      <c r="G4243" s="1569">
        <f>'New quarts'!AZ362</f>
        <v>25.40000000000002</v>
      </c>
      <c r="H4243" s="486">
        <f>Master!P203</f>
        <v>170</v>
      </c>
      <c r="I4243" s="486">
        <f>Master!Q203</f>
        <v>170</v>
      </c>
      <c r="J4243" s="486">
        <f>Master!R203</f>
        <v>170</v>
      </c>
    </row>
    <row r="4244" spans="2:10">
      <c r="B4244" s="1257" t="str">
        <f>'New quarts'!B364</f>
        <v>Capex</v>
      </c>
      <c r="C4244" s="1547">
        <f>Master!O204</f>
        <v>-585.79999999999995</v>
      </c>
      <c r="D4244" s="1570">
        <f>-'New quarts'!AW364</f>
        <v>-109.7</v>
      </c>
      <c r="E4244" s="1547" t="e">
        <f>-'New quarts'!#REF!</f>
        <v>#REF!</v>
      </c>
      <c r="F4244" s="1547" t="e">
        <f>-'New quarts'!#REF!</f>
        <v>#REF!</v>
      </c>
      <c r="G4244" s="1571">
        <f>-'New quarts'!AZ364</f>
        <v>-185.89552590550244</v>
      </c>
      <c r="H4244" s="1547">
        <f>Master!P204</f>
        <v>-562.59552590550243</v>
      </c>
      <c r="I4244" s="1547">
        <f>Master!Q204</f>
        <v>-582.30642987799774</v>
      </c>
      <c r="J4244" s="1547">
        <f>Master!R204</f>
        <v>-594.05092041325804</v>
      </c>
    </row>
    <row r="4245" spans="2:10">
      <c r="B4245" t="str">
        <f>'New quarts'!B365</f>
        <v>Principal on amounts financed by vendors</v>
      </c>
      <c r="C4245" s="486">
        <f>Master!O205</f>
        <v>-239</v>
      </c>
      <c r="D4245" s="1568">
        <f>-'New quarts'!AW365</f>
        <v>-77.7</v>
      </c>
      <c r="E4245" s="486" t="e">
        <f>-'New quarts'!#REF!</f>
        <v>#REF!</v>
      </c>
      <c r="F4245" s="486" t="e">
        <f>-'New quarts'!#REF!</f>
        <v>#REF!</v>
      </c>
      <c r="G4245" s="1569">
        <f>-'New quarts'!AZ365</f>
        <v>-54</v>
      </c>
      <c r="H4245" s="486">
        <f>Master!P205</f>
        <v>-290</v>
      </c>
      <c r="I4245" s="486">
        <f>Master!Q205</f>
        <v>-190</v>
      </c>
      <c r="J4245" s="486">
        <f>Master!R205</f>
        <v>-190</v>
      </c>
    </row>
    <row r="4246" spans="2:10" ht="15.75" thickBot="1">
      <c r="B4246" s="1257" t="str">
        <f>'New quarts'!B366</f>
        <v>Principal on capital leases</v>
      </c>
      <c r="C4246" s="1547">
        <f>Master!O206</f>
        <v>0</v>
      </c>
      <c r="D4246" s="1570">
        <f>-'New quarts'!AW366</f>
        <v>-1</v>
      </c>
      <c r="E4246" s="1547" t="e">
        <f>-'New quarts'!#REF!</f>
        <v>#REF!</v>
      </c>
      <c r="F4246" s="1547" t="e">
        <f>-'New quarts'!#REF!</f>
        <v>#REF!</v>
      </c>
      <c r="G4246" s="1571">
        <f>-'New quarts'!AZ366</f>
        <v>-22.442371337467822</v>
      </c>
      <c r="H4246" s="1547">
        <f>Master!P206</f>
        <v>-21.442371337467822</v>
      </c>
      <c r="I4246" s="1547">
        <f>Master!Q206</f>
        <v>-21.643677608550956</v>
      </c>
      <c r="J4246" s="1547">
        <f>Master!R206</f>
        <v>-22.080207163745992</v>
      </c>
    </row>
    <row r="4247" spans="2:10" ht="15.75" thickBot="1">
      <c r="B4247" s="1197" t="s">
        <v>3475</v>
      </c>
      <c r="C4247" s="1550">
        <f t="shared" ref="C4247:J4247" si="403">C4241+C4243+C4244+C4245+C4246</f>
        <v>249.10000000000014</v>
      </c>
      <c r="D4247" s="1549">
        <f t="shared" si="403"/>
        <v>-132.9</v>
      </c>
      <c r="E4247" s="1550" t="e">
        <f t="shared" si="403"/>
        <v>#REF!</v>
      </c>
      <c r="F4247" s="1550" t="e">
        <f t="shared" si="403"/>
        <v>#REF!</v>
      </c>
      <c r="G4247" s="1551">
        <f t="shared" ca="1" si="403"/>
        <v>51.464687652834925</v>
      </c>
      <c r="H4247" s="1550">
        <f t="shared" ca="1" si="403"/>
        <v>-28.535312347164965</v>
      </c>
      <c r="I4247" s="1550">
        <f t="shared" ca="1" si="403"/>
        <v>354.06196940320541</v>
      </c>
      <c r="J4247" s="1551">
        <f t="shared" ca="1" si="403"/>
        <v>361.57756864285147</v>
      </c>
    </row>
    <row r="4248" spans="2:10">
      <c r="B4248" s="1257" t="s">
        <v>7407</v>
      </c>
      <c r="C4248" s="1547"/>
      <c r="D4248" s="1570"/>
      <c r="E4248" s="1547"/>
      <c r="F4248" s="1547"/>
      <c r="G4248" s="1571"/>
      <c r="H4248" s="1547"/>
      <c r="I4248" s="1547"/>
      <c r="J4248" s="1576">
        <f ca="1">SUM(H4247:J4247)</f>
        <v>687.10422569889192</v>
      </c>
    </row>
    <row r="4249" spans="2:10" ht="15.75" thickBot="1">
      <c r="B4249" t="s">
        <v>7409</v>
      </c>
      <c r="C4249" s="486"/>
      <c r="D4249" s="1568"/>
      <c r="E4249" s="486"/>
      <c r="F4249" s="486"/>
      <c r="G4249" s="1569"/>
      <c r="H4249" s="486"/>
      <c r="I4249" s="486"/>
      <c r="J4249" s="1577" t="s">
        <v>7410</v>
      </c>
    </row>
    <row r="4250" spans="2:10">
      <c r="B4250" s="1257"/>
      <c r="C4250" s="1547"/>
      <c r="D4250" s="1570"/>
      <c r="E4250" s="1547"/>
      <c r="F4250" s="1547"/>
      <c r="G4250" s="1571"/>
      <c r="H4250" s="1547"/>
      <c r="I4250" s="1547"/>
      <c r="J4250" s="1547"/>
    </row>
    <row r="4251" spans="2:10" ht="15.75" thickBot="1">
      <c r="B4251" t="s">
        <v>2770</v>
      </c>
      <c r="C4251" s="16">
        <f>Master!P209</f>
        <v>-35</v>
      </c>
      <c r="D4251" s="1562">
        <f>'New quarts'!AW383</f>
        <v>0</v>
      </c>
      <c r="E4251" s="16" t="e">
        <f>'New quarts'!#REF!</f>
        <v>#REF!</v>
      </c>
      <c r="F4251" s="16" t="e">
        <f>'New quarts'!#REF!</f>
        <v>#REF!</v>
      </c>
      <c r="G4251" s="1563">
        <f>'New quarts'!AZ383</f>
        <v>-12.5</v>
      </c>
      <c r="H4251" s="16">
        <f>Master!Q209</f>
        <v>-50</v>
      </c>
      <c r="I4251" s="16">
        <f>Master!R209</f>
        <v>-50</v>
      </c>
      <c r="J4251" s="16">
        <f>Master!S209</f>
        <v>-50</v>
      </c>
    </row>
    <row r="4252" spans="2:10" ht="15.75" thickBot="1">
      <c r="B4252" s="1578" t="s">
        <v>2180</v>
      </c>
      <c r="C4252" s="1579">
        <f>C4247+C4251</f>
        <v>214.10000000000014</v>
      </c>
      <c r="D4252" s="1580">
        <f>'New quarts'!AW371</f>
        <v>-149.69999999999999</v>
      </c>
      <c r="E4252" s="1579" t="e">
        <f>'New quarts'!#REF!</f>
        <v>#REF!</v>
      </c>
      <c r="F4252" s="1579" t="e">
        <f>'New quarts'!#REF!</f>
        <v>#REF!</v>
      </c>
      <c r="G4252" s="1581">
        <f ca="1">'New quarts'!AZ371</f>
        <v>121.76468765283499</v>
      </c>
      <c r="H4252" s="1579">
        <f ca="1">H4247+H4251</f>
        <v>-78.535312347164961</v>
      </c>
      <c r="I4252" s="1579">
        <f ca="1">I4247+I4251</f>
        <v>304.06196940320541</v>
      </c>
      <c r="J4252" s="1581">
        <f ca="1">J4247+J4251</f>
        <v>311.57756864285147</v>
      </c>
    </row>
    <row r="4253" spans="2:10" ht="15.75" thickBot="1"/>
    <row r="4254" spans="2:10">
      <c r="B4254" s="1593" t="s">
        <v>7416</v>
      </c>
      <c r="C4254" s="1594"/>
      <c r="D4254" s="1594"/>
      <c r="E4254" s="1594"/>
      <c r="F4254" s="1594"/>
      <c r="G4254" s="1594"/>
      <c r="H4254" s="1594"/>
      <c r="I4254" s="1594"/>
      <c r="J4254" s="1595"/>
    </row>
    <row r="4255" spans="2:10" ht="15.75" thickBot="1">
      <c r="B4255" s="1596" t="s">
        <v>7417</v>
      </c>
      <c r="H4255" s="6">
        <f ca="1">Valuation!O37</f>
        <v>4.0976374767377137E-2</v>
      </c>
      <c r="I4255" s="6">
        <f ca="1">Valuation!P37</f>
        <v>0.3718170208700522</v>
      </c>
      <c r="J4255" s="1597">
        <f ca="1">Valuation!Q37</f>
        <v>0.35597772352835411</v>
      </c>
    </row>
    <row r="4256" spans="2:10" ht="15.75" thickBot="1">
      <c r="B4256" s="1578" t="s">
        <v>7412</v>
      </c>
      <c r="C4256" s="1590"/>
      <c r="D4256" s="1590"/>
      <c r="E4256" s="1590"/>
      <c r="F4256" s="1590"/>
      <c r="G4256" s="1590"/>
      <c r="H4256" s="1591">
        <f ca="1">Valuation!O34</f>
        <v>1.3109245240959095E-2</v>
      </c>
      <c r="I4256" s="1591">
        <f ca="1">Valuation!P34</f>
        <v>0.32848796267046121</v>
      </c>
      <c r="J4256" s="1592">
        <f ca="1">Valuation!Q34</f>
        <v>0.30993551202885133</v>
      </c>
    </row>
    <row r="4257" spans="2:12" ht="15.75" thickBot="1">
      <c r="B4257" s="1598" t="s">
        <v>7418</v>
      </c>
      <c r="C4257" s="1599"/>
      <c r="D4257" s="1599"/>
      <c r="E4257" s="1599"/>
      <c r="F4257" s="1599"/>
      <c r="G4257" s="1599"/>
      <c r="H4257" s="1600">
        <f ca="1">Valuation!O43</f>
        <v>-4.551728375445617E-2</v>
      </c>
      <c r="I4257" s="1600">
        <f ca="1">Valuation!P43</f>
        <v>0.25132898231650719</v>
      </c>
      <c r="J4257" s="1601">
        <f ca="1">Valuation!Q43</f>
        <v>0.22869459027478078</v>
      </c>
    </row>
    <row r="4259" spans="2:12">
      <c r="B4259" s="12" t="s">
        <v>7121</v>
      </c>
    </row>
    <row r="4260" spans="2:12">
      <c r="B4260" s="12"/>
      <c r="G4260" s="870" t="s">
        <v>7415</v>
      </c>
      <c r="I4260" s="870" t="s">
        <v>1423</v>
      </c>
      <c r="J4260" s="870" t="s">
        <v>1423</v>
      </c>
      <c r="K4260" s="870" t="s">
        <v>1423</v>
      </c>
    </row>
    <row r="4261" spans="2:12" ht="15.75" thickBot="1">
      <c r="B4261" s="552" t="s">
        <v>7414</v>
      </c>
      <c r="C4261" s="552"/>
      <c r="D4261" s="552">
        <v>2024</v>
      </c>
      <c r="E4261" s="552">
        <f>D4261+1</f>
        <v>2025</v>
      </c>
      <c r="F4261" s="552">
        <f>E4261+1</f>
        <v>2026</v>
      </c>
      <c r="G4261" s="870" t="s">
        <v>7413</v>
      </c>
      <c r="I4261" s="552">
        <v>2024</v>
      </c>
      <c r="J4261" s="552">
        <f>I4261+1</f>
        <v>2025</v>
      </c>
      <c r="K4261" s="552">
        <f>J4261+1</f>
        <v>2026</v>
      </c>
    </row>
    <row r="4262" spans="2:12">
      <c r="B4262" s="1257" t="s">
        <v>8</v>
      </c>
      <c r="C4262" s="1257"/>
      <c r="D4262" s="1547">
        <f>H4236</f>
        <v>1579.0990335466222</v>
      </c>
      <c r="E4262" s="1547">
        <f>I4236</f>
        <v>1802.8296324342652</v>
      </c>
      <c r="F4262" s="1547">
        <f>J4236</f>
        <v>1887.8361378059224</v>
      </c>
      <c r="G4262" s="1587">
        <f>SUM(D4262:F4262)</f>
        <v>5269.7648037868103</v>
      </c>
      <c r="I4262" s="486">
        <v>1747.9547344413259</v>
      </c>
      <c r="J4262" s="486">
        <v>1892.4602712276414</v>
      </c>
      <c r="K4262" s="486">
        <v>1944.813790169602</v>
      </c>
      <c r="L4262" s="1584">
        <f>SUM(I4262:K4262)</f>
        <v>5585.2287958385696</v>
      </c>
    </row>
    <row r="4263" spans="2:12">
      <c r="B4263" s="3" t="s">
        <v>7411</v>
      </c>
      <c r="C4263" s="3"/>
      <c r="D4263" s="487">
        <f>-Master!P121</f>
        <v>-714.74571124892748</v>
      </c>
      <c r="E4263" s="487">
        <f>-Master!Q121</f>
        <v>-721.45592028503188</v>
      </c>
      <c r="F4263" s="487">
        <f>-Master!R121</f>
        <v>-736.00690545819975</v>
      </c>
      <c r="G4263" s="1585">
        <f>SUM(D4263:F4263)</f>
        <v>-2172.2085369921588</v>
      </c>
      <c r="I4263" s="487">
        <v>-751.6120645074127</v>
      </c>
      <c r="J4263" s="487">
        <v>-752.28133562213873</v>
      </c>
      <c r="K4263" s="487">
        <v>-766.39634012652971</v>
      </c>
      <c r="L4263" s="1585">
        <f>SUM(I4263:K4263)</f>
        <v>-2270.2897402560811</v>
      </c>
    </row>
    <row r="4264" spans="2:12" ht="15.75" thickBot="1">
      <c r="B4264" s="1257" t="s">
        <v>27</v>
      </c>
      <c r="C4264" s="1257"/>
      <c r="D4264" s="1547">
        <f>D4262+D4263</f>
        <v>864.35332229769472</v>
      </c>
      <c r="E4264" s="1547">
        <f>E4262+E4263</f>
        <v>1081.3737121492334</v>
      </c>
      <c r="F4264" s="1547">
        <f>F4262+F4263</f>
        <v>1151.8292323477226</v>
      </c>
      <c r="G4264" s="1588">
        <f>SUM(D4264:F4264)</f>
        <v>3097.5562667946506</v>
      </c>
      <c r="I4264" s="486">
        <f>I4262+I4263</f>
        <v>996.34266993391316</v>
      </c>
      <c r="J4264" s="486">
        <f>J4262+J4263</f>
        <v>1140.1789356055028</v>
      </c>
      <c r="K4264" s="486">
        <f>K4262+K4263</f>
        <v>1178.4174500430722</v>
      </c>
      <c r="L4264" s="1586">
        <f>SUM(I4264:K4264)</f>
        <v>3314.939055582488</v>
      </c>
    </row>
    <row r="4265" spans="2:12" ht="15.75" thickBot="1"/>
    <row r="4266" spans="2:12" ht="15.75" thickBot="1">
      <c r="B4266" s="1257" t="s">
        <v>3475</v>
      </c>
      <c r="C4266" s="1257"/>
      <c r="D4266" s="1547">
        <f ca="1">H4247</f>
        <v>-28.535312347164965</v>
      </c>
      <c r="E4266" s="1547">
        <f ca="1">I4247</f>
        <v>354.06196940320541</v>
      </c>
      <c r="F4266" s="1547">
        <f ca="1">J4247</f>
        <v>361.57756864285147</v>
      </c>
      <c r="G4266" s="1589">
        <f ca="1">SUM(D4266:F4266)</f>
        <v>687.10422569889192</v>
      </c>
      <c r="I4266" s="486">
        <v>258.6146683836389</v>
      </c>
      <c r="J4266" s="486">
        <v>431.58686106075982</v>
      </c>
      <c r="K4266" s="486">
        <v>394.904941379462</v>
      </c>
      <c r="L4266" s="1582">
        <f>SUM(I4266:K4266)</f>
        <v>1085.1064708238607</v>
      </c>
    </row>
    <row r="4267" spans="2:12" ht="15.75" thickBot="1">
      <c r="B4267" s="3" t="s">
        <v>674</v>
      </c>
      <c r="C4267" s="3"/>
      <c r="D4267" s="487">
        <f t="shared" ref="D4267:F4268" si="404">H4251</f>
        <v>-50</v>
      </c>
      <c r="E4267" s="487">
        <f t="shared" si="404"/>
        <v>-50</v>
      </c>
      <c r="F4267" s="487">
        <f t="shared" si="404"/>
        <v>-50</v>
      </c>
      <c r="I4267" s="487">
        <v>-50</v>
      </c>
      <c r="J4267" s="487">
        <v>-50</v>
      </c>
      <c r="K4267" s="487">
        <v>-50</v>
      </c>
    </row>
    <row r="4268" spans="2:12" ht="15.75" thickBot="1">
      <c r="B4268" s="1257" t="s">
        <v>7412</v>
      </c>
      <c r="C4268" s="1257"/>
      <c r="D4268" s="1259">
        <f t="shared" ca="1" si="404"/>
        <v>-78.535312347164961</v>
      </c>
      <c r="E4268" s="1259">
        <f t="shared" ca="1" si="404"/>
        <v>304.06196940320541</v>
      </c>
      <c r="F4268" s="1259">
        <f t="shared" ca="1" si="404"/>
        <v>311.57756864285147</v>
      </c>
      <c r="G4268" s="1589">
        <f ca="1">SUM(D4268:F4268)</f>
        <v>537.10422569889192</v>
      </c>
      <c r="I4268" s="16">
        <f>SUM(I4266:I4267)</f>
        <v>208.6146683836389</v>
      </c>
      <c r="J4268" s="16">
        <f>SUM(J4266:J4267)</f>
        <v>381.58686106075982</v>
      </c>
      <c r="K4268" s="16">
        <f>SUM(K4266:K4267)</f>
        <v>344.904941379462</v>
      </c>
      <c r="L4268" s="1589">
        <f>SUM(I4268:K4268)</f>
        <v>935.10647082386072</v>
      </c>
    </row>
    <row r="4270" spans="2:12">
      <c r="B4270" s="1373" t="s">
        <v>78</v>
      </c>
      <c r="C4270" s="1373"/>
      <c r="D4270" s="1373">
        <f>D4261</f>
        <v>2024</v>
      </c>
      <c r="E4270" s="1373">
        <f>E4261</f>
        <v>2025</v>
      </c>
      <c r="F4270" s="1373">
        <f>F4261</f>
        <v>2026</v>
      </c>
      <c r="G4270" s="1373"/>
    </row>
    <row r="4271" spans="2:12">
      <c r="B4271" t="str">
        <f>B4262</f>
        <v>EBITDA</v>
      </c>
      <c r="D4271" s="6">
        <f t="shared" ref="D4271:G4273" si="405">D4262/I4262-1</f>
        <v>-9.6601872787439591E-2</v>
      </c>
      <c r="E4271" s="6">
        <f t="shared" si="405"/>
        <v>-4.7361965879068491E-2</v>
      </c>
      <c r="F4271" s="6">
        <f t="shared" si="405"/>
        <v>-2.9297227658340863E-2</v>
      </c>
      <c r="G4271" s="6">
        <f t="shared" si="405"/>
        <v>-5.6481838718371646E-2</v>
      </c>
    </row>
    <row r="4272" spans="2:12">
      <c r="B4272" s="1257" t="str">
        <f>B4263</f>
        <v>Capex PPE</v>
      </c>
      <c r="C4272" s="1257"/>
      <c r="D4272" s="1410">
        <f t="shared" si="405"/>
        <v>-4.9049709284065934E-2</v>
      </c>
      <c r="E4272" s="1410">
        <f t="shared" si="405"/>
        <v>-4.0975914033031469E-2</v>
      </c>
      <c r="F4272" s="1410">
        <f t="shared" si="405"/>
        <v>-3.9652374466340401E-2</v>
      </c>
      <c r="G4272" s="1410">
        <f t="shared" si="405"/>
        <v>-4.3202064267294449E-2</v>
      </c>
    </row>
    <row r="4273" spans="2:7">
      <c r="B4273" t="str">
        <f>B4264</f>
        <v>OpFCF</v>
      </c>
      <c r="D4273" s="6">
        <f t="shared" si="405"/>
        <v>-0.13247384822429942</v>
      </c>
      <c r="E4273" s="6">
        <f t="shared" si="405"/>
        <v>-5.1575434012943178E-2</v>
      </c>
      <c r="F4273" s="6">
        <f t="shared" si="405"/>
        <v>-2.2562647637624278E-2</v>
      </c>
      <c r="G4273" s="6">
        <f t="shared" si="405"/>
        <v>-6.5576707487806196E-2</v>
      </c>
    </row>
    <row r="4274" spans="2:7" ht="15.75" thickBot="1">
      <c r="B4274" s="1257"/>
      <c r="C4274" s="1257"/>
      <c r="D4274" s="1257"/>
      <c r="E4274" s="1257"/>
      <c r="F4274" s="1257"/>
      <c r="G4274" s="1257"/>
    </row>
    <row r="4275" spans="2:7" ht="15.75" thickBot="1">
      <c r="B4275" t="str">
        <f>B4266</f>
        <v>Liberty FCF</v>
      </c>
      <c r="D4275" s="6">
        <f ca="1">D4266/I4266-1</f>
        <v>-1.110339110018441</v>
      </c>
      <c r="E4275" s="6">
        <f ca="1">E4266/J4266-1</f>
        <v>-0.17962755276426334</v>
      </c>
      <c r="F4275" s="6">
        <f ca="1">F4266/K4266-1</f>
        <v>-8.4393405208334493E-2</v>
      </c>
      <c r="G4275" s="1583">
        <f ca="1">G4266/L4266-1</f>
        <v>-0.3667863530689186</v>
      </c>
    </row>
    <row r="4276" spans="2:7">
      <c r="B4276" s="1257" t="str">
        <f>B4267</f>
        <v>Minorities</v>
      </c>
      <c r="C4276" s="1257"/>
      <c r="D4276" s="1410">
        <f t="shared" ref="D4276:F4277" si="406">D4267/I4267-1</f>
        <v>0</v>
      </c>
      <c r="E4276" s="1410">
        <f t="shared" si="406"/>
        <v>0</v>
      </c>
      <c r="F4276" s="1410">
        <f t="shared" si="406"/>
        <v>0</v>
      </c>
      <c r="G4276" s="1257"/>
    </row>
    <row r="4277" spans="2:7">
      <c r="B4277" s="3" t="str">
        <f>B4268</f>
        <v>FCF after minorities</v>
      </c>
      <c r="C4277" s="3"/>
      <c r="D4277" s="7">
        <f t="shared" ca="1" si="406"/>
        <v>-1.3764611230632156</v>
      </c>
      <c r="E4277" s="7">
        <f t="shared" ca="1" si="406"/>
        <v>-0.20316446809003252</v>
      </c>
      <c r="F4277" s="7">
        <f t="shared" ca="1" si="406"/>
        <v>-9.6627704443190243E-2</v>
      </c>
      <c r="G4277" s="7">
        <f ca="1">G4268/L4268-1</f>
        <v>-0.42562238369959648</v>
      </c>
    </row>
    <row r="4281" spans="2:7">
      <c r="B4281" s="3"/>
      <c r="C4281" s="3">
        <v>2024</v>
      </c>
      <c r="D4281" s="3">
        <f>C4281+1</f>
        <v>2025</v>
      </c>
      <c r="E4281" s="3">
        <f>D4281+1</f>
        <v>2026</v>
      </c>
    </row>
    <row r="4282" spans="2:7">
      <c r="B4282" t="s">
        <v>3001</v>
      </c>
      <c r="C4282">
        <v>391</v>
      </c>
      <c r="D4282">
        <v>390</v>
      </c>
      <c r="E4282">
        <v>366</v>
      </c>
    </row>
    <row r="4283" spans="2:7">
      <c r="B4283" t="s">
        <v>6825</v>
      </c>
      <c r="C4283" s="486">
        <f>Chile!L135</f>
        <v>270.13227052911236</v>
      </c>
      <c r="D4283" s="486">
        <f>Chile!M135</f>
        <v>252.17125821362561</v>
      </c>
      <c r="E4283" s="486">
        <f>Chile!N135</f>
        <v>228.22813494741928</v>
      </c>
    </row>
    <row r="4284" spans="2:7">
      <c r="B4284" t="s">
        <v>7447</v>
      </c>
      <c r="C4284">
        <v>145</v>
      </c>
      <c r="D4284">
        <v>115</v>
      </c>
      <c r="E4284">
        <v>112</v>
      </c>
    </row>
    <row r="4287" spans="2:7">
      <c r="B4287" t="s">
        <v>469</v>
      </c>
    </row>
    <row r="4309" spans="2:11">
      <c r="C4309" s="552">
        <v>2016</v>
      </c>
      <c r="D4309" s="552">
        <f t="shared" ref="D4309:I4309" si="407">C4309+1</f>
        <v>2017</v>
      </c>
      <c r="E4309" s="552">
        <f t="shared" si="407"/>
        <v>2018</v>
      </c>
      <c r="F4309" s="552">
        <f t="shared" si="407"/>
        <v>2019</v>
      </c>
      <c r="G4309" s="552">
        <f t="shared" si="407"/>
        <v>2020</v>
      </c>
      <c r="H4309" s="552">
        <f t="shared" si="407"/>
        <v>2021</v>
      </c>
      <c r="I4309" s="552">
        <f t="shared" si="407"/>
        <v>2022</v>
      </c>
      <c r="J4309" s="952" t="s">
        <v>6527</v>
      </c>
      <c r="K4309" s="952" t="s">
        <v>6528</v>
      </c>
    </row>
    <row r="4310" spans="2:11">
      <c r="B4310" t="s">
        <v>3001</v>
      </c>
      <c r="C4310" s="6">
        <v>0.41499999999999998</v>
      </c>
      <c r="D4310" s="6">
        <v>0.38400000000000001</v>
      </c>
      <c r="E4310" s="6">
        <v>0.35499999999999998</v>
      </c>
      <c r="F4310" s="6">
        <v>0.35199999999999998</v>
      </c>
      <c r="G4310" s="6">
        <v>0.371</v>
      </c>
      <c r="H4310" s="6">
        <v>0.39100000000000001</v>
      </c>
      <c r="I4310" s="6">
        <v>0.39600000000000002</v>
      </c>
      <c r="J4310" s="6">
        <v>0.4</v>
      </c>
      <c r="K4310" s="6">
        <v>0.40400000000000003</v>
      </c>
    </row>
    <row r="4311" spans="2:11">
      <c r="B4311" t="s">
        <v>1366</v>
      </c>
      <c r="C4311" s="6">
        <v>0.33800000000000002</v>
      </c>
      <c r="D4311" s="6">
        <v>0.317</v>
      </c>
      <c r="E4311" s="6">
        <v>0.29499999999999998</v>
      </c>
      <c r="F4311" s="6">
        <v>0.28199999999999997</v>
      </c>
      <c r="G4311" s="6">
        <v>0.25700000000000001</v>
      </c>
      <c r="H4311" s="6">
        <v>0.252</v>
      </c>
      <c r="I4311" s="6">
        <v>0.253</v>
      </c>
      <c r="J4311" s="6">
        <v>0.25</v>
      </c>
      <c r="K4311" s="6">
        <v>0.24399999999999999</v>
      </c>
    </row>
    <row r="4312" spans="2:11">
      <c r="B4312" t="s">
        <v>5575</v>
      </c>
      <c r="C4312" s="6">
        <v>6.3E-2</v>
      </c>
      <c r="D4312" s="6">
        <v>9.8000000000000004E-2</v>
      </c>
      <c r="E4312" s="6">
        <v>0.13500000000000001</v>
      </c>
      <c r="F4312" s="6">
        <v>0.17399999999999999</v>
      </c>
      <c r="G4312" s="6">
        <v>0.187</v>
      </c>
      <c r="H4312" s="6">
        <v>0.187</v>
      </c>
      <c r="I4312" s="6">
        <v>0.20200000000000001</v>
      </c>
      <c r="J4312" s="6">
        <v>0.215</v>
      </c>
      <c r="K4312" s="6">
        <v>0.21199999999999999</v>
      </c>
    </row>
    <row r="4313" spans="2:11">
      <c r="B4313" t="s">
        <v>1364</v>
      </c>
      <c r="C4313" s="6">
        <v>0.17399999999999999</v>
      </c>
      <c r="D4313" s="6">
        <v>0.187</v>
      </c>
      <c r="E4313" s="6">
        <v>0.19900000000000001</v>
      </c>
      <c r="F4313" s="6">
        <v>0.17199999999999999</v>
      </c>
      <c r="G4313" s="6">
        <v>0.16400000000000001</v>
      </c>
      <c r="H4313" s="6">
        <v>0.154</v>
      </c>
      <c r="I4313" s="6">
        <v>0.13600000000000001</v>
      </c>
      <c r="J4313" s="6">
        <v>0.125</v>
      </c>
      <c r="K4313" s="6">
        <v>0.13</v>
      </c>
    </row>
    <row r="4316" spans="2:11">
      <c r="C4316" t="s">
        <v>7732</v>
      </c>
      <c r="D4316" t="s">
        <v>7733</v>
      </c>
      <c r="E4316" s="1">
        <v>45474</v>
      </c>
      <c r="F4316" s="1">
        <v>45505</v>
      </c>
      <c r="G4316" s="1">
        <v>45536</v>
      </c>
      <c r="H4316" s="1">
        <v>45566</v>
      </c>
      <c r="I4316" s="1">
        <v>45597</v>
      </c>
      <c r="J4316" s="1">
        <v>45627</v>
      </c>
    </row>
    <row r="4317" spans="2:11">
      <c r="C4317" s="16">
        <f>'New quarts'!AW229</f>
        <v>23.033333333333331</v>
      </c>
      <c r="D4317" s="16">
        <f>'New quarts'!AX229</f>
        <v>23.7</v>
      </c>
      <c r="E4317" s="16">
        <f>'New quarts'!BH240</f>
        <v>29</v>
      </c>
      <c r="F4317" s="16">
        <f>'New quarts'!BH242</f>
        <v>33</v>
      </c>
      <c r="G4317" s="16" t="e">
        <f>'New quarts'!BH258</f>
        <v>#REF!</v>
      </c>
      <c r="H4317" s="16">
        <f>'New quarts'!BI240</f>
        <v>36</v>
      </c>
      <c r="I4317" s="16">
        <f>'New quarts'!BI242</f>
        <v>39</v>
      </c>
      <c r="J4317" s="16">
        <f>'New quarts'!BI258</f>
        <v>20.512672000000052</v>
      </c>
    </row>
    <row r="4337" spans="2:8">
      <c r="B4337" s="552" t="s">
        <v>6841</v>
      </c>
      <c r="C4337" s="552">
        <f>'Puerto Rico'!K88</f>
        <v>2023</v>
      </c>
      <c r="D4337" s="552">
        <f>'Puerto Rico'!L88</f>
        <v>2024</v>
      </c>
      <c r="E4337" s="552">
        <f>'Puerto Rico'!M88</f>
        <v>2025</v>
      </c>
      <c r="F4337" s="552">
        <f>'Puerto Rico'!N88</f>
        <v>2026</v>
      </c>
      <c r="G4337" s="552">
        <f>'Puerto Rico'!O88</f>
        <v>2027</v>
      </c>
      <c r="H4337" s="552">
        <f>'Puerto Rico'!P88</f>
        <v>2028</v>
      </c>
    </row>
    <row r="4338" spans="2:8">
      <c r="B4338" s="1627" t="str">
        <f>'Puerto Rico'!B90</f>
        <v>Res mobile service revs</v>
      </c>
      <c r="C4338" s="1628">
        <f>'Puerto Rico'!K90</f>
        <v>398.7</v>
      </c>
      <c r="D4338" s="1628">
        <f>'Puerto Rico'!L90</f>
        <v>344.47679999999997</v>
      </c>
      <c r="E4338" s="1628">
        <f>'Puerto Rico'!M90</f>
        <v>382.67927712000005</v>
      </c>
      <c r="F4338" s="1628">
        <f>'Puerto Rico'!N90</f>
        <v>405.56996831433611</v>
      </c>
      <c r="G4338" s="1628">
        <f>'Puerto Rico'!O90</f>
        <v>417.75764554442452</v>
      </c>
      <c r="H4338" s="1628">
        <f>'Puerto Rico'!P90</f>
        <v>426.15457421986747</v>
      </c>
    </row>
    <row r="4339" spans="2:8">
      <c r="B4339" t="str">
        <f>'Puerto Rico'!B91</f>
        <v>% change</v>
      </c>
      <c r="C4339" s="5">
        <f>'Puerto Rico'!K91</f>
        <v>-0.11004464285714288</v>
      </c>
      <c r="D4339" s="5">
        <f>'Puerto Rico'!L91</f>
        <v>-0.13600000000000001</v>
      </c>
      <c r="E4339" s="5">
        <f>'Puerto Rico'!M91</f>
        <v>0.11090000000000022</v>
      </c>
      <c r="F4339" s="5">
        <f>'Puerto Rico'!N91</f>
        <v>5.9816908212560582E-2</v>
      </c>
      <c r="G4339" s="5">
        <f>'Puerto Rico'!O91</f>
        <v>3.0050738916256092E-2</v>
      </c>
      <c r="H4339" s="5">
        <f>'Puerto Rico'!P91</f>
        <v>2.0100000000000007E-2</v>
      </c>
    </row>
    <row r="4340" spans="2:8">
      <c r="B4340" s="1629" t="str">
        <f>'Puerto Rico'!B92</f>
        <v>Equipment / roaming</v>
      </c>
      <c r="C4340" s="1630">
        <f>'Puerto Rico'!K92</f>
        <v>249.99999999999994</v>
      </c>
      <c r="D4340" s="1630">
        <f>'Puerto Rico'!L92</f>
        <v>187.49999999999994</v>
      </c>
      <c r="E4340" s="1630">
        <f>'Puerto Rico'!M92</f>
        <v>206.24999999999994</v>
      </c>
      <c r="F4340" s="1630">
        <f>'Puerto Rico'!N92</f>
        <v>208.31249999999994</v>
      </c>
      <c r="G4340" s="1630">
        <f>'Puerto Rico'!O92</f>
        <v>210.39562499999994</v>
      </c>
      <c r="H4340" s="1630">
        <f>'Puerto Rico'!P92</f>
        <v>212.49958124999995</v>
      </c>
    </row>
    <row r="4341" spans="2:8">
      <c r="B4341" t="str">
        <f>'Puerto Rico'!B93</f>
        <v>Res mobile</v>
      </c>
      <c r="C4341" s="486">
        <f>'Puerto Rico'!K93</f>
        <v>648.69999999999993</v>
      </c>
      <c r="D4341" s="486">
        <f>'Puerto Rico'!L93</f>
        <v>531.97679999999991</v>
      </c>
      <c r="E4341" s="486">
        <f>'Puerto Rico'!M93</f>
        <v>588.92927712000005</v>
      </c>
      <c r="F4341" s="486">
        <f>'Puerto Rico'!N93</f>
        <v>613.88246831433605</v>
      </c>
      <c r="G4341" s="486">
        <f>'Puerto Rico'!O93</f>
        <v>628.15327054442446</v>
      </c>
      <c r="H4341" s="486">
        <f>'Puerto Rico'!P93</f>
        <v>638.65415546986742</v>
      </c>
    </row>
    <row r="4342" spans="2:8">
      <c r="B4342" s="1627" t="str">
        <f>'Puerto Rico'!B94</f>
        <v>% change</v>
      </c>
      <c r="C4342" s="1631">
        <f>'Puerto Rico'!K94</f>
        <v>-9.4500279173645896E-2</v>
      </c>
      <c r="D4342" s="1631">
        <f>'Puerto Rico'!L94</f>
        <v>-0.17993402188993379</v>
      </c>
      <c r="E4342" s="1631">
        <f>'Puerto Rico'!M94</f>
        <v>0.10705819712438625</v>
      </c>
      <c r="F4342" s="1631">
        <f>'Puerto Rico'!N94</f>
        <v>4.2370437612412326E-2</v>
      </c>
      <c r="G4342" s="1631">
        <f>'Puerto Rico'!O94</f>
        <v>2.3246798803808089E-2</v>
      </c>
      <c r="H4342" s="1631">
        <f>'Puerto Rico'!P94</f>
        <v>1.6717074347701422E-2</v>
      </c>
    </row>
    <row r="4343" spans="2:8">
      <c r="C4343" s="486"/>
      <c r="D4343" s="486"/>
      <c r="E4343" s="486"/>
      <c r="F4343" s="486"/>
      <c r="G4343" s="486"/>
      <c r="H4343" s="486"/>
    </row>
    <row r="4344" spans="2:8">
      <c r="B4344" s="1627" t="str">
        <f>'Puerto Rico'!B96</f>
        <v>Fixed</v>
      </c>
      <c r="C4344" s="1628">
        <f>'Puerto Rico'!K96</f>
        <v>504.20000000000005</v>
      </c>
      <c r="D4344" s="1628">
        <f>'Puerto Rico'!L96</f>
        <v>496.63700000000006</v>
      </c>
      <c r="E4344" s="1628">
        <f>'Puerto Rico'!M96</f>
        <v>486.70426000000003</v>
      </c>
      <c r="F4344" s="1628">
        <f>'Puerto Rico'!N96</f>
        <v>481.83721740000004</v>
      </c>
      <c r="G4344" s="1628">
        <f>'Puerto Rico'!O96</f>
        <v>477.01884522600005</v>
      </c>
      <c r="H4344" s="1628">
        <f>'Puerto Rico'!P96</f>
        <v>472.24865677374004</v>
      </c>
    </row>
    <row r="4345" spans="2:8">
      <c r="B4345" t="str">
        <f>B4342</f>
        <v>% change</v>
      </c>
      <c r="C4345" s="5">
        <f>'Puerto Rico'!K97</f>
        <v>5.1731330830204758E-2</v>
      </c>
      <c r="D4345" s="5">
        <f>'Puerto Rico'!L97</f>
        <v>-1.4999999999999999E-2</v>
      </c>
      <c r="E4345" s="5">
        <f>'Puerto Rico'!M97</f>
        <v>-0.02</v>
      </c>
      <c r="F4345" s="5">
        <f>'Puerto Rico'!N97</f>
        <v>-0.01</v>
      </c>
      <c r="G4345" s="5">
        <f>'Puerto Rico'!O97</f>
        <v>-0.01</v>
      </c>
      <c r="H4345" s="5">
        <f>'Puerto Rico'!P97</f>
        <v>-0.01</v>
      </c>
    </row>
    <row r="4346" spans="2:8">
      <c r="B4346" s="1627" t="str">
        <f>'Puerto Rico'!B98</f>
        <v>B2B</v>
      </c>
      <c r="C4346" s="1628">
        <f>'Puerto Rico'!K98</f>
        <v>224.3</v>
      </c>
      <c r="D4346" s="1628">
        <f>'Puerto Rico'!L98</f>
        <v>219.81400000000002</v>
      </c>
      <c r="E4346" s="1628">
        <f>'Puerto Rico'!M98</f>
        <v>219.81400000000002</v>
      </c>
      <c r="F4346" s="1628">
        <f>'Puerto Rico'!N98</f>
        <v>224.21028000000001</v>
      </c>
      <c r="G4346" s="1628">
        <f>'Puerto Rico'!O98</f>
        <v>228.69448560000001</v>
      </c>
      <c r="H4346" s="1628">
        <f>'Puerto Rico'!P98</f>
        <v>233.26837531200002</v>
      </c>
    </row>
    <row r="4347" spans="2:8">
      <c r="B4347" s="3" t="str">
        <f>'Puerto Rico'!B100</f>
        <v>Other</v>
      </c>
      <c r="C4347" s="487">
        <f>'Puerto Rico'!K100</f>
        <v>40.5</v>
      </c>
      <c r="D4347" s="487">
        <f>'Puerto Rico'!L100</f>
        <v>30.375</v>
      </c>
      <c r="E4347" s="487">
        <f>'Puerto Rico'!M100</f>
        <v>31.893750000000001</v>
      </c>
      <c r="F4347" s="487">
        <f>'Puerto Rico'!N100</f>
        <v>33.488437500000003</v>
      </c>
      <c r="G4347" s="487">
        <f>'Puerto Rico'!O100</f>
        <v>35.162859375000004</v>
      </c>
      <c r="H4347" s="487">
        <f>'Puerto Rico'!P100</f>
        <v>36.921002343750004</v>
      </c>
    </row>
    <row r="4348" spans="2:8">
      <c r="B4348" s="1632" t="str">
        <f>'Puerto Rico'!B102</f>
        <v>Total</v>
      </c>
      <c r="C4348" s="1633">
        <f>'Puerto Rico'!K102</f>
        <v>1417</v>
      </c>
      <c r="D4348" s="1633">
        <f>'Puerto Rico'!L102</f>
        <v>1278.8028000000002</v>
      </c>
      <c r="E4348" s="1633">
        <f>'Puerto Rico'!M102</f>
        <v>1327.3412871200001</v>
      </c>
      <c r="F4348" s="1633">
        <f>'Puerto Rico'!N102</f>
        <v>1353.418403214336</v>
      </c>
      <c r="G4348" s="1633">
        <f>'Puerto Rico'!O102</f>
        <v>1369.0294607454246</v>
      </c>
      <c r="H4348" s="1633">
        <f>'Puerto Rico'!P102</f>
        <v>1381.0921898993574</v>
      </c>
    </row>
    <row r="4349" spans="2:8">
      <c r="C4349" s="486"/>
      <c r="D4349" s="486"/>
      <c r="E4349" s="486"/>
      <c r="F4349" s="486"/>
      <c r="G4349" s="486"/>
      <c r="H4349" s="486"/>
    </row>
    <row r="4350" spans="2:8">
      <c r="B4350" s="1632" t="str">
        <f>'Puerto Rico'!B105</f>
        <v>Reported EBITDA</v>
      </c>
      <c r="C4350" s="1633">
        <f>'Puerto Rico'!K105</f>
        <v>485.5</v>
      </c>
      <c r="D4350" s="1633">
        <f>'Puerto Rico'!L105</f>
        <v>323.91267200000004</v>
      </c>
      <c r="E4350" s="1633">
        <f>'Puerto Rico'!M105</f>
        <v>481.47579900720001</v>
      </c>
      <c r="F4350" s="1633">
        <f>'Puerto Rico'!N105</f>
        <v>516.62807306073091</v>
      </c>
      <c r="G4350" s="1633">
        <f>'Puerto Rico'!O105</f>
        <v>535.47001665344442</v>
      </c>
      <c r="H4350" s="1633">
        <f>'Puerto Rico'!P105</f>
        <v>553.38226646477506</v>
      </c>
    </row>
    <row r="4351" spans="2:8">
      <c r="B4351" s="1176" t="str">
        <f>'Puerto Rico'!B106</f>
        <v>per month</v>
      </c>
      <c r="C4351" s="1619">
        <f>'Puerto Rico'!K106</f>
        <v>40.458333333333336</v>
      </c>
      <c r="D4351" s="1619">
        <f>'Puerto Rico'!L106</f>
        <v>26.992722666666669</v>
      </c>
      <c r="E4351" s="1619">
        <f>'Puerto Rico'!M106</f>
        <v>40.122983250600001</v>
      </c>
      <c r="F4351" s="1619">
        <f>'Puerto Rico'!N106</f>
        <v>43.052339421727574</v>
      </c>
      <c r="G4351" s="1619">
        <f>'Puerto Rico'!O106</f>
        <v>44.622501387787032</v>
      </c>
      <c r="H4351" s="1619">
        <f>'Puerto Rico'!P106</f>
        <v>46.115188872064586</v>
      </c>
    </row>
    <row r="4352" spans="2:8">
      <c r="B4352" s="1627" t="str">
        <f>'Puerto Rico'!B107</f>
        <v>% margin</v>
      </c>
      <c r="C4352" s="1631">
        <f>'Puerto Rico'!K107</f>
        <v>0.34262526464361326</v>
      </c>
      <c r="D4352" s="1631">
        <f>'Puerto Rico'!L107</f>
        <v>0.25329368374858108</v>
      </c>
      <c r="E4352" s="1631">
        <f>'Puerto Rico'!M107</f>
        <v>0.36273700191446812</v>
      </c>
      <c r="F4352" s="1631">
        <f>'Puerto Rico'!N107</f>
        <v>0.38172088678102184</v>
      </c>
      <c r="G4352" s="1631">
        <f>'Puerto Rico'!O107</f>
        <v>0.39113111295785097</v>
      </c>
      <c r="H4352" s="1631">
        <f>'Puerto Rico'!P107</f>
        <v>0.40068452382248354</v>
      </c>
    </row>
    <row r="4353" spans="2:8">
      <c r="C4353" s="486"/>
      <c r="D4353" s="486"/>
      <c r="E4353" s="486"/>
      <c r="F4353" s="486"/>
      <c r="G4353" s="486"/>
      <c r="H4353" s="486"/>
    </row>
    <row r="4354" spans="2:8">
      <c r="B4354" s="1627" t="str">
        <f>'Puerto Rico'!B109</f>
        <v>Integation costs</v>
      </c>
      <c r="C4354" s="1628">
        <f>'Puerto Rico'!K109</f>
        <v>25</v>
      </c>
      <c r="D4354" s="1628">
        <f>'Puerto Rico'!L109</f>
        <v>23</v>
      </c>
      <c r="E4354" s="1628">
        <f>'Puerto Rico'!M109</f>
        <v>0</v>
      </c>
      <c r="F4354" s="1628">
        <f>'Puerto Rico'!N109</f>
        <v>0</v>
      </c>
      <c r="G4354" s="1628">
        <f>'Puerto Rico'!O109</f>
        <v>0</v>
      </c>
      <c r="H4354" s="1628">
        <f>'Puerto Rico'!P109</f>
        <v>0</v>
      </c>
    </row>
    <row r="4355" spans="2:8">
      <c r="C4355" s="486"/>
      <c r="D4355" s="486"/>
      <c r="E4355" s="486"/>
      <c r="F4355" s="486"/>
      <c r="G4355" s="486"/>
      <c r="H4355" s="486"/>
    </row>
    <row r="4356" spans="2:8">
      <c r="B4356" s="1627" t="str">
        <f>'Puerto Rico'!B111</f>
        <v>Synergies</v>
      </c>
      <c r="C4356" s="1628">
        <f>'Puerto Rico'!K111</f>
        <v>10</v>
      </c>
      <c r="D4356" s="1628">
        <f>'Puerto Rico'!L111</f>
        <v>40</v>
      </c>
      <c r="E4356" s="1628">
        <f>'Puerto Rico'!M111</f>
        <v>70</v>
      </c>
      <c r="F4356" s="1628">
        <f>'Puerto Rico'!N111</f>
        <v>70</v>
      </c>
      <c r="G4356" s="1628">
        <f>'Puerto Rico'!O111</f>
        <v>70</v>
      </c>
      <c r="H4356" s="1628">
        <f>'Puerto Rico'!P111</f>
        <v>70</v>
      </c>
    </row>
    <row r="4357" spans="2:8">
      <c r="C4357" s="486"/>
      <c r="D4357" s="486"/>
      <c r="E4357" s="486"/>
      <c r="F4357" s="486"/>
      <c r="G4357" s="486"/>
      <c r="H4357" s="486"/>
    </row>
    <row r="4358" spans="2:8">
      <c r="B4358" s="1627" t="str">
        <f>'Puerto Rico'!B113</f>
        <v>Underlying EBITDA (ex-synergies, int)</v>
      </c>
      <c r="C4358" s="1628">
        <f>'Puerto Rico'!K113</f>
        <v>500.5</v>
      </c>
      <c r="D4358" s="1628">
        <f>'Puerto Rico'!L113</f>
        <v>306.91267200000004</v>
      </c>
      <c r="E4358" s="1628">
        <f>'Puerto Rico'!M113</f>
        <v>411.47579900720001</v>
      </c>
      <c r="F4358" s="1628">
        <f>'Puerto Rico'!N113</f>
        <v>446.62807306073091</v>
      </c>
      <c r="G4358" s="1628">
        <f>'Puerto Rico'!O113</f>
        <v>465.47001665344436</v>
      </c>
      <c r="H4358" s="1628">
        <f>'Puerto Rico'!P113</f>
        <v>483.38226646477506</v>
      </c>
    </row>
    <row r="4359" spans="2:8">
      <c r="B4359" t="str">
        <f>'Puerto Rico'!B114</f>
        <v>% margin</v>
      </c>
      <c r="C4359" s="6">
        <f>'Puerto Rico'!K114</f>
        <v>0.35321100917431192</v>
      </c>
      <c r="D4359" s="6">
        <f>'Puerto Rico'!L114</f>
        <v>0.24</v>
      </c>
      <c r="E4359" s="6">
        <f>'Puerto Rico'!M114</f>
        <v>0.31</v>
      </c>
      <c r="F4359" s="6">
        <f>'Puerto Rico'!N114</f>
        <v>0.33</v>
      </c>
      <c r="G4359" s="6">
        <f>'Puerto Rico'!O114</f>
        <v>0.34</v>
      </c>
      <c r="H4359" s="6">
        <f>'Puerto Rico'!P114</f>
        <v>0.35</v>
      </c>
    </row>
    <row r="4360" spans="2:8">
      <c r="B4360" s="1627"/>
      <c r="C4360" s="1628"/>
      <c r="D4360" s="1628"/>
      <c r="E4360" s="1628"/>
      <c r="F4360" s="1628"/>
      <c r="G4360" s="1628"/>
      <c r="H4360" s="1628"/>
    </row>
    <row r="4361" spans="2:8">
      <c r="B4361" t="str">
        <f>'Puerto Rico'!B116</f>
        <v>Capex</v>
      </c>
      <c r="C4361" s="486">
        <f>'Puerto Rico'!K116</f>
        <v>219</v>
      </c>
      <c r="D4361" s="486">
        <f>'Puerto Rico'!L116</f>
        <v>204.60844800000004</v>
      </c>
      <c r="E4361" s="486">
        <f>'Puerto Rico'!M116</f>
        <v>212.37460593920002</v>
      </c>
      <c r="F4361" s="486">
        <f>'Puerto Rico'!N116</f>
        <v>203.01276048215038</v>
      </c>
      <c r="G4361" s="486">
        <f>'Puerto Rico'!O116</f>
        <v>205.35441911181368</v>
      </c>
      <c r="H4361" s="486">
        <f>'Puerto Rico'!P116</f>
        <v>207.1638284849036</v>
      </c>
    </row>
    <row r="4362" spans="2:8">
      <c r="B4362" s="1629" t="str">
        <f>'Puerto Rico'!B117</f>
        <v>% sales</v>
      </c>
      <c r="C4362" s="1634">
        <f>'Puerto Rico'!K117</f>
        <v>0.15455187014820043</v>
      </c>
      <c r="D4362" s="1634">
        <f>'Puerto Rico'!L117</f>
        <v>0.16</v>
      </c>
      <c r="E4362" s="1634">
        <f>'Puerto Rico'!M117</f>
        <v>0.16</v>
      </c>
      <c r="F4362" s="1634">
        <f>'Puerto Rico'!N117</f>
        <v>0.15</v>
      </c>
      <c r="G4362" s="1634">
        <f>'Puerto Rico'!O117</f>
        <v>0.15</v>
      </c>
      <c r="H4362" s="1634">
        <f>'Puerto Rico'!P117</f>
        <v>0.15</v>
      </c>
    </row>
    <row r="4363" spans="2:8">
      <c r="C4363" s="486"/>
      <c r="D4363" s="486"/>
      <c r="E4363" s="486"/>
      <c r="F4363" s="486"/>
      <c r="G4363" s="486"/>
      <c r="H4363" s="486"/>
    </row>
    <row r="4365" spans="2:8">
      <c r="B4365" s="552" t="s">
        <v>6841</v>
      </c>
      <c r="C4365" s="552">
        <f>'Puerto Rico'!K128</f>
        <v>2023</v>
      </c>
      <c r="D4365" s="552">
        <f>'Puerto Rico'!L128</f>
        <v>2024</v>
      </c>
      <c r="E4365" s="552">
        <f>'Puerto Rico'!M128</f>
        <v>2025</v>
      </c>
      <c r="F4365" s="552">
        <f>'Puerto Rico'!N128</f>
        <v>2026</v>
      </c>
      <c r="G4365" s="552">
        <f>'Puerto Rico'!O128</f>
        <v>2027</v>
      </c>
      <c r="H4365" s="552">
        <f>'Puerto Rico'!P128</f>
        <v>2028</v>
      </c>
    </row>
    <row r="4366" spans="2:8">
      <c r="B4366" s="1627" t="str">
        <f>'Puerto Rico'!B129</f>
        <v>Gross debt</v>
      </c>
      <c r="C4366" s="1628">
        <f>'Puerto Rico'!K129</f>
        <v>2701.3</v>
      </c>
      <c r="D4366" s="1628">
        <f>'Puerto Rico'!L129</f>
        <v>2782.3</v>
      </c>
      <c r="E4366" s="1628">
        <f>'Puerto Rico'!M129</f>
        <v>2782.3</v>
      </c>
      <c r="F4366" s="1628">
        <f>'Puerto Rico'!N129</f>
        <v>2782.3</v>
      </c>
      <c r="G4366" s="1628">
        <f>'Puerto Rico'!O129</f>
        <v>2782.3</v>
      </c>
      <c r="H4366" s="1628">
        <f>'Puerto Rico'!P129</f>
        <v>2782.3</v>
      </c>
    </row>
    <row r="4367" spans="2:8">
      <c r="B4367" t="str">
        <f>'Puerto Rico'!B130</f>
        <v>Lease obligations</v>
      </c>
      <c r="C4367" s="486">
        <f>'Puerto Rico'!K130</f>
        <v>5.5</v>
      </c>
      <c r="D4367" s="486">
        <f>'Puerto Rico'!L130</f>
        <v>4.5103628796053643</v>
      </c>
      <c r="E4367" s="486">
        <f>'Puerto Rico'!M130</f>
        <v>4.9932341978726695</v>
      </c>
      <c r="F4367" s="486">
        <f>'Puerto Rico'!N130</f>
        <v>5.2047997159377974</v>
      </c>
      <c r="G4367" s="486">
        <f>'Puerto Rico'!O130</f>
        <v>5.3257946477483209</v>
      </c>
      <c r="H4367" s="486">
        <f>'Puerto Rico'!P130</f>
        <v>5.4148263528353198</v>
      </c>
    </row>
    <row r="4368" spans="2:8">
      <c r="B4368" s="1629" t="str">
        <f>'Puerto Rico'!B131</f>
        <v>Cash</v>
      </c>
      <c r="C4368" s="1630">
        <f>'Puerto Rico'!K131</f>
        <v>127.9</v>
      </c>
      <c r="D4368" s="1630">
        <f>'Puerto Rico'!L131</f>
        <v>31.416291120394362</v>
      </c>
      <c r="E4368" s="1630">
        <f>'Puerto Rico'!M131</f>
        <v>6.7361339817584849</v>
      </c>
      <c r="F4368" s="1630">
        <f>'Puerto Rico'!N131</f>
        <v>-5.5361149911432221</v>
      </c>
      <c r="G4368" s="1630">
        <f>'Puerto Rico'!O131</f>
        <v>24.41372054204794</v>
      </c>
      <c r="H4368" s="1630">
        <f>'Puerto Rico'!P131</f>
        <v>110.93379312425577</v>
      </c>
    </row>
    <row r="4369" spans="2:14">
      <c r="B4369" t="str">
        <f>'Puerto Rico'!B132</f>
        <v>Net debt</v>
      </c>
      <c r="C4369" s="486">
        <f>'Puerto Rico'!K132</f>
        <v>2578.9</v>
      </c>
      <c r="D4369" s="486">
        <f>'Puerto Rico'!L132</f>
        <v>2746.3733460000003</v>
      </c>
      <c r="E4369" s="486">
        <f>'Puerto Rico'!M132</f>
        <v>2770.5706318203688</v>
      </c>
      <c r="F4369" s="486">
        <f>'Puerto Rico'!N132</f>
        <v>2782.6313152752055</v>
      </c>
      <c r="G4369" s="486">
        <f>'Puerto Rico'!O132</f>
        <v>2752.5604848102039</v>
      </c>
      <c r="H4369" s="486">
        <f>'Puerto Rico'!P132</f>
        <v>2665.9513805229089</v>
      </c>
    </row>
    <row r="4370" spans="2:14">
      <c r="B4370" s="1632" t="str">
        <f>'Puerto Rico'!B133</f>
        <v>Net debt/EBITDA</v>
      </c>
      <c r="C4370" s="1635">
        <f>'Puerto Rico'!K133</f>
        <v>5.311843460350155</v>
      </c>
      <c r="D4370" s="1635">
        <f>'Puerto Rico'!L133</f>
        <v>8.4787462282426542</v>
      </c>
      <c r="E4370" s="1635">
        <f>'Puerto Rico'!M133</f>
        <v>5.7543299944322595</v>
      </c>
      <c r="F4370" s="1635">
        <f>'Puerto Rico'!N133</f>
        <v>5.3861403597169604</v>
      </c>
      <c r="G4370" s="1635">
        <f>'Puerto Rico'!O133</f>
        <v>5.1404567934784255</v>
      </c>
      <c r="H4370" s="1635">
        <f>'Puerto Rico'!P133</f>
        <v>4.817558389707826</v>
      </c>
    </row>
    <row r="4371" spans="2:14">
      <c r="C4371" s="486"/>
      <c r="D4371" s="486"/>
      <c r="E4371" s="486"/>
      <c r="F4371" s="486"/>
      <c r="G4371" s="486"/>
      <c r="H4371" s="486"/>
    </row>
    <row r="4372" spans="2:14">
      <c r="B4372" s="1627" t="str">
        <f>'Puerto Rico'!B143</f>
        <v>OpFCF</v>
      </c>
      <c r="C4372" s="1628">
        <f>'Puerto Rico'!K143</f>
        <v>266.5</v>
      </c>
      <c r="D4372" s="1628">
        <f>'Puerto Rico'!L143</f>
        <v>119.304224</v>
      </c>
      <c r="E4372" s="1628">
        <f>'Puerto Rico'!M143</f>
        <v>269.10119306799999</v>
      </c>
      <c r="F4372" s="1628">
        <f>'Puerto Rico'!N143</f>
        <v>313.61531257858053</v>
      </c>
      <c r="G4372" s="1628">
        <f>'Puerto Rico'!O143</f>
        <v>330.11559754163073</v>
      </c>
      <c r="H4372" s="1628">
        <f>'Puerto Rico'!P143</f>
        <v>346.21843797987145</v>
      </c>
    </row>
    <row r="4373" spans="2:14">
      <c r="B4373" t="str">
        <f>'Puerto Rico'!B144</f>
        <v>Interests</v>
      </c>
      <c r="C4373" s="486">
        <f>'Puerto Rico'!K144</f>
        <v>-173.6</v>
      </c>
      <c r="D4373" s="486">
        <f>'Puerto Rico'!L144</f>
        <v>-189.8075</v>
      </c>
      <c r="E4373" s="486">
        <f>'Puerto Rico'!M144</f>
        <v>-213.11494671036846</v>
      </c>
      <c r="F4373" s="486">
        <f>'Puerto Rico'!N144</f>
        <v>-215.2240819610945</v>
      </c>
      <c r="G4373" s="486">
        <f>'Puerto Rico'!O144</f>
        <v>-215.84969459964574</v>
      </c>
      <c r="H4373" s="486">
        <f>'Puerto Rico'!P144</f>
        <v>-215.13997558915904</v>
      </c>
    </row>
    <row r="4374" spans="2:14">
      <c r="B4374" s="1627" t="str">
        <f>'Puerto Rico'!B145</f>
        <v>Taxes</v>
      </c>
      <c r="C4374" s="1628">
        <f>'Puerto Rico'!K145</f>
        <v>-9.9</v>
      </c>
      <c r="D4374" s="1628">
        <f>'Puerto Rico'!L145</f>
        <v>-10</v>
      </c>
      <c r="E4374" s="1628">
        <f>'Puerto Rico'!M145</f>
        <v>-15</v>
      </c>
      <c r="F4374" s="1628">
        <f>'Puerto Rico'!N145</f>
        <v>-35</v>
      </c>
      <c r="G4374" s="1628">
        <f>'Puerto Rico'!O145</f>
        <v>-16.814483262074742</v>
      </c>
      <c r="H4374" s="1628">
        <f>'Puerto Rico'!P145</f>
        <v>-20.300244780178534</v>
      </c>
    </row>
    <row r="4375" spans="2:14">
      <c r="B4375" t="str">
        <f>'Puerto Rico'!B146</f>
        <v>NWC</v>
      </c>
      <c r="C4375" s="486">
        <f>'Puerto Rico'!K146</f>
        <v>-35</v>
      </c>
      <c r="D4375" s="486">
        <f>'Puerto Rico'!L146</f>
        <v>-31.970070000000007</v>
      </c>
      <c r="E4375" s="486">
        <f>'Puerto Rico'!M146</f>
        <v>-33.183532178</v>
      </c>
      <c r="F4375" s="486">
        <f>'Puerto Rico'!N146</f>
        <v>-30.451914072322559</v>
      </c>
      <c r="G4375" s="486">
        <f>'Puerto Rico'!O146</f>
        <v>-27.380589214908493</v>
      </c>
      <c r="H4375" s="486">
        <f>'Puerto Rico'!P146</f>
        <v>-24.169113323238758</v>
      </c>
    </row>
    <row r="4376" spans="2:14">
      <c r="B4376" s="1627" t="str">
        <f>'Puerto Rico'!B147</f>
        <v>Dividends</v>
      </c>
      <c r="C4376" s="1628">
        <f>'Puerto Rico'!K147</f>
        <v>0</v>
      </c>
      <c r="D4376" s="1628">
        <f>'Puerto Rico'!L147</f>
        <v>0</v>
      </c>
      <c r="E4376" s="1628">
        <f>'Puerto Rico'!M147</f>
        <v>0</v>
      </c>
      <c r="F4376" s="1628">
        <f>'Puerto Rico'!N147</f>
        <v>0</v>
      </c>
      <c r="G4376" s="1628">
        <f>'Puerto Rico'!O147</f>
        <v>0</v>
      </c>
      <c r="H4376" s="1628">
        <f>'Puerto Rico'!P147</f>
        <v>0</v>
      </c>
    </row>
    <row r="4377" spans="2:14">
      <c r="B4377" t="str">
        <f>'Puerto Rico'!B148</f>
        <v>Acquisitions (inc spectrum)</v>
      </c>
      <c r="C4377" s="486">
        <f>'Puerto Rico'!K148</f>
        <v>0</v>
      </c>
      <c r="D4377" s="486">
        <f>'Puerto Rico'!L148</f>
        <v>-95</v>
      </c>
      <c r="E4377" s="486">
        <f>'Puerto Rico'!M148</f>
        <v>-72</v>
      </c>
      <c r="F4377" s="486">
        <f>'Puerto Rico'!N148</f>
        <v>-45</v>
      </c>
      <c r="G4377" s="486">
        <f>'Puerto Rico'!O148</f>
        <v>-40</v>
      </c>
      <c r="H4377" s="486">
        <f>'Puerto Rico'!P148</f>
        <v>0</v>
      </c>
    </row>
    <row r="4378" spans="2:14">
      <c r="B4378" s="1629" t="str">
        <f>'Puerto Rico'!B149</f>
        <v>Other (inc handset receivables)</v>
      </c>
      <c r="C4378" s="1630">
        <f>'Puerto Rico'!K149</f>
        <v>0</v>
      </c>
      <c r="D4378" s="1630">
        <f>'Puerto Rico'!L149</f>
        <v>40</v>
      </c>
      <c r="E4378" s="1630">
        <f>'Puerto Rico'!M149</f>
        <v>40</v>
      </c>
      <c r="F4378" s="1630">
        <f>'Puerto Rico'!N149</f>
        <v>0</v>
      </c>
      <c r="G4378" s="1630">
        <f>'Puerto Rico'!O149</f>
        <v>0</v>
      </c>
      <c r="H4378" s="1630">
        <f>'Puerto Rico'!P149</f>
        <v>0</v>
      </c>
    </row>
    <row r="4379" spans="2:14">
      <c r="B4379" s="12" t="str">
        <f>'Puerto Rico'!B150</f>
        <v>FCF</v>
      </c>
      <c r="C4379" s="1166">
        <f>'Puerto Rico'!K150</f>
        <v>48</v>
      </c>
      <c r="D4379" s="1166">
        <f>'Puerto Rico'!L150</f>
        <v>-167.47334599999999</v>
      </c>
      <c r="E4379" s="1166">
        <f>'Puerto Rico'!M150</f>
        <v>-24.197285820368478</v>
      </c>
      <c r="F4379" s="1166">
        <f>'Puerto Rico'!N150</f>
        <v>-12.060683454836528</v>
      </c>
      <c r="G4379" s="1166">
        <f>'Puerto Rico'!O150</f>
        <v>30.070830465001748</v>
      </c>
      <c r="H4379" s="1166">
        <f>'Puerto Rico'!P150</f>
        <v>86.609104287295125</v>
      </c>
    </row>
    <row r="4382" spans="2:14">
      <c r="B4382" t="s">
        <v>469</v>
      </c>
    </row>
    <row r="4384" spans="2:14">
      <c r="B4384" s="552" t="s">
        <v>4963</v>
      </c>
      <c r="C4384" s="952" t="str">
        <f>'New quarts'!AR4</f>
        <v>Q1 23</v>
      </c>
      <c r="D4384" s="952" t="str">
        <f>'New quarts'!AS4</f>
        <v>Q2 23</v>
      </c>
      <c r="E4384" s="952" t="str">
        <f>'New quarts'!AT4</f>
        <v>Q3 23</v>
      </c>
      <c r="F4384" s="952" t="str">
        <f>'New quarts'!AU4</f>
        <v>Q4 23</v>
      </c>
      <c r="G4384" s="952" t="str">
        <f>'New quarts'!AW4</f>
        <v>Q1 24</v>
      </c>
      <c r="H4384" s="952" t="str">
        <f>'New quarts'!AX4</f>
        <v>Q2 24</v>
      </c>
      <c r="I4384" s="952" t="str">
        <f>'New quarts'!AY4</f>
        <v>Q3 24</v>
      </c>
      <c r="J4384" s="952" t="str">
        <f>'New quarts'!AZ4</f>
        <v>Q4 24e</v>
      </c>
      <c r="K4384" s="952" t="str">
        <f>'New quarts'!BB4</f>
        <v>Q1 25e</v>
      </c>
      <c r="L4384" s="952" t="str">
        <f>'New quarts'!BC4</f>
        <v>Q2 25e</v>
      </c>
      <c r="M4384" s="952" t="str">
        <f>'New quarts'!BD4</f>
        <v>Q3 25e</v>
      </c>
      <c r="N4384" s="952" t="str">
        <f>'New quarts'!BE4</f>
        <v>Q4 25e</v>
      </c>
    </row>
    <row r="4385" spans="2:14">
      <c r="B4385" t="s">
        <v>7915</v>
      </c>
      <c r="C4385" s="16">
        <f>C4387-C4386</f>
        <v>228.10000000000002</v>
      </c>
      <c r="D4385" s="16">
        <f>D4387-D4386</f>
        <v>209.9</v>
      </c>
      <c r="E4385" s="16">
        <f>E4387-E4386</f>
        <v>208</v>
      </c>
      <c r="F4385" s="16">
        <f>F4387-F4386</f>
        <v>212.29999999999998</v>
      </c>
      <c r="G4385" s="16">
        <f>G4387-G4386</f>
        <v>186.80000000000004</v>
      </c>
      <c r="H4385" s="16">
        <f t="shared" ref="H4385:J4385" si="408">H4387-H4386</f>
        <v>167.50000000000003</v>
      </c>
      <c r="I4385" s="16">
        <f t="shared" si="408"/>
        <v>170.29999999999998</v>
      </c>
      <c r="J4385" s="16">
        <f t="shared" si="408"/>
        <v>197.56580000000002</v>
      </c>
      <c r="K4385" s="16">
        <f>K4387-K4386</f>
        <v>187</v>
      </c>
      <c r="L4385" s="16">
        <f>L4387-L4386</f>
        <v>190</v>
      </c>
      <c r="M4385" s="16">
        <f>M4387-M4386</f>
        <v>194</v>
      </c>
      <c r="N4385" s="16">
        <f>N4387-N4386</f>
        <v>209.63702712000008</v>
      </c>
    </row>
    <row r="4386" spans="2:14">
      <c r="B4386" s="3" t="s">
        <v>7916</v>
      </c>
      <c r="C4386" s="64">
        <f>'New quarts'!AR40+15</f>
        <v>137.69999999999999</v>
      </c>
      <c r="D4386" s="64">
        <f>'New quarts'!AS40+15</f>
        <v>142.1</v>
      </c>
      <c r="E4386" s="64">
        <f>'New quarts'!AT40+15</f>
        <v>143.19999999999999</v>
      </c>
      <c r="F4386" s="64">
        <f>'New quarts'!AU40+15</f>
        <v>141.20000000000002</v>
      </c>
      <c r="G4386" s="64">
        <f>'New quarts'!AW40+15</f>
        <v>140.1</v>
      </c>
      <c r="H4386" s="64">
        <f>'New quarts'!AX40+15</f>
        <v>141.1</v>
      </c>
      <c r="I4386" s="64">
        <f>'New quarts'!AY40+15</f>
        <v>137.9</v>
      </c>
      <c r="J4386" s="64">
        <f>'New quarts'!AZ40+15</f>
        <v>137.53700000000003</v>
      </c>
      <c r="K4386" s="64">
        <f>'New quarts'!BB40+15</f>
        <v>136</v>
      </c>
      <c r="L4386" s="64">
        <f>'New quarts'!BC40+15</f>
        <v>138</v>
      </c>
      <c r="M4386" s="64">
        <f>'New quarts'!BD40+15</f>
        <v>139</v>
      </c>
      <c r="N4386" s="64">
        <f>'New quarts'!BE40+15</f>
        <v>133.70426000000003</v>
      </c>
    </row>
    <row r="4387" spans="2:14">
      <c r="B4387" t="s">
        <v>15</v>
      </c>
      <c r="C4387" s="16">
        <f>'New quarts'!AR43</f>
        <v>365.8</v>
      </c>
      <c r="D4387" s="16">
        <f>'New quarts'!AS43</f>
        <v>352</v>
      </c>
      <c r="E4387" s="16">
        <f>'New quarts'!AT43</f>
        <v>351.2</v>
      </c>
      <c r="F4387" s="16">
        <f>'New quarts'!AU43</f>
        <v>353.5</v>
      </c>
      <c r="G4387" s="16">
        <f>'New quarts'!AW43</f>
        <v>326.90000000000003</v>
      </c>
      <c r="H4387" s="16">
        <f>'New quarts'!AX43</f>
        <v>308.60000000000002</v>
      </c>
      <c r="I4387" s="16">
        <f>'New quarts'!AY43</f>
        <v>308.2</v>
      </c>
      <c r="J4387" s="16">
        <f>'New quarts'!AZ43</f>
        <v>335.10280000000006</v>
      </c>
      <c r="K4387" s="16">
        <f>'New quarts'!BB43</f>
        <v>323</v>
      </c>
      <c r="L4387" s="16">
        <f>'New quarts'!BC43</f>
        <v>328</v>
      </c>
      <c r="M4387" s="16">
        <f>'New quarts'!BD43</f>
        <v>333</v>
      </c>
      <c r="N4387" s="16">
        <f>'New quarts'!BE43</f>
        <v>343.34128712000012</v>
      </c>
    </row>
    <row r="4388" spans="2:14">
      <c r="C4388" s="16"/>
      <c r="D4388" s="16"/>
      <c r="E4388" s="16"/>
      <c r="F4388" s="16"/>
      <c r="G4388" s="16"/>
      <c r="H4388" s="16"/>
      <c r="I4388" s="16"/>
      <c r="J4388" s="16"/>
      <c r="K4388" s="16"/>
      <c r="L4388" s="16"/>
      <c r="M4388" s="16"/>
      <c r="N4388" s="16"/>
    </row>
    <row r="4389" spans="2:14">
      <c r="B4389" t="s">
        <v>935</v>
      </c>
      <c r="C4389" s="16"/>
      <c r="D4389" s="16"/>
      <c r="E4389" s="16"/>
      <c r="F4389" s="16"/>
      <c r="G4389" s="16"/>
      <c r="H4389" s="16"/>
      <c r="I4389" s="16"/>
      <c r="J4389" s="16"/>
      <c r="K4389" s="16"/>
      <c r="L4389" s="16"/>
      <c r="M4389" s="16"/>
      <c r="N4389" s="16"/>
    </row>
    <row r="4390" spans="2:14">
      <c r="B4390" t="str">
        <f>B4385</f>
        <v>Former AT&amp;T</v>
      </c>
      <c r="C4390" s="16"/>
      <c r="D4390" s="16"/>
      <c r="E4390" s="16"/>
      <c r="F4390" s="16"/>
      <c r="G4390" s="5">
        <f t="shared" ref="G4390:N4392" si="409">G4385/C4385-1</f>
        <v>-0.18106093818500646</v>
      </c>
      <c r="H4390" s="5">
        <f t="shared" si="409"/>
        <v>-0.20200095283468311</v>
      </c>
      <c r="I4390" s="5">
        <f t="shared" si="409"/>
        <v>-0.18125000000000013</v>
      </c>
      <c r="J4390" s="5">
        <f t="shared" si="409"/>
        <v>-6.9402731983042698E-2</v>
      </c>
      <c r="K4390" s="5">
        <f t="shared" si="409"/>
        <v>1.0706638115629552E-3</v>
      </c>
      <c r="L4390" s="5">
        <f t="shared" si="409"/>
        <v>0.13432835820895495</v>
      </c>
      <c r="M4390" s="5">
        <f t="shared" si="409"/>
        <v>0.1391661773341164</v>
      </c>
      <c r="N4390" s="5">
        <f t="shared" si="409"/>
        <v>6.109978103497693E-2</v>
      </c>
    </row>
    <row r="4391" spans="2:14">
      <c r="B4391" s="3" t="str">
        <f>B4386</f>
        <v>Old Fixed parameter</v>
      </c>
      <c r="C4391" s="64"/>
      <c r="D4391" s="64"/>
      <c r="E4391" s="64"/>
      <c r="F4391" s="64"/>
      <c r="G4391" s="512">
        <f t="shared" si="409"/>
        <v>1.7429193899782147E-2</v>
      </c>
      <c r="H4391" s="512">
        <f t="shared" si="409"/>
        <v>-7.0372976776917895E-3</v>
      </c>
      <c r="I4391" s="512">
        <f t="shared" si="409"/>
        <v>-3.7011173184357427E-2</v>
      </c>
      <c r="J4391" s="512">
        <f t="shared" si="409"/>
        <v>-2.594192634560899E-2</v>
      </c>
      <c r="K4391" s="512">
        <f t="shared" si="409"/>
        <v>-2.9264810849393252E-2</v>
      </c>
      <c r="L4391" s="512">
        <f t="shared" si="409"/>
        <v>-2.1970233876683176E-2</v>
      </c>
      <c r="M4391" s="512">
        <f t="shared" si="409"/>
        <v>7.9767947788251803E-3</v>
      </c>
      <c r="N4391" s="512">
        <f t="shared" si="409"/>
        <v>-2.786697397791138E-2</v>
      </c>
    </row>
    <row r="4392" spans="2:14">
      <c r="B4392" t="str">
        <f>B4387</f>
        <v>Revenue</v>
      </c>
      <c r="C4392" s="16"/>
      <c r="D4392" s="16"/>
      <c r="E4392" s="16"/>
      <c r="F4392" s="16"/>
      <c r="G4392" s="5">
        <f t="shared" si="409"/>
        <v>-0.10634226353198462</v>
      </c>
      <c r="H4392" s="5">
        <f t="shared" si="409"/>
        <v>-0.12329545454545443</v>
      </c>
      <c r="I4392" s="5">
        <f t="shared" si="409"/>
        <v>-0.12243735763097952</v>
      </c>
      <c r="J4392" s="5">
        <f t="shared" si="409"/>
        <v>-5.2042998585572708E-2</v>
      </c>
      <c r="K4392" s="5">
        <f t="shared" si="409"/>
        <v>-1.1930253900275467E-2</v>
      </c>
      <c r="L4392" s="5">
        <f t="shared" si="409"/>
        <v>6.2864549578742546E-2</v>
      </c>
      <c r="M4392" s="5">
        <f t="shared" si="409"/>
        <v>8.0467229072031188E-2</v>
      </c>
      <c r="N4392" s="5">
        <f t="shared" si="409"/>
        <v>2.4584954587070218E-2</v>
      </c>
    </row>
    <row r="4393" spans="2:14">
      <c r="C4393" s="16"/>
      <c r="D4393" s="16"/>
      <c r="E4393" s="16"/>
      <c r="F4393" s="16"/>
      <c r="G4393" s="16"/>
      <c r="H4393" s="16"/>
      <c r="I4393" s="16"/>
      <c r="J4393" s="16"/>
      <c r="K4393" s="16"/>
      <c r="L4393" s="16"/>
      <c r="M4393" s="16"/>
      <c r="N4393" s="16"/>
    </row>
    <row r="4394" spans="2:14">
      <c r="B4394" t="str">
        <f>B4385</f>
        <v>Former AT&amp;T</v>
      </c>
      <c r="C4394" s="16">
        <f>C4396-C4395</f>
        <v>72.435000000000002</v>
      </c>
      <c r="D4394" s="16">
        <f>D4396-D4395</f>
        <v>77.355000000000018</v>
      </c>
      <c r="E4394" s="16">
        <f>E4396-E4395</f>
        <v>51.960000000000008</v>
      </c>
      <c r="F4394" s="16">
        <f>F4396-F4395</f>
        <v>40.36</v>
      </c>
      <c r="G4394" s="16">
        <f>G4396-G4395</f>
        <v>6.0549999999999926</v>
      </c>
      <c r="H4394" s="16">
        <f t="shared" ref="H4394:J4394" si="410">H4396-H4395</f>
        <v>7.6049999999999969</v>
      </c>
      <c r="I4394" s="16">
        <f t="shared" si="410"/>
        <v>26.144999999999996</v>
      </c>
      <c r="J4394" s="16">
        <f t="shared" si="410"/>
        <v>33.621022000000032</v>
      </c>
      <c r="K4394" s="16">
        <f>K4396-K4395</f>
        <v>43.8</v>
      </c>
      <c r="L4394" s="16">
        <f>L4396-L4395</f>
        <v>52.9</v>
      </c>
      <c r="M4394" s="16">
        <f>M4396-M4395</f>
        <v>62.449999999999996</v>
      </c>
      <c r="N4394" s="16">
        <f>N4396-N4395</f>
        <v>76.308882007199998</v>
      </c>
    </row>
    <row r="4395" spans="2:14">
      <c r="B4395" s="3" t="str">
        <f>B4386</f>
        <v>Old Fixed parameter</v>
      </c>
      <c r="C4395" s="64">
        <f t="shared" ref="C4395:N4395" si="411">C4401*C4386</f>
        <v>61.964999999999996</v>
      </c>
      <c r="D4395" s="64">
        <f t="shared" si="411"/>
        <v>63.945</v>
      </c>
      <c r="E4395" s="64">
        <f t="shared" si="411"/>
        <v>64.44</v>
      </c>
      <c r="F4395" s="64">
        <f t="shared" si="411"/>
        <v>63.540000000000006</v>
      </c>
      <c r="G4395" s="64">
        <f t="shared" si="411"/>
        <v>63.045000000000002</v>
      </c>
      <c r="H4395" s="64">
        <f t="shared" si="411"/>
        <v>63.494999999999997</v>
      </c>
      <c r="I4395" s="64">
        <f t="shared" si="411"/>
        <v>62.055000000000007</v>
      </c>
      <c r="J4395" s="64">
        <f t="shared" si="411"/>
        <v>61.89165000000002</v>
      </c>
      <c r="K4395" s="64">
        <f t="shared" si="411"/>
        <v>61.2</v>
      </c>
      <c r="L4395" s="64">
        <f t="shared" si="411"/>
        <v>62.1</v>
      </c>
      <c r="M4395" s="64">
        <f t="shared" si="411"/>
        <v>62.550000000000004</v>
      </c>
      <c r="N4395" s="64">
        <f t="shared" si="411"/>
        <v>60.166917000000019</v>
      </c>
    </row>
    <row r="4396" spans="2:14">
      <c r="B4396" t="s">
        <v>8</v>
      </c>
      <c r="C4396" s="16">
        <f>'New quarts'!AR232</f>
        <v>134.4</v>
      </c>
      <c r="D4396" s="16">
        <f>'New quarts'!AS232</f>
        <v>141.30000000000001</v>
      </c>
      <c r="E4396" s="16">
        <f>'New quarts'!AT232</f>
        <v>116.4</v>
      </c>
      <c r="F4396" s="16">
        <f>'New quarts'!AU232</f>
        <v>103.9</v>
      </c>
      <c r="G4396" s="16">
        <f>'New quarts'!AW232</f>
        <v>69.099999999999994</v>
      </c>
      <c r="H4396" s="16">
        <f>'New quarts'!AX232</f>
        <v>71.099999999999994</v>
      </c>
      <c r="I4396" s="16">
        <f>'New quarts'!AY232</f>
        <v>88.2</v>
      </c>
      <c r="J4396" s="16">
        <f>'New quarts'!AZ232</f>
        <v>95.512672000000052</v>
      </c>
      <c r="K4396" s="16">
        <f>'New quarts'!BB232</f>
        <v>105</v>
      </c>
      <c r="L4396" s="16">
        <f>'New quarts'!BC232</f>
        <v>115</v>
      </c>
      <c r="M4396" s="16">
        <f>'New quarts'!BD232</f>
        <v>125</v>
      </c>
      <c r="N4396" s="16">
        <f>'New quarts'!BE232</f>
        <v>136.47579900720001</v>
      </c>
    </row>
    <row r="4399" spans="2:14">
      <c r="B4399" t="s">
        <v>5894</v>
      </c>
    </row>
    <row r="4400" spans="2:14">
      <c r="B4400" t="str">
        <f>B4385</f>
        <v>Former AT&amp;T</v>
      </c>
      <c r="C4400" s="5">
        <f t="shared" ref="C4400:N4400" si="412">C4394/C4385</f>
        <v>0.31755808855765011</v>
      </c>
      <c r="D4400" s="5">
        <f t="shared" si="412"/>
        <v>0.36853263458789909</v>
      </c>
      <c r="E4400" s="5">
        <f t="shared" si="412"/>
        <v>0.24980769230769234</v>
      </c>
      <c r="F4400" s="5">
        <f t="shared" si="412"/>
        <v>0.19010833725859633</v>
      </c>
      <c r="G4400" s="5">
        <f t="shared" si="412"/>
        <v>3.24143468950749E-2</v>
      </c>
      <c r="H4400" s="5">
        <f t="shared" si="412"/>
        <v>4.5402985074626839E-2</v>
      </c>
      <c r="I4400" s="5">
        <f t="shared" si="412"/>
        <v>0.153523194362889</v>
      </c>
      <c r="J4400" s="5">
        <f t="shared" si="412"/>
        <v>0.17017632606453156</v>
      </c>
      <c r="K4400" s="5">
        <f t="shared" si="412"/>
        <v>0.23422459893048128</v>
      </c>
      <c r="L4400" s="5">
        <f t="shared" si="412"/>
        <v>0.27842105263157896</v>
      </c>
      <c r="M4400" s="5">
        <f t="shared" si="412"/>
        <v>0.32190721649484533</v>
      </c>
      <c r="N4400" s="5">
        <f t="shared" si="412"/>
        <v>0.36400478987673962</v>
      </c>
    </row>
    <row r="4401" spans="2:14">
      <c r="B4401" t="str">
        <f>B4386</f>
        <v>Old Fixed parameter</v>
      </c>
      <c r="C4401" s="5">
        <v>0.45</v>
      </c>
      <c r="D4401" s="5">
        <v>0.45</v>
      </c>
      <c r="E4401" s="5">
        <v>0.45</v>
      </c>
      <c r="F4401" s="5">
        <v>0.45</v>
      </c>
      <c r="G4401" s="5">
        <v>0.45</v>
      </c>
      <c r="H4401" s="5">
        <v>0.45</v>
      </c>
      <c r="I4401" s="5">
        <v>0.45</v>
      </c>
      <c r="J4401" s="5">
        <v>0.45</v>
      </c>
      <c r="K4401" s="5">
        <v>0.45</v>
      </c>
      <c r="L4401" s="5">
        <v>0.45</v>
      </c>
      <c r="M4401" s="5">
        <v>0.45</v>
      </c>
      <c r="N4401" s="5">
        <v>0.45</v>
      </c>
    </row>
    <row r="4402" spans="2:14">
      <c r="B4402" t="s">
        <v>16</v>
      </c>
      <c r="C4402" s="5">
        <f t="shared" ref="C4402:N4402" si="413">C4396/C4387</f>
        <v>0.36741388737014763</v>
      </c>
      <c r="D4402" s="5">
        <f t="shared" si="413"/>
        <v>0.40142045454545455</v>
      </c>
      <c r="E4402" s="5">
        <f t="shared" si="413"/>
        <v>0.33143507972665148</v>
      </c>
      <c r="F4402" s="5">
        <f t="shared" si="413"/>
        <v>0.29391796322489394</v>
      </c>
      <c r="G4402" s="5">
        <f t="shared" si="413"/>
        <v>0.21137962679718564</v>
      </c>
      <c r="H4402" s="5">
        <f t="shared" si="413"/>
        <v>0.23039533376539206</v>
      </c>
      <c r="I4402" s="5">
        <f t="shared" si="413"/>
        <v>0.28617780661907855</v>
      </c>
      <c r="J4402" s="5">
        <f t="shared" si="413"/>
        <v>0.28502498934655285</v>
      </c>
      <c r="K4402" s="5">
        <f t="shared" si="413"/>
        <v>0.32507739938080493</v>
      </c>
      <c r="L4402" s="5">
        <f t="shared" si="413"/>
        <v>0.35060975609756095</v>
      </c>
      <c r="M4402" s="5">
        <f t="shared" si="413"/>
        <v>0.37537537537537535</v>
      </c>
      <c r="N4402" s="5">
        <f t="shared" si="413"/>
        <v>0.39749311873320026</v>
      </c>
    </row>
    <row r="4404" spans="2:14">
      <c r="B4404" s="552" t="s">
        <v>15</v>
      </c>
      <c r="C4404" s="552">
        <v>2024</v>
      </c>
      <c r="D4404" s="552">
        <f>C4404+1</f>
        <v>2025</v>
      </c>
      <c r="E4404" s="552">
        <f>D4404+1</f>
        <v>2026</v>
      </c>
      <c r="F4404" s="552">
        <f>E4404+1</f>
        <v>2027</v>
      </c>
      <c r="G4404" s="552">
        <f>F4404+1</f>
        <v>2028</v>
      </c>
    </row>
    <row r="4405" spans="2:14">
      <c r="B4405" t="s">
        <v>1012</v>
      </c>
      <c r="C4405" s="63">
        <v>1294.044725</v>
      </c>
      <c r="D4405" s="63">
        <v>1338.5074713250001</v>
      </c>
      <c r="E4405" s="63">
        <v>1362.8647466813975</v>
      </c>
      <c r="F4405" s="63">
        <v>1387.7371253224612</v>
      </c>
      <c r="G4405" s="63">
        <v>1414.4815141855051</v>
      </c>
    </row>
    <row r="4406" spans="2:14">
      <c r="B4406" t="s">
        <v>3043</v>
      </c>
      <c r="C4406" s="16">
        <f>Master!P48</f>
        <v>1278.8028000000002</v>
      </c>
      <c r="D4406" s="16">
        <f>Master!Q48</f>
        <v>1327.3412871200001</v>
      </c>
      <c r="E4406" s="16">
        <f>Master!R48</f>
        <v>1353.418403214336</v>
      </c>
      <c r="F4406" s="16">
        <f>Master!S48</f>
        <v>1369.0294607454246</v>
      </c>
      <c r="G4406" s="16">
        <f>Master!T48</f>
        <v>1381.0921898993574</v>
      </c>
    </row>
    <row r="4408" spans="2:14">
      <c r="B4408" t="s">
        <v>8</v>
      </c>
    </row>
    <row r="4409" spans="2:14">
      <c r="B4409" t="str">
        <f>B4405</f>
        <v>Old</v>
      </c>
      <c r="C4409" s="63">
        <v>354.74567322500002</v>
      </c>
      <c r="D4409" s="63">
        <v>565.24776439025004</v>
      </c>
      <c r="E4409" s="63">
        <v>587.88860373893101</v>
      </c>
      <c r="F4409" s="63">
        <v>611.21747887575987</v>
      </c>
      <c r="G4409" s="63">
        <v>621.64779053234702</v>
      </c>
    </row>
    <row r="4410" spans="2:14">
      <c r="B4410" t="str">
        <f>B4406</f>
        <v>New</v>
      </c>
      <c r="C4410" s="16">
        <f>Master!P71</f>
        <v>323.91267200000004</v>
      </c>
      <c r="D4410" s="16">
        <f>Master!Q71</f>
        <v>481.47579900720001</v>
      </c>
      <c r="E4410" s="16">
        <f>Master!R71</f>
        <v>516.62807306073091</v>
      </c>
      <c r="F4410" s="16">
        <f>Master!S71</f>
        <v>535.47001665344442</v>
      </c>
      <c r="G4410" s="16">
        <f>Master!T71</f>
        <v>553.38226646477506</v>
      </c>
    </row>
  </sheetData>
  <sortState xmlns:xlrd2="http://schemas.microsoft.com/office/spreadsheetml/2017/richdata2" ref="B2775:C2779">
    <sortCondition descending="1" ref="C2775:C2779"/>
  </sortState>
  <mergeCells count="10">
    <mergeCell ref="K2633:L2633"/>
    <mergeCell ref="D2606:E2606"/>
    <mergeCell ref="E2633:F2633"/>
    <mergeCell ref="G2633:H2633"/>
    <mergeCell ref="I2633:J2633"/>
    <mergeCell ref="K1772:Q1772"/>
    <mergeCell ref="S1772:Y1772"/>
    <mergeCell ref="E1823:F1823"/>
    <mergeCell ref="C1823:D1823"/>
    <mergeCell ref="C1772:I1772"/>
  </mergeCells>
  <pageMargins left="0.70866141732283472" right="0.70866141732283472" top="0.74803149606299213" bottom="0.74803149606299213" header="0.31496062992125984" footer="0.31496062992125984"/>
  <pageSetup paperSize="9" scale="10" orientation="portrait" r:id="rId1"/>
  <rowBreaks count="1" manualBreakCount="1">
    <brk id="787" max="30" man="1"/>
  </rowBreaks>
  <ignoredErrors>
    <ignoredError sqref="F3315:H3315 E3315" formula="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U5320"/>
  <sheetViews>
    <sheetView topLeftCell="A5173" zoomScale="79" zoomScaleNormal="70" workbookViewId="0">
      <selection activeCell="C5182" sqref="C5182"/>
    </sheetView>
  </sheetViews>
  <sheetFormatPr defaultRowHeight="15" outlineLevelRow="3" outlineLevelCol="3"/>
  <cols>
    <col min="2" max="2" width="26.140625" customWidth="1"/>
    <col min="3" max="4" width="11.7109375" customWidth="1"/>
    <col min="5" max="5" width="11.7109375" customWidth="1" outlineLevel="1"/>
    <col min="6" max="6" width="11.7109375" customWidth="1" outlineLevel="3"/>
    <col min="7" max="9" width="11.140625" customWidth="1" outlineLevel="2"/>
    <col min="10" max="11" width="9.140625" outlineLevel="1"/>
    <col min="13" max="14" width="9.140625" outlineLevel="1"/>
    <col min="16" max="19" width="9.140625" outlineLevel="2"/>
    <col min="20" max="20" width="9.140625" outlineLevel="1"/>
  </cols>
  <sheetData>
    <row r="2" spans="2:18">
      <c r="B2" s="14" t="s">
        <v>1816</v>
      </c>
    </row>
    <row r="4" spans="2:18">
      <c r="B4" t="s">
        <v>1817</v>
      </c>
    </row>
    <row r="5" spans="2:18">
      <c r="C5" t="s">
        <v>1820</v>
      </c>
    </row>
    <row r="6" spans="2:18">
      <c r="B6" t="s">
        <v>1818</v>
      </c>
    </row>
    <row r="7" spans="2:18">
      <c r="B7" t="s">
        <v>1819</v>
      </c>
    </row>
    <row r="8" spans="2:18">
      <c r="C8" t="s">
        <v>1821</v>
      </c>
    </row>
    <row r="9" spans="2:18">
      <c r="B9" t="s">
        <v>1822</v>
      </c>
    </row>
    <row r="11" spans="2:18">
      <c r="C11">
        <v>1500</v>
      </c>
      <c r="D11">
        <v>2</v>
      </c>
    </row>
    <row r="12" spans="2:18">
      <c r="C12">
        <v>2000</v>
      </c>
      <c r="D12">
        <v>3</v>
      </c>
      <c r="I12" s="13" t="s">
        <v>1412</v>
      </c>
    </row>
    <row r="13" spans="2:18">
      <c r="C13">
        <v>5000</v>
      </c>
      <c r="D13">
        <v>7</v>
      </c>
      <c r="I13" t="s">
        <v>1834</v>
      </c>
    </row>
    <row r="14" spans="2:18">
      <c r="B14" s="13" t="s">
        <v>1827</v>
      </c>
      <c r="I14" t="s">
        <v>1835</v>
      </c>
      <c r="J14" t="s">
        <v>1827</v>
      </c>
      <c r="L14" t="s">
        <v>1044</v>
      </c>
      <c r="P14" t="s">
        <v>1823</v>
      </c>
    </row>
    <row r="15" spans="2:18">
      <c r="C15" s="3" t="s">
        <v>1825</v>
      </c>
      <c r="D15" s="3" t="s">
        <v>1826</v>
      </c>
      <c r="E15" s="3" t="s">
        <v>1824</v>
      </c>
      <c r="F15" s="3" t="s">
        <v>1044</v>
      </c>
      <c r="G15" s="3" t="s">
        <v>1823</v>
      </c>
      <c r="I15" s="3" t="s">
        <v>1825</v>
      </c>
      <c r="J15" s="3" t="s">
        <v>1825</v>
      </c>
      <c r="K15" s="3" t="s">
        <v>1824</v>
      </c>
      <c r="L15" s="3" t="s">
        <v>1825</v>
      </c>
      <c r="M15" s="3" t="s">
        <v>1831</v>
      </c>
      <c r="N15" s="3" t="s">
        <v>1832</v>
      </c>
      <c r="O15" s="3" t="s">
        <v>1833</v>
      </c>
      <c r="P15" s="4" t="s">
        <v>1825</v>
      </c>
      <c r="Q15" s="3"/>
      <c r="R15" s="3" t="s">
        <v>16</v>
      </c>
    </row>
    <row r="16" spans="2:18">
      <c r="C16">
        <v>1299</v>
      </c>
      <c r="D16" s="62">
        <f t="shared" ref="D16:D21" si="0">C16/125</f>
        <v>10.391999999999999</v>
      </c>
      <c r="E16">
        <v>0.5</v>
      </c>
      <c r="F16">
        <v>250</v>
      </c>
      <c r="G16">
        <v>250</v>
      </c>
      <c r="I16">
        <v>799</v>
      </c>
      <c r="J16">
        <v>599</v>
      </c>
      <c r="K16">
        <v>0.5</v>
      </c>
    </row>
    <row r="17" spans="2:18">
      <c r="C17">
        <v>1999</v>
      </c>
      <c r="D17" s="62">
        <f t="shared" si="0"/>
        <v>15.992000000000001</v>
      </c>
      <c r="E17">
        <v>1</v>
      </c>
      <c r="F17">
        <v>500</v>
      </c>
      <c r="G17">
        <v>500</v>
      </c>
      <c r="I17">
        <v>799</v>
      </c>
      <c r="J17">
        <v>999</v>
      </c>
      <c r="K17">
        <v>1</v>
      </c>
      <c r="L17">
        <v>750</v>
      </c>
      <c r="M17">
        <v>250</v>
      </c>
      <c r="N17">
        <v>250</v>
      </c>
      <c r="O17">
        <f>M17+N17</f>
        <v>500</v>
      </c>
      <c r="P17">
        <v>499</v>
      </c>
      <c r="Q17">
        <v>300</v>
      </c>
      <c r="R17">
        <f>I17+J17+L17+P17</f>
        <v>3047</v>
      </c>
    </row>
    <row r="18" spans="2:18">
      <c r="C18">
        <v>2999</v>
      </c>
      <c r="D18" s="62">
        <f t="shared" si="0"/>
        <v>23.992000000000001</v>
      </c>
      <c r="E18">
        <v>4</v>
      </c>
      <c r="F18">
        <v>650</v>
      </c>
      <c r="G18">
        <v>650</v>
      </c>
      <c r="I18">
        <v>799</v>
      </c>
      <c r="J18">
        <v>1899</v>
      </c>
      <c r="K18">
        <v>2</v>
      </c>
    </row>
    <row r="19" spans="2:18">
      <c r="C19">
        <v>4299</v>
      </c>
      <c r="D19" s="62">
        <f t="shared" si="0"/>
        <v>34.392000000000003</v>
      </c>
      <c r="E19">
        <v>5</v>
      </c>
      <c r="F19">
        <v>900</v>
      </c>
      <c r="G19">
        <v>900</v>
      </c>
      <c r="I19">
        <v>799</v>
      </c>
      <c r="J19">
        <v>2799</v>
      </c>
      <c r="K19">
        <v>3</v>
      </c>
      <c r="L19">
        <v>999</v>
      </c>
      <c r="M19">
        <v>375</v>
      </c>
      <c r="N19">
        <v>375</v>
      </c>
      <c r="O19">
        <f>M19+N19</f>
        <v>750</v>
      </c>
      <c r="P19">
        <v>499</v>
      </c>
      <c r="Q19">
        <v>300</v>
      </c>
      <c r="R19">
        <f>I19+J19+L19+P19</f>
        <v>5096</v>
      </c>
    </row>
    <row r="20" spans="2:18">
      <c r="C20">
        <v>6199</v>
      </c>
      <c r="D20" s="62">
        <f t="shared" si="0"/>
        <v>49.591999999999999</v>
      </c>
      <c r="E20">
        <v>7</v>
      </c>
      <c r="F20">
        <v>1500</v>
      </c>
      <c r="G20">
        <v>1500</v>
      </c>
      <c r="I20">
        <v>799</v>
      </c>
      <c r="J20">
        <v>399</v>
      </c>
      <c r="K20">
        <v>5</v>
      </c>
    </row>
    <row r="21" spans="2:18">
      <c r="C21">
        <v>9999</v>
      </c>
      <c r="D21" s="62">
        <f t="shared" si="0"/>
        <v>79.992000000000004</v>
      </c>
      <c r="E21">
        <v>10</v>
      </c>
      <c r="F21">
        <v>5400</v>
      </c>
      <c r="G21">
        <v>5400</v>
      </c>
    </row>
    <row r="23" spans="2:18">
      <c r="B23" s="13" t="s">
        <v>1828</v>
      </c>
      <c r="E23" t="s">
        <v>1830</v>
      </c>
      <c r="F23" s="80" t="s">
        <v>1829</v>
      </c>
      <c r="I23" s="13" t="s">
        <v>1412</v>
      </c>
      <c r="K23" t="s">
        <v>1830</v>
      </c>
      <c r="L23" s="80" t="s">
        <v>1829</v>
      </c>
    </row>
    <row r="24" spans="2:18">
      <c r="B24" s="13"/>
      <c r="C24">
        <v>80</v>
      </c>
      <c r="D24" s="62">
        <f t="shared" ref="D24:D29" si="1">C24/125</f>
        <v>0.64</v>
      </c>
      <c r="E24">
        <v>3</v>
      </c>
      <c r="F24">
        <v>80</v>
      </c>
      <c r="I24">
        <v>75</v>
      </c>
      <c r="J24" s="62">
        <f t="shared" ref="J24:J29" si="2">I24/125</f>
        <v>0.6</v>
      </c>
      <c r="K24">
        <v>3</v>
      </c>
      <c r="L24">
        <v>75</v>
      </c>
    </row>
    <row r="25" spans="2:18">
      <c r="B25" s="13"/>
      <c r="C25">
        <v>200</v>
      </c>
      <c r="D25" s="62">
        <f t="shared" si="1"/>
        <v>1.6</v>
      </c>
      <c r="E25">
        <v>3</v>
      </c>
      <c r="F25">
        <v>250</v>
      </c>
      <c r="I25">
        <v>150</v>
      </c>
      <c r="J25" s="62">
        <f t="shared" si="2"/>
        <v>1.2</v>
      </c>
      <c r="K25">
        <v>3</v>
      </c>
      <c r="L25">
        <v>300</v>
      </c>
    </row>
    <row r="26" spans="2:18">
      <c r="B26" s="13"/>
      <c r="C26">
        <v>350</v>
      </c>
      <c r="D26" s="62">
        <f t="shared" si="1"/>
        <v>2.8</v>
      </c>
      <c r="E26">
        <v>7</v>
      </c>
      <c r="F26">
        <v>500</v>
      </c>
      <c r="I26">
        <v>400</v>
      </c>
      <c r="J26" s="62">
        <f t="shared" si="2"/>
        <v>3.2</v>
      </c>
      <c r="K26">
        <v>7</v>
      </c>
      <c r="L26">
        <v>400</v>
      </c>
    </row>
    <row r="27" spans="2:18">
      <c r="B27" s="13"/>
      <c r="C27">
        <v>600</v>
      </c>
      <c r="D27" s="62">
        <f t="shared" si="1"/>
        <v>4.8</v>
      </c>
      <c r="E27">
        <v>7</v>
      </c>
      <c r="F27">
        <v>1000</v>
      </c>
      <c r="I27">
        <v>600</v>
      </c>
      <c r="J27" s="62">
        <f t="shared" si="2"/>
        <v>4.8</v>
      </c>
      <c r="K27">
        <v>7</v>
      </c>
      <c r="L27">
        <v>1000</v>
      </c>
    </row>
    <row r="28" spans="2:18">
      <c r="C28">
        <v>1750</v>
      </c>
      <c r="D28" s="62">
        <f t="shared" si="1"/>
        <v>14</v>
      </c>
      <c r="E28">
        <v>30</v>
      </c>
      <c r="F28">
        <v>2000</v>
      </c>
      <c r="I28">
        <v>800</v>
      </c>
      <c r="J28" s="62">
        <f t="shared" si="2"/>
        <v>6.4</v>
      </c>
      <c r="K28">
        <v>30</v>
      </c>
      <c r="L28">
        <v>1000</v>
      </c>
    </row>
    <row r="29" spans="2:18">
      <c r="C29">
        <v>2250</v>
      </c>
      <c r="D29" s="62">
        <f t="shared" si="1"/>
        <v>18</v>
      </c>
      <c r="E29">
        <v>30</v>
      </c>
      <c r="F29">
        <v>3000</v>
      </c>
      <c r="I29">
        <v>1500</v>
      </c>
      <c r="J29" s="62">
        <f t="shared" si="2"/>
        <v>12</v>
      </c>
      <c r="K29">
        <v>30</v>
      </c>
      <c r="L29">
        <v>2000</v>
      </c>
    </row>
    <row r="32" spans="2:18">
      <c r="C32" s="3" t="s">
        <v>1854</v>
      </c>
      <c r="D32" s="4" t="s">
        <v>1871</v>
      </c>
      <c r="E32" s="3" t="s">
        <v>1872</v>
      </c>
      <c r="F32" s="3" t="s">
        <v>1859</v>
      </c>
      <c r="G32" s="3" t="s">
        <v>1861</v>
      </c>
      <c r="H32" s="3" t="s">
        <v>1862</v>
      </c>
    </row>
    <row r="33" spans="3:8">
      <c r="C33" t="s">
        <v>1860</v>
      </c>
      <c r="D33">
        <v>3799</v>
      </c>
      <c r="E33" s="62">
        <f>D33/125</f>
        <v>30.391999999999999</v>
      </c>
      <c r="F33">
        <v>25</v>
      </c>
      <c r="G33">
        <v>119</v>
      </c>
      <c r="H33" t="s">
        <v>1874</v>
      </c>
    </row>
    <row r="34" spans="3:8">
      <c r="C34" t="s">
        <v>1855</v>
      </c>
      <c r="D34">
        <v>4699</v>
      </c>
      <c r="E34" s="62">
        <f>D34/125</f>
        <v>37.591999999999999</v>
      </c>
      <c r="F34">
        <v>25</v>
      </c>
      <c r="G34">
        <v>132</v>
      </c>
      <c r="H34" t="s">
        <v>1875</v>
      </c>
    </row>
    <row r="35" spans="3:8">
      <c r="C35" t="s">
        <v>1856</v>
      </c>
      <c r="D35">
        <v>6299</v>
      </c>
      <c r="E35" s="62">
        <f>D35/125</f>
        <v>50.392000000000003</v>
      </c>
      <c r="F35">
        <v>25</v>
      </c>
      <c r="G35">
        <v>180</v>
      </c>
      <c r="H35" t="s">
        <v>1876</v>
      </c>
    </row>
    <row r="36" spans="3:8">
      <c r="C36" t="s">
        <v>1857</v>
      </c>
      <c r="D36">
        <v>9999</v>
      </c>
      <c r="E36" s="62">
        <f>D36/125</f>
        <v>79.992000000000004</v>
      </c>
      <c r="F36">
        <v>50</v>
      </c>
      <c r="G36">
        <v>195</v>
      </c>
    </row>
    <row r="37" spans="3:8">
      <c r="C37" t="s">
        <v>1858</v>
      </c>
      <c r="D37">
        <v>14999</v>
      </c>
      <c r="E37" s="62">
        <f>D37/125</f>
        <v>119.992</v>
      </c>
      <c r="F37">
        <v>100</v>
      </c>
      <c r="G37">
        <v>226</v>
      </c>
    </row>
    <row r="39" spans="3:8">
      <c r="C39" t="s">
        <v>1868</v>
      </c>
    </row>
    <row r="40" spans="3:8">
      <c r="C40" t="s">
        <v>1863</v>
      </c>
      <c r="D40">
        <v>3999</v>
      </c>
      <c r="E40" s="62">
        <f>D40/125</f>
        <v>31.992000000000001</v>
      </c>
      <c r="F40" s="80" t="s">
        <v>1867</v>
      </c>
      <c r="G40">
        <v>50</v>
      </c>
      <c r="H40" t="s">
        <v>1869</v>
      </c>
    </row>
    <row r="41" spans="3:8">
      <c r="C41" t="s">
        <v>1864</v>
      </c>
      <c r="D41">
        <v>4999</v>
      </c>
      <c r="E41" s="62">
        <f>D41/125</f>
        <v>39.991999999999997</v>
      </c>
      <c r="F41" s="80" t="s">
        <v>1867</v>
      </c>
      <c r="G41">
        <v>100</v>
      </c>
      <c r="H41" t="s">
        <v>1873</v>
      </c>
    </row>
    <row r="42" spans="3:8">
      <c r="C42" t="s">
        <v>1865</v>
      </c>
      <c r="D42">
        <v>5499</v>
      </c>
      <c r="E42" s="62">
        <f>D42/125</f>
        <v>43.991999999999997</v>
      </c>
      <c r="F42" s="80" t="s">
        <v>1867</v>
      </c>
      <c r="G42">
        <v>140</v>
      </c>
    </row>
    <row r="43" spans="3:8">
      <c r="C43" t="s">
        <v>1866</v>
      </c>
      <c r="D43">
        <v>7499</v>
      </c>
      <c r="E43" s="62">
        <f>D43/125</f>
        <v>59.991999999999997</v>
      </c>
      <c r="F43" s="80" t="s">
        <v>1867</v>
      </c>
      <c r="G43">
        <v>170</v>
      </c>
    </row>
    <row r="45" spans="3:8" outlineLevel="1">
      <c r="C45" t="s">
        <v>1567</v>
      </c>
      <c r="D45">
        <v>9899</v>
      </c>
      <c r="F45">
        <v>50</v>
      </c>
    </row>
    <row r="46" spans="3:8" outlineLevel="1">
      <c r="C46" t="s">
        <v>389</v>
      </c>
      <c r="D46">
        <v>2699</v>
      </c>
      <c r="G46">
        <v>100</v>
      </c>
    </row>
    <row r="47" spans="3:8" outlineLevel="1">
      <c r="C47" s="3" t="s">
        <v>1870</v>
      </c>
      <c r="D47" s="3">
        <v>1200</v>
      </c>
      <c r="E47" s="3"/>
      <c r="F47" s="3"/>
      <c r="G47" s="3"/>
      <c r="H47" s="3" t="s">
        <v>1869</v>
      </c>
    </row>
    <row r="48" spans="3:8">
      <c r="C48" t="s">
        <v>16</v>
      </c>
      <c r="D48">
        <f>SUM(D45:D47)</f>
        <v>13798</v>
      </c>
    </row>
    <row r="51" spans="1:10">
      <c r="A51" t="s">
        <v>72</v>
      </c>
      <c r="B51" s="14" t="s">
        <v>1682</v>
      </c>
    </row>
    <row r="52" spans="1:10">
      <c r="F52" s="80" t="s">
        <v>1736</v>
      </c>
      <c r="G52" t="s">
        <v>1735</v>
      </c>
    </row>
    <row r="53" spans="1:10">
      <c r="B53" t="s">
        <v>1713</v>
      </c>
      <c r="C53" s="3"/>
      <c r="D53" s="4" t="s">
        <v>1725</v>
      </c>
      <c r="E53" s="3"/>
      <c r="F53" s="4" t="s">
        <v>389</v>
      </c>
      <c r="G53" s="4" t="s">
        <v>1567</v>
      </c>
      <c r="J53" s="5"/>
    </row>
    <row r="54" spans="1:10">
      <c r="C54" t="s">
        <v>0</v>
      </c>
      <c r="D54" s="5">
        <v>0.27</v>
      </c>
      <c r="G54" s="5">
        <v>0.4</v>
      </c>
      <c r="J54" s="5"/>
    </row>
    <row r="55" spans="1:10">
      <c r="C55" t="s">
        <v>31</v>
      </c>
      <c r="D55" s="5">
        <v>0.15</v>
      </c>
      <c r="G55" s="5">
        <v>0.6</v>
      </c>
      <c r="J55" s="5"/>
    </row>
    <row r="56" spans="1:10">
      <c r="C56" t="s">
        <v>32</v>
      </c>
      <c r="D56" s="560" t="s">
        <v>1726</v>
      </c>
      <c r="G56" s="5">
        <v>0.2</v>
      </c>
      <c r="J56" s="5"/>
    </row>
    <row r="57" spans="1:10">
      <c r="C57" t="s">
        <v>33</v>
      </c>
      <c r="D57" s="80" t="s">
        <v>1727</v>
      </c>
      <c r="G57" s="5">
        <v>0.65</v>
      </c>
      <c r="J57" s="5"/>
    </row>
    <row r="58" spans="1:10">
      <c r="C58" t="s">
        <v>1479</v>
      </c>
      <c r="D58" s="560" t="s">
        <v>1727</v>
      </c>
      <c r="G58" s="5">
        <f>G54</f>
        <v>0.4</v>
      </c>
      <c r="J58" s="5"/>
    </row>
    <row r="59" spans="1:10">
      <c r="D59" s="560">
        <v>0.3</v>
      </c>
      <c r="E59" t="s">
        <v>1728</v>
      </c>
      <c r="J59" s="5"/>
    </row>
    <row r="60" spans="1:10">
      <c r="C60" t="s">
        <v>1730</v>
      </c>
      <c r="D60" s="560"/>
      <c r="E60" t="s">
        <v>1729</v>
      </c>
      <c r="J60" s="5"/>
    </row>
    <row r="61" spans="1:10">
      <c r="C61" t="s">
        <v>1732</v>
      </c>
      <c r="D61" s="560"/>
      <c r="E61" t="s">
        <v>1733</v>
      </c>
      <c r="J61" s="5"/>
    </row>
    <row r="62" spans="1:10">
      <c r="C62" t="s">
        <v>1731</v>
      </c>
      <c r="D62" s="560"/>
      <c r="E62" t="s">
        <v>1734</v>
      </c>
      <c r="J62" s="5"/>
    </row>
    <row r="63" spans="1:10">
      <c r="D63" s="560"/>
      <c r="J63" s="5"/>
    </row>
    <row r="64" spans="1:10">
      <c r="J64" s="5"/>
    </row>
    <row r="65" spans="2:10">
      <c r="B65" t="s">
        <v>1714</v>
      </c>
      <c r="J65" s="5"/>
    </row>
    <row r="66" spans="2:10">
      <c r="C66" t="s">
        <v>1720</v>
      </c>
    </row>
    <row r="67" spans="2:10">
      <c r="C67" t="s">
        <v>1721</v>
      </c>
    </row>
    <row r="69" spans="2:10">
      <c r="C69" t="s">
        <v>1688</v>
      </c>
    </row>
    <row r="73" spans="2:10">
      <c r="B73" t="s">
        <v>1684</v>
      </c>
    </row>
    <row r="74" spans="2:10">
      <c r="C74" t="s">
        <v>1750</v>
      </c>
    </row>
    <row r="77" spans="2:10">
      <c r="B77" t="s">
        <v>1723</v>
      </c>
    </row>
    <row r="78" spans="2:10">
      <c r="C78" t="s">
        <v>1724</v>
      </c>
    </row>
    <row r="79" spans="2:10">
      <c r="C79" t="s">
        <v>1683</v>
      </c>
    </row>
    <row r="80" spans="2:10">
      <c r="D80" s="12" t="s">
        <v>1758</v>
      </c>
    </row>
    <row r="81" spans="1:5">
      <c r="D81" s="12" t="s">
        <v>1759</v>
      </c>
    </row>
    <row r="82" spans="1:5">
      <c r="D82" s="12" t="s">
        <v>1760</v>
      </c>
    </row>
    <row r="83" spans="1:5">
      <c r="B83" t="s">
        <v>1712</v>
      </c>
      <c r="D83" s="12" t="s">
        <v>72</v>
      </c>
    </row>
    <row r="84" spans="1:5">
      <c r="C84" t="s">
        <v>1696</v>
      </c>
    </row>
    <row r="85" spans="1:5">
      <c r="A85" t="s">
        <v>72</v>
      </c>
      <c r="C85" t="s">
        <v>1722</v>
      </c>
    </row>
    <row r="86" spans="1:5">
      <c r="D86" s="12" t="s">
        <v>1761</v>
      </c>
    </row>
    <row r="87" spans="1:5">
      <c r="D87" s="12" t="s">
        <v>1762</v>
      </c>
    </row>
    <row r="88" spans="1:5">
      <c r="D88" s="12" t="s">
        <v>1763</v>
      </c>
    </row>
    <row r="89" spans="1:5">
      <c r="D89" s="12" t="s">
        <v>1764</v>
      </c>
    </row>
    <row r="90" spans="1:5">
      <c r="D90" s="12"/>
      <c r="E90" t="s">
        <v>1765</v>
      </c>
    </row>
    <row r="91" spans="1:5">
      <c r="B91" t="s">
        <v>1717</v>
      </c>
    </row>
    <row r="92" spans="1:5">
      <c r="C92" t="s">
        <v>1718</v>
      </c>
    </row>
    <row r="93" spans="1:5">
      <c r="D93" s="12" t="s">
        <v>1766</v>
      </c>
    </row>
    <row r="94" spans="1:5">
      <c r="B94" t="s">
        <v>1685</v>
      </c>
      <c r="D94" s="12" t="s">
        <v>1767</v>
      </c>
    </row>
    <row r="95" spans="1:5">
      <c r="D95" s="12" t="s">
        <v>1768</v>
      </c>
    </row>
    <row r="96" spans="1:5">
      <c r="C96" t="s">
        <v>72</v>
      </c>
      <c r="D96" s="12" t="s">
        <v>1769</v>
      </c>
    </row>
    <row r="97" spans="1:9">
      <c r="D97" s="12" t="s">
        <v>1770</v>
      </c>
    </row>
    <row r="98" spans="1:9">
      <c r="A98" t="s">
        <v>72</v>
      </c>
      <c r="D98" s="12" t="s">
        <v>1771</v>
      </c>
    </row>
    <row r="99" spans="1:9">
      <c r="D99" s="12" t="s">
        <v>1772</v>
      </c>
    </row>
    <row r="100" spans="1:9">
      <c r="B100" t="s">
        <v>1715</v>
      </c>
      <c r="C100" t="s">
        <v>72</v>
      </c>
    </row>
    <row r="101" spans="1:9">
      <c r="C101" t="s">
        <v>1716</v>
      </c>
    </row>
    <row r="102" spans="1:9">
      <c r="C102" t="s">
        <v>1719</v>
      </c>
    </row>
    <row r="103" spans="1:9">
      <c r="D103" s="12" t="s">
        <v>1773</v>
      </c>
      <c r="I103" t="s">
        <v>72</v>
      </c>
    </row>
    <row r="104" spans="1:9">
      <c r="D104" s="12" t="s">
        <v>1774</v>
      </c>
    </row>
    <row r="105" spans="1:9">
      <c r="B105" t="s">
        <v>1775</v>
      </c>
      <c r="D105" s="12"/>
    </row>
    <row r="106" spans="1:9">
      <c r="C106" t="s">
        <v>1776</v>
      </c>
      <c r="D106" s="12"/>
    </row>
    <row r="107" spans="1:9">
      <c r="B107" t="s">
        <v>1777</v>
      </c>
      <c r="C107" t="s">
        <v>1778</v>
      </c>
      <c r="D107" s="12"/>
    </row>
    <row r="108" spans="1:9">
      <c r="D108" s="12"/>
    </row>
    <row r="110" spans="1:9">
      <c r="B110" s="14" t="s">
        <v>1636</v>
      </c>
    </row>
    <row r="112" spans="1:9">
      <c r="B112" t="s">
        <v>1640</v>
      </c>
      <c r="C112" t="s">
        <v>1641</v>
      </c>
    </row>
    <row r="114" spans="2:3">
      <c r="B114" t="s">
        <v>1642</v>
      </c>
      <c r="C114" t="s">
        <v>1643</v>
      </c>
    </row>
    <row r="115" spans="2:3">
      <c r="C115" t="s">
        <v>1644</v>
      </c>
    </row>
    <row r="116" spans="2:3">
      <c r="B116" t="s">
        <v>1645</v>
      </c>
    </row>
    <row r="117" spans="2:3">
      <c r="C117" t="s">
        <v>1646</v>
      </c>
    </row>
    <row r="118" spans="2:3">
      <c r="C118" t="s">
        <v>1647</v>
      </c>
    </row>
    <row r="119" spans="2:3">
      <c r="C119" t="s">
        <v>1648</v>
      </c>
    </row>
    <row r="120" spans="2:3">
      <c r="C120" t="s">
        <v>1649</v>
      </c>
    </row>
    <row r="121" spans="2:3">
      <c r="C121" t="s">
        <v>1650</v>
      </c>
    </row>
    <row r="122" spans="2:3">
      <c r="C122" t="s">
        <v>1651</v>
      </c>
    </row>
    <row r="124" spans="2:3">
      <c r="B124" t="s">
        <v>1652</v>
      </c>
    </row>
    <row r="126" spans="2:3">
      <c r="B126" t="s">
        <v>1653</v>
      </c>
    </row>
    <row r="128" spans="2:3">
      <c r="B128" t="s">
        <v>1654</v>
      </c>
    </row>
    <row r="130" spans="2:3">
      <c r="B130" t="s">
        <v>984</v>
      </c>
      <c r="C130" t="s">
        <v>1655</v>
      </c>
    </row>
    <row r="131" spans="2:3">
      <c r="C131" t="s">
        <v>1656</v>
      </c>
    </row>
    <row r="132" spans="2:3">
      <c r="C132" t="s">
        <v>1657</v>
      </c>
    </row>
    <row r="133" spans="2:3">
      <c r="C133" t="s">
        <v>1658</v>
      </c>
    </row>
    <row r="134" spans="2:3">
      <c r="C134" t="s">
        <v>1659</v>
      </c>
    </row>
    <row r="136" spans="2:3">
      <c r="B136" t="s">
        <v>1638</v>
      </c>
    </row>
    <row r="137" spans="2:3">
      <c r="C137" t="s">
        <v>1637</v>
      </c>
    </row>
    <row r="140" spans="2:3">
      <c r="B140" s="14" t="s">
        <v>1639</v>
      </c>
    </row>
    <row r="142" spans="2:3">
      <c r="B142" t="s">
        <v>1625</v>
      </c>
    </row>
    <row r="143" spans="2:3">
      <c r="C143" t="s">
        <v>1628</v>
      </c>
    </row>
    <row r="144" spans="2:3">
      <c r="B144" t="s">
        <v>1626</v>
      </c>
    </row>
    <row r="145" spans="2:7">
      <c r="C145" t="s">
        <v>1627</v>
      </c>
    </row>
    <row r="146" spans="2:7">
      <c r="C146" t="s">
        <v>1629</v>
      </c>
    </row>
    <row r="147" spans="2:7">
      <c r="B147" t="s">
        <v>1630</v>
      </c>
    </row>
    <row r="148" spans="2:7">
      <c r="C148" t="s">
        <v>1631</v>
      </c>
    </row>
    <row r="149" spans="2:7">
      <c r="C149" t="s">
        <v>1632</v>
      </c>
    </row>
    <row r="150" spans="2:7">
      <c r="B150" t="s">
        <v>1633</v>
      </c>
    </row>
    <row r="152" spans="2:7">
      <c r="B152" t="s">
        <v>399</v>
      </c>
      <c r="C152" t="s">
        <v>1634</v>
      </c>
    </row>
    <row r="153" spans="2:7">
      <c r="C153" t="s">
        <v>1635</v>
      </c>
    </row>
    <row r="156" spans="2:7">
      <c r="B156" s="14" t="s">
        <v>1616</v>
      </c>
    </row>
    <row r="158" spans="2:7">
      <c r="B158" s="13" t="s">
        <v>1435</v>
      </c>
      <c r="F158" t="s">
        <v>0</v>
      </c>
    </row>
    <row r="159" spans="2:7">
      <c r="B159" t="s">
        <v>72</v>
      </c>
      <c r="F159" t="s">
        <v>29</v>
      </c>
      <c r="G159" t="s">
        <v>1467</v>
      </c>
    </row>
    <row r="160" spans="2:7">
      <c r="B160" t="s">
        <v>1436</v>
      </c>
      <c r="F160" t="s">
        <v>1379</v>
      </c>
      <c r="G160" t="s">
        <v>1468</v>
      </c>
    </row>
    <row r="161" spans="2:7">
      <c r="C161" t="s">
        <v>1444</v>
      </c>
      <c r="F161" t="s">
        <v>1453</v>
      </c>
      <c r="G161" t="s">
        <v>1468</v>
      </c>
    </row>
    <row r="162" spans="2:7">
      <c r="C162" t="s">
        <v>1437</v>
      </c>
      <c r="F162" t="s">
        <v>1365</v>
      </c>
    </row>
    <row r="163" spans="2:7">
      <c r="C163" t="s">
        <v>32</v>
      </c>
    </row>
    <row r="164" spans="2:7">
      <c r="C164" t="s">
        <v>1438</v>
      </c>
    </row>
    <row r="165" spans="2:7">
      <c r="D165" t="s">
        <v>1439</v>
      </c>
    </row>
    <row r="167" spans="2:7">
      <c r="B167" t="s">
        <v>1440</v>
      </c>
    </row>
    <row r="168" spans="2:7">
      <c r="B168" t="s">
        <v>1441</v>
      </c>
    </row>
    <row r="169" spans="2:7">
      <c r="B169" t="s">
        <v>1442</v>
      </c>
    </row>
    <row r="170" spans="2:7">
      <c r="C170" t="s">
        <v>1443</v>
      </c>
    </row>
    <row r="172" spans="2:7">
      <c r="B172" t="s">
        <v>1445</v>
      </c>
    </row>
    <row r="173" spans="2:7">
      <c r="C173" t="s">
        <v>1446</v>
      </c>
    </row>
    <row r="174" spans="2:7">
      <c r="C174" t="s">
        <v>1447</v>
      </c>
      <c r="D174" t="s">
        <v>1448</v>
      </c>
    </row>
    <row r="175" spans="2:7">
      <c r="D175" t="s">
        <v>1449</v>
      </c>
    </row>
    <row r="177" spans="1:5">
      <c r="B177" t="s">
        <v>1450</v>
      </c>
      <c r="C177" s="1">
        <v>42430</v>
      </c>
      <c r="D177" s="1">
        <v>42795</v>
      </c>
      <c r="E177" s="1">
        <v>43160</v>
      </c>
    </row>
    <row r="178" spans="1:5">
      <c r="B178" t="s">
        <v>1486</v>
      </c>
      <c r="C178">
        <v>927</v>
      </c>
      <c r="D178">
        <v>1017</v>
      </c>
      <c r="E178">
        <v>1099</v>
      </c>
    </row>
    <row r="179" spans="1:5">
      <c r="D179" s="5">
        <f>D178/C178-1</f>
        <v>9.7087378640776656E-2</v>
      </c>
      <c r="E179" s="5">
        <f>E178/D178-1</f>
        <v>8.0629301868240022E-2</v>
      </c>
    </row>
    <row r="180" spans="1:5">
      <c r="A180" t="s">
        <v>72</v>
      </c>
      <c r="B180" t="s">
        <v>1487</v>
      </c>
      <c r="C180" s="5">
        <v>0.21</v>
      </c>
      <c r="D180" s="5">
        <v>0.17</v>
      </c>
      <c r="E180" s="5">
        <v>0.15</v>
      </c>
    </row>
    <row r="181" spans="1:5">
      <c r="C181" s="5"/>
      <c r="D181" s="5"/>
      <c r="E181" s="5"/>
    </row>
    <row r="182" spans="1:5">
      <c r="B182" t="s">
        <v>32</v>
      </c>
    </row>
    <row r="183" spans="1:5">
      <c r="C183" t="s">
        <v>1451</v>
      </c>
    </row>
    <row r="184" spans="1:5">
      <c r="C184" t="s">
        <v>1452</v>
      </c>
    </row>
    <row r="185" spans="1:5">
      <c r="D185" t="s">
        <v>1365</v>
      </c>
      <c r="E185" s="5">
        <v>0.75</v>
      </c>
    </row>
    <row r="186" spans="1:5">
      <c r="D186" t="s">
        <v>1453</v>
      </c>
      <c r="E186" s="5">
        <v>0.1</v>
      </c>
    </row>
    <row r="187" spans="1:5">
      <c r="D187" t="s">
        <v>29</v>
      </c>
      <c r="E187" s="5">
        <v>0.15</v>
      </c>
    </row>
    <row r="188" spans="1:5">
      <c r="C188" t="s">
        <v>1454</v>
      </c>
      <c r="E188" s="5"/>
    </row>
    <row r="189" spans="1:5">
      <c r="C189" t="s">
        <v>1455</v>
      </c>
      <c r="E189" s="5"/>
    </row>
    <row r="190" spans="1:5">
      <c r="C190" t="s">
        <v>1456</v>
      </c>
      <c r="E190" s="5"/>
    </row>
    <row r="191" spans="1:5">
      <c r="C191" t="s">
        <v>1457</v>
      </c>
      <c r="E191" s="5"/>
    </row>
    <row r="192" spans="1:5">
      <c r="C192" t="s">
        <v>1458</v>
      </c>
      <c r="E192" s="5"/>
    </row>
    <row r="193" spans="1:15">
      <c r="A193" t="s">
        <v>72</v>
      </c>
      <c r="E193" s="5"/>
    </row>
    <row r="194" spans="1:15">
      <c r="C194" t="s">
        <v>1459</v>
      </c>
      <c r="E194" s="5"/>
    </row>
    <row r="195" spans="1:15">
      <c r="C195" t="s">
        <v>1465</v>
      </c>
      <c r="E195" s="5"/>
    </row>
    <row r="196" spans="1:15">
      <c r="C196" t="s">
        <v>1460</v>
      </c>
      <c r="E196" s="5"/>
    </row>
    <row r="197" spans="1:15">
      <c r="D197" t="s">
        <v>1461</v>
      </c>
      <c r="E197" s="5"/>
    </row>
    <row r="198" spans="1:15">
      <c r="D198" t="s">
        <v>1462</v>
      </c>
      <c r="E198" s="5"/>
    </row>
    <row r="199" spans="1:15">
      <c r="D199" t="s">
        <v>1463</v>
      </c>
      <c r="E199" s="5"/>
    </row>
    <row r="200" spans="1:15">
      <c r="D200" t="s">
        <v>1464</v>
      </c>
      <c r="E200" s="5"/>
    </row>
    <row r="201" spans="1:15">
      <c r="C201" t="s">
        <v>72</v>
      </c>
      <c r="E201" s="5"/>
    </row>
    <row r="202" spans="1:15">
      <c r="B202" t="s">
        <v>1466</v>
      </c>
      <c r="E202" s="5"/>
    </row>
    <row r="203" spans="1:15">
      <c r="E203" s="5"/>
    </row>
    <row r="204" spans="1:15">
      <c r="B204" t="s">
        <v>31</v>
      </c>
      <c r="E204" s="5"/>
    </row>
    <row r="205" spans="1:15">
      <c r="C205" t="s">
        <v>1469</v>
      </c>
      <c r="E205" s="5"/>
    </row>
    <row r="206" spans="1:15">
      <c r="E206" s="5"/>
    </row>
    <row r="207" spans="1:15">
      <c r="B207" t="s">
        <v>42</v>
      </c>
      <c r="C207" t="s">
        <v>1470</v>
      </c>
      <c r="E207" s="5"/>
      <c r="O207" t="s">
        <v>72</v>
      </c>
    </row>
    <row r="208" spans="1:15">
      <c r="E208" s="5"/>
    </row>
    <row r="209" spans="1:10">
      <c r="B209" s="13" t="s">
        <v>733</v>
      </c>
      <c r="E209" s="5"/>
    </row>
    <row r="210" spans="1:10">
      <c r="A210" t="s">
        <v>72</v>
      </c>
      <c r="E210" s="5"/>
    </row>
    <row r="211" spans="1:10">
      <c r="B211" t="s">
        <v>29</v>
      </c>
      <c r="C211" t="s">
        <v>1471</v>
      </c>
      <c r="E211" s="5"/>
    </row>
    <row r="212" spans="1:10">
      <c r="C212" t="s">
        <v>1472</v>
      </c>
      <c r="E212" s="5"/>
    </row>
    <row r="213" spans="1:10">
      <c r="C213" t="s">
        <v>0</v>
      </c>
      <c r="D213" t="s">
        <v>1473</v>
      </c>
      <c r="E213" s="5"/>
    </row>
    <row r="214" spans="1:10">
      <c r="E214" s="5"/>
    </row>
    <row r="215" spans="1:10">
      <c r="B215" t="s">
        <v>1475</v>
      </c>
      <c r="C215" t="s">
        <v>1476</v>
      </c>
      <c r="I215" t="s">
        <v>1474</v>
      </c>
    </row>
    <row r="217" spans="1:10">
      <c r="B217" s="3"/>
      <c r="C217" s="3" t="s">
        <v>16</v>
      </c>
      <c r="D217" s="3" t="s">
        <v>29</v>
      </c>
      <c r="E217" s="3" t="s">
        <v>1394</v>
      </c>
      <c r="G217" s="3"/>
      <c r="H217" s="4" t="str">
        <f>C217</f>
        <v>Total</v>
      </c>
      <c r="I217" s="4" t="str">
        <f>D217</f>
        <v>CWC</v>
      </c>
      <c r="J217" s="4" t="str">
        <f>E217</f>
        <v>Columbus</v>
      </c>
    </row>
    <row r="218" spans="1:10" outlineLevel="1">
      <c r="B218" t="s">
        <v>1526</v>
      </c>
      <c r="C218" s="5" t="s">
        <v>1525</v>
      </c>
      <c r="D218" t="s">
        <v>1531</v>
      </c>
      <c r="E218" t="s">
        <v>1530</v>
      </c>
      <c r="G218" t="str">
        <f>B218</f>
        <v xml:space="preserve">FTTH </v>
      </c>
      <c r="H218">
        <f>SUM(I218:J218)</f>
        <v>125</v>
      </c>
      <c r="I218">
        <v>50</v>
      </c>
      <c r="J218">
        <v>75</v>
      </c>
    </row>
    <row r="219" spans="1:10" outlineLevel="1">
      <c r="B219" t="s">
        <v>1527</v>
      </c>
      <c r="C219" s="5" t="s">
        <v>1528</v>
      </c>
      <c r="D219" t="s">
        <v>1532</v>
      </c>
      <c r="E219" t="s">
        <v>1477</v>
      </c>
      <c r="G219" t="str">
        <f>B219</f>
        <v xml:space="preserve">HFC </v>
      </c>
      <c r="H219">
        <f>SUM(I219:J219)</f>
        <v>750</v>
      </c>
      <c r="I219">
        <v>150</v>
      </c>
      <c r="J219">
        <v>600</v>
      </c>
    </row>
    <row r="220" spans="1:10" outlineLevel="1">
      <c r="B220" s="3" t="s">
        <v>1529</v>
      </c>
      <c r="C220" s="512" t="s">
        <v>1530</v>
      </c>
      <c r="D220" s="3" t="s">
        <v>1533</v>
      </c>
      <c r="E220" s="3" t="s">
        <v>1533</v>
      </c>
      <c r="G220" s="3" t="str">
        <f>B220</f>
        <v>FTTC</v>
      </c>
      <c r="H220" s="3">
        <f>SUM(I220:J220)</f>
        <v>74</v>
      </c>
      <c r="I220" s="3">
        <v>37</v>
      </c>
      <c r="J220" s="3">
        <v>37</v>
      </c>
    </row>
    <row r="221" spans="1:10">
      <c r="B221" t="s">
        <v>1475</v>
      </c>
      <c r="C221" s="5" t="s">
        <v>1534</v>
      </c>
      <c r="G221" t="str">
        <f>B221</f>
        <v>High-speed</v>
      </c>
      <c r="H221">
        <f>SUM(H218:H220)</f>
        <v>949</v>
      </c>
      <c r="I221">
        <f>SUM(I218:I220)</f>
        <v>237</v>
      </c>
      <c r="J221">
        <f>SUM(J218:J220)</f>
        <v>712</v>
      </c>
    </row>
    <row r="222" spans="1:10">
      <c r="C222" s="5"/>
    </row>
    <row r="223" spans="1:10">
      <c r="B223" t="s">
        <v>1478</v>
      </c>
      <c r="E223" s="5"/>
      <c r="G223" t="s">
        <v>33</v>
      </c>
      <c r="H223">
        <v>121.8</v>
      </c>
      <c r="I223" t="s">
        <v>1737</v>
      </c>
    </row>
    <row r="224" spans="1:10">
      <c r="E224" s="5"/>
      <c r="I224" t="s">
        <v>1738</v>
      </c>
    </row>
    <row r="225" spans="2:10">
      <c r="B225" t="s">
        <v>1479</v>
      </c>
      <c r="C225" s="5">
        <v>0.49</v>
      </c>
      <c r="E225" s="5"/>
      <c r="I225" t="s">
        <v>1739</v>
      </c>
    </row>
    <row r="226" spans="2:10">
      <c r="C226" s="5"/>
      <c r="E226" s="5"/>
      <c r="I226" t="s">
        <v>1740</v>
      </c>
    </row>
    <row r="227" spans="2:10">
      <c r="B227" t="s">
        <v>1480</v>
      </c>
      <c r="C227" s="5"/>
      <c r="E227" s="5"/>
      <c r="G227" t="s">
        <v>0</v>
      </c>
      <c r="H227" t="s">
        <v>1741</v>
      </c>
    </row>
    <row r="228" spans="2:10">
      <c r="C228" s="5" t="s">
        <v>1481</v>
      </c>
      <c r="E228" s="5"/>
      <c r="H228" t="s">
        <v>1746</v>
      </c>
    </row>
    <row r="229" spans="2:10">
      <c r="C229" s="5" t="s">
        <v>1482</v>
      </c>
      <c r="E229" s="5"/>
      <c r="I229" t="s">
        <v>1742</v>
      </c>
    </row>
    <row r="230" spans="2:10">
      <c r="C230" t="s">
        <v>1483</v>
      </c>
      <c r="E230" s="5"/>
      <c r="I230" t="s">
        <v>1743</v>
      </c>
    </row>
    <row r="231" spans="2:10">
      <c r="E231" s="5"/>
      <c r="H231" t="s">
        <v>1744</v>
      </c>
    </row>
    <row r="232" spans="2:10">
      <c r="B232" s="13" t="s">
        <v>19</v>
      </c>
      <c r="E232" s="5"/>
      <c r="I232" t="s">
        <v>1745</v>
      </c>
    </row>
    <row r="233" spans="2:10">
      <c r="C233" t="s">
        <v>1484</v>
      </c>
      <c r="E233" s="5"/>
      <c r="G233" t="s">
        <v>32</v>
      </c>
      <c r="H233" t="s">
        <v>1747</v>
      </c>
    </row>
    <row r="234" spans="2:10">
      <c r="C234" t="s">
        <v>1485</v>
      </c>
      <c r="E234" s="5"/>
      <c r="I234" t="s">
        <v>1748</v>
      </c>
    </row>
    <row r="235" spans="2:10">
      <c r="C235" t="s">
        <v>1488</v>
      </c>
      <c r="E235" s="5"/>
      <c r="I235" t="s">
        <v>1751</v>
      </c>
    </row>
    <row r="236" spans="2:10">
      <c r="E236" s="5"/>
      <c r="I236" t="s">
        <v>1752</v>
      </c>
    </row>
    <row r="237" spans="2:10">
      <c r="B237" t="s">
        <v>1489</v>
      </c>
      <c r="C237" t="s">
        <v>1490</v>
      </c>
      <c r="E237" s="5"/>
      <c r="J237" t="s">
        <v>1753</v>
      </c>
    </row>
    <row r="238" spans="2:10">
      <c r="C238" t="s">
        <v>72</v>
      </c>
      <c r="E238" s="5"/>
    </row>
    <row r="239" spans="2:10">
      <c r="E239" s="5"/>
      <c r="G239" t="s">
        <v>1686</v>
      </c>
      <c r="H239" t="s">
        <v>1749</v>
      </c>
    </row>
    <row r="240" spans="2:10">
      <c r="B240" s="13" t="s">
        <v>408</v>
      </c>
      <c r="I240" t="s">
        <v>1754</v>
      </c>
    </row>
    <row r="241" spans="2:11">
      <c r="B241" s="13"/>
      <c r="I241" t="s">
        <v>1755</v>
      </c>
    </row>
    <row r="242" spans="2:11">
      <c r="B242" t="s">
        <v>0</v>
      </c>
      <c r="C242" t="s">
        <v>406</v>
      </c>
      <c r="G242" t="s">
        <v>31</v>
      </c>
    </row>
    <row r="243" spans="2:11">
      <c r="B243" t="s">
        <v>404</v>
      </c>
      <c r="C243" t="s">
        <v>405</v>
      </c>
      <c r="H243" t="s">
        <v>1756</v>
      </c>
    </row>
    <row r="244" spans="2:11">
      <c r="B244" t="s">
        <v>52</v>
      </c>
      <c r="C244" t="s">
        <v>407</v>
      </c>
    </row>
    <row r="245" spans="2:11" ht="15.75" thickBot="1">
      <c r="B245" t="s">
        <v>409</v>
      </c>
      <c r="G245" s="66" t="s">
        <v>16</v>
      </c>
      <c r="H245" s="66">
        <f>110+265+280+310+10</f>
        <v>975</v>
      </c>
      <c r="I245" s="66">
        <f>H223+10+265</f>
        <v>396.8</v>
      </c>
      <c r="J245" s="66">
        <f>H245-I245</f>
        <v>578.20000000000005</v>
      </c>
      <c r="K245" t="s">
        <v>1757</v>
      </c>
    </row>
    <row r="246" spans="2:11" ht="15.75" thickTop="1">
      <c r="B246" t="s">
        <v>410</v>
      </c>
    </row>
    <row r="247" spans="2:11">
      <c r="B247" t="s">
        <v>413</v>
      </c>
    </row>
    <row r="248" spans="2:11">
      <c r="B248" t="s">
        <v>412</v>
      </c>
    </row>
    <row r="249" spans="2:11">
      <c r="B249" t="s">
        <v>411</v>
      </c>
    </row>
    <row r="251" spans="2:11">
      <c r="B251" s="13" t="s">
        <v>414</v>
      </c>
    </row>
    <row r="252" spans="2:11">
      <c r="B252" t="s">
        <v>415</v>
      </c>
    </row>
    <row r="253" spans="2:11">
      <c r="B253" t="s">
        <v>416</v>
      </c>
    </row>
    <row r="254" spans="2:11">
      <c r="B254" t="s">
        <v>417</v>
      </c>
    </row>
    <row r="255" spans="2:11">
      <c r="B255" t="s">
        <v>419</v>
      </c>
    </row>
    <row r="256" spans="2:11">
      <c r="B256" t="s">
        <v>418</v>
      </c>
    </row>
    <row r="258" spans="2:4">
      <c r="B258" t="s">
        <v>420</v>
      </c>
    </row>
    <row r="259" spans="2:4">
      <c r="B259" t="s">
        <v>421</v>
      </c>
    </row>
    <row r="260" spans="2:4">
      <c r="B260" t="s">
        <v>422</v>
      </c>
      <c r="C260" t="s">
        <v>423</v>
      </c>
      <c r="D260" t="s">
        <v>424</v>
      </c>
    </row>
    <row r="261" spans="2:4">
      <c r="C261" t="s">
        <v>425</v>
      </c>
      <c r="D261" t="s">
        <v>426</v>
      </c>
    </row>
    <row r="262" spans="2:4">
      <c r="B262" t="s">
        <v>427</v>
      </c>
    </row>
    <row r="264" spans="2:4">
      <c r="B264" t="s">
        <v>436</v>
      </c>
    </row>
    <row r="266" spans="2:4">
      <c r="B266" s="13" t="s">
        <v>428</v>
      </c>
    </row>
    <row r="267" spans="2:4">
      <c r="B267" t="s">
        <v>430</v>
      </c>
    </row>
    <row r="268" spans="2:4">
      <c r="B268" t="s">
        <v>429</v>
      </c>
    </row>
    <row r="269" spans="2:4">
      <c r="B269" t="s">
        <v>431</v>
      </c>
    </row>
    <row r="271" spans="2:4">
      <c r="B271" t="s">
        <v>432</v>
      </c>
    </row>
    <row r="272" spans="2:4">
      <c r="B272" t="s">
        <v>433</v>
      </c>
    </row>
    <row r="274" spans="2:5">
      <c r="B274" s="13" t="s">
        <v>0</v>
      </c>
    </row>
    <row r="275" spans="2:5">
      <c r="B275" t="s">
        <v>434</v>
      </c>
    </row>
    <row r="276" spans="2:5">
      <c r="B276" t="s">
        <v>435</v>
      </c>
    </row>
    <row r="277" spans="2:5">
      <c r="B277" t="s">
        <v>458</v>
      </c>
    </row>
    <row r="278" spans="2:5">
      <c r="C278" t="s">
        <v>459</v>
      </c>
    </row>
    <row r="279" spans="2:5">
      <c r="C279" t="s">
        <v>460</v>
      </c>
    </row>
    <row r="281" spans="2:5">
      <c r="B281" s="13" t="s">
        <v>391</v>
      </c>
    </row>
    <row r="282" spans="2:5">
      <c r="B282" t="s">
        <v>437</v>
      </c>
    </row>
    <row r="283" spans="2:5">
      <c r="C283" t="s">
        <v>438</v>
      </c>
    </row>
    <row r="284" spans="2:5">
      <c r="C284" t="s">
        <v>439</v>
      </c>
      <c r="E284" t="s">
        <v>443</v>
      </c>
    </row>
    <row r="285" spans="2:5">
      <c r="C285" t="s">
        <v>440</v>
      </c>
      <c r="D285" t="s">
        <v>441</v>
      </c>
    </row>
    <row r="286" spans="2:5">
      <c r="C286" t="s">
        <v>442</v>
      </c>
      <c r="E286" t="s">
        <v>443</v>
      </c>
    </row>
    <row r="287" spans="2:5">
      <c r="B287" t="s">
        <v>444</v>
      </c>
    </row>
    <row r="289" spans="2:4">
      <c r="B289" s="13" t="s">
        <v>445</v>
      </c>
      <c r="D289" t="s">
        <v>446</v>
      </c>
    </row>
    <row r="290" spans="2:4">
      <c r="D290" t="s">
        <v>447</v>
      </c>
    </row>
    <row r="291" spans="2:4">
      <c r="D291" t="s">
        <v>448</v>
      </c>
    </row>
    <row r="292" spans="2:4">
      <c r="D292" t="s">
        <v>449</v>
      </c>
    </row>
    <row r="293" spans="2:4">
      <c r="C293" s="13" t="s">
        <v>451</v>
      </c>
    </row>
    <row r="294" spans="2:4">
      <c r="C294" t="s">
        <v>40</v>
      </c>
    </row>
    <row r="296" spans="2:4">
      <c r="C296" t="s">
        <v>450</v>
      </c>
    </row>
    <row r="297" spans="2:4">
      <c r="C297" t="s">
        <v>43</v>
      </c>
    </row>
    <row r="298" spans="2:4">
      <c r="C298" t="s">
        <v>34</v>
      </c>
    </row>
    <row r="299" spans="2:4">
      <c r="D299" t="s">
        <v>452</v>
      </c>
    </row>
    <row r="300" spans="2:4">
      <c r="B300" s="13" t="s">
        <v>455</v>
      </c>
    </row>
    <row r="301" spans="2:4">
      <c r="C301" t="s">
        <v>453</v>
      </c>
    </row>
    <row r="302" spans="2:4">
      <c r="C302" t="s">
        <v>454</v>
      </c>
    </row>
    <row r="304" spans="2:4">
      <c r="B304" s="13" t="s">
        <v>456</v>
      </c>
    </row>
    <row r="305" spans="2:4">
      <c r="C305" t="s">
        <v>457</v>
      </c>
    </row>
    <row r="307" spans="2:4">
      <c r="B307" t="s">
        <v>461</v>
      </c>
    </row>
    <row r="309" spans="2:4">
      <c r="B309" s="13" t="s">
        <v>462</v>
      </c>
    </row>
    <row r="310" spans="2:4">
      <c r="C310" t="s">
        <v>463</v>
      </c>
    </row>
    <row r="311" spans="2:4">
      <c r="D311" t="s">
        <v>464</v>
      </c>
    </row>
    <row r="313" spans="2:4">
      <c r="B313" s="13" t="s">
        <v>1325</v>
      </c>
    </row>
    <row r="315" spans="2:4">
      <c r="B315" t="s">
        <v>1330</v>
      </c>
    </row>
    <row r="316" spans="2:4">
      <c r="B316" t="s">
        <v>1331</v>
      </c>
    </row>
    <row r="318" spans="2:4">
      <c r="B318" t="s">
        <v>1332</v>
      </c>
    </row>
    <row r="319" spans="2:4">
      <c r="C319" t="s">
        <v>1333</v>
      </c>
    </row>
    <row r="320" spans="2:4">
      <c r="C320" t="s">
        <v>1334</v>
      </c>
    </row>
    <row r="322" spans="2:3">
      <c r="B322" t="s">
        <v>1340</v>
      </c>
    </row>
    <row r="324" spans="2:3">
      <c r="B324" t="s">
        <v>1335</v>
      </c>
    </row>
    <row r="325" spans="2:3">
      <c r="B325" t="s">
        <v>1336</v>
      </c>
    </row>
    <row r="326" spans="2:3">
      <c r="C326" t="s">
        <v>1337</v>
      </c>
    </row>
    <row r="328" spans="2:3">
      <c r="B328" t="s">
        <v>1338</v>
      </c>
    </row>
    <row r="329" spans="2:3">
      <c r="C329" t="s">
        <v>1339</v>
      </c>
    </row>
    <row r="331" spans="2:3">
      <c r="B331" s="13" t="s">
        <v>399</v>
      </c>
    </row>
    <row r="333" spans="2:3">
      <c r="B333" t="s">
        <v>1341</v>
      </c>
    </row>
    <row r="334" spans="2:3">
      <c r="B334" t="s">
        <v>1342</v>
      </c>
    </row>
    <row r="335" spans="2:3">
      <c r="C335" t="s">
        <v>1343</v>
      </c>
    </row>
    <row r="336" spans="2:3">
      <c r="C336" t="s">
        <v>1344</v>
      </c>
    </row>
    <row r="338" spans="2:20">
      <c r="B338" t="s">
        <v>1345</v>
      </c>
    </row>
    <row r="340" spans="2:20">
      <c r="B340" t="s">
        <v>1346</v>
      </c>
    </row>
    <row r="342" spans="2:20">
      <c r="B342" t="s">
        <v>1347</v>
      </c>
    </row>
    <row r="344" spans="2:20">
      <c r="B344" s="13" t="s">
        <v>1348</v>
      </c>
    </row>
    <row r="345" spans="2:20">
      <c r="B345" t="s">
        <v>1349</v>
      </c>
    </row>
    <row r="346" spans="2:20">
      <c r="B346" t="s">
        <v>1351</v>
      </c>
    </row>
    <row r="347" spans="2:20">
      <c r="B347" t="s">
        <v>1350</v>
      </c>
    </row>
    <row r="348" spans="2:20">
      <c r="B348" t="s">
        <v>1352</v>
      </c>
    </row>
    <row r="350" spans="2:20">
      <c r="B350" s="14" t="s">
        <v>1795</v>
      </c>
    </row>
    <row r="351" spans="2:20">
      <c r="C351" s="80" t="s">
        <v>1969</v>
      </c>
      <c r="F351" t="s">
        <v>1836</v>
      </c>
      <c r="H351" s="80" t="s">
        <v>16</v>
      </c>
      <c r="I351" s="80" t="s">
        <v>1964</v>
      </c>
      <c r="J351" t="s">
        <v>1966</v>
      </c>
      <c r="L351" t="s">
        <v>1963</v>
      </c>
      <c r="P351" t="s">
        <v>1569</v>
      </c>
      <c r="Q351" t="s">
        <v>2093</v>
      </c>
      <c r="R351" t="s">
        <v>2094</v>
      </c>
      <c r="S351" t="s">
        <v>2095</v>
      </c>
      <c r="T351" t="s">
        <v>2240</v>
      </c>
    </row>
    <row r="352" spans="2:20">
      <c r="B352" s="3" t="s">
        <v>1784</v>
      </c>
      <c r="C352" s="4" t="s">
        <v>1968</v>
      </c>
      <c r="D352" s="4" t="s">
        <v>1789</v>
      </c>
      <c r="E352" s="4" t="s">
        <v>1788</v>
      </c>
      <c r="F352" s="4" t="s">
        <v>1688</v>
      </c>
      <c r="G352" s="4" t="s">
        <v>1689</v>
      </c>
      <c r="H352" s="4" t="s">
        <v>1963</v>
      </c>
      <c r="I352" s="4" t="s">
        <v>1965</v>
      </c>
      <c r="J352" s="4" t="s">
        <v>1967</v>
      </c>
      <c r="K352" s="4" t="s">
        <v>1790</v>
      </c>
      <c r="L352" s="4" t="s">
        <v>1785</v>
      </c>
      <c r="N352" s="80" t="s">
        <v>1970</v>
      </c>
      <c r="Q352" s="3"/>
      <c r="R352" s="3"/>
      <c r="S352" s="3"/>
    </row>
    <row r="353" spans="1:21" outlineLevel="1">
      <c r="A353" s="5">
        <f>D54</f>
        <v>0.27</v>
      </c>
      <c r="B353" t="s">
        <v>0</v>
      </c>
      <c r="C353" s="5">
        <f>A353</f>
        <v>0.27</v>
      </c>
      <c r="D353" s="80" t="s">
        <v>1467</v>
      </c>
      <c r="E353" s="5">
        <f>G54</f>
        <v>0.4</v>
      </c>
      <c r="F353" s="486">
        <f>265-N353</f>
        <v>155</v>
      </c>
      <c r="G353" s="486">
        <v>0</v>
      </c>
      <c r="H353" s="486">
        <f>F353+G353</f>
        <v>155</v>
      </c>
      <c r="K353" s="486">
        <f>3800/4.1</f>
        <v>926.82926829268297</v>
      </c>
      <c r="L353" s="5">
        <f t="shared" ref="L353:L358" si="3">H353/K353</f>
        <v>0.16723684210526316</v>
      </c>
      <c r="N353">
        <v>110</v>
      </c>
      <c r="P353">
        <v>391.8</v>
      </c>
      <c r="Q353">
        <v>415.7</v>
      </c>
      <c r="R353">
        <v>240.2</v>
      </c>
      <c r="S353" s="486">
        <f>R353-H353</f>
        <v>85.199999999999989</v>
      </c>
      <c r="T353" s="5">
        <f>P353/Q353</f>
        <v>0.94250661534760649</v>
      </c>
    </row>
    <row r="354" spans="1:21" outlineLevel="1">
      <c r="A354" s="5">
        <f>D55</f>
        <v>0.15</v>
      </c>
      <c r="B354" t="s">
        <v>31</v>
      </c>
      <c r="C354" s="5">
        <f>A354</f>
        <v>0.15</v>
      </c>
      <c r="D354" s="80" t="s">
        <v>1467</v>
      </c>
      <c r="E354" s="5">
        <f>G55</f>
        <v>0.6</v>
      </c>
      <c r="F354" s="486">
        <v>0</v>
      </c>
      <c r="G354" s="486">
        <v>15</v>
      </c>
      <c r="H354" s="486">
        <f>F354+G354</f>
        <v>15</v>
      </c>
      <c r="K354" s="486">
        <v>105</v>
      </c>
      <c r="L354" s="5">
        <f t="shared" si="3"/>
        <v>0.14285714285714285</v>
      </c>
      <c r="P354">
        <v>61.5</v>
      </c>
      <c r="Q354">
        <f>R354</f>
        <v>140.6</v>
      </c>
      <c r="R354">
        <v>140.6</v>
      </c>
      <c r="S354" s="486">
        <f>R354-H354</f>
        <v>125.6</v>
      </c>
      <c r="T354" s="5">
        <f>P354/Q354</f>
        <v>0.43741109530583216</v>
      </c>
    </row>
    <row r="355" spans="1:21" outlineLevel="1">
      <c r="A355" s="5">
        <v>0.12</v>
      </c>
      <c r="B355" t="s">
        <v>32</v>
      </c>
      <c r="C355" s="5">
        <f>A355</f>
        <v>0.12</v>
      </c>
      <c r="D355" s="80" t="s">
        <v>1467</v>
      </c>
      <c r="E355" s="5">
        <f>G56</f>
        <v>0.2</v>
      </c>
      <c r="F355" s="486">
        <f>280-N355</f>
        <v>270</v>
      </c>
      <c r="G355" s="486">
        <v>0</v>
      </c>
      <c r="H355" s="486">
        <f>F355+G355</f>
        <v>270</v>
      </c>
      <c r="K355" s="486">
        <v>725</v>
      </c>
      <c r="L355" s="5">
        <f t="shared" si="3"/>
        <v>0.3724137931034483</v>
      </c>
      <c r="N355">
        <v>10</v>
      </c>
      <c r="P355">
        <v>300</v>
      </c>
      <c r="Q355">
        <v>469.8</v>
      </c>
      <c r="R355">
        <v>458.8</v>
      </c>
      <c r="S355" s="486">
        <f>R355-H355</f>
        <v>188.8</v>
      </c>
      <c r="T355" s="5">
        <f>P355/Q355</f>
        <v>0.63856960408684549</v>
      </c>
    </row>
    <row r="356" spans="1:21" outlineLevel="1">
      <c r="A356" s="5">
        <v>0.08</v>
      </c>
      <c r="B356" t="s">
        <v>1786</v>
      </c>
      <c r="C356" s="5">
        <f>A356</f>
        <v>0.08</v>
      </c>
      <c r="D356" s="80" t="s">
        <v>1467</v>
      </c>
      <c r="E356" s="5">
        <f>G57</f>
        <v>0.65</v>
      </c>
      <c r="F356" s="486">
        <v>0</v>
      </c>
      <c r="G356" s="486">
        <f>H223</f>
        <v>121.8</v>
      </c>
      <c r="H356" s="486">
        <f>F356+G356</f>
        <v>121.8</v>
      </c>
      <c r="K356" s="486">
        <v>110</v>
      </c>
      <c r="L356" s="5">
        <f t="shared" si="3"/>
        <v>1.1072727272727272</v>
      </c>
      <c r="P356">
        <v>96.3</v>
      </c>
      <c r="Q356">
        <f>R356</f>
        <v>121.8</v>
      </c>
      <c r="R356">
        <v>121.8</v>
      </c>
      <c r="S356" s="486">
        <f>R356-H356</f>
        <v>0</v>
      </c>
      <c r="T356" s="5">
        <f>P356/Q356</f>
        <v>0.79064039408866993</v>
      </c>
    </row>
    <row r="357" spans="1:21" outlineLevel="1">
      <c r="A357" s="5">
        <v>0.08</v>
      </c>
      <c r="B357" s="3" t="s">
        <v>1686</v>
      </c>
      <c r="C357" s="512">
        <f>A357</f>
        <v>0.08</v>
      </c>
      <c r="D357" s="4" t="s">
        <v>1467</v>
      </c>
      <c r="E357" s="512">
        <f>G58</f>
        <v>0.4</v>
      </c>
      <c r="F357" s="487">
        <f>340-N357</f>
        <v>310</v>
      </c>
      <c r="G357" s="487">
        <v>0</v>
      </c>
      <c r="H357" s="487">
        <f>F357+G357</f>
        <v>310</v>
      </c>
      <c r="I357" s="3"/>
      <c r="J357" s="3"/>
      <c r="K357" s="487">
        <v>340</v>
      </c>
      <c r="L357" s="512">
        <f t="shared" si="3"/>
        <v>0.91176470588235292</v>
      </c>
      <c r="N357" s="3">
        <v>30</v>
      </c>
      <c r="P357">
        <v>184.8</v>
      </c>
      <c r="Q357">
        <f>R357</f>
        <v>310.5</v>
      </c>
      <c r="R357" s="3">
        <v>310.5</v>
      </c>
      <c r="S357" s="487">
        <f>R357-H357</f>
        <v>0.5</v>
      </c>
      <c r="T357" s="5">
        <f>P357/Q357</f>
        <v>0.59516908212560393</v>
      </c>
      <c r="U357" s="5">
        <f>P357/Q357</f>
        <v>0.59516908212560393</v>
      </c>
    </row>
    <row r="358" spans="1:21">
      <c r="A358" s="5">
        <f>SUM(A353:A357)</f>
        <v>0.7</v>
      </c>
      <c r="B358" t="s">
        <v>1960</v>
      </c>
      <c r="C358" s="5">
        <f>SUM(C353:C357)</f>
        <v>0.7</v>
      </c>
      <c r="F358" s="486">
        <f>SUM(F353:F357)</f>
        <v>735</v>
      </c>
      <c r="G358" s="486">
        <f>SUM(G353:G357)</f>
        <v>136.80000000000001</v>
      </c>
      <c r="H358" s="486">
        <f>SUM(H353:H357)</f>
        <v>871.8</v>
      </c>
      <c r="K358" s="486">
        <f>SUM(K353:K357)</f>
        <v>2206.8292682926831</v>
      </c>
      <c r="L358" s="5">
        <f t="shared" si="3"/>
        <v>0.3950464190981432</v>
      </c>
      <c r="N358">
        <f>SUM(N353:N357)</f>
        <v>150</v>
      </c>
      <c r="Q358" s="548">
        <f>Q359-SUM(Q353:Q357)</f>
        <v>354.30000000000018</v>
      </c>
      <c r="R358" s="548">
        <f>R359-SUM(R353:R357)</f>
        <v>335.50000000000023</v>
      </c>
      <c r="S358" s="549">
        <f>S359-SUM(S353:S357)</f>
        <v>207.30000000000007</v>
      </c>
    </row>
    <row r="359" spans="1:21" outlineLevel="1">
      <c r="A359" s="5"/>
      <c r="B359" t="s">
        <v>1961</v>
      </c>
      <c r="C359" s="5"/>
      <c r="F359" s="486"/>
      <c r="G359" s="486"/>
      <c r="H359" s="486">
        <f>1150-N358</f>
        <v>1000</v>
      </c>
      <c r="I359" s="486">
        <f>J359-H359</f>
        <v>600</v>
      </c>
      <c r="J359" s="486">
        <v>1600</v>
      </c>
      <c r="K359" s="486"/>
      <c r="L359" s="5"/>
      <c r="Q359">
        <v>1812.7</v>
      </c>
      <c r="R359">
        <v>1607.4</v>
      </c>
      <c r="S359" s="486">
        <f>R359-H359</f>
        <v>607.40000000000009</v>
      </c>
    </row>
    <row r="360" spans="1:21" outlineLevel="1">
      <c r="A360" s="5"/>
      <c r="C360" s="5"/>
      <c r="F360" s="486"/>
      <c r="G360" s="486"/>
      <c r="H360" s="486"/>
      <c r="K360" s="486"/>
      <c r="L360" s="5"/>
    </row>
    <row r="361" spans="1:21" outlineLevel="1">
      <c r="B361" t="s">
        <v>468</v>
      </c>
      <c r="D361" s="5">
        <v>0.56999999999999995</v>
      </c>
      <c r="E361" s="5">
        <v>0.443</v>
      </c>
      <c r="F361" s="486">
        <f>'LiLAC valuation'!N224</f>
        <v>3081</v>
      </c>
      <c r="G361" s="486">
        <v>0</v>
      </c>
      <c r="H361" s="486">
        <f>F361+G361</f>
        <v>3081</v>
      </c>
      <c r="I361" s="486">
        <v>0</v>
      </c>
      <c r="J361" s="486">
        <f>H361+I361</f>
        <v>3081</v>
      </c>
      <c r="K361" s="486">
        <v>5000</v>
      </c>
      <c r="L361" s="5">
        <f>H361/K361</f>
        <v>0.61619999999999997</v>
      </c>
    </row>
    <row r="362" spans="1:21" outlineLevel="1">
      <c r="B362" t="s">
        <v>469</v>
      </c>
      <c r="D362" s="5">
        <v>0.56000000000000005</v>
      </c>
      <c r="E362" s="5">
        <v>0.48</v>
      </c>
      <c r="F362" s="486">
        <f>'LiLAC valuation'!N324</f>
        <v>1072.5</v>
      </c>
      <c r="G362" s="486">
        <v>0</v>
      </c>
      <c r="H362" s="486">
        <f>F362+G362</f>
        <v>1072.5</v>
      </c>
      <c r="I362" s="486">
        <v>0</v>
      </c>
      <c r="J362" s="486">
        <f>H362+I362</f>
        <v>1072.5</v>
      </c>
      <c r="K362" s="486">
        <f>H362/L362</f>
        <v>1340.625</v>
      </c>
      <c r="L362" s="5">
        <v>0.8</v>
      </c>
    </row>
    <row r="363" spans="1:21" outlineLevel="1">
      <c r="D363" s="5"/>
      <c r="E363" s="5"/>
      <c r="F363" s="486"/>
      <c r="G363" s="486"/>
      <c r="H363" s="486"/>
      <c r="K363" s="486"/>
      <c r="L363" s="5"/>
    </row>
    <row r="364" spans="1:21">
      <c r="B364" s="3" t="s">
        <v>1962</v>
      </c>
      <c r="C364" s="3"/>
      <c r="D364" s="512"/>
      <c r="E364" s="512"/>
      <c r="F364" s="487"/>
      <c r="G364" s="487"/>
      <c r="H364" s="487">
        <f>H359+H361+H362</f>
        <v>5153.5</v>
      </c>
      <c r="I364" s="487">
        <f>I359+I361+I362</f>
        <v>600</v>
      </c>
      <c r="J364" s="487">
        <f>J359+J361+J362</f>
        <v>5753.5</v>
      </c>
      <c r="K364" s="487"/>
      <c r="L364" s="512"/>
    </row>
    <row r="366" spans="1:21">
      <c r="B366" t="s">
        <v>1787</v>
      </c>
    </row>
    <row r="367" spans="1:21">
      <c r="B367" t="s">
        <v>1791</v>
      </c>
      <c r="G367">
        <v>1600</v>
      </c>
    </row>
    <row r="368" spans="1:21">
      <c r="B368" t="s">
        <v>1793</v>
      </c>
      <c r="C368" t="s">
        <v>16</v>
      </c>
      <c r="G368">
        <v>20</v>
      </c>
    </row>
    <row r="369" spans="2:7">
      <c r="D369" t="s">
        <v>31</v>
      </c>
      <c r="G369">
        <v>10</v>
      </c>
    </row>
    <row r="371" spans="2:7">
      <c r="B371" t="s">
        <v>1792</v>
      </c>
      <c r="C371" t="s">
        <v>16</v>
      </c>
      <c r="G371" s="16">
        <v>33.4</v>
      </c>
    </row>
    <row r="372" spans="2:7">
      <c r="D372" t="s">
        <v>33</v>
      </c>
      <c r="G372">
        <v>19</v>
      </c>
    </row>
    <row r="373" spans="2:7">
      <c r="D373" t="s">
        <v>1686</v>
      </c>
      <c r="G373" s="62">
        <v>4.8</v>
      </c>
    </row>
    <row r="374" spans="2:7">
      <c r="D374" t="s">
        <v>0</v>
      </c>
      <c r="G374" s="62">
        <v>2</v>
      </c>
    </row>
    <row r="375" spans="2:7">
      <c r="D375" t="s">
        <v>32</v>
      </c>
      <c r="G375" s="62">
        <v>7.3</v>
      </c>
    </row>
    <row r="377" spans="2:7">
      <c r="B377" t="s">
        <v>1794</v>
      </c>
      <c r="C377" s="571" t="s">
        <v>1796</v>
      </c>
      <c r="D377" s="80"/>
      <c r="E377" s="571" t="s">
        <v>1797</v>
      </c>
    </row>
    <row r="378" spans="2:7">
      <c r="C378" s="80" t="s">
        <v>1686</v>
      </c>
      <c r="D378" s="80"/>
      <c r="E378" s="80" t="s">
        <v>0</v>
      </c>
    </row>
    <row r="379" spans="2:7">
      <c r="C379" s="80" t="s">
        <v>32</v>
      </c>
      <c r="D379" s="80"/>
      <c r="E379" s="80" t="s">
        <v>31</v>
      </c>
    </row>
    <row r="380" spans="2:7">
      <c r="C380" s="80" t="s">
        <v>33</v>
      </c>
      <c r="D380" s="80"/>
      <c r="E380" s="80" t="s">
        <v>1798</v>
      </c>
    </row>
    <row r="382" spans="2:7">
      <c r="B382" s="513" t="s">
        <v>2205</v>
      </c>
    </row>
    <row r="384" spans="2:7">
      <c r="B384" s="3" t="s">
        <v>900</v>
      </c>
      <c r="C384" s="4" t="s">
        <v>1851</v>
      </c>
      <c r="D384" s="4" t="s">
        <v>1852</v>
      </c>
      <c r="E384" s="4" t="s">
        <v>1569</v>
      </c>
      <c r="F384" s="4" t="s">
        <v>54</v>
      </c>
      <c r="G384" s="4" t="s">
        <v>1853</v>
      </c>
    </row>
    <row r="385" spans="2:7">
      <c r="B385" t="s">
        <v>33</v>
      </c>
      <c r="C385">
        <v>90</v>
      </c>
      <c r="D385" s="1">
        <v>42430</v>
      </c>
    </row>
    <row r="386" spans="2:7">
      <c r="B386" t="s">
        <v>32</v>
      </c>
      <c r="C386">
        <v>136</v>
      </c>
      <c r="D386" s="1">
        <v>42248</v>
      </c>
      <c r="E386">
        <v>20</v>
      </c>
    </row>
    <row r="387" spans="2:7">
      <c r="B387" s="3" t="s">
        <v>1686</v>
      </c>
      <c r="C387" s="3">
        <f>C388-C385-C386</f>
        <v>174</v>
      </c>
      <c r="D387" s="32">
        <v>42370</v>
      </c>
      <c r="E387" s="3"/>
      <c r="F387" s="3"/>
      <c r="G387" s="3"/>
    </row>
    <row r="388" spans="2:7">
      <c r="B388" t="s">
        <v>1850</v>
      </c>
      <c r="C388">
        <v>400</v>
      </c>
      <c r="D388" s="80"/>
      <c r="E388">
        <v>33</v>
      </c>
      <c r="F388">
        <v>86</v>
      </c>
      <c r="G388" s="62">
        <f>F388/E388</f>
        <v>2.606060606060606</v>
      </c>
    </row>
    <row r="389" spans="2:7">
      <c r="C389" s="486">
        <f>K355+K356+K357</f>
        <v>1175</v>
      </c>
    </row>
    <row r="390" spans="2:7">
      <c r="D390" s="5">
        <f>C388/C389</f>
        <v>0.34042553191489361</v>
      </c>
    </row>
    <row r="391" spans="2:7">
      <c r="D391" s="5">
        <f>700/C389</f>
        <v>0.5957446808510638</v>
      </c>
    </row>
    <row r="392" spans="2:7">
      <c r="D392" s="5"/>
    </row>
    <row r="393" spans="2:7">
      <c r="B393" s="513" t="s">
        <v>2206</v>
      </c>
      <c r="D393" s="5"/>
    </row>
    <row r="394" spans="2:7">
      <c r="B394" t="str">
        <f>B385</f>
        <v>Barbados</v>
      </c>
      <c r="D394" s="5"/>
    </row>
    <row r="395" spans="2:7">
      <c r="B395" t="str">
        <f>B386</f>
        <v>Jamaica</v>
      </c>
      <c r="D395" s="5"/>
      <c r="E395">
        <v>35</v>
      </c>
    </row>
    <row r="396" spans="2:7">
      <c r="B396" s="3" t="str">
        <f>B387</f>
        <v>Trinidad</v>
      </c>
      <c r="C396" s="3"/>
      <c r="D396" s="512"/>
      <c r="E396" s="3"/>
      <c r="F396" s="3"/>
      <c r="G396" s="3"/>
    </row>
    <row r="397" spans="2:7">
      <c r="B397" t="str">
        <f>B388</f>
        <v>Total Caribbean</v>
      </c>
      <c r="E397">
        <v>67</v>
      </c>
    </row>
    <row r="399" spans="2:7">
      <c r="B399" s="615" t="s">
        <v>1923</v>
      </c>
    </row>
    <row r="401" spans="2:2">
      <c r="B401" s="577" t="s">
        <v>1877</v>
      </c>
    </row>
    <row r="402" spans="2:2">
      <c r="B402" s="577" t="s">
        <v>1878</v>
      </c>
    </row>
    <row r="404" spans="2:2">
      <c r="B404" s="577" t="s">
        <v>1879</v>
      </c>
    </row>
    <row r="405" spans="2:2">
      <c r="B405" s="577" t="s">
        <v>1880</v>
      </c>
    </row>
    <row r="406" spans="2:2">
      <c r="B406" s="577" t="s">
        <v>1881</v>
      </c>
    </row>
    <row r="408" spans="2:2">
      <c r="B408" s="577" t="s">
        <v>1882</v>
      </c>
    </row>
    <row r="409" spans="2:2">
      <c r="B409" s="577" t="s">
        <v>1883</v>
      </c>
    </row>
    <row r="410" spans="2:2">
      <c r="B410" s="577" t="s">
        <v>1884</v>
      </c>
    </row>
    <row r="411" spans="2:2">
      <c r="B411" s="577" t="s">
        <v>1885</v>
      </c>
    </row>
    <row r="413" spans="2:2">
      <c r="B413" s="577" t="s">
        <v>1886</v>
      </c>
    </row>
    <row r="414" spans="2:2">
      <c r="B414" s="577" t="s">
        <v>1887</v>
      </c>
    </row>
    <row r="415" spans="2:2">
      <c r="B415" s="577" t="s">
        <v>1888</v>
      </c>
    </row>
    <row r="416" spans="2:2">
      <c r="B416" s="577" t="s">
        <v>1889</v>
      </c>
    </row>
    <row r="418" spans="2:7">
      <c r="B418" s="577" t="s">
        <v>1890</v>
      </c>
    </row>
    <row r="419" spans="2:7">
      <c r="B419" s="577" t="s">
        <v>1891</v>
      </c>
    </row>
    <row r="420" spans="2:7">
      <c r="C420" s="577" t="s">
        <v>1892</v>
      </c>
    </row>
    <row r="421" spans="2:7">
      <c r="C421" s="577" t="s">
        <v>1893</v>
      </c>
    </row>
    <row r="422" spans="2:7">
      <c r="B422" s="577" t="s">
        <v>1894</v>
      </c>
      <c r="G422">
        <f>500*0.45</f>
        <v>225</v>
      </c>
    </row>
    <row r="423" spans="2:7">
      <c r="B423" s="577" t="s">
        <v>1895</v>
      </c>
      <c r="G423">
        <f>450*0.067</f>
        <v>30.150000000000002</v>
      </c>
    </row>
    <row r="424" spans="2:7">
      <c r="B424" s="577" t="s">
        <v>1896</v>
      </c>
    </row>
    <row r="426" spans="2:7">
      <c r="B426" s="577" t="s">
        <v>1897</v>
      </c>
    </row>
    <row r="427" spans="2:7">
      <c r="B427" s="577" t="s">
        <v>1898</v>
      </c>
    </row>
    <row r="428" spans="2:7">
      <c r="B428" s="577" t="s">
        <v>1899</v>
      </c>
    </row>
    <row r="430" spans="2:7">
      <c r="B430" s="578" t="s">
        <v>1900</v>
      </c>
    </row>
    <row r="431" spans="2:7">
      <c r="B431" s="577" t="s">
        <v>1901</v>
      </c>
    </row>
    <row r="432" spans="2:7">
      <c r="B432" s="577" t="s">
        <v>1902</v>
      </c>
    </row>
    <row r="433" spans="2:3">
      <c r="B433" s="577" t="s">
        <v>1903</v>
      </c>
    </row>
    <row r="434" spans="2:3">
      <c r="B434" s="577" t="s">
        <v>1904</v>
      </c>
    </row>
    <row r="435" spans="2:3">
      <c r="B435" s="577" t="s">
        <v>1905</v>
      </c>
    </row>
    <row r="437" spans="2:3">
      <c r="B437" s="577" t="s">
        <v>1906</v>
      </c>
    </row>
    <row r="438" spans="2:3">
      <c r="B438" s="577" t="s">
        <v>1907</v>
      </c>
    </row>
    <row r="440" spans="2:3">
      <c r="B440" s="578" t="s">
        <v>1908</v>
      </c>
    </row>
    <row r="441" spans="2:3">
      <c r="B441" s="577" t="s">
        <v>1909</v>
      </c>
    </row>
    <row r="442" spans="2:3">
      <c r="B442" s="577" t="s">
        <v>1910</v>
      </c>
    </row>
    <row r="443" spans="2:3">
      <c r="B443" s="577" t="s">
        <v>1911</v>
      </c>
    </row>
    <row r="444" spans="2:3">
      <c r="B444" s="577" t="s">
        <v>1912</v>
      </c>
    </row>
    <row r="446" spans="2:3">
      <c r="B446" s="577" t="s">
        <v>1913</v>
      </c>
    </row>
    <row r="447" spans="2:3">
      <c r="B447" s="577" t="s">
        <v>1914</v>
      </c>
      <c r="C447" s="577" t="s">
        <v>1915</v>
      </c>
    </row>
    <row r="449" spans="2:3">
      <c r="B449" s="578" t="s">
        <v>1916</v>
      </c>
    </row>
    <row r="450" spans="2:3">
      <c r="B450" s="577" t="s">
        <v>1917</v>
      </c>
    </row>
    <row r="451" spans="2:3">
      <c r="B451" s="577" t="s">
        <v>1918</v>
      </c>
    </row>
    <row r="453" spans="2:3">
      <c r="B453" s="578" t="s">
        <v>1919</v>
      </c>
    </row>
    <row r="454" spans="2:3">
      <c r="B454" s="577" t="s">
        <v>1920</v>
      </c>
    </row>
    <row r="456" spans="2:3">
      <c r="B456" s="577" t="s">
        <v>1921</v>
      </c>
    </row>
    <row r="457" spans="2:3">
      <c r="B457" s="577" t="s">
        <v>1922</v>
      </c>
    </row>
    <row r="459" spans="2:3">
      <c r="B459" s="615" t="s">
        <v>2204</v>
      </c>
    </row>
    <row r="461" spans="2:3">
      <c r="B461" t="s">
        <v>2207</v>
      </c>
    </row>
    <row r="462" spans="2:3">
      <c r="B462" t="s">
        <v>2208</v>
      </c>
    </row>
    <row r="463" spans="2:3">
      <c r="B463" t="s">
        <v>2209</v>
      </c>
      <c r="C463" t="s">
        <v>2210</v>
      </c>
    </row>
    <row r="464" spans="2:3">
      <c r="C464" t="s">
        <v>2211</v>
      </c>
    </row>
    <row r="465" spans="2:4">
      <c r="C465" t="s">
        <v>2212</v>
      </c>
    </row>
    <row r="466" spans="2:4">
      <c r="C466" t="s">
        <v>2213</v>
      </c>
    </row>
    <row r="467" spans="2:4">
      <c r="C467" t="s">
        <v>2214</v>
      </c>
    </row>
    <row r="469" spans="2:4">
      <c r="B469" t="s">
        <v>1854</v>
      </c>
    </row>
    <row r="470" spans="2:4">
      <c r="C470" t="s">
        <v>2215</v>
      </c>
    </row>
    <row r="471" spans="2:4">
      <c r="D471" t="s">
        <v>2225</v>
      </c>
    </row>
    <row r="472" spans="2:4">
      <c r="D472" t="s">
        <v>2218</v>
      </c>
    </row>
    <row r="473" spans="2:4">
      <c r="C473" t="s">
        <v>2216</v>
      </c>
    </row>
    <row r="474" spans="2:4">
      <c r="C474" t="s">
        <v>2217</v>
      </c>
    </row>
    <row r="475" spans="2:4">
      <c r="C475" t="s">
        <v>2226</v>
      </c>
    </row>
    <row r="477" spans="2:4">
      <c r="B477" t="s">
        <v>2219</v>
      </c>
    </row>
    <row r="478" spans="2:4">
      <c r="B478" t="s">
        <v>2220</v>
      </c>
      <c r="C478" t="s">
        <v>2221</v>
      </c>
    </row>
    <row r="479" spans="2:4">
      <c r="C479" t="s">
        <v>2222</v>
      </c>
    </row>
    <row r="480" spans="2:4">
      <c r="D480" t="s">
        <v>2223</v>
      </c>
    </row>
    <row r="481" spans="2:6">
      <c r="D481" t="s">
        <v>2224</v>
      </c>
    </row>
    <row r="482" spans="2:6">
      <c r="B482" t="s">
        <v>2227</v>
      </c>
    </row>
    <row r="483" spans="2:6">
      <c r="C483" t="s">
        <v>2228</v>
      </c>
    </row>
    <row r="486" spans="2:6">
      <c r="B486" s="577" t="s">
        <v>1986</v>
      </c>
    </row>
    <row r="488" spans="2:6">
      <c r="B488" s="3" t="s">
        <v>1992</v>
      </c>
      <c r="C488" s="3">
        <v>2014</v>
      </c>
      <c r="D488" s="3">
        <v>2015</v>
      </c>
      <c r="E488" s="3">
        <v>2016</v>
      </c>
    </row>
    <row r="489" spans="2:6" outlineLevel="1">
      <c r="B489" t="s">
        <v>1987</v>
      </c>
      <c r="C489">
        <v>111.7</v>
      </c>
      <c r="D489">
        <v>96.4</v>
      </c>
      <c r="E489" s="62">
        <f>VTR!Q122</f>
        <v>132</v>
      </c>
      <c r="F489" t="s">
        <v>1995</v>
      </c>
    </row>
    <row r="490" spans="2:6" outlineLevel="1">
      <c r="B490" s="3" t="s">
        <v>1988</v>
      </c>
      <c r="C490" s="3">
        <v>-19.5</v>
      </c>
      <c r="D490" s="3">
        <v>5.4</v>
      </c>
      <c r="E490" s="3"/>
      <c r="F490" t="s">
        <v>1998</v>
      </c>
    </row>
    <row r="491" spans="2:6">
      <c r="B491" t="s">
        <v>19</v>
      </c>
      <c r="C491">
        <f>C489+C490</f>
        <v>92.2</v>
      </c>
      <c r="D491">
        <f>D489+D490</f>
        <v>101.80000000000001</v>
      </c>
      <c r="F491" t="s">
        <v>1996</v>
      </c>
    </row>
    <row r="493" spans="2:6">
      <c r="B493" s="3" t="s">
        <v>1991</v>
      </c>
      <c r="C493" s="3">
        <f>C488</f>
        <v>2014</v>
      </c>
      <c r="D493" s="3">
        <f>D488</f>
        <v>2015</v>
      </c>
      <c r="E493" s="3">
        <f>E488</f>
        <v>2016</v>
      </c>
    </row>
    <row r="494" spans="2:6" outlineLevel="1">
      <c r="B494" t="s">
        <v>1987</v>
      </c>
      <c r="C494" s="62">
        <f>C489*1000/Forex!J$38</f>
        <v>195.70397364916954</v>
      </c>
      <c r="D494" s="62">
        <f>D489*1000/Forex!K$38</f>
        <v>146.72754946727551</v>
      </c>
      <c r="E494" s="62">
        <f>E489*1000/Forex!L$49</f>
        <v>202.14395099540582</v>
      </c>
    </row>
    <row r="495" spans="2:6" outlineLevel="1">
      <c r="B495" s="3" t="s">
        <v>1988</v>
      </c>
      <c r="C495" s="554">
        <f>C490*1000/Forex!J$49</f>
        <v>-32.130499258526939</v>
      </c>
      <c r="D495" s="554">
        <f>D490*1000/Forex!K$49</f>
        <v>7.6163610719322987</v>
      </c>
      <c r="E495" s="3"/>
    </row>
    <row r="496" spans="2:6">
      <c r="B496" t="s">
        <v>19</v>
      </c>
      <c r="C496" s="62">
        <f>C494+C495</f>
        <v>163.57347439064262</v>
      </c>
      <c r="D496" s="62">
        <f>D494+D495</f>
        <v>154.3439105392078</v>
      </c>
    </row>
    <row r="498" spans="2:6">
      <c r="B498" s="13" t="s">
        <v>20</v>
      </c>
    </row>
    <row r="499" spans="2:6">
      <c r="B499" t="str">
        <f>B494</f>
        <v>Property &amp; equipment additions</v>
      </c>
      <c r="C499" s="6">
        <f>C489/VTR!O113</f>
        <v>0.2179937548790008</v>
      </c>
      <c r="D499" s="6">
        <f>D489/VTR!P113</f>
        <v>0.17607305936073062</v>
      </c>
      <c r="E499" s="6">
        <f>E489/VTR!Q113</f>
        <v>0.22735101619014811</v>
      </c>
      <c r="F499" t="s">
        <v>1997</v>
      </c>
    </row>
    <row r="500" spans="2:6">
      <c r="B500" s="3" t="str">
        <f>B495</f>
        <v>Adjs</v>
      </c>
      <c r="C500" s="3"/>
      <c r="D500" s="3"/>
      <c r="E500" s="3"/>
    </row>
    <row r="501" spans="2:6">
      <c r="B501" t="str">
        <f>B496</f>
        <v>Capex</v>
      </c>
      <c r="C501" s="6">
        <f>C491/VTR!$O$113</f>
        <v>0.17993754879000781</v>
      </c>
      <c r="D501" s="6">
        <f>D491/VTR!$O$113</f>
        <v>0.19867291178766591</v>
      </c>
    </row>
    <row r="503" spans="2:6">
      <c r="B503" s="3" t="s">
        <v>1990</v>
      </c>
      <c r="C503" s="3">
        <f>C493</f>
        <v>2014</v>
      </c>
      <c r="D503" s="3">
        <f>D493</f>
        <v>2015</v>
      </c>
      <c r="E503" s="3">
        <f>E493</f>
        <v>2016</v>
      </c>
    </row>
    <row r="504" spans="2:6" outlineLevel="1">
      <c r="B504" t="s">
        <v>1987</v>
      </c>
      <c r="C504">
        <v>60.4</v>
      </c>
      <c r="D504">
        <v>78.099999999999994</v>
      </c>
      <c r="E504" s="62">
        <f>PR!Q118</f>
        <v>91</v>
      </c>
    </row>
    <row r="505" spans="2:6" outlineLevel="1">
      <c r="B505" s="3" t="s">
        <v>1988</v>
      </c>
      <c r="C505" s="3">
        <v>0.9</v>
      </c>
      <c r="D505" s="3">
        <v>-7.3</v>
      </c>
      <c r="E505" s="3"/>
    </row>
    <row r="506" spans="2:6">
      <c r="B506" t="s">
        <v>1989</v>
      </c>
      <c r="C506">
        <f>C504+C505</f>
        <v>61.3</v>
      </c>
      <c r="D506">
        <f>D504+D505</f>
        <v>70.8</v>
      </c>
    </row>
    <row r="508" spans="2:6">
      <c r="B508" s="13" t="s">
        <v>20</v>
      </c>
    </row>
    <row r="509" spans="2:6">
      <c r="B509" t="str">
        <f>B504</f>
        <v>Property &amp; equipment additions</v>
      </c>
      <c r="C509" s="6">
        <f>C504/PR!O$109</f>
        <v>0.19732113688337144</v>
      </c>
      <c r="D509" s="6">
        <f>D504/PR!P$109</f>
        <v>0.20595991561181434</v>
      </c>
      <c r="E509" s="6">
        <f>E504/PR!Q$109</f>
        <v>0.21625475285171103</v>
      </c>
    </row>
    <row r="510" spans="2:6">
      <c r="B510" s="3" t="str">
        <f>B505</f>
        <v>Adjs</v>
      </c>
      <c r="C510" s="3"/>
      <c r="D510" s="3"/>
      <c r="E510" s="3"/>
    </row>
    <row r="511" spans="2:6">
      <c r="B511" t="str">
        <f>B506</f>
        <v xml:space="preserve">Capex </v>
      </c>
      <c r="C511" s="6">
        <f>C506/PR!O$109</f>
        <v>0.20026135249918325</v>
      </c>
      <c r="D511" s="6">
        <f>D506/PR!P$109</f>
        <v>0.18670886075949367</v>
      </c>
    </row>
    <row r="512" spans="2:6">
      <c r="C512" s="6"/>
      <c r="D512" s="6"/>
    </row>
    <row r="513" spans="2:6">
      <c r="B513" s="3" t="s">
        <v>1993</v>
      </c>
      <c r="C513" s="3">
        <f>C503</f>
        <v>2014</v>
      </c>
      <c r="D513" s="3">
        <f>D503</f>
        <v>2015</v>
      </c>
      <c r="E513" s="3">
        <f>E503</f>
        <v>2016</v>
      </c>
    </row>
    <row r="514" spans="2:6">
      <c r="B514" t="str">
        <f>B504</f>
        <v>Property &amp; equipment additions</v>
      </c>
      <c r="C514" s="62">
        <f>C494+C504</f>
        <v>256.10397364916952</v>
      </c>
      <c r="D514" s="62">
        <f>D494+D504</f>
        <v>224.8275494672755</v>
      </c>
      <c r="E514" s="62">
        <f>E494+E504</f>
        <v>293.14395099540582</v>
      </c>
    </row>
    <row r="515" spans="2:6">
      <c r="B515" s="3" t="str">
        <f>B505</f>
        <v>Adjs</v>
      </c>
      <c r="C515" s="554">
        <f>C495+C505</f>
        <v>-31.23049925852694</v>
      </c>
      <c r="D515" s="554">
        <f>D495+D505</f>
        <v>0.3163610719322989</v>
      </c>
      <c r="E515" s="3"/>
    </row>
    <row r="516" spans="2:6">
      <c r="B516" t="str">
        <f>B506</f>
        <v xml:space="preserve">Capex </v>
      </c>
      <c r="C516" s="62">
        <f>C496+C506</f>
        <v>224.87347439064263</v>
      </c>
      <c r="D516" s="62">
        <f>D496+D506</f>
        <v>225.14391053920781</v>
      </c>
    </row>
    <row r="518" spans="2:6">
      <c r="B518" t="str">
        <f>B514</f>
        <v>Property &amp; equipment additions</v>
      </c>
      <c r="C518" s="6">
        <f>C514/LiLAC!O$143</f>
        <v>0.21273738038510059</v>
      </c>
      <c r="D518" s="6">
        <f>D514/LiLAC!P$143</f>
        <v>0.18541968561739239</v>
      </c>
      <c r="E518" s="6">
        <f>E514/LiLAC!Q$143</f>
        <v>0.2291245006463479</v>
      </c>
      <c r="F518" t="s">
        <v>1997</v>
      </c>
    </row>
    <row r="519" spans="2:6">
      <c r="B519" t="str">
        <f>B515</f>
        <v>Adjs</v>
      </c>
    </row>
    <row r="520" spans="2:6">
      <c r="B520" t="str">
        <f>B516</f>
        <v xml:space="preserve">Capex </v>
      </c>
      <c r="C520" s="6">
        <f>C516/LiLAC!O$143</f>
        <v>0.1867952034414537</v>
      </c>
      <c r="D520" s="6">
        <f>D516/LiLAC!P$143</f>
        <v>0.18568059479261695</v>
      </c>
    </row>
    <row r="522" spans="2:6">
      <c r="B522" t="s">
        <v>1999</v>
      </c>
      <c r="C522">
        <v>256</v>
      </c>
      <c r="D522">
        <v>227</v>
      </c>
    </row>
    <row r="523" spans="2:6">
      <c r="B523" t="s">
        <v>1994</v>
      </c>
      <c r="C523" s="6">
        <f>C522/LiLAC!O143</f>
        <v>0.21265101279994275</v>
      </c>
      <c r="D523" s="6">
        <f>D522/LiLAC!P143</f>
        <v>0.18721134814163184</v>
      </c>
    </row>
    <row r="525" spans="2:6">
      <c r="B525" s="513" t="s">
        <v>2113</v>
      </c>
    </row>
    <row r="527" spans="2:6">
      <c r="B527" t="s">
        <v>2115</v>
      </c>
      <c r="C527" t="s">
        <v>2114</v>
      </c>
      <c r="D527" t="s">
        <v>2116</v>
      </c>
    </row>
    <row r="528" spans="2:6">
      <c r="C528" s="608" t="s">
        <v>2125</v>
      </c>
    </row>
    <row r="529" spans="2:6">
      <c r="B529" t="s">
        <v>2117</v>
      </c>
    </row>
    <row r="531" spans="2:6">
      <c r="B531" t="s">
        <v>2118</v>
      </c>
      <c r="C531" t="s">
        <v>2119</v>
      </c>
    </row>
    <row r="532" spans="2:6">
      <c r="C532" t="s">
        <v>486</v>
      </c>
    </row>
    <row r="533" spans="2:6">
      <c r="D533" t="s">
        <v>2121</v>
      </c>
    </row>
    <row r="534" spans="2:6">
      <c r="D534" t="s">
        <v>2122</v>
      </c>
    </row>
    <row r="535" spans="2:6">
      <c r="E535" t="s">
        <v>2123</v>
      </c>
    </row>
    <row r="536" spans="2:6">
      <c r="F536" t="s">
        <v>2138</v>
      </c>
    </row>
    <row r="537" spans="2:6">
      <c r="E537" t="s">
        <v>2124</v>
      </c>
    </row>
    <row r="538" spans="2:6">
      <c r="D538" t="s">
        <v>2139</v>
      </c>
    </row>
    <row r="539" spans="2:6">
      <c r="D539" t="s">
        <v>2140</v>
      </c>
    </row>
    <row r="540" spans="2:6">
      <c r="C540" t="s">
        <v>2120</v>
      </c>
    </row>
    <row r="541" spans="2:6">
      <c r="B541" t="s">
        <v>2126</v>
      </c>
    </row>
    <row r="542" spans="2:6">
      <c r="C542" t="s">
        <v>2127</v>
      </c>
    </row>
    <row r="543" spans="2:6">
      <c r="B543" s="12" t="s">
        <v>2128</v>
      </c>
    </row>
    <row r="545" spans="2:9">
      <c r="B545" t="s">
        <v>2129</v>
      </c>
    </row>
    <row r="547" spans="2:9">
      <c r="B547" t="s">
        <v>2130</v>
      </c>
    </row>
    <row r="548" spans="2:9">
      <c r="C548" t="s">
        <v>2131</v>
      </c>
    </row>
    <row r="549" spans="2:9">
      <c r="C549" t="s">
        <v>2132</v>
      </c>
      <c r="I549" t="s">
        <v>72</v>
      </c>
    </row>
    <row r="551" spans="2:9">
      <c r="C551" t="s">
        <v>2133</v>
      </c>
    </row>
    <row r="553" spans="2:9">
      <c r="C553">
        <v>334</v>
      </c>
      <c r="D553" t="s">
        <v>2134</v>
      </c>
    </row>
    <row r="554" spans="2:9">
      <c r="C554" s="16">
        <f>C553*4.4</f>
        <v>1469.6000000000001</v>
      </c>
    </row>
    <row r="556" spans="2:9">
      <c r="B556" t="s">
        <v>2135</v>
      </c>
    </row>
    <row r="558" spans="2:9">
      <c r="B558" t="s">
        <v>2136</v>
      </c>
    </row>
    <row r="559" spans="2:9">
      <c r="C559" t="s">
        <v>2141</v>
      </c>
    </row>
    <row r="561" spans="2:5">
      <c r="B561" t="s">
        <v>2137</v>
      </c>
    </row>
    <row r="563" spans="2:5">
      <c r="B563" t="s">
        <v>1487</v>
      </c>
      <c r="C563" t="s">
        <v>2142</v>
      </c>
    </row>
    <row r="564" spans="2:5">
      <c r="C564" s="84">
        <v>2016</v>
      </c>
    </row>
    <row r="566" spans="2:5">
      <c r="C566" t="s">
        <v>2143</v>
      </c>
    </row>
    <row r="568" spans="2:5">
      <c r="B568" s="13" t="s">
        <v>2046</v>
      </c>
    </row>
    <row r="569" spans="2:5">
      <c r="B569" t="s">
        <v>2164</v>
      </c>
    </row>
    <row r="570" spans="2:5">
      <c r="B570" t="s">
        <v>2165</v>
      </c>
      <c r="C570" s="610">
        <v>42451</v>
      </c>
    </row>
    <row r="571" spans="2:5">
      <c r="B571" t="s">
        <v>2166</v>
      </c>
      <c r="D571" t="s">
        <v>2173</v>
      </c>
    </row>
    <row r="572" spans="2:5">
      <c r="C572" t="s">
        <v>2167</v>
      </c>
      <c r="D572" t="s">
        <v>2168</v>
      </c>
      <c r="E572" t="s">
        <v>2170</v>
      </c>
    </row>
    <row r="573" spans="2:5">
      <c r="C573" t="s">
        <v>2169</v>
      </c>
      <c r="D573" t="s">
        <v>2174</v>
      </c>
    </row>
    <row r="574" spans="2:5">
      <c r="D574" s="3" t="s">
        <v>2171</v>
      </c>
    </row>
    <row r="575" spans="2:5">
      <c r="D575" t="s">
        <v>2172</v>
      </c>
    </row>
    <row r="577" spans="2:2">
      <c r="B577" t="s">
        <v>2175</v>
      </c>
    </row>
    <row r="579" spans="2:2">
      <c r="B579" s="13" t="s">
        <v>2244</v>
      </c>
    </row>
    <row r="581" spans="2:2">
      <c r="B581" s="13" t="s">
        <v>2251</v>
      </c>
    </row>
    <row r="582" spans="2:2">
      <c r="B582" t="s">
        <v>2250</v>
      </c>
    </row>
    <row r="583" spans="2:2">
      <c r="B583" t="s">
        <v>2245</v>
      </c>
    </row>
    <row r="584" spans="2:2">
      <c r="B584" t="s">
        <v>2301</v>
      </c>
    </row>
    <row r="585" spans="2:2">
      <c r="B585" s="13" t="s">
        <v>1498</v>
      </c>
    </row>
    <row r="586" spans="2:2">
      <c r="B586" t="s">
        <v>2246</v>
      </c>
    </row>
    <row r="587" spans="2:2">
      <c r="B587" t="s">
        <v>2247</v>
      </c>
    </row>
    <row r="588" spans="2:2">
      <c r="B588" t="s">
        <v>2248</v>
      </c>
    </row>
    <row r="589" spans="2:2">
      <c r="B589" t="s">
        <v>2249</v>
      </c>
    </row>
    <row r="590" spans="2:2">
      <c r="B590" s="13" t="s">
        <v>2252</v>
      </c>
    </row>
    <row r="591" spans="2:2">
      <c r="B591" t="s">
        <v>2253</v>
      </c>
    </row>
    <row r="592" spans="2:2">
      <c r="B592" t="s">
        <v>2254</v>
      </c>
    </row>
    <row r="593" spans="2:2">
      <c r="B593" s="13" t="s">
        <v>2255</v>
      </c>
    </row>
    <row r="594" spans="2:2">
      <c r="B594" t="s">
        <v>2256</v>
      </c>
    </row>
    <row r="595" spans="2:2">
      <c r="B595" t="s">
        <v>2257</v>
      </c>
    </row>
    <row r="596" spans="2:2">
      <c r="B596" t="s">
        <v>2258</v>
      </c>
    </row>
    <row r="597" spans="2:2">
      <c r="B597" t="s">
        <v>2259</v>
      </c>
    </row>
    <row r="598" spans="2:2">
      <c r="B598" t="s">
        <v>2260</v>
      </c>
    </row>
    <row r="599" spans="2:2">
      <c r="B599" s="13" t="s">
        <v>2261</v>
      </c>
    </row>
    <row r="600" spans="2:2">
      <c r="B600" t="s">
        <v>2262</v>
      </c>
    </row>
    <row r="601" spans="2:2">
      <c r="B601" t="s">
        <v>2263</v>
      </c>
    </row>
    <row r="602" spans="2:2">
      <c r="B602" s="13" t="s">
        <v>2264</v>
      </c>
    </row>
    <row r="603" spans="2:2">
      <c r="B603" t="s">
        <v>2265</v>
      </c>
    </row>
    <row r="604" spans="2:2">
      <c r="B604" s="13" t="s">
        <v>2280</v>
      </c>
    </row>
    <row r="605" spans="2:2">
      <c r="B605" t="s">
        <v>2279</v>
      </c>
    </row>
    <row r="607" spans="2:2">
      <c r="B607" s="13" t="s">
        <v>467</v>
      </c>
    </row>
    <row r="608" spans="2:2">
      <c r="B608" t="s">
        <v>2266</v>
      </c>
    </row>
    <row r="609" spans="2:2">
      <c r="B609" t="s">
        <v>2267</v>
      </c>
    </row>
    <row r="610" spans="2:2">
      <c r="B610" t="s">
        <v>2268</v>
      </c>
    </row>
    <row r="611" spans="2:2">
      <c r="B611" t="s">
        <v>2269</v>
      </c>
    </row>
    <row r="612" spans="2:2">
      <c r="B612" t="s">
        <v>2270</v>
      </c>
    </row>
    <row r="613" spans="2:2">
      <c r="B613" t="s">
        <v>2271</v>
      </c>
    </row>
    <row r="614" spans="2:2">
      <c r="B614" t="s">
        <v>2272</v>
      </c>
    </row>
    <row r="615" spans="2:2">
      <c r="B615" t="s">
        <v>2274</v>
      </c>
    </row>
    <row r="616" spans="2:2">
      <c r="B616" t="s">
        <v>2273</v>
      </c>
    </row>
    <row r="617" spans="2:2">
      <c r="B617" t="s">
        <v>2275</v>
      </c>
    </row>
    <row r="619" spans="2:2">
      <c r="B619" t="s">
        <v>2276</v>
      </c>
    </row>
    <row r="620" spans="2:2">
      <c r="B620" t="s">
        <v>2277</v>
      </c>
    </row>
    <row r="621" spans="2:2">
      <c r="B621" t="s">
        <v>2278</v>
      </c>
    </row>
    <row r="623" spans="2:2">
      <c r="B623" s="13" t="s">
        <v>2281</v>
      </c>
    </row>
    <row r="624" spans="2:2">
      <c r="B624" t="s">
        <v>2285</v>
      </c>
    </row>
    <row r="625" spans="2:2">
      <c r="B625" t="s">
        <v>2282</v>
      </c>
    </row>
    <row r="626" spans="2:2">
      <c r="B626" t="s">
        <v>2283</v>
      </c>
    </row>
    <row r="627" spans="2:2">
      <c r="B627" t="s">
        <v>2284</v>
      </c>
    </row>
    <row r="629" spans="2:2">
      <c r="B629" s="13" t="s">
        <v>2286</v>
      </c>
    </row>
    <row r="630" spans="2:2">
      <c r="B630" t="s">
        <v>2287</v>
      </c>
    </row>
    <row r="631" spans="2:2">
      <c r="B631" t="s">
        <v>2288</v>
      </c>
    </row>
    <row r="632" spans="2:2">
      <c r="B632" t="s">
        <v>2289</v>
      </c>
    </row>
    <row r="633" spans="2:2">
      <c r="B633" t="s">
        <v>2290</v>
      </c>
    </row>
    <row r="634" spans="2:2">
      <c r="B634" t="s">
        <v>2291</v>
      </c>
    </row>
    <row r="635" spans="2:2">
      <c r="B635" t="s">
        <v>2292</v>
      </c>
    </row>
    <row r="636" spans="2:2">
      <c r="B636" t="s">
        <v>2293</v>
      </c>
    </row>
    <row r="637" spans="2:2">
      <c r="B637" t="s">
        <v>2294</v>
      </c>
    </row>
    <row r="638" spans="2:2">
      <c r="B638" t="s">
        <v>2295</v>
      </c>
    </row>
    <row r="639" spans="2:2">
      <c r="B639" t="s">
        <v>2296</v>
      </c>
    </row>
    <row r="641" spans="2:3">
      <c r="B641" t="s">
        <v>2297</v>
      </c>
    </row>
    <row r="642" spans="2:3">
      <c r="B642" t="s">
        <v>2298</v>
      </c>
    </row>
    <row r="643" spans="2:3">
      <c r="B643" t="s">
        <v>2299</v>
      </c>
    </row>
    <row r="644" spans="2:3">
      <c r="B644" t="s">
        <v>2300</v>
      </c>
    </row>
    <row r="646" spans="2:3">
      <c r="B646" s="615" t="s">
        <v>2307</v>
      </c>
    </row>
    <row r="648" spans="2:3">
      <c r="B648" t="s">
        <v>2308</v>
      </c>
      <c r="C648" t="s">
        <v>2312</v>
      </c>
    </row>
    <row r="649" spans="2:3">
      <c r="C649" t="s">
        <v>2309</v>
      </c>
    </row>
    <row r="650" spans="2:3">
      <c r="C650" t="s">
        <v>2310</v>
      </c>
    </row>
    <row r="651" spans="2:3">
      <c r="C651" t="s">
        <v>2311</v>
      </c>
    </row>
    <row r="653" spans="2:3">
      <c r="B653" t="s">
        <v>2313</v>
      </c>
    </row>
    <row r="655" spans="2:3">
      <c r="B655" t="s">
        <v>2314</v>
      </c>
    </row>
    <row r="656" spans="2:3">
      <c r="C656" t="s">
        <v>2315</v>
      </c>
    </row>
    <row r="657" spans="2:4">
      <c r="C657" t="s">
        <v>2316</v>
      </c>
    </row>
    <row r="658" spans="2:4">
      <c r="C658" t="s">
        <v>2317</v>
      </c>
    </row>
    <row r="659" spans="2:4">
      <c r="D659" t="s">
        <v>2318</v>
      </c>
    </row>
    <row r="660" spans="2:4">
      <c r="D660" t="s">
        <v>2319</v>
      </c>
    </row>
    <row r="661" spans="2:4">
      <c r="C661" t="s">
        <v>2320</v>
      </c>
    </row>
    <row r="662" spans="2:4">
      <c r="D662" t="s">
        <v>2321</v>
      </c>
    </row>
    <row r="663" spans="2:4">
      <c r="C663" t="s">
        <v>2323</v>
      </c>
    </row>
    <row r="664" spans="2:4">
      <c r="D664" t="s">
        <v>2322</v>
      </c>
    </row>
    <row r="665" spans="2:4">
      <c r="D665" t="s">
        <v>2324</v>
      </c>
    </row>
    <row r="667" spans="2:4">
      <c r="C667" t="s">
        <v>2325</v>
      </c>
    </row>
    <row r="669" spans="2:4">
      <c r="B669" t="s">
        <v>2326</v>
      </c>
      <c r="C669" t="s">
        <v>2327</v>
      </c>
    </row>
    <row r="670" spans="2:4">
      <c r="C670" t="s">
        <v>2328</v>
      </c>
    </row>
    <row r="671" spans="2:4">
      <c r="C671" t="s">
        <v>2329</v>
      </c>
    </row>
    <row r="672" spans="2:4">
      <c r="C672" t="s">
        <v>2330</v>
      </c>
    </row>
    <row r="674" spans="2:3">
      <c r="B674" t="s">
        <v>2331</v>
      </c>
    </row>
    <row r="676" spans="2:3">
      <c r="B676" s="615" t="s">
        <v>2360</v>
      </c>
    </row>
    <row r="678" spans="2:3">
      <c r="B678" s="12" t="s">
        <v>2064</v>
      </c>
    </row>
    <row r="679" spans="2:3">
      <c r="B679" t="s">
        <v>2361</v>
      </c>
    </row>
    <row r="680" spans="2:3">
      <c r="C680" t="s">
        <v>2362</v>
      </c>
    </row>
    <row r="681" spans="2:3">
      <c r="C681" t="s">
        <v>2388</v>
      </c>
    </row>
    <row r="682" spans="2:3">
      <c r="C682" t="s">
        <v>2389</v>
      </c>
    </row>
    <row r="685" spans="2:3">
      <c r="B685" s="12" t="s">
        <v>0</v>
      </c>
    </row>
    <row r="686" spans="2:3">
      <c r="C686" t="s">
        <v>2363</v>
      </c>
    </row>
    <row r="687" spans="2:3">
      <c r="C687" t="s">
        <v>2364</v>
      </c>
    </row>
    <row r="688" spans="2:3">
      <c r="C688" t="s">
        <v>2365</v>
      </c>
    </row>
    <row r="689" spans="2:4">
      <c r="C689" t="s">
        <v>2366</v>
      </c>
    </row>
    <row r="690" spans="2:4">
      <c r="C690" t="s">
        <v>2367</v>
      </c>
    </row>
    <row r="691" spans="2:4">
      <c r="D691" t="s">
        <v>2368</v>
      </c>
    </row>
    <row r="693" spans="2:4">
      <c r="B693" s="12" t="s">
        <v>32</v>
      </c>
      <c r="C693" t="s">
        <v>2369</v>
      </c>
    </row>
    <row r="694" spans="2:4">
      <c r="D694" t="s">
        <v>2370</v>
      </c>
    </row>
    <row r="695" spans="2:4">
      <c r="C695" t="s">
        <v>2371</v>
      </c>
    </row>
    <row r="696" spans="2:4">
      <c r="C696" t="s">
        <v>2372</v>
      </c>
    </row>
    <row r="698" spans="2:4">
      <c r="B698" s="12" t="s">
        <v>33</v>
      </c>
      <c r="C698" t="s">
        <v>2373</v>
      </c>
    </row>
    <row r="699" spans="2:4">
      <c r="B699" s="12"/>
      <c r="D699" t="s">
        <v>2375</v>
      </c>
    </row>
    <row r="700" spans="2:4">
      <c r="D700" t="s">
        <v>2374</v>
      </c>
    </row>
    <row r="701" spans="2:4">
      <c r="C701" t="s">
        <v>2376</v>
      </c>
    </row>
    <row r="703" spans="2:4">
      <c r="B703" s="12" t="s">
        <v>2377</v>
      </c>
    </row>
    <row r="704" spans="2:4">
      <c r="C704" t="s">
        <v>2378</v>
      </c>
    </row>
    <row r="706" spans="2:4">
      <c r="B706" s="12" t="s">
        <v>1479</v>
      </c>
    </row>
    <row r="707" spans="2:4">
      <c r="C707" t="s">
        <v>2379</v>
      </c>
    </row>
    <row r="709" spans="2:4">
      <c r="B709" s="12" t="s">
        <v>31</v>
      </c>
    </row>
    <row r="710" spans="2:4">
      <c r="C710" t="s">
        <v>2380</v>
      </c>
    </row>
    <row r="711" spans="2:4">
      <c r="C711" t="s">
        <v>2381</v>
      </c>
    </row>
    <row r="712" spans="2:4">
      <c r="C712" t="s">
        <v>2382</v>
      </c>
    </row>
    <row r="713" spans="2:4">
      <c r="D713" t="s">
        <v>2383</v>
      </c>
    </row>
    <row r="714" spans="2:4">
      <c r="D714" t="s">
        <v>2384</v>
      </c>
    </row>
    <row r="716" spans="2:4">
      <c r="B716" s="12" t="s">
        <v>5</v>
      </c>
    </row>
    <row r="717" spans="2:4">
      <c r="C717" t="s">
        <v>2385</v>
      </c>
    </row>
    <row r="718" spans="2:4">
      <c r="C718" t="s">
        <v>2386</v>
      </c>
    </row>
    <row r="720" spans="2:4">
      <c r="B720" s="12" t="s">
        <v>2184</v>
      </c>
      <c r="C720" t="s">
        <v>2387</v>
      </c>
    </row>
    <row r="722" spans="2:4">
      <c r="B722" s="12" t="s">
        <v>2185</v>
      </c>
      <c r="C722" t="s">
        <v>2390</v>
      </c>
    </row>
    <row r="723" spans="2:4">
      <c r="C723" t="s">
        <v>33</v>
      </c>
    </row>
    <row r="724" spans="2:4">
      <c r="D724" t="s">
        <v>2391</v>
      </c>
    </row>
    <row r="726" spans="2:4">
      <c r="B726" s="12" t="s">
        <v>19</v>
      </c>
    </row>
    <row r="727" spans="2:4">
      <c r="C727" t="s">
        <v>2392</v>
      </c>
    </row>
    <row r="728" spans="2:4">
      <c r="C728" t="s">
        <v>2393</v>
      </c>
    </row>
    <row r="729" spans="2:4">
      <c r="C729" t="s">
        <v>2394</v>
      </c>
    </row>
    <row r="730" spans="2:4">
      <c r="D730" t="s">
        <v>2395</v>
      </c>
    </row>
    <row r="732" spans="2:4">
      <c r="B732" s="12" t="s">
        <v>984</v>
      </c>
    </row>
    <row r="733" spans="2:4">
      <c r="C733" t="s">
        <v>2396</v>
      </c>
    </row>
    <row r="734" spans="2:4">
      <c r="C734" t="s">
        <v>2397</v>
      </c>
    </row>
    <row r="736" spans="2:4">
      <c r="B736" s="13" t="s">
        <v>2399</v>
      </c>
    </row>
    <row r="737" spans="2:5">
      <c r="B737" t="s">
        <v>2398</v>
      </c>
    </row>
    <row r="738" spans="2:5">
      <c r="B738" t="s">
        <v>2400</v>
      </c>
    </row>
    <row r="739" spans="2:5">
      <c r="B739" t="s">
        <v>2401</v>
      </c>
    </row>
    <row r="741" spans="2:5">
      <c r="B741" s="615" t="s">
        <v>2417</v>
      </c>
    </row>
    <row r="743" spans="2:5">
      <c r="B743" t="s">
        <v>1569</v>
      </c>
    </row>
    <row r="744" spans="2:5">
      <c r="C744" t="s">
        <v>2423</v>
      </c>
    </row>
    <row r="745" spans="2:5">
      <c r="C745" t="s">
        <v>2418</v>
      </c>
    </row>
    <row r="746" spans="2:5">
      <c r="C746" t="s">
        <v>2419</v>
      </c>
    </row>
    <row r="747" spans="2:5">
      <c r="B747" s="644">
        <v>42614</v>
      </c>
      <c r="C747" t="s">
        <v>2420</v>
      </c>
    </row>
    <row r="748" spans="2:5">
      <c r="C748" t="s">
        <v>2421</v>
      </c>
    </row>
    <row r="749" spans="2:5">
      <c r="C749" t="s">
        <v>2422</v>
      </c>
    </row>
    <row r="751" spans="2:5">
      <c r="B751" t="s">
        <v>2424</v>
      </c>
      <c r="C751" s="13" t="s">
        <v>2426</v>
      </c>
      <c r="D751" s="13" t="s">
        <v>1919</v>
      </c>
      <c r="E751" t="s">
        <v>2446</v>
      </c>
    </row>
    <row r="752" spans="2:5">
      <c r="C752" t="s">
        <v>33</v>
      </c>
      <c r="D752" t="s">
        <v>2425</v>
      </c>
    </row>
    <row r="753" spans="2:4">
      <c r="C753" t="s">
        <v>38</v>
      </c>
    </row>
    <row r="754" spans="2:4">
      <c r="D754" t="s">
        <v>2447</v>
      </c>
    </row>
    <row r="755" spans="2:4">
      <c r="D755" t="s">
        <v>2448</v>
      </c>
    </row>
    <row r="756" spans="2:4">
      <c r="C756" t="s">
        <v>32</v>
      </c>
      <c r="D756" t="s">
        <v>2449</v>
      </c>
    </row>
    <row r="757" spans="2:4">
      <c r="D757" t="s">
        <v>2450</v>
      </c>
    </row>
    <row r="758" spans="2:4">
      <c r="D758" t="s">
        <v>2451</v>
      </c>
    </row>
    <row r="759" spans="2:4">
      <c r="C759" s="13" t="s">
        <v>1479</v>
      </c>
    </row>
    <row r="760" spans="2:4">
      <c r="C760" t="s">
        <v>2427</v>
      </c>
    </row>
    <row r="761" spans="2:4">
      <c r="D761" t="s">
        <v>2428</v>
      </c>
    </row>
    <row r="762" spans="2:4">
      <c r="D762" t="s">
        <v>2429</v>
      </c>
    </row>
    <row r="764" spans="2:4">
      <c r="B764" t="s">
        <v>2430</v>
      </c>
      <c r="C764" t="s">
        <v>2434</v>
      </c>
    </row>
    <row r="765" spans="2:4">
      <c r="C765" t="s">
        <v>2431</v>
      </c>
    </row>
    <row r="766" spans="2:4">
      <c r="C766" t="s">
        <v>2432</v>
      </c>
    </row>
    <row r="767" spans="2:4">
      <c r="C767" t="s">
        <v>2433</v>
      </c>
    </row>
    <row r="768" spans="2:4">
      <c r="D768" t="s">
        <v>2435</v>
      </c>
    </row>
    <row r="770" spans="2:6">
      <c r="B770" t="s">
        <v>2436</v>
      </c>
    </row>
    <row r="771" spans="2:6">
      <c r="C771" t="s">
        <v>2437</v>
      </c>
    </row>
    <row r="773" spans="2:6">
      <c r="B773" t="s">
        <v>2438</v>
      </c>
    </row>
    <row r="774" spans="2:6">
      <c r="C774" t="s">
        <v>2439</v>
      </c>
    </row>
    <row r="776" spans="2:6">
      <c r="B776" t="s">
        <v>557</v>
      </c>
    </row>
    <row r="777" spans="2:6">
      <c r="C777" t="s">
        <v>2440</v>
      </c>
    </row>
    <row r="778" spans="2:6">
      <c r="C778" t="s">
        <v>2444</v>
      </c>
    </row>
    <row r="779" spans="2:6">
      <c r="C779" t="s">
        <v>2445</v>
      </c>
    </row>
    <row r="780" spans="2:6">
      <c r="C780" t="s">
        <v>2441</v>
      </c>
    </row>
    <row r="781" spans="2:6" outlineLevel="1">
      <c r="C781" t="s">
        <v>2442</v>
      </c>
      <c r="D781">
        <v>94</v>
      </c>
    </row>
    <row r="782" spans="2:6" outlineLevel="1">
      <c r="C782" t="s">
        <v>2443</v>
      </c>
      <c r="D782">
        <v>255</v>
      </c>
    </row>
    <row r="783" spans="2:6">
      <c r="D783" s="62">
        <f>D782/D781</f>
        <v>2.7127659574468086</v>
      </c>
    </row>
    <row r="784" spans="2:6">
      <c r="C784" t="s">
        <v>895</v>
      </c>
      <c r="E784" s="80" t="s">
        <v>2452</v>
      </c>
      <c r="F784" t="s">
        <v>2453</v>
      </c>
    </row>
    <row r="785" spans="2:6">
      <c r="E785" s="80" t="s">
        <v>2454</v>
      </c>
      <c r="F785" t="s">
        <v>2455</v>
      </c>
    </row>
    <row r="787" spans="2:6">
      <c r="B787" t="s">
        <v>2456</v>
      </c>
      <c r="C787" t="s">
        <v>2457</v>
      </c>
    </row>
    <row r="788" spans="2:6">
      <c r="C788" t="s">
        <v>2458</v>
      </c>
    </row>
    <row r="789" spans="2:6">
      <c r="C789" t="s">
        <v>2459</v>
      </c>
    </row>
    <row r="790" spans="2:6">
      <c r="C790" t="s">
        <v>2460</v>
      </c>
    </row>
    <row r="794" spans="2:6">
      <c r="B794" s="615" t="s">
        <v>2566</v>
      </c>
    </row>
    <row r="796" spans="2:6">
      <c r="B796" s="13" t="s">
        <v>2571</v>
      </c>
      <c r="C796" t="s">
        <v>2567</v>
      </c>
    </row>
    <row r="797" spans="2:6">
      <c r="B797" s="84">
        <v>135</v>
      </c>
      <c r="C797" t="s">
        <v>2488</v>
      </c>
    </row>
    <row r="798" spans="2:6">
      <c r="B798" s="84">
        <v>235</v>
      </c>
      <c r="C798" t="s">
        <v>2489</v>
      </c>
    </row>
    <row r="799" spans="2:6">
      <c r="B799" s="84">
        <v>90</v>
      </c>
      <c r="C799" t="s">
        <v>2490</v>
      </c>
    </row>
    <row r="801" spans="2:10">
      <c r="B801" s="615" t="s">
        <v>2545</v>
      </c>
    </row>
    <row r="803" spans="2:10">
      <c r="B803" s="13" t="s">
        <v>29</v>
      </c>
    </row>
    <row r="804" spans="2:10">
      <c r="B804" t="s">
        <v>2546</v>
      </c>
    </row>
    <row r="805" spans="2:10">
      <c r="B805" t="s">
        <v>2547</v>
      </c>
    </row>
    <row r="807" spans="2:10">
      <c r="B807" s="13" t="s">
        <v>2563</v>
      </c>
    </row>
    <row r="808" spans="2:10">
      <c r="B808" t="s">
        <v>2548</v>
      </c>
      <c r="E808" t="s">
        <v>2552</v>
      </c>
      <c r="F808" t="s">
        <v>2553</v>
      </c>
      <c r="I808" t="s">
        <v>2552</v>
      </c>
      <c r="J808" t="s">
        <v>2568</v>
      </c>
    </row>
    <row r="809" spans="2:10">
      <c r="B809" t="s">
        <v>2554</v>
      </c>
      <c r="D809" t="s">
        <v>2549</v>
      </c>
      <c r="E809" t="s">
        <v>2550</v>
      </c>
      <c r="F809" t="s">
        <v>2551</v>
      </c>
      <c r="H809" t="s">
        <v>2167</v>
      </c>
      <c r="I809" t="s">
        <v>2550</v>
      </c>
      <c r="J809" t="s">
        <v>2569</v>
      </c>
    </row>
    <row r="812" spans="2:10">
      <c r="B812" t="s">
        <v>2555</v>
      </c>
    </row>
    <row r="813" spans="2:10">
      <c r="C813" t="s">
        <v>2556</v>
      </c>
      <c r="D813" t="s">
        <v>2557</v>
      </c>
    </row>
    <row r="814" spans="2:10">
      <c r="C814" t="s">
        <v>2559</v>
      </c>
      <c r="D814" t="s">
        <v>2558</v>
      </c>
    </row>
    <row r="815" spans="2:10">
      <c r="C815" t="s">
        <v>2560</v>
      </c>
      <c r="D815" t="s">
        <v>2561</v>
      </c>
      <c r="F815" t="s">
        <v>2562</v>
      </c>
    </row>
    <row r="817" spans="2:3">
      <c r="B817" s="13" t="s">
        <v>2564</v>
      </c>
    </row>
    <row r="818" spans="2:3">
      <c r="C818" t="s">
        <v>2565</v>
      </c>
    </row>
    <row r="820" spans="2:3">
      <c r="B820" s="615" t="s">
        <v>2576</v>
      </c>
    </row>
    <row r="822" spans="2:3">
      <c r="B822" s="513" t="s">
        <v>428</v>
      </c>
    </row>
    <row r="824" spans="2:3">
      <c r="B824" t="s">
        <v>2581</v>
      </c>
    </row>
    <row r="825" spans="2:3">
      <c r="C825" t="s">
        <v>2582</v>
      </c>
    </row>
    <row r="826" spans="2:3">
      <c r="C826" t="s">
        <v>2583</v>
      </c>
    </row>
    <row r="828" spans="2:3">
      <c r="B828" t="s">
        <v>2580</v>
      </c>
    </row>
    <row r="830" spans="2:3">
      <c r="B830" t="s">
        <v>2579</v>
      </c>
    </row>
    <row r="832" spans="2:3">
      <c r="B832" t="s">
        <v>2577</v>
      </c>
    </row>
    <row r="834" spans="2:4">
      <c r="B834" t="s">
        <v>2602</v>
      </c>
    </row>
    <row r="836" spans="2:4">
      <c r="B836" t="s">
        <v>2578</v>
      </c>
    </row>
    <row r="838" spans="2:4">
      <c r="B838" t="s">
        <v>2622</v>
      </c>
      <c r="C838" t="s">
        <v>2620</v>
      </c>
    </row>
    <row r="839" spans="2:4">
      <c r="C839" t="s">
        <v>2621</v>
      </c>
    </row>
    <row r="840" spans="2:4">
      <c r="C840" t="s">
        <v>2623</v>
      </c>
    </row>
    <row r="841" spans="2:4">
      <c r="C841" t="s">
        <v>2624</v>
      </c>
    </row>
    <row r="842" spans="2:4">
      <c r="B842" t="s">
        <v>31</v>
      </c>
    </row>
    <row r="843" spans="2:4">
      <c r="C843" t="s">
        <v>2625</v>
      </c>
    </row>
    <row r="845" spans="2:4">
      <c r="B845" t="s">
        <v>1919</v>
      </c>
    </row>
    <row r="846" spans="2:4">
      <c r="C846" t="s">
        <v>2626</v>
      </c>
    </row>
    <row r="847" spans="2:4">
      <c r="C847" t="s">
        <v>2627</v>
      </c>
    </row>
    <row r="848" spans="2:4">
      <c r="D848" t="s">
        <v>2629</v>
      </c>
    </row>
    <row r="849" spans="2:4">
      <c r="C849" t="s">
        <v>32</v>
      </c>
      <c r="D849" t="s">
        <v>2628</v>
      </c>
    </row>
    <row r="851" spans="2:4">
      <c r="B851" t="s">
        <v>2631</v>
      </c>
      <c r="C851" t="s">
        <v>2630</v>
      </c>
    </row>
    <row r="853" spans="2:4">
      <c r="B853" t="s">
        <v>2632</v>
      </c>
    </row>
    <row r="854" spans="2:4">
      <c r="C854" t="s">
        <v>2645</v>
      </c>
    </row>
    <row r="855" spans="2:4">
      <c r="C855" t="s">
        <v>2646</v>
      </c>
    </row>
    <row r="856" spans="2:4">
      <c r="C856" t="s">
        <v>2647</v>
      </c>
    </row>
    <row r="858" spans="2:4">
      <c r="B858" t="s">
        <v>2564</v>
      </c>
    </row>
    <row r="859" spans="2:4">
      <c r="C859" t="s">
        <v>2633</v>
      </c>
    </row>
    <row r="860" spans="2:4">
      <c r="C860" t="s">
        <v>2634</v>
      </c>
    </row>
    <row r="861" spans="2:4">
      <c r="C861" t="s">
        <v>2635</v>
      </c>
    </row>
    <row r="862" spans="2:4">
      <c r="C862" t="s">
        <v>2636</v>
      </c>
    </row>
    <row r="863" spans="2:4">
      <c r="C863" t="s">
        <v>2637</v>
      </c>
    </row>
    <row r="864" spans="2:4">
      <c r="C864" t="s">
        <v>2638</v>
      </c>
    </row>
    <row r="865" spans="2:5">
      <c r="B865" t="s">
        <v>2639</v>
      </c>
    </row>
    <row r="866" spans="2:5">
      <c r="C866" t="s">
        <v>2640</v>
      </c>
    </row>
    <row r="867" spans="2:5">
      <c r="C867" t="s">
        <v>2641</v>
      </c>
    </row>
    <row r="868" spans="2:5">
      <c r="C868" t="s">
        <v>2642</v>
      </c>
    </row>
    <row r="869" spans="2:5">
      <c r="D869" t="s">
        <v>2643</v>
      </c>
    </row>
    <row r="870" spans="2:5">
      <c r="D870" t="s">
        <v>2644</v>
      </c>
    </row>
    <row r="872" spans="2:5">
      <c r="B872" t="s">
        <v>0</v>
      </c>
      <c r="C872" t="s">
        <v>2648</v>
      </c>
    </row>
    <row r="873" spans="2:5">
      <c r="C873" t="s">
        <v>2650</v>
      </c>
    </row>
    <row r="874" spans="2:5">
      <c r="D874" t="s">
        <v>2649</v>
      </c>
    </row>
    <row r="875" spans="2:5">
      <c r="D875" t="s">
        <v>2651</v>
      </c>
    </row>
    <row r="876" spans="2:5">
      <c r="E876" t="s">
        <v>2652</v>
      </c>
    </row>
    <row r="878" spans="2:5">
      <c r="B878" s="13" t="s">
        <v>2585</v>
      </c>
    </row>
    <row r="879" spans="2:5">
      <c r="B879" t="s">
        <v>2584</v>
      </c>
    </row>
    <row r="881" spans="2:3">
      <c r="B881" s="13" t="s">
        <v>2586</v>
      </c>
    </row>
    <row r="882" spans="2:3">
      <c r="B882" t="s">
        <v>2587</v>
      </c>
    </row>
    <row r="884" spans="2:3">
      <c r="B884" t="s">
        <v>2590</v>
      </c>
    </row>
    <row r="885" spans="2:3">
      <c r="B885" t="s">
        <v>2588</v>
      </c>
    </row>
    <row r="886" spans="2:3">
      <c r="B886" t="s">
        <v>2589</v>
      </c>
    </row>
    <row r="887" spans="2:3">
      <c r="B887" t="s">
        <v>2591</v>
      </c>
    </row>
    <row r="888" spans="2:3">
      <c r="B888" t="s">
        <v>2592</v>
      </c>
    </row>
    <row r="889" spans="2:3">
      <c r="B889" t="s">
        <v>2593</v>
      </c>
    </row>
    <row r="891" spans="2:3">
      <c r="B891" s="13" t="s">
        <v>2594</v>
      </c>
    </row>
    <row r="892" spans="2:3">
      <c r="B892" t="s">
        <v>2595</v>
      </c>
    </row>
    <row r="893" spans="2:3">
      <c r="B893" t="s">
        <v>2596</v>
      </c>
    </row>
    <row r="894" spans="2:3">
      <c r="C894" t="s">
        <v>2597</v>
      </c>
    </row>
    <row r="895" spans="2:3">
      <c r="B895" t="s">
        <v>2598</v>
      </c>
    </row>
    <row r="896" spans="2:3">
      <c r="B896" t="s">
        <v>2599</v>
      </c>
    </row>
    <row r="898" spans="2:3">
      <c r="B898" s="13" t="s">
        <v>5</v>
      </c>
    </row>
    <row r="899" spans="2:3">
      <c r="B899" t="s">
        <v>31</v>
      </c>
    </row>
    <row r="900" spans="2:3">
      <c r="B900" t="s">
        <v>2600</v>
      </c>
    </row>
    <row r="901" spans="2:3">
      <c r="B901" t="s">
        <v>2601</v>
      </c>
    </row>
    <row r="902" spans="2:3">
      <c r="B902" t="s">
        <v>2608</v>
      </c>
    </row>
    <row r="903" spans="2:3">
      <c r="C903" t="s">
        <v>2609</v>
      </c>
    </row>
    <row r="905" spans="2:3">
      <c r="B905" s="13" t="s">
        <v>2603</v>
      </c>
    </row>
    <row r="906" spans="2:3">
      <c r="B906" t="s">
        <v>2604</v>
      </c>
    </row>
    <row r="908" spans="2:3">
      <c r="B908" s="13" t="s">
        <v>2607</v>
      </c>
    </row>
    <row r="909" spans="2:3">
      <c r="B909" t="s">
        <v>2605</v>
      </c>
    </row>
    <row r="910" spans="2:3">
      <c r="B910" t="s">
        <v>2606</v>
      </c>
    </row>
    <row r="912" spans="2:3">
      <c r="B912" s="13" t="s">
        <v>2560</v>
      </c>
    </row>
    <row r="913" spans="2:3">
      <c r="B913" t="s">
        <v>2610</v>
      </c>
    </row>
    <row r="915" spans="2:3">
      <c r="B915" t="s">
        <v>2613</v>
      </c>
    </row>
    <row r="916" spans="2:3">
      <c r="B916" t="s">
        <v>2611</v>
      </c>
    </row>
    <row r="917" spans="2:3">
      <c r="B917" t="s">
        <v>2612</v>
      </c>
    </row>
    <row r="919" spans="2:3">
      <c r="B919" t="s">
        <v>2614</v>
      </c>
    </row>
    <row r="921" spans="2:3">
      <c r="B921" s="13" t="s">
        <v>2617</v>
      </c>
    </row>
    <row r="922" spans="2:3">
      <c r="B922" t="s">
        <v>2615</v>
      </c>
    </row>
    <row r="923" spans="2:3">
      <c r="B923" t="s">
        <v>2616</v>
      </c>
    </row>
    <row r="924" spans="2:3">
      <c r="C924" t="s">
        <v>2618</v>
      </c>
    </row>
    <row r="925" spans="2:3">
      <c r="B925" t="s">
        <v>2619</v>
      </c>
    </row>
    <row r="927" spans="2:3">
      <c r="B927" s="615" t="s">
        <v>2653</v>
      </c>
    </row>
    <row r="929" spans="2:4">
      <c r="B929" s="12" t="s">
        <v>32</v>
      </c>
    </row>
    <row r="930" spans="2:4">
      <c r="B930" t="s">
        <v>2654</v>
      </c>
    </row>
    <row r="931" spans="2:4">
      <c r="B931" t="s">
        <v>2655</v>
      </c>
    </row>
    <row r="932" spans="2:4">
      <c r="B932" t="s">
        <v>2656</v>
      </c>
    </row>
    <row r="933" spans="2:4">
      <c r="B933" t="s">
        <v>2657</v>
      </c>
    </row>
    <row r="934" spans="2:4">
      <c r="B934" t="s">
        <v>2658</v>
      </c>
    </row>
    <row r="936" spans="2:4">
      <c r="B936" s="12" t="s">
        <v>31</v>
      </c>
    </row>
    <row r="937" spans="2:4">
      <c r="B937" t="s">
        <v>2660</v>
      </c>
    </row>
    <row r="938" spans="2:4">
      <c r="C938" t="s">
        <v>2661</v>
      </c>
    </row>
    <row r="939" spans="2:4">
      <c r="C939" t="s">
        <v>2659</v>
      </c>
    </row>
    <row r="940" spans="2:4">
      <c r="D940" t="s">
        <v>2664</v>
      </c>
    </row>
    <row r="941" spans="2:4">
      <c r="B941" t="s">
        <v>2666</v>
      </c>
    </row>
    <row r="942" spans="2:4">
      <c r="C942" t="s">
        <v>2662</v>
      </c>
    </row>
    <row r="943" spans="2:4">
      <c r="C943" t="s">
        <v>2663</v>
      </c>
    </row>
    <row r="944" spans="2:4">
      <c r="C944" t="s">
        <v>2665</v>
      </c>
    </row>
    <row r="945" spans="2:3">
      <c r="B945" t="s">
        <v>2667</v>
      </c>
    </row>
    <row r="946" spans="2:3">
      <c r="C946" t="s">
        <v>2668</v>
      </c>
    </row>
    <row r="948" spans="2:3">
      <c r="B948" s="615" t="s">
        <v>2716</v>
      </c>
    </row>
    <row r="950" spans="2:3">
      <c r="B950" t="s">
        <v>2671</v>
      </c>
    </row>
    <row r="951" spans="2:3">
      <c r="B951" t="s">
        <v>2672</v>
      </c>
      <c r="C951" t="s">
        <v>2674</v>
      </c>
    </row>
    <row r="952" spans="2:3">
      <c r="B952" t="s">
        <v>2673</v>
      </c>
    </row>
    <row r="953" spans="2:3">
      <c r="B953" t="s">
        <v>2675</v>
      </c>
    </row>
    <row r="954" spans="2:3">
      <c r="B954" t="s">
        <v>2676</v>
      </c>
    </row>
    <row r="956" spans="2:3">
      <c r="B956" s="13" t="s">
        <v>2677</v>
      </c>
    </row>
    <row r="957" spans="2:3">
      <c r="B957" t="s">
        <v>2679</v>
      </c>
    </row>
    <row r="958" spans="2:3">
      <c r="B958" t="s">
        <v>2680</v>
      </c>
    </row>
    <row r="959" spans="2:3">
      <c r="B959" s="84" t="s">
        <v>2681</v>
      </c>
    </row>
    <row r="960" spans="2:3">
      <c r="B960" t="s">
        <v>2678</v>
      </c>
    </row>
    <row r="961" spans="2:3">
      <c r="B961" t="s">
        <v>2682</v>
      </c>
    </row>
    <row r="962" spans="2:3">
      <c r="B962" t="s">
        <v>2683</v>
      </c>
    </row>
    <row r="964" spans="2:3">
      <c r="B964" s="13" t="s">
        <v>2684</v>
      </c>
    </row>
    <row r="965" spans="2:3">
      <c r="B965" t="s">
        <v>2685</v>
      </c>
    </row>
    <row r="966" spans="2:3">
      <c r="B966" t="s">
        <v>2686</v>
      </c>
    </row>
    <row r="967" spans="2:3">
      <c r="B967" t="s">
        <v>2687</v>
      </c>
    </row>
    <row r="968" spans="2:3">
      <c r="B968" t="s">
        <v>2688</v>
      </c>
    </row>
    <row r="969" spans="2:3">
      <c r="B969" t="s">
        <v>2689</v>
      </c>
    </row>
    <row r="970" spans="2:3">
      <c r="B970" t="s">
        <v>2690</v>
      </c>
    </row>
    <row r="971" spans="2:3">
      <c r="B971" t="s">
        <v>2691</v>
      </c>
    </row>
    <row r="972" spans="2:3">
      <c r="B972" t="s">
        <v>2692</v>
      </c>
    </row>
    <row r="973" spans="2:3">
      <c r="C973" t="s">
        <v>2693</v>
      </c>
    </row>
    <row r="975" spans="2:3">
      <c r="B975" t="s">
        <v>2694</v>
      </c>
    </row>
    <row r="977" spans="2:3">
      <c r="B977" s="13" t="s">
        <v>2424</v>
      </c>
    </row>
    <row r="978" spans="2:3">
      <c r="B978" t="s">
        <v>2695</v>
      </c>
    </row>
    <row r="980" spans="2:3">
      <c r="B980" t="s">
        <v>2696</v>
      </c>
    </row>
    <row r="982" spans="2:3">
      <c r="B982" s="13" t="s">
        <v>2698</v>
      </c>
    </row>
    <row r="983" spans="2:3">
      <c r="B983" t="s">
        <v>2697</v>
      </c>
      <c r="C983" t="s">
        <v>2699</v>
      </c>
    </row>
    <row r="985" spans="2:3">
      <c r="B985" s="13" t="s">
        <v>32</v>
      </c>
    </row>
    <row r="986" spans="2:3">
      <c r="B986" t="s">
        <v>2700</v>
      </c>
    </row>
    <row r="987" spans="2:3">
      <c r="B987" t="s">
        <v>2701</v>
      </c>
    </row>
    <row r="988" spans="2:3">
      <c r="B988" t="s">
        <v>2702</v>
      </c>
    </row>
    <row r="989" spans="2:3">
      <c r="C989" t="s">
        <v>2703</v>
      </c>
    </row>
    <row r="991" spans="2:3">
      <c r="B991" t="s">
        <v>2704</v>
      </c>
    </row>
    <row r="992" spans="2:3">
      <c r="B992" t="s">
        <v>2705</v>
      </c>
    </row>
    <row r="993" spans="2:2">
      <c r="B993" t="s">
        <v>2706</v>
      </c>
    </row>
    <row r="994" spans="2:2">
      <c r="B994" t="s">
        <v>2707</v>
      </c>
    </row>
    <row r="996" spans="2:2">
      <c r="B996" t="s">
        <v>2708</v>
      </c>
    </row>
    <row r="998" spans="2:2">
      <c r="B998" s="13" t="s">
        <v>2709</v>
      </c>
    </row>
    <row r="999" spans="2:2">
      <c r="B999" t="s">
        <v>2710</v>
      </c>
    </row>
    <row r="1000" spans="2:2">
      <c r="B1000" t="s">
        <v>2715</v>
      </c>
    </row>
    <row r="1001" spans="2:2">
      <c r="B1001" t="s">
        <v>2712</v>
      </c>
    </row>
    <row r="1002" spans="2:2">
      <c r="B1002" t="s">
        <v>2713</v>
      </c>
    </row>
    <row r="1003" spans="2:2">
      <c r="B1003" t="s">
        <v>2714</v>
      </c>
    </row>
    <row r="1004" spans="2:2">
      <c r="B1004" t="s">
        <v>2711</v>
      </c>
    </row>
    <row r="1006" spans="2:2">
      <c r="B1006" s="13" t="s">
        <v>0</v>
      </c>
    </row>
    <row r="1007" spans="2:2">
      <c r="B1007" t="s">
        <v>2717</v>
      </c>
    </row>
    <row r="1009" spans="2:8">
      <c r="B1009" s="615" t="s">
        <v>2726</v>
      </c>
    </row>
    <row r="1011" spans="2:8">
      <c r="B1011" t="s">
        <v>2727</v>
      </c>
    </row>
    <row r="1012" spans="2:8">
      <c r="C1012" t="s">
        <v>2766</v>
      </c>
    </row>
    <row r="1013" spans="2:8">
      <c r="C1013" t="s">
        <v>2764</v>
      </c>
      <c r="E1013" t="s">
        <v>2765</v>
      </c>
    </row>
    <row r="1014" spans="2:8">
      <c r="C1014" t="s">
        <v>2767</v>
      </c>
    </row>
    <row r="1015" spans="2:8">
      <c r="C1015" t="s">
        <v>2768</v>
      </c>
    </row>
    <row r="1017" spans="2:8">
      <c r="B1017" t="s">
        <v>2728</v>
      </c>
      <c r="C1017" t="s">
        <v>2729</v>
      </c>
    </row>
    <row r="1018" spans="2:8">
      <c r="C1018" s="13" t="s">
        <v>2730</v>
      </c>
      <c r="D1018" t="s">
        <v>2735</v>
      </c>
    </row>
    <row r="1019" spans="2:8">
      <c r="D1019" t="s">
        <v>2731</v>
      </c>
    </row>
    <row r="1020" spans="2:8">
      <c r="C1020" s="13" t="s">
        <v>2732</v>
      </c>
      <c r="D1020" t="s">
        <v>2733</v>
      </c>
      <c r="H1020" t="s">
        <v>2734</v>
      </c>
    </row>
    <row r="1021" spans="2:8">
      <c r="D1021" t="s">
        <v>2736</v>
      </c>
    </row>
    <row r="1023" spans="2:8">
      <c r="B1023" t="s">
        <v>2748</v>
      </c>
      <c r="C1023" t="s">
        <v>2749</v>
      </c>
    </row>
    <row r="1025" spans="2:4">
      <c r="B1025" t="s">
        <v>2755</v>
      </c>
    </row>
    <row r="1027" spans="2:4">
      <c r="B1027" t="s">
        <v>2759</v>
      </c>
    </row>
    <row r="1029" spans="2:4">
      <c r="B1029" t="s">
        <v>2760</v>
      </c>
    </row>
    <row r="1030" spans="2:4">
      <c r="C1030" t="s">
        <v>2763</v>
      </c>
    </row>
    <row r="1031" spans="2:4">
      <c r="D1031" t="s">
        <v>2761</v>
      </c>
    </row>
    <row r="1032" spans="2:4">
      <c r="D1032" t="s">
        <v>2762</v>
      </c>
    </row>
    <row r="1034" spans="2:4">
      <c r="B1034" t="s">
        <v>67</v>
      </c>
      <c r="C1034" t="s">
        <v>2769</v>
      </c>
    </row>
    <row r="1036" spans="2:4">
      <c r="B1036" s="615" t="s">
        <v>2905</v>
      </c>
    </row>
    <row r="1038" spans="2:4">
      <c r="B1038" s="13" t="s">
        <v>2906</v>
      </c>
    </row>
    <row r="1039" spans="2:4">
      <c r="B1039" t="s">
        <v>2896</v>
      </c>
      <c r="C1039" t="s">
        <v>2897</v>
      </c>
    </row>
    <row r="1040" spans="2:4">
      <c r="C1040" t="s">
        <v>2898</v>
      </c>
    </row>
    <row r="1041" spans="2:3">
      <c r="B1041" t="s">
        <v>2899</v>
      </c>
      <c r="C1041" t="s">
        <v>2900</v>
      </c>
    </row>
    <row r="1043" spans="2:3">
      <c r="B1043" t="s">
        <v>2901</v>
      </c>
      <c r="C1043" t="s">
        <v>2902</v>
      </c>
    </row>
    <row r="1044" spans="2:3">
      <c r="B1044" t="s">
        <v>2895</v>
      </c>
    </row>
    <row r="1045" spans="2:3">
      <c r="B1045" t="s">
        <v>2894</v>
      </c>
    </row>
    <row r="1047" spans="2:3">
      <c r="B1047" s="13" t="s">
        <v>2903</v>
      </c>
    </row>
    <row r="1048" spans="2:3">
      <c r="B1048" t="s">
        <v>2904</v>
      </c>
    </row>
    <row r="1050" spans="2:3">
      <c r="B1050" s="13" t="s">
        <v>2907</v>
      </c>
    </row>
    <row r="1051" spans="2:3">
      <c r="B1051" t="s">
        <v>2908</v>
      </c>
    </row>
    <row r="1053" spans="2:3">
      <c r="B1053" s="615" t="s">
        <v>2931</v>
      </c>
    </row>
    <row r="1055" spans="2:3">
      <c r="B1055" t="s">
        <v>2932</v>
      </c>
    </row>
    <row r="1056" spans="2:3">
      <c r="B1056" t="s">
        <v>2938</v>
      </c>
    </row>
    <row r="1058" spans="2:3">
      <c r="B1058" t="s">
        <v>2939</v>
      </c>
    </row>
    <row r="1059" spans="2:3">
      <c r="C1059" t="s">
        <v>2940</v>
      </c>
    </row>
    <row r="1061" spans="2:3">
      <c r="B1061" t="s">
        <v>2941</v>
      </c>
    </row>
    <row r="1063" spans="2:3">
      <c r="B1063" t="s">
        <v>2942</v>
      </c>
    </row>
    <row r="1065" spans="2:3">
      <c r="B1065" t="s">
        <v>2943</v>
      </c>
    </row>
    <row r="1066" spans="2:3">
      <c r="C1066" t="s">
        <v>2944</v>
      </c>
    </row>
    <row r="1067" spans="2:3">
      <c r="C1067" t="s">
        <v>2945</v>
      </c>
    </row>
    <row r="1068" spans="2:3">
      <c r="C1068" t="s">
        <v>2946</v>
      </c>
    </row>
    <row r="1069" spans="2:3">
      <c r="C1069" t="s">
        <v>2947</v>
      </c>
    </row>
    <row r="1071" spans="2:3">
      <c r="B1071" t="s">
        <v>1642</v>
      </c>
    </row>
    <row r="1072" spans="2:3">
      <c r="C1072" t="s">
        <v>2948</v>
      </c>
    </row>
    <row r="1073" spans="2:5">
      <c r="C1073" t="s">
        <v>2949</v>
      </c>
    </row>
    <row r="1074" spans="2:5">
      <c r="C1074" t="s">
        <v>2950</v>
      </c>
    </row>
    <row r="1076" spans="2:5">
      <c r="B1076" t="s">
        <v>31</v>
      </c>
    </row>
    <row r="1077" spans="2:5">
      <c r="C1077" t="s">
        <v>2951</v>
      </c>
    </row>
    <row r="1078" spans="2:5">
      <c r="C1078" t="s">
        <v>2952</v>
      </c>
    </row>
    <row r="1079" spans="2:5">
      <c r="C1079" t="s">
        <v>2953</v>
      </c>
    </row>
    <row r="1080" spans="2:5">
      <c r="C1080" t="s">
        <v>2954</v>
      </c>
    </row>
    <row r="1081" spans="2:5">
      <c r="C1081" t="s">
        <v>2955</v>
      </c>
    </row>
    <row r="1083" spans="2:5">
      <c r="B1083" t="s">
        <v>2956</v>
      </c>
    </row>
    <row r="1084" spans="2:5">
      <c r="C1084" t="s">
        <v>2957</v>
      </c>
    </row>
    <row r="1086" spans="2:5">
      <c r="B1086" t="s">
        <v>2958</v>
      </c>
    </row>
    <row r="1087" spans="2:5">
      <c r="C1087" t="s">
        <v>1686</v>
      </c>
      <c r="D1087" t="s">
        <v>2959</v>
      </c>
    </row>
    <row r="1088" spans="2:5">
      <c r="E1088" t="s">
        <v>2962</v>
      </c>
    </row>
    <row r="1089" spans="2:5">
      <c r="C1089" t="s">
        <v>32</v>
      </c>
      <c r="D1089" t="s">
        <v>2960</v>
      </c>
    </row>
    <row r="1090" spans="2:5">
      <c r="E1090" t="s">
        <v>2961</v>
      </c>
    </row>
    <row r="1092" spans="2:5">
      <c r="B1092" t="s">
        <v>29</v>
      </c>
      <c r="C1092" t="s">
        <v>2963</v>
      </c>
    </row>
    <row r="1093" spans="2:5">
      <c r="D1093" t="s">
        <v>2965</v>
      </c>
    </row>
    <row r="1094" spans="2:5">
      <c r="D1094" t="s">
        <v>2964</v>
      </c>
    </row>
    <row r="1096" spans="2:5">
      <c r="B1096" t="s">
        <v>2412</v>
      </c>
    </row>
    <row r="1097" spans="2:5">
      <c r="C1097" t="s">
        <v>2966</v>
      </c>
    </row>
    <row r="1099" spans="2:5">
      <c r="B1099" t="s">
        <v>2967</v>
      </c>
    </row>
    <row r="1100" spans="2:5">
      <c r="C1100" t="s">
        <v>2968</v>
      </c>
    </row>
    <row r="1101" spans="2:5">
      <c r="D1101" t="s">
        <v>2969</v>
      </c>
    </row>
    <row r="1102" spans="2:5">
      <c r="D1102" t="s">
        <v>2970</v>
      </c>
    </row>
    <row r="1103" spans="2:5">
      <c r="D1103" t="s">
        <v>2971</v>
      </c>
    </row>
    <row r="1104" spans="2:5">
      <c r="C1104" t="s">
        <v>2972</v>
      </c>
    </row>
    <row r="1105" spans="2:4">
      <c r="D1105" t="s">
        <v>2973</v>
      </c>
    </row>
    <row r="1106" spans="2:4">
      <c r="D1106" t="s">
        <v>2974</v>
      </c>
    </row>
    <row r="1107" spans="2:4">
      <c r="C1107" t="s">
        <v>2975</v>
      </c>
    </row>
    <row r="1109" spans="2:4">
      <c r="B1109" t="s">
        <v>2978</v>
      </c>
    </row>
    <row r="1110" spans="2:4">
      <c r="B1110" t="s">
        <v>2977</v>
      </c>
    </row>
    <row r="1111" spans="2:4">
      <c r="B1111" t="s">
        <v>2976</v>
      </c>
    </row>
    <row r="1113" spans="2:4">
      <c r="B1113" s="12" t="s">
        <v>3023</v>
      </c>
    </row>
    <row r="1115" spans="2:4">
      <c r="B1115" s="13" t="s">
        <v>469</v>
      </c>
    </row>
    <row r="1116" spans="2:4">
      <c r="B1116" t="s">
        <v>3024</v>
      </c>
      <c r="C1116" t="s">
        <v>3027</v>
      </c>
    </row>
    <row r="1117" spans="2:4">
      <c r="B1117" t="s">
        <v>3025</v>
      </c>
      <c r="C1117" t="s">
        <v>3028</v>
      </c>
    </row>
    <row r="1119" spans="2:4">
      <c r="B1119" s="13" t="s">
        <v>3026</v>
      </c>
    </row>
    <row r="1121" spans="2:2">
      <c r="B1121" s="513" t="s">
        <v>3162</v>
      </c>
    </row>
    <row r="1123" spans="2:2">
      <c r="B1123" s="12" t="s">
        <v>469</v>
      </c>
    </row>
    <row r="1125" spans="2:2">
      <c r="B1125" t="s">
        <v>3177</v>
      </c>
    </row>
    <row r="1126" spans="2:2">
      <c r="B1126" t="s">
        <v>3178</v>
      </c>
    </row>
    <row r="1127" spans="2:2">
      <c r="B1127" t="s">
        <v>3179</v>
      </c>
    </row>
    <row r="1128" spans="2:2">
      <c r="B1128" t="s">
        <v>3180</v>
      </c>
    </row>
    <row r="1129" spans="2:2">
      <c r="B1129" t="s">
        <v>3181</v>
      </c>
    </row>
    <row r="1130" spans="2:2">
      <c r="B1130" t="s">
        <v>3182</v>
      </c>
    </row>
    <row r="1131" spans="2:2">
      <c r="B1131" t="s">
        <v>3183</v>
      </c>
    </row>
    <row r="1132" spans="2:2">
      <c r="B1132" t="s">
        <v>3196</v>
      </c>
    </row>
    <row r="1133" spans="2:2">
      <c r="B1133" t="s">
        <v>3197</v>
      </c>
    </row>
    <row r="1134" spans="2:2">
      <c r="B1134" t="s">
        <v>3198</v>
      </c>
    </row>
    <row r="1135" spans="2:2">
      <c r="B1135" t="s">
        <v>3199</v>
      </c>
    </row>
    <row r="1136" spans="2:2">
      <c r="B1136" t="s">
        <v>3200</v>
      </c>
    </row>
    <row r="1138" spans="2:3">
      <c r="B1138" s="12" t="s">
        <v>29</v>
      </c>
    </row>
    <row r="1140" spans="2:3">
      <c r="B1140" t="s">
        <v>0</v>
      </c>
    </row>
    <row r="1141" spans="2:3">
      <c r="C1141" t="s">
        <v>3188</v>
      </c>
    </row>
    <row r="1142" spans="2:3">
      <c r="B1142" t="s">
        <v>32</v>
      </c>
    </row>
    <row r="1143" spans="2:3">
      <c r="C1143" t="s">
        <v>3184</v>
      </c>
    </row>
    <row r="1144" spans="2:3">
      <c r="C1144" t="s">
        <v>3185</v>
      </c>
    </row>
    <row r="1145" spans="2:3">
      <c r="C1145" t="s">
        <v>3187</v>
      </c>
    </row>
    <row r="1146" spans="2:3">
      <c r="B1146" t="s">
        <v>1415</v>
      </c>
      <c r="C1146" t="s">
        <v>3186</v>
      </c>
    </row>
    <row r="1148" spans="2:3">
      <c r="B1148" t="s">
        <v>2</v>
      </c>
    </row>
    <row r="1149" spans="2:3">
      <c r="C1149" t="s">
        <v>3189</v>
      </c>
    </row>
    <row r="1150" spans="2:3">
      <c r="C1150" t="s">
        <v>3206</v>
      </c>
    </row>
    <row r="1151" spans="2:3">
      <c r="C1151" t="s">
        <v>3207</v>
      </c>
    </row>
    <row r="1152" spans="2:3">
      <c r="C1152" t="s">
        <v>3208</v>
      </c>
    </row>
    <row r="1153" spans="2:4">
      <c r="D1153" t="s">
        <v>3209</v>
      </c>
    </row>
    <row r="1155" spans="2:4">
      <c r="B1155" t="s">
        <v>3190</v>
      </c>
    </row>
    <row r="1156" spans="2:4">
      <c r="C1156" t="s">
        <v>3191</v>
      </c>
    </row>
    <row r="1158" spans="2:4">
      <c r="B1158" s="12" t="s">
        <v>3192</v>
      </c>
    </row>
    <row r="1159" spans="2:4">
      <c r="B1159" t="s">
        <v>3193</v>
      </c>
    </row>
    <row r="1161" spans="2:4">
      <c r="B1161" s="13" t="s">
        <v>428</v>
      </c>
    </row>
    <row r="1162" spans="2:4">
      <c r="B1162" t="s">
        <v>32</v>
      </c>
      <c r="C1162" t="s">
        <v>3194</v>
      </c>
    </row>
    <row r="1163" spans="2:4">
      <c r="C1163" t="s">
        <v>3195</v>
      </c>
    </row>
    <row r="1165" spans="2:4">
      <c r="B1165" t="s">
        <v>3201</v>
      </c>
    </row>
    <row r="1166" spans="2:4">
      <c r="C1166" t="s">
        <v>3202</v>
      </c>
    </row>
    <row r="1167" spans="2:4">
      <c r="C1167" t="s">
        <v>3203</v>
      </c>
    </row>
    <row r="1168" spans="2:4">
      <c r="D1168" t="s">
        <v>3204</v>
      </c>
    </row>
    <row r="1169" spans="2:3">
      <c r="B1169" t="s">
        <v>3205</v>
      </c>
    </row>
    <row r="1173" spans="2:3">
      <c r="B1173" s="12" t="s">
        <v>3192</v>
      </c>
    </row>
    <row r="1174" spans="2:3">
      <c r="B1174" s="12"/>
    </row>
    <row r="1175" spans="2:3">
      <c r="B1175" s="12" t="s">
        <v>3257</v>
      </c>
    </row>
    <row r="1176" spans="2:3">
      <c r="B1176" s="12"/>
    </row>
    <row r="1177" spans="2:3">
      <c r="B1177" s="13" t="s">
        <v>3226</v>
      </c>
    </row>
    <row r="1179" spans="2:3">
      <c r="B1179" t="s">
        <v>3234</v>
      </c>
      <c r="C1179" t="s">
        <v>3231</v>
      </c>
    </row>
    <row r="1180" spans="2:3">
      <c r="C1180" t="s">
        <v>3225</v>
      </c>
    </row>
    <row r="1182" spans="2:3">
      <c r="B1182" t="s">
        <v>2412</v>
      </c>
      <c r="C1182" t="s">
        <v>3227</v>
      </c>
    </row>
    <row r="1183" spans="2:3">
      <c r="C1183" t="s">
        <v>3228</v>
      </c>
    </row>
    <row r="1184" spans="2:3">
      <c r="C1184" t="s">
        <v>3229</v>
      </c>
    </row>
    <row r="1186" spans="2:3">
      <c r="B1186" t="s">
        <v>3230</v>
      </c>
      <c r="C1186" t="s">
        <v>3232</v>
      </c>
    </row>
    <row r="1188" spans="2:3">
      <c r="B1188" t="s">
        <v>3233</v>
      </c>
      <c r="C1188" t="s">
        <v>3235</v>
      </c>
    </row>
    <row r="1189" spans="2:3">
      <c r="C1189" t="s">
        <v>3236</v>
      </c>
    </row>
    <row r="1190" spans="2:3">
      <c r="C1190" t="s">
        <v>3237</v>
      </c>
    </row>
    <row r="1192" spans="2:3">
      <c r="B1192" s="13" t="s">
        <v>3238</v>
      </c>
    </row>
    <row r="1193" spans="2:3">
      <c r="C1193" t="s">
        <v>3239</v>
      </c>
    </row>
    <row r="1194" spans="2:3">
      <c r="C1194" t="s">
        <v>3240</v>
      </c>
    </row>
    <row r="1195" spans="2:3">
      <c r="C1195" t="s">
        <v>3241</v>
      </c>
    </row>
    <row r="1196" spans="2:3">
      <c r="C1196" t="s">
        <v>3242</v>
      </c>
    </row>
    <row r="1198" spans="2:3">
      <c r="C1198" t="s">
        <v>3244</v>
      </c>
    </row>
    <row r="1199" spans="2:3">
      <c r="C1199" t="s">
        <v>3243</v>
      </c>
    </row>
    <row r="1201" spans="2:4">
      <c r="B1201" t="s">
        <v>1500</v>
      </c>
      <c r="C1201" t="s">
        <v>3245</v>
      </c>
    </row>
    <row r="1202" spans="2:4">
      <c r="C1202" t="s">
        <v>3246</v>
      </c>
    </row>
    <row r="1204" spans="2:4">
      <c r="B1204" t="s">
        <v>52</v>
      </c>
      <c r="C1204" t="s">
        <v>3247</v>
      </c>
    </row>
    <row r="1205" spans="2:4">
      <c r="C1205" t="s">
        <v>3248</v>
      </c>
    </row>
    <row r="1206" spans="2:4">
      <c r="D1206" t="s">
        <v>3249</v>
      </c>
    </row>
    <row r="1207" spans="2:4">
      <c r="C1207" t="s">
        <v>3250</v>
      </c>
    </row>
    <row r="1208" spans="2:4">
      <c r="C1208" t="s">
        <v>3251</v>
      </c>
    </row>
    <row r="1210" spans="2:4">
      <c r="C1210" t="s">
        <v>3252</v>
      </c>
    </row>
    <row r="1211" spans="2:4">
      <c r="D1211" t="s">
        <v>3253</v>
      </c>
    </row>
    <row r="1212" spans="2:4">
      <c r="C1212" t="s">
        <v>3254</v>
      </c>
    </row>
    <row r="1213" spans="2:4">
      <c r="C1213" t="s">
        <v>3255</v>
      </c>
    </row>
    <row r="1214" spans="2:4">
      <c r="C1214" t="s">
        <v>3256</v>
      </c>
    </row>
    <row r="1216" spans="2:4">
      <c r="B1216" t="s">
        <v>3258</v>
      </c>
      <c r="C1216" t="s">
        <v>3259</v>
      </c>
    </row>
    <row r="1217" spans="2:4">
      <c r="C1217" t="s">
        <v>3260</v>
      </c>
    </row>
    <row r="1219" spans="2:4">
      <c r="B1219" t="s">
        <v>3268</v>
      </c>
      <c r="C1219" t="s">
        <v>3261</v>
      </c>
    </row>
    <row r="1220" spans="2:4">
      <c r="C1220" t="s">
        <v>3263</v>
      </c>
    </row>
    <row r="1221" spans="2:4">
      <c r="C1221" t="s">
        <v>3262</v>
      </c>
    </row>
    <row r="1223" spans="2:4">
      <c r="C1223" t="s">
        <v>3264</v>
      </c>
      <c r="D1223" t="s">
        <v>3267</v>
      </c>
    </row>
    <row r="1224" spans="2:4">
      <c r="C1224" t="s">
        <v>2933</v>
      </c>
      <c r="D1224" t="s">
        <v>3265</v>
      </c>
    </row>
    <row r="1226" spans="2:4">
      <c r="C1226" t="s">
        <v>3266</v>
      </c>
    </row>
    <row r="1228" spans="2:4">
      <c r="B1228" t="s">
        <v>3269</v>
      </c>
      <c r="C1228" t="s">
        <v>3270</v>
      </c>
    </row>
    <row r="1229" spans="2:4">
      <c r="C1229" t="s">
        <v>3271</v>
      </c>
    </row>
    <row r="1230" spans="2:4">
      <c r="C1230" t="s">
        <v>3280</v>
      </c>
    </row>
    <row r="1232" spans="2:4">
      <c r="C1232" s="13" t="s">
        <v>3272</v>
      </c>
    </row>
    <row r="1233" spans="2:4">
      <c r="C1233" t="s">
        <v>3273</v>
      </c>
    </row>
    <row r="1234" spans="2:4">
      <c r="C1234" t="s">
        <v>3274</v>
      </c>
    </row>
    <row r="1235" spans="2:4">
      <c r="C1235" t="s">
        <v>3275</v>
      </c>
    </row>
    <row r="1236" spans="2:4">
      <c r="D1236" t="s">
        <v>3276</v>
      </c>
    </row>
    <row r="1237" spans="2:4">
      <c r="D1237" t="s">
        <v>3279</v>
      </c>
    </row>
    <row r="1238" spans="2:4">
      <c r="D1238" t="s">
        <v>3277</v>
      </c>
    </row>
    <row r="1239" spans="2:4">
      <c r="D1239" t="s">
        <v>3278</v>
      </c>
    </row>
    <row r="1241" spans="2:4">
      <c r="B1241" t="s">
        <v>1498</v>
      </c>
      <c r="C1241" t="s">
        <v>3281</v>
      </c>
    </row>
    <row r="1242" spans="2:4">
      <c r="C1242" t="s">
        <v>3282</v>
      </c>
    </row>
    <row r="1243" spans="2:4">
      <c r="C1243" t="s">
        <v>3283</v>
      </c>
    </row>
    <row r="1244" spans="2:4">
      <c r="C1244" t="s">
        <v>3284</v>
      </c>
    </row>
    <row r="1245" spans="2:4">
      <c r="C1245" t="s">
        <v>3285</v>
      </c>
    </row>
    <row r="1246" spans="2:4">
      <c r="C1246" t="s">
        <v>3286</v>
      </c>
    </row>
    <row r="1247" spans="2:4">
      <c r="C1247" t="s">
        <v>3287</v>
      </c>
    </row>
    <row r="1249" spans="2:4">
      <c r="C1249" t="s">
        <v>3288</v>
      </c>
    </row>
    <row r="1250" spans="2:4">
      <c r="D1250" t="s">
        <v>3289</v>
      </c>
    </row>
    <row r="1251" spans="2:4">
      <c r="D1251" t="s">
        <v>3290</v>
      </c>
    </row>
    <row r="1252" spans="2:4">
      <c r="D1252" t="s">
        <v>3291</v>
      </c>
    </row>
    <row r="1253" spans="2:4">
      <c r="D1253" t="s">
        <v>3292</v>
      </c>
    </row>
    <row r="1255" spans="2:4">
      <c r="B1255" t="s">
        <v>3293</v>
      </c>
      <c r="C1255" t="s">
        <v>3294</v>
      </c>
    </row>
    <row r="1256" spans="2:4">
      <c r="C1256" t="s">
        <v>3295</v>
      </c>
    </row>
    <row r="1257" spans="2:4">
      <c r="C1257" t="s">
        <v>3296</v>
      </c>
    </row>
    <row r="1258" spans="2:4">
      <c r="C1258" t="s">
        <v>3297</v>
      </c>
    </row>
    <row r="1259" spans="2:4">
      <c r="C1259" t="s">
        <v>3298</v>
      </c>
    </row>
    <row r="1260" spans="2:4">
      <c r="C1260" t="s">
        <v>3299</v>
      </c>
    </row>
    <row r="1262" spans="2:4">
      <c r="B1262" t="s">
        <v>1498</v>
      </c>
      <c r="C1262" t="s">
        <v>3300</v>
      </c>
    </row>
    <row r="1263" spans="2:4">
      <c r="C1263" t="s">
        <v>3301</v>
      </c>
    </row>
    <row r="1265" spans="2:4">
      <c r="B1265" t="s">
        <v>1499</v>
      </c>
      <c r="C1265" t="s">
        <v>3303</v>
      </c>
    </row>
    <row r="1266" spans="2:4">
      <c r="C1266" t="s">
        <v>3304</v>
      </c>
    </row>
    <row r="1267" spans="2:4">
      <c r="C1267" t="s">
        <v>3302</v>
      </c>
    </row>
    <row r="1268" spans="2:4">
      <c r="C1268" t="s">
        <v>3305</v>
      </c>
    </row>
    <row r="1270" spans="2:4">
      <c r="C1270" t="s">
        <v>3306</v>
      </c>
    </row>
    <row r="1271" spans="2:4">
      <c r="D1271" t="s">
        <v>3307</v>
      </c>
    </row>
    <row r="1273" spans="2:4">
      <c r="B1273" t="s">
        <v>3308</v>
      </c>
      <c r="C1273" t="s">
        <v>3309</v>
      </c>
    </row>
    <row r="1274" spans="2:4">
      <c r="C1274" t="s">
        <v>3310</v>
      </c>
    </row>
    <row r="1275" spans="2:4">
      <c r="D1275" t="s">
        <v>3311</v>
      </c>
    </row>
    <row r="1276" spans="2:4">
      <c r="D1276" t="s">
        <v>3312</v>
      </c>
    </row>
    <row r="1277" spans="2:4">
      <c r="D1277" t="s">
        <v>3313</v>
      </c>
    </row>
    <row r="1279" spans="2:4">
      <c r="B1279" t="s">
        <v>2281</v>
      </c>
      <c r="C1279" t="s">
        <v>3314</v>
      </c>
    </row>
    <row r="1280" spans="2:4">
      <c r="C1280" t="s">
        <v>3315</v>
      </c>
    </row>
    <row r="1281" spans="2:6">
      <c r="C1281" t="s">
        <v>3316</v>
      </c>
    </row>
    <row r="1282" spans="2:6">
      <c r="C1282" t="s">
        <v>3317</v>
      </c>
    </row>
    <row r="1284" spans="2:6">
      <c r="B1284" t="s">
        <v>1498</v>
      </c>
      <c r="C1284" t="s">
        <v>3318</v>
      </c>
    </row>
    <row r="1285" spans="2:6">
      <c r="D1285" t="s">
        <v>3319</v>
      </c>
    </row>
    <row r="1286" spans="2:6">
      <c r="D1286" t="s">
        <v>3320</v>
      </c>
    </row>
    <row r="1287" spans="2:6">
      <c r="C1287" t="s">
        <v>3321</v>
      </c>
    </row>
    <row r="1289" spans="2:6">
      <c r="B1289" t="s">
        <v>3322</v>
      </c>
      <c r="C1289" t="s">
        <v>3323</v>
      </c>
    </row>
    <row r="1290" spans="2:6">
      <c r="D1290" t="s">
        <v>3324</v>
      </c>
    </row>
    <row r="1291" spans="2:6">
      <c r="C1291" t="s">
        <v>3326</v>
      </c>
      <c r="D1291" t="s">
        <v>3325</v>
      </c>
    </row>
    <row r="1292" spans="2:6">
      <c r="C1292" t="s">
        <v>2899</v>
      </c>
      <c r="D1292" t="s">
        <v>3327</v>
      </c>
    </row>
    <row r="1293" spans="2:6">
      <c r="E1293" t="s">
        <v>3328</v>
      </c>
    </row>
    <row r="1294" spans="2:6">
      <c r="F1294" t="s">
        <v>3329</v>
      </c>
    </row>
    <row r="1295" spans="2:6">
      <c r="C1295" t="s">
        <v>3330</v>
      </c>
    </row>
    <row r="1297" spans="2:7">
      <c r="B1297" s="12" t="s">
        <v>3332</v>
      </c>
      <c r="C1297" t="s">
        <v>3333</v>
      </c>
      <c r="D1297" s="801">
        <v>43095</v>
      </c>
    </row>
    <row r="1298" spans="2:7">
      <c r="C1298" t="s">
        <v>3334</v>
      </c>
      <c r="D1298" s="801">
        <v>43098</v>
      </c>
    </row>
    <row r="1299" spans="2:7">
      <c r="C1299" t="s">
        <v>3335</v>
      </c>
      <c r="D1299" s="801">
        <v>42737</v>
      </c>
    </row>
    <row r="1301" spans="2:7">
      <c r="C1301" s="3"/>
      <c r="D1301" s="3"/>
      <c r="E1301" s="3"/>
      <c r="F1301" s="3"/>
      <c r="G1301" s="4" t="s">
        <v>44</v>
      </c>
    </row>
    <row r="1302" spans="2:7" outlineLevel="1">
      <c r="B1302" t="s">
        <v>3336</v>
      </c>
      <c r="C1302" t="s">
        <v>3337</v>
      </c>
      <c r="G1302">
        <v>4.5</v>
      </c>
    </row>
    <row r="1303" spans="2:7" outlineLevel="1">
      <c r="C1303" s="8" t="s">
        <v>3338</v>
      </c>
    </row>
    <row r="1304" spans="2:7" outlineLevel="1">
      <c r="C1304" t="s">
        <v>3341</v>
      </c>
      <c r="G1304">
        <v>2.5</v>
      </c>
    </row>
    <row r="1305" spans="2:7" outlineLevel="1">
      <c r="C1305" s="8" t="s">
        <v>3342</v>
      </c>
    </row>
    <row r="1306" spans="2:7" outlineLevel="1">
      <c r="C1306" t="s">
        <v>3339</v>
      </c>
    </row>
    <row r="1307" spans="2:7" outlineLevel="1">
      <c r="C1307" s="9" t="s">
        <v>3340</v>
      </c>
      <c r="D1307" s="3"/>
      <c r="E1307" s="3"/>
      <c r="F1307" s="3"/>
      <c r="G1307" s="3">
        <v>2.5</v>
      </c>
    </row>
    <row r="1308" spans="2:7">
      <c r="G1308">
        <f>G1302+G1304+G1307</f>
        <v>9.5</v>
      </c>
    </row>
    <row r="1309" spans="2:7">
      <c r="B1309" s="12" t="s">
        <v>3375</v>
      </c>
    </row>
    <row r="1310" spans="2:7">
      <c r="B1310" s="12"/>
      <c r="C1310" s="13" t="s">
        <v>3372</v>
      </c>
    </row>
    <row r="1311" spans="2:7">
      <c r="C1311" t="s">
        <v>3366</v>
      </c>
    </row>
    <row r="1313" spans="3:11">
      <c r="C1313" s="13" t="s">
        <v>2720</v>
      </c>
    </row>
    <row r="1314" spans="3:11">
      <c r="C1314" t="s">
        <v>3367</v>
      </c>
    </row>
    <row r="1315" spans="3:11">
      <c r="D1315" t="s">
        <v>3368</v>
      </c>
    </row>
    <row r="1316" spans="3:11">
      <c r="C1316" t="s">
        <v>3371</v>
      </c>
    </row>
    <row r="1318" spans="3:11">
      <c r="C1318" t="s">
        <v>3369</v>
      </c>
      <c r="D1318">
        <v>2017</v>
      </c>
    </row>
    <row r="1320" spans="3:11">
      <c r="C1320" s="84">
        <f>1367-14.5</f>
        <v>1352.5</v>
      </c>
      <c r="D1320" t="s">
        <v>3370</v>
      </c>
    </row>
    <row r="1322" spans="3:11">
      <c r="C1322" t="s">
        <v>3373</v>
      </c>
      <c r="E1322" t="s">
        <v>3374</v>
      </c>
      <c r="F1322">
        <v>1440</v>
      </c>
    </row>
    <row r="1323" spans="3:11">
      <c r="F1323">
        <f>F1322-12</f>
        <v>1428</v>
      </c>
    </row>
    <row r="1324" spans="3:11">
      <c r="F1324" s="16">
        <f>F1323-14.5</f>
        <v>1413.5</v>
      </c>
    </row>
    <row r="1325" spans="3:11">
      <c r="F1325" s="16"/>
    </row>
    <row r="1326" spans="3:11" outlineLevel="1">
      <c r="C1326" t="s">
        <v>3065</v>
      </c>
      <c r="D1326">
        <v>738500</v>
      </c>
      <c r="E1326" t="s">
        <v>3378</v>
      </c>
      <c r="F1326" t="s">
        <v>3379</v>
      </c>
    </row>
    <row r="1327" spans="3:11" outlineLevel="1">
      <c r="D1327">
        <v>804000</v>
      </c>
      <c r="E1327" t="s">
        <v>3376</v>
      </c>
      <c r="F1327" t="s">
        <v>3377</v>
      </c>
      <c r="K1327" t="s">
        <v>72</v>
      </c>
    </row>
    <row r="1328" spans="3:11">
      <c r="D1328" s="5">
        <f>D1326/D1327-1</f>
        <v>-8.1467661691542292E-2</v>
      </c>
    </row>
    <row r="1329" spans="2:5">
      <c r="B1329" t="s">
        <v>72</v>
      </c>
    </row>
    <row r="1330" spans="2:5">
      <c r="C1330" t="s">
        <v>3380</v>
      </c>
    </row>
    <row r="1331" spans="2:5">
      <c r="C1331" t="s">
        <v>3381</v>
      </c>
    </row>
    <row r="1333" spans="2:5">
      <c r="C1333" t="s">
        <v>3382</v>
      </c>
      <c r="D1333" t="s">
        <v>3383</v>
      </c>
    </row>
    <row r="1334" spans="2:5">
      <c r="E1334" t="s">
        <v>3385</v>
      </c>
    </row>
    <row r="1335" spans="2:5">
      <c r="E1335" t="s">
        <v>3386</v>
      </c>
    </row>
    <row r="1336" spans="2:5">
      <c r="D1336" t="s">
        <v>3384</v>
      </c>
    </row>
    <row r="1337" spans="2:5">
      <c r="C1337" t="s">
        <v>3387</v>
      </c>
    </row>
    <row r="1338" spans="2:5">
      <c r="D1338" t="s">
        <v>3388</v>
      </c>
    </row>
    <row r="1340" spans="2:5">
      <c r="B1340" s="513" t="s">
        <v>3392</v>
      </c>
    </row>
    <row r="1342" spans="2:5">
      <c r="B1342" t="s">
        <v>3393</v>
      </c>
    </row>
    <row r="1343" spans="2:5">
      <c r="B1343" t="s">
        <v>3394</v>
      </c>
    </row>
    <row r="1344" spans="2:5">
      <c r="B1344" t="s">
        <v>2639</v>
      </c>
    </row>
    <row r="1345" spans="2:2">
      <c r="B1345" t="s">
        <v>3396</v>
      </c>
    </row>
    <row r="1346" spans="2:2">
      <c r="B1346" t="s">
        <v>3399</v>
      </c>
    </row>
    <row r="1347" spans="2:2">
      <c r="B1347" t="s">
        <v>3401</v>
      </c>
    </row>
    <row r="1348" spans="2:2">
      <c r="B1348" t="s">
        <v>3402</v>
      </c>
    </row>
    <row r="1350" spans="2:2">
      <c r="B1350" t="s">
        <v>3395</v>
      </c>
    </row>
    <row r="1353" spans="2:2">
      <c r="B1353" t="s">
        <v>3400</v>
      </c>
    </row>
    <row r="1355" spans="2:2">
      <c r="B1355" t="s">
        <v>984</v>
      </c>
    </row>
    <row r="1356" spans="2:2">
      <c r="B1356" t="s">
        <v>3399</v>
      </c>
    </row>
    <row r="1357" spans="2:2">
      <c r="B1357" t="s">
        <v>3397</v>
      </c>
    </row>
    <row r="1358" spans="2:2">
      <c r="B1358" t="s">
        <v>3398</v>
      </c>
    </row>
    <row r="1360" spans="2:2">
      <c r="B1360" t="s">
        <v>3406</v>
      </c>
    </row>
    <row r="1361" spans="2:3">
      <c r="B1361" t="s">
        <v>3403</v>
      </c>
    </row>
    <row r="1362" spans="2:3">
      <c r="C1362" t="s">
        <v>3404</v>
      </c>
    </row>
    <row r="1363" spans="2:3">
      <c r="B1363" t="s">
        <v>3405</v>
      </c>
    </row>
    <row r="1365" spans="2:3">
      <c r="B1365" t="s">
        <v>3407</v>
      </c>
    </row>
    <row r="1366" spans="2:3">
      <c r="C1366" t="s">
        <v>3408</v>
      </c>
    </row>
    <row r="1367" spans="2:3">
      <c r="C1367" t="s">
        <v>3409</v>
      </c>
    </row>
    <row r="1368" spans="2:3">
      <c r="B1368" s="13" t="s">
        <v>428</v>
      </c>
    </row>
    <row r="1369" spans="2:3">
      <c r="B1369" t="s">
        <v>3410</v>
      </c>
    </row>
    <row r="1370" spans="2:3">
      <c r="B1370" t="s">
        <v>3411</v>
      </c>
    </row>
    <row r="1371" spans="2:3">
      <c r="C1371" t="s">
        <v>3412</v>
      </c>
    </row>
    <row r="1372" spans="2:3">
      <c r="C1372" t="s">
        <v>3413</v>
      </c>
    </row>
    <row r="1374" spans="2:3">
      <c r="B1374" t="s">
        <v>0</v>
      </c>
    </row>
    <row r="1375" spans="2:3">
      <c r="C1375" t="s">
        <v>3414</v>
      </c>
    </row>
    <row r="1377" spans="2:7">
      <c r="B1377" s="84">
        <v>2018</v>
      </c>
    </row>
    <row r="1378" spans="2:7">
      <c r="C1378" t="s">
        <v>3415</v>
      </c>
    </row>
    <row r="1379" spans="2:7">
      <c r="C1379" t="s">
        <v>3416</v>
      </c>
      <c r="D1379" s="5">
        <v>0.06</v>
      </c>
      <c r="E1379" t="s">
        <v>3417</v>
      </c>
    </row>
    <row r="1380" spans="2:7">
      <c r="E1380">
        <v>110</v>
      </c>
      <c r="F1380" t="s">
        <v>3418</v>
      </c>
      <c r="G1380" t="s">
        <v>3419</v>
      </c>
    </row>
    <row r="1381" spans="2:7">
      <c r="B1381" t="s">
        <v>3420</v>
      </c>
    </row>
    <row r="1382" spans="2:7">
      <c r="C1382" t="s">
        <v>3421</v>
      </c>
    </row>
    <row r="1383" spans="2:7">
      <c r="C1383" t="s">
        <v>3422</v>
      </c>
    </row>
    <row r="1384" spans="2:7">
      <c r="C1384" t="s">
        <v>3423</v>
      </c>
    </row>
    <row r="1386" spans="2:7">
      <c r="B1386" t="s">
        <v>3424</v>
      </c>
    </row>
    <row r="1388" spans="2:7">
      <c r="B1388" s="13" t="s">
        <v>984</v>
      </c>
    </row>
    <row r="1389" spans="2:7">
      <c r="B1389" t="s">
        <v>3425</v>
      </c>
    </row>
    <row r="1391" spans="2:7">
      <c r="B1391" t="s">
        <v>3426</v>
      </c>
    </row>
    <row r="1392" spans="2:7">
      <c r="C1392" t="s">
        <v>3427</v>
      </c>
    </row>
    <row r="1393" spans="2:3">
      <c r="C1393" t="s">
        <v>3428</v>
      </c>
    </row>
    <row r="1394" spans="2:3">
      <c r="C1394" t="s">
        <v>3429</v>
      </c>
    </row>
    <row r="1396" spans="2:3">
      <c r="B1396" t="s">
        <v>3430</v>
      </c>
    </row>
    <row r="1397" spans="2:3">
      <c r="C1397" t="s">
        <v>3431</v>
      </c>
    </row>
    <row r="1398" spans="2:3">
      <c r="C1398" t="s">
        <v>3432</v>
      </c>
    </row>
    <row r="1399" spans="2:3">
      <c r="C1399" t="s">
        <v>3433</v>
      </c>
    </row>
    <row r="1401" spans="2:3">
      <c r="B1401" t="s">
        <v>3434</v>
      </c>
    </row>
    <row r="1402" spans="2:3">
      <c r="C1402" t="s">
        <v>3435</v>
      </c>
    </row>
    <row r="1403" spans="2:3">
      <c r="C1403" t="s">
        <v>3436</v>
      </c>
    </row>
    <row r="1405" spans="2:3">
      <c r="B1405" s="13" t="s">
        <v>3450</v>
      </c>
    </row>
    <row r="1406" spans="2:3">
      <c r="B1406" t="s">
        <v>3451</v>
      </c>
    </row>
    <row r="1407" spans="2:3">
      <c r="B1407" t="s">
        <v>3458</v>
      </c>
    </row>
    <row r="1408" spans="2:3">
      <c r="C1408" t="s">
        <v>3459</v>
      </c>
    </row>
    <row r="1409" spans="2:6">
      <c r="C1409" t="s">
        <v>3460</v>
      </c>
    </row>
    <row r="1410" spans="2:6">
      <c r="C1410" t="s">
        <v>3461</v>
      </c>
      <c r="E1410">
        <f>14*12</f>
        <v>168</v>
      </c>
      <c r="F1410" t="s">
        <v>3462</v>
      </c>
    </row>
    <row r="1411" spans="2:6">
      <c r="B1411" t="s">
        <v>3449</v>
      </c>
    </row>
    <row r="1413" spans="2:6">
      <c r="B1413" t="s">
        <v>3453</v>
      </c>
    </row>
    <row r="1414" spans="2:6">
      <c r="C1414" s="488" t="s">
        <v>3463</v>
      </c>
    </row>
    <row r="1415" spans="2:6">
      <c r="B1415" t="s">
        <v>3454</v>
      </c>
    </row>
    <row r="1416" spans="2:6">
      <c r="C1416" s="491">
        <v>0.06</v>
      </c>
    </row>
    <row r="1417" spans="2:6">
      <c r="B1417" t="s">
        <v>3452</v>
      </c>
    </row>
    <row r="1418" spans="2:6">
      <c r="C1418" t="s">
        <v>3467</v>
      </c>
    </row>
    <row r="1419" spans="2:6">
      <c r="C1419" t="s">
        <v>3464</v>
      </c>
    </row>
    <row r="1420" spans="2:6">
      <c r="C1420" t="s">
        <v>3465</v>
      </c>
    </row>
    <row r="1421" spans="2:6">
      <c r="C1421" t="s">
        <v>3466</v>
      </c>
    </row>
    <row r="1422" spans="2:6">
      <c r="B1422" t="s">
        <v>3457</v>
      </c>
    </row>
    <row r="1423" spans="2:6">
      <c r="C1423" t="s">
        <v>3468</v>
      </c>
    </row>
    <row r="1424" spans="2:6">
      <c r="B1424" t="s">
        <v>3469</v>
      </c>
    </row>
    <row r="1425" spans="2:4">
      <c r="C1425" t="s">
        <v>3470</v>
      </c>
    </row>
    <row r="1427" spans="2:4">
      <c r="B1427" s="513" t="s">
        <v>3482</v>
      </c>
    </row>
    <row r="1428" spans="2:4">
      <c r="B1428" t="s">
        <v>3483</v>
      </c>
    </row>
    <row r="1429" spans="2:4">
      <c r="B1429" t="s">
        <v>0</v>
      </c>
    </row>
    <row r="1430" spans="2:4">
      <c r="C1430" t="s">
        <v>3484</v>
      </c>
    </row>
    <row r="1431" spans="2:4">
      <c r="C1431" t="s">
        <v>3485</v>
      </c>
    </row>
    <row r="1432" spans="2:4">
      <c r="C1432" t="s">
        <v>3486</v>
      </c>
    </row>
    <row r="1433" spans="2:4">
      <c r="C1433" t="s">
        <v>3487</v>
      </c>
    </row>
    <row r="1434" spans="2:4">
      <c r="D1434" t="s">
        <v>3488</v>
      </c>
    </row>
    <row r="1435" spans="2:4">
      <c r="C1435" t="s">
        <v>3489</v>
      </c>
    </row>
    <row r="1436" spans="2:4">
      <c r="D1436" t="s">
        <v>3490</v>
      </c>
    </row>
    <row r="1437" spans="2:4">
      <c r="C1437" t="s">
        <v>3491</v>
      </c>
    </row>
    <row r="1439" spans="2:4">
      <c r="B1439" t="s">
        <v>469</v>
      </c>
    </row>
    <row r="1440" spans="2:4">
      <c r="C1440" t="s">
        <v>3492</v>
      </c>
    </row>
    <row r="1442" spans="2:4">
      <c r="B1442" s="513" t="s">
        <v>3493</v>
      </c>
    </row>
    <row r="1444" spans="2:4">
      <c r="B1444" t="s">
        <v>3494</v>
      </c>
    </row>
    <row r="1445" spans="2:4">
      <c r="C1445" t="s">
        <v>3495</v>
      </c>
    </row>
    <row r="1446" spans="2:4">
      <c r="B1446" t="s">
        <v>3496</v>
      </c>
    </row>
    <row r="1448" spans="2:4">
      <c r="B1448" t="s">
        <v>3497</v>
      </c>
    </row>
    <row r="1449" spans="2:4">
      <c r="C1449" t="s">
        <v>3498</v>
      </c>
    </row>
    <row r="1450" spans="2:4">
      <c r="D1450" t="s">
        <v>3499</v>
      </c>
    </row>
    <row r="1451" spans="2:4">
      <c r="D1451" t="s">
        <v>3500</v>
      </c>
    </row>
    <row r="1452" spans="2:4">
      <c r="C1452" t="s">
        <v>3501</v>
      </c>
    </row>
    <row r="1453" spans="2:4">
      <c r="D1453" t="s">
        <v>3502</v>
      </c>
    </row>
    <row r="1454" spans="2:4">
      <c r="D1454" t="s">
        <v>3503</v>
      </c>
    </row>
    <row r="1456" spans="2:4">
      <c r="D1456" t="s">
        <v>3504</v>
      </c>
    </row>
    <row r="1457" spans="2:5">
      <c r="D1457" t="s">
        <v>3505</v>
      </c>
      <c r="E1457" t="s">
        <v>3506</v>
      </c>
    </row>
    <row r="1458" spans="2:5">
      <c r="B1458" t="s">
        <v>3507</v>
      </c>
    </row>
    <row r="1459" spans="2:5">
      <c r="C1459" t="s">
        <v>3508</v>
      </c>
    </row>
    <row r="1460" spans="2:5">
      <c r="C1460" t="s">
        <v>3509</v>
      </c>
    </row>
    <row r="1461" spans="2:5">
      <c r="B1461" t="s">
        <v>3510</v>
      </c>
    </row>
    <row r="1462" spans="2:5">
      <c r="C1462" t="s">
        <v>3511</v>
      </c>
    </row>
    <row r="1463" spans="2:5">
      <c r="D1463" t="s">
        <v>3512</v>
      </c>
    </row>
    <row r="1464" spans="2:5">
      <c r="D1464" t="s">
        <v>3513</v>
      </c>
    </row>
    <row r="1465" spans="2:5">
      <c r="B1465" t="s">
        <v>3514</v>
      </c>
    </row>
    <row r="1467" spans="2:5">
      <c r="B1467" s="13" t="s">
        <v>3515</v>
      </c>
    </row>
    <row r="1468" spans="2:5">
      <c r="B1468" t="s">
        <v>3516</v>
      </c>
    </row>
    <row r="1469" spans="2:5">
      <c r="C1469" t="s">
        <v>3517</v>
      </c>
    </row>
    <row r="1470" spans="2:5">
      <c r="C1470" t="s">
        <v>3518</v>
      </c>
    </row>
    <row r="1471" spans="2:5">
      <c r="C1471" t="s">
        <v>3540</v>
      </c>
    </row>
    <row r="1472" spans="2:5">
      <c r="C1472" t="s">
        <v>3541</v>
      </c>
    </row>
    <row r="1473" spans="2:4">
      <c r="C1473" t="s">
        <v>3542</v>
      </c>
    </row>
    <row r="1474" spans="2:4">
      <c r="C1474" t="s">
        <v>3543</v>
      </c>
    </row>
    <row r="1476" spans="2:4">
      <c r="B1476" t="s">
        <v>3520</v>
      </c>
    </row>
    <row r="1477" spans="2:4">
      <c r="C1477" t="s">
        <v>3519</v>
      </c>
    </row>
    <row r="1478" spans="2:4">
      <c r="C1478" t="s">
        <v>3521</v>
      </c>
    </row>
    <row r="1479" spans="2:4">
      <c r="D1479" t="s">
        <v>3522</v>
      </c>
    </row>
    <row r="1480" spans="2:4">
      <c r="C1480" t="s">
        <v>3523</v>
      </c>
    </row>
    <row r="1481" spans="2:4">
      <c r="C1481" t="s">
        <v>3525</v>
      </c>
    </row>
    <row r="1482" spans="2:4">
      <c r="D1482" t="s">
        <v>3524</v>
      </c>
    </row>
    <row r="1484" spans="2:4">
      <c r="B1484" t="s">
        <v>3526</v>
      </c>
    </row>
    <row r="1485" spans="2:4">
      <c r="C1485" t="s">
        <v>3527</v>
      </c>
    </row>
    <row r="1486" spans="2:4">
      <c r="C1486" t="s">
        <v>3528</v>
      </c>
    </row>
    <row r="1487" spans="2:4">
      <c r="D1487" t="s">
        <v>3529</v>
      </c>
    </row>
    <row r="1489" spans="2:3">
      <c r="B1489" t="s">
        <v>3530</v>
      </c>
    </row>
    <row r="1490" spans="2:3">
      <c r="C1490" t="s">
        <v>3531</v>
      </c>
    </row>
    <row r="1492" spans="2:3">
      <c r="B1492" t="s">
        <v>1365</v>
      </c>
    </row>
    <row r="1493" spans="2:3">
      <c r="C1493" t="s">
        <v>3532</v>
      </c>
    </row>
    <row r="1494" spans="2:3">
      <c r="C1494" t="s">
        <v>3533</v>
      </c>
    </row>
    <row r="1496" spans="2:3">
      <c r="B1496" t="s">
        <v>1479</v>
      </c>
    </row>
    <row r="1497" spans="2:3">
      <c r="C1497" t="s">
        <v>3534</v>
      </c>
    </row>
    <row r="1498" spans="2:3">
      <c r="C1498" t="s">
        <v>3535</v>
      </c>
    </row>
    <row r="1500" spans="2:3">
      <c r="B1500" t="s">
        <v>33</v>
      </c>
    </row>
    <row r="1501" spans="2:3">
      <c r="C1501" t="s">
        <v>3536</v>
      </c>
    </row>
    <row r="1503" spans="2:3">
      <c r="B1503" t="s">
        <v>2639</v>
      </c>
    </row>
    <row r="1504" spans="2:3">
      <c r="C1504" t="s">
        <v>3537</v>
      </c>
    </row>
    <row r="1505" spans="2:4">
      <c r="D1505" t="s">
        <v>3538</v>
      </c>
    </row>
    <row r="1506" spans="2:4">
      <c r="C1506" t="s">
        <v>3539</v>
      </c>
    </row>
    <row r="1508" spans="2:4">
      <c r="B1508" s="513" t="s">
        <v>3545</v>
      </c>
    </row>
    <row r="1510" spans="2:4">
      <c r="B1510" t="s">
        <v>19</v>
      </c>
      <c r="D1510" s="80" t="s">
        <v>29</v>
      </c>
    </row>
    <row r="1511" spans="2:4" outlineLevel="1">
      <c r="C1511" s="84">
        <v>2017</v>
      </c>
      <c r="D1511">
        <f>21-D1512</f>
        <v>13</v>
      </c>
    </row>
    <row r="1512" spans="2:4" outlineLevel="1">
      <c r="C1512" t="s">
        <v>3548</v>
      </c>
      <c r="D1512">
        <v>8</v>
      </c>
    </row>
    <row r="1513" spans="2:4">
      <c r="C1513" t="s">
        <v>3549</v>
      </c>
      <c r="D1513">
        <f>50-D1511-D1512</f>
        <v>29</v>
      </c>
    </row>
    <row r="1515" spans="2:4">
      <c r="B1515" t="s">
        <v>3550</v>
      </c>
    </row>
    <row r="1516" spans="2:4">
      <c r="C1516" t="s">
        <v>3551</v>
      </c>
    </row>
    <row r="1518" spans="2:4">
      <c r="B1518" s="13" t="s">
        <v>3554</v>
      </c>
    </row>
    <row r="1520" spans="2:4">
      <c r="B1520" t="s">
        <v>3546</v>
      </c>
    </row>
    <row r="1521" spans="1:3">
      <c r="C1521" t="s">
        <v>3547</v>
      </c>
    </row>
    <row r="1522" spans="1:3">
      <c r="C1522" t="s">
        <v>3564</v>
      </c>
    </row>
    <row r="1523" spans="1:3">
      <c r="B1523" t="s">
        <v>3559</v>
      </c>
    </row>
    <row r="1524" spans="1:3">
      <c r="C1524" t="s">
        <v>3563</v>
      </c>
    </row>
    <row r="1525" spans="1:3">
      <c r="B1525" t="s">
        <v>3561</v>
      </c>
    </row>
    <row r="1526" spans="1:3">
      <c r="C1526" t="s">
        <v>3562</v>
      </c>
    </row>
    <row r="1527" spans="1:3">
      <c r="B1527" t="s">
        <v>3555</v>
      </c>
    </row>
    <row r="1528" spans="1:3">
      <c r="C1528" t="s">
        <v>3560</v>
      </c>
    </row>
    <row r="1529" spans="1:3">
      <c r="C1529" t="s">
        <v>3556</v>
      </c>
    </row>
    <row r="1530" spans="1:3">
      <c r="A1530" t="s">
        <v>72</v>
      </c>
    </row>
    <row r="1531" spans="1:3">
      <c r="B1531" t="s">
        <v>3565</v>
      </c>
    </row>
    <row r="1533" spans="1:3">
      <c r="B1533" t="s">
        <v>3566</v>
      </c>
    </row>
    <row r="1535" spans="1:3">
      <c r="B1535" t="s">
        <v>3569</v>
      </c>
    </row>
    <row r="1537" spans="2:3">
      <c r="B1537" t="s">
        <v>3572</v>
      </c>
    </row>
    <row r="1539" spans="2:3">
      <c r="B1539" t="s">
        <v>3581</v>
      </c>
    </row>
    <row r="1541" spans="2:3">
      <c r="B1541" s="13" t="s">
        <v>3493</v>
      </c>
    </row>
    <row r="1542" spans="2:3">
      <c r="B1542" t="s">
        <v>3567</v>
      </c>
    </row>
    <row r="1543" spans="2:3">
      <c r="B1543" t="s">
        <v>3568</v>
      </c>
    </row>
    <row r="1544" spans="2:3">
      <c r="B1544" t="s">
        <v>3570</v>
      </c>
    </row>
    <row r="1545" spans="2:3">
      <c r="B1545" t="s">
        <v>3571</v>
      </c>
    </row>
    <row r="1547" spans="2:3">
      <c r="B1547" s="13" t="s">
        <v>3573</v>
      </c>
    </row>
    <row r="1548" spans="2:3">
      <c r="B1548" t="s">
        <v>3574</v>
      </c>
    </row>
    <row r="1549" spans="2:3">
      <c r="C1549" t="s">
        <v>3575</v>
      </c>
    </row>
    <row r="1550" spans="2:3">
      <c r="B1550" t="s">
        <v>3576</v>
      </c>
    </row>
    <row r="1551" spans="2:3">
      <c r="C1551" t="s">
        <v>3577</v>
      </c>
    </row>
    <row r="1552" spans="2:3">
      <c r="B1552" t="s">
        <v>1919</v>
      </c>
    </row>
    <row r="1553" spans="2:3">
      <c r="C1553" t="s">
        <v>3578</v>
      </c>
    </row>
    <row r="1554" spans="2:3">
      <c r="C1554" t="s">
        <v>3579</v>
      </c>
    </row>
    <row r="1555" spans="2:3">
      <c r="C1555" t="s">
        <v>3580</v>
      </c>
    </row>
    <row r="1557" spans="2:3">
      <c r="B1557" t="s">
        <v>377</v>
      </c>
      <c r="C1557" t="s">
        <v>3582</v>
      </c>
    </row>
    <row r="1559" spans="2:3">
      <c r="B1559" t="s">
        <v>3583</v>
      </c>
      <c r="C1559" t="s">
        <v>3584</v>
      </c>
    </row>
    <row r="1560" spans="2:3">
      <c r="C1560" t="s">
        <v>3585</v>
      </c>
    </row>
    <row r="1562" spans="2:3">
      <c r="B1562" s="13" t="s">
        <v>428</v>
      </c>
    </row>
    <row r="1564" spans="2:3">
      <c r="B1564" t="s">
        <v>3586</v>
      </c>
    </row>
    <row r="1565" spans="2:3">
      <c r="C1565" t="s">
        <v>3587</v>
      </c>
    </row>
    <row r="1566" spans="2:3">
      <c r="B1566" t="s">
        <v>0</v>
      </c>
    </row>
    <row r="1567" spans="2:3">
      <c r="C1567" t="s">
        <v>3588</v>
      </c>
    </row>
    <row r="1568" spans="2:3">
      <c r="C1568" t="s">
        <v>3589</v>
      </c>
    </row>
    <row r="1569" spans="2:3">
      <c r="B1569" t="s">
        <v>3590</v>
      </c>
    </row>
    <row r="1571" spans="2:3">
      <c r="B1571" t="s">
        <v>1689</v>
      </c>
    </row>
    <row r="1572" spans="2:3">
      <c r="C1572" t="s">
        <v>3591</v>
      </c>
    </row>
    <row r="1573" spans="2:3">
      <c r="C1573" t="s">
        <v>3592</v>
      </c>
    </row>
    <row r="1574" spans="2:3">
      <c r="C1574" t="s">
        <v>3593</v>
      </c>
    </row>
    <row r="1575" spans="2:3">
      <c r="C1575" t="s">
        <v>3594</v>
      </c>
    </row>
    <row r="1576" spans="2:3">
      <c r="C1576" t="s">
        <v>3595</v>
      </c>
    </row>
    <row r="1577" spans="2:3">
      <c r="B1577" t="s">
        <v>3598</v>
      </c>
    </row>
    <row r="1578" spans="2:3">
      <c r="C1578" t="s">
        <v>3596</v>
      </c>
    </row>
    <row r="1579" spans="2:3">
      <c r="C1579" t="s">
        <v>3597</v>
      </c>
    </row>
    <row r="1580" spans="2:3">
      <c r="B1580" t="s">
        <v>3201</v>
      </c>
    </row>
    <row r="1581" spans="2:3">
      <c r="C1581" t="s">
        <v>3599</v>
      </c>
    </row>
    <row r="1582" spans="2:3">
      <c r="B1582" t="s">
        <v>31</v>
      </c>
    </row>
    <row r="1583" spans="2:3">
      <c r="C1583" t="s">
        <v>3600</v>
      </c>
    </row>
    <row r="1584" spans="2:3">
      <c r="C1584" t="s">
        <v>3601</v>
      </c>
    </row>
    <row r="1585" spans="2:4">
      <c r="C1585" t="s">
        <v>3602</v>
      </c>
    </row>
    <row r="1586" spans="2:4">
      <c r="C1586" t="s">
        <v>3603</v>
      </c>
    </row>
    <row r="1587" spans="2:4">
      <c r="B1587" t="s">
        <v>2886</v>
      </c>
    </row>
    <row r="1588" spans="2:4">
      <c r="C1588" t="s">
        <v>3604</v>
      </c>
    </row>
    <row r="1589" spans="2:4">
      <c r="C1589" t="s">
        <v>3605</v>
      </c>
    </row>
    <row r="1591" spans="2:4">
      <c r="B1591" t="s">
        <v>3607</v>
      </c>
    </row>
    <row r="1592" spans="2:4">
      <c r="C1592" t="s">
        <v>3606</v>
      </c>
    </row>
    <row r="1593" spans="2:4">
      <c r="C1593" t="s">
        <v>3608</v>
      </c>
    </row>
    <row r="1594" spans="2:4">
      <c r="D1594" t="s">
        <v>3609</v>
      </c>
    </row>
    <row r="1595" spans="2:4">
      <c r="C1595" t="s">
        <v>3610</v>
      </c>
    </row>
    <row r="1596" spans="2:4">
      <c r="B1596" t="s">
        <v>3611</v>
      </c>
    </row>
    <row r="1597" spans="2:4">
      <c r="C1597" t="s">
        <v>3612</v>
      </c>
    </row>
    <row r="1598" spans="2:4">
      <c r="C1598" t="s">
        <v>3613</v>
      </c>
    </row>
    <row r="1599" spans="2:4">
      <c r="C1599" t="s">
        <v>3614</v>
      </c>
    </row>
    <row r="1600" spans="2:4">
      <c r="D1600" t="s">
        <v>3615</v>
      </c>
    </row>
    <row r="1601" spans="2:5">
      <c r="E1601" t="s">
        <v>3616</v>
      </c>
    </row>
    <row r="1602" spans="2:5">
      <c r="D1602" t="s">
        <v>3617</v>
      </c>
    </row>
    <row r="1604" spans="2:5">
      <c r="B1604" t="s">
        <v>3618</v>
      </c>
    </row>
    <row r="1605" spans="2:5">
      <c r="C1605" s="822" t="s">
        <v>3620</v>
      </c>
    </row>
    <row r="1606" spans="2:5">
      <c r="C1606" s="801"/>
    </row>
    <row r="1607" spans="2:5">
      <c r="B1607" t="s">
        <v>377</v>
      </c>
      <c r="C1607" t="s">
        <v>3619</v>
      </c>
    </row>
    <row r="1609" spans="2:5">
      <c r="B1609" s="513" t="s">
        <v>3639</v>
      </c>
    </row>
    <row r="1610" spans="2:5">
      <c r="B1610" t="s">
        <v>3638</v>
      </c>
    </row>
    <row r="1611" spans="2:5">
      <c r="B1611" t="s">
        <v>3641</v>
      </c>
    </row>
    <row r="1612" spans="2:5">
      <c r="B1612" t="s">
        <v>3640</v>
      </c>
    </row>
    <row r="1613" spans="2:5">
      <c r="B1613" t="s">
        <v>3651</v>
      </c>
    </row>
    <row r="1615" spans="2:5">
      <c r="B1615" s="13" t="s">
        <v>3656</v>
      </c>
    </row>
    <row r="1616" spans="2:5">
      <c r="B1616" s="84">
        <f>1100-30</f>
        <v>1070</v>
      </c>
    </row>
    <row r="1617" spans="2:5">
      <c r="B1617" s="84">
        <v>900</v>
      </c>
      <c r="C1617" t="s">
        <v>3657</v>
      </c>
    </row>
    <row r="1618" spans="2:5">
      <c r="B1618" s="84"/>
      <c r="E1618" t="s">
        <v>72</v>
      </c>
    </row>
    <row r="1619" spans="2:5">
      <c r="B1619" t="s">
        <v>3658</v>
      </c>
      <c r="C1619">
        <v>133</v>
      </c>
    </row>
    <row r="1620" spans="2:5">
      <c r="C1620" t="s">
        <v>3660</v>
      </c>
    </row>
    <row r="1621" spans="2:5">
      <c r="C1621" t="s">
        <v>3661</v>
      </c>
    </row>
    <row r="1622" spans="2:5">
      <c r="C1622" t="s">
        <v>3662</v>
      </c>
    </row>
    <row r="1623" spans="2:5">
      <c r="C1623" t="s">
        <v>3663</v>
      </c>
    </row>
    <row r="1624" spans="2:5">
      <c r="C1624" t="s">
        <v>3664</v>
      </c>
    </row>
    <row r="1625" spans="2:5">
      <c r="B1625" t="s">
        <v>3659</v>
      </c>
      <c r="C1625">
        <v>589</v>
      </c>
    </row>
    <row r="1626" spans="2:5">
      <c r="B1626" t="s">
        <v>3665</v>
      </c>
      <c r="C1626" t="s">
        <v>3666</v>
      </c>
    </row>
    <row r="1627" spans="2:5">
      <c r="B1627" t="s">
        <v>3667</v>
      </c>
    </row>
    <row r="1629" spans="2:5">
      <c r="B1629" s="13" t="s">
        <v>3700</v>
      </c>
    </row>
    <row r="1631" spans="2:5">
      <c r="B1631" t="s">
        <v>3701</v>
      </c>
    </row>
    <row r="1632" spans="2:5">
      <c r="B1632" t="s">
        <v>3702</v>
      </c>
    </row>
    <row r="1633" spans="2:4">
      <c r="B1633" t="s">
        <v>3703</v>
      </c>
    </row>
    <row r="1634" spans="2:4">
      <c r="B1634" t="s">
        <v>3704</v>
      </c>
    </row>
    <row r="1635" spans="2:4">
      <c r="B1635" t="s">
        <v>3705</v>
      </c>
    </row>
    <row r="1636" spans="2:4">
      <c r="B1636" t="s">
        <v>3706</v>
      </c>
    </row>
    <row r="1637" spans="2:4">
      <c r="B1637" t="s">
        <v>3708</v>
      </c>
      <c r="C1637" t="s">
        <v>3707</v>
      </c>
    </row>
    <row r="1638" spans="2:4">
      <c r="B1638" t="s">
        <v>3709</v>
      </c>
    </row>
    <row r="1639" spans="2:4">
      <c r="C1639" t="s">
        <v>3710</v>
      </c>
    </row>
    <row r="1640" spans="2:4">
      <c r="C1640" t="s">
        <v>3711</v>
      </c>
    </row>
    <row r="1641" spans="2:4">
      <c r="C1641" t="s">
        <v>3712</v>
      </c>
    </row>
    <row r="1642" spans="2:4">
      <c r="B1642" t="s">
        <v>3713</v>
      </c>
    </row>
    <row r="1643" spans="2:4">
      <c r="C1643" t="s">
        <v>3714</v>
      </c>
    </row>
    <row r="1644" spans="2:4">
      <c r="C1644" t="s">
        <v>3716</v>
      </c>
    </row>
    <row r="1645" spans="2:4">
      <c r="C1645" t="s">
        <v>3717</v>
      </c>
    </row>
    <row r="1646" spans="2:4">
      <c r="C1646" t="s">
        <v>3718</v>
      </c>
    </row>
    <row r="1647" spans="2:4">
      <c r="C1647" t="s">
        <v>3719</v>
      </c>
    </row>
    <row r="1648" spans="2:4">
      <c r="D1648" t="s">
        <v>3720</v>
      </c>
    </row>
    <row r="1649" spans="2:3">
      <c r="B1649" t="s">
        <v>3715</v>
      </c>
    </row>
    <row r="1650" spans="2:3">
      <c r="B1650" t="s">
        <v>0</v>
      </c>
    </row>
    <row r="1651" spans="2:3">
      <c r="C1651" t="s">
        <v>3721</v>
      </c>
    </row>
    <row r="1652" spans="2:3">
      <c r="B1652" t="s">
        <v>3722</v>
      </c>
    </row>
    <row r="1653" spans="2:3">
      <c r="C1653" t="s">
        <v>3723</v>
      </c>
    </row>
    <row r="1654" spans="2:3">
      <c r="C1654" t="s">
        <v>3724</v>
      </c>
    </row>
    <row r="1655" spans="2:3">
      <c r="B1655" t="s">
        <v>3725</v>
      </c>
    </row>
    <row r="1656" spans="2:3">
      <c r="C1656" t="s">
        <v>3726</v>
      </c>
    </row>
    <row r="1658" spans="2:3">
      <c r="B1658" s="513" t="s">
        <v>3734</v>
      </c>
    </row>
    <row r="1660" spans="2:3">
      <c r="B1660" t="s">
        <v>3732</v>
      </c>
    </row>
    <row r="1661" spans="2:3">
      <c r="B1661" t="s">
        <v>3733</v>
      </c>
    </row>
    <row r="1662" spans="2:3">
      <c r="B1662" t="s">
        <v>3735</v>
      </c>
    </row>
    <row r="1663" spans="2:3">
      <c r="C1663" t="s">
        <v>3763</v>
      </c>
    </row>
    <row r="1664" spans="2:3">
      <c r="C1664" t="s">
        <v>3764</v>
      </c>
    </row>
    <row r="1665" spans="2:4">
      <c r="C1665" t="s">
        <v>3765</v>
      </c>
    </row>
    <row r="1666" spans="2:4">
      <c r="B1666" s="13" t="s">
        <v>3736</v>
      </c>
    </row>
    <row r="1667" spans="2:4">
      <c r="B1667" t="s">
        <v>3737</v>
      </c>
    </row>
    <row r="1668" spans="2:4">
      <c r="B1668" t="s">
        <v>3738</v>
      </c>
    </row>
    <row r="1670" spans="2:4">
      <c r="B1670" t="s">
        <v>3739</v>
      </c>
    </row>
    <row r="1671" spans="2:4">
      <c r="B1671" t="s">
        <v>3741</v>
      </c>
    </row>
    <row r="1672" spans="2:4">
      <c r="B1672" t="s">
        <v>3740</v>
      </c>
    </row>
    <row r="1673" spans="2:4">
      <c r="B1673" t="s">
        <v>3750</v>
      </c>
    </row>
    <row r="1674" spans="2:4">
      <c r="C1674" s="13" t="s">
        <v>3744</v>
      </c>
    </row>
    <row r="1675" spans="2:4">
      <c r="C1675" t="s">
        <v>3742</v>
      </c>
    </row>
    <row r="1676" spans="2:4">
      <c r="C1676" t="s">
        <v>3743</v>
      </c>
    </row>
    <row r="1677" spans="2:4">
      <c r="C1677" t="s">
        <v>3745</v>
      </c>
    </row>
    <row r="1678" spans="2:4">
      <c r="D1678" t="s">
        <v>3746</v>
      </c>
    </row>
    <row r="1679" spans="2:4">
      <c r="C1679" t="s">
        <v>3747</v>
      </c>
    </row>
    <row r="1680" spans="2:4">
      <c r="C1680" t="s">
        <v>3748</v>
      </c>
    </row>
    <row r="1681" spans="2:4">
      <c r="D1681" t="s">
        <v>3749</v>
      </c>
    </row>
    <row r="1682" spans="2:4">
      <c r="C1682" s="13" t="s">
        <v>29</v>
      </c>
    </row>
    <row r="1683" spans="2:4">
      <c r="C1683" t="s">
        <v>3751</v>
      </c>
    </row>
    <row r="1684" spans="2:4">
      <c r="C1684" t="s">
        <v>3752</v>
      </c>
    </row>
    <row r="1685" spans="2:4">
      <c r="B1685" t="s">
        <v>32</v>
      </c>
    </row>
    <row r="1686" spans="2:4">
      <c r="C1686" t="s">
        <v>3753</v>
      </c>
    </row>
    <row r="1687" spans="2:4">
      <c r="D1687" t="s">
        <v>3754</v>
      </c>
    </row>
    <row r="1688" spans="2:4">
      <c r="C1688" t="s">
        <v>3755</v>
      </c>
    </row>
    <row r="1689" spans="2:4">
      <c r="B1689" t="s">
        <v>0</v>
      </c>
    </row>
    <row r="1690" spans="2:4">
      <c r="C1690" t="s">
        <v>3756</v>
      </c>
    </row>
    <row r="1691" spans="2:4">
      <c r="C1691" t="s">
        <v>3757</v>
      </c>
    </row>
    <row r="1692" spans="2:4">
      <c r="C1692" t="s">
        <v>3758</v>
      </c>
    </row>
    <row r="1693" spans="2:4">
      <c r="C1693" t="s">
        <v>3759</v>
      </c>
    </row>
    <row r="1694" spans="2:4">
      <c r="B1694" t="s">
        <v>3760</v>
      </c>
    </row>
    <row r="1695" spans="2:4">
      <c r="C1695" t="s">
        <v>3761</v>
      </c>
    </row>
    <row r="1696" spans="2:4">
      <c r="B1696" t="s">
        <v>3762</v>
      </c>
    </row>
    <row r="1698" spans="2:4">
      <c r="B1698" t="s">
        <v>1689</v>
      </c>
    </row>
    <row r="1699" spans="2:4">
      <c r="B1699" t="s">
        <v>3766</v>
      </c>
    </row>
    <row r="1700" spans="2:4">
      <c r="C1700" t="s">
        <v>3767</v>
      </c>
    </row>
    <row r="1701" spans="2:4">
      <c r="D1701" t="s">
        <v>3769</v>
      </c>
    </row>
    <row r="1702" spans="2:4">
      <c r="C1702" t="s">
        <v>3768</v>
      </c>
    </row>
    <row r="1703" spans="2:4">
      <c r="D1703" t="s">
        <v>3770</v>
      </c>
    </row>
    <row r="1704" spans="2:4">
      <c r="C1704" t="s">
        <v>33</v>
      </c>
    </row>
    <row r="1705" spans="2:4">
      <c r="D1705" t="s">
        <v>3771</v>
      </c>
    </row>
    <row r="1706" spans="2:4">
      <c r="B1706" t="s">
        <v>3772</v>
      </c>
    </row>
    <row r="1708" spans="2:4">
      <c r="B1708" t="s">
        <v>3773</v>
      </c>
    </row>
    <row r="1709" spans="2:4">
      <c r="C1709" t="s">
        <v>3774</v>
      </c>
    </row>
    <row r="1726" spans="2:2">
      <c r="B1726" s="513" t="s">
        <v>3795</v>
      </c>
    </row>
    <row r="1728" spans="2:2">
      <c r="B1728" s="12" t="s">
        <v>984</v>
      </c>
    </row>
    <row r="1729" spans="2:3">
      <c r="B1729" t="s">
        <v>3788</v>
      </c>
    </row>
    <row r="1730" spans="2:3">
      <c r="B1730" t="s">
        <v>3780</v>
      </c>
    </row>
    <row r="1731" spans="2:3">
      <c r="C1731">
        <f>30*500</f>
        <v>15000</v>
      </c>
    </row>
    <row r="1732" spans="2:3">
      <c r="B1732" t="s">
        <v>3781</v>
      </c>
    </row>
    <row r="1733" spans="2:3">
      <c r="B1733" t="s">
        <v>3782</v>
      </c>
    </row>
    <row r="1735" spans="2:3">
      <c r="B1735" t="s">
        <v>3783</v>
      </c>
    </row>
    <row r="1736" spans="2:3">
      <c r="B1736" t="s">
        <v>3784</v>
      </c>
    </row>
    <row r="1737" spans="2:3">
      <c r="C1737">
        <f>3*14</f>
        <v>42</v>
      </c>
    </row>
    <row r="1738" spans="2:3">
      <c r="B1738" t="s">
        <v>3785</v>
      </c>
    </row>
    <row r="1739" spans="2:3">
      <c r="B1739" t="s">
        <v>3786</v>
      </c>
    </row>
    <row r="1740" spans="2:3">
      <c r="B1740" t="s">
        <v>3787</v>
      </c>
    </row>
    <row r="1741" spans="2:3">
      <c r="B1741" t="s">
        <v>3789</v>
      </c>
    </row>
    <row r="1743" spans="2:3">
      <c r="B1743" s="513" t="s">
        <v>482</v>
      </c>
    </row>
    <row r="1744" spans="2:3">
      <c r="B1744" t="s">
        <v>3790</v>
      </c>
    </row>
    <row r="1745" spans="2:3">
      <c r="B1745" t="s">
        <v>3791</v>
      </c>
    </row>
    <row r="1747" spans="2:3">
      <c r="B1747" s="513" t="s">
        <v>3201</v>
      </c>
    </row>
    <row r="1748" spans="2:3">
      <c r="B1748" t="s">
        <v>3792</v>
      </c>
    </row>
    <row r="1749" spans="2:3">
      <c r="B1749" t="s">
        <v>3793</v>
      </c>
    </row>
    <row r="1750" spans="2:3">
      <c r="B1750" t="s">
        <v>3794</v>
      </c>
    </row>
    <row r="1752" spans="2:3">
      <c r="B1752" s="12" t="s">
        <v>428</v>
      </c>
    </row>
    <row r="1753" spans="2:3">
      <c r="B1753" t="s">
        <v>2666</v>
      </c>
    </row>
    <row r="1754" spans="2:3">
      <c r="C1754" t="s">
        <v>3796</v>
      </c>
    </row>
    <row r="1755" spans="2:3">
      <c r="C1755" t="s">
        <v>3797</v>
      </c>
    </row>
    <row r="1756" spans="2:3">
      <c r="C1756" t="s">
        <v>3798</v>
      </c>
    </row>
    <row r="1757" spans="2:3">
      <c r="C1757" t="s">
        <v>3799</v>
      </c>
    </row>
    <row r="1758" spans="2:3">
      <c r="B1758" t="s">
        <v>92</v>
      </c>
    </row>
    <row r="1759" spans="2:3">
      <c r="C1759" t="s">
        <v>3800</v>
      </c>
    </row>
    <row r="1760" spans="2:3">
      <c r="B1760" t="s">
        <v>984</v>
      </c>
    </row>
    <row r="1761" spans="2:3">
      <c r="C1761" t="s">
        <v>3827</v>
      </c>
    </row>
    <row r="1762" spans="2:3">
      <c r="C1762" t="s">
        <v>3801</v>
      </c>
    </row>
    <row r="1763" spans="2:3">
      <c r="C1763" t="s">
        <v>3828</v>
      </c>
    </row>
    <row r="1764" spans="2:3">
      <c r="C1764" t="s">
        <v>3802</v>
      </c>
    </row>
    <row r="1766" spans="2:3">
      <c r="C1766" t="s">
        <v>3803</v>
      </c>
    </row>
    <row r="1767" spans="2:3">
      <c r="C1767" t="s">
        <v>3804</v>
      </c>
    </row>
    <row r="1768" spans="2:3">
      <c r="C1768" t="s">
        <v>3805</v>
      </c>
    </row>
    <row r="1769" spans="2:3">
      <c r="B1769" t="s">
        <v>468</v>
      </c>
    </row>
    <row r="1770" spans="2:3">
      <c r="C1770" t="s">
        <v>3806</v>
      </c>
    </row>
    <row r="1771" spans="2:3">
      <c r="C1771" t="s">
        <v>3807</v>
      </c>
    </row>
    <row r="1773" spans="2:3">
      <c r="C1773" t="s">
        <v>3808</v>
      </c>
    </row>
    <row r="1774" spans="2:3">
      <c r="C1774" t="s">
        <v>3809</v>
      </c>
    </row>
    <row r="1775" spans="2:3">
      <c r="C1775" t="s">
        <v>3810</v>
      </c>
    </row>
    <row r="1776" spans="2:3">
      <c r="C1776" t="s">
        <v>3811</v>
      </c>
    </row>
    <row r="1777" spans="2:4">
      <c r="B1777" t="s">
        <v>0</v>
      </c>
    </row>
    <row r="1778" spans="2:4">
      <c r="C1778" t="s">
        <v>3812</v>
      </c>
    </row>
    <row r="1779" spans="2:4">
      <c r="C1779" t="s">
        <v>3813</v>
      </c>
    </row>
    <row r="1780" spans="2:4">
      <c r="D1780" t="s">
        <v>3814</v>
      </c>
    </row>
    <row r="1781" spans="2:4">
      <c r="B1781" t="s">
        <v>377</v>
      </c>
    </row>
    <row r="1782" spans="2:4">
      <c r="C1782" t="s">
        <v>3815</v>
      </c>
    </row>
    <row r="1783" spans="2:4">
      <c r="B1783" t="s">
        <v>3816</v>
      </c>
    </row>
    <row r="1784" spans="2:4">
      <c r="C1784" t="s">
        <v>3817</v>
      </c>
    </row>
    <row r="1785" spans="2:4">
      <c r="C1785" t="s">
        <v>3819</v>
      </c>
    </row>
    <row r="1786" spans="2:4">
      <c r="C1786" t="s">
        <v>3820</v>
      </c>
    </row>
    <row r="1787" spans="2:4">
      <c r="C1787" t="s">
        <v>3821</v>
      </c>
    </row>
    <row r="1788" spans="2:4">
      <c r="C1788" t="s">
        <v>3822</v>
      </c>
    </row>
    <row r="1789" spans="2:4">
      <c r="B1789" t="s">
        <v>3818</v>
      </c>
    </row>
    <row r="1790" spans="2:4">
      <c r="C1790" t="s">
        <v>3823</v>
      </c>
    </row>
    <row r="1791" spans="2:4">
      <c r="B1791" t="s">
        <v>3411</v>
      </c>
    </row>
    <row r="1792" spans="2:4">
      <c r="C1792" t="s">
        <v>3824</v>
      </c>
    </row>
    <row r="1793" spans="2:4">
      <c r="C1793" t="s">
        <v>3825</v>
      </c>
    </row>
    <row r="1794" spans="2:4">
      <c r="C1794" t="s">
        <v>3826</v>
      </c>
    </row>
    <row r="1795" spans="2:4">
      <c r="B1795" t="s">
        <v>3829</v>
      </c>
    </row>
    <row r="1796" spans="2:4">
      <c r="C1796" t="s">
        <v>3838</v>
      </c>
    </row>
    <row r="1798" spans="2:4">
      <c r="B1798" t="s">
        <v>31</v>
      </c>
    </row>
    <row r="1799" spans="2:4">
      <c r="C1799" t="s">
        <v>3830</v>
      </c>
    </row>
    <row r="1800" spans="2:4">
      <c r="D1800" t="s">
        <v>3831</v>
      </c>
    </row>
    <row r="1801" spans="2:4">
      <c r="D1801" t="s">
        <v>3832</v>
      </c>
    </row>
    <row r="1802" spans="2:4">
      <c r="C1802" t="s">
        <v>3833</v>
      </c>
    </row>
    <row r="1803" spans="2:4">
      <c r="D1803" t="s">
        <v>3834</v>
      </c>
    </row>
    <row r="1804" spans="2:4">
      <c r="D1804" t="s">
        <v>3835</v>
      </c>
    </row>
    <row r="1805" spans="2:4">
      <c r="C1805" t="s">
        <v>3836</v>
      </c>
    </row>
    <row r="1806" spans="2:4">
      <c r="D1806" t="s">
        <v>3837</v>
      </c>
    </row>
    <row r="1809" spans="1:5">
      <c r="B1809" s="513" t="s">
        <v>3859</v>
      </c>
    </row>
    <row r="1811" spans="1:5">
      <c r="B1811" t="s">
        <v>3880</v>
      </c>
    </row>
    <row r="1812" spans="1:5">
      <c r="C1812" t="s">
        <v>3882</v>
      </c>
      <c r="E1812" s="16">
        <f>'LiLAC valuation'!V238+'LiLAC valuation'!W238+'LiLAC valuation'!X238</f>
        <v>109.70000000000027</v>
      </c>
    </row>
    <row r="1813" spans="1:5">
      <c r="C1813" t="s">
        <v>3881</v>
      </c>
    </row>
    <row r="1814" spans="1:5">
      <c r="B1814" t="s">
        <v>72</v>
      </c>
      <c r="E1814" s="16">
        <f>'New quarts'!J591+'New quarts'!K591+'New quarts'!L591</f>
        <v>7.3999999999999915</v>
      </c>
    </row>
    <row r="1815" spans="1:5">
      <c r="E1815" s="16"/>
    </row>
    <row r="1816" spans="1:5">
      <c r="B1816" s="13" t="s">
        <v>428</v>
      </c>
      <c r="E1816" s="16"/>
    </row>
    <row r="1817" spans="1:5">
      <c r="E1817" s="16"/>
    </row>
    <row r="1818" spans="1:5">
      <c r="A1818" t="s">
        <v>3894</v>
      </c>
      <c r="B1818" t="s">
        <v>3876</v>
      </c>
    </row>
    <row r="1819" spans="1:5">
      <c r="C1819" t="s">
        <v>3884</v>
      </c>
    </row>
    <row r="1820" spans="1:5">
      <c r="A1820" t="s">
        <v>3894</v>
      </c>
      <c r="B1820" t="s">
        <v>3904</v>
      </c>
    </row>
    <row r="1821" spans="1:5">
      <c r="C1821" t="s">
        <v>3903</v>
      </c>
    </row>
    <row r="1822" spans="1:5">
      <c r="C1822" t="s">
        <v>3883</v>
      </c>
    </row>
    <row r="1823" spans="1:5">
      <c r="C1823" t="s">
        <v>3885</v>
      </c>
    </row>
    <row r="1825" spans="1:3" outlineLevel="1">
      <c r="A1825" t="s">
        <v>3894</v>
      </c>
      <c r="B1825" t="s">
        <v>3890</v>
      </c>
      <c r="C1825">
        <v>1115</v>
      </c>
    </row>
    <row r="1826" spans="1:3" outlineLevel="1">
      <c r="B1826" t="s">
        <v>16</v>
      </c>
      <c r="C1826">
        <f>'New quarts'!M498+'LiLAC valuation'!X230</f>
        <v>3510.2000000000003</v>
      </c>
    </row>
    <row r="1827" spans="1:3">
      <c r="B1827" t="s">
        <v>3891</v>
      </c>
      <c r="C1827" s="5">
        <f>C1825/C1826</f>
        <v>0.31764571819269555</v>
      </c>
    </row>
    <row r="1829" spans="1:3">
      <c r="B1829" t="s">
        <v>3892</v>
      </c>
    </row>
    <row r="1830" spans="1:3">
      <c r="C1830" t="s">
        <v>3893</v>
      </c>
    </row>
    <row r="1832" spans="1:3">
      <c r="B1832" t="s">
        <v>3886</v>
      </c>
    </row>
    <row r="1833" spans="1:3">
      <c r="C1833" t="s">
        <v>3888</v>
      </c>
    </row>
    <row r="1834" spans="1:3">
      <c r="A1834" t="s">
        <v>3905</v>
      </c>
      <c r="B1834" t="s">
        <v>984</v>
      </c>
      <c r="C1834" t="s">
        <v>3896</v>
      </c>
    </row>
    <row r="1835" spans="1:3">
      <c r="C1835" t="s">
        <v>3897</v>
      </c>
    </row>
    <row r="1836" spans="1:3">
      <c r="C1836" t="s">
        <v>3898</v>
      </c>
    </row>
    <row r="1837" spans="1:3">
      <c r="A1837" t="s">
        <v>3894</v>
      </c>
      <c r="B1837" t="s">
        <v>0</v>
      </c>
    </row>
    <row r="1838" spans="1:3">
      <c r="C1838" t="s">
        <v>3879</v>
      </c>
    </row>
    <row r="1839" spans="1:3">
      <c r="A1839" t="s">
        <v>3894</v>
      </c>
      <c r="B1839" t="s">
        <v>3877</v>
      </c>
    </row>
    <row r="1840" spans="1:3">
      <c r="C1840" t="s">
        <v>3889</v>
      </c>
    </row>
    <row r="1841" spans="1:3">
      <c r="A1841" t="s">
        <v>3905</v>
      </c>
      <c r="B1841" t="s">
        <v>3878</v>
      </c>
    </row>
    <row r="1842" spans="1:3">
      <c r="C1842" t="s">
        <v>3887</v>
      </c>
    </row>
    <row r="1843" spans="1:3">
      <c r="A1843" t="s">
        <v>3905</v>
      </c>
      <c r="B1843" t="s">
        <v>3906</v>
      </c>
      <c r="C1843" t="s">
        <v>3907</v>
      </c>
    </row>
    <row r="1845" spans="1:3">
      <c r="B1845" s="13" t="s">
        <v>3899</v>
      </c>
    </row>
    <row r="1846" spans="1:3">
      <c r="B1846" t="s">
        <v>3900</v>
      </c>
    </row>
    <row r="1847" spans="1:3">
      <c r="B1847" t="s">
        <v>3901</v>
      </c>
    </row>
    <row r="1848" spans="1:3">
      <c r="B1848" t="s">
        <v>3902</v>
      </c>
    </row>
    <row r="1850" spans="1:3">
      <c r="B1850" t="s">
        <v>3908</v>
      </c>
    </row>
    <row r="1851" spans="1:3">
      <c r="B1851" t="s">
        <v>3201</v>
      </c>
      <c r="C1851" t="s">
        <v>3909</v>
      </c>
    </row>
    <row r="1852" spans="1:3">
      <c r="B1852" t="s">
        <v>3910</v>
      </c>
    </row>
    <row r="1853" spans="1:3">
      <c r="B1853" t="s">
        <v>3911</v>
      </c>
    </row>
    <row r="1855" spans="1:3">
      <c r="B1855" t="s">
        <v>3912</v>
      </c>
    </row>
    <row r="1857" spans="2:5">
      <c r="B1857" s="13" t="s">
        <v>0</v>
      </c>
    </row>
    <row r="1858" spans="2:5">
      <c r="B1858" t="s">
        <v>3913</v>
      </c>
    </row>
    <row r="1859" spans="2:5">
      <c r="B1859" t="s">
        <v>3914</v>
      </c>
    </row>
    <row r="1860" spans="2:5">
      <c r="C1860" t="s">
        <v>3915</v>
      </c>
    </row>
    <row r="1861" spans="2:5">
      <c r="C1861" t="s">
        <v>3916</v>
      </c>
    </row>
    <row r="1862" spans="2:5">
      <c r="D1862" t="s">
        <v>3918</v>
      </c>
    </row>
    <row r="1863" spans="2:5">
      <c r="D1863" t="s">
        <v>72</v>
      </c>
      <c r="E1863" t="s">
        <v>3919</v>
      </c>
    </row>
    <row r="1864" spans="2:5">
      <c r="E1864" t="s">
        <v>3920</v>
      </c>
    </row>
    <row r="1865" spans="2:5">
      <c r="E1865" t="s">
        <v>3921</v>
      </c>
    </row>
    <row r="1866" spans="2:5">
      <c r="C1866" t="s">
        <v>3917</v>
      </c>
    </row>
    <row r="1867" spans="2:5">
      <c r="B1867" t="s">
        <v>3922</v>
      </c>
    </row>
    <row r="1868" spans="2:5">
      <c r="C1868" t="s">
        <v>3923</v>
      </c>
    </row>
    <row r="1869" spans="2:5">
      <c r="C1869" t="s">
        <v>3924</v>
      </c>
    </row>
    <row r="1871" spans="2:5">
      <c r="B1871" t="s">
        <v>3925</v>
      </c>
    </row>
    <row r="1872" spans="2:5">
      <c r="C1872" t="s">
        <v>3926</v>
      </c>
    </row>
    <row r="1873" spans="2:5">
      <c r="D1873" t="s">
        <v>3927</v>
      </c>
    </row>
    <row r="1874" spans="2:5">
      <c r="E1874" t="s">
        <v>3928</v>
      </c>
    </row>
    <row r="1875" spans="2:5">
      <c r="B1875" t="s">
        <v>3929</v>
      </c>
    </row>
    <row r="1876" spans="2:5">
      <c r="C1876" t="s">
        <v>3930</v>
      </c>
    </row>
    <row r="1877" spans="2:5">
      <c r="C1877" t="s">
        <v>3931</v>
      </c>
    </row>
    <row r="1878" spans="2:5">
      <c r="C1878" t="s">
        <v>3932</v>
      </c>
    </row>
    <row r="1879" spans="2:5">
      <c r="C1879" t="s">
        <v>3933</v>
      </c>
    </row>
    <row r="1880" spans="2:5">
      <c r="B1880" t="s">
        <v>3091</v>
      </c>
    </row>
    <row r="1881" spans="2:5">
      <c r="C1881" t="s">
        <v>3934</v>
      </c>
    </row>
    <row r="1882" spans="2:5">
      <c r="C1882" t="s">
        <v>3935</v>
      </c>
    </row>
    <row r="1883" spans="2:5">
      <c r="B1883" t="s">
        <v>3936</v>
      </c>
    </row>
    <row r="1884" spans="2:5">
      <c r="C1884" t="s">
        <v>3937</v>
      </c>
    </row>
    <row r="1885" spans="2:5">
      <c r="B1885" t="s">
        <v>31</v>
      </c>
    </row>
    <row r="1886" spans="2:5">
      <c r="C1886" t="s">
        <v>3938</v>
      </c>
    </row>
    <row r="1888" spans="2:5">
      <c r="B1888" s="13" t="s">
        <v>1317</v>
      </c>
    </row>
    <row r="1890" spans="2:3">
      <c r="B1890" t="s">
        <v>3939</v>
      </c>
    </row>
    <row r="1891" spans="2:3">
      <c r="C1891" t="s">
        <v>3954</v>
      </c>
    </row>
    <row r="1892" spans="2:3">
      <c r="B1892" t="s">
        <v>3941</v>
      </c>
    </row>
    <row r="1893" spans="2:3">
      <c r="C1893" t="s">
        <v>3952</v>
      </c>
    </row>
    <row r="1894" spans="2:3">
      <c r="C1894" t="s">
        <v>3953</v>
      </c>
    </row>
    <row r="1895" spans="2:3">
      <c r="B1895" t="s">
        <v>3945</v>
      </c>
      <c r="C1895" t="s">
        <v>3951</v>
      </c>
    </row>
    <row r="1896" spans="2:3">
      <c r="B1896" t="s">
        <v>3949</v>
      </c>
    </row>
    <row r="1897" spans="2:3">
      <c r="B1897" t="s">
        <v>3948</v>
      </c>
    </row>
    <row r="1898" spans="2:3">
      <c r="B1898" t="s">
        <v>3434</v>
      </c>
      <c r="C1898" t="s">
        <v>3950</v>
      </c>
    </row>
    <row r="1900" spans="2:3">
      <c r="B1900" s="513" t="s">
        <v>4015</v>
      </c>
    </row>
    <row r="1922" spans="2:5">
      <c r="B1922" s="552" t="s">
        <v>0</v>
      </c>
      <c r="C1922" s="553">
        <v>42430</v>
      </c>
      <c r="D1922" s="553">
        <v>42795</v>
      </c>
      <c r="E1922" s="553">
        <v>43160</v>
      </c>
    </row>
    <row r="1923" spans="2:5">
      <c r="B1923" t="s">
        <v>482</v>
      </c>
      <c r="C1923" s="5">
        <v>-0.22</v>
      </c>
      <c r="D1923" s="5">
        <v>-0.13</v>
      </c>
      <c r="E1923" s="5">
        <v>-0.16</v>
      </c>
    </row>
    <row r="1924" spans="2:5">
      <c r="B1924" t="s">
        <v>8</v>
      </c>
      <c r="C1924" s="80" t="s">
        <v>3776</v>
      </c>
      <c r="D1924" s="80"/>
      <c r="E1924" s="80" t="s">
        <v>3775</v>
      </c>
    </row>
    <row r="1925" spans="2:5">
      <c r="B1925" t="s">
        <v>1365</v>
      </c>
      <c r="C1925" s="80" t="s">
        <v>3777</v>
      </c>
    </row>
    <row r="1926" spans="2:5">
      <c r="C1926" s="80" t="s">
        <v>3778</v>
      </c>
    </row>
    <row r="1928" spans="2:5" ht="15.75">
      <c r="B1928" s="636" t="s">
        <v>2353</v>
      </c>
      <c r="C1928" s="642" t="s">
        <v>482</v>
      </c>
      <c r="D1928" s="642" t="s">
        <v>8</v>
      </c>
      <c r="E1928" s="642" t="s">
        <v>258</v>
      </c>
    </row>
    <row r="1929" spans="2:5" ht="15.75" outlineLevel="3">
      <c r="B1929" s="53" t="s">
        <v>1365</v>
      </c>
      <c r="C1929" s="53">
        <f>57</f>
        <v>57</v>
      </c>
      <c r="D1929" s="53">
        <v>-21</v>
      </c>
      <c r="E1929" s="53">
        <f>C1929-D1929</f>
        <v>78</v>
      </c>
    </row>
    <row r="1930" spans="2:5" ht="15.75" outlineLevel="3">
      <c r="B1930" s="50" t="s">
        <v>29</v>
      </c>
      <c r="C1930" s="638">
        <f>Master!J43</f>
        <v>597</v>
      </c>
      <c r="D1930" s="638">
        <f>Master!J63</f>
        <v>144.80000000000001</v>
      </c>
      <c r="E1930" s="638">
        <f>C1930-D1930</f>
        <v>452.2</v>
      </c>
    </row>
    <row r="1931" spans="2:5" ht="15.75" outlineLevel="2">
      <c r="B1931" s="53" t="s">
        <v>16</v>
      </c>
      <c r="C1931" s="481"/>
      <c r="D1931" s="481"/>
      <c r="E1931" s="481">
        <f>E1929+E1930</f>
        <v>530.20000000000005</v>
      </c>
    </row>
    <row r="1932" spans="2:5" ht="15.75" outlineLevel="2">
      <c r="B1932" s="53" t="s">
        <v>4014</v>
      </c>
      <c r="C1932" s="53"/>
      <c r="D1932" s="53"/>
      <c r="E1932" s="784">
        <v>0.05</v>
      </c>
    </row>
    <row r="1933" spans="2:5" ht="15.75" outlineLevel="1">
      <c r="B1933" s="53" t="s">
        <v>258</v>
      </c>
      <c r="C1933" s="53"/>
      <c r="D1933" s="53"/>
      <c r="E1933" s="481">
        <f>E1931*E1932</f>
        <v>26.510000000000005</v>
      </c>
    </row>
    <row r="1934" spans="2:5" ht="15.75" outlineLevel="1">
      <c r="B1934" s="53" t="s">
        <v>4012</v>
      </c>
      <c r="C1934" s="53"/>
      <c r="D1934" s="53"/>
      <c r="E1934" s="702">
        <v>6</v>
      </c>
    </row>
    <row r="1935" spans="2:5" ht="15.75">
      <c r="B1935" s="53" t="s">
        <v>4013</v>
      </c>
      <c r="C1935" s="53"/>
      <c r="D1935" s="53"/>
      <c r="E1935" s="481">
        <f>E1933*E1934</f>
        <v>159.06000000000003</v>
      </c>
    </row>
    <row r="1937" spans="2:4" ht="15.75">
      <c r="B1937" s="78" t="s">
        <v>3860</v>
      </c>
    </row>
    <row r="1939" spans="2:4">
      <c r="B1939" t="s">
        <v>4017</v>
      </c>
    </row>
    <row r="1940" spans="2:4">
      <c r="C1940" t="s">
        <v>4018</v>
      </c>
    </row>
    <row r="1941" spans="2:4">
      <c r="C1941" t="s">
        <v>4019</v>
      </c>
    </row>
    <row r="1942" spans="2:4">
      <c r="D1942" t="s">
        <v>4020</v>
      </c>
    </row>
    <row r="1943" spans="2:4">
      <c r="B1943" t="s">
        <v>4021</v>
      </c>
    </row>
    <row r="1944" spans="2:4">
      <c r="C1944" t="s">
        <v>4022</v>
      </c>
    </row>
    <row r="1945" spans="2:4">
      <c r="B1945" t="s">
        <v>0</v>
      </c>
    </row>
    <row r="1946" spans="2:4">
      <c r="C1946" t="s">
        <v>4023</v>
      </c>
    </row>
    <row r="1947" spans="2:4">
      <c r="B1947" t="s">
        <v>4035</v>
      </c>
    </row>
    <row r="1949" spans="2:4">
      <c r="B1949" t="s">
        <v>249</v>
      </c>
    </row>
    <row r="1950" spans="2:4" outlineLevel="2">
      <c r="B1950" t="s">
        <v>8</v>
      </c>
      <c r="C1950">
        <f>1525</f>
        <v>1525</v>
      </c>
    </row>
    <row r="1951" spans="2:4" outlineLevel="2">
      <c r="B1951" t="s">
        <v>19</v>
      </c>
      <c r="C1951" s="16">
        <f>Master!K121</f>
        <v>727.09999999999991</v>
      </c>
    </row>
    <row r="1952" spans="2:4" outlineLevel="1">
      <c r="B1952" t="s">
        <v>27</v>
      </c>
      <c r="C1952" s="16">
        <f>C1950-C1951</f>
        <v>797.90000000000009</v>
      </c>
    </row>
    <row r="1953" spans="2:10" outlineLevel="1">
      <c r="B1953" t="s">
        <v>929</v>
      </c>
      <c r="C1953" s="16">
        <f>-Valuation!J25</f>
        <v>499.2</v>
      </c>
      <c r="D1953" s="6">
        <v>6.5000000000000002E-2</v>
      </c>
    </row>
    <row r="1954" spans="2:10" outlineLevel="1">
      <c r="B1954" t="s">
        <v>67</v>
      </c>
      <c r="C1954" s="16">
        <f>-Valuation!J26</f>
        <v>92.466000000000037</v>
      </c>
      <c r="E1954" t="s">
        <v>4036</v>
      </c>
      <c r="G1954" t="s">
        <v>4037</v>
      </c>
      <c r="H1954" s="80" t="s">
        <v>4039</v>
      </c>
      <c r="J1954" t="s">
        <v>4040</v>
      </c>
    </row>
    <row r="1955" spans="2:10" outlineLevel="1">
      <c r="B1955" t="s">
        <v>1044</v>
      </c>
      <c r="C1955" s="16">
        <f>-Valuation!J27</f>
        <v>45.333333333333336</v>
      </c>
      <c r="E1955" t="s">
        <v>4038</v>
      </c>
      <c r="G1955">
        <v>2016</v>
      </c>
      <c r="H1955">
        <v>46</v>
      </c>
    </row>
    <row r="1956" spans="2:10">
      <c r="B1956" t="s">
        <v>249</v>
      </c>
      <c r="C1956" s="16">
        <f>C1952-C1953-C1954-C1955</f>
        <v>160.90066666666672</v>
      </c>
      <c r="G1956">
        <v>2017</v>
      </c>
      <c r="H1956">
        <v>62</v>
      </c>
    </row>
    <row r="1957" spans="2:10">
      <c r="C1957" s="16"/>
      <c r="G1957">
        <v>2018</v>
      </c>
      <c r="H1957">
        <v>23</v>
      </c>
    </row>
    <row r="1958" spans="2:10">
      <c r="B1958" t="s">
        <v>4033</v>
      </c>
    </row>
    <row r="1960" spans="2:10">
      <c r="B1960" t="s">
        <v>4055</v>
      </c>
    </row>
    <row r="1961" spans="2:10">
      <c r="B1961" t="s">
        <v>4054</v>
      </c>
    </row>
    <row r="1962" spans="2:10">
      <c r="C1962" t="s">
        <v>4056</v>
      </c>
    </row>
    <row r="1963" spans="2:10">
      <c r="B1963" t="s">
        <v>4059</v>
      </c>
    </row>
    <row r="1964" spans="2:10">
      <c r="C1964" s="5">
        <f>10/33</f>
        <v>0.30303030303030304</v>
      </c>
    </row>
    <row r="1965" spans="2:10">
      <c r="B1965" t="s">
        <v>4068</v>
      </c>
    </row>
    <row r="1966" spans="2:10">
      <c r="B1966" t="s">
        <v>4060</v>
      </c>
    </row>
    <row r="1967" spans="2:10">
      <c r="B1967" t="s">
        <v>4069</v>
      </c>
    </row>
    <row r="1969" spans="2:4">
      <c r="B1969" t="s">
        <v>4071</v>
      </c>
    </row>
    <row r="1971" spans="2:4">
      <c r="B1971" s="513" t="s">
        <v>4078</v>
      </c>
    </row>
    <row r="1972" spans="2:4">
      <c r="B1972" s="513"/>
    </row>
    <row r="1973" spans="2:4">
      <c r="B1973" s="513" t="s">
        <v>468</v>
      </c>
    </row>
    <row r="1974" spans="2:4">
      <c r="B1974" t="s">
        <v>4079</v>
      </c>
    </row>
    <row r="1975" spans="2:4">
      <c r="B1975" t="s">
        <v>4080</v>
      </c>
    </row>
    <row r="1976" spans="2:4">
      <c r="B1976" t="s">
        <v>4081</v>
      </c>
    </row>
    <row r="1977" spans="2:4">
      <c r="B1977" t="s">
        <v>4082</v>
      </c>
    </row>
    <row r="1978" spans="2:4">
      <c r="B1978" s="513" t="s">
        <v>1919</v>
      </c>
    </row>
    <row r="1979" spans="2:4">
      <c r="B1979" t="s">
        <v>4083</v>
      </c>
    </row>
    <row r="1980" spans="2:4">
      <c r="B1980" t="s">
        <v>4084</v>
      </c>
    </row>
    <row r="1981" spans="2:4">
      <c r="C1981" t="s">
        <v>4085</v>
      </c>
    </row>
    <row r="1982" spans="2:4">
      <c r="D1982" t="s">
        <v>4088</v>
      </c>
    </row>
    <row r="1983" spans="2:4">
      <c r="D1983" t="s">
        <v>4089</v>
      </c>
    </row>
    <row r="1984" spans="2:4">
      <c r="D1984" t="s">
        <v>4091</v>
      </c>
    </row>
    <row r="1985" spans="2:6">
      <c r="C1985" t="s">
        <v>4086</v>
      </c>
    </row>
    <row r="1986" spans="2:6">
      <c r="D1986" t="s">
        <v>4090</v>
      </c>
    </row>
    <row r="1987" spans="2:6">
      <c r="B1987" t="s">
        <v>4087</v>
      </c>
    </row>
    <row r="1988" spans="2:6">
      <c r="B1988" s="513" t="s">
        <v>4092</v>
      </c>
    </row>
    <row r="1990" spans="2:6">
      <c r="B1990" s="513" t="s">
        <v>3201</v>
      </c>
      <c r="C1990" s="552" t="s">
        <v>2353</v>
      </c>
      <c r="D1990" s="952" t="s">
        <v>2751</v>
      </c>
      <c r="E1990" s="952" t="s">
        <v>4093</v>
      </c>
      <c r="F1990" s="952" t="s">
        <v>3548</v>
      </c>
    </row>
    <row r="1991" spans="2:6" outlineLevel="1">
      <c r="C1991" t="s">
        <v>55</v>
      </c>
      <c r="E1991">
        <v>64</v>
      </c>
    </row>
    <row r="1992" spans="2:6" outlineLevel="1">
      <c r="E1992">
        <v>13</v>
      </c>
    </row>
    <row r="1993" spans="2:6">
      <c r="E1993">
        <f>E1991-E1992</f>
        <v>51</v>
      </c>
    </row>
    <row r="1994" spans="2:6">
      <c r="C1994" t="s">
        <v>4094</v>
      </c>
      <c r="D1994">
        <f>D1998+D1999</f>
        <v>51</v>
      </c>
      <c r="F1994" s="16">
        <f>F1996-F1995</f>
        <v>33.1</v>
      </c>
    </row>
    <row r="1995" spans="2:6">
      <c r="C1995" s="3" t="s">
        <v>4095</v>
      </c>
      <c r="D1995" s="3"/>
      <c r="E1995" s="3"/>
      <c r="F1995" s="64">
        <v>33.9</v>
      </c>
    </row>
    <row r="1996" spans="2:6">
      <c r="C1996" t="s">
        <v>16</v>
      </c>
      <c r="D1996">
        <f>D1994+D1995</f>
        <v>51</v>
      </c>
      <c r="F1996">
        <v>67</v>
      </c>
    </row>
    <row r="1998" spans="2:6">
      <c r="C1998" t="s">
        <v>3482</v>
      </c>
      <c r="D1998">
        <v>30</v>
      </c>
    </row>
    <row r="1999" spans="2:6">
      <c r="C1999" t="s">
        <v>3779</v>
      </c>
      <c r="D1999">
        <v>21</v>
      </c>
    </row>
    <row r="2001" spans="2:4">
      <c r="B2001" s="513" t="s">
        <v>4096</v>
      </c>
    </row>
    <row r="2002" spans="2:4">
      <c r="C2002" t="s">
        <v>4097</v>
      </c>
    </row>
    <row r="2003" spans="2:4">
      <c r="C2003" t="s">
        <v>4099</v>
      </c>
    </row>
    <row r="2004" spans="2:4">
      <c r="C2004" t="s">
        <v>4098</v>
      </c>
    </row>
    <row r="2006" spans="2:4">
      <c r="B2006" s="513" t="s">
        <v>4100</v>
      </c>
    </row>
    <row r="2008" spans="2:4">
      <c r="B2008" t="s">
        <v>1919</v>
      </c>
    </row>
    <row r="2009" spans="2:4">
      <c r="C2009" t="s">
        <v>4113</v>
      </c>
    </row>
    <row r="2010" spans="2:4">
      <c r="D2010" t="s">
        <v>4114</v>
      </c>
    </row>
    <row r="2011" spans="2:4">
      <c r="C2011" t="s">
        <v>4101</v>
      </c>
    </row>
    <row r="2012" spans="2:4">
      <c r="D2012" t="s">
        <v>4102</v>
      </c>
    </row>
    <row r="2013" spans="2:4">
      <c r="B2013" t="s">
        <v>4103</v>
      </c>
    </row>
    <row r="2014" spans="2:4">
      <c r="C2014" t="s">
        <v>4104</v>
      </c>
    </row>
    <row r="2015" spans="2:4">
      <c r="B2015" t="s">
        <v>468</v>
      </c>
    </row>
    <row r="2016" spans="2:4">
      <c r="C2016" t="s">
        <v>4105</v>
      </c>
    </row>
    <row r="2017" spans="2:3">
      <c r="C2017" t="s">
        <v>4106</v>
      </c>
    </row>
    <row r="2018" spans="2:3">
      <c r="C2018" t="s">
        <v>4108</v>
      </c>
    </row>
    <row r="2019" spans="2:3">
      <c r="B2019" t="s">
        <v>37</v>
      </c>
    </row>
    <row r="2020" spans="2:3">
      <c r="C2020" t="s">
        <v>4107</v>
      </c>
    </row>
    <row r="2021" spans="2:3">
      <c r="B2021" t="s">
        <v>0</v>
      </c>
    </row>
    <row r="2022" spans="2:3">
      <c r="C2022" t="s">
        <v>4109</v>
      </c>
    </row>
    <row r="2023" spans="2:3">
      <c r="C2023" t="s">
        <v>4110</v>
      </c>
    </row>
    <row r="2024" spans="2:3">
      <c r="C2024" t="s">
        <v>4111</v>
      </c>
    </row>
    <row r="2025" spans="2:3">
      <c r="C2025" t="s">
        <v>4112</v>
      </c>
    </row>
    <row r="2027" spans="2:3">
      <c r="C2027" t="s">
        <v>4115</v>
      </c>
    </row>
    <row r="2028" spans="2:3">
      <c r="B2028" t="s">
        <v>37</v>
      </c>
    </row>
    <row r="2029" spans="2:3">
      <c r="C2029" t="s">
        <v>4116</v>
      </c>
    </row>
    <row r="2030" spans="2:3">
      <c r="B2030" t="s">
        <v>3434</v>
      </c>
    </row>
    <row r="2031" spans="2:3">
      <c r="C2031" t="s">
        <v>4117</v>
      </c>
    </row>
    <row r="2032" spans="2:3">
      <c r="B2032" t="s">
        <v>4118</v>
      </c>
    </row>
    <row r="2034" spans="2:3">
      <c r="B2034" t="s">
        <v>469</v>
      </c>
    </row>
    <row r="2035" spans="2:3">
      <c r="C2035" t="s">
        <v>4119</v>
      </c>
    </row>
    <row r="2037" spans="2:3">
      <c r="B2037" s="513" t="s">
        <v>428</v>
      </c>
    </row>
    <row r="2039" spans="2:3">
      <c r="B2039" t="s">
        <v>899</v>
      </c>
    </row>
    <row r="2040" spans="2:3">
      <c r="C2040" t="s">
        <v>4120</v>
      </c>
    </row>
    <row r="2041" spans="2:3">
      <c r="C2041" t="s">
        <v>4121</v>
      </c>
    </row>
    <row r="2042" spans="2:3">
      <c r="C2042" t="s">
        <v>4122</v>
      </c>
    </row>
    <row r="2043" spans="2:3">
      <c r="C2043" t="s">
        <v>4123</v>
      </c>
    </row>
    <row r="2045" spans="2:3">
      <c r="C2045" t="s">
        <v>4124</v>
      </c>
    </row>
    <row r="2046" spans="2:3">
      <c r="B2046" t="s">
        <v>29</v>
      </c>
    </row>
    <row r="2047" spans="2:3">
      <c r="C2047" t="s">
        <v>4125</v>
      </c>
    </row>
    <row r="2048" spans="2:3">
      <c r="B2048" t="s">
        <v>31</v>
      </c>
    </row>
    <row r="2049" spans="2:4">
      <c r="C2049" t="s">
        <v>4126</v>
      </c>
    </row>
    <row r="2050" spans="2:4">
      <c r="B2050" t="s">
        <v>1365</v>
      </c>
    </row>
    <row r="2052" spans="2:4">
      <c r="B2052" t="s">
        <v>4127</v>
      </c>
    </row>
    <row r="2053" spans="2:4">
      <c r="C2053" t="s">
        <v>4128</v>
      </c>
    </row>
    <row r="2054" spans="2:4">
      <c r="C2054" t="s">
        <v>4129</v>
      </c>
    </row>
    <row r="2055" spans="2:4">
      <c r="B2055" t="s">
        <v>468</v>
      </c>
    </row>
    <row r="2056" spans="2:4">
      <c r="C2056" t="s">
        <v>4130</v>
      </c>
    </row>
    <row r="2057" spans="2:4">
      <c r="D2057" t="s">
        <v>4134</v>
      </c>
    </row>
    <row r="2059" spans="2:4">
      <c r="B2059" t="s">
        <v>4131</v>
      </c>
    </row>
    <row r="2060" spans="2:4">
      <c r="C2060" t="s">
        <v>4133</v>
      </c>
    </row>
    <row r="2061" spans="2:4">
      <c r="C2061" t="s">
        <v>4132</v>
      </c>
    </row>
    <row r="2062" spans="2:4">
      <c r="B2062" t="s">
        <v>1919</v>
      </c>
    </row>
    <row r="2063" spans="2:4">
      <c r="C2063" s="13" t="s">
        <v>0</v>
      </c>
    </row>
    <row r="2064" spans="2:4">
      <c r="C2064" t="s">
        <v>4135</v>
      </c>
    </row>
    <row r="2065" spans="2:4">
      <c r="C2065" t="s">
        <v>4136</v>
      </c>
    </row>
    <row r="2066" spans="2:4">
      <c r="D2066" t="s">
        <v>4137</v>
      </c>
    </row>
    <row r="2067" spans="2:4">
      <c r="D2067" t="s">
        <v>4138</v>
      </c>
    </row>
    <row r="2068" spans="2:4">
      <c r="D2068" t="s">
        <v>4139</v>
      </c>
    </row>
    <row r="2069" spans="2:4">
      <c r="C2069" t="s">
        <v>4140</v>
      </c>
    </row>
    <row r="2070" spans="2:4">
      <c r="C2070" s="13" t="s">
        <v>31</v>
      </c>
    </row>
    <row r="2071" spans="2:4">
      <c r="C2071" t="s">
        <v>4141</v>
      </c>
    </row>
    <row r="2072" spans="2:4">
      <c r="C2072" t="s">
        <v>4142</v>
      </c>
    </row>
    <row r="2073" spans="2:4">
      <c r="C2073" t="s">
        <v>4143</v>
      </c>
    </row>
    <row r="2074" spans="2:4">
      <c r="B2074" t="s">
        <v>4144</v>
      </c>
    </row>
    <row r="2076" spans="2:4">
      <c r="B2076" t="s">
        <v>4145</v>
      </c>
    </row>
    <row r="2077" spans="2:4">
      <c r="C2077" t="s">
        <v>4146</v>
      </c>
    </row>
    <row r="2079" spans="2:4">
      <c r="B2079" t="s">
        <v>32</v>
      </c>
    </row>
    <row r="2080" spans="2:4">
      <c r="C2080" t="s">
        <v>4148</v>
      </c>
    </row>
    <row r="2081" spans="2:5">
      <c r="C2081" t="s">
        <v>4159</v>
      </c>
    </row>
    <row r="2082" spans="2:5">
      <c r="D2082" t="s">
        <v>4149</v>
      </c>
    </row>
    <row r="2083" spans="2:5">
      <c r="D2083" t="s">
        <v>4151</v>
      </c>
    </row>
    <row r="2084" spans="2:5">
      <c r="D2084" t="s">
        <v>4152</v>
      </c>
    </row>
    <row r="2085" spans="2:5">
      <c r="C2085" t="s">
        <v>4153</v>
      </c>
    </row>
    <row r="2086" spans="2:5">
      <c r="D2086" t="s">
        <v>4154</v>
      </c>
    </row>
    <row r="2087" spans="2:5">
      <c r="E2087" t="s">
        <v>4155</v>
      </c>
    </row>
    <row r="2088" spans="2:5">
      <c r="E2088" t="s">
        <v>4156</v>
      </c>
    </row>
    <row r="2089" spans="2:5">
      <c r="C2089" t="s">
        <v>4157</v>
      </c>
    </row>
    <row r="2090" spans="2:5">
      <c r="C2090" t="s">
        <v>72</v>
      </c>
      <c r="D2090" t="s">
        <v>4158</v>
      </c>
    </row>
    <row r="2091" spans="2:5">
      <c r="C2091" t="s">
        <v>4150</v>
      </c>
    </row>
    <row r="2093" spans="2:5">
      <c r="B2093" s="13" t="s">
        <v>4222</v>
      </c>
    </row>
    <row r="2094" spans="2:5">
      <c r="B2094" t="s">
        <v>4331</v>
      </c>
    </row>
    <row r="2095" spans="2:5">
      <c r="C2095" t="s">
        <v>4223</v>
      </c>
    </row>
    <row r="2096" spans="2:5">
      <c r="C2096" t="s">
        <v>4224</v>
      </c>
    </row>
    <row r="2097" spans="2:4">
      <c r="C2097" t="s">
        <v>4225</v>
      </c>
    </row>
    <row r="2098" spans="2:4">
      <c r="D2098" t="s">
        <v>4226</v>
      </c>
    </row>
    <row r="2099" spans="2:4">
      <c r="B2099" t="s">
        <v>4332</v>
      </c>
    </row>
    <row r="2100" spans="2:4">
      <c r="C2100" t="s">
        <v>4333</v>
      </c>
    </row>
    <row r="2101" spans="2:4">
      <c r="C2101" t="s">
        <v>4334</v>
      </c>
    </row>
    <row r="2103" spans="2:4">
      <c r="B2103" t="s">
        <v>4217</v>
      </c>
    </row>
    <row r="2104" spans="2:4">
      <c r="B2104" t="s">
        <v>4215</v>
      </c>
    </row>
    <row r="2105" spans="2:4">
      <c r="B2105" t="s">
        <v>4216</v>
      </c>
    </row>
    <row r="2106" spans="2:4">
      <c r="B2106" t="s">
        <v>4218</v>
      </c>
    </row>
    <row r="2107" spans="2:4">
      <c r="B2107" t="s">
        <v>4219</v>
      </c>
    </row>
    <row r="2109" spans="2:4">
      <c r="B2109" t="s">
        <v>4220</v>
      </c>
    </row>
    <row r="2110" spans="2:4">
      <c r="C2110" t="s">
        <v>4221</v>
      </c>
    </row>
    <row r="2112" spans="2:4">
      <c r="B2112" s="983">
        <v>43678</v>
      </c>
    </row>
    <row r="2114" spans="2:3">
      <c r="B2114" t="s">
        <v>4358</v>
      </c>
    </row>
    <row r="2115" spans="2:3">
      <c r="B2115" t="s">
        <v>4359</v>
      </c>
    </row>
    <row r="2116" spans="2:3">
      <c r="C2116" t="s">
        <v>4360</v>
      </c>
    </row>
    <row r="2117" spans="2:3">
      <c r="C2117" t="s">
        <v>4361</v>
      </c>
    </row>
    <row r="2118" spans="2:3">
      <c r="B2118" t="s">
        <v>4362</v>
      </c>
    </row>
    <row r="2119" spans="2:3">
      <c r="B2119" t="s">
        <v>4363</v>
      </c>
    </row>
    <row r="2120" spans="2:3">
      <c r="C2120" t="s">
        <v>4364</v>
      </c>
    </row>
    <row r="2122" spans="2:3">
      <c r="B2122" s="983" t="s">
        <v>4419</v>
      </c>
    </row>
    <row r="2124" spans="2:3" ht="15.75">
      <c r="B2124" s="78" t="s">
        <v>3000</v>
      </c>
    </row>
    <row r="2125" spans="2:3" ht="15.75">
      <c r="B2125" s="639" t="s">
        <v>4400</v>
      </c>
      <c r="C2125" s="639"/>
    </row>
    <row r="2126" spans="2:3" ht="15.75">
      <c r="B2126" s="53" t="s">
        <v>4401</v>
      </c>
    </row>
    <row r="2127" spans="2:3" ht="15.75">
      <c r="B2127" s="53" t="s">
        <v>4402</v>
      </c>
    </row>
    <row r="2128" spans="2:3" ht="15.75">
      <c r="B2128" s="53" t="s">
        <v>4403</v>
      </c>
    </row>
    <row r="2129" spans="2:3" ht="15.75">
      <c r="B2129" s="53" t="s">
        <v>4404</v>
      </c>
    </row>
    <row r="2130" spans="2:3" ht="15.75">
      <c r="B2130" s="53" t="s">
        <v>4405</v>
      </c>
    </row>
    <row r="2131" spans="2:3" ht="15.75">
      <c r="B2131" s="53" t="s">
        <v>4403</v>
      </c>
    </row>
    <row r="2132" spans="2:3" ht="15.75">
      <c r="B2132" s="78" t="s">
        <v>1404</v>
      </c>
    </row>
    <row r="2133" spans="2:3" ht="15.75">
      <c r="B2133" s="53" t="s">
        <v>4389</v>
      </c>
      <c r="C2133" s="54">
        <v>0.33</v>
      </c>
    </row>
    <row r="2134" spans="2:3" ht="15.75">
      <c r="B2134" s="53" t="s">
        <v>1364</v>
      </c>
      <c r="C2134" s="79" t="s">
        <v>4407</v>
      </c>
    </row>
    <row r="2135" spans="2:3" ht="15.75">
      <c r="B2135" s="53" t="s">
        <v>4408</v>
      </c>
      <c r="C2135" s="54">
        <v>0.2</v>
      </c>
    </row>
    <row r="2136" spans="2:3" ht="15.75">
      <c r="B2136" s="53" t="s">
        <v>4406</v>
      </c>
      <c r="C2136" s="54">
        <v>0.1</v>
      </c>
    </row>
    <row r="2137" spans="2:3" ht="15.75">
      <c r="B2137" s="53"/>
      <c r="C2137" s="54"/>
    </row>
    <row r="2138" spans="2:3" ht="15.75">
      <c r="B2138" s="53" t="s">
        <v>20</v>
      </c>
      <c r="C2138" s="53" t="s">
        <v>4409</v>
      </c>
    </row>
    <row r="2139" spans="2:3" ht="15.75">
      <c r="B2139" s="53" t="s">
        <v>4413</v>
      </c>
      <c r="C2139" s="53" t="s">
        <v>4410</v>
      </c>
    </row>
    <row r="2140" spans="2:3" ht="15.75">
      <c r="B2140" s="53" t="s">
        <v>4412</v>
      </c>
      <c r="C2140" s="53" t="s">
        <v>4411</v>
      </c>
    </row>
    <row r="2142" spans="2:3">
      <c r="B2142" s="983" t="s">
        <v>4427</v>
      </c>
    </row>
    <row r="2144" spans="2:3">
      <c r="B2144" t="s">
        <v>4430</v>
      </c>
    </row>
    <row r="2145" spans="2:4">
      <c r="B2145" t="s">
        <v>4429</v>
      </c>
    </row>
    <row r="2146" spans="2:4">
      <c r="B2146" t="s">
        <v>4428</v>
      </c>
    </row>
    <row r="2148" spans="2:4">
      <c r="B2148" s="13" t="s">
        <v>4100</v>
      </c>
    </row>
    <row r="2150" spans="2:4">
      <c r="B2150" t="s">
        <v>469</v>
      </c>
    </row>
    <row r="2151" spans="2:4">
      <c r="C2151" s="12" t="s">
        <v>4433</v>
      </c>
    </row>
    <row r="2152" spans="2:4">
      <c r="C2152" t="s">
        <v>4434</v>
      </c>
    </row>
    <row r="2153" spans="2:4">
      <c r="C2153" t="s">
        <v>4435</v>
      </c>
    </row>
    <row r="2154" spans="2:4">
      <c r="C2154" t="s">
        <v>4436</v>
      </c>
    </row>
    <row r="2155" spans="2:4">
      <c r="C2155" t="s">
        <v>4464</v>
      </c>
    </row>
    <row r="2156" spans="2:4">
      <c r="B2156" t="s">
        <v>32</v>
      </c>
    </row>
    <row r="2157" spans="2:4">
      <c r="C2157" t="s">
        <v>4437</v>
      </c>
    </row>
    <row r="2158" spans="2:4">
      <c r="D2158" t="s">
        <v>4438</v>
      </c>
    </row>
    <row r="2159" spans="2:4">
      <c r="D2159" t="s">
        <v>4439</v>
      </c>
    </row>
    <row r="2160" spans="2:4">
      <c r="B2160" t="s">
        <v>31</v>
      </c>
    </row>
    <row r="2161" spans="2:3">
      <c r="C2161" s="12" t="s">
        <v>4447</v>
      </c>
    </row>
    <row r="2162" spans="2:3">
      <c r="C2162" t="s">
        <v>4448</v>
      </c>
    </row>
    <row r="2163" spans="2:3">
      <c r="B2163" t="s">
        <v>0</v>
      </c>
    </row>
    <row r="2164" spans="2:3">
      <c r="C2164" s="12" t="s">
        <v>4446</v>
      </c>
    </row>
    <row r="2165" spans="2:3">
      <c r="C2165" t="s">
        <v>4440</v>
      </c>
    </row>
    <row r="2166" spans="2:3">
      <c r="C2166" t="s">
        <v>4441</v>
      </c>
    </row>
    <row r="2167" spans="2:3">
      <c r="C2167" t="s">
        <v>4442</v>
      </c>
    </row>
    <row r="2168" spans="2:3">
      <c r="B2168" t="s">
        <v>29</v>
      </c>
    </row>
    <row r="2169" spans="2:3">
      <c r="C2169" t="s">
        <v>4443</v>
      </c>
    </row>
    <row r="2170" spans="2:3">
      <c r="C2170" t="s">
        <v>4444</v>
      </c>
    </row>
    <row r="2172" spans="2:3">
      <c r="B2172" s="13" t="s">
        <v>3554</v>
      </c>
    </row>
    <row r="2173" spans="2:3">
      <c r="B2173" t="s">
        <v>4445</v>
      </c>
    </row>
    <row r="2174" spans="2:3">
      <c r="B2174" t="s">
        <v>4449</v>
      </c>
    </row>
    <row r="2176" spans="2:3">
      <c r="B2176" s="13" t="s">
        <v>469</v>
      </c>
    </row>
    <row r="2178" spans="2:2">
      <c r="B2178" t="s">
        <v>4450</v>
      </c>
    </row>
    <row r="2179" spans="2:2">
      <c r="B2179" t="s">
        <v>4453</v>
      </c>
    </row>
    <row r="2180" spans="2:2">
      <c r="B2180" t="s">
        <v>4454</v>
      </c>
    </row>
    <row r="2181" spans="2:2">
      <c r="B2181" t="s">
        <v>4455</v>
      </c>
    </row>
    <row r="2183" spans="2:2">
      <c r="B2183" s="13" t="s">
        <v>0</v>
      </c>
    </row>
    <row r="2184" spans="2:2">
      <c r="B2184" t="s">
        <v>4451</v>
      </c>
    </row>
    <row r="2185" spans="2:2">
      <c r="B2185" t="s">
        <v>4452</v>
      </c>
    </row>
    <row r="2187" spans="2:2">
      <c r="B2187" t="s">
        <v>4456</v>
      </c>
    </row>
    <row r="2189" spans="2:2">
      <c r="B2189" s="13" t="s">
        <v>4457</v>
      </c>
    </row>
    <row r="2190" spans="2:2">
      <c r="B2190" t="s">
        <v>4458</v>
      </c>
    </row>
    <row r="2191" spans="2:2">
      <c r="B2191" t="s">
        <v>4459</v>
      </c>
    </row>
    <row r="2193" spans="2:2">
      <c r="B2193" s="13" t="s">
        <v>31</v>
      </c>
    </row>
    <row r="2194" spans="2:2">
      <c r="B2194" t="s">
        <v>4462</v>
      </c>
    </row>
    <row r="2195" spans="2:2">
      <c r="B2195" t="s">
        <v>4460</v>
      </c>
    </row>
    <row r="2196" spans="2:2">
      <c r="B2196" t="s">
        <v>4461</v>
      </c>
    </row>
    <row r="2198" spans="2:2">
      <c r="B2198" s="13" t="s">
        <v>3</v>
      </c>
    </row>
    <row r="2199" spans="2:2">
      <c r="B2199" t="s">
        <v>4463</v>
      </c>
    </row>
    <row r="2201" spans="2:2">
      <c r="B2201" t="s">
        <v>4465</v>
      </c>
    </row>
    <row r="2203" spans="2:2">
      <c r="B2203" s="513" t="s">
        <v>4468</v>
      </c>
    </row>
    <row r="2205" spans="2:2">
      <c r="B2205" t="s">
        <v>4466</v>
      </c>
    </row>
    <row r="2206" spans="2:2">
      <c r="B2206" t="s">
        <v>4467</v>
      </c>
    </row>
    <row r="2207" spans="2:2">
      <c r="B2207" t="s">
        <v>4469</v>
      </c>
    </row>
    <row r="2209" spans="2:3">
      <c r="B2209" s="983" t="s">
        <v>4499</v>
      </c>
    </row>
    <row r="2211" spans="2:3">
      <c r="B2211" t="s">
        <v>4500</v>
      </c>
    </row>
    <row r="2212" spans="2:3">
      <c r="B2212" t="s">
        <v>4501</v>
      </c>
    </row>
    <row r="2214" spans="2:3">
      <c r="B2214" t="s">
        <v>984</v>
      </c>
      <c r="C2214">
        <v>1.95</v>
      </c>
    </row>
    <row r="2215" spans="2:3">
      <c r="B2215" t="s">
        <v>4502</v>
      </c>
      <c r="C2215">
        <v>750</v>
      </c>
    </row>
    <row r="2216" spans="2:3">
      <c r="B2216" t="s">
        <v>4503</v>
      </c>
      <c r="C2216">
        <f>1950-C2215</f>
        <v>1200</v>
      </c>
    </row>
    <row r="2218" spans="2:3">
      <c r="B2218" t="s">
        <v>925</v>
      </c>
      <c r="C2218">
        <v>900</v>
      </c>
    </row>
    <row r="2219" spans="2:3">
      <c r="B2219" t="s">
        <v>1833</v>
      </c>
      <c r="C2219">
        <f>C2216+C2218</f>
        <v>2100</v>
      </c>
    </row>
    <row r="2221" spans="2:3">
      <c r="B2221" t="s">
        <v>4504</v>
      </c>
      <c r="C2221">
        <v>1000</v>
      </c>
    </row>
    <row r="2222" spans="2:3">
      <c r="B2222" t="s">
        <v>4505</v>
      </c>
      <c r="C2222">
        <f>C2219-C2221</f>
        <v>1100</v>
      </c>
    </row>
    <row r="2224" spans="2:3">
      <c r="B2224" s="513" t="s">
        <v>4523</v>
      </c>
    </row>
    <row r="2225" spans="2:4">
      <c r="B2225" t="s">
        <v>4528</v>
      </c>
    </row>
    <row r="2226" spans="2:4">
      <c r="B2226" t="s">
        <v>8</v>
      </c>
      <c r="C2226">
        <v>1524</v>
      </c>
    </row>
    <row r="2227" spans="2:4">
      <c r="B2227" t="s">
        <v>414</v>
      </c>
    </row>
    <row r="2228" spans="2:4">
      <c r="B2228" t="s">
        <v>469</v>
      </c>
      <c r="C2228" t="s">
        <v>4524</v>
      </c>
    </row>
    <row r="2229" spans="2:4">
      <c r="D2229" t="s">
        <v>4526</v>
      </c>
    </row>
    <row r="2230" spans="2:4">
      <c r="C2230" t="s">
        <v>4525</v>
      </c>
    </row>
    <row r="2231" spans="2:4">
      <c r="C2231" t="s">
        <v>4527</v>
      </c>
    </row>
    <row r="2232" spans="2:4">
      <c r="B2232" t="s">
        <v>4529</v>
      </c>
    </row>
    <row r="2234" spans="2:4">
      <c r="B2234" s="513" t="s">
        <v>4535</v>
      </c>
    </row>
    <row r="2236" spans="2:4">
      <c r="B2236" t="s">
        <v>4537</v>
      </c>
    </row>
    <row r="2237" spans="2:4">
      <c r="C2237" t="s">
        <v>4538</v>
      </c>
    </row>
    <row r="2238" spans="2:4">
      <c r="B2238" t="s">
        <v>4539</v>
      </c>
    </row>
    <row r="2240" spans="2:4">
      <c r="B2240" t="s">
        <v>4540</v>
      </c>
    </row>
    <row r="2241" spans="2:3">
      <c r="C2241" t="s">
        <v>4542</v>
      </c>
    </row>
    <row r="2242" spans="2:3">
      <c r="C2242" t="s">
        <v>4541</v>
      </c>
    </row>
    <row r="2243" spans="2:3">
      <c r="B2243" t="s">
        <v>4545</v>
      </c>
    </row>
    <row r="2245" spans="2:3">
      <c r="B2245" s="513" t="s">
        <v>4100</v>
      </c>
    </row>
    <row r="2246" spans="2:3">
      <c r="B2246" t="s">
        <v>4546</v>
      </c>
      <c r="C2246" t="s">
        <v>4547</v>
      </c>
    </row>
    <row r="2249" spans="2:3">
      <c r="B2249" s="513" t="s">
        <v>428</v>
      </c>
    </row>
    <row r="2250" spans="2:3">
      <c r="B2250" s="513"/>
    </row>
    <row r="2251" spans="2:3">
      <c r="B2251" t="s">
        <v>4548</v>
      </c>
      <c r="C2251" t="s">
        <v>4549</v>
      </c>
    </row>
    <row r="2252" spans="2:3">
      <c r="C2252" t="s">
        <v>4550</v>
      </c>
    </row>
    <row r="2253" spans="2:3">
      <c r="C2253" t="s">
        <v>4551</v>
      </c>
    </row>
    <row r="2254" spans="2:3">
      <c r="B2254" t="s">
        <v>249</v>
      </c>
    </row>
    <row r="2255" spans="2:3">
      <c r="C2255" t="s">
        <v>4552</v>
      </c>
    </row>
    <row r="2256" spans="2:3">
      <c r="B2256" t="s">
        <v>4553</v>
      </c>
    </row>
    <row r="2258" spans="2:2">
      <c r="B2258" s="12" t="s">
        <v>0</v>
      </c>
    </row>
    <row r="2259" spans="2:2">
      <c r="B2259" t="s">
        <v>4554</v>
      </c>
    </row>
    <row r="2260" spans="2:2">
      <c r="B2260" t="s">
        <v>4555</v>
      </c>
    </row>
    <row r="2261" spans="2:2">
      <c r="B2261" t="s">
        <v>4559</v>
      </c>
    </row>
    <row r="2262" spans="2:2">
      <c r="B2262" t="s">
        <v>4560</v>
      </c>
    </row>
    <row r="2263" spans="2:2">
      <c r="B2263" t="s">
        <v>4561</v>
      </c>
    </row>
    <row r="2265" spans="2:2">
      <c r="B2265" s="12" t="s">
        <v>468</v>
      </c>
    </row>
    <row r="2266" spans="2:2">
      <c r="B2266" t="s">
        <v>4556</v>
      </c>
    </row>
    <row r="2267" spans="2:2">
      <c r="B2267" t="s">
        <v>4557</v>
      </c>
    </row>
    <row r="2268" spans="2:2">
      <c r="B2268" t="s">
        <v>4558</v>
      </c>
    </row>
    <row r="2269" spans="2:2">
      <c r="B2269" t="s">
        <v>4574</v>
      </c>
    </row>
    <row r="2271" spans="2:2">
      <c r="B2271" s="12" t="s">
        <v>984</v>
      </c>
    </row>
    <row r="2272" spans="2:2">
      <c r="B2272" t="s">
        <v>4562</v>
      </c>
    </row>
    <row r="2273" spans="2:2">
      <c r="B2273" t="s">
        <v>4563</v>
      </c>
    </row>
    <row r="2274" spans="2:2">
      <c r="B2274" t="s">
        <v>4564</v>
      </c>
    </row>
    <row r="2276" spans="2:2">
      <c r="B2276" s="12" t="s">
        <v>4567</v>
      </c>
    </row>
    <row r="2277" spans="2:2">
      <c r="B2277" t="s">
        <v>4565</v>
      </c>
    </row>
    <row r="2278" spans="2:2">
      <c r="B2278" t="s">
        <v>4566</v>
      </c>
    </row>
    <row r="2279" spans="2:2">
      <c r="B2279" s="13" t="s">
        <v>4568</v>
      </c>
    </row>
    <row r="2280" spans="2:2">
      <c r="B2280" t="s">
        <v>4569</v>
      </c>
    </row>
    <row r="2281" spans="2:2">
      <c r="B2281" t="s">
        <v>4570</v>
      </c>
    </row>
    <row r="2282" spans="2:2">
      <c r="B2282" t="s">
        <v>4571</v>
      </c>
    </row>
    <row r="2284" spans="2:2">
      <c r="B2284" s="12" t="s">
        <v>2639</v>
      </c>
    </row>
    <row r="2285" spans="2:2">
      <c r="B2285" t="s">
        <v>4572</v>
      </c>
    </row>
    <row r="2286" spans="2:2">
      <c r="B2286" t="s">
        <v>4573</v>
      </c>
    </row>
    <row r="2288" spans="2:2">
      <c r="B2288" t="s">
        <v>4575</v>
      </c>
    </row>
    <row r="2289" spans="2:3">
      <c r="C2289" t="s">
        <v>4576</v>
      </c>
    </row>
    <row r="2291" spans="2:3">
      <c r="B2291" t="s">
        <v>4577</v>
      </c>
    </row>
    <row r="2293" spans="2:3">
      <c r="B2293" s="12" t="s">
        <v>1689</v>
      </c>
    </row>
    <row r="2294" spans="2:3">
      <c r="B2294" t="s">
        <v>4579</v>
      </c>
    </row>
    <row r="2295" spans="2:3">
      <c r="B2295" t="s">
        <v>4578</v>
      </c>
    </row>
    <row r="2297" spans="2:3">
      <c r="B2297" s="12" t="s">
        <v>4580</v>
      </c>
    </row>
    <row r="2298" spans="2:3">
      <c r="B2298" t="s">
        <v>4581</v>
      </c>
    </row>
    <row r="2300" spans="2:3">
      <c r="B2300" s="513" t="s">
        <v>3450</v>
      </c>
    </row>
    <row r="2302" spans="2:3">
      <c r="B2302" t="s">
        <v>468</v>
      </c>
    </row>
    <row r="2303" spans="2:3">
      <c r="B2303" t="s">
        <v>32</v>
      </c>
    </row>
    <row r="2304" spans="2:3">
      <c r="C2304" s="6">
        <f>'New quarts'!AA61</f>
        <v>5.7608800540384086E-2</v>
      </c>
    </row>
    <row r="2305" spans="2:3">
      <c r="B2305" t="s">
        <v>0</v>
      </c>
    </row>
    <row r="2307" spans="2:3">
      <c r="B2307" t="s">
        <v>3411</v>
      </c>
    </row>
    <row r="2308" spans="2:3">
      <c r="C2308" s="6">
        <f>'New quarts'!AA66</f>
        <v>0.11600437848433143</v>
      </c>
    </row>
    <row r="2310" spans="2:3">
      <c r="B2310" s="513" t="s">
        <v>4598</v>
      </c>
    </row>
    <row r="2312" spans="2:3">
      <c r="B2312" t="s">
        <v>4600</v>
      </c>
    </row>
    <row r="2313" spans="2:3">
      <c r="B2313" t="s">
        <v>4599</v>
      </c>
    </row>
    <row r="2314" spans="2:3">
      <c r="B2314" t="s">
        <v>4601</v>
      </c>
    </row>
    <row r="2316" spans="2:3">
      <c r="B2316" s="13" t="s">
        <v>4602</v>
      </c>
    </row>
    <row r="2317" spans="2:3">
      <c r="B2317" t="s">
        <v>4603</v>
      </c>
    </row>
    <row r="2318" spans="2:3">
      <c r="B2318" t="s">
        <v>4604</v>
      </c>
    </row>
    <row r="2319" spans="2:3">
      <c r="B2319" t="s">
        <v>4605</v>
      </c>
    </row>
    <row r="2320" spans="2:3">
      <c r="B2320" t="s">
        <v>4606</v>
      </c>
    </row>
    <row r="2321" spans="2:4">
      <c r="B2321" t="s">
        <v>4607</v>
      </c>
    </row>
    <row r="2322" spans="2:4">
      <c r="C2322" t="s">
        <v>4608</v>
      </c>
    </row>
    <row r="2323" spans="2:4">
      <c r="C2323" t="s">
        <v>4609</v>
      </c>
    </row>
    <row r="2324" spans="2:4">
      <c r="B2324" t="s">
        <v>4610</v>
      </c>
    </row>
    <row r="2325" spans="2:4">
      <c r="C2325" t="s">
        <v>4611</v>
      </c>
    </row>
    <row r="2326" spans="2:4">
      <c r="C2326" t="s">
        <v>4612</v>
      </c>
    </row>
    <row r="2327" spans="2:4">
      <c r="B2327" t="s">
        <v>469</v>
      </c>
    </row>
    <row r="2328" spans="2:4">
      <c r="C2328" t="s">
        <v>4615</v>
      </c>
    </row>
    <row r="2329" spans="2:4">
      <c r="D2329" t="s">
        <v>4616</v>
      </c>
    </row>
    <row r="2330" spans="2:4">
      <c r="C2330" t="s">
        <v>4613</v>
      </c>
    </row>
    <row r="2331" spans="2:4">
      <c r="D2331" t="s">
        <v>4614</v>
      </c>
    </row>
    <row r="2332" spans="2:4">
      <c r="D2332" t="s">
        <v>4617</v>
      </c>
    </row>
    <row r="2333" spans="2:4">
      <c r="C2333" t="s">
        <v>399</v>
      </c>
    </row>
    <row r="2334" spans="2:4">
      <c r="D2334" t="s">
        <v>4618</v>
      </c>
    </row>
    <row r="2335" spans="2:4">
      <c r="D2335" t="s">
        <v>4619</v>
      </c>
    </row>
    <row r="2336" spans="2:4">
      <c r="C2336" t="s">
        <v>4620</v>
      </c>
    </row>
    <row r="2337" spans="2:4">
      <c r="D2337" t="s">
        <v>4621</v>
      </c>
    </row>
    <row r="2338" spans="2:4">
      <c r="D2338" t="s">
        <v>4622</v>
      </c>
    </row>
    <row r="2339" spans="2:4">
      <c r="D2339" t="s">
        <v>4623</v>
      </c>
    </row>
    <row r="2340" spans="2:4">
      <c r="B2340" t="s">
        <v>468</v>
      </c>
    </row>
    <row r="2341" spans="2:4">
      <c r="C2341" t="s">
        <v>4624</v>
      </c>
    </row>
    <row r="2342" spans="2:4">
      <c r="C2342" t="s">
        <v>4625</v>
      </c>
    </row>
    <row r="2343" spans="2:4">
      <c r="D2343" t="s">
        <v>4626</v>
      </c>
    </row>
    <row r="2344" spans="2:4">
      <c r="B2344" t="s">
        <v>32</v>
      </c>
    </row>
    <row r="2345" spans="2:4">
      <c r="C2345" t="s">
        <v>4627</v>
      </c>
    </row>
    <row r="2346" spans="2:4">
      <c r="D2346" t="s">
        <v>4628</v>
      </c>
    </row>
    <row r="2347" spans="2:4">
      <c r="D2347" t="s">
        <v>4641</v>
      </c>
    </row>
    <row r="2348" spans="2:4">
      <c r="D2348" t="s">
        <v>4631</v>
      </c>
    </row>
    <row r="2349" spans="2:4">
      <c r="C2349" t="s">
        <v>4632</v>
      </c>
    </row>
    <row r="2350" spans="2:4">
      <c r="D2350" t="s">
        <v>4633</v>
      </c>
    </row>
    <row r="2351" spans="2:4">
      <c r="C2351" t="s">
        <v>4634</v>
      </c>
    </row>
    <row r="2352" spans="2:4">
      <c r="D2352" t="s">
        <v>4635</v>
      </c>
    </row>
    <row r="2353" spans="2:6">
      <c r="D2353" t="s">
        <v>4636</v>
      </c>
    </row>
    <row r="2354" spans="2:6">
      <c r="C2354" t="s">
        <v>4637</v>
      </c>
    </row>
    <row r="2355" spans="2:6">
      <c r="C2355" t="s">
        <v>4629</v>
      </c>
    </row>
    <row r="2356" spans="2:6">
      <c r="C2356" t="s">
        <v>4630</v>
      </c>
    </row>
    <row r="2358" spans="2:6">
      <c r="C2358" t="s">
        <v>4638</v>
      </c>
    </row>
    <row r="2359" spans="2:6">
      <c r="C2359" t="s">
        <v>4639</v>
      </c>
    </row>
    <row r="2360" spans="2:6">
      <c r="C2360" t="s">
        <v>4640</v>
      </c>
    </row>
    <row r="2362" spans="2:6">
      <c r="C2362" t="s">
        <v>4642</v>
      </c>
    </row>
    <row r="2364" spans="2:6">
      <c r="B2364" s="3"/>
      <c r="C2364" s="3"/>
      <c r="D2364" s="3"/>
      <c r="E2364" s="4" t="s">
        <v>4427</v>
      </c>
      <c r="F2364" s="4" t="s">
        <v>4535</v>
      </c>
    </row>
    <row r="2365" spans="2:6">
      <c r="B2365" t="s">
        <v>1365</v>
      </c>
      <c r="F2365" s="5">
        <v>0.08</v>
      </c>
    </row>
    <row r="2366" spans="2:6">
      <c r="B2366" s="3" t="s">
        <v>29</v>
      </c>
      <c r="C2366" s="3"/>
      <c r="D2366" s="3"/>
      <c r="E2366" s="4" t="s">
        <v>4648</v>
      </c>
      <c r="F2366" s="4" t="s">
        <v>4643</v>
      </c>
    </row>
    <row r="2367" spans="2:6">
      <c r="F2367" s="80" t="s">
        <v>4644</v>
      </c>
    </row>
    <row r="2368" spans="2:6">
      <c r="B2368" t="s">
        <v>4649</v>
      </c>
      <c r="F2368" s="80"/>
    </row>
    <row r="2369" spans="2:6">
      <c r="C2369" t="s">
        <v>4650</v>
      </c>
      <c r="F2369" s="80"/>
    </row>
    <row r="2371" spans="2:6">
      <c r="B2371" t="s">
        <v>4645</v>
      </c>
    </row>
    <row r="2372" spans="2:6">
      <c r="C2372" t="s">
        <v>4646</v>
      </c>
    </row>
    <row r="2373" spans="2:6">
      <c r="C2373" t="s">
        <v>4647</v>
      </c>
    </row>
    <row r="2375" spans="2:6">
      <c r="B2375" s="513" t="s">
        <v>4651</v>
      </c>
    </row>
    <row r="2376" spans="2:6" ht="15.75">
      <c r="B2376" s="53"/>
      <c r="C2376" s="53"/>
      <c r="D2376" s="53"/>
    </row>
    <row r="2377" spans="2:6" ht="15.75">
      <c r="B2377" s="53" t="s">
        <v>4652</v>
      </c>
      <c r="C2377" s="53"/>
      <c r="D2377" s="53"/>
    </row>
    <row r="2378" spans="2:6" ht="15.75">
      <c r="B2378" s="53" t="s">
        <v>4653</v>
      </c>
      <c r="C2378" s="53"/>
      <c r="D2378" s="53"/>
    </row>
    <row r="2379" spans="2:6" ht="15.75">
      <c r="B2379" s="53" t="s">
        <v>2412</v>
      </c>
      <c r="C2379" s="53"/>
      <c r="D2379" s="53"/>
    </row>
    <row r="2380" spans="2:6" ht="15.75">
      <c r="B2380" s="53"/>
      <c r="C2380" s="53" t="s">
        <v>4654</v>
      </c>
      <c r="D2380" s="53"/>
    </row>
    <row r="2381" spans="2:6" ht="15.75">
      <c r="B2381" s="53"/>
      <c r="D2381" s="53" t="s">
        <v>4655</v>
      </c>
    </row>
    <row r="2382" spans="2:6" ht="15.75">
      <c r="B2382" s="53"/>
      <c r="D2382" s="53" t="s">
        <v>4656</v>
      </c>
    </row>
    <row r="2383" spans="2:6" ht="15.75">
      <c r="B2383" s="53"/>
      <c r="C2383" s="53" t="s">
        <v>4660</v>
      </c>
      <c r="D2383" s="53"/>
    </row>
    <row r="2384" spans="2:6" ht="15.75">
      <c r="B2384" s="53" t="s">
        <v>4657</v>
      </c>
      <c r="C2384" s="53"/>
      <c r="D2384" s="53"/>
    </row>
    <row r="2385" spans="2:7" ht="15.75">
      <c r="B2385" s="53" t="s">
        <v>4658</v>
      </c>
      <c r="C2385" s="53"/>
      <c r="D2385" s="53"/>
    </row>
    <row r="2386" spans="2:7" ht="15.75">
      <c r="B2386" s="53"/>
      <c r="C2386" s="51" t="s">
        <v>4667</v>
      </c>
      <c r="D2386" s="52" t="s">
        <v>4669</v>
      </c>
    </row>
    <row r="2387" spans="2:7" ht="15.75">
      <c r="B2387" s="53" t="s">
        <v>2167</v>
      </c>
      <c r="C2387" s="79">
        <v>4.0599999999999996</v>
      </c>
      <c r="D2387" s="53"/>
      <c r="F2387" t="s">
        <v>5056</v>
      </c>
      <c r="G2387" t="s">
        <v>5057</v>
      </c>
    </row>
    <row r="2388" spans="2:7" ht="15.75">
      <c r="B2388" s="53" t="s">
        <v>4668</v>
      </c>
      <c r="C2388" s="79" t="s">
        <v>4666</v>
      </c>
      <c r="D2388" s="53"/>
      <c r="F2388" t="s">
        <v>5058</v>
      </c>
      <c r="G2388" t="s">
        <v>5059</v>
      </c>
    </row>
    <row r="2389" spans="2:7" ht="15.75">
      <c r="B2389" s="53" t="s">
        <v>4673</v>
      </c>
      <c r="C2389" s="79">
        <v>4.46</v>
      </c>
      <c r="D2389" s="53" t="s">
        <v>4674</v>
      </c>
      <c r="G2389" t="s">
        <v>5060</v>
      </c>
    </row>
    <row r="2390" spans="2:7" ht="15.75">
      <c r="B2390" s="53" t="s">
        <v>4659</v>
      </c>
      <c r="C2390" s="53"/>
      <c r="D2390" s="53"/>
    </row>
    <row r="2391" spans="2:7" ht="15.75">
      <c r="B2391" s="53"/>
      <c r="C2391" s="53"/>
      <c r="D2391" s="53"/>
    </row>
    <row r="2392" spans="2:7" ht="15.75">
      <c r="B2392" s="53" t="s">
        <v>4670</v>
      </c>
      <c r="C2392" s="53" t="s">
        <v>4671</v>
      </c>
      <c r="D2392" s="53"/>
    </row>
    <row r="2393" spans="2:7" ht="15.75">
      <c r="B2393" s="53" t="s">
        <v>2167</v>
      </c>
      <c r="C2393" s="79">
        <v>625</v>
      </c>
      <c r="D2393" s="53"/>
    </row>
    <row r="2394" spans="2:7" ht="15.75">
      <c r="B2394" s="53" t="s">
        <v>4672</v>
      </c>
      <c r="C2394" s="79">
        <v>250</v>
      </c>
      <c r="D2394" s="53"/>
    </row>
    <row r="2395" spans="2:7" ht="15.75">
      <c r="B2395" s="53" t="s">
        <v>984</v>
      </c>
      <c r="C2395" s="79">
        <v>125</v>
      </c>
      <c r="D2395" s="53"/>
    </row>
    <row r="2396" spans="2:7" ht="15.75">
      <c r="B2396" s="53"/>
      <c r="C2396" s="53"/>
      <c r="D2396" s="53"/>
    </row>
    <row r="2397" spans="2:7" ht="15.75">
      <c r="B2397" s="53" t="s">
        <v>4661</v>
      </c>
      <c r="C2397" s="53"/>
      <c r="D2397" s="53"/>
    </row>
    <row r="2398" spans="2:7" ht="15.75">
      <c r="B2398" s="53" t="s">
        <v>4662</v>
      </c>
      <c r="C2398" s="53"/>
      <c r="D2398" s="53"/>
    </row>
    <row r="2399" spans="2:7" ht="15.75">
      <c r="C2399" s="53" t="s">
        <v>4663</v>
      </c>
    </row>
    <row r="2400" spans="2:7" ht="15.75">
      <c r="C2400" s="53" t="s">
        <v>4664</v>
      </c>
    </row>
    <row r="2401" spans="2:6" ht="15.75">
      <c r="B2401" s="53" t="s">
        <v>4665</v>
      </c>
    </row>
    <row r="2403" spans="2:6">
      <c r="B2403" s="513" t="s">
        <v>4675</v>
      </c>
    </row>
    <row r="2404" spans="2:6" ht="15.75">
      <c r="B2404" s="53"/>
      <c r="C2404" s="53"/>
      <c r="D2404" s="53"/>
    </row>
    <row r="2405" spans="2:6" ht="15.75">
      <c r="B2405" s="53" t="s">
        <v>4677</v>
      </c>
      <c r="C2405" s="53"/>
      <c r="D2405" s="53"/>
    </row>
    <row r="2406" spans="2:6" ht="15.75">
      <c r="B2406" s="53"/>
      <c r="C2406" s="53" t="s">
        <v>4676</v>
      </c>
      <c r="D2406" s="53"/>
    </row>
    <row r="2407" spans="2:6" ht="15.75">
      <c r="B2407" s="53" t="s">
        <v>4678</v>
      </c>
      <c r="C2407" s="53"/>
      <c r="D2407" s="53"/>
    </row>
    <row r="2408" spans="2:6" ht="15.75">
      <c r="B2408" s="53"/>
      <c r="C2408" s="53"/>
      <c r="D2408" s="53"/>
    </row>
    <row r="2409" spans="2:6" ht="15.75">
      <c r="B2409" s="78" t="s">
        <v>4703</v>
      </c>
      <c r="C2409" s="53"/>
      <c r="D2409" s="53"/>
    </row>
    <row r="2410" spans="2:6" ht="15.75">
      <c r="B2410" s="53" t="s">
        <v>4701</v>
      </c>
      <c r="C2410" s="53" t="s">
        <v>4702</v>
      </c>
      <c r="D2410" s="53"/>
    </row>
    <row r="2411" spans="2:6" ht="15.75">
      <c r="B2411" s="53" t="s">
        <v>4704</v>
      </c>
    </row>
    <row r="2413" spans="2:6" ht="15.75">
      <c r="B2413" s="1061" t="s">
        <v>4760</v>
      </c>
      <c r="C2413" s="53"/>
      <c r="D2413" s="53"/>
      <c r="E2413" s="53"/>
      <c r="F2413" s="53"/>
    </row>
    <row r="2414" spans="2:6" ht="15.75">
      <c r="B2414" s="53"/>
      <c r="C2414" s="53"/>
      <c r="D2414" s="53"/>
      <c r="E2414" s="53"/>
      <c r="F2414" s="53"/>
    </row>
    <row r="2415" spans="2:6" ht="15.75">
      <c r="B2415" s="78" t="s">
        <v>70</v>
      </c>
      <c r="C2415" s="53"/>
      <c r="D2415" s="53"/>
      <c r="E2415" s="53"/>
      <c r="F2415" s="53"/>
    </row>
    <row r="2416" spans="2:6" ht="15.75">
      <c r="B2416" s="53"/>
      <c r="C2416" s="53"/>
      <c r="D2416" s="53"/>
      <c r="E2416" s="53"/>
      <c r="F2416" s="53"/>
    </row>
    <row r="2417" spans="2:6" ht="15.75">
      <c r="B2417" s="53" t="s">
        <v>4761</v>
      </c>
      <c r="C2417" s="53"/>
      <c r="D2417" s="53"/>
      <c r="E2417" s="53"/>
      <c r="F2417" s="53"/>
    </row>
    <row r="2418" spans="2:6" ht="15.75">
      <c r="B2418" s="53" t="s">
        <v>4762</v>
      </c>
      <c r="C2418" s="53"/>
      <c r="D2418" s="53"/>
      <c r="E2418" s="53"/>
      <c r="F2418" s="53"/>
    </row>
    <row r="2419" spans="2:6" ht="15.75">
      <c r="B2419" s="53" t="s">
        <v>4763</v>
      </c>
      <c r="C2419" s="53"/>
      <c r="D2419" s="53"/>
      <c r="E2419" s="53"/>
      <c r="F2419" s="53"/>
    </row>
    <row r="2420" spans="2:6" ht="15.75">
      <c r="B2420" s="53" t="s">
        <v>4764</v>
      </c>
      <c r="C2420" s="53"/>
      <c r="D2420" s="53"/>
      <c r="E2420" s="53"/>
      <c r="F2420" s="53"/>
    </row>
    <row r="2421" spans="2:6" ht="15.75">
      <c r="B2421" s="53"/>
      <c r="C2421" s="53"/>
      <c r="D2421" s="53"/>
      <c r="E2421" s="53"/>
      <c r="F2421" s="53"/>
    </row>
    <row r="2422" spans="2:6" ht="15.75">
      <c r="B2422" s="53" t="s">
        <v>1976</v>
      </c>
      <c r="C2422" s="53"/>
      <c r="D2422" s="53"/>
      <c r="E2422" s="53"/>
      <c r="F2422" s="53"/>
    </row>
    <row r="2423" spans="2:6" ht="15.75">
      <c r="C2423" s="53" t="s">
        <v>4765</v>
      </c>
      <c r="D2423" s="53"/>
      <c r="E2423" s="53"/>
      <c r="F2423" s="53"/>
    </row>
    <row r="2424" spans="2:6" ht="15.75">
      <c r="D2424" s="821" t="s">
        <v>4802</v>
      </c>
      <c r="E2424" s="53"/>
      <c r="F2424" s="53"/>
    </row>
    <row r="2425" spans="2:6" ht="15.75">
      <c r="D2425" s="821"/>
      <c r="E2425" s="821" t="s">
        <v>4806</v>
      </c>
      <c r="F2425" s="53"/>
    </row>
    <row r="2426" spans="2:6" ht="15.75">
      <c r="D2426" s="821" t="s">
        <v>4805</v>
      </c>
      <c r="E2426" s="53"/>
      <c r="F2426" s="53"/>
    </row>
    <row r="2427" spans="2:6" ht="15.75">
      <c r="B2427" s="53" t="s">
        <v>4766</v>
      </c>
      <c r="C2427" s="53"/>
      <c r="D2427" s="53"/>
      <c r="E2427" s="53"/>
      <c r="F2427" s="53"/>
    </row>
    <row r="2428" spans="2:6" ht="15.75">
      <c r="B2428" s="53"/>
      <c r="C2428" s="53" t="s">
        <v>4767</v>
      </c>
      <c r="D2428" s="53"/>
      <c r="E2428" s="53"/>
      <c r="F2428" s="53"/>
    </row>
    <row r="2429" spans="2:6" ht="15.75">
      <c r="B2429" s="53" t="s">
        <v>468</v>
      </c>
      <c r="C2429" s="53"/>
      <c r="D2429" s="53"/>
      <c r="E2429" s="53"/>
      <c r="F2429" s="53"/>
    </row>
    <row r="2430" spans="2:6" ht="15.75">
      <c r="B2430" s="53"/>
      <c r="C2430" s="53" t="s">
        <v>4768</v>
      </c>
      <c r="D2430" s="53"/>
      <c r="E2430" s="53"/>
      <c r="F2430" s="53"/>
    </row>
    <row r="2431" spans="2:6" ht="15.75">
      <c r="B2431" s="53"/>
      <c r="C2431" s="53"/>
      <c r="D2431" s="53"/>
      <c r="E2431" s="53"/>
      <c r="F2431" s="53"/>
    </row>
    <row r="2432" spans="2:6" ht="15.75">
      <c r="B2432" s="78" t="s">
        <v>4770</v>
      </c>
      <c r="C2432" s="53"/>
      <c r="D2432" s="53"/>
      <c r="E2432" s="53"/>
      <c r="F2432" s="53"/>
    </row>
    <row r="2433" spans="2:6" ht="15.75">
      <c r="B2433" s="53" t="s">
        <v>4785</v>
      </c>
      <c r="C2433" s="53"/>
      <c r="D2433" s="53"/>
      <c r="E2433" s="53"/>
      <c r="F2433" s="53"/>
    </row>
    <row r="2434" spans="2:6" ht="15.75">
      <c r="B2434" s="53"/>
      <c r="C2434" s="53" t="s">
        <v>4786</v>
      </c>
      <c r="D2434" s="53"/>
      <c r="E2434" s="53"/>
      <c r="F2434" s="53"/>
    </row>
    <row r="2435" spans="2:6" ht="15.75">
      <c r="B2435" s="53"/>
      <c r="C2435" s="53" t="s">
        <v>4787</v>
      </c>
      <c r="D2435" s="53"/>
      <c r="E2435" s="53"/>
      <c r="F2435" s="53"/>
    </row>
    <row r="2436" spans="2:6" ht="15.75">
      <c r="B2436" s="53"/>
      <c r="C2436" s="53"/>
      <c r="D2436" s="1062">
        <v>43907</v>
      </c>
      <c r="E2436" s="53"/>
      <c r="F2436" s="53"/>
    </row>
    <row r="2437" spans="2:6" ht="15.75">
      <c r="B2437" s="53"/>
      <c r="C2437" s="53"/>
      <c r="D2437" s="1064" t="s">
        <v>4788</v>
      </c>
      <c r="E2437" s="53"/>
      <c r="F2437" s="53"/>
    </row>
    <row r="2438" spans="2:6" ht="15.75">
      <c r="B2438" s="53" t="s">
        <v>4769</v>
      </c>
      <c r="C2438" s="53"/>
      <c r="D2438" s="53"/>
      <c r="E2438" s="53"/>
      <c r="F2438" s="53"/>
    </row>
    <row r="2439" spans="2:6" ht="15.75">
      <c r="B2439" s="53" t="s">
        <v>4771</v>
      </c>
      <c r="C2439" s="53"/>
      <c r="D2439" s="53"/>
      <c r="E2439" s="53"/>
      <c r="F2439" s="53"/>
    </row>
    <row r="2440" spans="2:6" ht="15.75">
      <c r="B2440" s="53" t="s">
        <v>4772</v>
      </c>
      <c r="C2440" s="53"/>
      <c r="D2440" s="53"/>
      <c r="E2440" s="53"/>
      <c r="F2440" s="53"/>
    </row>
    <row r="2441" spans="2:6" ht="15.75">
      <c r="B2441" s="53"/>
      <c r="C2441" s="53" t="s">
        <v>4773</v>
      </c>
      <c r="D2441" s="53"/>
      <c r="E2441" s="53"/>
      <c r="F2441" s="53"/>
    </row>
    <row r="2442" spans="2:6" ht="15.75">
      <c r="B2442" s="53" t="s">
        <v>4774</v>
      </c>
      <c r="C2442" s="53"/>
      <c r="D2442" s="53"/>
      <c r="E2442" s="53"/>
      <c r="F2442" s="53"/>
    </row>
    <row r="2443" spans="2:6" ht="15.75">
      <c r="B2443" s="53"/>
      <c r="C2443" s="53" t="s">
        <v>4775</v>
      </c>
      <c r="D2443" s="53"/>
      <c r="E2443" s="53"/>
      <c r="F2443" s="53"/>
    </row>
    <row r="2444" spans="2:6" ht="15.75">
      <c r="B2444" s="53" t="s">
        <v>4776</v>
      </c>
      <c r="C2444" s="53"/>
      <c r="D2444" s="53"/>
      <c r="E2444" s="53"/>
      <c r="F2444" s="53"/>
    </row>
    <row r="2445" spans="2:6" ht="15.75">
      <c r="B2445" s="53"/>
      <c r="C2445" s="53" t="s">
        <v>4777</v>
      </c>
      <c r="D2445" s="53"/>
      <c r="E2445" s="53"/>
      <c r="F2445" s="53"/>
    </row>
    <row r="2446" spans="2:6" ht="15.75">
      <c r="B2446" s="53"/>
      <c r="C2446" s="53" t="s">
        <v>4778</v>
      </c>
      <c r="D2446" s="53"/>
      <c r="E2446" s="53"/>
      <c r="F2446" s="53"/>
    </row>
    <row r="2447" spans="2:6" ht="15.75">
      <c r="B2447" s="53"/>
      <c r="C2447" s="53" t="s">
        <v>4779</v>
      </c>
      <c r="D2447" s="53"/>
      <c r="E2447" s="53"/>
      <c r="F2447" s="53"/>
    </row>
    <row r="2448" spans="2:6" ht="15.75">
      <c r="B2448" s="53"/>
      <c r="C2448" s="53"/>
      <c r="D2448" s="53" t="s">
        <v>4781</v>
      </c>
      <c r="E2448" s="53"/>
      <c r="F2448" s="53"/>
    </row>
    <row r="2449" spans="2:6" ht="15.75">
      <c r="B2449" s="53"/>
      <c r="C2449" s="53"/>
      <c r="D2449" s="53" t="s">
        <v>4782</v>
      </c>
      <c r="E2449" s="53"/>
      <c r="F2449" s="53"/>
    </row>
    <row r="2450" spans="2:6" ht="15.75">
      <c r="B2450" s="53"/>
      <c r="C2450" s="53"/>
      <c r="D2450" s="53" t="s">
        <v>4783</v>
      </c>
      <c r="E2450" s="53"/>
      <c r="F2450" s="53"/>
    </row>
    <row r="2451" spans="2:6" ht="15.75">
      <c r="B2451" s="53"/>
      <c r="C2451" s="53"/>
      <c r="D2451" s="1063" t="s">
        <v>4784</v>
      </c>
      <c r="E2451" s="53"/>
      <c r="F2451" s="53"/>
    </row>
    <row r="2452" spans="2:6" ht="15.75">
      <c r="B2452" s="53"/>
      <c r="C2452" s="53" t="s">
        <v>4780</v>
      </c>
      <c r="D2452" s="53"/>
      <c r="E2452" s="53"/>
      <c r="F2452" s="53"/>
    </row>
    <row r="2453" spans="2:6" ht="15.75">
      <c r="B2453" s="53" t="s">
        <v>4789</v>
      </c>
      <c r="C2453" s="53"/>
      <c r="D2453" s="53"/>
      <c r="E2453" s="53"/>
      <c r="F2453" s="53"/>
    </row>
    <row r="2454" spans="2:6" ht="15.75">
      <c r="B2454" s="53"/>
      <c r="C2454" s="53"/>
      <c r="D2454" s="53"/>
      <c r="E2454" s="53"/>
      <c r="F2454" s="53"/>
    </row>
    <row r="2455" spans="2:6" ht="15.75">
      <c r="B2455" s="53" t="s">
        <v>4790</v>
      </c>
      <c r="C2455" s="53"/>
      <c r="D2455" s="53"/>
      <c r="E2455" s="53"/>
      <c r="F2455" s="53"/>
    </row>
    <row r="2456" spans="2:6" ht="15.75">
      <c r="B2456" s="53"/>
      <c r="C2456" s="53" t="s">
        <v>4791</v>
      </c>
      <c r="D2456" s="53"/>
      <c r="E2456" s="53"/>
      <c r="F2456" s="53"/>
    </row>
    <row r="2457" spans="2:6" ht="15.75">
      <c r="B2457" s="53"/>
      <c r="C2457" s="53" t="s">
        <v>4792</v>
      </c>
      <c r="D2457" s="53"/>
      <c r="E2457" s="53"/>
      <c r="F2457" s="53"/>
    </row>
    <row r="2458" spans="2:6" ht="15.75">
      <c r="B2458" s="53" t="s">
        <v>4793</v>
      </c>
      <c r="C2458" s="53"/>
      <c r="D2458" s="53"/>
      <c r="E2458" s="53"/>
      <c r="F2458" s="53"/>
    </row>
    <row r="2459" spans="2:6" ht="15.75">
      <c r="B2459" s="53"/>
      <c r="C2459" s="53" t="s">
        <v>4794</v>
      </c>
      <c r="D2459" s="53"/>
      <c r="E2459" s="53"/>
      <c r="F2459" s="53"/>
    </row>
    <row r="2460" spans="2:6" ht="15.75">
      <c r="B2460" s="53"/>
      <c r="C2460" s="53" t="s">
        <v>4795</v>
      </c>
      <c r="D2460" s="53"/>
      <c r="E2460" s="53"/>
      <c r="F2460" s="53"/>
    </row>
    <row r="2461" spans="2:6" ht="15.75">
      <c r="B2461" s="53" t="s">
        <v>4796</v>
      </c>
    </row>
    <row r="2462" spans="2:6" ht="15.75">
      <c r="C2462" s="53" t="s">
        <v>4797</v>
      </c>
    </row>
    <row r="2463" spans="2:6" ht="15.75">
      <c r="C2463" s="53" t="s">
        <v>4798</v>
      </c>
    </row>
    <row r="2464" spans="2:6" ht="15.75">
      <c r="B2464" s="53" t="s">
        <v>4677</v>
      </c>
    </row>
    <row r="2465" spans="1:7" ht="15.75">
      <c r="C2465" s="53" t="s">
        <v>4799</v>
      </c>
    </row>
    <row r="2466" spans="1:7" ht="15.75">
      <c r="C2466" s="53" t="s">
        <v>4800</v>
      </c>
    </row>
    <row r="2467" spans="1:7" ht="15.75">
      <c r="C2467" s="53" t="s">
        <v>4801</v>
      </c>
    </row>
    <row r="2468" spans="1:7" ht="15.75">
      <c r="B2468" s="53" t="s">
        <v>4803</v>
      </c>
    </row>
    <row r="2469" spans="1:7" ht="15.75">
      <c r="C2469" s="53" t="s">
        <v>4804</v>
      </c>
    </row>
    <row r="2471" spans="1:7" ht="15.75">
      <c r="B2471" s="78" t="s">
        <v>4820</v>
      </c>
      <c r="C2471" s="53"/>
      <c r="D2471" s="53"/>
      <c r="E2471" s="53"/>
      <c r="F2471" s="53"/>
      <c r="G2471" s="53"/>
    </row>
    <row r="2472" spans="1:7" ht="15.75">
      <c r="B2472" s="53"/>
      <c r="C2472" s="53"/>
      <c r="D2472" s="53"/>
      <c r="E2472" s="53"/>
      <c r="F2472" s="53"/>
      <c r="G2472" s="53"/>
    </row>
    <row r="2473" spans="1:7" ht="15.75">
      <c r="A2473" t="s">
        <v>3905</v>
      </c>
      <c r="B2473" s="53" t="s">
        <v>1976</v>
      </c>
      <c r="C2473" s="53"/>
      <c r="D2473" s="53"/>
      <c r="E2473" s="53"/>
      <c r="F2473" s="53"/>
      <c r="G2473" s="53"/>
    </row>
    <row r="2474" spans="1:7" ht="15.75">
      <c r="B2474" s="53"/>
      <c r="C2474" s="53" t="s">
        <v>4809</v>
      </c>
      <c r="D2474" s="53"/>
      <c r="E2474" s="56">
        <f>300/Master!K3</f>
        <v>7.7577512864937553E-2</v>
      </c>
      <c r="F2474" s="53" t="s">
        <v>4810</v>
      </c>
      <c r="G2474" s="53"/>
    </row>
    <row r="2475" spans="1:7" ht="15.75">
      <c r="B2475" s="53"/>
      <c r="C2475" s="53" t="s">
        <v>4830</v>
      </c>
      <c r="D2475" s="53"/>
      <c r="E2475" s="56"/>
      <c r="F2475" s="53"/>
      <c r="G2475" s="53"/>
    </row>
    <row r="2476" spans="1:7" ht="15.75">
      <c r="B2476" s="53"/>
      <c r="C2476" s="53"/>
      <c r="D2476" s="53"/>
      <c r="E2476" s="56"/>
      <c r="F2476" s="53"/>
      <c r="G2476" s="53"/>
    </row>
    <row r="2477" spans="1:7" ht="15.75">
      <c r="B2477" s="53"/>
      <c r="C2477" s="53"/>
      <c r="D2477" s="53"/>
      <c r="E2477" s="53"/>
      <c r="F2477" s="53"/>
      <c r="G2477" s="53"/>
    </row>
    <row r="2478" spans="1:7" ht="15.75">
      <c r="A2478" t="s">
        <v>3905</v>
      </c>
      <c r="B2478" s="53" t="s">
        <v>4812</v>
      </c>
      <c r="C2478" s="53"/>
      <c r="D2478" s="53"/>
      <c r="E2478" s="53"/>
      <c r="F2478" s="53"/>
      <c r="G2478" s="53"/>
    </row>
    <row r="2479" spans="1:7" ht="15.75">
      <c r="B2479" s="53"/>
      <c r="C2479" s="53" t="s">
        <v>4813</v>
      </c>
      <c r="D2479" s="53"/>
      <c r="E2479" s="53"/>
      <c r="F2479" s="53"/>
      <c r="G2479" s="53"/>
    </row>
    <row r="2480" spans="1:7" ht="15.75">
      <c r="B2480" s="53"/>
      <c r="C2480" s="53"/>
      <c r="D2480" s="53"/>
      <c r="E2480" s="53"/>
      <c r="F2480" s="53"/>
      <c r="G2480" s="53"/>
    </row>
    <row r="2481" spans="1:7" ht="15.75">
      <c r="A2481" t="s">
        <v>3905</v>
      </c>
      <c r="B2481" s="53" t="s">
        <v>4276</v>
      </c>
      <c r="C2481" s="53" t="s">
        <v>4811</v>
      </c>
      <c r="D2481" s="53"/>
      <c r="E2481" s="53"/>
      <c r="F2481" s="53"/>
      <c r="G2481" s="53"/>
    </row>
    <row r="2482" spans="1:7" ht="15.75">
      <c r="B2482" s="53"/>
      <c r="C2482" s="53"/>
      <c r="D2482" s="53" t="s">
        <v>4834</v>
      </c>
      <c r="E2482" s="53"/>
      <c r="F2482" s="53"/>
      <c r="G2482" s="53"/>
    </row>
    <row r="2483" spans="1:7" ht="15.75">
      <c r="B2483" s="53"/>
      <c r="C2483" s="53"/>
      <c r="D2483" s="53"/>
      <c r="E2483" s="53"/>
      <c r="F2483" s="53"/>
      <c r="G2483" s="53"/>
    </row>
    <row r="2484" spans="1:7" ht="15.75">
      <c r="B2484" s="53" t="s">
        <v>4827</v>
      </c>
      <c r="C2484" s="53"/>
      <c r="D2484" s="53"/>
      <c r="E2484" s="53"/>
      <c r="F2484" s="53"/>
      <c r="G2484" s="53"/>
    </row>
    <row r="2485" spans="1:7" ht="15.75">
      <c r="B2485" s="53"/>
      <c r="C2485" s="53" t="s">
        <v>4828</v>
      </c>
      <c r="D2485" s="53"/>
      <c r="E2485" s="53"/>
      <c r="F2485" s="53"/>
      <c r="G2485" s="53"/>
    </row>
    <row r="2486" spans="1:7" ht="15.75">
      <c r="B2486" s="53"/>
      <c r="C2486" s="53"/>
      <c r="D2486" s="53" t="s">
        <v>4821</v>
      </c>
      <c r="E2486" s="53"/>
      <c r="F2486" s="53"/>
      <c r="G2486" s="53"/>
    </row>
    <row r="2487" spans="1:7" ht="15.75">
      <c r="B2487" s="53"/>
      <c r="C2487" s="53"/>
      <c r="D2487" s="53" t="s">
        <v>4822</v>
      </c>
      <c r="E2487" s="53"/>
      <c r="F2487" s="53"/>
      <c r="G2487" s="53"/>
    </row>
    <row r="2488" spans="1:7" ht="15.75">
      <c r="B2488" s="53"/>
      <c r="C2488" s="53" t="s">
        <v>4829</v>
      </c>
      <c r="D2488" s="53"/>
      <c r="E2488" s="53"/>
      <c r="F2488" s="53"/>
      <c r="G2488" s="53"/>
    </row>
    <row r="2489" spans="1:7" ht="15.75">
      <c r="B2489" s="53" t="s">
        <v>4816</v>
      </c>
      <c r="C2489" s="53"/>
      <c r="D2489" s="53"/>
      <c r="E2489" s="53"/>
      <c r="F2489" s="53"/>
      <c r="G2489" s="53"/>
    </row>
    <row r="2490" spans="1:7" ht="15.75">
      <c r="B2490" s="53"/>
      <c r="C2490" s="53" t="s">
        <v>4761</v>
      </c>
      <c r="D2490" s="53"/>
      <c r="E2490" s="53"/>
      <c r="F2490" s="53"/>
      <c r="G2490" s="53"/>
    </row>
    <row r="2491" spans="1:7" ht="15.75">
      <c r="B2491" s="53"/>
      <c r="C2491" s="53"/>
      <c r="D2491" s="53"/>
      <c r="E2491" s="53"/>
      <c r="F2491" s="53"/>
      <c r="G2491" s="53"/>
    </row>
    <row r="2492" spans="1:7" ht="15.75">
      <c r="B2492" s="53" t="s">
        <v>4807</v>
      </c>
      <c r="C2492" s="53"/>
      <c r="D2492" s="53"/>
      <c r="E2492" s="53"/>
      <c r="F2492" s="53"/>
      <c r="G2492" s="53"/>
    </row>
    <row r="2493" spans="1:7" ht="15.75">
      <c r="B2493" s="53"/>
      <c r="C2493" s="53" t="s">
        <v>4814</v>
      </c>
      <c r="D2493" s="53"/>
      <c r="E2493" s="53"/>
      <c r="F2493" s="53"/>
      <c r="G2493" s="53"/>
    </row>
    <row r="2494" spans="1:7" ht="15.75">
      <c r="B2494" s="53"/>
      <c r="C2494" s="53" t="s">
        <v>4808</v>
      </c>
      <c r="D2494" s="53"/>
      <c r="E2494" s="53"/>
      <c r="F2494" s="53"/>
      <c r="G2494" s="53"/>
    </row>
    <row r="2495" spans="1:7" ht="15.75">
      <c r="B2495" s="53" t="s">
        <v>4815</v>
      </c>
      <c r="C2495" s="53"/>
      <c r="D2495" s="53"/>
      <c r="E2495" s="53"/>
      <c r="F2495" s="53"/>
      <c r="G2495" s="53"/>
    </row>
    <row r="2496" spans="1:7" ht="15.75">
      <c r="B2496" s="53"/>
      <c r="C2496" s="53"/>
      <c r="D2496" s="53"/>
      <c r="E2496" s="53"/>
      <c r="F2496" s="53"/>
      <c r="G2496" s="53"/>
    </row>
    <row r="2497" spans="2:7" ht="15.75">
      <c r="B2497" s="53" t="s">
        <v>4817</v>
      </c>
      <c r="C2497" s="53"/>
      <c r="D2497" s="53"/>
      <c r="E2497" s="53"/>
      <c r="F2497" s="53"/>
      <c r="G2497" s="53"/>
    </row>
    <row r="2498" spans="2:7" ht="15.75">
      <c r="B2498" s="53"/>
      <c r="C2498" s="53" t="s">
        <v>4818</v>
      </c>
      <c r="D2498" s="53"/>
      <c r="E2498" s="53"/>
      <c r="F2498" s="53"/>
      <c r="G2498" s="53"/>
    </row>
    <row r="2499" spans="2:7" ht="15.75">
      <c r="B2499" s="53"/>
      <c r="C2499" s="53"/>
      <c r="D2499" s="53"/>
      <c r="E2499" s="53"/>
      <c r="F2499" s="53"/>
      <c r="G2499" s="53"/>
    </row>
    <row r="2500" spans="2:7" ht="15.75">
      <c r="B2500" s="53" t="s">
        <v>4819</v>
      </c>
      <c r="C2500" s="53"/>
      <c r="D2500" s="53"/>
      <c r="E2500" s="53"/>
      <c r="F2500" s="53"/>
      <c r="G2500" s="53"/>
    </row>
    <row r="2501" spans="2:7" ht="15.75">
      <c r="B2501" s="53"/>
      <c r="C2501" s="53"/>
      <c r="D2501" s="53"/>
      <c r="E2501" s="53"/>
      <c r="F2501" s="53"/>
      <c r="G2501" s="53"/>
    </row>
    <row r="2502" spans="2:7" ht="15.75">
      <c r="B2502" s="78" t="s">
        <v>3493</v>
      </c>
      <c r="C2502" s="53"/>
      <c r="D2502" s="53"/>
      <c r="E2502" s="53"/>
      <c r="F2502" s="53"/>
      <c r="G2502" s="53"/>
    </row>
    <row r="2503" spans="2:7" ht="15.75">
      <c r="B2503" s="53" t="s">
        <v>4823</v>
      </c>
      <c r="C2503" s="53"/>
      <c r="D2503" s="53"/>
      <c r="E2503" s="53"/>
      <c r="F2503" s="53"/>
      <c r="G2503" s="53"/>
    </row>
    <row r="2504" spans="2:7" ht="15.75">
      <c r="B2504" s="53" t="s">
        <v>4824</v>
      </c>
      <c r="C2504" s="53"/>
      <c r="D2504" s="53"/>
      <c r="E2504" s="53"/>
      <c r="F2504" s="53"/>
      <c r="G2504" s="53"/>
    </row>
    <row r="2505" spans="2:7" ht="15.75">
      <c r="B2505" s="53" t="s">
        <v>4825</v>
      </c>
      <c r="C2505" s="53"/>
      <c r="D2505" s="53"/>
      <c r="E2505" s="53"/>
      <c r="F2505" s="53"/>
      <c r="G2505" s="53"/>
    </row>
    <row r="2506" spans="2:7" ht="15.75">
      <c r="B2506" s="53" t="s">
        <v>4826</v>
      </c>
      <c r="C2506" s="53"/>
      <c r="D2506" s="53"/>
      <c r="E2506" s="53"/>
      <c r="F2506" s="53"/>
      <c r="G2506" s="53"/>
    </row>
    <row r="2507" spans="2:7" ht="15.75">
      <c r="B2507" s="53"/>
      <c r="C2507" s="53"/>
      <c r="D2507" s="53"/>
      <c r="E2507" s="53"/>
      <c r="F2507" s="53"/>
      <c r="G2507" s="53"/>
    </row>
    <row r="2508" spans="2:7" ht="15.75">
      <c r="B2508" s="78" t="s">
        <v>4833</v>
      </c>
      <c r="C2508" s="53"/>
      <c r="D2508" s="53"/>
      <c r="E2508" s="53"/>
      <c r="F2508" s="53"/>
      <c r="G2508" s="53"/>
    </row>
    <row r="2509" spans="2:7" ht="15.75">
      <c r="B2509" s="53" t="s">
        <v>4831</v>
      </c>
      <c r="C2509" s="53"/>
      <c r="D2509" s="53"/>
      <c r="E2509" s="53"/>
      <c r="F2509" s="53"/>
      <c r="G2509" s="53"/>
    </row>
    <row r="2510" spans="2:7" ht="15.75">
      <c r="B2510" s="53"/>
      <c r="C2510" s="54">
        <f>15/'New quarts'!AC104</f>
        <v>7.0290534208059974E-2</v>
      </c>
      <c r="D2510" s="54">
        <f>'New quarts'!AC105/'New quarts'!AC106</f>
        <v>0.48080190282025143</v>
      </c>
      <c r="E2510" s="53"/>
      <c r="F2510" s="53"/>
      <c r="G2510" s="53"/>
    </row>
    <row r="2511" spans="2:7" ht="15.75">
      <c r="B2511" s="53" t="s">
        <v>4832</v>
      </c>
      <c r="C2511" s="53"/>
      <c r="D2511" s="53"/>
      <c r="E2511" s="53"/>
      <c r="F2511" s="53"/>
      <c r="G2511" s="53"/>
    </row>
    <row r="2512" spans="2:7" ht="15.75">
      <c r="B2512" s="53"/>
      <c r="C2512" s="53"/>
      <c r="D2512" s="53"/>
      <c r="E2512" s="53"/>
      <c r="F2512" s="53"/>
      <c r="G2512" s="53"/>
    </row>
    <row r="2513" spans="2:7" ht="15.75">
      <c r="B2513" s="78" t="s">
        <v>428</v>
      </c>
      <c r="C2513" s="53"/>
      <c r="D2513" s="53"/>
      <c r="E2513" s="53"/>
      <c r="F2513" s="53"/>
      <c r="G2513" s="53"/>
    </row>
    <row r="2514" spans="2:7" ht="15.75">
      <c r="B2514" s="53"/>
      <c r="C2514" s="53"/>
      <c r="D2514" s="53"/>
      <c r="E2514" s="53"/>
      <c r="F2514" s="53"/>
      <c r="G2514" s="53"/>
    </row>
    <row r="2515" spans="2:7" ht="15.75">
      <c r="B2515" s="53" t="s">
        <v>4835</v>
      </c>
      <c r="C2515" s="53"/>
      <c r="D2515" s="53"/>
      <c r="E2515" s="53"/>
      <c r="F2515" s="53"/>
      <c r="G2515" s="53"/>
    </row>
    <row r="2516" spans="2:7" ht="15.75">
      <c r="B2516" s="53"/>
      <c r="C2516" s="53" t="s">
        <v>4836</v>
      </c>
      <c r="D2516" s="53"/>
      <c r="E2516" s="53"/>
      <c r="F2516" s="53"/>
      <c r="G2516" s="53"/>
    </row>
    <row r="2517" spans="2:7" ht="15.75">
      <c r="B2517" s="53" t="s">
        <v>4837</v>
      </c>
      <c r="C2517" s="53"/>
      <c r="D2517" s="53"/>
      <c r="E2517" s="53"/>
      <c r="F2517" s="53"/>
      <c r="G2517" s="53"/>
    </row>
    <row r="2518" spans="2:7" ht="15.75">
      <c r="B2518" s="53" t="s">
        <v>4842</v>
      </c>
      <c r="C2518" s="53" t="s">
        <v>2412</v>
      </c>
      <c r="D2518" s="53"/>
      <c r="E2518" s="53"/>
      <c r="F2518" s="53"/>
      <c r="G2518" s="53"/>
    </row>
    <row r="2519" spans="2:7" ht="15.75">
      <c r="C2519" s="53"/>
      <c r="D2519" s="53" t="s">
        <v>4838</v>
      </c>
      <c r="E2519" s="53"/>
      <c r="F2519" s="53"/>
      <c r="G2519" s="53"/>
    </row>
    <row r="2520" spans="2:7" ht="15.75">
      <c r="C2520" s="53"/>
      <c r="D2520" s="53"/>
      <c r="E2520" s="53" t="s">
        <v>4849</v>
      </c>
      <c r="F2520" s="53"/>
      <c r="G2520" s="53"/>
    </row>
    <row r="2521" spans="2:7" ht="15.75">
      <c r="B2521" s="53"/>
      <c r="C2521" s="53"/>
      <c r="D2521" s="53" t="s">
        <v>4839</v>
      </c>
      <c r="E2521" s="53"/>
      <c r="F2521" s="53"/>
      <c r="G2521" s="53"/>
    </row>
    <row r="2522" spans="2:7" ht="15.75">
      <c r="B2522" s="53"/>
      <c r="C2522" s="53" t="s">
        <v>4840</v>
      </c>
      <c r="D2522" s="53"/>
      <c r="E2522" s="53"/>
      <c r="F2522" s="53"/>
      <c r="G2522" s="53"/>
    </row>
    <row r="2523" spans="2:7" ht="15.75">
      <c r="B2523" s="53"/>
      <c r="C2523" s="53"/>
      <c r="D2523" s="53" t="s">
        <v>4841</v>
      </c>
      <c r="E2523" s="53"/>
      <c r="F2523" s="53"/>
      <c r="G2523" s="53"/>
    </row>
    <row r="2524" spans="2:7" ht="15.75">
      <c r="B2524" s="53" t="s">
        <v>2639</v>
      </c>
      <c r="C2524" s="53"/>
      <c r="D2524" s="53"/>
      <c r="E2524" s="53"/>
      <c r="F2524" s="53"/>
      <c r="G2524" s="53"/>
    </row>
    <row r="2525" spans="2:7" ht="15.75">
      <c r="B2525" s="53"/>
      <c r="C2525" s="53" t="s">
        <v>4843</v>
      </c>
      <c r="D2525" s="53"/>
      <c r="E2525" s="53"/>
      <c r="F2525" s="53"/>
      <c r="G2525" s="53"/>
    </row>
    <row r="2526" spans="2:7" ht="15.75">
      <c r="B2526" s="53"/>
      <c r="C2526" s="53" t="s">
        <v>4844</v>
      </c>
      <c r="D2526" s="53"/>
      <c r="E2526" s="53"/>
      <c r="F2526" s="53"/>
      <c r="G2526" s="53"/>
    </row>
    <row r="2527" spans="2:7" ht="15.75">
      <c r="B2527" s="53" t="s">
        <v>4845</v>
      </c>
      <c r="C2527" s="53"/>
      <c r="D2527" s="53"/>
      <c r="E2527" s="53"/>
      <c r="F2527" s="53"/>
      <c r="G2527" s="53"/>
    </row>
    <row r="2528" spans="2:7" ht="15.75">
      <c r="B2528" s="53"/>
      <c r="C2528" s="53" t="s">
        <v>4846</v>
      </c>
      <c r="D2528" s="53"/>
      <c r="E2528" s="53"/>
      <c r="F2528" s="53"/>
      <c r="G2528" s="53"/>
    </row>
    <row r="2529" spans="2:7" ht="15.75">
      <c r="B2529" s="53"/>
      <c r="C2529" s="53" t="s">
        <v>4847</v>
      </c>
      <c r="D2529" s="53"/>
      <c r="E2529" s="53"/>
      <c r="F2529" s="53"/>
      <c r="G2529" s="53"/>
    </row>
    <row r="2530" spans="2:7" ht="15.75">
      <c r="B2530" s="53"/>
      <c r="C2530" s="53"/>
      <c r="D2530" s="53" t="s">
        <v>4848</v>
      </c>
      <c r="E2530" s="53"/>
      <c r="F2530" s="53"/>
      <c r="G2530" s="53"/>
    </row>
    <row r="2531" spans="2:7" ht="15.75">
      <c r="B2531" s="53"/>
      <c r="C2531" s="53" t="s">
        <v>4850</v>
      </c>
      <c r="D2531" s="53"/>
      <c r="E2531" s="53"/>
      <c r="F2531" s="53"/>
      <c r="G2531" s="53"/>
    </row>
    <row r="2532" spans="2:7" ht="15.75">
      <c r="B2532" s="53"/>
      <c r="C2532" s="53" t="s">
        <v>4851</v>
      </c>
      <c r="D2532" s="53"/>
      <c r="E2532" s="53"/>
      <c r="F2532" s="53"/>
      <c r="G2532" s="53"/>
    </row>
    <row r="2533" spans="2:7" ht="15.75">
      <c r="B2533" s="53" t="s">
        <v>4852</v>
      </c>
      <c r="C2533" s="53"/>
      <c r="D2533" s="53"/>
      <c r="E2533" s="53"/>
      <c r="F2533" s="53"/>
      <c r="G2533" s="53"/>
    </row>
    <row r="2534" spans="2:7" ht="15.75">
      <c r="B2534" s="53"/>
      <c r="C2534" s="53" t="s">
        <v>4853</v>
      </c>
      <c r="D2534" s="53"/>
      <c r="E2534" s="53"/>
      <c r="F2534" s="53"/>
      <c r="G2534" s="53"/>
    </row>
    <row r="2535" spans="2:7" ht="15.75">
      <c r="B2535" s="53"/>
      <c r="C2535" s="53" t="s">
        <v>4854</v>
      </c>
      <c r="D2535" s="53"/>
      <c r="E2535" s="53"/>
      <c r="F2535" s="53"/>
      <c r="G2535" s="53"/>
    </row>
    <row r="2536" spans="2:7" ht="15.75">
      <c r="B2536" s="53"/>
      <c r="C2536" s="53"/>
      <c r="D2536" s="53" t="s">
        <v>4855</v>
      </c>
      <c r="E2536" s="53"/>
      <c r="F2536" s="53"/>
      <c r="G2536" s="53"/>
    </row>
    <row r="2537" spans="2:7" ht="15.75">
      <c r="B2537" s="53"/>
      <c r="C2537" s="53" t="s">
        <v>4856</v>
      </c>
      <c r="D2537" s="53"/>
      <c r="E2537" s="756"/>
    </row>
    <row r="2538" spans="2:7" ht="15.75">
      <c r="B2538" s="53"/>
      <c r="C2538" s="53" t="s">
        <v>4857</v>
      </c>
      <c r="D2538" s="53"/>
      <c r="E2538" s="53"/>
      <c r="F2538" s="53"/>
      <c r="G2538" s="53"/>
    </row>
    <row r="2539" spans="2:7" ht="15.75">
      <c r="B2539" s="53"/>
      <c r="C2539" s="53" t="s">
        <v>4858</v>
      </c>
      <c r="D2539" s="53"/>
      <c r="E2539" s="53"/>
      <c r="F2539" s="53"/>
      <c r="G2539" s="53"/>
    </row>
    <row r="2540" spans="2:7" ht="15.75">
      <c r="B2540" s="53" t="s">
        <v>4859</v>
      </c>
      <c r="C2540" s="53"/>
      <c r="D2540" s="53"/>
      <c r="E2540" s="53"/>
      <c r="F2540" s="53"/>
      <c r="G2540" s="53"/>
    </row>
    <row r="2541" spans="2:7" ht="15.75">
      <c r="B2541" s="53"/>
      <c r="C2541" s="53" t="s">
        <v>4860</v>
      </c>
      <c r="D2541" s="53"/>
      <c r="E2541" s="53"/>
      <c r="F2541" s="53"/>
      <c r="G2541" s="53"/>
    </row>
    <row r="2542" spans="2:7" ht="15.75">
      <c r="B2542" s="53"/>
      <c r="C2542" s="53"/>
      <c r="D2542" s="53" t="s">
        <v>4861</v>
      </c>
      <c r="E2542" s="53"/>
      <c r="F2542" s="53"/>
      <c r="G2542" s="53"/>
    </row>
    <row r="2543" spans="2:7" ht="15.75">
      <c r="B2543" s="53"/>
      <c r="C2543" s="53" t="s">
        <v>4862</v>
      </c>
      <c r="D2543" s="53"/>
      <c r="E2543" s="53"/>
      <c r="F2543" s="53"/>
      <c r="G2543" s="53"/>
    </row>
    <row r="2544" spans="2:7" ht="15.75">
      <c r="B2544" s="53" t="s">
        <v>4863</v>
      </c>
      <c r="C2544" s="53"/>
      <c r="D2544" s="53"/>
      <c r="E2544" s="53"/>
      <c r="F2544" s="53"/>
      <c r="G2544" s="53"/>
    </row>
    <row r="2545" spans="2:7" ht="15.75">
      <c r="B2545" s="53"/>
      <c r="C2545" s="53" t="s">
        <v>4864</v>
      </c>
      <c r="D2545" s="53"/>
      <c r="E2545" s="53"/>
      <c r="F2545" s="53"/>
      <c r="G2545" s="53"/>
    </row>
    <row r="2546" spans="2:7" ht="15.75">
      <c r="B2546" s="53"/>
      <c r="C2546" s="53"/>
      <c r="D2546" s="53"/>
      <c r="E2546" s="53"/>
      <c r="F2546" s="53"/>
      <c r="G2546" s="53"/>
    </row>
    <row r="2547" spans="2:7" ht="15.75">
      <c r="B2547" s="78" t="s">
        <v>4912</v>
      </c>
      <c r="C2547" s="53"/>
      <c r="D2547" s="53"/>
      <c r="E2547" s="53"/>
      <c r="F2547" s="53"/>
      <c r="G2547" s="53"/>
    </row>
    <row r="2548" spans="2:7" ht="15.75">
      <c r="B2548" s="53"/>
      <c r="C2548" s="53"/>
      <c r="D2548" s="53"/>
      <c r="E2548" s="53"/>
      <c r="F2548" s="53"/>
      <c r="G2548" s="53"/>
    </row>
    <row r="2549" spans="2:7" ht="15.75">
      <c r="B2549" s="53" t="s">
        <v>4869</v>
      </c>
      <c r="C2549" s="53"/>
      <c r="D2549" s="53"/>
      <c r="E2549" s="53"/>
      <c r="F2549" s="53"/>
      <c r="G2549" s="53"/>
    </row>
    <row r="2550" spans="2:7" ht="15.75">
      <c r="B2550" s="53" t="s">
        <v>4867</v>
      </c>
      <c r="C2550" s="53"/>
      <c r="D2550" s="53"/>
      <c r="E2550" s="53"/>
      <c r="F2550" s="53"/>
      <c r="G2550" s="53"/>
    </row>
    <row r="2551" spans="2:7" ht="15.75">
      <c r="B2551" s="53" t="s">
        <v>4870</v>
      </c>
      <c r="C2551" s="53"/>
      <c r="D2551" s="53"/>
      <c r="E2551" s="53"/>
      <c r="F2551" s="53"/>
      <c r="G2551" s="53"/>
    </row>
    <row r="2552" spans="2:7" ht="15.75">
      <c r="B2552" s="53" t="s">
        <v>4871</v>
      </c>
      <c r="C2552" s="53"/>
      <c r="D2552" s="53"/>
      <c r="E2552" s="53"/>
      <c r="F2552" s="53"/>
      <c r="G2552" s="53"/>
    </row>
    <row r="2553" spans="2:7" ht="15.75">
      <c r="B2553" s="53" t="s">
        <v>4868</v>
      </c>
      <c r="C2553" s="53"/>
      <c r="D2553" s="53"/>
      <c r="E2553" s="53"/>
      <c r="F2553" s="53"/>
      <c r="G2553" s="53"/>
    </row>
    <row r="2554" spans="2:7" ht="15.75">
      <c r="B2554" s="53"/>
      <c r="C2554" s="53"/>
      <c r="D2554" s="53"/>
      <c r="E2554" s="53"/>
      <c r="F2554" s="53"/>
      <c r="G2554" s="53"/>
    </row>
    <row r="2555" spans="2:7" ht="15.75">
      <c r="B2555" s="53" t="s">
        <v>4872</v>
      </c>
      <c r="C2555" s="53" t="s">
        <v>707</v>
      </c>
      <c r="D2555" s="53">
        <v>12</v>
      </c>
      <c r="E2555" s="53"/>
      <c r="F2555" s="53"/>
      <c r="G2555" s="53"/>
    </row>
    <row r="2556" spans="2:7" ht="15.75">
      <c r="B2556" s="53"/>
      <c r="C2556" s="53" t="s">
        <v>4904</v>
      </c>
      <c r="D2556" s="53">
        <v>4</v>
      </c>
      <c r="E2556" s="53"/>
      <c r="F2556" s="53"/>
      <c r="G2556" s="53"/>
    </row>
    <row r="2557" spans="2:7" ht="15.75">
      <c r="B2557" s="53" t="s">
        <v>4873</v>
      </c>
      <c r="C2557" s="53"/>
      <c r="D2557" s="53"/>
      <c r="E2557" s="53"/>
      <c r="F2557" s="53"/>
      <c r="G2557" s="53"/>
    </row>
    <row r="2558" spans="2:7" ht="15.75">
      <c r="B2558" s="53"/>
      <c r="C2558" s="53" t="s">
        <v>4874</v>
      </c>
      <c r="D2558" s="53"/>
      <c r="E2558" s="53"/>
      <c r="F2558" s="53"/>
      <c r="G2558" s="53"/>
    </row>
    <row r="2559" spans="2:7" ht="15.75">
      <c r="B2559" s="53"/>
      <c r="D2559" s="53" t="s">
        <v>4875</v>
      </c>
      <c r="E2559" s="53"/>
      <c r="F2559" s="53"/>
      <c r="G2559" s="53"/>
    </row>
    <row r="2560" spans="2:7" ht="15.75">
      <c r="B2560" s="53"/>
      <c r="C2560" s="53" t="s">
        <v>4876</v>
      </c>
      <c r="D2560" s="53"/>
      <c r="E2560" s="53" t="s">
        <v>4877</v>
      </c>
      <c r="F2560" s="53"/>
      <c r="G2560" s="53"/>
    </row>
    <row r="2561" spans="1:9" ht="15.75">
      <c r="B2561" s="53"/>
      <c r="C2561" s="53"/>
      <c r="D2561" s="53"/>
      <c r="E2561" s="53" t="s">
        <v>4878</v>
      </c>
      <c r="F2561" s="53" t="s">
        <v>4879</v>
      </c>
      <c r="G2561" s="53"/>
    </row>
    <row r="2562" spans="1:9" ht="15.75">
      <c r="C2562" s="53"/>
      <c r="D2562" s="53"/>
      <c r="E2562" s="53"/>
      <c r="F2562" s="50" t="s">
        <v>4880</v>
      </c>
      <c r="G2562" s="53"/>
    </row>
    <row r="2563" spans="1:9" ht="15.75">
      <c r="B2563" s="53"/>
      <c r="C2563" s="53"/>
      <c r="D2563" s="53"/>
      <c r="E2563" s="53"/>
      <c r="F2563" s="53" t="s">
        <v>4881</v>
      </c>
      <c r="G2563" s="53"/>
    </row>
    <row r="2564" spans="1:9" ht="15.75">
      <c r="B2564" s="53"/>
      <c r="C2564" s="53"/>
      <c r="D2564" s="53"/>
      <c r="E2564" s="53" t="s">
        <v>4882</v>
      </c>
      <c r="F2564" s="53"/>
      <c r="G2564" s="53"/>
    </row>
    <row r="2565" spans="1:9" ht="15.75">
      <c r="B2565" s="53"/>
      <c r="C2565" s="53" t="s">
        <v>29</v>
      </c>
      <c r="D2565" s="53"/>
      <c r="E2565" s="53"/>
      <c r="F2565" s="53"/>
      <c r="G2565" s="53"/>
      <c r="H2565" s="53"/>
      <c r="I2565" s="53"/>
    </row>
    <row r="2566" spans="1:9" ht="15.75">
      <c r="C2566" s="53"/>
      <c r="D2566" s="53"/>
      <c r="E2566" s="53" t="s">
        <v>4883</v>
      </c>
      <c r="F2566" s="53" t="s">
        <v>4884</v>
      </c>
      <c r="G2566" s="53"/>
      <c r="H2566" s="53"/>
      <c r="I2566" s="53"/>
    </row>
    <row r="2567" spans="1:9" ht="15.75">
      <c r="C2567" s="53"/>
      <c r="D2567" s="53"/>
      <c r="E2567" s="53" t="s">
        <v>2003</v>
      </c>
      <c r="F2567" s="53" t="s">
        <v>4886</v>
      </c>
      <c r="G2567" s="53"/>
      <c r="H2567" s="53"/>
      <c r="I2567" s="53"/>
    </row>
    <row r="2568" spans="1:9" ht="15.75">
      <c r="C2568" s="53"/>
      <c r="D2568" s="53"/>
      <c r="E2568" s="53" t="s">
        <v>4714</v>
      </c>
      <c r="F2568" s="53" t="s">
        <v>4885</v>
      </c>
      <c r="G2568" s="53"/>
      <c r="H2568" s="53"/>
      <c r="I2568" s="53"/>
    </row>
    <row r="2569" spans="1:9" ht="15.75">
      <c r="A2569" s="53"/>
      <c r="B2569" s="53"/>
      <c r="C2569" s="53"/>
      <c r="D2569" s="53"/>
      <c r="E2569" s="53" t="s">
        <v>2412</v>
      </c>
      <c r="F2569" s="53" t="s">
        <v>4905</v>
      </c>
      <c r="G2569" s="53"/>
      <c r="H2569" s="53"/>
      <c r="I2569" s="53"/>
    </row>
    <row r="2570" spans="1:9" ht="15.75">
      <c r="A2570" s="53"/>
      <c r="B2570" s="53"/>
      <c r="C2570" s="53"/>
      <c r="D2570" s="53"/>
      <c r="E2570" s="53"/>
      <c r="F2570" s="53" t="s">
        <v>4906</v>
      </c>
      <c r="G2570" s="53"/>
      <c r="H2570" s="53"/>
      <c r="I2570" s="53"/>
    </row>
    <row r="2571" spans="1:9" ht="15.75">
      <c r="A2571" s="53"/>
      <c r="B2571" s="53"/>
      <c r="C2571" s="53"/>
      <c r="D2571" s="53"/>
      <c r="E2571" s="53"/>
      <c r="F2571" s="53"/>
      <c r="G2571" s="53" t="s">
        <v>4907</v>
      </c>
      <c r="H2571" s="53"/>
      <c r="I2571" s="53"/>
    </row>
    <row r="2572" spans="1:9" ht="15.75">
      <c r="A2572" s="53"/>
      <c r="B2572" s="53"/>
      <c r="C2572" s="53"/>
      <c r="D2572" s="53"/>
      <c r="E2572" s="53"/>
      <c r="F2572" s="53" t="s">
        <v>4908</v>
      </c>
      <c r="G2572" s="53"/>
      <c r="H2572" s="53"/>
      <c r="I2572" s="53"/>
    </row>
    <row r="2573" spans="1:9" ht="15.75">
      <c r="A2573" s="53"/>
      <c r="B2573" s="53"/>
      <c r="C2573" s="53"/>
      <c r="D2573" s="53"/>
      <c r="E2573" s="53"/>
      <c r="F2573" s="53" t="s">
        <v>4909</v>
      </c>
      <c r="G2573" s="53"/>
      <c r="H2573" s="53"/>
      <c r="I2573" s="53"/>
    </row>
    <row r="2574" spans="1:9" ht="15.75">
      <c r="A2574" s="53"/>
      <c r="B2574" s="53"/>
      <c r="C2574" s="53"/>
      <c r="D2574" s="53"/>
      <c r="E2574" s="53"/>
      <c r="F2574" s="53"/>
      <c r="G2574" s="53" t="s">
        <v>4911</v>
      </c>
      <c r="H2574" s="53"/>
      <c r="I2574" s="53"/>
    </row>
    <row r="2575" spans="1:9" ht="15.75">
      <c r="A2575" s="53"/>
      <c r="B2575" s="53"/>
      <c r="C2575" s="53"/>
      <c r="D2575" s="53"/>
      <c r="E2575" s="53"/>
      <c r="F2575" s="53" t="s">
        <v>4910</v>
      </c>
      <c r="G2575" s="53"/>
      <c r="H2575" s="53"/>
      <c r="I2575" s="53"/>
    </row>
    <row r="2576" spans="1:9" ht="15.75">
      <c r="A2576" s="53"/>
      <c r="B2576" s="53" t="s">
        <v>4887</v>
      </c>
      <c r="C2576" s="53"/>
      <c r="D2576" s="53"/>
      <c r="E2576" s="53"/>
      <c r="F2576" s="53"/>
      <c r="G2576" s="53"/>
    </row>
    <row r="2577" spans="1:7" ht="15.75">
      <c r="A2577" s="53"/>
      <c r="B2577" s="53"/>
      <c r="C2577" s="53"/>
      <c r="D2577" s="53"/>
      <c r="E2577" s="53"/>
      <c r="F2577" s="53"/>
      <c r="G2577" s="53"/>
    </row>
    <row r="2578" spans="1:7" ht="15.75">
      <c r="A2578" s="53"/>
      <c r="B2578" s="53" t="s">
        <v>4888</v>
      </c>
      <c r="C2578" s="53"/>
      <c r="D2578" s="53"/>
      <c r="E2578" s="53"/>
      <c r="F2578" s="53"/>
      <c r="G2578" s="53"/>
    </row>
    <row r="2579" spans="1:7" ht="15.75">
      <c r="A2579" s="53"/>
      <c r="B2579" s="53"/>
      <c r="C2579" s="53" t="s">
        <v>4891</v>
      </c>
      <c r="D2579" s="53"/>
      <c r="E2579" s="53"/>
      <c r="F2579" s="53"/>
      <c r="G2579" s="53"/>
    </row>
    <row r="2580" spans="1:7" ht="15.75">
      <c r="A2580" s="53"/>
      <c r="B2580" s="53"/>
      <c r="C2580" s="53" t="s">
        <v>468</v>
      </c>
      <c r="D2580" s="53" t="s">
        <v>4889</v>
      </c>
      <c r="E2580" s="53"/>
      <c r="F2580" s="53"/>
      <c r="G2580" s="53"/>
    </row>
    <row r="2581" spans="1:7" ht="15.75">
      <c r="A2581" s="53"/>
      <c r="B2581" s="53"/>
      <c r="C2581" s="53"/>
      <c r="D2581" s="53" t="s">
        <v>4901</v>
      </c>
      <c r="E2581" s="53"/>
      <c r="F2581" s="53"/>
      <c r="G2581" s="53"/>
    </row>
    <row r="2582" spans="1:7" ht="15.75">
      <c r="A2582" s="53"/>
      <c r="B2582" s="53"/>
      <c r="C2582" s="53" t="s">
        <v>469</v>
      </c>
      <c r="D2582" s="53"/>
      <c r="E2582" s="53"/>
      <c r="F2582" s="53"/>
      <c r="G2582" s="53"/>
    </row>
    <row r="2583" spans="1:7" ht="15.75">
      <c r="A2583" s="53"/>
      <c r="B2583" s="53"/>
      <c r="C2583" s="53"/>
      <c r="D2583" s="53" t="s">
        <v>4898</v>
      </c>
      <c r="E2583" s="53"/>
      <c r="F2583" s="53"/>
      <c r="G2583" s="53"/>
    </row>
    <row r="2584" spans="1:7" ht="15.75">
      <c r="A2584" s="53"/>
      <c r="B2584" s="53"/>
      <c r="C2584" s="53" t="s">
        <v>29</v>
      </c>
      <c r="D2584" s="53" t="s">
        <v>4890</v>
      </c>
      <c r="E2584" s="53"/>
      <c r="F2584" s="53"/>
      <c r="G2584" s="53"/>
    </row>
    <row r="2585" spans="1:7" ht="15.75">
      <c r="A2585" s="53"/>
      <c r="B2585" s="53"/>
      <c r="C2585" s="53"/>
      <c r="D2585" s="53" t="s">
        <v>4899</v>
      </c>
      <c r="E2585" s="53"/>
      <c r="F2585" s="53"/>
      <c r="G2585" s="53"/>
    </row>
    <row r="2586" spans="1:7" ht="15.75">
      <c r="A2586" s="53"/>
      <c r="B2586" s="53"/>
      <c r="C2586" s="53"/>
      <c r="E2586" s="53" t="s">
        <v>4900</v>
      </c>
      <c r="F2586" s="53"/>
      <c r="G2586" s="53"/>
    </row>
    <row r="2587" spans="1:7" ht="15.75">
      <c r="A2587" s="53"/>
      <c r="B2587" s="53"/>
      <c r="C2587" s="53"/>
      <c r="D2587" s="53" t="s">
        <v>4902</v>
      </c>
      <c r="E2587" s="53"/>
      <c r="F2587" s="53"/>
      <c r="G2587" s="53"/>
    </row>
    <row r="2588" spans="1:7" ht="15.75">
      <c r="A2588" s="53"/>
      <c r="B2588" s="53" t="s">
        <v>4892</v>
      </c>
      <c r="C2588" s="53"/>
      <c r="D2588" s="53"/>
      <c r="E2588" s="53"/>
      <c r="F2588" s="53"/>
      <c r="G2588" s="53"/>
    </row>
    <row r="2589" spans="1:7" ht="15.75">
      <c r="A2589" s="53"/>
      <c r="B2589" s="53"/>
      <c r="C2589" s="53" t="s">
        <v>4893</v>
      </c>
      <c r="D2589" s="53"/>
      <c r="E2589" s="53"/>
      <c r="F2589" s="53"/>
      <c r="G2589" s="53"/>
    </row>
    <row r="2590" spans="1:7" ht="15.75">
      <c r="A2590" s="53"/>
      <c r="B2590" s="53"/>
      <c r="C2590" s="53"/>
      <c r="D2590" s="53" t="s">
        <v>4894</v>
      </c>
      <c r="E2590" s="53"/>
      <c r="F2590" s="53"/>
      <c r="G2590" s="53"/>
    </row>
    <row r="2591" spans="1:7" ht="15.75">
      <c r="A2591" s="53"/>
      <c r="B2591" s="53"/>
      <c r="C2591" s="53"/>
      <c r="D2591" s="53" t="s">
        <v>2845</v>
      </c>
      <c r="E2591" s="53"/>
      <c r="F2591" s="53"/>
      <c r="G2591" s="53"/>
    </row>
    <row r="2592" spans="1:7" ht="15.75">
      <c r="A2592" s="53"/>
      <c r="B2592" s="53"/>
      <c r="C2592" s="53" t="s">
        <v>4895</v>
      </c>
      <c r="D2592" s="53"/>
      <c r="E2592" s="53"/>
      <c r="F2592" s="53"/>
      <c r="G2592" s="53"/>
    </row>
    <row r="2593" spans="1:7" ht="15.75">
      <c r="A2593" s="53"/>
      <c r="B2593" s="53"/>
      <c r="C2593" s="53"/>
      <c r="D2593" s="53" t="s">
        <v>4896</v>
      </c>
      <c r="E2593" s="53"/>
      <c r="F2593" s="53"/>
      <c r="G2593" s="53"/>
    </row>
    <row r="2594" spans="1:7" ht="15.75">
      <c r="A2594" s="53"/>
      <c r="B2594" s="53"/>
      <c r="C2594" s="53"/>
      <c r="D2594" s="53" t="s">
        <v>4897</v>
      </c>
      <c r="E2594" s="53"/>
      <c r="F2594" s="53"/>
      <c r="G2594" s="53"/>
    </row>
    <row r="2595" spans="1:7" ht="15.75">
      <c r="A2595" s="53"/>
      <c r="B2595" s="53" t="s">
        <v>4903</v>
      </c>
      <c r="C2595" s="53"/>
      <c r="D2595" s="53"/>
      <c r="E2595" s="53"/>
      <c r="F2595" s="53"/>
      <c r="G2595" s="53"/>
    </row>
    <row r="2596" spans="1:7" ht="15.75">
      <c r="A2596" s="53"/>
      <c r="B2596" s="53"/>
      <c r="C2596" s="53"/>
      <c r="D2596" s="53"/>
      <c r="E2596" s="53"/>
      <c r="F2596" s="53"/>
      <c r="G2596" s="53"/>
    </row>
    <row r="2597" spans="1:7" ht="15.75">
      <c r="A2597" s="53"/>
      <c r="B2597" s="513" t="s">
        <v>4966</v>
      </c>
      <c r="C2597" s="53"/>
      <c r="D2597" s="53"/>
      <c r="E2597" s="53"/>
      <c r="F2597" s="53"/>
      <c r="G2597" s="53"/>
    </row>
    <row r="2598" spans="1:7" ht="15.75">
      <c r="A2598" s="53"/>
      <c r="B2598" s="53"/>
      <c r="C2598" s="53"/>
      <c r="D2598" s="53"/>
      <c r="E2598" s="53"/>
      <c r="F2598" s="53"/>
      <c r="G2598" s="53"/>
    </row>
    <row r="2599" spans="1:7" ht="15.75">
      <c r="A2599" s="53"/>
      <c r="B2599" s="53" t="s">
        <v>4967</v>
      </c>
      <c r="C2599" s="53"/>
      <c r="D2599" s="53"/>
      <c r="E2599" s="53"/>
      <c r="F2599" s="53"/>
      <c r="G2599" s="53"/>
    </row>
    <row r="2600" spans="1:7" ht="15.75">
      <c r="A2600" s="53"/>
      <c r="B2600" s="53"/>
      <c r="C2600" s="53" t="s">
        <v>4968</v>
      </c>
      <c r="D2600" s="53"/>
      <c r="E2600" s="53"/>
      <c r="F2600" s="53"/>
      <c r="G2600" s="53"/>
    </row>
    <row r="2601" spans="1:7" ht="15.75">
      <c r="A2601" s="53"/>
      <c r="B2601" s="53"/>
      <c r="C2601" s="53"/>
      <c r="D2601" s="53" t="s">
        <v>4969</v>
      </c>
      <c r="E2601" s="53"/>
      <c r="F2601" s="53"/>
      <c r="G2601" s="53"/>
    </row>
    <row r="2602" spans="1:7" ht="15.75">
      <c r="A2602" s="53"/>
      <c r="B2602" s="53"/>
      <c r="C2602" s="53" t="s">
        <v>4970</v>
      </c>
      <c r="D2602" s="53"/>
      <c r="E2602" s="53"/>
      <c r="F2602" s="53"/>
      <c r="G2602" s="53"/>
    </row>
    <row r="2603" spans="1:7" ht="15.75">
      <c r="A2603" s="53"/>
      <c r="B2603" s="53"/>
      <c r="C2603" s="53" t="s">
        <v>4972</v>
      </c>
      <c r="D2603" s="53"/>
      <c r="E2603" s="53"/>
      <c r="F2603" s="53"/>
      <c r="G2603" s="53"/>
    </row>
    <row r="2604" spans="1:7" ht="15.75">
      <c r="A2604" s="53"/>
      <c r="B2604" s="53"/>
      <c r="C2604" s="53"/>
      <c r="D2604" s="53" t="s">
        <v>4973</v>
      </c>
      <c r="E2604" s="53"/>
      <c r="F2604" s="53"/>
      <c r="G2604" s="53"/>
    </row>
    <row r="2605" spans="1:7" ht="15.75">
      <c r="A2605" s="53"/>
      <c r="B2605" s="53"/>
      <c r="C2605" s="53"/>
      <c r="D2605" s="53" t="s">
        <v>4974</v>
      </c>
      <c r="E2605" s="53"/>
      <c r="F2605" s="53"/>
      <c r="G2605" s="53"/>
    </row>
    <row r="2606" spans="1:7" ht="15.75">
      <c r="A2606" s="53"/>
      <c r="B2606" s="53"/>
      <c r="C2606" s="53"/>
      <c r="D2606" s="53" t="s">
        <v>4977</v>
      </c>
      <c r="E2606" s="53"/>
      <c r="F2606" s="53"/>
      <c r="G2606" s="53"/>
    </row>
    <row r="2607" spans="1:7" ht="15.75">
      <c r="A2607" s="53"/>
      <c r="B2607" s="53"/>
      <c r="C2607" s="53" t="s">
        <v>4976</v>
      </c>
      <c r="D2607" s="53"/>
      <c r="E2607" s="53"/>
      <c r="F2607" s="53"/>
      <c r="G2607" s="53"/>
    </row>
    <row r="2608" spans="1:7" ht="15.75">
      <c r="B2608" s="53" t="s">
        <v>1415</v>
      </c>
      <c r="C2608" s="53"/>
      <c r="D2608" s="53"/>
      <c r="E2608" s="53"/>
      <c r="F2608" s="53"/>
      <c r="G2608" s="53"/>
    </row>
    <row r="2609" spans="2:7" ht="15.75">
      <c r="B2609" s="53"/>
      <c r="C2609" s="53" t="s">
        <v>4971</v>
      </c>
      <c r="D2609" s="53"/>
      <c r="E2609" s="53"/>
      <c r="F2609" s="53"/>
      <c r="G2609" s="53"/>
    </row>
    <row r="2610" spans="2:7" ht="15.75">
      <c r="B2610" s="53"/>
      <c r="C2610" s="53" t="s">
        <v>4978</v>
      </c>
      <c r="D2610" s="53"/>
      <c r="E2610" s="53"/>
      <c r="F2610" s="53"/>
      <c r="G2610" s="53"/>
    </row>
    <row r="2611" spans="2:7" ht="15.75">
      <c r="B2611" s="53"/>
      <c r="C2611" s="53"/>
      <c r="D2611" s="53" t="s">
        <v>4979</v>
      </c>
      <c r="E2611" s="53"/>
      <c r="F2611" s="53"/>
      <c r="G2611" s="53"/>
    </row>
    <row r="2612" spans="2:7" ht="15.75">
      <c r="B2612" s="53"/>
      <c r="C2612" s="53" t="s">
        <v>4980</v>
      </c>
      <c r="D2612" s="53"/>
      <c r="E2612" s="53"/>
      <c r="F2612" s="53"/>
      <c r="G2612" s="53"/>
    </row>
    <row r="2613" spans="2:7" ht="15.75">
      <c r="B2613" s="53"/>
      <c r="C2613" s="53"/>
      <c r="D2613" s="53" t="s">
        <v>4981</v>
      </c>
      <c r="E2613" s="53"/>
      <c r="F2613" s="53"/>
      <c r="G2613" s="53"/>
    </row>
    <row r="2614" spans="2:7" ht="15.75">
      <c r="B2614" s="53"/>
      <c r="C2614" s="53"/>
      <c r="D2614" s="53" t="s">
        <v>4982</v>
      </c>
      <c r="E2614" s="53"/>
      <c r="F2614" s="53"/>
      <c r="G2614" s="53"/>
    </row>
    <row r="2615" spans="2:7" ht="15.75">
      <c r="B2615" s="53"/>
      <c r="C2615" s="53" t="s">
        <v>4983</v>
      </c>
      <c r="D2615" s="53"/>
      <c r="E2615" s="53"/>
      <c r="F2615" s="53"/>
      <c r="G2615" s="53"/>
    </row>
    <row r="2616" spans="2:7" ht="15.75">
      <c r="B2616" s="53" t="s">
        <v>4985</v>
      </c>
      <c r="C2616" s="53"/>
      <c r="D2616" s="53"/>
      <c r="E2616" s="53"/>
      <c r="F2616" s="53"/>
      <c r="G2616" s="53"/>
    </row>
    <row r="2617" spans="2:7" ht="15.75">
      <c r="B2617" s="53" t="s">
        <v>72</v>
      </c>
      <c r="C2617" s="53" t="s">
        <v>4986</v>
      </c>
      <c r="D2617" s="53"/>
      <c r="E2617" s="53"/>
      <c r="F2617" s="53"/>
      <c r="G2617" s="53"/>
    </row>
    <row r="2618" spans="2:7" ht="15.75">
      <c r="B2618" s="53" t="s">
        <v>4987</v>
      </c>
      <c r="C2618" s="53"/>
      <c r="D2618" s="53"/>
      <c r="E2618" s="53"/>
      <c r="F2618" s="53"/>
      <c r="G2618" s="53"/>
    </row>
    <row r="2619" spans="2:7" ht="15.75">
      <c r="B2619" s="53"/>
      <c r="C2619" s="53"/>
      <c r="D2619" s="53"/>
      <c r="E2619" s="53"/>
      <c r="F2619" s="53"/>
      <c r="G2619" s="53"/>
    </row>
    <row r="2620" spans="2:7" ht="15.75">
      <c r="B2620" s="53" t="s">
        <v>468</v>
      </c>
      <c r="C2620" s="53"/>
      <c r="D2620" s="53"/>
      <c r="E2620" s="53"/>
      <c r="F2620" s="53"/>
      <c r="G2620" s="53"/>
    </row>
    <row r="2621" spans="2:7" ht="15.75">
      <c r="B2621" s="53"/>
      <c r="C2621" s="53" t="s">
        <v>4988</v>
      </c>
      <c r="D2621" s="53"/>
      <c r="E2621" s="53"/>
      <c r="F2621" s="53"/>
      <c r="G2621" s="53"/>
    </row>
    <row r="2622" spans="2:7" ht="15.75">
      <c r="B2622" s="53"/>
      <c r="D2622" s="53" t="s">
        <v>4989</v>
      </c>
      <c r="E2622" s="53"/>
      <c r="F2622" s="53"/>
      <c r="G2622" s="53"/>
    </row>
    <row r="2623" spans="2:7" ht="15.75">
      <c r="B2623" s="53"/>
      <c r="C2623" s="53" t="s">
        <v>4990</v>
      </c>
      <c r="D2623" s="53"/>
      <c r="E2623" s="53"/>
      <c r="F2623" s="53"/>
      <c r="G2623" s="53"/>
    </row>
    <row r="2624" spans="2:7" ht="15.75">
      <c r="B2624" s="53" t="s">
        <v>4984</v>
      </c>
      <c r="C2624" s="53"/>
      <c r="D2624" s="53"/>
      <c r="E2624" s="53"/>
      <c r="F2624" s="53"/>
      <c r="G2624" s="53"/>
    </row>
    <row r="2625" spans="2:7" ht="15.75">
      <c r="B2625" s="53"/>
      <c r="C2625" s="53" t="s">
        <v>4975</v>
      </c>
      <c r="D2625" s="53"/>
      <c r="E2625" s="53"/>
      <c r="F2625" s="53"/>
      <c r="G2625" s="53"/>
    </row>
    <row r="2626" spans="2:7" ht="15.75">
      <c r="B2626" s="53" t="s">
        <v>1365</v>
      </c>
      <c r="C2626" s="53"/>
      <c r="D2626" s="53"/>
      <c r="E2626" s="53"/>
      <c r="F2626" s="53"/>
      <c r="G2626" s="53"/>
    </row>
    <row r="2627" spans="2:7" ht="15.75">
      <c r="B2627" s="53"/>
      <c r="C2627" s="53" t="s">
        <v>4991</v>
      </c>
      <c r="D2627" s="53"/>
      <c r="E2627" s="53"/>
      <c r="F2627" s="53"/>
      <c r="G2627" s="53"/>
    </row>
    <row r="2628" spans="2:7" ht="15.75">
      <c r="B2628" s="53"/>
      <c r="C2628" s="53" t="s">
        <v>4992</v>
      </c>
      <c r="D2628" s="53"/>
      <c r="E2628" s="53"/>
      <c r="F2628" s="53"/>
      <c r="G2628" s="53"/>
    </row>
    <row r="2629" spans="2:7" ht="15.75">
      <c r="B2629" s="53"/>
      <c r="C2629" s="53" t="s">
        <v>4993</v>
      </c>
      <c r="D2629" s="53"/>
      <c r="E2629" s="53"/>
      <c r="F2629" s="53"/>
      <c r="G2629" s="53"/>
    </row>
    <row r="2630" spans="2:7" ht="15.75">
      <c r="B2630" s="53"/>
      <c r="C2630" s="53" t="s">
        <v>4994</v>
      </c>
      <c r="D2630" s="53"/>
      <c r="E2630" s="53"/>
      <c r="F2630" s="53"/>
      <c r="G2630" s="53"/>
    </row>
    <row r="2632" spans="2:7" ht="15.75">
      <c r="C2632" s="53" t="s">
        <v>4995</v>
      </c>
    </row>
    <row r="2634" spans="2:7">
      <c r="B2634" s="513" t="s">
        <v>4996</v>
      </c>
    </row>
    <row r="2636" spans="2:7">
      <c r="B2636" s="513" t="s">
        <v>899</v>
      </c>
    </row>
    <row r="2637" spans="2:7">
      <c r="B2637" s="84">
        <v>2024</v>
      </c>
      <c r="C2637" t="s">
        <v>4997</v>
      </c>
    </row>
    <row r="2638" spans="2:7">
      <c r="C2638" t="s">
        <v>4998</v>
      </c>
    </row>
    <row r="2639" spans="2:7">
      <c r="C2639" t="s">
        <v>4999</v>
      </c>
    </row>
    <row r="2640" spans="2:7">
      <c r="C2640" t="s">
        <v>5000</v>
      </c>
    </row>
    <row r="2641" spans="2:8">
      <c r="D2641" t="s">
        <v>5001</v>
      </c>
      <c r="E2641">
        <v>600</v>
      </c>
      <c r="F2641" t="s">
        <v>5003</v>
      </c>
      <c r="G2641" t="s">
        <v>5005</v>
      </c>
    </row>
    <row r="2642" spans="2:8">
      <c r="D2642" t="s">
        <v>5004</v>
      </c>
      <c r="E2642">
        <f>E2643-E2641</f>
        <v>550</v>
      </c>
      <c r="F2642" t="s">
        <v>5007</v>
      </c>
      <c r="G2642" t="s">
        <v>5006</v>
      </c>
      <c r="H2642" t="s">
        <v>5013</v>
      </c>
    </row>
    <row r="2643" spans="2:8">
      <c r="E2643">
        <v>1150</v>
      </c>
    </row>
    <row r="2644" spans="2:8">
      <c r="D2644" t="s">
        <v>5002</v>
      </c>
      <c r="E2644">
        <f>E2645-E2643</f>
        <v>110</v>
      </c>
    </row>
    <row r="2645" spans="2:8">
      <c r="E2645">
        <v>1260</v>
      </c>
    </row>
    <row r="2646" spans="2:8">
      <c r="C2646" t="s">
        <v>1012</v>
      </c>
      <c r="G2646" t="s">
        <v>5008</v>
      </c>
    </row>
    <row r="2647" spans="2:8">
      <c r="B2647" t="s">
        <v>5009</v>
      </c>
    </row>
    <row r="2648" spans="2:8">
      <c r="C2648" t="s">
        <v>5010</v>
      </c>
    </row>
    <row r="2649" spans="2:8">
      <c r="C2649" t="s">
        <v>5011</v>
      </c>
    </row>
    <row r="2650" spans="2:8">
      <c r="C2650" t="s">
        <v>5012</v>
      </c>
    </row>
    <row r="2651" spans="2:8">
      <c r="C2651" t="s">
        <v>5014</v>
      </c>
    </row>
    <row r="2652" spans="2:8">
      <c r="B2652" t="s">
        <v>5015</v>
      </c>
    </row>
    <row r="2653" spans="2:8">
      <c r="C2653" t="s">
        <v>5016</v>
      </c>
    </row>
    <row r="2654" spans="2:8">
      <c r="C2654" t="s">
        <v>5017</v>
      </c>
    </row>
    <row r="2655" spans="2:8">
      <c r="B2655" s="513" t="s">
        <v>5018</v>
      </c>
    </row>
    <row r="2656" spans="2:8">
      <c r="C2656" t="s">
        <v>5019</v>
      </c>
    </row>
    <row r="2657" spans="2:3">
      <c r="C2657" t="s">
        <v>5020</v>
      </c>
    </row>
    <row r="2658" spans="2:3">
      <c r="C2658" t="s">
        <v>5021</v>
      </c>
    </row>
    <row r="2659" spans="2:3">
      <c r="B2659" s="513" t="s">
        <v>1777</v>
      </c>
    </row>
    <row r="2661" spans="2:3">
      <c r="B2661" s="513" t="s">
        <v>5029</v>
      </c>
    </row>
    <row r="2662" spans="2:3">
      <c r="B2662" t="s">
        <v>5022</v>
      </c>
    </row>
    <row r="2663" spans="2:3">
      <c r="C2663" s="13" t="s">
        <v>5023</v>
      </c>
    </row>
    <row r="2664" spans="2:3">
      <c r="C2664" t="s">
        <v>5024</v>
      </c>
    </row>
    <row r="2665" spans="2:3">
      <c r="C2665" t="s">
        <v>5025</v>
      </c>
    </row>
    <row r="2666" spans="2:3">
      <c r="B2666" t="s">
        <v>5026</v>
      </c>
    </row>
    <row r="2667" spans="2:3">
      <c r="B2667" t="s">
        <v>5027</v>
      </c>
    </row>
    <row r="2668" spans="2:3">
      <c r="B2668" t="s">
        <v>5028</v>
      </c>
    </row>
    <row r="2669" spans="2:3">
      <c r="B2669" t="s">
        <v>1133</v>
      </c>
    </row>
    <row r="2670" spans="2:3">
      <c r="C2670" t="s">
        <v>5030</v>
      </c>
    </row>
    <row r="2671" spans="2:3">
      <c r="C2671" t="s">
        <v>5031</v>
      </c>
    </row>
    <row r="2672" spans="2:3">
      <c r="B2672" t="s">
        <v>5032</v>
      </c>
    </row>
    <row r="2673" spans="2:12">
      <c r="C2673" t="s">
        <v>5033</v>
      </c>
    </row>
    <row r="2674" spans="2:12">
      <c r="C2674" t="s">
        <v>4904</v>
      </c>
    </row>
    <row r="2675" spans="2:12">
      <c r="B2675" s="13" t="s">
        <v>5033</v>
      </c>
    </row>
    <row r="2676" spans="2:12">
      <c r="C2676" t="s">
        <v>5034</v>
      </c>
    </row>
    <row r="2677" spans="2:12">
      <c r="B2677" t="s">
        <v>5035</v>
      </c>
    </row>
    <row r="2679" spans="2:12">
      <c r="B2679" t="s">
        <v>5036</v>
      </c>
    </row>
    <row r="2680" spans="2:12">
      <c r="C2680" t="s">
        <v>5037</v>
      </c>
    </row>
    <row r="2681" spans="2:12">
      <c r="B2681" s="13" t="s">
        <v>5038</v>
      </c>
    </row>
    <row r="2682" spans="2:12">
      <c r="C2682" t="s">
        <v>5039</v>
      </c>
    </row>
    <row r="2683" spans="2:12">
      <c r="C2683" t="s">
        <v>5040</v>
      </c>
      <c r="D2683" t="s">
        <v>1160</v>
      </c>
      <c r="E2683">
        <f>10*0.3</f>
        <v>3</v>
      </c>
    </row>
    <row r="2684" spans="2:12">
      <c r="C2684" t="s">
        <v>5041</v>
      </c>
      <c r="D2684" t="s">
        <v>1162</v>
      </c>
      <c r="E2684">
        <f>10*1.4</f>
        <v>14</v>
      </c>
    </row>
    <row r="2685" spans="2:12">
      <c r="E2685">
        <f>E2683+E2684</f>
        <v>17</v>
      </c>
    </row>
    <row r="2686" spans="2:12">
      <c r="B2686" s="513" t="s">
        <v>5042</v>
      </c>
    </row>
    <row r="2688" spans="2:12">
      <c r="B2688" s="3"/>
      <c r="C2688" s="4" t="s">
        <v>1919</v>
      </c>
      <c r="D2688" s="4"/>
      <c r="E2688" s="4"/>
      <c r="F2688" s="4" t="s">
        <v>1567</v>
      </c>
      <c r="G2688" s="4"/>
      <c r="H2688" s="4"/>
      <c r="I2688" s="4" t="s">
        <v>389</v>
      </c>
      <c r="L2688" t="str">
        <f>C2688</f>
        <v>Wireless</v>
      </c>
    </row>
    <row r="2689" spans="2:12">
      <c r="B2689" t="s">
        <v>5043</v>
      </c>
      <c r="C2689" s="80" t="s">
        <v>1467</v>
      </c>
      <c r="E2689" t="s">
        <v>5074</v>
      </c>
      <c r="F2689" s="5">
        <v>0.36</v>
      </c>
      <c r="H2689" t="s">
        <v>1931</v>
      </c>
      <c r="I2689" s="5">
        <v>0.25</v>
      </c>
      <c r="K2689" t="s">
        <v>5074</v>
      </c>
      <c r="L2689" s="5">
        <v>0.54</v>
      </c>
    </row>
    <row r="2690" spans="2:12">
      <c r="B2690" t="s">
        <v>5046</v>
      </c>
      <c r="C2690" s="5">
        <v>0.25</v>
      </c>
      <c r="E2690" t="s">
        <v>3966</v>
      </c>
      <c r="F2690" s="5">
        <v>0.2</v>
      </c>
      <c r="H2690" t="s">
        <v>5045</v>
      </c>
      <c r="I2690" s="5">
        <v>0.25</v>
      </c>
      <c r="K2690" t="str">
        <f>B2690</f>
        <v>LLA/TEF</v>
      </c>
      <c r="L2690" s="5">
        <v>0.27</v>
      </c>
    </row>
    <row r="2691" spans="2:12">
      <c r="B2691" t="s">
        <v>1364</v>
      </c>
      <c r="C2691" s="80" t="s">
        <v>5044</v>
      </c>
      <c r="E2691" t="s">
        <v>5073</v>
      </c>
      <c r="F2691" s="5">
        <v>0.2</v>
      </c>
      <c r="H2691" t="s">
        <v>5071</v>
      </c>
      <c r="I2691" s="5">
        <f>100%-I2689-I2690</f>
        <v>0.5</v>
      </c>
      <c r="K2691" t="str">
        <f>B2691</f>
        <v>Claro</v>
      </c>
      <c r="L2691" s="5">
        <f>100%-L2689-L2690</f>
        <v>0.18999999999999995</v>
      </c>
    </row>
    <row r="2692" spans="2:12">
      <c r="E2692" t="s">
        <v>5072</v>
      </c>
      <c r="F2692" s="5">
        <v>0.18</v>
      </c>
    </row>
    <row r="2693" spans="2:12">
      <c r="E2693" t="s">
        <v>5071</v>
      </c>
      <c r="F2693" s="5">
        <f>100%-F2689-F2690-F2691-F2692</f>
        <v>0.06</v>
      </c>
    </row>
    <row r="2694" spans="2:12">
      <c r="B2694" t="s">
        <v>5047</v>
      </c>
    </row>
    <row r="2695" spans="2:12">
      <c r="B2695" t="s">
        <v>5048</v>
      </c>
    </row>
    <row r="2697" spans="2:12">
      <c r="B2697" t="s">
        <v>3091</v>
      </c>
      <c r="C2697" s="84" t="s">
        <v>5049</v>
      </c>
      <c r="E2697" t="s">
        <v>5051</v>
      </c>
    </row>
    <row r="2698" spans="2:12">
      <c r="B2698" t="s">
        <v>5050</v>
      </c>
      <c r="C2698" s="3" t="s">
        <v>5053</v>
      </c>
      <c r="D2698" s="3"/>
      <c r="E2698" s="3" t="s">
        <v>5052</v>
      </c>
    </row>
    <row r="2699" spans="2:12">
      <c r="E2699" t="s">
        <v>5054</v>
      </c>
    </row>
    <row r="2700" spans="2:12">
      <c r="B2700" t="s">
        <v>5055</v>
      </c>
    </row>
    <row r="2702" spans="2:12">
      <c r="B2702" s="513" t="s">
        <v>5067</v>
      </c>
    </row>
    <row r="2704" spans="2:12">
      <c r="B2704" t="s">
        <v>5069</v>
      </c>
    </row>
    <row r="2705" spans="2:4">
      <c r="B2705" t="s">
        <v>5070</v>
      </c>
    </row>
    <row r="2706" spans="2:4">
      <c r="B2706" t="s">
        <v>5068</v>
      </c>
    </row>
    <row r="2708" spans="2:4">
      <c r="B2708" t="s">
        <v>5082</v>
      </c>
    </row>
    <row r="2710" spans="2:4">
      <c r="B2710" t="s">
        <v>5084</v>
      </c>
      <c r="C2710" t="s">
        <v>72</v>
      </c>
    </row>
    <row r="2711" spans="2:4">
      <c r="B2711" t="s">
        <v>5085</v>
      </c>
    </row>
    <row r="2712" spans="2:4">
      <c r="B2712" t="s">
        <v>5086</v>
      </c>
    </row>
    <row r="2714" spans="2:4">
      <c r="B2714" t="s">
        <v>5083</v>
      </c>
    </row>
    <row r="2716" spans="2:4">
      <c r="B2716" t="s">
        <v>468</v>
      </c>
    </row>
    <row r="2717" spans="2:4">
      <c r="C2717" t="s">
        <v>5087</v>
      </c>
    </row>
    <row r="2718" spans="2:4">
      <c r="C2718" t="s">
        <v>5088</v>
      </c>
    </row>
    <row r="2719" spans="2:4">
      <c r="D2719" t="s">
        <v>5089</v>
      </c>
    </row>
    <row r="2720" spans="2:4">
      <c r="C2720">
        <f>5*'LiLAC valuation'!AE313</f>
        <v>4130</v>
      </c>
      <c r="D2720" t="s">
        <v>5090</v>
      </c>
    </row>
    <row r="2721" spans="2:5">
      <c r="C2721" s="6">
        <f>(C2720/1000)/'LiLAC valuation'!AA266</f>
        <v>2.5020808455856254E-2</v>
      </c>
    </row>
    <row r="2722" spans="2:5">
      <c r="C2722" t="s">
        <v>5091</v>
      </c>
    </row>
    <row r="2723" spans="2:5">
      <c r="D2723" t="s">
        <v>5092</v>
      </c>
    </row>
    <row r="2724" spans="2:5">
      <c r="D2724" t="s">
        <v>5093</v>
      </c>
    </row>
    <row r="2725" spans="2:5">
      <c r="D2725" t="s">
        <v>5094</v>
      </c>
    </row>
    <row r="2726" spans="2:5">
      <c r="C2726">
        <f>8*'LiLAC valuation'!AE313</f>
        <v>6608</v>
      </c>
    </row>
    <row r="2727" spans="2:5">
      <c r="C2727">
        <f>C2726/1000</f>
        <v>6.6079999999999997</v>
      </c>
    </row>
    <row r="2728" spans="2:5">
      <c r="C2728" s="5">
        <f>C2727/'LiLAC valuation'!AA272</f>
        <v>9.6391230182879928E-2</v>
      </c>
    </row>
    <row r="2729" spans="2:5">
      <c r="B2729" t="s">
        <v>3233</v>
      </c>
    </row>
    <row r="2730" spans="2:5">
      <c r="C2730" t="s">
        <v>5097</v>
      </c>
    </row>
    <row r="2731" spans="2:5">
      <c r="C2731" t="s">
        <v>5098</v>
      </c>
    </row>
    <row r="2732" spans="2:5">
      <c r="C2732" t="s">
        <v>5099</v>
      </c>
    </row>
    <row r="2734" spans="2:5">
      <c r="C2734" t="s">
        <v>5096</v>
      </c>
      <c r="D2734" s="845">
        <f>D2735/0.75</f>
        <v>9.52</v>
      </c>
      <c r="E2734" s="845">
        <v>9.6</v>
      </c>
    </row>
    <row r="2735" spans="2:5">
      <c r="C2735" t="s">
        <v>5095</v>
      </c>
      <c r="D2735" s="36">
        <v>7.14</v>
      </c>
    </row>
    <row r="2736" spans="2:5">
      <c r="C2736" s="1086" t="s">
        <v>3979</v>
      </c>
      <c r="D2736">
        <v>350</v>
      </c>
    </row>
    <row r="2737" spans="2:10">
      <c r="C2737" t="s">
        <v>4171</v>
      </c>
      <c r="D2737" s="62">
        <f>D2736/D2735</f>
        <v>49.019607843137258</v>
      </c>
    </row>
    <row r="2738" spans="2:10">
      <c r="C2738" t="s">
        <v>5166</v>
      </c>
      <c r="D2738" s="62">
        <f>C2758/D2737</f>
        <v>3.7159007999999996</v>
      </c>
    </row>
    <row r="2740" spans="2:10">
      <c r="C2740" t="s">
        <v>5100</v>
      </c>
      <c r="D2740">
        <f>D2735*D2737</f>
        <v>350</v>
      </c>
      <c r="E2740" s="486">
        <f>C2758*E2734</f>
        <v>1748.6591999999998</v>
      </c>
      <c r="F2740" s="486">
        <f>D2740+E2740</f>
        <v>2098.6592000000001</v>
      </c>
    </row>
    <row r="2741" spans="2:10" ht="15.75" thickBot="1">
      <c r="F2741" s="62">
        <f>D2737+C2758</f>
        <v>231.17160784313725</v>
      </c>
    </row>
    <row r="2742" spans="2:10" ht="15.75" thickBot="1">
      <c r="F2742" s="1087">
        <f>F2740/F2741</f>
        <v>9.0783605287032341</v>
      </c>
    </row>
    <row r="2743" spans="2:10">
      <c r="D2743" s="80" t="s">
        <v>1122</v>
      </c>
      <c r="E2743" s="80" t="s">
        <v>5168</v>
      </c>
      <c r="F2743" s="62"/>
    </row>
    <row r="2744" spans="2:10">
      <c r="C2744" t="s">
        <v>5103</v>
      </c>
      <c r="D2744">
        <f>D2734</f>
        <v>9.52</v>
      </c>
      <c r="E2744">
        <f>D2735</f>
        <v>7.14</v>
      </c>
      <c r="F2744" s="62">
        <f>D2744-E2744</f>
        <v>2.38</v>
      </c>
    </row>
    <row r="2745" spans="2:10">
      <c r="C2745" t="s">
        <v>5167</v>
      </c>
      <c r="F2745" s="62">
        <f>D2738</f>
        <v>3.7159007999999996</v>
      </c>
      <c r="I2745" t="s">
        <v>5176</v>
      </c>
      <c r="J2745">
        <v>7.48</v>
      </c>
    </row>
    <row r="2746" spans="2:10" ht="15.75" thickBot="1">
      <c r="F2746" s="62">
        <f>F2745+1</f>
        <v>4.7159008</v>
      </c>
      <c r="J2746">
        <f>J2745-D2735</f>
        <v>0.34000000000000075</v>
      </c>
    </row>
    <row r="2747" spans="2:10" ht="15.75" thickBot="1">
      <c r="F2747" s="1090">
        <f>F2744/F2746</f>
        <v>0.50467558605134355</v>
      </c>
    </row>
    <row r="2748" spans="2:10">
      <c r="F2748" s="62"/>
    </row>
    <row r="2749" spans="2:10">
      <c r="C2749" t="s">
        <v>5164</v>
      </c>
      <c r="F2749" s="1088">
        <v>0.26900000000000002</v>
      </c>
    </row>
    <row r="2750" spans="2:10">
      <c r="C2750" s="8" t="s">
        <v>5165</v>
      </c>
      <c r="F2750" s="1089">
        <f>D2737/C2758</f>
        <v>0.26911375029171936</v>
      </c>
    </row>
    <row r="2751" spans="2:10">
      <c r="B2751" t="s">
        <v>2933</v>
      </c>
    </row>
    <row r="2752" spans="2:10">
      <c r="C2752" t="s">
        <v>5101</v>
      </c>
      <c r="D2752">
        <f>9.7/10</f>
        <v>0.97</v>
      </c>
    </row>
    <row r="2753" spans="3:4">
      <c r="C2753" t="s">
        <v>5102</v>
      </c>
    </row>
    <row r="2755" spans="3:4">
      <c r="C2755">
        <v>131.34399999999999</v>
      </c>
    </row>
    <row r="2756" spans="3:4">
      <c r="C2756">
        <v>1.9330000000000001</v>
      </c>
    </row>
    <row r="2757" spans="3:4">
      <c r="C2757" s="3">
        <v>48.875</v>
      </c>
    </row>
    <row r="2758" spans="3:4">
      <c r="C2758">
        <f>C2755+C2756+C2757</f>
        <v>182.15199999999999</v>
      </c>
      <c r="D2758" s="5">
        <f>D2737/C2758</f>
        <v>0.26911375029171936</v>
      </c>
    </row>
    <row r="2771" spans="2:4">
      <c r="B2771" s="13" t="s">
        <v>428</v>
      </c>
    </row>
    <row r="2773" spans="2:4">
      <c r="B2773" t="s">
        <v>5105</v>
      </c>
    </row>
    <row r="2775" spans="2:4">
      <c r="B2775" t="s">
        <v>3411</v>
      </c>
    </row>
    <row r="2776" spans="2:4">
      <c r="C2776" t="s">
        <v>5119</v>
      </c>
    </row>
    <row r="2777" spans="2:4">
      <c r="D2777" t="s">
        <v>5107</v>
      </c>
    </row>
    <row r="2778" spans="2:4">
      <c r="D2778" t="s">
        <v>5108</v>
      </c>
    </row>
    <row r="2780" spans="2:4">
      <c r="C2780" t="s">
        <v>5131</v>
      </c>
    </row>
    <row r="2781" spans="2:4">
      <c r="B2781" t="s">
        <v>468</v>
      </c>
    </row>
    <row r="2782" spans="2:4">
      <c r="C2782" t="s">
        <v>5109</v>
      </c>
    </row>
    <row r="2783" spans="2:4">
      <c r="D2783" t="s">
        <v>5110</v>
      </c>
    </row>
    <row r="2784" spans="2:4">
      <c r="D2784" t="s">
        <v>5111</v>
      </c>
    </row>
    <row r="2785" spans="2:4">
      <c r="D2785" t="s">
        <v>5112</v>
      </c>
    </row>
    <row r="2786" spans="2:4">
      <c r="C2786" t="s">
        <v>8</v>
      </c>
    </row>
    <row r="2787" spans="2:4">
      <c r="D2787" t="s">
        <v>5113</v>
      </c>
    </row>
    <row r="2788" spans="2:4">
      <c r="D2788" t="s">
        <v>5114</v>
      </c>
    </row>
    <row r="2789" spans="2:4">
      <c r="C2789" t="s">
        <v>5125</v>
      </c>
    </row>
    <row r="2790" spans="2:4">
      <c r="B2790" t="s">
        <v>469</v>
      </c>
    </row>
    <row r="2791" spans="2:4">
      <c r="C2791" t="s">
        <v>5115</v>
      </c>
    </row>
    <row r="2792" spans="2:4">
      <c r="C2792" t="s">
        <v>5116</v>
      </c>
    </row>
    <row r="2793" spans="2:4">
      <c r="D2793" t="s">
        <v>5117</v>
      </c>
    </row>
    <row r="2794" spans="2:4">
      <c r="D2794" t="s">
        <v>5118</v>
      </c>
    </row>
    <row r="2795" spans="2:4">
      <c r="B2795" t="s">
        <v>2639</v>
      </c>
    </row>
    <row r="2796" spans="2:4">
      <c r="C2796" t="s">
        <v>5122</v>
      </c>
    </row>
    <row r="2797" spans="2:4">
      <c r="B2797" t="s">
        <v>1365</v>
      </c>
    </row>
    <row r="2798" spans="2:4">
      <c r="C2798" t="s">
        <v>5123</v>
      </c>
    </row>
    <row r="2799" spans="2:4">
      <c r="B2799" t="s">
        <v>0</v>
      </c>
    </row>
    <row r="2800" spans="2:4">
      <c r="C2800" t="s">
        <v>5124</v>
      </c>
    </row>
    <row r="2802" spans="2:3">
      <c r="B2802" s="13" t="s">
        <v>5127</v>
      </c>
    </row>
    <row r="2804" spans="2:3">
      <c r="B2804" t="s">
        <v>2639</v>
      </c>
    </row>
    <row r="2805" spans="2:3">
      <c r="C2805" t="s">
        <v>5120</v>
      </c>
    </row>
    <row r="2806" spans="2:3">
      <c r="C2806" t="s">
        <v>5121</v>
      </c>
    </row>
    <row r="2807" spans="2:3">
      <c r="B2807" t="s">
        <v>5126</v>
      </c>
    </row>
    <row r="2808" spans="2:3">
      <c r="B2808" t="s">
        <v>5128</v>
      </c>
    </row>
    <row r="2810" spans="2:3">
      <c r="B2810" t="s">
        <v>3411</v>
      </c>
      <c r="C2810" t="s">
        <v>5129</v>
      </c>
    </row>
    <row r="2811" spans="2:3">
      <c r="C2811" t="s">
        <v>5130</v>
      </c>
    </row>
    <row r="2812" spans="2:3">
      <c r="B2812" t="s">
        <v>469</v>
      </c>
    </row>
    <row r="2813" spans="2:3">
      <c r="C2813" t="s">
        <v>5132</v>
      </c>
    </row>
    <row r="2815" spans="2:3">
      <c r="B2815" s="13" t="s">
        <v>428</v>
      </c>
    </row>
    <row r="2817" spans="2:4">
      <c r="B2817" t="s">
        <v>5160</v>
      </c>
    </row>
    <row r="2819" spans="2:4">
      <c r="B2819" t="s">
        <v>5133</v>
      </c>
    </row>
    <row r="2820" spans="2:4">
      <c r="B2820" t="s">
        <v>5134</v>
      </c>
    </row>
    <row r="2821" spans="2:4">
      <c r="C2821" t="s">
        <v>5135</v>
      </c>
    </row>
    <row r="2822" spans="2:4">
      <c r="C2822" t="s">
        <v>5136</v>
      </c>
    </row>
    <row r="2823" spans="2:4">
      <c r="D2823" t="s">
        <v>5137</v>
      </c>
    </row>
    <row r="2824" spans="2:4">
      <c r="B2824" t="s">
        <v>468</v>
      </c>
    </row>
    <row r="2825" spans="2:4">
      <c r="C2825" t="s">
        <v>5147</v>
      </c>
    </row>
    <row r="2826" spans="2:4">
      <c r="C2826" t="s">
        <v>5138</v>
      </c>
    </row>
    <row r="2827" spans="2:4">
      <c r="D2827" t="s">
        <v>5139</v>
      </c>
    </row>
    <row r="2828" spans="2:4">
      <c r="D2828" t="s">
        <v>5140</v>
      </c>
    </row>
    <row r="2829" spans="2:4">
      <c r="D2829" t="s">
        <v>5141</v>
      </c>
    </row>
    <row r="2830" spans="2:4">
      <c r="C2830" t="s">
        <v>5146</v>
      </c>
    </row>
    <row r="2831" spans="2:4">
      <c r="C2831" t="s">
        <v>5142</v>
      </c>
    </row>
    <row r="2832" spans="2:4">
      <c r="D2832" t="s">
        <v>5143</v>
      </c>
    </row>
    <row r="2833" spans="2:4">
      <c r="B2833" t="s">
        <v>469</v>
      </c>
    </row>
    <row r="2834" spans="2:4">
      <c r="C2834" t="s">
        <v>5144</v>
      </c>
    </row>
    <row r="2835" spans="2:4">
      <c r="C2835" t="s">
        <v>5145</v>
      </c>
    </row>
    <row r="2837" spans="2:4">
      <c r="C2837" t="s">
        <v>5148</v>
      </c>
    </row>
    <row r="2838" spans="2:4">
      <c r="C2838" t="s">
        <v>5149</v>
      </c>
    </row>
    <row r="2839" spans="2:4">
      <c r="D2839" t="s">
        <v>5150</v>
      </c>
    </row>
    <row r="2840" spans="2:4">
      <c r="C2840" t="s">
        <v>5151</v>
      </c>
    </row>
    <row r="2841" spans="2:4">
      <c r="D2841" t="s">
        <v>5152</v>
      </c>
    </row>
    <row r="2842" spans="2:4">
      <c r="D2842" t="s">
        <v>5153</v>
      </c>
    </row>
    <row r="2843" spans="2:4">
      <c r="B2843" t="s">
        <v>399</v>
      </c>
    </row>
    <row r="2844" spans="2:4">
      <c r="C2844" t="s">
        <v>5154</v>
      </c>
    </row>
    <row r="2845" spans="2:4">
      <c r="C2845" t="s">
        <v>5155</v>
      </c>
    </row>
    <row r="2846" spans="2:4">
      <c r="B2846" t="s">
        <v>5156</v>
      </c>
    </row>
    <row r="2847" spans="2:4">
      <c r="C2847" t="s">
        <v>5157</v>
      </c>
    </row>
    <row r="2848" spans="2:4">
      <c r="C2848" t="s">
        <v>5158</v>
      </c>
    </row>
    <row r="2849" spans="2:4">
      <c r="B2849" t="s">
        <v>1415</v>
      </c>
    </row>
    <row r="2850" spans="2:4">
      <c r="C2850" t="s">
        <v>5159</v>
      </c>
    </row>
    <row r="2851" spans="2:4">
      <c r="B2851" t="s">
        <v>5161</v>
      </c>
    </row>
    <row r="2852" spans="2:4">
      <c r="C2852" t="s">
        <v>5162</v>
      </c>
    </row>
    <row r="2853" spans="2:4">
      <c r="C2853" t="s">
        <v>5163</v>
      </c>
    </row>
    <row r="2855" spans="2:4">
      <c r="B2855" s="13" t="s">
        <v>5175</v>
      </c>
    </row>
    <row r="2856" spans="2:4">
      <c r="B2856" s="13"/>
    </row>
    <row r="2857" spans="2:4">
      <c r="B2857" t="s">
        <v>5170</v>
      </c>
    </row>
    <row r="2858" spans="2:4">
      <c r="C2858" t="s">
        <v>5171</v>
      </c>
    </row>
    <row r="2859" spans="2:4">
      <c r="C2859" t="s">
        <v>5172</v>
      </c>
    </row>
    <row r="2860" spans="2:4">
      <c r="D2860" t="s">
        <v>5173</v>
      </c>
    </row>
    <row r="2861" spans="2:4">
      <c r="D2861" t="s">
        <v>5174</v>
      </c>
    </row>
    <row r="2862" spans="2:4">
      <c r="B2862" t="s">
        <v>5177</v>
      </c>
    </row>
    <row r="2863" spans="2:4">
      <c r="C2863" t="s">
        <v>5179</v>
      </c>
    </row>
    <row r="2864" spans="2:4">
      <c r="B2864" t="s">
        <v>4389</v>
      </c>
    </row>
    <row r="2865" spans="2:4">
      <c r="C2865" t="s">
        <v>5178</v>
      </c>
    </row>
    <row r="2866" spans="2:4">
      <c r="B2866" t="s">
        <v>5180</v>
      </c>
    </row>
    <row r="2867" spans="2:4">
      <c r="B2867" t="s">
        <v>468</v>
      </c>
    </row>
    <row r="2868" spans="2:4">
      <c r="C2868" t="s">
        <v>5181</v>
      </c>
    </row>
    <row r="2869" spans="2:4">
      <c r="C2869" t="s">
        <v>5182</v>
      </c>
    </row>
    <row r="2870" spans="2:4">
      <c r="C2870" t="s">
        <v>5183</v>
      </c>
    </row>
    <row r="2872" spans="2:4">
      <c r="C2872" t="s">
        <v>5184</v>
      </c>
    </row>
    <row r="2873" spans="2:4">
      <c r="C2873" t="s">
        <v>5185</v>
      </c>
    </row>
    <row r="2874" spans="2:4">
      <c r="D2874" t="s">
        <v>5186</v>
      </c>
    </row>
    <row r="2875" spans="2:4">
      <c r="C2875" t="s">
        <v>5187</v>
      </c>
    </row>
    <row r="2877" spans="2:4">
      <c r="B2877" s="13" t="s">
        <v>5189</v>
      </c>
    </row>
    <row r="2879" spans="2:4">
      <c r="B2879" t="s">
        <v>468</v>
      </c>
    </row>
    <row r="2880" spans="2:4">
      <c r="C2880" t="s">
        <v>5190</v>
      </c>
    </row>
    <row r="2881" spans="2:4">
      <c r="D2881" t="s">
        <v>5191</v>
      </c>
    </row>
    <row r="2882" spans="2:4">
      <c r="D2882" t="s">
        <v>5192</v>
      </c>
    </row>
    <row r="2883" spans="2:4">
      <c r="C2883" t="s">
        <v>5196</v>
      </c>
    </row>
    <row r="2884" spans="2:4">
      <c r="C2884" t="s">
        <v>2666</v>
      </c>
    </row>
    <row r="2885" spans="2:4">
      <c r="D2885" t="s">
        <v>5197</v>
      </c>
    </row>
    <row r="2886" spans="2:4">
      <c r="B2886" t="s">
        <v>469</v>
      </c>
    </row>
    <row r="2887" spans="2:4">
      <c r="C2887" t="s">
        <v>5195</v>
      </c>
    </row>
    <row r="2888" spans="2:4">
      <c r="C2888" t="s">
        <v>5198</v>
      </c>
    </row>
    <row r="2889" spans="2:4">
      <c r="B2889" t="s">
        <v>2412</v>
      </c>
    </row>
    <row r="2890" spans="2:4">
      <c r="C2890" t="s">
        <v>5193</v>
      </c>
    </row>
    <row r="2891" spans="2:4">
      <c r="C2891" t="s">
        <v>5194</v>
      </c>
    </row>
    <row r="2892" spans="2:4">
      <c r="B2892" t="s">
        <v>29</v>
      </c>
    </row>
    <row r="2893" spans="2:4">
      <c r="C2893" t="s">
        <v>5201</v>
      </c>
    </row>
    <row r="2894" spans="2:4">
      <c r="C2894" t="s">
        <v>5200</v>
      </c>
    </row>
    <row r="2895" spans="2:4">
      <c r="C2895" t="s">
        <v>5205</v>
      </c>
    </row>
    <row r="2896" spans="2:4">
      <c r="B2896" t="s">
        <v>5199</v>
      </c>
    </row>
    <row r="2898" spans="2:3">
      <c r="B2898" t="s">
        <v>5202</v>
      </c>
    </row>
    <row r="2900" spans="2:3">
      <c r="B2900" t="s">
        <v>899</v>
      </c>
    </row>
    <row r="2901" spans="2:3">
      <c r="C2901" t="s">
        <v>5204</v>
      </c>
    </row>
    <row r="2902" spans="2:3">
      <c r="C2902" t="s">
        <v>5203</v>
      </c>
    </row>
    <row r="2903" spans="2:3">
      <c r="C2903" t="s">
        <v>5206</v>
      </c>
    </row>
    <row r="2905" spans="2:3">
      <c r="B2905" s="13" t="s">
        <v>428</v>
      </c>
    </row>
    <row r="2907" spans="2:3">
      <c r="B2907" t="s">
        <v>29</v>
      </c>
      <c r="C2907" s="84" t="s">
        <v>5211</v>
      </c>
    </row>
    <row r="2908" spans="2:3">
      <c r="C2908" t="s">
        <v>5207</v>
      </c>
    </row>
    <row r="2909" spans="2:3">
      <c r="C2909" t="s">
        <v>5208</v>
      </c>
    </row>
    <row r="2910" spans="2:3">
      <c r="C2910" t="s">
        <v>5209</v>
      </c>
    </row>
    <row r="2912" spans="2:3">
      <c r="C2912" t="s">
        <v>5210</v>
      </c>
    </row>
    <row r="2913" spans="2:3">
      <c r="C2913" t="s">
        <v>5212</v>
      </c>
    </row>
    <row r="2915" spans="2:3">
      <c r="C2915" t="s">
        <v>5213</v>
      </c>
    </row>
    <row r="2916" spans="2:3">
      <c r="B2916" t="s">
        <v>468</v>
      </c>
    </row>
    <row r="2917" spans="2:3">
      <c r="C2917" t="s">
        <v>5214</v>
      </c>
    </row>
    <row r="2918" spans="2:3">
      <c r="C2918" t="s">
        <v>5215</v>
      </c>
    </row>
    <row r="2919" spans="2:3">
      <c r="C2919" t="s">
        <v>5216</v>
      </c>
    </row>
    <row r="2920" spans="2:3">
      <c r="C2920" t="s">
        <v>5217</v>
      </c>
    </row>
    <row r="2921" spans="2:3">
      <c r="C2921" t="s">
        <v>5218</v>
      </c>
    </row>
    <row r="2922" spans="2:3">
      <c r="C2922" t="s">
        <v>5219</v>
      </c>
    </row>
    <row r="2924" spans="2:3">
      <c r="C2924" t="s">
        <v>5220</v>
      </c>
    </row>
    <row r="2925" spans="2:3">
      <c r="C2925" t="s">
        <v>5221</v>
      </c>
    </row>
    <row r="2927" spans="2:3">
      <c r="C2927" t="s">
        <v>5222</v>
      </c>
    </row>
    <row r="2928" spans="2:3">
      <c r="C2928" s="13" t="s">
        <v>2388</v>
      </c>
    </row>
    <row r="2929" spans="2:3">
      <c r="C2929" t="s">
        <v>5223</v>
      </c>
    </row>
    <row r="2930" spans="2:3">
      <c r="C2930" t="s">
        <v>5224</v>
      </c>
    </row>
    <row r="2932" spans="2:3">
      <c r="C2932" t="s">
        <v>5225</v>
      </c>
    </row>
    <row r="2933" spans="2:3">
      <c r="C2933" t="s">
        <v>5226</v>
      </c>
    </row>
    <row r="2934" spans="2:3">
      <c r="C2934" t="s">
        <v>5227</v>
      </c>
    </row>
    <row r="2935" spans="2:3">
      <c r="C2935" t="s">
        <v>5228</v>
      </c>
    </row>
    <row r="2937" spans="2:3">
      <c r="C2937" t="s">
        <v>5239</v>
      </c>
    </row>
    <row r="2939" spans="2:3">
      <c r="B2939" t="s">
        <v>5229</v>
      </c>
    </row>
    <row r="2940" spans="2:3">
      <c r="C2940" t="s">
        <v>5230</v>
      </c>
    </row>
    <row r="2941" spans="2:3">
      <c r="C2941" t="s">
        <v>5231</v>
      </c>
    </row>
    <row r="2942" spans="2:3">
      <c r="C2942" t="s">
        <v>5232</v>
      </c>
    </row>
    <row r="2943" spans="2:3">
      <c r="C2943" t="s">
        <v>5233</v>
      </c>
    </row>
    <row r="2944" spans="2:3">
      <c r="B2944" t="s">
        <v>5234</v>
      </c>
    </row>
    <row r="2945" spans="2:3">
      <c r="C2945" t="s">
        <v>5235</v>
      </c>
    </row>
    <row r="2946" spans="2:3">
      <c r="C2946" t="s">
        <v>5236</v>
      </c>
    </row>
    <row r="2947" spans="2:3">
      <c r="C2947" t="s">
        <v>5237</v>
      </c>
    </row>
    <row r="2948" spans="2:3">
      <c r="B2948" t="s">
        <v>469</v>
      </c>
    </row>
    <row r="2949" spans="2:3">
      <c r="C2949" t="s">
        <v>399</v>
      </c>
    </row>
    <row r="2950" spans="2:3">
      <c r="C2950" t="s">
        <v>5238</v>
      </c>
    </row>
    <row r="2952" spans="2:3">
      <c r="B2952" s="513" t="s">
        <v>5240</v>
      </c>
    </row>
    <row r="2954" spans="2:3">
      <c r="B2954" t="s">
        <v>5241</v>
      </c>
    </row>
    <row r="2956" spans="2:3">
      <c r="B2956" t="s">
        <v>5242</v>
      </c>
    </row>
    <row r="2957" spans="2:3">
      <c r="C2957" t="s">
        <v>5245</v>
      </c>
    </row>
    <row r="2958" spans="2:3">
      <c r="C2958" t="s">
        <v>5246</v>
      </c>
    </row>
    <row r="2959" spans="2:3">
      <c r="C2959" t="s">
        <v>5247</v>
      </c>
    </row>
    <row r="2960" spans="2:3">
      <c r="C2960" t="s">
        <v>5248</v>
      </c>
    </row>
    <row r="2961" spans="2:4">
      <c r="B2961" t="s">
        <v>5244</v>
      </c>
    </row>
    <row r="2962" spans="2:4">
      <c r="C2962" t="s">
        <v>5243</v>
      </c>
    </row>
    <row r="2963" spans="2:4">
      <c r="C2963" t="s">
        <v>5249</v>
      </c>
    </row>
    <row r="2964" spans="2:4">
      <c r="B2964" t="s">
        <v>5263</v>
      </c>
    </row>
    <row r="2966" spans="2:4">
      <c r="B2966" s="13" t="s">
        <v>5250</v>
      </c>
    </row>
    <row r="2967" spans="2:4">
      <c r="B2967" t="s">
        <v>29</v>
      </c>
      <c r="C2967" t="s">
        <v>5251</v>
      </c>
    </row>
    <row r="2968" spans="2:4">
      <c r="C2968" t="s">
        <v>5254</v>
      </c>
    </row>
    <row r="2969" spans="2:4">
      <c r="D2969" t="s">
        <v>5252</v>
      </c>
    </row>
    <row r="2970" spans="2:4">
      <c r="D2970" t="s">
        <v>5253</v>
      </c>
    </row>
    <row r="2971" spans="2:4">
      <c r="C2971" t="s">
        <v>5255</v>
      </c>
    </row>
    <row r="2972" spans="2:4">
      <c r="B2972" t="s">
        <v>468</v>
      </c>
    </row>
    <row r="2973" spans="2:4">
      <c r="C2973" t="s">
        <v>5262</v>
      </c>
    </row>
    <row r="2975" spans="2:4">
      <c r="C2975" t="s">
        <v>5257</v>
      </c>
    </row>
    <row r="2976" spans="2:4">
      <c r="D2976" t="s">
        <v>557</v>
      </c>
    </row>
    <row r="2977" spans="2:4">
      <c r="D2977" t="s">
        <v>5261</v>
      </c>
    </row>
    <row r="2978" spans="2:4">
      <c r="D2978" t="s">
        <v>5258</v>
      </c>
    </row>
    <row r="2979" spans="2:4">
      <c r="D2979" t="s">
        <v>5259</v>
      </c>
    </row>
    <row r="2980" spans="2:4">
      <c r="C2980" t="s">
        <v>8</v>
      </c>
    </row>
    <row r="2981" spans="2:4">
      <c r="D2981" t="s">
        <v>5260</v>
      </c>
    </row>
    <row r="2982" spans="2:4">
      <c r="D2982" t="s">
        <v>5256</v>
      </c>
    </row>
    <row r="2983" spans="2:4">
      <c r="B2983" t="s">
        <v>1365</v>
      </c>
    </row>
    <row r="2984" spans="2:4">
      <c r="C2984" t="s">
        <v>5264</v>
      </c>
    </row>
    <row r="2985" spans="2:4">
      <c r="D2985" t="s">
        <v>5269</v>
      </c>
    </row>
    <row r="2986" spans="2:4">
      <c r="C2986" t="s">
        <v>5265</v>
      </c>
    </row>
    <row r="2987" spans="2:4">
      <c r="C2987" t="s">
        <v>5266</v>
      </c>
    </row>
    <row r="2988" spans="2:4">
      <c r="D2988" t="s">
        <v>5267</v>
      </c>
    </row>
    <row r="2989" spans="2:4">
      <c r="C2989" t="s">
        <v>2453</v>
      </c>
    </row>
    <row r="2990" spans="2:4">
      <c r="D2990" t="s">
        <v>5268</v>
      </c>
    </row>
    <row r="2991" spans="2:4">
      <c r="B2991" t="s">
        <v>984</v>
      </c>
    </row>
    <row r="2992" spans="2:4">
      <c r="C2992" t="s">
        <v>5270</v>
      </c>
    </row>
    <row r="2993" spans="2:4">
      <c r="C2993" t="s">
        <v>5271</v>
      </c>
    </row>
    <row r="2994" spans="2:4">
      <c r="C2994" t="s">
        <v>5272</v>
      </c>
    </row>
    <row r="2995" spans="2:4">
      <c r="C2995" t="s">
        <v>5273</v>
      </c>
    </row>
    <row r="2997" spans="2:4">
      <c r="C2997" t="s">
        <v>8</v>
      </c>
    </row>
    <row r="2999" spans="2:4">
      <c r="B2999" s="513" t="s">
        <v>5379</v>
      </c>
    </row>
    <row r="3001" spans="2:4">
      <c r="B3001" t="s">
        <v>5375</v>
      </c>
    </row>
    <row r="3002" spans="2:4">
      <c r="B3002" t="s">
        <v>5376</v>
      </c>
    </row>
    <row r="3003" spans="2:4">
      <c r="B3003" t="s">
        <v>468</v>
      </c>
    </row>
    <row r="3004" spans="2:4">
      <c r="C3004" t="s">
        <v>5390</v>
      </c>
    </row>
    <row r="3005" spans="2:4">
      <c r="D3005" t="s">
        <v>5391</v>
      </c>
    </row>
    <row r="3006" spans="2:4">
      <c r="C3006" t="s">
        <v>5377</v>
      </c>
    </row>
    <row r="3007" spans="2:4">
      <c r="D3007" t="s">
        <v>5378</v>
      </c>
    </row>
    <row r="3008" spans="2:4">
      <c r="C3008" t="s">
        <v>5380</v>
      </c>
    </row>
    <row r="3009" spans="2:5">
      <c r="D3009" t="s">
        <v>5381</v>
      </c>
    </row>
    <row r="3010" spans="2:5">
      <c r="B3010" t="s">
        <v>469</v>
      </c>
    </row>
    <row r="3011" spans="2:5">
      <c r="C3011" t="s">
        <v>5382</v>
      </c>
    </row>
    <row r="3012" spans="2:5">
      <c r="D3012">
        <f>6*56</f>
        <v>336</v>
      </c>
      <c r="E3012" t="s">
        <v>5383</v>
      </c>
    </row>
    <row r="3013" spans="2:5">
      <c r="C3013" t="s">
        <v>5384</v>
      </c>
    </row>
    <row r="3014" spans="2:5">
      <c r="D3014" t="s">
        <v>5385</v>
      </c>
    </row>
    <row r="3015" spans="2:5">
      <c r="B3015" t="s">
        <v>5386</v>
      </c>
    </row>
    <row r="3016" spans="2:5">
      <c r="C3016" t="s">
        <v>5387</v>
      </c>
    </row>
    <row r="3017" spans="2:5">
      <c r="D3017" t="s">
        <v>5393</v>
      </c>
    </row>
    <row r="3018" spans="2:5">
      <c r="D3018" t="s">
        <v>5394</v>
      </c>
    </row>
    <row r="3019" spans="2:5">
      <c r="E3019" t="s">
        <v>5388</v>
      </c>
    </row>
    <row r="3020" spans="2:5">
      <c r="D3020" t="s">
        <v>5395</v>
      </c>
    </row>
    <row r="3021" spans="2:5">
      <c r="C3021" t="s">
        <v>5403</v>
      </c>
    </row>
    <row r="3022" spans="2:5">
      <c r="B3022" t="s">
        <v>414</v>
      </c>
    </row>
    <row r="3023" spans="2:5">
      <c r="C3023" t="s">
        <v>5392</v>
      </c>
    </row>
    <row r="3024" spans="2:5">
      <c r="C3024" t="s">
        <v>5396</v>
      </c>
    </row>
    <row r="3025" spans="2:4">
      <c r="C3025" t="s">
        <v>5389</v>
      </c>
    </row>
    <row r="3026" spans="2:4">
      <c r="B3026" t="s">
        <v>5397</v>
      </c>
    </row>
    <row r="3027" spans="2:4">
      <c r="C3027" t="s">
        <v>5398</v>
      </c>
    </row>
    <row r="3028" spans="2:4">
      <c r="C3028" t="s">
        <v>5399</v>
      </c>
    </row>
    <row r="3029" spans="2:4">
      <c r="C3029" t="s">
        <v>5400</v>
      </c>
    </row>
    <row r="3030" spans="2:4">
      <c r="C3030" t="s">
        <v>5401</v>
      </c>
    </row>
    <row r="3032" spans="2:4">
      <c r="B3032" s="513" t="s">
        <v>428</v>
      </c>
    </row>
    <row r="3033" spans="2:4">
      <c r="B3033" t="s">
        <v>4883</v>
      </c>
      <c r="C3033" t="s">
        <v>5428</v>
      </c>
    </row>
    <row r="3034" spans="2:4">
      <c r="C3034" t="s">
        <v>5429</v>
      </c>
    </row>
    <row r="3035" spans="2:4">
      <c r="C3035" t="s">
        <v>5430</v>
      </c>
    </row>
    <row r="3036" spans="2:4">
      <c r="C3036" t="s">
        <v>5431</v>
      </c>
    </row>
    <row r="3037" spans="2:4">
      <c r="D3037" t="s">
        <v>5432</v>
      </c>
    </row>
    <row r="3038" spans="2:4">
      <c r="C3038" t="s">
        <v>5433</v>
      </c>
    </row>
    <row r="3039" spans="2:4">
      <c r="C3039" t="s">
        <v>5434</v>
      </c>
    </row>
    <row r="3040" spans="2:4">
      <c r="B3040" t="s">
        <v>2639</v>
      </c>
    </row>
    <row r="3041" spans="2:3">
      <c r="C3041" t="s">
        <v>5404</v>
      </c>
    </row>
    <row r="3042" spans="2:3">
      <c r="C3042" t="s">
        <v>5405</v>
      </c>
    </row>
    <row r="3043" spans="2:3">
      <c r="B3043" t="s">
        <v>468</v>
      </c>
    </row>
    <row r="3044" spans="2:3">
      <c r="C3044" t="s">
        <v>5406</v>
      </c>
    </row>
    <row r="3045" spans="2:3">
      <c r="C3045" t="s">
        <v>5407</v>
      </c>
    </row>
    <row r="3046" spans="2:3">
      <c r="C3046" t="s">
        <v>5408</v>
      </c>
    </row>
    <row r="3047" spans="2:3">
      <c r="C3047" t="s">
        <v>5409</v>
      </c>
    </row>
    <row r="3048" spans="2:3">
      <c r="C3048" t="s">
        <v>5410</v>
      </c>
    </row>
    <row r="3049" spans="2:3">
      <c r="C3049" t="s">
        <v>5411</v>
      </c>
    </row>
    <row r="3050" spans="2:3">
      <c r="C3050" t="s">
        <v>5412</v>
      </c>
    </row>
    <row r="3051" spans="2:3">
      <c r="B3051" t="s">
        <v>469</v>
      </c>
    </row>
    <row r="3052" spans="2:3">
      <c r="C3052" t="s">
        <v>5413</v>
      </c>
    </row>
    <row r="3053" spans="2:3">
      <c r="C3053" t="s">
        <v>5414</v>
      </c>
    </row>
    <row r="3054" spans="2:3">
      <c r="B3054" t="s">
        <v>1688</v>
      </c>
    </row>
    <row r="3055" spans="2:3">
      <c r="C3055" t="s">
        <v>5415</v>
      </c>
    </row>
    <row r="3056" spans="2:3">
      <c r="C3056" t="s">
        <v>5416</v>
      </c>
    </row>
    <row r="3057" spans="2:4">
      <c r="C3057" t="s">
        <v>5417</v>
      </c>
    </row>
    <row r="3058" spans="2:4">
      <c r="D3058" t="s">
        <v>5418</v>
      </c>
    </row>
    <row r="3059" spans="2:4">
      <c r="B3059" t="s">
        <v>5419</v>
      </c>
    </row>
    <row r="3060" spans="2:4">
      <c r="C3060" t="s">
        <v>5420</v>
      </c>
    </row>
    <row r="3061" spans="2:4">
      <c r="B3061" t="s">
        <v>0</v>
      </c>
    </row>
    <row r="3062" spans="2:4">
      <c r="C3062" t="s">
        <v>5421</v>
      </c>
    </row>
    <row r="3063" spans="2:4">
      <c r="C3063" t="s">
        <v>5422</v>
      </c>
    </row>
    <row r="3064" spans="2:4">
      <c r="B3064" t="s">
        <v>2639</v>
      </c>
    </row>
    <row r="3065" spans="2:4">
      <c r="C3065" t="s">
        <v>5423</v>
      </c>
    </row>
    <row r="3066" spans="2:4">
      <c r="C3066" t="s">
        <v>5424</v>
      </c>
    </row>
    <row r="3067" spans="2:4">
      <c r="C3067" t="s">
        <v>5425</v>
      </c>
    </row>
    <row r="3068" spans="2:4">
      <c r="D3068" t="s">
        <v>5426</v>
      </c>
    </row>
    <row r="3069" spans="2:4">
      <c r="D3069" t="s">
        <v>5427</v>
      </c>
    </row>
    <row r="3070" spans="2:4">
      <c r="B3070" t="s">
        <v>5435</v>
      </c>
    </row>
    <row r="3071" spans="2:4">
      <c r="C3071" t="s">
        <v>5436</v>
      </c>
    </row>
    <row r="3073" spans="2:4">
      <c r="B3073" s="513" t="s">
        <v>5437</v>
      </c>
    </row>
    <row r="3075" spans="2:4">
      <c r="B3075" t="s">
        <v>5438</v>
      </c>
    </row>
    <row r="3076" spans="2:4">
      <c r="B3076" t="s">
        <v>5441</v>
      </c>
    </row>
    <row r="3077" spans="2:4">
      <c r="B3077" s="13" t="s">
        <v>249</v>
      </c>
    </row>
    <row r="3078" spans="2:4">
      <c r="B3078" t="s">
        <v>3411</v>
      </c>
    </row>
    <row r="3079" spans="2:4">
      <c r="B3079" t="s">
        <v>929</v>
      </c>
    </row>
    <row r="3080" spans="2:4">
      <c r="B3080" t="s">
        <v>67</v>
      </c>
    </row>
    <row r="3082" spans="2:4">
      <c r="B3082" s="13" t="s">
        <v>5442</v>
      </c>
    </row>
    <row r="3083" spans="2:4">
      <c r="B3083" t="s">
        <v>5443</v>
      </c>
      <c r="C3083">
        <v>250</v>
      </c>
    </row>
    <row r="3084" spans="2:4">
      <c r="B3084" t="s">
        <v>5444</v>
      </c>
      <c r="C3084">
        <f>C3086-C3083-C3085</f>
        <v>100</v>
      </c>
      <c r="D3084" t="s">
        <v>5445</v>
      </c>
    </row>
    <row r="3085" spans="2:4">
      <c r="B3085" s="3" t="s">
        <v>3336</v>
      </c>
      <c r="C3085" s="3">
        <v>50</v>
      </c>
      <c r="D3085" t="s">
        <v>5446</v>
      </c>
    </row>
    <row r="3086" spans="2:4">
      <c r="B3086" t="s">
        <v>16</v>
      </c>
      <c r="C3086">
        <v>400</v>
      </c>
    </row>
    <row r="3088" spans="2:4">
      <c r="B3088" t="s">
        <v>8</v>
      </c>
      <c r="C3088">
        <f>C3089*C3086</f>
        <v>200</v>
      </c>
    </row>
    <row r="3089" spans="2:3">
      <c r="B3089" t="s">
        <v>251</v>
      </c>
      <c r="C3089" s="5">
        <v>0.5</v>
      </c>
    </row>
    <row r="3091" spans="2:3">
      <c r="B3091" t="s">
        <v>5447</v>
      </c>
    </row>
    <row r="3092" spans="2:3">
      <c r="B3092" t="s">
        <v>5448</v>
      </c>
    </row>
    <row r="3093" spans="2:3">
      <c r="B3093" t="s">
        <v>5449</v>
      </c>
    </row>
    <row r="3094" spans="2:3">
      <c r="C3094" t="s">
        <v>5450</v>
      </c>
    </row>
    <row r="3095" spans="2:3">
      <c r="B3095" t="s">
        <v>5451</v>
      </c>
    </row>
    <row r="3096" spans="2:3">
      <c r="B3096" t="s">
        <v>817</v>
      </c>
      <c r="C3096" s="36">
        <v>10</v>
      </c>
    </row>
    <row r="3097" spans="2:3">
      <c r="B3097" t="s">
        <v>331</v>
      </c>
      <c r="C3097">
        <f>C3096*C3088</f>
        <v>2000</v>
      </c>
    </row>
    <row r="3099" spans="2:3">
      <c r="B3099" s="13" t="s">
        <v>249</v>
      </c>
    </row>
    <row r="3100" spans="2:3">
      <c r="B3100" t="s">
        <v>929</v>
      </c>
      <c r="C3100" t="s">
        <v>5452</v>
      </c>
    </row>
    <row r="3101" spans="2:3">
      <c r="B3101" t="s">
        <v>67</v>
      </c>
      <c r="C3101" t="s">
        <v>5453</v>
      </c>
    </row>
    <row r="3102" spans="2:3">
      <c r="C3102" t="s">
        <v>5454</v>
      </c>
    </row>
    <row r="3103" spans="2:3">
      <c r="B3103" t="s">
        <v>5455</v>
      </c>
    </row>
    <row r="3104" spans="2:3">
      <c r="B3104" t="s">
        <v>5456</v>
      </c>
    </row>
    <row r="3105" spans="2:3">
      <c r="B3105">
        <v>2020</v>
      </c>
      <c r="C3105" t="s">
        <v>5457</v>
      </c>
    </row>
    <row r="3106" spans="2:3">
      <c r="B3106">
        <v>2020</v>
      </c>
      <c r="C3106" t="s">
        <v>5458</v>
      </c>
    </row>
    <row r="3107" spans="2:3">
      <c r="B3107" t="s">
        <v>5459</v>
      </c>
    </row>
    <row r="3108" spans="2:3">
      <c r="B3108" t="s">
        <v>5460</v>
      </c>
    </row>
    <row r="3109" spans="2:3">
      <c r="B3109" t="s">
        <v>5461</v>
      </c>
    </row>
    <row r="3110" spans="2:3">
      <c r="B3110" t="s">
        <v>5462</v>
      </c>
    </row>
    <row r="3112" spans="2:3">
      <c r="B3112" s="13" t="s">
        <v>5463</v>
      </c>
    </row>
    <row r="3113" spans="2:3">
      <c r="B3113" s="84" t="s">
        <v>5464</v>
      </c>
    </row>
    <row r="3114" spans="2:3">
      <c r="B3114" t="s">
        <v>5465</v>
      </c>
    </row>
    <row r="3116" spans="2:3">
      <c r="B3116" s="1098" t="s">
        <v>3234</v>
      </c>
    </row>
    <row r="3117" spans="2:3">
      <c r="B3117" t="s">
        <v>5466</v>
      </c>
    </row>
    <row r="3118" spans="2:3">
      <c r="B3118" t="s">
        <v>0</v>
      </c>
      <c r="C3118" t="s">
        <v>5467</v>
      </c>
    </row>
    <row r="3119" spans="2:3">
      <c r="B3119" t="s">
        <v>32</v>
      </c>
    </row>
    <row r="3120" spans="2:3">
      <c r="B3120" t="s">
        <v>469</v>
      </c>
    </row>
    <row r="3121" spans="2:3">
      <c r="B3121" s="3" t="s">
        <v>3411</v>
      </c>
      <c r="C3121" s="3" t="s">
        <v>5468</v>
      </c>
    </row>
    <row r="3122" spans="2:3">
      <c r="B3122" t="s">
        <v>16</v>
      </c>
      <c r="C3122" s="84">
        <v>600</v>
      </c>
    </row>
    <row r="3124" spans="2:3">
      <c r="B3124" s="13" t="s">
        <v>5470</v>
      </c>
    </row>
    <row r="3125" spans="2:3">
      <c r="B3125" t="s">
        <v>5472</v>
      </c>
    </row>
    <row r="3126" spans="2:3">
      <c r="B3126" t="s">
        <v>5469</v>
      </c>
    </row>
    <row r="3127" spans="2:3">
      <c r="B3127" t="s">
        <v>5471</v>
      </c>
    </row>
    <row r="3129" spans="2:3">
      <c r="B3129" s="13" t="s">
        <v>5473</v>
      </c>
    </row>
    <row r="3130" spans="2:3">
      <c r="B3130" t="s">
        <v>5474</v>
      </c>
    </row>
    <row r="3131" spans="2:3">
      <c r="B3131" t="s">
        <v>5475</v>
      </c>
    </row>
    <row r="3132" spans="2:3">
      <c r="B3132" t="s">
        <v>5476</v>
      </c>
    </row>
    <row r="3133" spans="2:3">
      <c r="B3133" t="s">
        <v>5477</v>
      </c>
    </row>
    <row r="3134" spans="2:3">
      <c r="B3134" t="s">
        <v>5481</v>
      </c>
    </row>
    <row r="3135" spans="2:3">
      <c r="B3135" t="s">
        <v>5482</v>
      </c>
    </row>
    <row r="3136" spans="2:3">
      <c r="B3136" t="s">
        <v>5483</v>
      </c>
    </row>
    <row r="3137" spans="2:3">
      <c r="B3137" t="s">
        <v>5484</v>
      </c>
    </row>
    <row r="3138" spans="2:3">
      <c r="B3138" s="84">
        <v>2029</v>
      </c>
    </row>
    <row r="3139" spans="2:3">
      <c r="B3139" t="s">
        <v>5485</v>
      </c>
    </row>
    <row r="3140" spans="2:3">
      <c r="B3140" t="s">
        <v>5486</v>
      </c>
      <c r="C3140" s="5" t="s">
        <v>5487</v>
      </c>
    </row>
    <row r="3142" spans="2:3">
      <c r="B3142" s="13" t="s">
        <v>5371</v>
      </c>
    </row>
    <row r="3143" spans="2:3">
      <c r="B3143" t="s">
        <v>5478</v>
      </c>
    </row>
    <row r="3145" spans="2:3">
      <c r="B3145" s="13" t="s">
        <v>5479</v>
      </c>
    </row>
    <row r="3146" spans="2:3">
      <c r="B3146" t="s">
        <v>5480</v>
      </c>
    </row>
    <row r="3148" spans="2:3" ht="15.75">
      <c r="B3148" s="78" t="s">
        <v>249</v>
      </c>
      <c r="C3148" s="53"/>
    </row>
    <row r="3149" spans="2:3" ht="16.5" thickBot="1">
      <c r="B3149" s="53"/>
      <c r="C3149" s="53"/>
    </row>
    <row r="3150" spans="2:3" ht="15.75">
      <c r="B3150" s="652" t="s">
        <v>5525</v>
      </c>
      <c r="C3150" s="1102">
        <v>200</v>
      </c>
    </row>
    <row r="3151" spans="2:3" ht="16.5" thickBot="1">
      <c r="B3151" s="659" t="s">
        <v>855</v>
      </c>
      <c r="C3151" s="1103">
        <f>C3150/Valuation!K8</f>
        <v>0.12675845669043811</v>
      </c>
    </row>
    <row r="3152" spans="2:3" ht="15.75">
      <c r="B3152" s="78" t="s">
        <v>5517</v>
      </c>
      <c r="C3152" s="53"/>
    </row>
    <row r="3153" spans="2:4" ht="15.75">
      <c r="B3153" s="53" t="s">
        <v>5518</v>
      </c>
      <c r="C3153" s="79" t="s">
        <v>5519</v>
      </c>
    </row>
    <row r="3154" spans="2:4" ht="15.75">
      <c r="B3154" s="50" t="s">
        <v>5520</v>
      </c>
      <c r="C3154" s="51" t="s">
        <v>5521</v>
      </c>
    </row>
    <row r="3155" spans="2:4" ht="15.75">
      <c r="B3155" s="53" t="s">
        <v>5397</v>
      </c>
      <c r="C3155" s="53">
        <f>37.5+27.5</f>
        <v>65</v>
      </c>
    </row>
    <row r="3156" spans="2:4" ht="15.75">
      <c r="B3156" s="50" t="s">
        <v>5522</v>
      </c>
      <c r="C3156" s="50">
        <v>70</v>
      </c>
    </row>
    <row r="3157" spans="2:4" ht="15.75">
      <c r="B3157" s="53" t="s">
        <v>1111</v>
      </c>
      <c r="C3157" s="53">
        <f>C3155+C3156</f>
        <v>135</v>
      </c>
    </row>
    <row r="3158" spans="2:4" ht="16.5" thickBot="1">
      <c r="B3158" s="53" t="s">
        <v>1979</v>
      </c>
      <c r="C3158" s="481">
        <f>C3157*0.72</f>
        <v>97.2</v>
      </c>
    </row>
    <row r="3159" spans="2:4" ht="15.75">
      <c r="B3159" s="652" t="s">
        <v>5523</v>
      </c>
      <c r="C3159" s="1104">
        <f>C3150+C3158</f>
        <v>297.2</v>
      </c>
    </row>
    <row r="3160" spans="2:4" ht="16.5" thickBot="1">
      <c r="B3160" s="659" t="s">
        <v>5524</v>
      </c>
      <c r="C3160" s="1103">
        <f>C3159/Valuation!K8</f>
        <v>0.18836306664199104</v>
      </c>
    </row>
    <row r="3162" spans="2:4" ht="15.75">
      <c r="B3162" s="1061" t="s">
        <v>5554</v>
      </c>
    </row>
    <row r="3164" spans="2:4" ht="15.75">
      <c r="B3164" s="78" t="s">
        <v>5550</v>
      </c>
    </row>
    <row r="3165" spans="2:4">
      <c r="C3165">
        <v>1000</v>
      </c>
    </row>
    <row r="3166" spans="2:4">
      <c r="C3166">
        <v>500</v>
      </c>
      <c r="D3166" t="s">
        <v>5546</v>
      </c>
    </row>
    <row r="3167" spans="2:4">
      <c r="C3167">
        <v>820</v>
      </c>
      <c r="D3167" s="1105">
        <v>5.125</v>
      </c>
    </row>
    <row r="3168" spans="2:4">
      <c r="C3168">
        <f>C3166+C3167</f>
        <v>1320</v>
      </c>
    </row>
    <row r="3169" spans="2:4">
      <c r="C3169">
        <v>250</v>
      </c>
      <c r="D3169" t="s">
        <v>5547</v>
      </c>
    </row>
    <row r="3170" spans="2:4">
      <c r="B3170" s="3"/>
      <c r="C3170" s="3">
        <f>350-200</f>
        <v>150</v>
      </c>
      <c r="D3170" t="s">
        <v>5549</v>
      </c>
    </row>
    <row r="3171" spans="2:4">
      <c r="B3171" t="s">
        <v>5548</v>
      </c>
      <c r="C3171">
        <f>C3169+C3170</f>
        <v>400</v>
      </c>
    </row>
    <row r="3173" spans="2:4">
      <c r="B3173" t="s">
        <v>5551</v>
      </c>
    </row>
    <row r="3174" spans="2:4">
      <c r="B3174" s="13" t="s">
        <v>0</v>
      </c>
    </row>
    <row r="3175" spans="2:4">
      <c r="B3175" t="s">
        <v>5552</v>
      </c>
    </row>
    <row r="3176" spans="2:4">
      <c r="B3176" t="s">
        <v>5553</v>
      </c>
    </row>
    <row r="3178" spans="2:4">
      <c r="B3178" t="s">
        <v>5555</v>
      </c>
    </row>
    <row r="3180" spans="2:4">
      <c r="B3180" s="13" t="s">
        <v>5557</v>
      </c>
    </row>
    <row r="3181" spans="2:4">
      <c r="B3181" s="13" t="s">
        <v>4389</v>
      </c>
    </row>
    <row r="3182" spans="2:4">
      <c r="B3182" t="s">
        <v>482</v>
      </c>
      <c r="C3182">
        <v>240</v>
      </c>
    </row>
    <row r="3183" spans="2:4">
      <c r="B3183" t="s">
        <v>8</v>
      </c>
      <c r="C3183">
        <v>86</v>
      </c>
    </row>
    <row r="3184" spans="2:4">
      <c r="B3184" s="13" t="s">
        <v>4684</v>
      </c>
    </row>
    <row r="3185" spans="2:3">
      <c r="B3185" t="s">
        <v>3526</v>
      </c>
      <c r="C3185" s="80" t="s">
        <v>5558</v>
      </c>
    </row>
    <row r="3186" spans="2:3">
      <c r="B3186" s="13" t="s">
        <v>984</v>
      </c>
    </row>
    <row r="3187" spans="2:3">
      <c r="B3187" t="s">
        <v>5559</v>
      </c>
    </row>
    <row r="3188" spans="2:3">
      <c r="C3188" s="80" t="s">
        <v>5560</v>
      </c>
    </row>
    <row r="3189" spans="2:3">
      <c r="B3189" s="13" t="s">
        <v>468</v>
      </c>
    </row>
    <row r="3190" spans="2:3">
      <c r="B3190" t="s">
        <v>5561</v>
      </c>
    </row>
    <row r="3191" spans="2:3">
      <c r="C3191" t="s">
        <v>5562</v>
      </c>
    </row>
    <row r="3192" spans="2:3">
      <c r="B3192" t="s">
        <v>5563</v>
      </c>
    </row>
    <row r="3193" spans="2:3">
      <c r="B3193" t="s">
        <v>5564</v>
      </c>
    </row>
    <row r="3194" spans="2:3">
      <c r="B3194" t="s">
        <v>5565</v>
      </c>
    </row>
    <row r="3195" spans="2:3">
      <c r="B3195" t="s">
        <v>5566</v>
      </c>
    </row>
    <row r="3196" spans="2:3">
      <c r="B3196" s="13" t="s">
        <v>3526</v>
      </c>
    </row>
    <row r="3197" spans="2:3">
      <c r="B3197" t="s">
        <v>5567</v>
      </c>
    </row>
    <row r="3198" spans="2:3">
      <c r="B3198" t="s">
        <v>5568</v>
      </c>
    </row>
    <row r="3199" spans="2:3">
      <c r="B3199" s="13" t="s">
        <v>3411</v>
      </c>
    </row>
    <row r="3200" spans="2:3">
      <c r="B3200" t="s">
        <v>5569</v>
      </c>
    </row>
    <row r="3202" spans="2:12">
      <c r="B3202" s="13" t="s">
        <v>428</v>
      </c>
    </row>
    <row r="3203" spans="2:12">
      <c r="B3203" s="13" t="s">
        <v>4883</v>
      </c>
    </row>
    <row r="3204" spans="2:12">
      <c r="B3204" t="s">
        <v>4498</v>
      </c>
    </row>
    <row r="3205" spans="2:12">
      <c r="B3205" s="13" t="s">
        <v>984</v>
      </c>
      <c r="F3205" s="513" t="s">
        <v>2064</v>
      </c>
    </row>
    <row r="3206" spans="2:12">
      <c r="B3206" t="s">
        <v>5570</v>
      </c>
      <c r="F3206" s="552"/>
      <c r="G3206" s="952" t="s">
        <v>5575</v>
      </c>
      <c r="H3206" s="952" t="s">
        <v>899</v>
      </c>
      <c r="I3206" s="952" t="s">
        <v>3001</v>
      </c>
    </row>
    <row r="3207" spans="2:12">
      <c r="B3207" t="s">
        <v>5571</v>
      </c>
      <c r="F3207" s="84">
        <v>100</v>
      </c>
      <c r="G3207">
        <v>9990</v>
      </c>
    </row>
    <row r="3208" spans="2:12">
      <c r="B3208" s="13" t="s">
        <v>468</v>
      </c>
      <c r="F3208" s="84">
        <v>300</v>
      </c>
      <c r="G3208">
        <v>14990</v>
      </c>
      <c r="H3208">
        <v>17990</v>
      </c>
      <c r="I3208">
        <v>15990</v>
      </c>
      <c r="K3208" s="5">
        <f>G3208/H3208-1</f>
        <v>-0.16675931072818229</v>
      </c>
    </row>
    <row r="3209" spans="2:12">
      <c r="B3209" t="s">
        <v>5572</v>
      </c>
      <c r="F3209" s="84">
        <v>600</v>
      </c>
      <c r="G3209">
        <v>18990</v>
      </c>
      <c r="H3209">
        <v>29990</v>
      </c>
      <c r="I3209">
        <v>19990</v>
      </c>
      <c r="K3209" s="5">
        <f>G3209/H3209-1</f>
        <v>-0.36678892964321441</v>
      </c>
    </row>
    <row r="3210" spans="2:12">
      <c r="B3210" t="s">
        <v>5574</v>
      </c>
      <c r="F3210" s="84">
        <v>1000</v>
      </c>
      <c r="I3210">
        <v>27990</v>
      </c>
      <c r="K3210" s="5"/>
    </row>
    <row r="3211" spans="2:12">
      <c r="B3211" t="s">
        <v>5573</v>
      </c>
    </row>
    <row r="3212" spans="2:12">
      <c r="B3212" t="s">
        <v>5576</v>
      </c>
      <c r="F3212" s="513" t="s">
        <v>5304</v>
      </c>
    </row>
    <row r="3213" spans="2:12">
      <c r="B3213" s="13" t="s">
        <v>5577</v>
      </c>
      <c r="F3213" s="84">
        <f>F3207</f>
        <v>100</v>
      </c>
    </row>
    <row r="3214" spans="2:12">
      <c r="B3214" t="s">
        <v>5578</v>
      </c>
      <c r="F3214" s="84">
        <f>F3208</f>
        <v>300</v>
      </c>
      <c r="H3214">
        <v>32990</v>
      </c>
      <c r="L3214">
        <f>H3214-H3208</f>
        <v>15000</v>
      </c>
    </row>
    <row r="3215" spans="2:12">
      <c r="F3215" s="84">
        <f>F3209</f>
        <v>600</v>
      </c>
      <c r="H3215">
        <v>41990</v>
      </c>
      <c r="L3215">
        <f>H3215-H3209</f>
        <v>12000</v>
      </c>
    </row>
    <row r="3216" spans="2:12">
      <c r="B3216" s="13" t="s">
        <v>5579</v>
      </c>
    </row>
    <row r="3217" spans="2:3">
      <c r="B3217" t="s">
        <v>5580</v>
      </c>
    </row>
    <row r="3218" spans="2:3">
      <c r="B3218" t="s">
        <v>32</v>
      </c>
    </row>
    <row r="3219" spans="2:3">
      <c r="B3219" t="s">
        <v>5581</v>
      </c>
    </row>
    <row r="3220" spans="2:3">
      <c r="B3220" t="s">
        <v>5582</v>
      </c>
    </row>
    <row r="3221" spans="2:3">
      <c r="C3221" t="s">
        <v>5583</v>
      </c>
    </row>
    <row r="3222" spans="2:3">
      <c r="C3222" t="s">
        <v>5584</v>
      </c>
    </row>
    <row r="3223" spans="2:3">
      <c r="C3223" t="s">
        <v>5585</v>
      </c>
    </row>
    <row r="3224" spans="2:3">
      <c r="C3224" t="s">
        <v>5586</v>
      </c>
    </row>
    <row r="3225" spans="2:3">
      <c r="B3225" t="s">
        <v>5587</v>
      </c>
    </row>
    <row r="3226" spans="2:3">
      <c r="B3226" t="s">
        <v>5588</v>
      </c>
    </row>
    <row r="3227" spans="2:3">
      <c r="B3227" t="s">
        <v>5589</v>
      </c>
    </row>
    <row r="3228" spans="2:3">
      <c r="B3228" t="s">
        <v>5590</v>
      </c>
    </row>
    <row r="3229" spans="2:3">
      <c r="C3229" t="s">
        <v>5591</v>
      </c>
    </row>
    <row r="3230" spans="2:3">
      <c r="C3230" t="s">
        <v>5592</v>
      </c>
    </row>
    <row r="3231" spans="2:3">
      <c r="B3231" t="s">
        <v>5593</v>
      </c>
    </row>
    <row r="3233" spans="2:4">
      <c r="B3233" t="s">
        <v>4276</v>
      </c>
    </row>
    <row r="3234" spans="2:4">
      <c r="C3234" t="s">
        <v>5594</v>
      </c>
    </row>
    <row r="3235" spans="2:4">
      <c r="C3235" t="s">
        <v>5595</v>
      </c>
    </row>
    <row r="3236" spans="2:4">
      <c r="C3236" t="s">
        <v>5596</v>
      </c>
    </row>
    <row r="3237" spans="2:4">
      <c r="C3237" t="s">
        <v>5597</v>
      </c>
    </row>
    <row r="3238" spans="2:4">
      <c r="B3238" t="s">
        <v>2933</v>
      </c>
    </row>
    <row r="3239" spans="2:4">
      <c r="C3239" t="s">
        <v>5598</v>
      </c>
    </row>
    <row r="3240" spans="2:4">
      <c r="C3240" t="s">
        <v>5599</v>
      </c>
    </row>
    <row r="3241" spans="2:4">
      <c r="B3241" t="s">
        <v>468</v>
      </c>
    </row>
    <row r="3242" spans="2:4">
      <c r="C3242" t="s">
        <v>5600</v>
      </c>
    </row>
    <row r="3243" spans="2:4">
      <c r="C3243" t="s">
        <v>5601</v>
      </c>
    </row>
    <row r="3244" spans="2:4">
      <c r="C3244" t="s">
        <v>5602</v>
      </c>
    </row>
    <row r="3245" spans="2:4">
      <c r="D3245" t="s">
        <v>5603</v>
      </c>
    </row>
    <row r="3246" spans="2:4">
      <c r="D3246" t="s">
        <v>5604</v>
      </c>
    </row>
    <row r="3247" spans="2:4">
      <c r="C3247" t="s">
        <v>5605</v>
      </c>
    </row>
    <row r="3248" spans="2:4">
      <c r="D3248" t="s">
        <v>5606</v>
      </c>
    </row>
    <row r="3249" spans="2:4">
      <c r="C3249" t="s">
        <v>5607</v>
      </c>
    </row>
    <row r="3250" spans="2:4">
      <c r="C3250" t="s">
        <v>5608</v>
      </c>
    </row>
    <row r="3251" spans="2:4">
      <c r="D3251" t="s">
        <v>5609</v>
      </c>
    </row>
    <row r="3252" spans="2:4">
      <c r="B3252" t="s">
        <v>1942</v>
      </c>
    </row>
    <row r="3253" spans="2:4">
      <c r="C3253" t="s">
        <v>5610</v>
      </c>
    </row>
    <row r="3254" spans="2:4">
      <c r="C3254" t="s">
        <v>5611</v>
      </c>
    </row>
    <row r="3255" spans="2:4">
      <c r="C3255" t="s">
        <v>5612</v>
      </c>
    </row>
    <row r="3256" spans="2:4">
      <c r="D3256" t="s">
        <v>5613</v>
      </c>
    </row>
    <row r="3257" spans="2:4">
      <c r="D3257" t="s">
        <v>5614</v>
      </c>
    </row>
    <row r="3259" spans="2:4">
      <c r="B3259" s="13" t="s">
        <v>5615</v>
      </c>
    </row>
    <row r="3261" spans="2:4">
      <c r="B3261" t="s">
        <v>984</v>
      </c>
    </row>
    <row r="3262" spans="2:4">
      <c r="C3262" t="s">
        <v>5621</v>
      </c>
    </row>
    <row r="3263" spans="2:4">
      <c r="C3263" t="s">
        <v>5617</v>
      </c>
    </row>
    <row r="3264" spans="2:4">
      <c r="C3264" t="s">
        <v>5618</v>
      </c>
    </row>
    <row r="3265" spans="2:5">
      <c r="C3265" t="s">
        <v>5619</v>
      </c>
    </row>
    <row r="3266" spans="2:5">
      <c r="C3266" t="s">
        <v>5620</v>
      </c>
    </row>
    <row r="3267" spans="2:5">
      <c r="C3267" t="s">
        <v>5616</v>
      </c>
    </row>
    <row r="3268" spans="2:5">
      <c r="B3268" t="s">
        <v>29</v>
      </c>
    </row>
    <row r="3269" spans="2:5">
      <c r="C3269" t="s">
        <v>5622</v>
      </c>
    </row>
    <row r="3270" spans="2:5">
      <c r="D3270" t="s">
        <v>5623</v>
      </c>
    </row>
    <row r="3271" spans="2:5">
      <c r="E3271" t="s">
        <v>440</v>
      </c>
    </row>
    <row r="3272" spans="2:5">
      <c r="D3272" t="s">
        <v>5624</v>
      </c>
    </row>
    <row r="3273" spans="2:5">
      <c r="D3273" t="s">
        <v>5625</v>
      </c>
    </row>
    <row r="3274" spans="2:5">
      <c r="D3274" t="s">
        <v>5626</v>
      </c>
    </row>
    <row r="3275" spans="2:5">
      <c r="C3275" t="s">
        <v>5630</v>
      </c>
    </row>
    <row r="3276" spans="2:5">
      <c r="D3276" t="s">
        <v>5631</v>
      </c>
    </row>
    <row r="3277" spans="2:5">
      <c r="C3277" t="s">
        <v>5632</v>
      </c>
    </row>
    <row r="3278" spans="2:5">
      <c r="C3278" t="s">
        <v>5629</v>
      </c>
    </row>
    <row r="3280" spans="2:5">
      <c r="B3280" t="s">
        <v>5627</v>
      </c>
    </row>
    <row r="3281" spans="2:5">
      <c r="C3281" t="s">
        <v>5628</v>
      </c>
    </row>
    <row r="3282" spans="2:5">
      <c r="B3282" t="s">
        <v>5636</v>
      </c>
    </row>
    <row r="3283" spans="2:5">
      <c r="C3283" t="s">
        <v>5633</v>
      </c>
    </row>
    <row r="3284" spans="2:5">
      <c r="C3284" t="s">
        <v>5634</v>
      </c>
    </row>
    <row r="3285" spans="2:5">
      <c r="C3285">
        <v>2020</v>
      </c>
      <c r="D3285">
        <v>2021</v>
      </c>
      <c r="E3285">
        <v>2022</v>
      </c>
    </row>
    <row r="3286" spans="2:5">
      <c r="C3286">
        <v>70</v>
      </c>
      <c r="D3286" s="80" t="s">
        <v>5637</v>
      </c>
      <c r="E3286">
        <v>180</v>
      </c>
    </row>
    <row r="3287" spans="2:5">
      <c r="C3287" t="s">
        <v>5635</v>
      </c>
    </row>
    <row r="3288" spans="2:5">
      <c r="C3288" t="s">
        <v>929</v>
      </c>
      <c r="E3288" s="80" t="s">
        <v>5638</v>
      </c>
    </row>
    <row r="3289" spans="2:5">
      <c r="B3289" t="s">
        <v>5639</v>
      </c>
    </row>
    <row r="3290" spans="2:5">
      <c r="B3290" t="s">
        <v>468</v>
      </c>
    </row>
    <row r="3291" spans="2:5">
      <c r="C3291" t="s">
        <v>5640</v>
      </c>
    </row>
    <row r="3292" spans="2:5">
      <c r="C3292" t="s">
        <v>5641</v>
      </c>
    </row>
    <row r="3293" spans="2:5">
      <c r="C3293" t="s">
        <v>5642</v>
      </c>
    </row>
    <row r="3294" spans="2:5">
      <c r="C3294" t="s">
        <v>5643</v>
      </c>
    </row>
    <row r="3295" spans="2:5">
      <c r="C3295" s="13" t="s">
        <v>5644</v>
      </c>
    </row>
    <row r="3296" spans="2:5">
      <c r="D3296" t="s">
        <v>5645</v>
      </c>
    </row>
    <row r="3297" spans="2:4">
      <c r="D3297" t="s">
        <v>5646</v>
      </c>
    </row>
    <row r="3298" spans="2:4">
      <c r="C3298" t="s">
        <v>5647</v>
      </c>
    </row>
    <row r="3299" spans="2:4">
      <c r="C3299" t="s">
        <v>5648</v>
      </c>
    </row>
    <row r="3300" spans="2:4">
      <c r="C3300" t="s">
        <v>5649</v>
      </c>
    </row>
    <row r="3301" spans="2:4">
      <c r="C3301" s="13" t="s">
        <v>2811</v>
      </c>
    </row>
    <row r="3302" spans="2:4">
      <c r="C3302" t="s">
        <v>5650</v>
      </c>
    </row>
    <row r="3303" spans="2:4">
      <c r="B3303" t="s">
        <v>984</v>
      </c>
    </row>
    <row r="3304" spans="2:4">
      <c r="C3304" t="s">
        <v>5651</v>
      </c>
    </row>
    <row r="3305" spans="2:4">
      <c r="D3305" t="s">
        <v>5652</v>
      </c>
    </row>
    <row r="3306" spans="2:4">
      <c r="C3306" t="s">
        <v>5653</v>
      </c>
    </row>
    <row r="3307" spans="2:4">
      <c r="D3307" t="s">
        <v>5654</v>
      </c>
    </row>
    <row r="3308" spans="2:4">
      <c r="C3308" t="s">
        <v>5655</v>
      </c>
    </row>
    <row r="3309" spans="2:4">
      <c r="C3309" t="s">
        <v>5656</v>
      </c>
    </row>
    <row r="3310" spans="2:4">
      <c r="D3310" t="s">
        <v>5657</v>
      </c>
    </row>
    <row r="3311" spans="2:4">
      <c r="B3311" t="s">
        <v>5658</v>
      </c>
    </row>
    <row r="3312" spans="2:4">
      <c r="C3312" t="s">
        <v>5659</v>
      </c>
    </row>
    <row r="3313" spans="2:4">
      <c r="D3313" t="s">
        <v>5660</v>
      </c>
    </row>
    <row r="3314" spans="2:4">
      <c r="C3314" t="s">
        <v>5661</v>
      </c>
    </row>
    <row r="3315" spans="2:4">
      <c r="D3315" t="s">
        <v>5662</v>
      </c>
    </row>
    <row r="3316" spans="2:4">
      <c r="C3316" t="s">
        <v>5663</v>
      </c>
    </row>
    <row r="3318" spans="2:4">
      <c r="B3318" s="1116">
        <v>44378</v>
      </c>
    </row>
    <row r="3320" spans="2:4">
      <c r="B3320" t="s">
        <v>5681</v>
      </c>
    </row>
    <row r="3321" spans="2:4">
      <c r="C3321" t="s">
        <v>5679</v>
      </c>
    </row>
    <row r="3322" spans="2:4">
      <c r="C3322" t="s">
        <v>5680</v>
      </c>
    </row>
    <row r="3323" spans="2:4">
      <c r="C3323" t="s">
        <v>5682</v>
      </c>
    </row>
    <row r="3324" spans="2:4">
      <c r="B3324" t="s">
        <v>5683</v>
      </c>
    </row>
    <row r="3325" spans="2:4">
      <c r="C3325" t="s">
        <v>5684</v>
      </c>
    </row>
    <row r="3326" spans="2:4">
      <c r="C3326" t="s">
        <v>5685</v>
      </c>
    </row>
    <row r="3327" spans="2:4">
      <c r="B3327" t="s">
        <v>468</v>
      </c>
    </row>
    <row r="3328" spans="2:4">
      <c r="C3328" t="s">
        <v>5686</v>
      </c>
    </row>
    <row r="3329" spans="2:3">
      <c r="C3329" t="s">
        <v>5687</v>
      </c>
    </row>
    <row r="3330" spans="2:3">
      <c r="C3330" t="s">
        <v>5688</v>
      </c>
    </row>
    <row r="3331" spans="2:3">
      <c r="C3331" t="s">
        <v>5689</v>
      </c>
    </row>
    <row r="3332" spans="2:3">
      <c r="C3332" t="s">
        <v>5690</v>
      </c>
    </row>
    <row r="3333" spans="2:3">
      <c r="C3333" t="s">
        <v>5691</v>
      </c>
    </row>
    <row r="3334" spans="2:3">
      <c r="C3334" t="s">
        <v>5692</v>
      </c>
    </row>
    <row r="3335" spans="2:3">
      <c r="B3335" t="s">
        <v>5695</v>
      </c>
    </row>
    <row r="3336" spans="2:3">
      <c r="C3336" t="s">
        <v>5693</v>
      </c>
    </row>
    <row r="3337" spans="2:3">
      <c r="C3337" t="s">
        <v>5694</v>
      </c>
    </row>
    <row r="3339" spans="2:3">
      <c r="B3339" s="1116" t="s">
        <v>5696</v>
      </c>
    </row>
    <row r="3341" spans="2:3">
      <c r="B3341" s="12" t="s">
        <v>984</v>
      </c>
    </row>
    <row r="3342" spans="2:3">
      <c r="B3342" t="s">
        <v>5699</v>
      </c>
    </row>
    <row r="3343" spans="2:3">
      <c r="B3343" t="s">
        <v>5698</v>
      </c>
    </row>
    <row r="3344" spans="2:3">
      <c r="B3344" t="s">
        <v>5697</v>
      </c>
    </row>
    <row r="3345" spans="2:2">
      <c r="B3345" t="s">
        <v>5700</v>
      </c>
    </row>
    <row r="3346" spans="2:2">
      <c r="B3346" t="s">
        <v>5701</v>
      </c>
    </row>
    <row r="3347" spans="2:2">
      <c r="B3347" t="s">
        <v>5702</v>
      </c>
    </row>
    <row r="3348" spans="2:2">
      <c r="B3348" t="s">
        <v>5703</v>
      </c>
    </row>
    <row r="3350" spans="2:2">
      <c r="B3350" s="12" t="s">
        <v>29</v>
      </c>
    </row>
    <row r="3351" spans="2:2">
      <c r="B3351" t="s">
        <v>5704</v>
      </c>
    </row>
    <row r="3353" spans="2:2">
      <c r="B3353" s="12" t="s">
        <v>0</v>
      </c>
    </row>
    <row r="3354" spans="2:2">
      <c r="B3354" t="s">
        <v>5710</v>
      </c>
    </row>
    <row r="3356" spans="2:2">
      <c r="B3356" s="12" t="s">
        <v>468</v>
      </c>
    </row>
    <row r="3359" spans="2:2">
      <c r="B3359" s="12" t="s">
        <v>5498</v>
      </c>
    </row>
    <row r="3360" spans="2:2">
      <c r="B3360" t="s">
        <v>5705</v>
      </c>
    </row>
    <row r="3361" spans="2:2">
      <c r="B3361" t="s">
        <v>5707</v>
      </c>
    </row>
    <row r="3362" spans="2:2">
      <c r="B3362" t="s">
        <v>5706</v>
      </c>
    </row>
    <row r="3364" spans="2:2">
      <c r="B3364" s="12" t="s">
        <v>5708</v>
      </c>
    </row>
    <row r="3365" spans="2:2">
      <c r="B3365" t="s">
        <v>5709</v>
      </c>
    </row>
    <row r="3366" spans="2:2">
      <c r="B3366" t="s">
        <v>557</v>
      </c>
    </row>
    <row r="3368" spans="2:2">
      <c r="B3368" s="513" t="s">
        <v>3554</v>
      </c>
    </row>
    <row r="3370" spans="2:2">
      <c r="B3370" s="13" t="s">
        <v>5714</v>
      </c>
    </row>
    <row r="3371" spans="2:2">
      <c r="B3371" t="s">
        <v>5711</v>
      </c>
    </row>
    <row r="3372" spans="2:2">
      <c r="B3372" t="s">
        <v>5712</v>
      </c>
    </row>
    <row r="3373" spans="2:2">
      <c r="B3373" s="13" t="s">
        <v>5716</v>
      </c>
    </row>
    <row r="3374" spans="2:2">
      <c r="B3374" t="s">
        <v>5713</v>
      </c>
    </row>
    <row r="3375" spans="2:2">
      <c r="B3375" s="13" t="s">
        <v>3233</v>
      </c>
    </row>
    <row r="3376" spans="2:2">
      <c r="B3376" t="s">
        <v>5715</v>
      </c>
    </row>
    <row r="3377" spans="2:3">
      <c r="B3377" s="13" t="s">
        <v>5717</v>
      </c>
    </row>
    <row r="3379" spans="2:3">
      <c r="B3379" s="513" t="s">
        <v>428</v>
      </c>
    </row>
    <row r="3380" spans="2:3">
      <c r="B3380" s="13"/>
    </row>
    <row r="3381" spans="2:3">
      <c r="B3381" t="s">
        <v>2933</v>
      </c>
    </row>
    <row r="3382" spans="2:3">
      <c r="C3382" t="s">
        <v>5721</v>
      </c>
    </row>
    <row r="3383" spans="2:3">
      <c r="B3383" t="s">
        <v>5397</v>
      </c>
    </row>
    <row r="3384" spans="2:3">
      <c r="C3384" t="s">
        <v>5718</v>
      </c>
    </row>
    <row r="3385" spans="2:3">
      <c r="B3385" t="s">
        <v>5719</v>
      </c>
    </row>
    <row r="3386" spans="2:3">
      <c r="C3386" t="s">
        <v>5720</v>
      </c>
    </row>
    <row r="3387" spans="2:3">
      <c r="B3387" t="s">
        <v>4276</v>
      </c>
    </row>
    <row r="3388" spans="2:3">
      <c r="C3388" t="s">
        <v>5722</v>
      </c>
    </row>
    <row r="3389" spans="2:3">
      <c r="C3389" t="s">
        <v>5723</v>
      </c>
    </row>
    <row r="3391" spans="2:3">
      <c r="B3391" s="513" t="s">
        <v>4770</v>
      </c>
    </row>
    <row r="3393" spans="2:5">
      <c r="B3393" s="13" t="s">
        <v>5724</v>
      </c>
    </row>
    <row r="3394" spans="2:5">
      <c r="B3394" t="s">
        <v>5725</v>
      </c>
    </row>
    <row r="3395" spans="2:5">
      <c r="B3395" t="s">
        <v>5730</v>
      </c>
    </row>
    <row r="3396" spans="2:5">
      <c r="B3396" t="s">
        <v>5726</v>
      </c>
    </row>
    <row r="3397" spans="2:5">
      <c r="B3397" t="s">
        <v>5727</v>
      </c>
    </row>
    <row r="3398" spans="2:5">
      <c r="B3398" t="s">
        <v>5728</v>
      </c>
    </row>
    <row r="3399" spans="2:5">
      <c r="B3399" t="s">
        <v>5729</v>
      </c>
    </row>
    <row r="3401" spans="2:5">
      <c r="B3401" t="s">
        <v>5732</v>
      </c>
    </row>
    <row r="3402" spans="2:5">
      <c r="B3402" t="s">
        <v>5733</v>
      </c>
    </row>
    <row r="3404" spans="2:5">
      <c r="B3404" t="s">
        <v>5734</v>
      </c>
    </row>
    <row r="3405" spans="2:5">
      <c r="B3405" t="s">
        <v>5735</v>
      </c>
    </row>
    <row r="3406" spans="2:5">
      <c r="B3406" t="s">
        <v>5736</v>
      </c>
    </row>
    <row r="3408" spans="2:5">
      <c r="B3408" s="513" t="s">
        <v>0</v>
      </c>
      <c r="E3408" s="726" t="s">
        <v>5757</v>
      </c>
    </row>
    <row r="3409" spans="2:6">
      <c r="B3409" t="s">
        <v>1365</v>
      </c>
      <c r="C3409" t="s">
        <v>5739</v>
      </c>
      <c r="E3409" s="845">
        <v>0.7</v>
      </c>
      <c r="F3409" s="5">
        <f>E3409/E$3413</f>
        <v>0.13526570048309175</v>
      </c>
    </row>
    <row r="3410" spans="2:6">
      <c r="B3410" t="s">
        <v>1364</v>
      </c>
      <c r="C3410" t="s">
        <v>5738</v>
      </c>
      <c r="D3410" s="5">
        <v>0.1</v>
      </c>
      <c r="E3410">
        <v>0.76</v>
      </c>
      <c r="F3410" s="5">
        <f>E3410/E$3413</f>
        <v>0.14685990338164248</v>
      </c>
    </row>
    <row r="3411" spans="2:6">
      <c r="B3411" t="s">
        <v>29</v>
      </c>
      <c r="C3411" t="s">
        <v>5737</v>
      </c>
      <c r="D3411" s="5">
        <v>0.3</v>
      </c>
      <c r="E3411" s="845">
        <v>1.583</v>
      </c>
      <c r="F3411" s="5">
        <f>E3411/E$3413</f>
        <v>0.30589371980676322</v>
      </c>
    </row>
    <row r="3412" spans="2:6">
      <c r="B3412" t="s">
        <v>3966</v>
      </c>
      <c r="C3412" t="s">
        <v>5467</v>
      </c>
      <c r="D3412" s="5">
        <v>0.4</v>
      </c>
      <c r="E3412" s="845">
        <v>2.1320000000000001</v>
      </c>
      <c r="F3412" s="5">
        <f>E3412/E$3413</f>
        <v>0.41198067632850238</v>
      </c>
    </row>
    <row r="3413" spans="2:6">
      <c r="E3413">
        <f>SUM(E3409:E3412)</f>
        <v>5.1750000000000007</v>
      </c>
    </row>
    <row r="3415" spans="2:6">
      <c r="B3415" t="s">
        <v>1364</v>
      </c>
      <c r="C3415" t="s">
        <v>5740</v>
      </c>
    </row>
    <row r="3416" spans="2:6">
      <c r="C3416" t="s">
        <v>5741</v>
      </c>
    </row>
    <row r="3417" spans="2:6">
      <c r="C3417" t="s">
        <v>5742</v>
      </c>
    </row>
    <row r="3418" spans="2:6">
      <c r="C3418" t="s">
        <v>5743</v>
      </c>
    </row>
    <row r="3419" spans="2:6">
      <c r="C3419" t="s">
        <v>5744</v>
      </c>
    </row>
    <row r="3420" spans="2:6">
      <c r="B3420" t="s">
        <v>5745</v>
      </c>
    </row>
    <row r="3421" spans="2:6">
      <c r="C3421" t="s">
        <v>5749</v>
      </c>
    </row>
    <row r="3422" spans="2:6">
      <c r="C3422" t="s">
        <v>5746</v>
      </c>
    </row>
    <row r="3423" spans="2:6">
      <c r="C3423" t="s">
        <v>5747</v>
      </c>
    </row>
    <row r="3424" spans="2:6">
      <c r="C3424" t="s">
        <v>5748</v>
      </c>
    </row>
    <row r="3425" spans="2:3">
      <c r="B3425" t="s">
        <v>5750</v>
      </c>
    </row>
    <row r="3426" spans="2:3">
      <c r="C3426" t="s">
        <v>5751</v>
      </c>
    </row>
    <row r="3427" spans="2:3">
      <c r="C3427" t="s">
        <v>5752</v>
      </c>
    </row>
    <row r="3428" spans="2:3">
      <c r="B3428" t="s">
        <v>5753</v>
      </c>
    </row>
    <row r="3429" spans="2:3">
      <c r="C3429" t="s">
        <v>5754</v>
      </c>
    </row>
    <row r="3430" spans="2:3">
      <c r="C3430" t="s">
        <v>5755</v>
      </c>
    </row>
    <row r="3431" spans="2:3">
      <c r="C3431" t="s">
        <v>5756</v>
      </c>
    </row>
    <row r="3432" spans="2:3">
      <c r="B3432" t="s">
        <v>5758</v>
      </c>
    </row>
    <row r="3433" spans="2:3">
      <c r="C3433" t="s">
        <v>5759</v>
      </c>
    </row>
    <row r="3434" spans="2:3">
      <c r="B3434" t="s">
        <v>5760</v>
      </c>
    </row>
    <row r="3435" spans="2:3">
      <c r="C3435" t="s">
        <v>5761</v>
      </c>
    </row>
    <row r="3436" spans="2:3">
      <c r="B3436" t="s">
        <v>5818</v>
      </c>
    </row>
    <row r="3437" spans="2:3">
      <c r="B3437" t="s">
        <v>5808</v>
      </c>
    </row>
    <row r="3438" spans="2:3">
      <c r="C3438" t="s">
        <v>5819</v>
      </c>
    </row>
    <row r="3439" spans="2:3">
      <c r="C3439" t="s">
        <v>5820</v>
      </c>
    </row>
    <row r="3441" spans="2:6">
      <c r="B3441" s="13" t="s">
        <v>5875</v>
      </c>
    </row>
    <row r="3442" spans="2:6">
      <c r="B3442" t="s">
        <v>5873</v>
      </c>
    </row>
    <row r="3443" spans="2:6">
      <c r="C3443" t="s">
        <v>5874</v>
      </c>
    </row>
    <row r="3445" spans="2:6">
      <c r="B3445" s="513" t="s">
        <v>5881</v>
      </c>
    </row>
    <row r="3447" spans="2:6">
      <c r="B3447" t="s">
        <v>5890</v>
      </c>
    </row>
    <row r="3448" spans="2:6">
      <c r="C3448" t="s">
        <v>5891</v>
      </c>
    </row>
    <row r="3449" spans="2:6">
      <c r="C3449" t="s">
        <v>5892</v>
      </c>
    </row>
    <row r="3450" spans="2:6">
      <c r="B3450" t="s">
        <v>984</v>
      </c>
    </row>
    <row r="3451" spans="2:6">
      <c r="C3451" t="s">
        <v>5903</v>
      </c>
    </row>
    <row r="3452" spans="2:6">
      <c r="B3452" t="s">
        <v>4276</v>
      </c>
    </row>
    <row r="3454" spans="2:6">
      <c r="B3454" t="s">
        <v>5897</v>
      </c>
    </row>
    <row r="3455" spans="2:6">
      <c r="C3455" t="s">
        <v>5895</v>
      </c>
      <c r="E3455" t="s">
        <v>5896</v>
      </c>
      <c r="F3455">
        <f>0.35*1250</f>
        <v>437.5</v>
      </c>
    </row>
    <row r="3456" spans="2:6">
      <c r="C3456" t="s">
        <v>5893</v>
      </c>
    </row>
    <row r="3457" spans="2:4">
      <c r="C3457" t="s">
        <v>5894</v>
      </c>
    </row>
    <row r="3459" spans="2:4">
      <c r="B3459" t="s">
        <v>5882</v>
      </c>
      <c r="C3459" t="s">
        <v>5883</v>
      </c>
    </row>
    <row r="3460" spans="2:4">
      <c r="D3460" t="s">
        <v>5884</v>
      </c>
    </row>
    <row r="3461" spans="2:4">
      <c r="B3461" t="s">
        <v>5885</v>
      </c>
    </row>
    <row r="3462" spans="2:4">
      <c r="C3462" t="s">
        <v>5886</v>
      </c>
    </row>
    <row r="3463" spans="2:4">
      <c r="D3463" t="s">
        <v>5887</v>
      </c>
    </row>
    <row r="3464" spans="2:4">
      <c r="C3464" t="s">
        <v>5888</v>
      </c>
    </row>
    <row r="3465" spans="2:4">
      <c r="B3465" t="s">
        <v>468</v>
      </c>
    </row>
    <row r="3466" spans="2:4">
      <c r="C3466" t="s">
        <v>5889</v>
      </c>
    </row>
    <row r="3467" spans="2:4">
      <c r="B3467" t="s">
        <v>0</v>
      </c>
    </row>
    <row r="3468" spans="2:4">
      <c r="C3468" t="s">
        <v>5909</v>
      </c>
    </row>
    <row r="3470" spans="2:4">
      <c r="B3470" t="s">
        <v>5899</v>
      </c>
    </row>
    <row r="3471" spans="2:4">
      <c r="B3471" t="s">
        <v>5898</v>
      </c>
    </row>
    <row r="3472" spans="2:4">
      <c r="C3472" t="s">
        <v>5900</v>
      </c>
    </row>
    <row r="3474" spans="2:3">
      <c r="B3474" s="13" t="s">
        <v>984</v>
      </c>
    </row>
    <row r="3476" spans="2:3">
      <c r="B3476" t="s">
        <v>5901</v>
      </c>
    </row>
    <row r="3477" spans="2:3">
      <c r="C3477" t="s">
        <v>5902</v>
      </c>
    </row>
    <row r="3478" spans="2:3">
      <c r="B3478" t="s">
        <v>5904</v>
      </c>
    </row>
    <row r="3479" spans="2:3">
      <c r="C3479" t="s">
        <v>5905</v>
      </c>
    </row>
    <row r="3480" spans="2:3">
      <c r="B3480" t="s">
        <v>4883</v>
      </c>
    </row>
    <row r="3481" spans="2:3">
      <c r="C3481" t="s">
        <v>5906</v>
      </c>
    </row>
    <row r="3482" spans="2:3">
      <c r="C3482" t="s">
        <v>5907</v>
      </c>
    </row>
    <row r="3483" spans="2:3">
      <c r="B3483" t="s">
        <v>5908</v>
      </c>
    </row>
    <row r="3485" spans="2:3">
      <c r="B3485" s="13" t="s">
        <v>468</v>
      </c>
    </row>
    <row r="3486" spans="2:3">
      <c r="B3486" t="s">
        <v>5910</v>
      </c>
    </row>
    <row r="3487" spans="2:3">
      <c r="B3487" t="s">
        <v>5911</v>
      </c>
    </row>
    <row r="3488" spans="2:3">
      <c r="B3488" t="s">
        <v>5912</v>
      </c>
    </row>
    <row r="3491" spans="2:4">
      <c r="B3491" s="13" t="s">
        <v>984</v>
      </c>
    </row>
    <row r="3493" spans="2:4">
      <c r="B3493" t="s">
        <v>5915</v>
      </c>
      <c r="C3493" t="s">
        <v>5916</v>
      </c>
    </row>
    <row r="3494" spans="2:4">
      <c r="C3494" t="s">
        <v>5929</v>
      </c>
    </row>
    <row r="3495" spans="2:4">
      <c r="C3495" t="s">
        <v>5919</v>
      </c>
    </row>
    <row r="3496" spans="2:4">
      <c r="D3496" t="s">
        <v>5918</v>
      </c>
    </row>
    <row r="3497" spans="2:4">
      <c r="D3497" t="s">
        <v>5917</v>
      </c>
    </row>
    <row r="3498" spans="2:4">
      <c r="C3498" t="s">
        <v>5878</v>
      </c>
      <c r="D3498" t="s">
        <v>5922</v>
      </c>
    </row>
    <row r="3499" spans="2:4">
      <c r="C3499" t="s">
        <v>5920</v>
      </c>
      <c r="D3499" t="s">
        <v>5927</v>
      </c>
    </row>
    <row r="3500" spans="2:4">
      <c r="C3500" t="s">
        <v>5921</v>
      </c>
      <c r="D3500" t="s">
        <v>5928</v>
      </c>
    </row>
    <row r="3501" spans="2:4">
      <c r="B3501" t="s">
        <v>5923</v>
      </c>
    </row>
    <row r="3502" spans="2:4">
      <c r="C3502" t="s">
        <v>5924</v>
      </c>
    </row>
    <row r="3503" spans="2:4">
      <c r="C3503" t="s">
        <v>5925</v>
      </c>
    </row>
    <row r="3504" spans="2:4">
      <c r="C3504" t="s">
        <v>5926</v>
      </c>
    </row>
    <row r="3505" spans="2:4">
      <c r="B3505" t="s">
        <v>482</v>
      </c>
    </row>
    <row r="3506" spans="2:4">
      <c r="C3506" t="s">
        <v>5930</v>
      </c>
    </row>
    <row r="3507" spans="2:4">
      <c r="D3507" t="s">
        <v>5931</v>
      </c>
    </row>
    <row r="3508" spans="2:4">
      <c r="D3508" t="s">
        <v>5932</v>
      </c>
    </row>
    <row r="3509" spans="2:4">
      <c r="C3509" t="s">
        <v>5933</v>
      </c>
    </row>
    <row r="3510" spans="2:4">
      <c r="B3510" t="s">
        <v>5934</v>
      </c>
    </row>
    <row r="3511" spans="2:4">
      <c r="C3511" t="s">
        <v>5935</v>
      </c>
    </row>
    <row r="3512" spans="2:4">
      <c r="C3512" t="s">
        <v>5936</v>
      </c>
    </row>
    <row r="3513" spans="2:4">
      <c r="C3513" t="s">
        <v>5937</v>
      </c>
    </row>
    <row r="3514" spans="2:4">
      <c r="C3514" t="s">
        <v>5938</v>
      </c>
    </row>
    <row r="3515" spans="2:4">
      <c r="D3515" t="s">
        <v>5939</v>
      </c>
    </row>
    <row r="3516" spans="2:4">
      <c r="B3516" t="s">
        <v>5940</v>
      </c>
    </row>
    <row r="3517" spans="2:4">
      <c r="C3517" t="s">
        <v>5941</v>
      </c>
    </row>
    <row r="3518" spans="2:4">
      <c r="C3518" t="s">
        <v>5942</v>
      </c>
    </row>
    <row r="3519" spans="2:4">
      <c r="D3519" t="s">
        <v>8</v>
      </c>
    </row>
    <row r="3520" spans="2:4">
      <c r="B3520" t="s">
        <v>8</v>
      </c>
    </row>
    <row r="3521" spans="2:3">
      <c r="C3521" t="s">
        <v>5943</v>
      </c>
    </row>
    <row r="3522" spans="2:3">
      <c r="B3522" t="s">
        <v>468</v>
      </c>
    </row>
    <row r="3524" spans="2:3">
      <c r="B3524" s="513" t="s">
        <v>5978</v>
      </c>
    </row>
    <row r="3525" spans="2:3">
      <c r="B3525" t="s">
        <v>5977</v>
      </c>
    </row>
    <row r="3526" spans="2:3">
      <c r="B3526" t="s">
        <v>468</v>
      </c>
    </row>
    <row r="3527" spans="2:3">
      <c r="C3527" t="s">
        <v>5979</v>
      </c>
    </row>
    <row r="3528" spans="2:3">
      <c r="C3528" t="s">
        <v>5980</v>
      </c>
    </row>
    <row r="3529" spans="2:3">
      <c r="B3529" t="s">
        <v>2933</v>
      </c>
    </row>
    <row r="3530" spans="2:3">
      <c r="B3530" t="s">
        <v>5981</v>
      </c>
    </row>
    <row r="3531" spans="2:3">
      <c r="C3531" t="s">
        <v>5982</v>
      </c>
    </row>
    <row r="3533" spans="2:3">
      <c r="B3533" s="513" t="s">
        <v>5991</v>
      </c>
    </row>
    <row r="3535" spans="2:3">
      <c r="B3535" s="12" t="s">
        <v>5920</v>
      </c>
    </row>
    <row r="3536" spans="2:3">
      <c r="B3536" t="s">
        <v>5983</v>
      </c>
    </row>
    <row r="3537" spans="2:3">
      <c r="B3537" t="s">
        <v>5987</v>
      </c>
    </row>
    <row r="3538" spans="2:3">
      <c r="C3538" t="s">
        <v>5985</v>
      </c>
    </row>
    <row r="3539" spans="2:3">
      <c r="C3539" t="s">
        <v>5986</v>
      </c>
    </row>
    <row r="3540" spans="2:3">
      <c r="B3540" t="s">
        <v>6015</v>
      </c>
    </row>
    <row r="3541" spans="2:3">
      <c r="C3541" t="s">
        <v>6016</v>
      </c>
    </row>
    <row r="3542" spans="2:3">
      <c r="B3542" t="s">
        <v>5984</v>
      </c>
    </row>
    <row r="3543" spans="2:3">
      <c r="B3543" t="s">
        <v>5992</v>
      </c>
    </row>
    <row r="3544" spans="2:3">
      <c r="B3544" s="510">
        <v>2022</v>
      </c>
    </row>
    <row r="3545" spans="2:3">
      <c r="C3545" t="s">
        <v>5988</v>
      </c>
    </row>
    <row r="3546" spans="2:3">
      <c r="C3546" t="s">
        <v>5990</v>
      </c>
    </row>
    <row r="3547" spans="2:3">
      <c r="B3547" s="510">
        <v>2023</v>
      </c>
    </row>
    <row r="3548" spans="2:3">
      <c r="C3548" t="s">
        <v>5989</v>
      </c>
    </row>
    <row r="3550" spans="2:3">
      <c r="B3550" s="13" t="s">
        <v>377</v>
      </c>
    </row>
    <row r="3551" spans="2:3">
      <c r="B3551" t="s">
        <v>5993</v>
      </c>
    </row>
    <row r="3552" spans="2:3">
      <c r="B3552" t="s">
        <v>744</v>
      </c>
      <c r="C3552" t="s">
        <v>5994</v>
      </c>
    </row>
    <row r="3553" spans="2:3">
      <c r="C3553" t="s">
        <v>5995</v>
      </c>
    </row>
    <row r="3554" spans="2:3">
      <c r="C3554" t="s">
        <v>5996</v>
      </c>
    </row>
    <row r="3555" spans="2:3">
      <c r="C3555" t="s">
        <v>5997</v>
      </c>
    </row>
    <row r="3556" spans="2:3">
      <c r="B3556" t="s">
        <v>5998</v>
      </c>
    </row>
    <row r="3557" spans="2:3">
      <c r="C3557" t="s">
        <v>5999</v>
      </c>
    </row>
    <row r="3558" spans="2:3">
      <c r="B3558" t="s">
        <v>986</v>
      </c>
    </row>
    <row r="3560" spans="2:3">
      <c r="B3560" s="13" t="s">
        <v>6002</v>
      </c>
    </row>
    <row r="3561" spans="2:3">
      <c r="B3561" t="s">
        <v>6000</v>
      </c>
    </row>
    <row r="3562" spans="2:3">
      <c r="B3562" t="s">
        <v>6001</v>
      </c>
    </row>
    <row r="3564" spans="2:3">
      <c r="B3564" s="13" t="s">
        <v>0</v>
      </c>
    </row>
    <row r="3565" spans="2:3">
      <c r="B3565" t="s">
        <v>6003</v>
      </c>
    </row>
    <row r="3566" spans="2:3">
      <c r="B3566" t="s">
        <v>6004</v>
      </c>
    </row>
    <row r="3567" spans="2:3">
      <c r="B3567" t="s">
        <v>6005</v>
      </c>
    </row>
    <row r="3568" spans="2:3">
      <c r="B3568" t="s">
        <v>6006</v>
      </c>
    </row>
    <row r="3569" spans="2:3">
      <c r="B3569" t="s">
        <v>6007</v>
      </c>
    </row>
    <row r="3571" spans="2:3">
      <c r="B3571" s="13" t="s">
        <v>5658</v>
      </c>
    </row>
    <row r="3572" spans="2:3">
      <c r="B3572" t="s">
        <v>6009</v>
      </c>
    </row>
    <row r="3573" spans="2:3">
      <c r="B3573" t="s">
        <v>6008</v>
      </c>
    </row>
    <row r="3574" spans="2:3">
      <c r="B3574" t="s">
        <v>6010</v>
      </c>
    </row>
    <row r="3575" spans="2:3">
      <c r="B3575" t="s">
        <v>6011</v>
      </c>
    </row>
    <row r="3577" spans="2:3">
      <c r="B3577" t="s">
        <v>6014</v>
      </c>
    </row>
    <row r="3578" spans="2:3">
      <c r="B3578" t="s">
        <v>6012</v>
      </c>
    </row>
    <row r="3579" spans="2:3">
      <c r="B3579" t="s">
        <v>6013</v>
      </c>
    </row>
    <row r="3581" spans="2:3">
      <c r="B3581" s="13" t="s">
        <v>6017</v>
      </c>
    </row>
    <row r="3582" spans="2:3">
      <c r="B3582" t="s">
        <v>6018</v>
      </c>
      <c r="C3582" t="s">
        <v>6019</v>
      </c>
    </row>
    <row r="3584" spans="2:3">
      <c r="B3584" s="13" t="s">
        <v>4883</v>
      </c>
    </row>
    <row r="3585" spans="2:3">
      <c r="B3585" t="s">
        <v>6020</v>
      </c>
    </row>
    <row r="3586" spans="2:3">
      <c r="B3586" t="s">
        <v>6021</v>
      </c>
    </row>
    <row r="3587" spans="2:3">
      <c r="B3587" t="s">
        <v>6022</v>
      </c>
    </row>
    <row r="3589" spans="2:3">
      <c r="B3589" s="513" t="s">
        <v>6024</v>
      </c>
    </row>
    <row r="3590" spans="2:3">
      <c r="B3590" t="s">
        <v>6025</v>
      </c>
    </row>
    <row r="3591" spans="2:3">
      <c r="C3591" t="s">
        <v>6026</v>
      </c>
    </row>
    <row r="3592" spans="2:3">
      <c r="B3592" t="s">
        <v>6028</v>
      </c>
    </row>
    <row r="3593" spans="2:3">
      <c r="B3593" t="s">
        <v>6038</v>
      </c>
    </row>
    <row r="3594" spans="2:3">
      <c r="C3594" t="s">
        <v>6039</v>
      </c>
    </row>
    <row r="3596" spans="2:3">
      <c r="B3596" s="513" t="s">
        <v>5949</v>
      </c>
    </row>
    <row r="3598" spans="2:3">
      <c r="B3598" t="s">
        <v>6084</v>
      </c>
    </row>
    <row r="3599" spans="2:3">
      <c r="C3599" t="s">
        <v>6087</v>
      </c>
    </row>
    <row r="3600" spans="2:3">
      <c r="C3600" t="s">
        <v>6085</v>
      </c>
    </row>
    <row r="3601" spans="2:3">
      <c r="C3601" t="s">
        <v>6086</v>
      </c>
    </row>
    <row r="3602" spans="2:3">
      <c r="B3602" t="s">
        <v>6076</v>
      </c>
    </row>
    <row r="3603" spans="2:3">
      <c r="B3603" t="s">
        <v>6062</v>
      </c>
    </row>
    <row r="3604" spans="2:3">
      <c r="C3604" t="s">
        <v>6075</v>
      </c>
    </row>
    <row r="3605" spans="2:3">
      <c r="B3605" t="s">
        <v>6082</v>
      </c>
    </row>
    <row r="3606" spans="2:3">
      <c r="C3606" t="s">
        <v>6083</v>
      </c>
    </row>
    <row r="3607" spans="2:3">
      <c r="B3607" t="s">
        <v>6073</v>
      </c>
    </row>
    <row r="3608" spans="2:3">
      <c r="B3608" t="s">
        <v>6077</v>
      </c>
    </row>
    <row r="3609" spans="2:3">
      <c r="B3609" t="s">
        <v>6081</v>
      </c>
    </row>
    <row r="3611" spans="2:3">
      <c r="B3611" s="13" t="s">
        <v>468</v>
      </c>
    </row>
    <row r="3612" spans="2:3">
      <c r="C3612" t="s">
        <v>6063</v>
      </c>
    </row>
    <row r="3613" spans="2:3">
      <c r="C3613" t="s">
        <v>6064</v>
      </c>
    </row>
    <row r="3614" spans="2:3">
      <c r="C3614" t="s">
        <v>6074</v>
      </c>
    </row>
    <row r="3615" spans="2:3">
      <c r="B3615" t="s">
        <v>6071</v>
      </c>
    </row>
    <row r="3617" spans="2:3">
      <c r="B3617" s="13" t="s">
        <v>6080</v>
      </c>
    </row>
    <row r="3618" spans="2:3">
      <c r="B3618" t="s">
        <v>6078</v>
      </c>
      <c r="C3618" t="s">
        <v>6079</v>
      </c>
    </row>
    <row r="3619" spans="2:3">
      <c r="B3619" t="s">
        <v>6088</v>
      </c>
    </row>
    <row r="3620" spans="2:3">
      <c r="C3620" t="s">
        <v>6089</v>
      </c>
    </row>
    <row r="3621" spans="2:3">
      <c r="B3621" t="s">
        <v>6090</v>
      </c>
    </row>
    <row r="3622" spans="2:3">
      <c r="C3622" t="s">
        <v>6091</v>
      </c>
    </row>
    <row r="3623" spans="2:3">
      <c r="B3623" t="s">
        <v>6092</v>
      </c>
    </row>
    <row r="3625" spans="2:3">
      <c r="B3625" s="13" t="s">
        <v>5954</v>
      </c>
    </row>
    <row r="3626" spans="2:3">
      <c r="B3626" s="13" t="s">
        <v>984</v>
      </c>
    </row>
    <row r="3627" spans="2:3">
      <c r="B3627" t="s">
        <v>6093</v>
      </c>
    </row>
    <row r="3628" spans="2:3">
      <c r="C3628" t="s">
        <v>6094</v>
      </c>
    </row>
    <row r="3629" spans="2:3">
      <c r="C3629" t="s">
        <v>6095</v>
      </c>
    </row>
    <row r="3630" spans="2:3">
      <c r="B3630" t="s">
        <v>5875</v>
      </c>
    </row>
    <row r="3631" spans="2:3">
      <c r="C3631" t="s">
        <v>6096</v>
      </c>
    </row>
    <row r="3633" spans="2:4">
      <c r="B3633" s="13" t="s">
        <v>428</v>
      </c>
    </row>
    <row r="3634" spans="2:4">
      <c r="B3634" t="s">
        <v>1919</v>
      </c>
      <c r="C3634" t="s">
        <v>984</v>
      </c>
      <c r="D3634" t="s">
        <v>6097</v>
      </c>
    </row>
    <row r="3636" spans="2:4">
      <c r="B3636" t="s">
        <v>2845</v>
      </c>
    </row>
    <row r="3637" spans="2:4">
      <c r="B3637" t="s">
        <v>984</v>
      </c>
      <c r="C3637" t="s">
        <v>6098</v>
      </c>
    </row>
    <row r="3638" spans="2:4">
      <c r="B3638" t="s">
        <v>6099</v>
      </c>
      <c r="C3638" t="s">
        <v>6100</v>
      </c>
    </row>
    <row r="3639" spans="2:4">
      <c r="B3639" t="s">
        <v>6101</v>
      </c>
      <c r="C3639" s="491">
        <v>0.06</v>
      </c>
    </row>
    <row r="3641" spans="2:4">
      <c r="B3641" s="13" t="s">
        <v>5</v>
      </c>
    </row>
    <row r="3642" spans="2:4">
      <c r="C3642" t="s">
        <v>6102</v>
      </c>
    </row>
    <row r="3643" spans="2:4">
      <c r="C3643" t="s">
        <v>6103</v>
      </c>
    </row>
    <row r="3644" spans="2:4">
      <c r="D3644" t="s">
        <v>6104</v>
      </c>
    </row>
    <row r="3645" spans="2:4">
      <c r="C3645" t="s">
        <v>6105</v>
      </c>
    </row>
    <row r="3646" spans="2:4">
      <c r="C3646" t="s">
        <v>6106</v>
      </c>
    </row>
    <row r="3647" spans="2:4">
      <c r="C3647" t="s">
        <v>6107</v>
      </c>
    </row>
    <row r="3648" spans="2:4">
      <c r="D3648" t="s">
        <v>6108</v>
      </c>
    </row>
    <row r="3649" spans="2:4">
      <c r="D3649" t="s">
        <v>6109</v>
      </c>
    </row>
    <row r="3650" spans="2:4">
      <c r="B3650" s="13" t="s">
        <v>0</v>
      </c>
    </row>
    <row r="3651" spans="2:4">
      <c r="C3651" t="s">
        <v>6110</v>
      </c>
    </row>
    <row r="3652" spans="2:4">
      <c r="C3652" t="s">
        <v>6111</v>
      </c>
    </row>
    <row r="3653" spans="2:4">
      <c r="D3653" t="s">
        <v>6114</v>
      </c>
    </row>
    <row r="3654" spans="2:4">
      <c r="C3654" t="s">
        <v>6112</v>
      </c>
    </row>
    <row r="3655" spans="2:4">
      <c r="C3655" t="s">
        <v>6113</v>
      </c>
    </row>
    <row r="3656" spans="2:4">
      <c r="B3656" s="13" t="s">
        <v>6115</v>
      </c>
    </row>
    <row r="3657" spans="2:4">
      <c r="C3657" t="s">
        <v>6116</v>
      </c>
    </row>
    <row r="3658" spans="2:4">
      <c r="C3658" t="s">
        <v>6117</v>
      </c>
    </row>
    <row r="3659" spans="2:4">
      <c r="D3659" t="s">
        <v>6118</v>
      </c>
    </row>
    <row r="3661" spans="2:4">
      <c r="B3661" s="513" t="s">
        <v>70</v>
      </c>
    </row>
    <row r="3663" spans="2:4">
      <c r="B3663" t="s">
        <v>6119</v>
      </c>
      <c r="C3663" s="1098">
        <v>2022</v>
      </c>
    </row>
    <row r="3664" spans="2:4">
      <c r="C3664" t="s">
        <v>6125</v>
      </c>
    </row>
    <row r="3665" spans="2:4">
      <c r="D3665" t="s">
        <v>6129</v>
      </c>
    </row>
    <row r="3666" spans="2:4">
      <c r="C3666" t="s">
        <v>6126</v>
      </c>
    </row>
    <row r="3667" spans="2:4">
      <c r="C3667" s="1098" t="s">
        <v>4620</v>
      </c>
    </row>
    <row r="3668" spans="2:4">
      <c r="C3668" s="644">
        <v>45231</v>
      </c>
    </row>
    <row r="3669" spans="2:4">
      <c r="C3669" s="644" t="s">
        <v>6127</v>
      </c>
    </row>
    <row r="3670" spans="2:4">
      <c r="C3670" s="1098">
        <v>2023</v>
      </c>
    </row>
    <row r="3671" spans="2:4">
      <c r="C3671" s="84" t="s">
        <v>6128</v>
      </c>
    </row>
    <row r="3672" spans="2:4">
      <c r="B3672" t="s">
        <v>6120</v>
      </c>
    </row>
    <row r="3673" spans="2:4">
      <c r="C3673" t="s">
        <v>6130</v>
      </c>
    </row>
    <row r="3674" spans="2:4">
      <c r="D3674" t="s">
        <v>6131</v>
      </c>
    </row>
    <row r="3675" spans="2:4">
      <c r="D3675" t="s">
        <v>6132</v>
      </c>
    </row>
    <row r="3676" spans="2:4">
      <c r="D3676" t="s">
        <v>6133</v>
      </c>
    </row>
    <row r="3677" spans="2:4">
      <c r="D3677" t="s">
        <v>6134</v>
      </c>
    </row>
    <row r="3678" spans="2:4">
      <c r="C3678" t="s">
        <v>6135</v>
      </c>
    </row>
    <row r="3679" spans="2:4">
      <c r="B3679" t="s">
        <v>6121</v>
      </c>
    </row>
    <row r="3680" spans="2:4">
      <c r="C3680" t="s">
        <v>6136</v>
      </c>
    </row>
    <row r="3681" spans="2:4">
      <c r="D3681" t="s">
        <v>6137</v>
      </c>
    </row>
    <row r="3682" spans="2:4">
      <c r="D3682" t="s">
        <v>6138</v>
      </c>
    </row>
    <row r="3683" spans="2:4">
      <c r="B3683" t="s">
        <v>6122</v>
      </c>
    </row>
    <row r="3684" spans="2:4">
      <c r="C3684" t="s">
        <v>6124</v>
      </c>
    </row>
    <row r="3685" spans="2:4">
      <c r="B3685" t="s">
        <v>6123</v>
      </c>
    </row>
    <row r="3686" spans="2:4">
      <c r="C3686" t="s">
        <v>6139</v>
      </c>
    </row>
    <row r="3687" spans="2:4">
      <c r="C3687" t="s">
        <v>6140</v>
      </c>
    </row>
    <row r="3688" spans="2:4">
      <c r="C3688" t="s">
        <v>6141</v>
      </c>
    </row>
    <row r="3691" spans="2:4">
      <c r="B3691" t="s">
        <v>564</v>
      </c>
      <c r="C3691" s="644">
        <v>44621</v>
      </c>
      <c r="D3691" t="s">
        <v>6166</v>
      </c>
    </row>
    <row r="3692" spans="2:4">
      <c r="B3692" t="s">
        <v>6167</v>
      </c>
      <c r="D3692" s="5" t="s">
        <v>6168</v>
      </c>
    </row>
    <row r="3693" spans="2:4">
      <c r="C3693" s="644">
        <v>44652</v>
      </c>
    </row>
    <row r="3695" spans="2:4">
      <c r="C3695" s="644">
        <v>44682</v>
      </c>
      <c r="D3695" t="s">
        <v>6169</v>
      </c>
    </row>
    <row r="3697" spans="2:7">
      <c r="B3697" s="513" t="s">
        <v>6171</v>
      </c>
    </row>
    <row r="3699" spans="2:7">
      <c r="B3699" t="s">
        <v>377</v>
      </c>
      <c r="C3699" t="s">
        <v>6170</v>
      </c>
    </row>
    <row r="3700" spans="2:7">
      <c r="D3700" t="s">
        <v>331</v>
      </c>
      <c r="E3700">
        <v>200</v>
      </c>
    </row>
    <row r="3701" spans="2:7">
      <c r="D3701" t="s">
        <v>6178</v>
      </c>
      <c r="E3701">
        <v>5</v>
      </c>
    </row>
    <row r="3702" spans="2:7">
      <c r="D3702" t="s">
        <v>1486</v>
      </c>
      <c r="E3702">
        <f>E3700/E3701</f>
        <v>40</v>
      </c>
      <c r="G3702" t="s">
        <v>6179</v>
      </c>
    </row>
    <row r="3703" spans="2:7">
      <c r="C3703" t="s">
        <v>6180</v>
      </c>
    </row>
    <row r="3708" spans="2:7">
      <c r="B3708" t="s">
        <v>468</v>
      </c>
      <c r="C3708" t="s">
        <v>6172</v>
      </c>
    </row>
    <row r="3709" spans="2:7">
      <c r="C3709" t="s">
        <v>6173</v>
      </c>
    </row>
    <row r="3710" spans="2:7">
      <c r="B3710" t="s">
        <v>6174</v>
      </c>
      <c r="C3710" t="s">
        <v>6175</v>
      </c>
    </row>
    <row r="3711" spans="2:7">
      <c r="B3711" t="s">
        <v>29</v>
      </c>
      <c r="C3711" t="s">
        <v>6176</v>
      </c>
    </row>
    <row r="3712" spans="2:7">
      <c r="C3712" t="s">
        <v>6177</v>
      </c>
    </row>
    <row r="3713" spans="2:3">
      <c r="B3713" t="s">
        <v>6181</v>
      </c>
    </row>
    <row r="3714" spans="2:3">
      <c r="C3714" t="s">
        <v>6195</v>
      </c>
    </row>
    <row r="3715" spans="2:3">
      <c r="C3715" t="s">
        <v>6196</v>
      </c>
    </row>
    <row r="3716" spans="2:3">
      <c r="B3716" t="s">
        <v>6182</v>
      </c>
    </row>
    <row r="3717" spans="2:3">
      <c r="C3717" t="s">
        <v>6183</v>
      </c>
    </row>
    <row r="3718" spans="2:3">
      <c r="B3718" t="s">
        <v>6184</v>
      </c>
    </row>
    <row r="3719" spans="2:3">
      <c r="C3719" t="s">
        <v>1415</v>
      </c>
    </row>
    <row r="3720" spans="2:3">
      <c r="B3720" t="s">
        <v>6185</v>
      </c>
    </row>
    <row r="3722" spans="2:3">
      <c r="B3722" s="513" t="s">
        <v>428</v>
      </c>
    </row>
    <row r="3724" spans="2:3">
      <c r="B3724" t="s">
        <v>6186</v>
      </c>
    </row>
    <row r="3725" spans="2:3">
      <c r="B3725" t="s">
        <v>6187</v>
      </c>
    </row>
    <row r="3727" spans="2:3">
      <c r="B3727" t="s">
        <v>6190</v>
      </c>
      <c r="C3727" s="488" t="s">
        <v>6188</v>
      </c>
    </row>
    <row r="3728" spans="2:3">
      <c r="C3728" t="s">
        <v>6189</v>
      </c>
    </row>
    <row r="3729" spans="2:4">
      <c r="B3729" t="s">
        <v>32</v>
      </c>
    </row>
    <row r="3730" spans="2:4">
      <c r="C3730" t="s">
        <v>6197</v>
      </c>
    </row>
    <row r="3731" spans="2:4">
      <c r="C3731" t="s">
        <v>6198</v>
      </c>
    </row>
    <row r="3732" spans="2:4">
      <c r="D3732" t="s">
        <v>6199</v>
      </c>
    </row>
    <row r="3733" spans="2:4">
      <c r="D3733" t="s">
        <v>6200</v>
      </c>
    </row>
    <row r="3734" spans="2:4">
      <c r="D3734" t="s">
        <v>6201</v>
      </c>
    </row>
    <row r="3735" spans="2:4">
      <c r="B3735" t="s">
        <v>6190</v>
      </c>
      <c r="C3735" t="s">
        <v>6191</v>
      </c>
    </row>
    <row r="3736" spans="2:4">
      <c r="C3736" t="s">
        <v>6192</v>
      </c>
    </row>
    <row r="3737" spans="2:4">
      <c r="C3737" t="s">
        <v>6193</v>
      </c>
    </row>
    <row r="3738" spans="2:4">
      <c r="C3738" t="s">
        <v>6194</v>
      </c>
    </row>
    <row r="3739" spans="2:4">
      <c r="B3739" t="s">
        <v>6202</v>
      </c>
    </row>
    <row r="3740" spans="2:4">
      <c r="C3740" t="s">
        <v>6203</v>
      </c>
    </row>
    <row r="3742" spans="2:4">
      <c r="B3742" s="513" t="s">
        <v>6234</v>
      </c>
    </row>
    <row r="3744" spans="2:4">
      <c r="B3744" t="s">
        <v>6235</v>
      </c>
      <c r="C3744" t="s">
        <v>6250</v>
      </c>
    </row>
    <row r="3745" spans="2:6">
      <c r="C3745" t="s">
        <v>6251</v>
      </c>
    </row>
    <row r="3746" spans="2:6">
      <c r="E3746" s="3" t="s">
        <v>6252</v>
      </c>
      <c r="F3746" s="3" t="s">
        <v>2002</v>
      </c>
    </row>
    <row r="3747" spans="2:6">
      <c r="E3747" t="s">
        <v>6243</v>
      </c>
      <c r="F3747" t="s">
        <v>6244</v>
      </c>
    </row>
    <row r="3748" spans="2:6">
      <c r="E3748" t="s">
        <v>5058</v>
      </c>
    </row>
    <row r="3749" spans="2:6">
      <c r="E3749" s="80" t="s">
        <v>6255</v>
      </c>
    </row>
    <row r="3750" spans="2:6">
      <c r="E3750" s="80" t="s">
        <v>6253</v>
      </c>
    </row>
    <row r="3751" spans="2:6">
      <c r="E3751" s="80" t="s">
        <v>6254</v>
      </c>
    </row>
    <row r="3752" spans="2:6">
      <c r="E3752" s="80"/>
    </row>
    <row r="3753" spans="2:6">
      <c r="B3753" t="s">
        <v>6236</v>
      </c>
    </row>
    <row r="3754" spans="2:6">
      <c r="C3754" s="13" t="s">
        <v>6237</v>
      </c>
    </row>
    <row r="3755" spans="2:6">
      <c r="C3755" t="s">
        <v>6238</v>
      </c>
    </row>
    <row r="3756" spans="2:6">
      <c r="B3756" t="s">
        <v>6239</v>
      </c>
    </row>
    <row r="3757" spans="2:6">
      <c r="B3757" t="s">
        <v>6240</v>
      </c>
    </row>
    <row r="3759" spans="2:6">
      <c r="B3759" t="s">
        <v>6241</v>
      </c>
    </row>
    <row r="3760" spans="2:6">
      <c r="C3760" t="s">
        <v>3065</v>
      </c>
    </row>
    <row r="3761" spans="2:6">
      <c r="B3761" t="s">
        <v>6242</v>
      </c>
      <c r="E3761" s="80" t="s">
        <v>4049</v>
      </c>
    </row>
    <row r="3762" spans="2:6">
      <c r="E3762" s="1269">
        <v>44713</v>
      </c>
    </row>
    <row r="3763" spans="2:6">
      <c r="B3763" t="s">
        <v>6243</v>
      </c>
      <c r="C3763" s="84">
        <v>2028</v>
      </c>
      <c r="D3763">
        <v>67</v>
      </c>
      <c r="E3763">
        <v>379</v>
      </c>
      <c r="F3763" s="489">
        <v>5.1299999999999998E-2</v>
      </c>
    </row>
    <row r="3764" spans="2:6">
      <c r="C3764" s="84">
        <v>2029</v>
      </c>
      <c r="D3764">
        <v>60</v>
      </c>
      <c r="E3764">
        <v>444</v>
      </c>
      <c r="F3764" s="489">
        <v>4.3799999999999999E-2</v>
      </c>
    </row>
    <row r="3765" spans="2:6">
      <c r="B3765" t="s">
        <v>6244</v>
      </c>
      <c r="C3765" s="84">
        <v>2028</v>
      </c>
      <c r="D3765">
        <v>43</v>
      </c>
      <c r="E3765">
        <v>509</v>
      </c>
      <c r="F3765" s="489">
        <v>6.3799999999999996E-2</v>
      </c>
    </row>
    <row r="3766" spans="2:6">
      <c r="B3766" s="3" t="s">
        <v>6263</v>
      </c>
      <c r="C3766" s="83"/>
      <c r="D3766" s="3"/>
      <c r="E3766" s="3">
        <v>70</v>
      </c>
      <c r="F3766" s="1270">
        <v>7.9699999999999993E-2</v>
      </c>
    </row>
    <row r="3767" spans="2:6">
      <c r="E3767">
        <f>SUM(E3763:E3766)</f>
        <v>1402</v>
      </c>
      <c r="F3767" s="489">
        <v>5.5199999999999999E-2</v>
      </c>
    </row>
    <row r="3768" spans="2:6">
      <c r="B3768" t="s">
        <v>6264</v>
      </c>
      <c r="E3768">
        <v>19.399999999999999</v>
      </c>
      <c r="F3768" s="489"/>
    </row>
    <row r="3769" spans="2:6">
      <c r="B3769" s="3" t="s">
        <v>707</v>
      </c>
      <c r="C3769" s="3"/>
      <c r="D3769" s="3"/>
      <c r="E3769" s="64">
        <v>62.4</v>
      </c>
    </row>
    <row r="3770" spans="2:6">
      <c r="B3770" t="s">
        <v>115</v>
      </c>
      <c r="E3770" s="16">
        <f>E3767-E3768-E3769</f>
        <v>1320.1999999999998</v>
      </c>
    </row>
    <row r="3772" spans="2:6">
      <c r="B3772" s="3" t="s">
        <v>6314</v>
      </c>
      <c r="C3772" s="3"/>
      <c r="D3772" s="3"/>
      <c r="E3772" s="64">
        <f>292.5-20</f>
        <v>272.5</v>
      </c>
    </row>
    <row r="3773" spans="2:6">
      <c r="B3773" t="s">
        <v>115</v>
      </c>
      <c r="E3773" s="16">
        <f>E3770-E3772</f>
        <v>1047.6999999999998</v>
      </c>
    </row>
    <row r="3775" spans="2:6">
      <c r="B3775" t="s">
        <v>6266</v>
      </c>
      <c r="C3775" t="s">
        <v>6265</v>
      </c>
    </row>
    <row r="3777" spans="2:4">
      <c r="B3777" t="s">
        <v>6245</v>
      </c>
    </row>
    <row r="3778" spans="2:4">
      <c r="C3778" t="s">
        <v>6246</v>
      </c>
    </row>
    <row r="3779" spans="2:4">
      <c r="C3779" t="s">
        <v>6247</v>
      </c>
    </row>
    <row r="3780" spans="2:4">
      <c r="C3780" t="s">
        <v>6248</v>
      </c>
    </row>
    <row r="3781" spans="2:4">
      <c r="D3781" t="s">
        <v>6249</v>
      </c>
    </row>
    <row r="3782" spans="2:4">
      <c r="B3782" t="s">
        <v>6256</v>
      </c>
    </row>
    <row r="3783" spans="2:4">
      <c r="C3783" t="s">
        <v>6257</v>
      </c>
    </row>
    <row r="3784" spans="2:4">
      <c r="C3784" t="s">
        <v>6258</v>
      </c>
    </row>
    <row r="3785" spans="2:4">
      <c r="C3785" t="s">
        <v>6259</v>
      </c>
    </row>
    <row r="3786" spans="2:4">
      <c r="B3786" t="s">
        <v>6260</v>
      </c>
    </row>
    <row r="3787" spans="2:4">
      <c r="C3787" t="s">
        <v>6261</v>
      </c>
    </row>
    <row r="3788" spans="2:4">
      <c r="C3788" t="s">
        <v>6262</v>
      </c>
    </row>
    <row r="3790" spans="2:4">
      <c r="B3790" s="513" t="s">
        <v>6330</v>
      </c>
    </row>
    <row r="3792" spans="2:4">
      <c r="B3792" t="s">
        <v>6331</v>
      </c>
    </row>
    <row r="3793" spans="2:3">
      <c r="B3793" t="s">
        <v>6332</v>
      </c>
    </row>
    <row r="3795" spans="2:3">
      <c r="B3795" t="s">
        <v>5803</v>
      </c>
    </row>
    <row r="3796" spans="2:3">
      <c r="C3796" t="s">
        <v>6335</v>
      </c>
    </row>
    <row r="3797" spans="2:3">
      <c r="C3797" t="s">
        <v>6333</v>
      </c>
    </row>
    <row r="3798" spans="2:3">
      <c r="C3798" t="s">
        <v>6334</v>
      </c>
    </row>
    <row r="3800" spans="2:3">
      <c r="B3800" t="s">
        <v>6336</v>
      </c>
    </row>
    <row r="3801" spans="2:3">
      <c r="B3801" t="s">
        <v>6337</v>
      </c>
    </row>
    <row r="3802" spans="2:3">
      <c r="B3802" t="s">
        <v>6338</v>
      </c>
    </row>
    <row r="3803" spans="2:3">
      <c r="B3803" t="s">
        <v>6339</v>
      </c>
    </row>
    <row r="3805" spans="2:3">
      <c r="B3805" t="s">
        <v>6342</v>
      </c>
    </row>
    <row r="3806" spans="2:3">
      <c r="B3806" t="s">
        <v>6340</v>
      </c>
    </row>
    <row r="3807" spans="2:3">
      <c r="B3807" t="s">
        <v>6341</v>
      </c>
    </row>
    <row r="3808" spans="2:3">
      <c r="B3808" t="s">
        <v>6343</v>
      </c>
    </row>
    <row r="3810" spans="2:4">
      <c r="B3810" t="s">
        <v>6344</v>
      </c>
    </row>
    <row r="3811" spans="2:4">
      <c r="B3811" t="s">
        <v>6345</v>
      </c>
    </row>
    <row r="3812" spans="2:4">
      <c r="C3812" t="s">
        <v>6346</v>
      </c>
    </row>
    <row r="3813" spans="2:4">
      <c r="B3813" t="s">
        <v>6347</v>
      </c>
    </row>
    <row r="3814" spans="2:4">
      <c r="C3814" t="s">
        <v>5808</v>
      </c>
      <c r="D3814" t="s">
        <v>6348</v>
      </c>
    </row>
    <row r="3815" spans="2:4">
      <c r="B3815" t="s">
        <v>6349</v>
      </c>
    </row>
    <row r="3817" spans="2:4">
      <c r="B3817" t="s">
        <v>6351</v>
      </c>
    </row>
    <row r="3818" spans="2:4">
      <c r="B3818" t="s">
        <v>6350</v>
      </c>
    </row>
    <row r="3819" spans="2:4">
      <c r="B3819" t="s">
        <v>19</v>
      </c>
    </row>
    <row r="3820" spans="2:4">
      <c r="C3820" t="s">
        <v>6352</v>
      </c>
    </row>
    <row r="3821" spans="2:4">
      <c r="B3821" t="s">
        <v>6353</v>
      </c>
    </row>
    <row r="3822" spans="2:4">
      <c r="C3822" t="s">
        <v>6354</v>
      </c>
    </row>
    <row r="3823" spans="2:4">
      <c r="C3823" t="s">
        <v>6355</v>
      </c>
    </row>
    <row r="3824" spans="2:4">
      <c r="C3824" t="s">
        <v>6356</v>
      </c>
    </row>
    <row r="3825" spans="2:4">
      <c r="C3825" t="s">
        <v>6360</v>
      </c>
    </row>
    <row r="3826" spans="2:4">
      <c r="B3826" t="s">
        <v>6357</v>
      </c>
    </row>
    <row r="3827" spans="2:4">
      <c r="C3827" t="s">
        <v>6358</v>
      </c>
    </row>
    <row r="3828" spans="2:4">
      <c r="C3828" t="s">
        <v>6359</v>
      </c>
    </row>
    <row r="3829" spans="2:4">
      <c r="B3829" t="s">
        <v>6361</v>
      </c>
    </row>
    <row r="3830" spans="2:4">
      <c r="C3830" t="s">
        <v>6362</v>
      </c>
    </row>
    <row r="3831" spans="2:4">
      <c r="C3831" t="s">
        <v>6363</v>
      </c>
    </row>
    <row r="3832" spans="2:4">
      <c r="C3832" t="s">
        <v>6364</v>
      </c>
    </row>
    <row r="3833" spans="2:4">
      <c r="B3833" t="s">
        <v>6365</v>
      </c>
    </row>
    <row r="3834" spans="2:4">
      <c r="C3834" t="s">
        <v>6366</v>
      </c>
    </row>
    <row r="3835" spans="2:4">
      <c r="C3835" t="s">
        <v>6367</v>
      </c>
    </row>
    <row r="3836" spans="2:4">
      <c r="C3836" t="s">
        <v>6368</v>
      </c>
    </row>
    <row r="3837" spans="2:4">
      <c r="D3837" t="s">
        <v>6369</v>
      </c>
    </row>
    <row r="3838" spans="2:4">
      <c r="D3838" t="s">
        <v>6370</v>
      </c>
    </row>
    <row r="3839" spans="2:4">
      <c r="D3839" t="s">
        <v>6371</v>
      </c>
    </row>
    <row r="3840" spans="2:4">
      <c r="D3840" t="s">
        <v>6372</v>
      </c>
    </row>
    <row r="3841" spans="2:4">
      <c r="B3841" t="s">
        <v>6373</v>
      </c>
    </row>
    <row r="3842" spans="2:4">
      <c r="B3842" t="s">
        <v>6374</v>
      </c>
    </row>
    <row r="3843" spans="2:4">
      <c r="C3843" t="s">
        <v>6375</v>
      </c>
    </row>
    <row r="3844" spans="2:4">
      <c r="B3844" t="s">
        <v>5835</v>
      </c>
    </row>
    <row r="3845" spans="2:4">
      <c r="C3845" t="s">
        <v>6376</v>
      </c>
    </row>
    <row r="3846" spans="2:4">
      <c r="C3846" t="s">
        <v>6377</v>
      </c>
    </row>
    <row r="3847" spans="2:4">
      <c r="D3847" t="s">
        <v>6378</v>
      </c>
    </row>
    <row r="3848" spans="2:4">
      <c r="B3848" t="s">
        <v>6379</v>
      </c>
    </row>
    <row r="3849" spans="2:4">
      <c r="C3849" t="s">
        <v>6380</v>
      </c>
    </row>
    <row r="3850" spans="2:4">
      <c r="C3850" t="s">
        <v>6381</v>
      </c>
    </row>
    <row r="3851" spans="2:4">
      <c r="B3851" t="s">
        <v>5758</v>
      </c>
    </row>
    <row r="3852" spans="2:4">
      <c r="C3852" t="s">
        <v>6382</v>
      </c>
    </row>
    <row r="3853" spans="2:4">
      <c r="B3853" t="s">
        <v>6383</v>
      </c>
    </row>
    <row r="3855" spans="2:4">
      <c r="B3855" s="12" t="s">
        <v>984</v>
      </c>
    </row>
    <row r="3856" spans="2:4">
      <c r="B3856" t="s">
        <v>6384</v>
      </c>
    </row>
    <row r="3857" spans="2:4">
      <c r="C3857" t="s">
        <v>6385</v>
      </c>
    </row>
    <row r="3858" spans="2:4">
      <c r="B3858" t="s">
        <v>6386</v>
      </c>
    </row>
    <row r="3859" spans="2:4">
      <c r="C3859" t="s">
        <v>6387</v>
      </c>
    </row>
    <row r="3860" spans="2:4">
      <c r="C3860" t="s">
        <v>6388</v>
      </c>
    </row>
    <row r="3861" spans="2:4">
      <c r="C3861" t="s">
        <v>6389</v>
      </c>
    </row>
    <row r="3862" spans="2:4">
      <c r="B3862" s="12" t="s">
        <v>6390</v>
      </c>
    </row>
    <row r="3863" spans="2:4">
      <c r="C3863" t="s">
        <v>6391</v>
      </c>
    </row>
    <row r="3864" spans="2:4">
      <c r="B3864" s="12" t="s">
        <v>3411</v>
      </c>
    </row>
    <row r="3865" spans="2:4">
      <c r="C3865" t="s">
        <v>6392</v>
      </c>
    </row>
    <row r="3866" spans="2:4">
      <c r="D3866" t="s">
        <v>6393</v>
      </c>
    </row>
    <row r="3867" spans="2:4">
      <c r="D3867" t="s">
        <v>6394</v>
      </c>
    </row>
    <row r="3868" spans="2:4">
      <c r="B3868" s="12" t="s">
        <v>0</v>
      </c>
    </row>
    <row r="3869" spans="2:4">
      <c r="C3869" t="s">
        <v>6395</v>
      </c>
    </row>
    <row r="3870" spans="2:4">
      <c r="D3870" t="s">
        <v>6396</v>
      </c>
    </row>
    <row r="3871" spans="2:4">
      <c r="D3871" t="s">
        <v>6397</v>
      </c>
    </row>
    <row r="3872" spans="2:4">
      <c r="D3872" t="s">
        <v>6398</v>
      </c>
    </row>
    <row r="3873" spans="2:3">
      <c r="C3873" t="s">
        <v>6399</v>
      </c>
    </row>
    <row r="3874" spans="2:3">
      <c r="B3874" s="12" t="s">
        <v>6400</v>
      </c>
    </row>
    <row r="3875" spans="2:3">
      <c r="C3875" t="s">
        <v>6401</v>
      </c>
    </row>
    <row r="3876" spans="2:3">
      <c r="B3876" s="12" t="s">
        <v>6402</v>
      </c>
    </row>
    <row r="3878" spans="2:3">
      <c r="B3878" s="12" t="s">
        <v>2933</v>
      </c>
    </row>
    <row r="3879" spans="2:3">
      <c r="C3879" t="s">
        <v>6403</v>
      </c>
    </row>
    <row r="3880" spans="2:3">
      <c r="B3880" s="12" t="s">
        <v>6405</v>
      </c>
    </row>
    <row r="3881" spans="2:3">
      <c r="C3881" t="s">
        <v>6404</v>
      </c>
    </row>
    <row r="3882" spans="2:3">
      <c r="C3882" t="s">
        <v>6406</v>
      </c>
    </row>
    <row r="3883" spans="2:3">
      <c r="C3883" t="s">
        <v>6407</v>
      </c>
    </row>
    <row r="3884" spans="2:3">
      <c r="B3884" s="12" t="s">
        <v>6408</v>
      </c>
    </row>
    <row r="3885" spans="2:3">
      <c r="C3885" t="s">
        <v>6409</v>
      </c>
    </row>
    <row r="3886" spans="2:3">
      <c r="B3886" s="12" t="s">
        <v>6410</v>
      </c>
    </row>
    <row r="3887" spans="2:3">
      <c r="C3887" t="s">
        <v>399</v>
      </c>
    </row>
    <row r="3888" spans="2:3">
      <c r="C3888" t="s">
        <v>6411</v>
      </c>
    </row>
    <row r="3889" spans="2:4">
      <c r="B3889" s="12" t="s">
        <v>6412</v>
      </c>
    </row>
    <row r="3890" spans="2:4">
      <c r="C3890" t="s">
        <v>6413</v>
      </c>
    </row>
    <row r="3891" spans="2:4">
      <c r="C3891" t="s">
        <v>6414</v>
      </c>
    </row>
    <row r="3892" spans="2:4">
      <c r="C3892" t="s">
        <v>6415</v>
      </c>
    </row>
    <row r="3894" spans="2:4">
      <c r="B3894" s="1336" t="s">
        <v>6449</v>
      </c>
      <c r="C3894" s="1203"/>
      <c r="D3894" s="1203"/>
    </row>
    <row r="3895" spans="2:4">
      <c r="B3895" s="1203"/>
      <c r="C3895" s="1203"/>
      <c r="D3895" s="1203"/>
    </row>
    <row r="3896" spans="2:4">
      <c r="B3896" s="1355" t="s">
        <v>4588</v>
      </c>
      <c r="C3896" s="1203"/>
      <c r="D3896" s="1203"/>
    </row>
    <row r="3897" spans="2:4">
      <c r="B3897" s="1356" t="s">
        <v>6423</v>
      </c>
      <c r="C3897" s="1203"/>
      <c r="D3897" s="1203"/>
    </row>
    <row r="3898" spans="2:4">
      <c r="B3898" s="1357" t="s">
        <v>6424</v>
      </c>
      <c r="C3898" s="1203"/>
      <c r="D3898" s="1203"/>
    </row>
    <row r="3899" spans="2:4">
      <c r="B3899" s="1356" t="s">
        <v>6425</v>
      </c>
      <c r="C3899" s="1203"/>
      <c r="D3899" s="1203"/>
    </row>
    <row r="3900" spans="2:4">
      <c r="B3900" s="1356" t="s">
        <v>6426</v>
      </c>
      <c r="C3900" s="1203"/>
      <c r="D3900" s="1203"/>
    </row>
    <row r="3901" spans="2:4">
      <c r="B3901" s="1356" t="s">
        <v>6427</v>
      </c>
      <c r="C3901" s="1203"/>
      <c r="D3901" s="1203"/>
    </row>
    <row r="3902" spans="2:4">
      <c r="B3902" s="1356" t="s">
        <v>6428</v>
      </c>
      <c r="C3902" s="1203"/>
      <c r="D3902" s="1203"/>
    </row>
    <row r="3903" spans="2:4">
      <c r="B3903" s="1356" t="s">
        <v>6429</v>
      </c>
      <c r="C3903" s="1203"/>
      <c r="D3903" s="1203"/>
    </row>
    <row r="3904" spans="2:4">
      <c r="B3904" s="1355" t="s">
        <v>469</v>
      </c>
      <c r="C3904" s="1203"/>
      <c r="D3904" s="1203"/>
    </row>
    <row r="3905" spans="2:12">
      <c r="B3905" s="1356" t="s">
        <v>6430</v>
      </c>
      <c r="C3905" s="1203"/>
      <c r="D3905" s="1203"/>
    </row>
    <row r="3906" spans="2:12">
      <c r="B3906" s="1357" t="s">
        <v>6431</v>
      </c>
      <c r="C3906" s="1203"/>
      <c r="D3906" s="1203"/>
    </row>
    <row r="3907" spans="2:12">
      <c r="B3907" s="1357" t="s">
        <v>6432</v>
      </c>
      <c r="C3907" s="1203"/>
      <c r="D3907" s="1203"/>
    </row>
    <row r="3908" spans="2:12">
      <c r="B3908" s="1355" t="s">
        <v>0</v>
      </c>
      <c r="C3908" s="1203"/>
      <c r="D3908" s="1203"/>
    </row>
    <row r="3909" spans="2:12">
      <c r="B3909" s="1355" t="s">
        <v>4883</v>
      </c>
      <c r="C3909" s="1203"/>
      <c r="D3909" s="1203"/>
    </row>
    <row r="3910" spans="2:12">
      <c r="B3910" s="1356" t="s">
        <v>6433</v>
      </c>
      <c r="C3910" s="1203"/>
      <c r="D3910" s="1203"/>
    </row>
    <row r="3911" spans="2:12">
      <c r="B3911" s="1356" t="s">
        <v>6434</v>
      </c>
      <c r="C3911" s="1203"/>
      <c r="D3911" s="1203"/>
    </row>
    <row r="3912" spans="2:12">
      <c r="B3912" s="1356" t="s">
        <v>6435</v>
      </c>
      <c r="C3912" s="1203"/>
      <c r="D3912" s="1203"/>
    </row>
    <row r="3913" spans="2:12">
      <c r="B3913" s="1356" t="s">
        <v>6436</v>
      </c>
      <c r="C3913" s="1203"/>
      <c r="D3913" s="1203"/>
    </row>
    <row r="3914" spans="2:12">
      <c r="B3914" s="1356" t="s">
        <v>6437</v>
      </c>
      <c r="C3914" s="1203"/>
      <c r="D3914" s="1203"/>
    </row>
    <row r="3915" spans="2:12">
      <c r="B3915" s="1356" t="s">
        <v>6438</v>
      </c>
      <c r="C3915" s="1203"/>
      <c r="D3915" s="1203"/>
    </row>
    <row r="3916" spans="2:12">
      <c r="B3916" s="1357" t="s">
        <v>4883</v>
      </c>
      <c r="C3916" s="1203"/>
      <c r="D3916" s="1203"/>
    </row>
    <row r="3917" spans="2:12">
      <c r="B3917" s="1357" t="s">
        <v>6439</v>
      </c>
      <c r="C3917" s="1203"/>
      <c r="D3917" s="1203"/>
    </row>
    <row r="3918" spans="2:12">
      <c r="B3918" s="1355" t="s">
        <v>2412</v>
      </c>
      <c r="C3918" s="1203"/>
      <c r="D3918" s="1203"/>
    </row>
    <row r="3919" spans="2:12">
      <c r="B3919" s="1356" t="s">
        <v>6440</v>
      </c>
      <c r="C3919" s="1203"/>
      <c r="D3919" s="1203"/>
    </row>
    <row r="3920" spans="2:12">
      <c r="B3920" s="1356" t="s">
        <v>6441</v>
      </c>
      <c r="C3920" s="1203"/>
      <c r="D3920" s="1203"/>
      <c r="L3920" t="s">
        <v>6481</v>
      </c>
    </row>
    <row r="3921" spans="1:4">
      <c r="B3921" s="1356" t="s">
        <v>6442</v>
      </c>
      <c r="C3921" s="1203"/>
      <c r="D3921" s="1203"/>
    </row>
    <row r="3922" spans="1:4">
      <c r="B3922" s="1356" t="s">
        <v>6443</v>
      </c>
      <c r="C3922" s="1203"/>
      <c r="D3922" s="1203"/>
    </row>
    <row r="3923" spans="1:4">
      <c r="B3923" s="1355" t="s">
        <v>2639</v>
      </c>
      <c r="C3923" s="1203"/>
      <c r="D3923" s="1203"/>
    </row>
    <row r="3924" spans="1:4">
      <c r="B3924" s="1356" t="s">
        <v>6444</v>
      </c>
      <c r="C3924" s="1203"/>
      <c r="D3924" s="1203"/>
    </row>
    <row r="3925" spans="1:4">
      <c r="B3925" s="1355" t="s">
        <v>6445</v>
      </c>
      <c r="C3925" s="1203"/>
      <c r="D3925" s="1203"/>
    </row>
    <row r="3926" spans="1:4">
      <c r="B3926" s="1356" t="s">
        <v>2933</v>
      </c>
      <c r="C3926" s="1203"/>
      <c r="D3926" s="1203"/>
    </row>
    <row r="3927" spans="1:4">
      <c r="B3927" s="1356" t="s">
        <v>6446</v>
      </c>
      <c r="C3927" s="1203"/>
      <c r="D3927" s="1203"/>
    </row>
    <row r="3928" spans="1:4">
      <c r="B3928" s="1356" t="s">
        <v>219</v>
      </c>
      <c r="C3928" s="1203"/>
      <c r="D3928" s="1203"/>
    </row>
    <row r="3929" spans="1:4">
      <c r="B3929" s="1356" t="s">
        <v>6447</v>
      </c>
      <c r="C3929" s="1203"/>
      <c r="D3929" s="1203"/>
    </row>
    <row r="3930" spans="1:4">
      <c r="B3930" s="1356" t="s">
        <v>6448</v>
      </c>
      <c r="C3930" s="1203"/>
      <c r="D3930" s="1203"/>
    </row>
    <row r="3932" spans="1:4">
      <c r="B3932" s="1336" t="s">
        <v>5951</v>
      </c>
    </row>
    <row r="3934" spans="1:4">
      <c r="A3934" s="1355" t="s">
        <v>984</v>
      </c>
      <c r="B3934" s="1355" t="s">
        <v>6476</v>
      </c>
    </row>
    <row r="3935" spans="1:4">
      <c r="B3935" s="1355" t="s">
        <v>6474</v>
      </c>
    </row>
    <row r="3936" spans="1:4">
      <c r="B3936" s="1355" t="s">
        <v>6475</v>
      </c>
    </row>
    <row r="3937" spans="1:6">
      <c r="B3937" s="1355" t="s">
        <v>6473</v>
      </c>
    </row>
    <row r="3938" spans="1:6">
      <c r="A3938" s="1355" t="s">
        <v>377</v>
      </c>
      <c r="B3938" s="1355" t="s">
        <v>6480</v>
      </c>
    </row>
    <row r="3939" spans="1:6">
      <c r="B3939" s="1355" t="s">
        <v>52</v>
      </c>
    </row>
    <row r="3940" spans="1:6">
      <c r="B3940" s="1355" t="s">
        <v>6477</v>
      </c>
    </row>
    <row r="3942" spans="1:6">
      <c r="B3942" s="1375" t="s">
        <v>6478</v>
      </c>
    </row>
    <row r="3943" spans="1:6">
      <c r="B3943" s="1355" t="s">
        <v>6479</v>
      </c>
    </row>
    <row r="3945" spans="1:6">
      <c r="B3945" s="1355" t="s">
        <v>377</v>
      </c>
    </row>
    <row r="3946" spans="1:6">
      <c r="B3946" s="1355" t="s">
        <v>6482</v>
      </c>
    </row>
    <row r="3947" spans="1:6">
      <c r="B3947" s="1355" t="s">
        <v>6483</v>
      </c>
    </row>
    <row r="3948" spans="1:6">
      <c r="A3948" s="1203"/>
      <c r="B3948" s="1203"/>
      <c r="C3948" s="1203"/>
      <c r="D3948" s="1203"/>
      <c r="E3948" s="1203"/>
      <c r="F3948" s="1203"/>
    </row>
    <row r="3949" spans="1:6">
      <c r="A3949" s="1203"/>
      <c r="B3949" s="1355" t="s">
        <v>52</v>
      </c>
      <c r="C3949" s="1203"/>
      <c r="D3949" s="1203"/>
      <c r="E3949" s="1203"/>
      <c r="F3949" s="1203"/>
    </row>
    <row r="3950" spans="1:6">
      <c r="A3950" s="1203"/>
      <c r="B3950" s="1203"/>
      <c r="C3950" s="1355" t="s">
        <v>6484</v>
      </c>
      <c r="D3950" s="1203"/>
      <c r="E3950" s="1203"/>
      <c r="F3950" s="1203"/>
    </row>
    <row r="3951" spans="1:6">
      <c r="A3951" s="1203"/>
      <c r="B3951" s="1203"/>
      <c r="C3951" s="1355" t="s">
        <v>6485</v>
      </c>
      <c r="D3951" s="1203"/>
      <c r="E3951" s="1203"/>
      <c r="F3951" s="1203"/>
    </row>
    <row r="3952" spans="1:6">
      <c r="A3952" s="1203"/>
      <c r="B3952" s="1203"/>
      <c r="C3952" s="1355" t="s">
        <v>6486</v>
      </c>
      <c r="D3952" s="1203"/>
      <c r="E3952" s="1203"/>
      <c r="F3952" s="1203"/>
    </row>
    <row r="3953" spans="1:6">
      <c r="A3953" s="1203"/>
      <c r="B3953" s="1203"/>
      <c r="C3953" s="1203" t="s">
        <v>6487</v>
      </c>
      <c r="D3953" s="1203"/>
      <c r="E3953" s="1203"/>
      <c r="F3953" s="1203"/>
    </row>
    <row r="3954" spans="1:6">
      <c r="A3954" s="1203"/>
      <c r="B3954" s="1203" t="s">
        <v>6488</v>
      </c>
      <c r="C3954" s="1203"/>
      <c r="D3954" s="1203"/>
      <c r="E3954" s="1203"/>
      <c r="F3954" s="1203"/>
    </row>
    <row r="3955" spans="1:6">
      <c r="A3955" s="1203"/>
      <c r="B3955" s="1203" t="s">
        <v>6489</v>
      </c>
      <c r="C3955" s="1203"/>
      <c r="D3955" s="1203"/>
      <c r="E3955" s="1203"/>
      <c r="F3955" s="1203"/>
    </row>
    <row r="3956" spans="1:6">
      <c r="A3956" s="1203"/>
      <c r="B3956" s="1203"/>
      <c r="C3956" s="1203"/>
      <c r="D3956" s="1203"/>
      <c r="E3956" s="1203"/>
      <c r="F3956" s="1203"/>
    </row>
    <row r="3957" spans="1:6">
      <c r="A3957" s="1203"/>
      <c r="B3957" s="1203" t="s">
        <v>5658</v>
      </c>
      <c r="C3957" s="1203"/>
      <c r="D3957" s="1203"/>
      <c r="E3957" s="1203"/>
      <c r="F3957" s="1203"/>
    </row>
    <row r="3958" spans="1:6">
      <c r="A3958" s="1203"/>
      <c r="B3958" s="1203"/>
      <c r="C3958" s="1203" t="s">
        <v>6490</v>
      </c>
      <c r="D3958" s="1203"/>
      <c r="E3958" s="1203"/>
      <c r="F3958" s="1203"/>
    </row>
    <row r="3959" spans="1:6">
      <c r="A3959" s="1203"/>
      <c r="B3959" s="1203"/>
      <c r="C3959" s="1203" t="s">
        <v>6491</v>
      </c>
      <c r="D3959" s="1203"/>
      <c r="E3959" s="1203"/>
      <c r="F3959" s="1203"/>
    </row>
    <row r="3960" spans="1:6">
      <c r="A3960" s="1203"/>
      <c r="B3960" s="1203"/>
      <c r="C3960" s="1203"/>
      <c r="D3960" s="1203" t="s">
        <v>6492</v>
      </c>
      <c r="E3960" s="1203"/>
      <c r="F3960" s="1203"/>
    </row>
    <row r="3961" spans="1:6">
      <c r="A3961" s="1203"/>
      <c r="B3961" s="1203"/>
      <c r="C3961" s="1203"/>
      <c r="D3961" s="1203" t="s">
        <v>6493</v>
      </c>
      <c r="E3961" s="1203"/>
      <c r="F3961" s="1203"/>
    </row>
    <row r="3962" spans="1:6">
      <c r="A3962" s="1203"/>
      <c r="B3962" s="1203"/>
      <c r="C3962" s="1203" t="s">
        <v>6494</v>
      </c>
      <c r="D3962" s="1203"/>
      <c r="E3962" s="1203"/>
      <c r="F3962" s="1203"/>
    </row>
    <row r="3963" spans="1:6">
      <c r="A3963" s="1203"/>
      <c r="B3963" s="1203"/>
      <c r="C3963" s="1203"/>
      <c r="D3963" s="1203" t="s">
        <v>6495</v>
      </c>
      <c r="E3963" s="1203"/>
      <c r="F3963" s="1203"/>
    </row>
    <row r="3964" spans="1:6">
      <c r="A3964" s="1203"/>
      <c r="B3964" s="1203"/>
      <c r="C3964" s="1203" t="s">
        <v>1827</v>
      </c>
      <c r="D3964" s="1203"/>
      <c r="E3964" s="1203"/>
      <c r="F3964" s="1203"/>
    </row>
    <row r="3965" spans="1:6">
      <c r="A3965" s="1203"/>
      <c r="B3965" s="1203" t="s">
        <v>6496</v>
      </c>
      <c r="C3965" s="1203"/>
      <c r="D3965" s="1203"/>
      <c r="E3965" s="1203"/>
      <c r="F3965" s="1203"/>
    </row>
    <row r="3966" spans="1:6">
      <c r="A3966" s="1203"/>
      <c r="B3966" s="1203" t="s">
        <v>6497</v>
      </c>
      <c r="C3966" s="1203"/>
      <c r="D3966" s="1203"/>
      <c r="E3966" s="1203"/>
      <c r="F3966" s="1203"/>
    </row>
    <row r="3967" spans="1:6">
      <c r="A3967" s="1203"/>
      <c r="B3967" s="1203" t="s">
        <v>6498</v>
      </c>
      <c r="C3967" s="1203"/>
      <c r="D3967" s="1203"/>
      <c r="E3967" s="1203"/>
      <c r="F3967" s="1203"/>
    </row>
    <row r="3968" spans="1:6">
      <c r="A3968" s="1203"/>
      <c r="B3968" s="1203"/>
      <c r="C3968" s="1203"/>
      <c r="D3968" s="1203"/>
      <c r="E3968" s="1203"/>
      <c r="F3968" s="1203"/>
    </row>
    <row r="3969" spans="1:6">
      <c r="A3969" s="1203"/>
      <c r="B3969" s="1203" t="s">
        <v>6499</v>
      </c>
      <c r="C3969" s="1203"/>
      <c r="D3969" s="1203"/>
      <c r="E3969" s="1203"/>
      <c r="F3969" s="1203"/>
    </row>
    <row r="3970" spans="1:6">
      <c r="A3970" s="1203"/>
      <c r="B3970" s="1203"/>
      <c r="C3970" s="1203" t="s">
        <v>6500</v>
      </c>
      <c r="D3970" s="1203"/>
      <c r="E3970" s="1203"/>
      <c r="F3970" s="1203"/>
    </row>
    <row r="3971" spans="1:6">
      <c r="A3971" s="1203"/>
      <c r="B3971" s="1203"/>
      <c r="C3971" s="1376">
        <v>0.6</v>
      </c>
      <c r="D3971" s="1203" t="s">
        <v>6501</v>
      </c>
      <c r="E3971" s="1203" t="s">
        <v>6503</v>
      </c>
      <c r="F3971" s="1203"/>
    </row>
    <row r="3972" spans="1:6">
      <c r="C3972" s="1376">
        <v>0.4</v>
      </c>
      <c r="D3972" s="1203" t="s">
        <v>6502</v>
      </c>
    </row>
    <row r="3973" spans="1:6">
      <c r="B3973" s="1203" t="s">
        <v>5168</v>
      </c>
      <c r="C3973" s="1203" t="s">
        <v>6504</v>
      </c>
    </row>
    <row r="3974" spans="1:6">
      <c r="C3974" s="1203" t="s">
        <v>6505</v>
      </c>
    </row>
    <row r="3975" spans="1:6">
      <c r="C3975" s="1203" t="s">
        <v>6506</v>
      </c>
    </row>
    <row r="3976" spans="1:6">
      <c r="C3976" s="1377">
        <v>200</v>
      </c>
    </row>
    <row r="3977" spans="1:6">
      <c r="D3977" s="1377">
        <v>100</v>
      </c>
    </row>
    <row r="3978" spans="1:6">
      <c r="E3978" s="1377">
        <v>50</v>
      </c>
    </row>
    <row r="3979" spans="1:6">
      <c r="E3979" s="1377">
        <v>50</v>
      </c>
    </row>
    <row r="3980" spans="1:6">
      <c r="C3980" s="1203" t="s">
        <v>6507</v>
      </c>
    </row>
    <row r="3981" spans="1:6">
      <c r="B3981" s="1203" t="s">
        <v>2666</v>
      </c>
    </row>
    <row r="3982" spans="1:6">
      <c r="C3982" s="1203" t="s">
        <v>6508</v>
      </c>
    </row>
    <row r="3983" spans="1:6">
      <c r="C3983" s="1203" t="s">
        <v>6509</v>
      </c>
    </row>
    <row r="3984" spans="1:6">
      <c r="B3984" s="1203" t="s">
        <v>4389</v>
      </c>
    </row>
    <row r="3985" spans="2:6">
      <c r="C3985" s="1203" t="s">
        <v>6510</v>
      </c>
    </row>
    <row r="3986" spans="2:6">
      <c r="C3986" s="1203" t="s">
        <v>6511</v>
      </c>
    </row>
    <row r="3987" spans="2:6">
      <c r="B3987" s="1203" t="s">
        <v>6512</v>
      </c>
      <c r="C3987" s="1203"/>
    </row>
    <row r="3988" spans="2:6">
      <c r="C3988" s="1203" t="s">
        <v>6513</v>
      </c>
    </row>
    <row r="3989" spans="2:6">
      <c r="C3989" s="1203" t="s">
        <v>3164</v>
      </c>
    </row>
    <row r="3990" spans="2:6">
      <c r="C3990" s="1203" t="s">
        <v>6514</v>
      </c>
    </row>
    <row r="3991" spans="2:6">
      <c r="C3991" s="1203" t="s">
        <v>6515</v>
      </c>
    </row>
    <row r="3992" spans="2:6">
      <c r="B3992" s="1203" t="s">
        <v>1828</v>
      </c>
    </row>
    <row r="3993" spans="2:6">
      <c r="C3993" s="1203" t="s">
        <v>6516</v>
      </c>
    </row>
    <row r="3994" spans="2:6">
      <c r="C3994" s="1203" t="s">
        <v>6517</v>
      </c>
    </row>
    <row r="3995" spans="2:6">
      <c r="C3995" s="1203" t="s">
        <v>6518</v>
      </c>
    </row>
    <row r="3996" spans="2:6">
      <c r="D3996" s="1203" t="s">
        <v>6519</v>
      </c>
    </row>
    <row r="3997" spans="2:6">
      <c r="C3997" s="1203" t="s">
        <v>6520</v>
      </c>
    </row>
    <row r="3998" spans="2:6">
      <c r="B3998" s="1203"/>
      <c r="C3998" s="1203" t="s">
        <v>6521</v>
      </c>
      <c r="D3998" s="1203"/>
      <c r="E3998" s="1203"/>
      <c r="F3998" s="1203"/>
    </row>
    <row r="3999" spans="2:6">
      <c r="B3999" s="1203" t="s">
        <v>6522</v>
      </c>
      <c r="C3999" s="1203"/>
      <c r="D3999" s="1203"/>
      <c r="E3999" s="1203"/>
      <c r="F3999" s="1203"/>
    </row>
    <row r="4000" spans="2:6">
      <c r="B4000" s="1203"/>
      <c r="C4000" s="1203"/>
      <c r="D4000" s="1203"/>
      <c r="E4000" s="1203"/>
      <c r="F4000" s="1203"/>
    </row>
    <row r="4001" spans="2:6">
      <c r="B4001" s="1393">
        <v>44927</v>
      </c>
      <c r="C4001" s="1203"/>
      <c r="D4001" s="1203"/>
      <c r="E4001" s="1203"/>
      <c r="F4001" s="1203"/>
    </row>
    <row r="4002" spans="2:6">
      <c r="B4002" s="1203"/>
      <c r="C4002" s="1203"/>
      <c r="D4002" s="1203"/>
      <c r="E4002" s="1203"/>
      <c r="F4002" s="1203"/>
    </row>
    <row r="4003" spans="2:6">
      <c r="B4003" s="1203" t="s">
        <v>6569</v>
      </c>
      <c r="C4003" s="1203"/>
      <c r="D4003" s="1203"/>
      <c r="E4003" s="1203"/>
      <c r="F4003" s="1203"/>
    </row>
    <row r="4004" spans="2:6">
      <c r="B4004" s="1203"/>
      <c r="C4004" s="1203" t="s">
        <v>6585</v>
      </c>
      <c r="D4004" s="1203"/>
      <c r="E4004" s="1203"/>
      <c r="F4004" s="1203"/>
    </row>
    <row r="4005" spans="2:6">
      <c r="B4005" s="1203"/>
      <c r="C4005" s="1203" t="s">
        <v>6570</v>
      </c>
      <c r="D4005" s="1203"/>
      <c r="E4005" s="1203"/>
      <c r="F4005" s="1203"/>
    </row>
    <row r="4006" spans="2:6">
      <c r="B4006" s="1203"/>
      <c r="C4006" s="1203"/>
      <c r="D4006" s="1203" t="s">
        <v>6571</v>
      </c>
      <c r="E4006" s="1203"/>
      <c r="F4006" s="1203"/>
    </row>
    <row r="4007" spans="2:6">
      <c r="B4007" s="1203"/>
      <c r="C4007" s="1203"/>
      <c r="D4007" s="1203"/>
      <c r="E4007" s="1203" t="s">
        <v>6572</v>
      </c>
      <c r="F4007" s="1203"/>
    </row>
    <row r="4008" spans="2:6">
      <c r="B4008" s="1203"/>
      <c r="C4008" s="1203"/>
      <c r="D4008" s="1203" t="s">
        <v>4685</v>
      </c>
      <c r="E4008" s="1203"/>
      <c r="F4008" s="1203"/>
    </row>
    <row r="4009" spans="2:6">
      <c r="B4009" s="1203"/>
      <c r="C4009" s="1203" t="s">
        <v>6573</v>
      </c>
      <c r="D4009" s="1203"/>
      <c r="E4009" s="1203"/>
      <c r="F4009" s="1203"/>
    </row>
    <row r="4010" spans="2:6">
      <c r="B4010" s="1203"/>
      <c r="C4010" s="1203"/>
      <c r="D4010" s="1305">
        <v>0.11</v>
      </c>
      <c r="E4010" s="1203"/>
      <c r="F4010" s="1203"/>
    </row>
    <row r="4011" spans="2:6">
      <c r="B4011" s="1203"/>
      <c r="C4011" s="1203" t="s">
        <v>6574</v>
      </c>
      <c r="D4011" s="1203"/>
      <c r="E4011" s="1203"/>
      <c r="F4011" s="1203"/>
    </row>
    <row r="4012" spans="2:6">
      <c r="B4012" s="1203"/>
      <c r="C4012" s="1203" t="s">
        <v>6575</v>
      </c>
      <c r="D4012" s="1203"/>
      <c r="E4012" s="1203"/>
      <c r="F4012" s="1203"/>
    </row>
    <row r="4013" spans="2:6">
      <c r="B4013" s="1203" t="s">
        <v>468</v>
      </c>
      <c r="C4013" s="1203"/>
      <c r="D4013" s="1203"/>
      <c r="E4013" s="1203"/>
      <c r="F4013" s="1203"/>
    </row>
    <row r="4014" spans="2:6">
      <c r="B4014" s="1203"/>
      <c r="C4014" s="1203" t="s">
        <v>6576</v>
      </c>
      <c r="D4014" s="1203"/>
      <c r="E4014" s="1203"/>
      <c r="F4014" s="1203"/>
    </row>
    <row r="4015" spans="2:6">
      <c r="B4015" s="1203"/>
      <c r="C4015" s="1203" t="s">
        <v>6577</v>
      </c>
      <c r="D4015" s="1203"/>
      <c r="E4015" s="1203"/>
      <c r="F4015" s="1203"/>
    </row>
    <row r="4016" spans="2:6">
      <c r="B4016" s="1203"/>
      <c r="C4016" s="1203" t="s">
        <v>6578</v>
      </c>
      <c r="D4016" s="1203"/>
      <c r="E4016" s="1203"/>
      <c r="F4016" s="1203"/>
    </row>
    <row r="4017" spans="2:6">
      <c r="B4017" s="1203"/>
      <c r="C4017" s="1203" t="s">
        <v>6579</v>
      </c>
      <c r="D4017" s="1203"/>
      <c r="E4017" s="1203"/>
      <c r="F4017" s="1203"/>
    </row>
    <row r="4018" spans="2:6">
      <c r="B4018" s="1203" t="s">
        <v>6454</v>
      </c>
      <c r="C4018" s="1203"/>
      <c r="D4018" s="1203"/>
      <c r="E4018" s="1203"/>
      <c r="F4018" s="1203"/>
    </row>
    <row r="4019" spans="2:6">
      <c r="B4019" s="1203"/>
      <c r="C4019" s="1203" t="s">
        <v>5081</v>
      </c>
      <c r="D4019" s="1203"/>
      <c r="E4019" s="1203"/>
      <c r="F4019" s="1203"/>
    </row>
    <row r="4020" spans="2:6">
      <c r="B4020" s="1203"/>
      <c r="C4020" s="1203" t="s">
        <v>6580</v>
      </c>
      <c r="D4020" s="1203">
        <v>2023</v>
      </c>
      <c r="E4020" s="1203"/>
      <c r="F4020" s="1203"/>
    </row>
    <row r="4021" spans="2:6">
      <c r="B4021" s="1203"/>
      <c r="C4021" s="1203" t="s">
        <v>6581</v>
      </c>
      <c r="D4021" s="1203">
        <v>2024</v>
      </c>
      <c r="E4021" s="1203"/>
      <c r="F4021" s="1203"/>
    </row>
    <row r="4022" spans="2:6">
      <c r="B4022" s="1203" t="s">
        <v>0</v>
      </c>
    </row>
    <row r="4023" spans="2:6">
      <c r="C4023" s="1203" t="s">
        <v>6582</v>
      </c>
    </row>
    <row r="4024" spans="2:6">
      <c r="C4024" s="1203" t="s">
        <v>6583</v>
      </c>
    </row>
    <row r="4025" spans="2:6">
      <c r="C4025" s="1203" t="s">
        <v>6584</v>
      </c>
    </row>
    <row r="4027" spans="2:6">
      <c r="B4027" s="3"/>
      <c r="C4027" s="1394">
        <v>44621</v>
      </c>
      <c r="D4027" s="1394">
        <v>44774</v>
      </c>
      <c r="E4027" s="1394">
        <v>44835</v>
      </c>
      <c r="F4027" s="1394">
        <v>44927</v>
      </c>
    </row>
    <row r="4028" spans="2:6">
      <c r="B4028" s="1203" t="s">
        <v>6586</v>
      </c>
      <c r="D4028" s="1203">
        <v>42</v>
      </c>
      <c r="E4028" s="1203">
        <v>63</v>
      </c>
      <c r="F4028" s="1203">
        <v>36</v>
      </c>
    </row>
    <row r="4029" spans="2:6">
      <c r="B4029" s="1203" t="s">
        <v>6587</v>
      </c>
      <c r="C4029" s="1203">
        <v>100</v>
      </c>
      <c r="D4029" s="1203"/>
      <c r="E4029" s="1203">
        <v>73</v>
      </c>
      <c r="F4029" s="1203">
        <v>60</v>
      </c>
    </row>
    <row r="4031" spans="2:6">
      <c r="B4031" s="1203" t="s">
        <v>6588</v>
      </c>
    </row>
    <row r="4032" spans="2:6">
      <c r="B4032" s="1203" t="s">
        <v>6589</v>
      </c>
    </row>
    <row r="4033" spans="2:5">
      <c r="B4033" s="1203" t="s">
        <v>6590</v>
      </c>
    </row>
    <row r="4034" spans="2:5">
      <c r="B4034" s="1203" t="s">
        <v>6591</v>
      </c>
      <c r="C4034" s="1203">
        <v>17</v>
      </c>
      <c r="D4034" s="1203" t="s">
        <v>6593</v>
      </c>
    </row>
    <row r="4035" spans="2:5">
      <c r="B4035" s="1203" t="s">
        <v>6592</v>
      </c>
      <c r="C4035" s="1203">
        <v>20</v>
      </c>
    </row>
    <row r="4037" spans="2:5">
      <c r="B4037" s="1336" t="s">
        <v>6597</v>
      </c>
    </row>
    <row r="4039" spans="2:5">
      <c r="B4039" t="s">
        <v>5397</v>
      </c>
    </row>
    <row r="4040" spans="2:5">
      <c r="C4040" t="s">
        <v>6598</v>
      </c>
    </row>
    <row r="4041" spans="2:5">
      <c r="C4041" t="s">
        <v>6599</v>
      </c>
    </row>
    <row r="4042" spans="2:5">
      <c r="B4042" t="s">
        <v>399</v>
      </c>
    </row>
    <row r="4043" spans="2:5">
      <c r="C4043" t="s">
        <v>6608</v>
      </c>
    </row>
    <row r="4044" spans="2:5">
      <c r="D4044" t="s">
        <v>0</v>
      </c>
    </row>
    <row r="4045" spans="2:5">
      <c r="E4045" t="s">
        <v>6612</v>
      </c>
    </row>
    <row r="4046" spans="2:5">
      <c r="D4046" t="s">
        <v>6606</v>
      </c>
    </row>
    <row r="4047" spans="2:5">
      <c r="D4047" t="s">
        <v>6609</v>
      </c>
    </row>
    <row r="4048" spans="2:5">
      <c r="D4048" t="s">
        <v>6610</v>
      </c>
    </row>
    <row r="4049" spans="2:4">
      <c r="C4049" t="s">
        <v>6602</v>
      </c>
    </row>
    <row r="4050" spans="2:4">
      <c r="C4050" t="s">
        <v>6607</v>
      </c>
    </row>
    <row r="4051" spans="2:4">
      <c r="C4051" t="s">
        <v>6618</v>
      </c>
    </row>
    <row r="4052" spans="2:4">
      <c r="B4052" t="s">
        <v>2770</v>
      </c>
    </row>
    <row r="4053" spans="2:4">
      <c r="C4053" t="s">
        <v>6601</v>
      </c>
    </row>
    <row r="4054" spans="2:4">
      <c r="C4054" t="s">
        <v>6600</v>
      </c>
    </row>
    <row r="4055" spans="2:4">
      <c r="D4055" t="s">
        <v>6615</v>
      </c>
    </row>
    <row r="4056" spans="2:4">
      <c r="D4056" t="s">
        <v>6616</v>
      </c>
    </row>
    <row r="4057" spans="2:4">
      <c r="D4057" t="s">
        <v>6617</v>
      </c>
    </row>
    <row r="4058" spans="2:4">
      <c r="C4058" t="s">
        <v>6619</v>
      </c>
    </row>
    <row r="4059" spans="2:4">
      <c r="C4059" t="s">
        <v>6620</v>
      </c>
    </row>
    <row r="4060" spans="2:4">
      <c r="B4060" t="s">
        <v>6603</v>
      </c>
    </row>
    <row r="4061" spans="2:4">
      <c r="C4061" t="s">
        <v>6604</v>
      </c>
    </row>
    <row r="4063" spans="2:4">
      <c r="B4063" t="s">
        <v>2933</v>
      </c>
    </row>
    <row r="4064" spans="2:4">
      <c r="C4064" t="s">
        <v>6611</v>
      </c>
    </row>
    <row r="4065" spans="2:4">
      <c r="B4065" t="s">
        <v>6605</v>
      </c>
    </row>
    <row r="4066" spans="2:4">
      <c r="C4066" s="5">
        <v>-0.01</v>
      </c>
      <c r="D4066" t="s">
        <v>6613</v>
      </c>
    </row>
    <row r="4067" spans="2:4">
      <c r="D4067" t="s">
        <v>6614</v>
      </c>
    </row>
    <row r="4069" spans="2:4">
      <c r="B4069" s="513" t="s">
        <v>6621</v>
      </c>
    </row>
    <row r="4071" spans="2:4">
      <c r="B4071" s="12" t="s">
        <v>3679</v>
      </c>
    </row>
    <row r="4072" spans="2:4">
      <c r="C4072" s="12" t="s">
        <v>6662</v>
      </c>
    </row>
    <row r="4073" spans="2:4">
      <c r="D4073" t="s">
        <v>6632</v>
      </c>
    </row>
    <row r="4074" spans="2:4">
      <c r="D4074" t="s">
        <v>6664</v>
      </c>
    </row>
    <row r="4075" spans="2:4">
      <c r="D4075" t="s">
        <v>6663</v>
      </c>
    </row>
    <row r="4076" spans="2:4">
      <c r="C4076" s="12" t="s">
        <v>6665</v>
      </c>
    </row>
    <row r="4077" spans="2:4">
      <c r="C4077" s="12"/>
    </row>
    <row r="4078" spans="2:4">
      <c r="C4078" s="12" t="s">
        <v>6623</v>
      </c>
    </row>
    <row r="4079" spans="2:4">
      <c r="D4079" t="s">
        <v>6633</v>
      </c>
    </row>
    <row r="4080" spans="2:4">
      <c r="D4080" t="s">
        <v>6666</v>
      </c>
    </row>
    <row r="4081" spans="2:11">
      <c r="D4081" t="s">
        <v>6667</v>
      </c>
    </row>
    <row r="4082" spans="2:11">
      <c r="B4082" s="12" t="s">
        <v>6622</v>
      </c>
    </row>
    <row r="4083" spans="2:11">
      <c r="C4083" s="12" t="s">
        <v>6624</v>
      </c>
    </row>
    <row r="4084" spans="2:11">
      <c r="D4084" t="s">
        <v>6668</v>
      </c>
    </row>
    <row r="4085" spans="2:11">
      <c r="D4085" t="s">
        <v>2424</v>
      </c>
    </row>
    <row r="4086" spans="2:11">
      <c r="D4086" t="s">
        <v>6669</v>
      </c>
    </row>
    <row r="4087" spans="2:11">
      <c r="C4087" s="12" t="s">
        <v>6625</v>
      </c>
    </row>
    <row r="4088" spans="2:11">
      <c r="D4088" t="s">
        <v>6673</v>
      </c>
    </row>
    <row r="4089" spans="2:11">
      <c r="C4089" s="12"/>
      <c r="D4089" t="s">
        <v>6674</v>
      </c>
      <c r="G4089" s="1396" t="s">
        <v>6677</v>
      </c>
      <c r="H4089" s="1396" t="s">
        <v>6678</v>
      </c>
      <c r="J4089" s="1396" t="s">
        <v>6691</v>
      </c>
      <c r="K4089" s="1396"/>
    </row>
    <row r="4090" spans="2:11">
      <c r="C4090" s="12"/>
      <c r="E4090" t="s">
        <v>6675</v>
      </c>
      <c r="F4090" t="s">
        <v>6676</v>
      </c>
      <c r="G4090" s="62">
        <v>10</v>
      </c>
      <c r="H4090" s="62">
        <v>18</v>
      </c>
      <c r="J4090" s="5">
        <v>4.4999999999999998E-2</v>
      </c>
      <c r="K4090" s="62"/>
    </row>
    <row r="4091" spans="2:11">
      <c r="C4091" s="12"/>
      <c r="F4091" t="s">
        <v>1931</v>
      </c>
      <c r="G4091">
        <v>5.2</v>
      </c>
      <c r="H4091">
        <v>9.3000000000000007</v>
      </c>
      <c r="J4091" s="5">
        <v>8.6999999999999994E-2</v>
      </c>
    </row>
    <row r="4092" spans="2:11">
      <c r="C4092" s="12"/>
      <c r="F4092" t="s">
        <v>1146</v>
      </c>
      <c r="G4092" s="62">
        <f ca="1">Valuation!N91</f>
        <v>5.5458228033743868</v>
      </c>
      <c r="J4092" s="5">
        <f>F4106</f>
        <v>0.27469027676040642</v>
      </c>
    </row>
    <row r="4093" spans="2:11">
      <c r="C4093" s="12"/>
      <c r="F4093" s="8" t="s">
        <v>20</v>
      </c>
      <c r="G4093" s="61">
        <v>0.16</v>
      </c>
      <c r="H4093" s="61">
        <v>0.17</v>
      </c>
      <c r="J4093" s="61"/>
      <c r="K4093" s="61"/>
    </row>
    <row r="4094" spans="2:11">
      <c r="C4094" s="12"/>
      <c r="F4094" t="s">
        <v>1983</v>
      </c>
      <c r="G4094" s="62">
        <v>5.4</v>
      </c>
      <c r="H4094" s="62">
        <v>14.1</v>
      </c>
      <c r="J4094" s="5">
        <v>0.15</v>
      </c>
      <c r="K4094" s="62"/>
    </row>
    <row r="4095" spans="2:11">
      <c r="C4095" s="12"/>
      <c r="F4095" t="s">
        <v>6679</v>
      </c>
      <c r="G4095" s="62">
        <v>6.4</v>
      </c>
      <c r="H4095" s="62">
        <v>12.2</v>
      </c>
      <c r="J4095" s="5">
        <v>0.08</v>
      </c>
      <c r="K4095" s="62"/>
    </row>
    <row r="4096" spans="2:11">
      <c r="C4096" s="12"/>
      <c r="F4096" t="s">
        <v>6680</v>
      </c>
      <c r="G4096" s="62">
        <v>7</v>
      </c>
      <c r="H4096" s="62">
        <v>11</v>
      </c>
      <c r="J4096" s="5">
        <v>0.14000000000000001</v>
      </c>
      <c r="K4096" s="62"/>
    </row>
    <row r="4097" spans="3:11">
      <c r="C4097" s="12"/>
      <c r="F4097" t="s">
        <v>3682</v>
      </c>
      <c r="G4097" s="62"/>
      <c r="H4097" s="62"/>
      <c r="J4097" s="5">
        <v>0.27</v>
      </c>
      <c r="K4097" s="62"/>
    </row>
    <row r="4098" spans="3:11">
      <c r="C4098" s="12"/>
      <c r="D4098" t="s">
        <v>6684</v>
      </c>
      <c r="G4098" s="62"/>
      <c r="H4098" s="62"/>
      <c r="J4098" s="62"/>
      <c r="K4098" s="62"/>
    </row>
    <row r="4099" spans="3:11">
      <c r="C4099" s="12"/>
      <c r="E4099">
        <v>2023</v>
      </c>
      <c r="F4099">
        <v>300</v>
      </c>
      <c r="G4099" s="62"/>
      <c r="H4099" s="62"/>
      <c r="J4099" s="62"/>
      <c r="K4099" s="62"/>
    </row>
    <row r="4100" spans="3:11">
      <c r="C4100" s="12"/>
      <c r="E4100" s="80" t="s">
        <v>6686</v>
      </c>
      <c r="F4100">
        <f>F4099+150</f>
        <v>450</v>
      </c>
      <c r="G4100" s="62" t="s">
        <v>6687</v>
      </c>
      <c r="H4100" s="62"/>
      <c r="J4100" s="62"/>
      <c r="K4100" s="62"/>
    </row>
    <row r="4101" spans="3:11">
      <c r="C4101" s="12"/>
      <c r="E4101" s="80" t="s">
        <v>6688</v>
      </c>
      <c r="F4101">
        <v>475</v>
      </c>
      <c r="G4101" s="62"/>
      <c r="H4101" s="62"/>
      <c r="J4101" s="62"/>
      <c r="K4101" s="62"/>
    </row>
    <row r="4102" spans="3:11">
      <c r="C4102" s="12"/>
      <c r="E4102" s="80" t="s">
        <v>6685</v>
      </c>
      <c r="F4102">
        <v>50</v>
      </c>
      <c r="G4102" s="62"/>
      <c r="H4102" s="62"/>
      <c r="J4102" s="62"/>
      <c r="K4102" s="62"/>
    </row>
    <row r="4103" spans="3:11">
      <c r="C4103" s="12"/>
      <c r="E4103" s="80" t="s">
        <v>377</v>
      </c>
      <c r="F4103">
        <f>F4101-F4102</f>
        <v>425</v>
      </c>
      <c r="G4103" s="62"/>
      <c r="H4103" s="62"/>
      <c r="J4103" s="62"/>
      <c r="K4103" s="62"/>
    </row>
    <row r="4104" spans="3:11">
      <c r="C4104" s="12"/>
      <c r="E4104" s="870" t="s">
        <v>6689</v>
      </c>
      <c r="F4104" s="614">
        <f>F4103/Valuation!O8</f>
        <v>0.33838657282079054</v>
      </c>
      <c r="G4104" s="62"/>
      <c r="H4104" s="62"/>
      <c r="J4104" s="62"/>
      <c r="K4104" s="62"/>
    </row>
    <row r="4105" spans="3:11">
      <c r="C4105" s="12"/>
      <c r="E4105" s="80" t="s">
        <v>6690</v>
      </c>
      <c r="F4105">
        <f>F4103-80</f>
        <v>345</v>
      </c>
      <c r="G4105" s="62"/>
      <c r="H4105" s="62"/>
      <c r="J4105" s="62"/>
      <c r="K4105" s="62"/>
    </row>
    <row r="4106" spans="3:11">
      <c r="C4106" s="12"/>
      <c r="E4106" s="870" t="s">
        <v>6689</v>
      </c>
      <c r="F4106" s="614">
        <f>F4105/Valuation!O8</f>
        <v>0.27469027676040642</v>
      </c>
      <c r="G4106" s="62"/>
      <c r="H4106" s="62"/>
      <c r="J4106" s="62"/>
      <c r="K4106" s="62"/>
    </row>
    <row r="4107" spans="3:11">
      <c r="C4107" s="12"/>
      <c r="G4107" s="62"/>
      <c r="H4107" s="62"/>
      <c r="J4107" s="62"/>
      <c r="K4107" s="62"/>
    </row>
    <row r="4108" spans="3:11">
      <c r="C4108" s="12" t="s">
        <v>6626</v>
      </c>
    </row>
    <row r="4109" spans="3:11">
      <c r="C4109" s="12"/>
      <c r="D4109" t="s">
        <v>6670</v>
      </c>
    </row>
    <row r="4110" spans="3:11">
      <c r="C4110" s="12" t="s">
        <v>1931</v>
      </c>
    </row>
    <row r="4111" spans="3:11">
      <c r="D4111" t="s">
        <v>6671</v>
      </c>
    </row>
    <row r="4112" spans="3:11">
      <c r="C4112" s="12" t="s">
        <v>1365</v>
      </c>
    </row>
    <row r="4113" spans="2:6">
      <c r="D4113" t="s">
        <v>6698</v>
      </c>
    </row>
    <row r="4114" spans="2:6">
      <c r="D4114" t="s">
        <v>6699</v>
      </c>
    </row>
    <row r="4115" spans="2:6">
      <c r="E4115" t="s">
        <v>6700</v>
      </c>
    </row>
    <row r="4116" spans="2:6">
      <c r="D4116" t="s">
        <v>6672</v>
      </c>
    </row>
    <row r="4117" spans="2:6">
      <c r="B4117" s="12" t="s">
        <v>2825</v>
      </c>
    </row>
    <row r="4118" spans="2:6">
      <c r="C4118" s="12" t="s">
        <v>6627</v>
      </c>
    </row>
    <row r="4119" spans="2:6">
      <c r="D4119" t="s">
        <v>6628</v>
      </c>
    </row>
    <row r="4120" spans="2:6">
      <c r="E4120" s="13" t="s">
        <v>6711</v>
      </c>
    </row>
    <row r="4121" spans="2:6">
      <c r="E4121" t="s">
        <v>6692</v>
      </c>
    </row>
    <row r="4122" spans="2:6">
      <c r="F4122" t="s">
        <v>6681</v>
      </c>
    </row>
    <row r="4123" spans="2:6">
      <c r="F4123" t="s">
        <v>6682</v>
      </c>
    </row>
    <row r="4124" spans="2:6">
      <c r="F4124" t="s">
        <v>6683</v>
      </c>
    </row>
    <row r="4125" spans="2:6">
      <c r="E4125" t="s">
        <v>6693</v>
      </c>
    </row>
    <row r="4126" spans="2:6">
      <c r="E4126" t="s">
        <v>6694</v>
      </c>
      <c r="F4126" t="s">
        <v>6695</v>
      </c>
    </row>
    <row r="4127" spans="2:6">
      <c r="E4127" s="13" t="s">
        <v>1931</v>
      </c>
    </row>
    <row r="4128" spans="2:6">
      <c r="F4128" t="s">
        <v>6712</v>
      </c>
    </row>
    <row r="4129" spans="3:8">
      <c r="C4129" s="12"/>
      <c r="G4129" t="s">
        <v>6713</v>
      </c>
    </row>
    <row r="4130" spans="3:8">
      <c r="G4130" t="s">
        <v>6714</v>
      </c>
    </row>
    <row r="4131" spans="3:8">
      <c r="E4131" s="13" t="s">
        <v>6722</v>
      </c>
    </row>
    <row r="4132" spans="3:8">
      <c r="F4132" t="s">
        <v>6723</v>
      </c>
      <c r="H4132" s="16">
        <f>183/5.2</f>
        <v>35.192307692307693</v>
      </c>
    </row>
    <row r="4134" spans="3:8">
      <c r="D4134" t="s">
        <v>6715</v>
      </c>
    </row>
    <row r="4135" spans="3:8">
      <c r="E4135" t="s">
        <v>6717</v>
      </c>
    </row>
    <row r="4136" spans="3:8">
      <c r="E4136" t="s">
        <v>6718</v>
      </c>
    </row>
    <row r="4137" spans="3:8">
      <c r="E4137" s="13" t="s">
        <v>647</v>
      </c>
    </row>
    <row r="4138" spans="3:8">
      <c r="E4138" s="13"/>
      <c r="F4138" t="s">
        <v>6719</v>
      </c>
    </row>
    <row r="4139" spans="3:8">
      <c r="E4139" s="13"/>
      <c r="F4139" t="s">
        <v>6720</v>
      </c>
    </row>
    <row r="4140" spans="3:8">
      <c r="E4140" s="13"/>
      <c r="F4140" t="s">
        <v>6721</v>
      </c>
    </row>
    <row r="4141" spans="3:8">
      <c r="E4141" s="13"/>
    </row>
    <row r="4142" spans="3:8">
      <c r="D4142" t="s">
        <v>6716</v>
      </c>
    </row>
    <row r="4144" spans="3:8">
      <c r="C4144" s="12" t="s">
        <v>6629</v>
      </c>
    </row>
    <row r="4146" spans="3:5">
      <c r="C4146" s="12" t="s">
        <v>6630</v>
      </c>
    </row>
    <row r="4147" spans="3:5">
      <c r="D4147" t="s">
        <v>6653</v>
      </c>
    </row>
    <row r="4148" spans="3:5">
      <c r="E4148" t="s">
        <v>6702</v>
      </c>
    </row>
    <row r="4149" spans="3:5">
      <c r="D4149" t="s">
        <v>6656</v>
      </c>
    </row>
    <row r="4150" spans="3:5">
      <c r="D4150" t="s">
        <v>6646</v>
      </c>
    </row>
    <row r="4151" spans="3:5">
      <c r="E4151" t="s">
        <v>6650</v>
      </c>
    </row>
    <row r="4152" spans="3:5">
      <c r="E4152" t="s">
        <v>6651</v>
      </c>
    </row>
    <row r="4153" spans="3:5">
      <c r="D4153" t="s">
        <v>6654</v>
      </c>
    </row>
    <row r="4154" spans="3:5">
      <c r="D4154" t="s">
        <v>6655</v>
      </c>
    </row>
    <row r="4155" spans="3:5">
      <c r="D4155" t="s">
        <v>6645</v>
      </c>
    </row>
    <row r="4156" spans="3:5">
      <c r="D4156" t="s">
        <v>6647</v>
      </c>
    </row>
    <row r="4157" spans="3:5">
      <c r="E4157" t="s">
        <v>6648</v>
      </c>
    </row>
    <row r="4158" spans="3:5">
      <c r="D4158" t="s">
        <v>6649</v>
      </c>
    </row>
    <row r="4159" spans="3:5">
      <c r="D4159" s="13" t="s">
        <v>6696</v>
      </c>
    </row>
    <row r="4160" spans="3:5">
      <c r="D4160" s="13"/>
      <c r="E4160" s="13" t="s">
        <v>6697</v>
      </c>
    </row>
    <row r="4161" spans="4:7">
      <c r="F4161" t="s">
        <v>6643</v>
      </c>
    </row>
    <row r="4162" spans="4:7">
      <c r="F4162" t="s">
        <v>6640</v>
      </c>
    </row>
    <row r="4163" spans="4:7">
      <c r="G4163" t="s">
        <v>6638</v>
      </c>
    </row>
    <row r="4164" spans="4:7">
      <c r="E4164" t="s">
        <v>6636</v>
      </c>
      <c r="G4164" t="s">
        <v>6639</v>
      </c>
    </row>
    <row r="4165" spans="4:7">
      <c r="F4165" t="s">
        <v>6637</v>
      </c>
    </row>
    <row r="4166" spans="4:7">
      <c r="G4166" t="s">
        <v>6641</v>
      </c>
    </row>
    <row r="4167" spans="4:7">
      <c r="G4167" t="s">
        <v>6642</v>
      </c>
    </row>
    <row r="4168" spans="4:7">
      <c r="F4168" t="s">
        <v>6634</v>
      </c>
    </row>
    <row r="4169" spans="4:7">
      <c r="F4169" t="s">
        <v>6635</v>
      </c>
    </row>
    <row r="4170" spans="4:7">
      <c r="D4170" t="s">
        <v>6657</v>
      </c>
    </row>
    <row r="4171" spans="4:7">
      <c r="E4171" t="s">
        <v>6659</v>
      </c>
    </row>
    <row r="4172" spans="4:7">
      <c r="D4172" t="s">
        <v>6658</v>
      </c>
    </row>
    <row r="4173" spans="4:7">
      <c r="E4173" t="s">
        <v>6660</v>
      </c>
    </row>
    <row r="4174" spans="4:7">
      <c r="E4174" t="s">
        <v>6661</v>
      </c>
    </row>
    <row r="4176" spans="4:7">
      <c r="D4176" s="13" t="s">
        <v>6652</v>
      </c>
    </row>
    <row r="4177" spans="2:6">
      <c r="E4177" t="s">
        <v>6701</v>
      </c>
    </row>
    <row r="4178" spans="2:6">
      <c r="E4178" t="s">
        <v>6703</v>
      </c>
    </row>
    <row r="4179" spans="2:6">
      <c r="E4179" t="s">
        <v>6704</v>
      </c>
    </row>
    <row r="4180" spans="2:6">
      <c r="E4180" t="s">
        <v>6705</v>
      </c>
    </row>
    <row r="4181" spans="2:6">
      <c r="D4181" s="13" t="s">
        <v>6644</v>
      </c>
    </row>
    <row r="4182" spans="2:6">
      <c r="E4182" t="s">
        <v>6706</v>
      </c>
      <c r="F4182" t="s">
        <v>6707</v>
      </c>
    </row>
    <row r="4183" spans="2:6">
      <c r="E4183" t="s">
        <v>6708</v>
      </c>
      <c r="F4183" t="s">
        <v>6709</v>
      </c>
    </row>
    <row r="4184" spans="2:6">
      <c r="E4184" t="s">
        <v>6710</v>
      </c>
    </row>
    <row r="4185" spans="2:6">
      <c r="C4185" t="s">
        <v>6631</v>
      </c>
      <c r="F4185" s="1395"/>
    </row>
    <row r="4186" spans="2:6">
      <c r="F4186" s="1395"/>
    </row>
    <row r="4187" spans="2:6">
      <c r="B4187" s="513" t="s">
        <v>6525</v>
      </c>
    </row>
    <row r="4189" spans="2:6">
      <c r="B4189" t="s">
        <v>469</v>
      </c>
    </row>
    <row r="4190" spans="2:6">
      <c r="C4190" t="s">
        <v>6733</v>
      </c>
    </row>
    <row r="4191" spans="2:6">
      <c r="C4191" t="s">
        <v>6734</v>
      </c>
    </row>
    <row r="4192" spans="2:6">
      <c r="C4192" t="s">
        <v>6735</v>
      </c>
    </row>
    <row r="4194" spans="2:4">
      <c r="C4194" t="s">
        <v>6736</v>
      </c>
    </row>
    <row r="4195" spans="2:4">
      <c r="C4195" t="s">
        <v>6737</v>
      </c>
    </row>
    <row r="4196" spans="2:4">
      <c r="D4196" t="s">
        <v>6738</v>
      </c>
    </row>
    <row r="4197" spans="2:4">
      <c r="B4197" t="s">
        <v>0</v>
      </c>
      <c r="C4197" t="s">
        <v>72</v>
      </c>
    </row>
    <row r="4198" spans="2:4">
      <c r="C4198" t="s">
        <v>72</v>
      </c>
    </row>
    <row r="4199" spans="2:4">
      <c r="B4199" t="s">
        <v>3091</v>
      </c>
    </row>
    <row r="4200" spans="2:4">
      <c r="C4200" t="s">
        <v>6739</v>
      </c>
    </row>
    <row r="4202" spans="2:4">
      <c r="B4202" s="13" t="s">
        <v>428</v>
      </c>
    </row>
    <row r="4204" spans="2:4">
      <c r="B4204" t="s">
        <v>5576</v>
      </c>
    </row>
    <row r="4205" spans="2:4">
      <c r="C4205" t="s">
        <v>6740</v>
      </c>
    </row>
    <row r="4206" spans="2:4">
      <c r="C4206" t="s">
        <v>6741</v>
      </c>
    </row>
    <row r="4207" spans="2:4">
      <c r="C4207" t="s">
        <v>469</v>
      </c>
    </row>
    <row r="4208" spans="2:4">
      <c r="C4208" t="s">
        <v>6752</v>
      </c>
    </row>
    <row r="4209" spans="2:4">
      <c r="D4209" t="s">
        <v>6768</v>
      </c>
    </row>
    <row r="4210" spans="2:4">
      <c r="D4210" t="s">
        <v>6769</v>
      </c>
    </row>
    <row r="4211" spans="2:4">
      <c r="D4211" t="s">
        <v>6770</v>
      </c>
    </row>
    <row r="4212" spans="2:4">
      <c r="D4212" t="s">
        <v>6771</v>
      </c>
    </row>
    <row r="4213" spans="2:4">
      <c r="D4213" t="s">
        <v>6772</v>
      </c>
    </row>
    <row r="4214" spans="2:4">
      <c r="D4214" t="s">
        <v>6773</v>
      </c>
    </row>
    <row r="4215" spans="2:4">
      <c r="D4215" t="s">
        <v>6774</v>
      </c>
    </row>
    <row r="4216" spans="2:4">
      <c r="B4216" t="s">
        <v>6742</v>
      </c>
    </row>
    <row r="4217" spans="2:4">
      <c r="C4217" t="s">
        <v>6743</v>
      </c>
    </row>
    <row r="4218" spans="2:4">
      <c r="D4218" t="s">
        <v>6775</v>
      </c>
    </row>
    <row r="4219" spans="2:4">
      <c r="D4219" t="s">
        <v>6776</v>
      </c>
    </row>
    <row r="4220" spans="2:4">
      <c r="D4220" t="s">
        <v>6777</v>
      </c>
    </row>
    <row r="4221" spans="2:4">
      <c r="D4221" t="s">
        <v>6778</v>
      </c>
    </row>
    <row r="4222" spans="2:4">
      <c r="C4222" t="s">
        <v>6744</v>
      </c>
    </row>
    <row r="4223" spans="2:4">
      <c r="C4223" t="s">
        <v>6745</v>
      </c>
    </row>
    <row r="4224" spans="2:4">
      <c r="B4224" t="s">
        <v>5954</v>
      </c>
    </row>
    <row r="4225" spans="2:5">
      <c r="C4225" t="s">
        <v>19</v>
      </c>
    </row>
    <row r="4226" spans="2:5">
      <c r="C4226" t="s">
        <v>6753</v>
      </c>
    </row>
    <row r="4227" spans="2:5">
      <c r="B4227" t="s">
        <v>399</v>
      </c>
    </row>
    <row r="4228" spans="2:5">
      <c r="C4228" t="s">
        <v>6746</v>
      </c>
    </row>
    <row r="4229" spans="2:5">
      <c r="B4229" t="s">
        <v>6747</v>
      </c>
    </row>
    <row r="4230" spans="2:5">
      <c r="C4230" t="s">
        <v>6748</v>
      </c>
    </row>
    <row r="4231" spans="2:5">
      <c r="C4231" t="s">
        <v>6749</v>
      </c>
    </row>
    <row r="4232" spans="2:5">
      <c r="B4232" t="s">
        <v>6750</v>
      </c>
    </row>
    <row r="4233" spans="2:5">
      <c r="C4233" t="s">
        <v>6751</v>
      </c>
    </row>
    <row r="4235" spans="2:5">
      <c r="B4235" s="513" t="s">
        <v>428</v>
      </c>
    </row>
    <row r="4236" spans="2:5">
      <c r="B4236" t="s">
        <v>984</v>
      </c>
    </row>
    <row r="4237" spans="2:5">
      <c r="C4237" t="s">
        <v>6754</v>
      </c>
    </row>
    <row r="4238" spans="2:5">
      <c r="D4238" t="s">
        <v>6756</v>
      </c>
    </row>
    <row r="4239" spans="2:5">
      <c r="D4239" t="s">
        <v>6757</v>
      </c>
    </row>
    <row r="4240" spans="2:5">
      <c r="E4240" t="s">
        <v>6761</v>
      </c>
    </row>
    <row r="4241" spans="2:4">
      <c r="D4241" t="s">
        <v>6760</v>
      </c>
    </row>
    <row r="4242" spans="2:4">
      <c r="C4242" t="s">
        <v>6755</v>
      </c>
    </row>
    <row r="4243" spans="2:4">
      <c r="D4243" t="s">
        <v>6758</v>
      </c>
    </row>
    <row r="4244" spans="2:4">
      <c r="D4244" t="s">
        <v>6759</v>
      </c>
    </row>
    <row r="4245" spans="2:4">
      <c r="B4245" t="s">
        <v>6763</v>
      </c>
    </row>
    <row r="4246" spans="2:4">
      <c r="C4246" t="s">
        <v>6762</v>
      </c>
    </row>
    <row r="4247" spans="2:4">
      <c r="C4247" t="s">
        <v>6764</v>
      </c>
    </row>
    <row r="4248" spans="2:4">
      <c r="C4248" t="s">
        <v>6765</v>
      </c>
    </row>
    <row r="4249" spans="2:4">
      <c r="D4249" t="s">
        <v>6766</v>
      </c>
    </row>
    <row r="4250" spans="2:4">
      <c r="B4250" t="s">
        <v>6767</v>
      </c>
    </row>
    <row r="4252" spans="2:4">
      <c r="B4252" t="s">
        <v>468</v>
      </c>
    </row>
    <row r="4254" spans="2:4">
      <c r="B4254" t="s">
        <v>6779</v>
      </c>
    </row>
    <row r="4255" spans="2:4">
      <c r="C4255" t="s">
        <v>6780</v>
      </c>
    </row>
    <row r="4256" spans="2:4">
      <c r="C4256" t="s">
        <v>6782</v>
      </c>
    </row>
    <row r="4257" spans="2:4">
      <c r="D4257" t="s">
        <v>6781</v>
      </c>
    </row>
    <row r="4258" spans="2:4">
      <c r="C4258" t="s">
        <v>6783</v>
      </c>
    </row>
    <row r="4259" spans="2:4">
      <c r="C4259" t="s">
        <v>6784</v>
      </c>
    </row>
    <row r="4260" spans="2:4">
      <c r="B4260" t="s">
        <v>6785</v>
      </c>
    </row>
    <row r="4261" spans="2:4">
      <c r="C4261" t="s">
        <v>6786</v>
      </c>
    </row>
    <row r="4262" spans="2:4">
      <c r="C4262" t="s">
        <v>6787</v>
      </c>
    </row>
    <row r="4263" spans="2:4">
      <c r="C4263" t="s">
        <v>6788</v>
      </c>
    </row>
    <row r="4264" spans="2:4">
      <c r="B4264" t="s">
        <v>4883</v>
      </c>
    </row>
    <row r="4265" spans="2:4">
      <c r="C4265" t="s">
        <v>6789</v>
      </c>
    </row>
    <row r="4266" spans="2:4">
      <c r="C4266" t="s">
        <v>6790</v>
      </c>
    </row>
    <row r="4268" spans="2:4">
      <c r="B4268" s="513" t="s">
        <v>6526</v>
      </c>
    </row>
    <row r="4270" spans="2:4">
      <c r="B4270" t="s">
        <v>6812</v>
      </c>
    </row>
    <row r="4271" spans="2:4">
      <c r="B4271" t="s">
        <v>6813</v>
      </c>
    </row>
    <row r="4272" spans="2:4">
      <c r="B4272" t="s">
        <v>6814</v>
      </c>
    </row>
    <row r="4273" spans="2:3">
      <c r="C4273" t="s">
        <v>6815</v>
      </c>
    </row>
    <row r="4275" spans="2:3">
      <c r="B4275" s="513" t="s">
        <v>6870</v>
      </c>
    </row>
    <row r="4277" spans="2:3">
      <c r="B4277" t="s">
        <v>6885</v>
      </c>
    </row>
    <row r="4278" spans="2:3">
      <c r="C4278" t="s">
        <v>6876</v>
      </c>
    </row>
    <row r="4279" spans="2:3">
      <c r="C4279" t="s">
        <v>6871</v>
      </c>
    </row>
    <row r="4280" spans="2:3">
      <c r="B4280" t="s">
        <v>6868</v>
      </c>
    </row>
    <row r="4282" spans="2:3">
      <c r="B4282" t="s">
        <v>6867</v>
      </c>
    </row>
    <row r="4283" spans="2:3">
      <c r="C4283" t="s">
        <v>6869</v>
      </c>
    </row>
    <row r="4284" spans="2:3">
      <c r="B4284" t="s">
        <v>6873</v>
      </c>
    </row>
    <row r="4285" spans="2:3">
      <c r="C4285" t="s">
        <v>6874</v>
      </c>
    </row>
    <row r="4286" spans="2:3">
      <c r="C4286" t="s">
        <v>6875</v>
      </c>
    </row>
    <row r="4287" spans="2:3">
      <c r="B4287" t="s">
        <v>6872</v>
      </c>
    </row>
    <row r="4289" spans="2:5">
      <c r="B4289" s="513" t="s">
        <v>3554</v>
      </c>
    </row>
    <row r="4291" spans="2:5">
      <c r="B4291" t="s">
        <v>6877</v>
      </c>
    </row>
    <row r="4293" spans="2:5">
      <c r="B4293" t="s">
        <v>5177</v>
      </c>
    </row>
    <row r="4294" spans="2:5">
      <c r="C4294" t="s">
        <v>6878</v>
      </c>
    </row>
    <row r="4295" spans="2:5">
      <c r="D4295" t="s">
        <v>6880</v>
      </c>
    </row>
    <row r="4296" spans="2:5">
      <c r="D4296" t="s">
        <v>6881</v>
      </c>
    </row>
    <row r="4297" spans="2:5">
      <c r="E4297" t="s">
        <v>6884</v>
      </c>
    </row>
    <row r="4298" spans="2:5">
      <c r="D4298" t="s">
        <v>6882</v>
      </c>
    </row>
    <row r="4299" spans="2:5">
      <c r="D4299" t="s">
        <v>6883</v>
      </c>
    </row>
    <row r="4300" spans="2:5">
      <c r="C4300" t="s">
        <v>6879</v>
      </c>
    </row>
    <row r="4301" spans="2:5">
      <c r="B4301" t="s">
        <v>6886</v>
      </c>
    </row>
    <row r="4302" spans="2:5">
      <c r="C4302" t="s">
        <v>6887</v>
      </c>
    </row>
    <row r="4303" spans="2:5">
      <c r="B4303" t="s">
        <v>468</v>
      </c>
    </row>
    <row r="4304" spans="2:5">
      <c r="C4304" t="s">
        <v>6888</v>
      </c>
    </row>
    <row r="4305" spans="2:5">
      <c r="C4305" t="s">
        <v>6889</v>
      </c>
    </row>
    <row r="4306" spans="2:5">
      <c r="B4306" t="s">
        <v>6890</v>
      </c>
    </row>
    <row r="4307" spans="2:5">
      <c r="C4307" t="s">
        <v>6891</v>
      </c>
    </row>
    <row r="4309" spans="2:5">
      <c r="B4309" s="513" t="s">
        <v>6895</v>
      </c>
    </row>
    <row r="4311" spans="2:5">
      <c r="B4311" t="s">
        <v>0</v>
      </c>
    </row>
    <row r="4312" spans="2:5">
      <c r="C4312" t="s">
        <v>6896</v>
      </c>
    </row>
    <row r="4313" spans="2:5">
      <c r="C4313" t="s">
        <v>6897</v>
      </c>
    </row>
    <row r="4314" spans="2:5">
      <c r="C4314" t="s">
        <v>6912</v>
      </c>
    </row>
    <row r="4315" spans="2:5">
      <c r="D4315" t="s">
        <v>6913</v>
      </c>
    </row>
    <row r="4316" spans="2:5">
      <c r="E4316" t="s">
        <v>6915</v>
      </c>
    </row>
    <row r="4317" spans="2:5">
      <c r="D4317" t="s">
        <v>6914</v>
      </c>
    </row>
    <row r="4318" spans="2:5">
      <c r="B4318" t="s">
        <v>6727</v>
      </c>
    </row>
    <row r="4319" spans="2:5">
      <c r="C4319" t="s">
        <v>5894</v>
      </c>
    </row>
    <row r="4320" spans="2:5">
      <c r="B4320" t="s">
        <v>469</v>
      </c>
    </row>
    <row r="4321" spans="3:5">
      <c r="C4321" t="s">
        <v>6898</v>
      </c>
    </row>
    <row r="4322" spans="3:5">
      <c r="C4322" t="s">
        <v>1564</v>
      </c>
    </row>
    <row r="4323" spans="3:5">
      <c r="D4323" t="s">
        <v>6899</v>
      </c>
    </row>
    <row r="4324" spans="3:5">
      <c r="D4324" t="s">
        <v>6900</v>
      </c>
    </row>
    <row r="4325" spans="3:5">
      <c r="E4325" t="s">
        <v>6901</v>
      </c>
    </row>
    <row r="4326" spans="3:5">
      <c r="D4326" t="s">
        <v>6902</v>
      </c>
    </row>
    <row r="4327" spans="3:5">
      <c r="E4327" t="s">
        <v>6904</v>
      </c>
    </row>
    <row r="4328" spans="3:5">
      <c r="D4328" t="s">
        <v>6903</v>
      </c>
    </row>
    <row r="4329" spans="3:5">
      <c r="C4329" t="s">
        <v>6905</v>
      </c>
    </row>
    <row r="4330" spans="3:5">
      <c r="D4330" t="s">
        <v>6906</v>
      </c>
    </row>
    <row r="4331" spans="3:5">
      <c r="D4331" s="644">
        <v>45231</v>
      </c>
    </row>
    <row r="4332" spans="3:5">
      <c r="D4332" t="s">
        <v>6907</v>
      </c>
    </row>
    <row r="4333" spans="3:5">
      <c r="C4333" t="s">
        <v>6908</v>
      </c>
    </row>
    <row r="4334" spans="3:5">
      <c r="D4334" t="s">
        <v>6909</v>
      </c>
    </row>
    <row r="4335" spans="3:5">
      <c r="C4335" t="s">
        <v>6910</v>
      </c>
    </row>
    <row r="4336" spans="3:5">
      <c r="D4336" t="s">
        <v>6911</v>
      </c>
    </row>
    <row r="4337" spans="2:3">
      <c r="B4337" t="s">
        <v>3411</v>
      </c>
    </row>
    <row r="4338" spans="2:3">
      <c r="C4338" t="s">
        <v>6916</v>
      </c>
    </row>
    <row r="4339" spans="2:3">
      <c r="C4339" t="s">
        <v>6917</v>
      </c>
    </row>
    <row r="4340" spans="2:3">
      <c r="C4340" t="s">
        <v>6918</v>
      </c>
    </row>
    <row r="4342" spans="2:3">
      <c r="B4342" s="513" t="s">
        <v>6933</v>
      </c>
    </row>
    <row r="4344" spans="2:3">
      <c r="B4344" t="s">
        <v>6925</v>
      </c>
    </row>
    <row r="4345" spans="2:3">
      <c r="C4345" t="s">
        <v>6926</v>
      </c>
    </row>
    <row r="4346" spans="2:3">
      <c r="C4346" t="s">
        <v>6931</v>
      </c>
    </row>
    <row r="4347" spans="2:3">
      <c r="C4347" t="s">
        <v>6930</v>
      </c>
    </row>
    <row r="4348" spans="2:3">
      <c r="B4348" t="s">
        <v>6927</v>
      </c>
    </row>
    <row r="4349" spans="2:3">
      <c r="C4349" t="s">
        <v>6928</v>
      </c>
    </row>
    <row r="4350" spans="2:3">
      <c r="B4350" t="s">
        <v>6929</v>
      </c>
    </row>
    <row r="4352" spans="2:3">
      <c r="B4352" s="513" t="s">
        <v>6527</v>
      </c>
    </row>
    <row r="4354" spans="1:3">
      <c r="B4354" t="s">
        <v>6940</v>
      </c>
    </row>
    <row r="4355" spans="1:3">
      <c r="B4355" t="s">
        <v>6936</v>
      </c>
    </row>
    <row r="4356" spans="1:3">
      <c r="B4356" t="s">
        <v>6935</v>
      </c>
    </row>
    <row r="4357" spans="1:3">
      <c r="C4357" t="s">
        <v>6938</v>
      </c>
    </row>
    <row r="4358" spans="1:3">
      <c r="C4358" t="s">
        <v>6937</v>
      </c>
    </row>
    <row r="4359" spans="1:3">
      <c r="B4359" t="s">
        <v>6934</v>
      </c>
    </row>
    <row r="4361" spans="1:3">
      <c r="B4361" t="s">
        <v>6941</v>
      </c>
    </row>
    <row r="4363" spans="1:3">
      <c r="B4363" s="13" t="s">
        <v>428</v>
      </c>
    </row>
    <row r="4365" spans="1:3">
      <c r="B4365" s="13" t="s">
        <v>469</v>
      </c>
    </row>
    <row r="4366" spans="1:3">
      <c r="B4366" s="13"/>
    </row>
    <row r="4367" spans="1:3">
      <c r="A4367" t="s">
        <v>3905</v>
      </c>
      <c r="B4367" t="s">
        <v>5954</v>
      </c>
    </row>
    <row r="4368" spans="1:3">
      <c r="C4368" t="s">
        <v>6970</v>
      </c>
    </row>
    <row r="4369" spans="1:3">
      <c r="C4369" t="s">
        <v>6975</v>
      </c>
    </row>
    <row r="4370" spans="1:3">
      <c r="C4370" t="s">
        <v>6976</v>
      </c>
    </row>
    <row r="4371" spans="1:3">
      <c r="B4371" s="13"/>
    </row>
    <row r="4372" spans="1:3">
      <c r="A4372" t="s">
        <v>3905</v>
      </c>
      <c r="B4372" t="s">
        <v>6950</v>
      </c>
    </row>
    <row r="4373" spans="1:3">
      <c r="C4373" t="s">
        <v>6955</v>
      </c>
    </row>
    <row r="4374" spans="1:3">
      <c r="C4374" t="s">
        <v>6954</v>
      </c>
    </row>
    <row r="4375" spans="1:3">
      <c r="B4375" t="s">
        <v>6951</v>
      </c>
    </row>
    <row r="4376" spans="1:3">
      <c r="C4376" t="s">
        <v>6952</v>
      </c>
    </row>
    <row r="4377" spans="1:3">
      <c r="C4377" t="s">
        <v>6943</v>
      </c>
    </row>
    <row r="4378" spans="1:3">
      <c r="C4378" t="s">
        <v>6948</v>
      </c>
    </row>
    <row r="4379" spans="1:3">
      <c r="B4379" t="s">
        <v>6942</v>
      </c>
    </row>
    <row r="4380" spans="1:3">
      <c r="A4380" t="s">
        <v>3905</v>
      </c>
      <c r="B4380" t="s">
        <v>6947</v>
      </c>
    </row>
    <row r="4381" spans="1:3">
      <c r="C4381" t="s">
        <v>6971</v>
      </c>
    </row>
    <row r="4383" spans="1:3">
      <c r="B4383" t="s">
        <v>6944</v>
      </c>
    </row>
    <row r="4384" spans="1:3">
      <c r="B4384" t="s">
        <v>6946</v>
      </c>
    </row>
    <row r="4385" spans="1:4">
      <c r="C4385" t="s">
        <v>6953</v>
      </c>
    </row>
    <row r="4386" spans="1:4">
      <c r="B4386" t="s">
        <v>6945</v>
      </c>
    </row>
    <row r="4388" spans="1:4">
      <c r="B4388" t="s">
        <v>6949</v>
      </c>
    </row>
    <row r="4389" spans="1:4">
      <c r="A4389" t="s">
        <v>3905</v>
      </c>
      <c r="B4389" t="s">
        <v>6958</v>
      </c>
    </row>
    <row r="4390" spans="1:4">
      <c r="C4390" t="s">
        <v>6956</v>
      </c>
    </row>
    <row r="4391" spans="1:4">
      <c r="C4391" t="s">
        <v>2659</v>
      </c>
    </row>
    <row r="4392" spans="1:4">
      <c r="C4392" t="s">
        <v>6957</v>
      </c>
    </row>
    <row r="4393" spans="1:4">
      <c r="B4393" t="s">
        <v>0</v>
      </c>
    </row>
    <row r="4394" spans="1:4">
      <c r="C4394" t="s">
        <v>6959</v>
      </c>
    </row>
    <row r="4395" spans="1:4">
      <c r="A4395" t="s">
        <v>3905</v>
      </c>
      <c r="B4395" t="s">
        <v>6960</v>
      </c>
    </row>
    <row r="4396" spans="1:4">
      <c r="C4396" t="s">
        <v>6961</v>
      </c>
    </row>
    <row r="4397" spans="1:4">
      <c r="D4397" t="s">
        <v>6972</v>
      </c>
    </row>
    <row r="4398" spans="1:4">
      <c r="C4398" t="s">
        <v>6973</v>
      </c>
    </row>
    <row r="4399" spans="1:4">
      <c r="C4399" t="s">
        <v>6974</v>
      </c>
    </row>
    <row r="4400" spans="1:4">
      <c r="A4400" t="s">
        <v>3905</v>
      </c>
      <c r="B4400" t="s">
        <v>6925</v>
      </c>
    </row>
    <row r="4401" spans="1:4">
      <c r="A4401" t="s">
        <v>3905</v>
      </c>
      <c r="B4401" t="s">
        <v>377</v>
      </c>
    </row>
    <row r="4404" spans="1:4">
      <c r="B4404" s="13" t="s">
        <v>3554</v>
      </c>
    </row>
    <row r="4406" spans="1:4">
      <c r="B4406" t="s">
        <v>984</v>
      </c>
    </row>
    <row r="4407" spans="1:4">
      <c r="C4407" t="s">
        <v>6962</v>
      </c>
    </row>
    <row r="4408" spans="1:4">
      <c r="B4408" t="s">
        <v>5954</v>
      </c>
    </row>
    <row r="4409" spans="1:4">
      <c r="C4409" t="s">
        <v>6963</v>
      </c>
    </row>
    <row r="4410" spans="1:4">
      <c r="D4410" t="s">
        <v>6964</v>
      </c>
    </row>
    <row r="4411" spans="1:4">
      <c r="C4411" t="s">
        <v>6965</v>
      </c>
    </row>
    <row r="4412" spans="1:4">
      <c r="C4412" t="s">
        <v>6966</v>
      </c>
    </row>
    <row r="4413" spans="1:4">
      <c r="C4413" t="s">
        <v>6967</v>
      </c>
    </row>
    <row r="4414" spans="1:4">
      <c r="C4414" t="s">
        <v>6968</v>
      </c>
    </row>
    <row r="4415" spans="1:4">
      <c r="C4415" t="s">
        <v>6969</v>
      </c>
    </row>
    <row r="4416" spans="1:4">
      <c r="B4416" t="s">
        <v>6977</v>
      </c>
    </row>
    <row r="4418" spans="2:4">
      <c r="B4418" s="13" t="s">
        <v>428</v>
      </c>
    </row>
    <row r="4419" spans="2:4">
      <c r="B4419" t="s">
        <v>469</v>
      </c>
    </row>
    <row r="4420" spans="2:4">
      <c r="C4420" t="s">
        <v>6978</v>
      </c>
    </row>
    <row r="4421" spans="2:4">
      <c r="C4421" t="s">
        <v>6979</v>
      </c>
    </row>
    <row r="4422" spans="2:4">
      <c r="C4422" t="s">
        <v>707</v>
      </c>
    </row>
    <row r="4423" spans="2:4">
      <c r="D4423" t="s">
        <v>6980</v>
      </c>
    </row>
    <row r="4424" spans="2:4">
      <c r="C4424" t="s">
        <v>6981</v>
      </c>
    </row>
    <row r="4425" spans="2:4">
      <c r="D4425" t="s">
        <v>6982</v>
      </c>
    </row>
    <row r="4426" spans="2:4">
      <c r="D4426" t="s">
        <v>6983</v>
      </c>
    </row>
    <row r="4427" spans="2:4">
      <c r="D4427" t="s">
        <v>6984</v>
      </c>
    </row>
    <row r="4428" spans="2:4">
      <c r="C4428" t="s">
        <v>6985</v>
      </c>
    </row>
    <row r="4429" spans="2:4">
      <c r="D4429" t="s">
        <v>6986</v>
      </c>
    </row>
    <row r="4430" spans="2:4">
      <c r="D4430" t="s">
        <v>6987</v>
      </c>
    </row>
    <row r="4431" spans="2:4">
      <c r="C4431" t="s">
        <v>6988</v>
      </c>
    </row>
    <row r="4432" spans="2:4">
      <c r="D4432" t="s">
        <v>6989</v>
      </c>
    </row>
    <row r="4433" spans="2:5">
      <c r="E4433" t="s">
        <v>5818</v>
      </c>
    </row>
    <row r="4434" spans="2:5">
      <c r="E4434" t="s">
        <v>6990</v>
      </c>
    </row>
    <row r="4435" spans="2:5">
      <c r="B4435" t="s">
        <v>8</v>
      </c>
    </row>
    <row r="4436" spans="2:5">
      <c r="C4436" t="s">
        <v>6991</v>
      </c>
    </row>
    <row r="4437" spans="2:5">
      <c r="C4437" t="s">
        <v>6992</v>
      </c>
    </row>
    <row r="4438" spans="2:5">
      <c r="B4438" t="s">
        <v>482</v>
      </c>
    </row>
    <row r="4439" spans="2:5">
      <c r="C4439" t="s">
        <v>6993</v>
      </c>
    </row>
    <row r="4440" spans="2:5">
      <c r="B4440" t="s">
        <v>6925</v>
      </c>
    </row>
    <row r="4441" spans="2:5">
      <c r="C4441" t="s">
        <v>6994</v>
      </c>
    </row>
    <row r="4442" spans="2:5">
      <c r="C4442" t="s">
        <v>6995</v>
      </c>
    </row>
    <row r="4443" spans="2:5">
      <c r="B4443" t="s">
        <v>0</v>
      </c>
    </row>
    <row r="4444" spans="2:5">
      <c r="C4444" t="s">
        <v>6996</v>
      </c>
    </row>
    <row r="4445" spans="2:5">
      <c r="C4445" t="s">
        <v>6997</v>
      </c>
    </row>
    <row r="4446" spans="2:5">
      <c r="B4446" t="s">
        <v>377</v>
      </c>
    </row>
    <row r="4447" spans="2:5">
      <c r="C4447" t="s">
        <v>6998</v>
      </c>
    </row>
    <row r="4448" spans="2:5">
      <c r="C4448" t="s">
        <v>6999</v>
      </c>
    </row>
    <row r="4449" spans="2:4">
      <c r="B4449" t="s">
        <v>6742</v>
      </c>
    </row>
    <row r="4450" spans="2:4">
      <c r="C4450" t="s">
        <v>7000</v>
      </c>
    </row>
    <row r="4451" spans="2:4">
      <c r="C4451" t="s">
        <v>7001</v>
      </c>
    </row>
    <row r="4452" spans="2:4">
      <c r="C4452" t="s">
        <v>7002</v>
      </c>
    </row>
    <row r="4453" spans="2:4">
      <c r="D4453" t="s">
        <v>7006</v>
      </c>
    </row>
    <row r="4454" spans="2:4">
      <c r="C4454" t="s">
        <v>7003</v>
      </c>
    </row>
    <row r="4455" spans="2:4">
      <c r="D4455" t="s">
        <v>7004</v>
      </c>
    </row>
    <row r="4456" spans="2:4">
      <c r="D4456" t="s">
        <v>7005</v>
      </c>
    </row>
    <row r="4457" spans="2:4">
      <c r="C4457" t="s">
        <v>7007</v>
      </c>
    </row>
    <row r="4458" spans="2:4">
      <c r="B4458" t="s">
        <v>7008</v>
      </c>
    </row>
    <row r="4459" spans="2:4">
      <c r="C4459" t="s">
        <v>7009</v>
      </c>
    </row>
    <row r="4460" spans="2:4">
      <c r="C4460" t="s">
        <v>7010</v>
      </c>
    </row>
    <row r="4461" spans="2:4">
      <c r="C4461" t="s">
        <v>7011</v>
      </c>
    </row>
    <row r="4462" spans="2:4">
      <c r="B4462" t="s">
        <v>5661</v>
      </c>
    </row>
    <row r="4463" spans="2:4">
      <c r="C4463">
        <v>256</v>
      </c>
      <c r="D4463" t="s">
        <v>1725</v>
      </c>
    </row>
    <row r="4464" spans="2:4">
      <c r="C4464">
        <v>100</v>
      </c>
      <c r="D4464" t="s">
        <v>7012</v>
      </c>
    </row>
    <row r="4465" spans="2:4">
      <c r="C4465">
        <v>3.3</v>
      </c>
      <c r="D4465" t="s">
        <v>7013</v>
      </c>
    </row>
    <row r="4466" spans="2:4">
      <c r="C4466" s="845">
        <f>C4463/C4464/C4465</f>
        <v>0.77575757575757587</v>
      </c>
    </row>
    <row r="4467" spans="2:4">
      <c r="C4467" t="s">
        <v>7014</v>
      </c>
    </row>
    <row r="4468" spans="2:4">
      <c r="C4468" t="s">
        <v>7015</v>
      </c>
    </row>
    <row r="4469" spans="2:4">
      <c r="C4469" t="s">
        <v>7016</v>
      </c>
    </row>
    <row r="4471" spans="2:4">
      <c r="B4471" s="513" t="s">
        <v>6528</v>
      </c>
    </row>
    <row r="4473" spans="2:4">
      <c r="B4473" t="s">
        <v>7046</v>
      </c>
    </row>
    <row r="4475" spans="2:4">
      <c r="B4475" t="s">
        <v>7047</v>
      </c>
    </row>
    <row r="4476" spans="2:4">
      <c r="C4476" t="s">
        <v>7048</v>
      </c>
    </row>
    <row r="4477" spans="2:4">
      <c r="C4477" t="s">
        <v>7049</v>
      </c>
    </row>
    <row r="4478" spans="2:4">
      <c r="C4478" t="s">
        <v>7050</v>
      </c>
    </row>
    <row r="4479" spans="2:4">
      <c r="D4479" t="s">
        <v>7051</v>
      </c>
    </row>
    <row r="4480" spans="2:4">
      <c r="D4480" t="s">
        <v>7052</v>
      </c>
    </row>
    <row r="4481" spans="2:12">
      <c r="B4481" t="s">
        <v>7053</v>
      </c>
      <c r="I4481">
        <f>273</f>
        <v>273</v>
      </c>
      <c r="J4481">
        <f>I4481*3</f>
        <v>819</v>
      </c>
      <c r="K4481">
        <f>J4481+450</f>
        <v>1269</v>
      </c>
      <c r="L4481">
        <f>K4481-0.08*450</f>
        <v>1233</v>
      </c>
    </row>
    <row r="4482" spans="2:12">
      <c r="C4482" t="s">
        <v>7054</v>
      </c>
    </row>
    <row r="4483" spans="2:12">
      <c r="C4483" s="84">
        <f>273+35</f>
        <v>308</v>
      </c>
    </row>
    <row r="4484" spans="2:12">
      <c r="C4484" s="84">
        <f>C4483+35</f>
        <v>343</v>
      </c>
      <c r="I4484">
        <f>J4481+35+70+70</f>
        <v>994</v>
      </c>
    </row>
    <row r="4485" spans="2:12">
      <c r="C4485" s="84">
        <f>C4484</f>
        <v>343</v>
      </c>
    </row>
    <row r="4486" spans="2:12">
      <c r="B4486" t="s">
        <v>7055</v>
      </c>
    </row>
    <row r="4487" spans="2:12">
      <c r="C4487" t="s">
        <v>7056</v>
      </c>
    </row>
    <row r="4488" spans="2:12">
      <c r="C4488" t="s">
        <v>7057</v>
      </c>
    </row>
    <row r="4489" spans="2:12">
      <c r="B4489" t="s">
        <v>7058</v>
      </c>
      <c r="E4489">
        <f>D4490</f>
        <v>1702</v>
      </c>
      <c r="F4489">
        <f>E4489</f>
        <v>1702</v>
      </c>
      <c r="G4489">
        <f>F4489</f>
        <v>1702</v>
      </c>
    </row>
    <row r="4490" spans="2:12">
      <c r="C4490" t="s">
        <v>8</v>
      </c>
      <c r="D4490" s="84">
        <v>1702</v>
      </c>
      <c r="E4490" s="16">
        <f>D4490*(1.05)</f>
        <v>1787.1000000000001</v>
      </c>
      <c r="F4490" s="16">
        <f>E4490*(1.05)</f>
        <v>1876.4550000000002</v>
      </c>
      <c r="G4490" s="16">
        <f>F4490*(1.05)</f>
        <v>1970.2777500000002</v>
      </c>
      <c r="H4490" s="6">
        <f>(G4490/D4490)^(1/3)-1</f>
        <v>5.0000000000000044E-2</v>
      </c>
      <c r="J4490">
        <f>3*D4490</f>
        <v>5106</v>
      </c>
      <c r="K4490" s="16">
        <f>SUM(E4490:G4490)</f>
        <v>5633.8327500000005</v>
      </c>
      <c r="L4490" s="16">
        <f>K4490-J4490</f>
        <v>527.83275000000049</v>
      </c>
    </row>
    <row r="4491" spans="2:12">
      <c r="D4491" s="84"/>
      <c r="E4491" s="16">
        <f>E4490-E4489</f>
        <v>85.100000000000136</v>
      </c>
      <c r="F4491" s="16">
        <f>F4490-F4489</f>
        <v>174.45500000000015</v>
      </c>
      <c r="G4491" s="16">
        <f>G4490-G4489</f>
        <v>268.2777500000002</v>
      </c>
    </row>
    <row r="4492" spans="2:12">
      <c r="D4492" s="84">
        <f>D4490</f>
        <v>1702</v>
      </c>
      <c r="E4492" s="16">
        <f>D4492*(1.08)</f>
        <v>1838.16</v>
      </c>
      <c r="F4492" s="16">
        <f>E4492*(1.08)</f>
        <v>1985.2128000000002</v>
      </c>
      <c r="G4492" s="16">
        <f>F4492*(1.08)</f>
        <v>2144.0298240000002</v>
      </c>
    </row>
    <row r="4493" spans="2:12">
      <c r="D4493" s="84"/>
      <c r="E4493" s="16">
        <f>E4492-E4489</f>
        <v>136.16000000000008</v>
      </c>
      <c r="F4493" s="16">
        <f>F4492-F4489</f>
        <v>283.21280000000024</v>
      </c>
      <c r="G4493" s="16">
        <f>G4492-G4489</f>
        <v>442.02982400000019</v>
      </c>
    </row>
    <row r="4494" spans="2:12">
      <c r="D4494" s="84"/>
      <c r="E4494" s="16"/>
      <c r="F4494" s="16"/>
      <c r="G4494" s="16">
        <f>G4490-70</f>
        <v>1900.2777500000002</v>
      </c>
    </row>
    <row r="4495" spans="2:12">
      <c r="C4495" t="s">
        <v>19</v>
      </c>
      <c r="G4495" s="5">
        <f>(G4494/D4490)^(1/3)-1</f>
        <v>3.7414966588675602E-2</v>
      </c>
    </row>
    <row r="4496" spans="2:12">
      <c r="C4496" t="s">
        <v>7059</v>
      </c>
    </row>
    <row r="4497" spans="2:9">
      <c r="D4497" t="s">
        <v>7061</v>
      </c>
    </row>
    <row r="4498" spans="2:9">
      <c r="D4498" t="s">
        <v>7060</v>
      </c>
    </row>
    <row r="4499" spans="2:9">
      <c r="D4499" t="s">
        <v>7062</v>
      </c>
    </row>
    <row r="4500" spans="2:9">
      <c r="D4500" t="s">
        <v>7063</v>
      </c>
    </row>
    <row r="4502" spans="2:9">
      <c r="D4502" s="84">
        <v>8200</v>
      </c>
      <c r="E4502" s="5">
        <v>0.06</v>
      </c>
      <c r="F4502">
        <f>D4502*E4502</f>
        <v>492</v>
      </c>
    </row>
    <row r="4503" spans="2:9">
      <c r="D4503" s="84">
        <f>D4502</f>
        <v>8200</v>
      </c>
      <c r="E4503" s="5">
        <v>0.08</v>
      </c>
      <c r="F4503">
        <f>D4503*E4503</f>
        <v>656</v>
      </c>
    </row>
    <row r="4504" spans="2:9">
      <c r="B4504" t="s">
        <v>7064</v>
      </c>
    </row>
    <row r="4505" spans="2:9">
      <c r="C4505" t="s">
        <v>7065</v>
      </c>
    </row>
    <row r="4506" spans="2:9">
      <c r="D4506" t="s">
        <v>7066</v>
      </c>
    </row>
    <row r="4507" spans="2:9">
      <c r="C4507" t="s">
        <v>7067</v>
      </c>
    </row>
    <row r="4509" spans="2:9">
      <c r="B4509" s="513" t="s">
        <v>428</v>
      </c>
    </row>
    <row r="4511" spans="2:9">
      <c r="B4511" t="s">
        <v>7068</v>
      </c>
    </row>
    <row r="4512" spans="2:9">
      <c r="C4512" t="s">
        <v>7093</v>
      </c>
      <c r="E4512">
        <f>273*3</f>
        <v>819</v>
      </c>
      <c r="G4512">
        <f>70*2</f>
        <v>140</v>
      </c>
      <c r="H4512">
        <f>G4512+35</f>
        <v>175</v>
      </c>
      <c r="I4512">
        <f>E4512+H4512</f>
        <v>994</v>
      </c>
    </row>
    <row r="4513" spans="1:9">
      <c r="C4513" t="s">
        <v>7085</v>
      </c>
    </row>
    <row r="4514" spans="1:9">
      <c r="D4514" t="s">
        <v>7069</v>
      </c>
    </row>
    <row r="4515" spans="1:9">
      <c r="D4515" t="s">
        <v>7070</v>
      </c>
    </row>
    <row r="4516" spans="1:9">
      <c r="C4516" t="s">
        <v>7071</v>
      </c>
    </row>
    <row r="4517" spans="1:9">
      <c r="A4517" t="s">
        <v>3905</v>
      </c>
      <c r="C4517" t="s">
        <v>7073</v>
      </c>
    </row>
    <row r="4518" spans="1:9">
      <c r="D4518" t="s">
        <v>7074</v>
      </c>
    </row>
    <row r="4519" spans="1:9">
      <c r="D4519" t="s">
        <v>7075</v>
      </c>
    </row>
    <row r="4520" spans="1:9">
      <c r="C4520" t="s">
        <v>7096</v>
      </c>
    </row>
    <row r="4521" spans="1:9">
      <c r="D4521" s="595" t="s">
        <v>7109</v>
      </c>
      <c r="E4521" s="595"/>
      <c r="F4521" s="595"/>
      <c r="G4521" s="595"/>
      <c r="H4521" s="595"/>
      <c r="I4521" s="595"/>
    </row>
    <row r="4522" spans="1:9">
      <c r="D4522" s="595" t="s">
        <v>7110</v>
      </c>
      <c r="E4522" s="595"/>
      <c r="F4522" s="595"/>
      <c r="G4522" s="595"/>
      <c r="H4522" s="595"/>
      <c r="I4522" s="595"/>
    </row>
    <row r="4523" spans="1:9">
      <c r="D4523" s="1527" t="s">
        <v>7111</v>
      </c>
      <c r="E4523" s="595"/>
      <c r="F4523" s="595"/>
      <c r="G4523" s="595"/>
      <c r="H4523" s="595"/>
      <c r="I4523" s="595"/>
    </row>
    <row r="4524" spans="1:9">
      <c r="D4524" s="1527" t="s">
        <v>7112</v>
      </c>
      <c r="E4524" s="595"/>
      <c r="F4524" s="595"/>
      <c r="G4524" s="595"/>
      <c r="H4524" s="595"/>
      <c r="I4524" s="595"/>
    </row>
    <row r="4525" spans="1:9">
      <c r="D4525" s="1527"/>
      <c r="E4525" s="1527" t="s">
        <v>7113</v>
      </c>
      <c r="F4525" s="595"/>
      <c r="G4525" s="595"/>
      <c r="H4525" s="595"/>
      <c r="I4525" s="595"/>
    </row>
    <row r="4526" spans="1:9">
      <c r="D4526" s="1527"/>
      <c r="E4526" s="1527" t="s">
        <v>7114</v>
      </c>
      <c r="F4526" s="595"/>
      <c r="G4526" s="595"/>
      <c r="H4526" s="595"/>
      <c r="I4526" s="595"/>
    </row>
    <row r="4527" spans="1:9">
      <c r="A4527" t="s">
        <v>3905</v>
      </c>
      <c r="B4527" t="s">
        <v>469</v>
      </c>
    </row>
    <row r="4528" spans="1:9">
      <c r="C4528" t="s">
        <v>7104</v>
      </c>
    </row>
    <row r="4529" spans="2:11">
      <c r="D4529" t="s">
        <v>5954</v>
      </c>
    </row>
    <row r="4530" spans="2:11">
      <c r="E4530" s="595" t="s">
        <v>7105</v>
      </c>
    </row>
    <row r="4531" spans="2:11">
      <c r="E4531" s="595" t="s">
        <v>7106</v>
      </c>
    </row>
    <row r="4532" spans="2:11">
      <c r="E4532" s="595" t="s">
        <v>7107</v>
      </c>
    </row>
    <row r="4533" spans="2:11">
      <c r="E4533" s="595" t="s">
        <v>7108</v>
      </c>
      <c r="J4533">
        <f>0.25*90</f>
        <v>22.5</v>
      </c>
      <c r="K4533">
        <f>90-J4533</f>
        <v>67.5</v>
      </c>
    </row>
    <row r="4535" spans="2:11">
      <c r="C4535" t="s">
        <v>7080</v>
      </c>
    </row>
    <row r="4536" spans="2:11">
      <c r="D4536" t="s">
        <v>7081</v>
      </c>
    </row>
    <row r="4537" spans="2:11">
      <c r="C4537" t="s">
        <v>7079</v>
      </c>
    </row>
    <row r="4538" spans="2:11">
      <c r="C4538" t="s">
        <v>7077</v>
      </c>
    </row>
    <row r="4539" spans="2:11">
      <c r="C4539" t="s">
        <v>7078</v>
      </c>
    </row>
    <row r="4540" spans="2:11">
      <c r="B4540" t="s">
        <v>0</v>
      </c>
    </row>
    <row r="4541" spans="2:11">
      <c r="C4541" t="s">
        <v>7076</v>
      </c>
    </row>
    <row r="4542" spans="2:11">
      <c r="C4542" t="s">
        <v>7072</v>
      </c>
    </row>
    <row r="4543" spans="2:11">
      <c r="B4543" t="s">
        <v>29</v>
      </c>
    </row>
    <row r="4544" spans="2:11">
      <c r="C4544" t="s">
        <v>7083</v>
      </c>
    </row>
    <row r="4545" spans="2:3">
      <c r="C4545" t="s">
        <v>7084</v>
      </c>
    </row>
    <row r="4546" spans="2:3">
      <c r="B4546" t="s">
        <v>7082</v>
      </c>
    </row>
    <row r="4548" spans="2:3">
      <c r="B4548" t="s">
        <v>0</v>
      </c>
    </row>
    <row r="4549" spans="2:3">
      <c r="C4549" t="s">
        <v>7086</v>
      </c>
    </row>
    <row r="4550" spans="2:3">
      <c r="C4550" t="s">
        <v>7088</v>
      </c>
    </row>
    <row r="4551" spans="2:3">
      <c r="C4551" t="s">
        <v>7087</v>
      </c>
    </row>
    <row r="4552" spans="2:3">
      <c r="B4552" t="s">
        <v>469</v>
      </c>
    </row>
    <row r="4553" spans="2:3">
      <c r="C4553" t="s">
        <v>7089</v>
      </c>
    </row>
    <row r="4554" spans="2:3">
      <c r="C4554" t="s">
        <v>7090</v>
      </c>
    </row>
    <row r="4555" spans="2:3">
      <c r="C4555" t="s">
        <v>7091</v>
      </c>
    </row>
    <row r="4556" spans="2:3">
      <c r="C4556" t="s">
        <v>7092</v>
      </c>
    </row>
    <row r="4557" spans="2:3">
      <c r="B4557" t="s">
        <v>7094</v>
      </c>
    </row>
    <row r="4558" spans="2:3">
      <c r="C4558" t="s">
        <v>7095</v>
      </c>
    </row>
    <row r="4559" spans="2:3">
      <c r="B4559" t="s">
        <v>2933</v>
      </c>
    </row>
    <row r="4560" spans="2:3">
      <c r="C4560" t="s">
        <v>7097</v>
      </c>
    </row>
    <row r="4561" spans="1:3">
      <c r="C4561" t="s">
        <v>7098</v>
      </c>
    </row>
    <row r="4562" spans="1:3">
      <c r="B4562" t="s">
        <v>3091</v>
      </c>
    </row>
    <row r="4563" spans="1:3">
      <c r="C4563" t="s">
        <v>7099</v>
      </c>
    </row>
    <row r="4564" spans="1:3">
      <c r="A4564" t="s">
        <v>3905</v>
      </c>
      <c r="B4564" t="s">
        <v>7100</v>
      </c>
    </row>
    <row r="4565" spans="1:3">
      <c r="C4565" t="s">
        <v>7101</v>
      </c>
    </row>
    <row r="4566" spans="1:3">
      <c r="B4566" t="s">
        <v>7102</v>
      </c>
    </row>
    <row r="4567" spans="1:3">
      <c r="C4567" t="s">
        <v>7103</v>
      </c>
    </row>
    <row r="4568" spans="1:3">
      <c r="B4568" t="s">
        <v>469</v>
      </c>
    </row>
    <row r="4569" spans="1:3">
      <c r="C4569" s="595" t="s">
        <v>7115</v>
      </c>
    </row>
    <row r="4570" spans="1:3">
      <c r="C4570" s="595" t="s">
        <v>7116</v>
      </c>
    </row>
    <row r="4571" spans="1:3">
      <c r="C4571" s="595" t="s">
        <v>7117</v>
      </c>
    </row>
    <row r="4572" spans="1:3">
      <c r="C4572" s="595" t="s">
        <v>7118</v>
      </c>
    </row>
    <row r="4573" spans="1:3">
      <c r="B4573" s="595" t="s">
        <v>5576</v>
      </c>
    </row>
    <row r="4574" spans="1:3">
      <c r="C4574" s="595" t="s">
        <v>7119</v>
      </c>
    </row>
    <row r="4575" spans="1:3">
      <c r="C4575" s="595" t="s">
        <v>7120</v>
      </c>
    </row>
    <row r="4576" spans="1:3">
      <c r="B4576" s="595" t="s">
        <v>7121</v>
      </c>
    </row>
    <row r="4577" spans="2:5">
      <c r="C4577" s="595" t="s">
        <v>7122</v>
      </c>
    </row>
    <row r="4578" spans="2:5">
      <c r="C4578" s="595"/>
      <c r="D4578" s="595" t="s">
        <v>7124</v>
      </c>
    </row>
    <row r="4579" spans="2:5">
      <c r="C4579" s="595" t="s">
        <v>7123</v>
      </c>
    </row>
    <row r="4580" spans="2:5">
      <c r="B4580" s="595" t="s">
        <v>7125</v>
      </c>
    </row>
    <row r="4581" spans="2:5">
      <c r="C4581" s="595" t="s">
        <v>7126</v>
      </c>
    </row>
    <row r="4582" spans="2:5">
      <c r="C4582" s="595" t="s">
        <v>7127</v>
      </c>
    </row>
    <row r="4583" spans="2:5">
      <c r="C4583" s="595" t="s">
        <v>7128</v>
      </c>
    </row>
    <row r="4584" spans="2:5">
      <c r="C4584" s="595" t="s">
        <v>7129</v>
      </c>
    </row>
    <row r="4585" spans="2:5">
      <c r="D4585" s="595" t="s">
        <v>7130</v>
      </c>
    </row>
    <row r="4586" spans="2:5">
      <c r="D4586" s="595" t="s">
        <v>7131</v>
      </c>
    </row>
    <row r="4587" spans="2:5">
      <c r="E4587" s="595" t="s">
        <v>7132</v>
      </c>
    </row>
    <row r="4588" spans="2:5">
      <c r="E4588" s="595" t="s">
        <v>7137</v>
      </c>
    </row>
    <row r="4589" spans="2:5">
      <c r="C4589" s="595" t="s">
        <v>7133</v>
      </c>
    </row>
    <row r="4590" spans="2:5">
      <c r="D4590" s="595" t="s">
        <v>7134</v>
      </c>
    </row>
    <row r="4591" spans="2:5">
      <c r="C4591" s="595" t="s">
        <v>7135</v>
      </c>
    </row>
    <row r="4592" spans="2:5">
      <c r="D4592" s="595" t="s">
        <v>7136</v>
      </c>
    </row>
    <row r="4593" spans="2:4">
      <c r="B4593" s="595" t="s">
        <v>7138</v>
      </c>
    </row>
    <row r="4595" spans="2:4">
      <c r="B4595" s="595" t="s">
        <v>7139</v>
      </c>
    </row>
    <row r="4596" spans="2:4">
      <c r="C4596" s="595" t="s">
        <v>7140</v>
      </c>
    </row>
    <row r="4598" spans="2:4">
      <c r="B4598" t="s">
        <v>7147</v>
      </c>
    </row>
    <row r="4599" spans="2:4">
      <c r="C4599" t="s">
        <v>7154</v>
      </c>
    </row>
    <row r="4600" spans="2:4">
      <c r="C4600" t="s">
        <v>7148</v>
      </c>
    </row>
    <row r="4601" spans="2:4">
      <c r="C4601" t="s">
        <v>7149</v>
      </c>
    </row>
    <row r="4602" spans="2:4">
      <c r="D4602" t="s">
        <v>7153</v>
      </c>
    </row>
    <row r="4604" spans="2:4">
      <c r="B4604" t="s">
        <v>7150</v>
      </c>
    </row>
    <row r="4605" spans="2:4">
      <c r="C4605" t="s">
        <v>7151</v>
      </c>
      <c r="D4605" t="s">
        <v>7152</v>
      </c>
    </row>
    <row r="4606" spans="2:4">
      <c r="C4606" t="s">
        <v>707</v>
      </c>
    </row>
    <row r="4607" spans="2:4">
      <c r="B4607" t="s">
        <v>7161</v>
      </c>
    </row>
    <row r="4608" spans="2:4">
      <c r="C4608" t="s">
        <v>7162</v>
      </c>
    </row>
    <row r="4610" spans="2:5">
      <c r="B4610" s="513" t="s">
        <v>7165</v>
      </c>
    </row>
    <row r="4611" spans="2:5">
      <c r="B4611" s="513"/>
    </row>
    <row r="4612" spans="2:5">
      <c r="B4612" t="s">
        <v>8</v>
      </c>
    </row>
    <row r="4613" spans="2:5">
      <c r="C4613" t="s">
        <v>7204</v>
      </c>
    </row>
    <row r="4615" spans="2:5">
      <c r="B4615" s="513"/>
    </row>
    <row r="4616" spans="2:5">
      <c r="B4616" s="13"/>
      <c r="C4616" s="571" t="s">
        <v>7177</v>
      </c>
      <c r="D4616" s="571" t="s">
        <v>7178</v>
      </c>
    </row>
    <row r="4617" spans="2:5">
      <c r="B4617" s="13" t="s">
        <v>249</v>
      </c>
      <c r="C4617" s="486">
        <f>Valuation!N36</f>
        <v>272.39999999999998</v>
      </c>
      <c r="D4617" s="486">
        <f ca="1">Valuation!O36</f>
        <v>51.464687652834982</v>
      </c>
    </row>
    <row r="4618" spans="2:5">
      <c r="B4618" s="13"/>
      <c r="C4618" t="s">
        <v>7179</v>
      </c>
    </row>
    <row r="4619" spans="2:5">
      <c r="B4619" s="13"/>
      <c r="D4619" t="s">
        <v>7182</v>
      </c>
    </row>
    <row r="4620" spans="2:5">
      <c r="B4620" s="13"/>
      <c r="C4620" t="s">
        <v>7180</v>
      </c>
    </row>
    <row r="4621" spans="2:5">
      <c r="C4621" t="s">
        <v>7181</v>
      </c>
      <c r="E4621" s="62"/>
    </row>
    <row r="4622" spans="2:5">
      <c r="D4622" t="s">
        <v>7185</v>
      </c>
      <c r="E4622" s="62"/>
    </row>
    <row r="4623" spans="2:5">
      <c r="D4623" t="s">
        <v>7183</v>
      </c>
    </row>
    <row r="4624" spans="2:5">
      <c r="C4624" t="s">
        <v>7184</v>
      </c>
    </row>
    <row r="4625" spans="2:6">
      <c r="B4625" t="s">
        <v>7202</v>
      </c>
    </row>
    <row r="4626" spans="2:6">
      <c r="C4626" t="s">
        <v>7203</v>
      </c>
    </row>
    <row r="4627" spans="2:6">
      <c r="C4627">
        <f>0.02*Valuation!N13</f>
        <v>145.02200000000002</v>
      </c>
    </row>
    <row r="4629" spans="2:6">
      <c r="B4629" s="13" t="s">
        <v>92</v>
      </c>
    </row>
    <row r="4631" spans="2:6">
      <c r="B4631" t="s">
        <v>7171</v>
      </c>
      <c r="C4631" t="s">
        <v>7166</v>
      </c>
    </row>
    <row r="4632" spans="2:6">
      <c r="D4632" t="s">
        <v>7167</v>
      </c>
    </row>
    <row r="4633" spans="2:6">
      <c r="D4633" s="84">
        <v>256</v>
      </c>
      <c r="E4633">
        <f>D4633/4</f>
        <v>64</v>
      </c>
      <c r="F4633" t="s">
        <v>7168</v>
      </c>
    </row>
    <row r="4634" spans="2:6">
      <c r="C4634" t="s">
        <v>7174</v>
      </c>
      <c r="D4634" s="84"/>
    </row>
    <row r="4635" spans="2:6">
      <c r="D4635" s="1533">
        <v>120000</v>
      </c>
      <c r="E4635">
        <v>3</v>
      </c>
      <c r="F4635" s="62">
        <f>D4635/1000000*E4635*12</f>
        <v>4.32</v>
      </c>
    </row>
    <row r="4636" spans="2:6">
      <c r="B4636" t="s">
        <v>7169</v>
      </c>
    </row>
    <row r="4637" spans="2:6">
      <c r="C4637" t="s">
        <v>7201</v>
      </c>
    </row>
    <row r="4638" spans="2:6">
      <c r="C4638" t="s">
        <v>7172</v>
      </c>
    </row>
    <row r="4639" spans="2:6">
      <c r="C4639" t="s">
        <v>7170</v>
      </c>
    </row>
    <row r="4640" spans="2:6">
      <c r="B4640" t="s">
        <v>2933</v>
      </c>
    </row>
    <row r="4641" spans="2:5">
      <c r="C4641" t="s">
        <v>7175</v>
      </c>
    </row>
    <row r="4642" spans="2:5">
      <c r="B4642" t="s">
        <v>2639</v>
      </c>
    </row>
    <row r="4643" spans="2:5">
      <c r="C4643" t="s">
        <v>7176</v>
      </c>
    </row>
    <row r="4645" spans="2:5">
      <c r="B4645" t="s">
        <v>29</v>
      </c>
    </row>
    <row r="4647" spans="2:5">
      <c r="B4647" s="13" t="s">
        <v>1415</v>
      </c>
    </row>
    <row r="4648" spans="2:5">
      <c r="C4648" t="s">
        <v>7198</v>
      </c>
    </row>
    <row r="4649" spans="2:5">
      <c r="D4649" s="6">
        <f>'New quarts'!AU297-'New quarts'!AP297</f>
        <v>6.0694291043933368E-2</v>
      </c>
      <c r="E4649" t="s">
        <v>7195</v>
      </c>
    </row>
    <row r="4650" spans="2:5">
      <c r="D4650" s="6" t="s">
        <v>7196</v>
      </c>
    </row>
    <row r="4651" spans="2:5">
      <c r="C4651" t="s">
        <v>7197</v>
      </c>
      <c r="D4651" s="6"/>
    </row>
    <row r="4652" spans="2:5">
      <c r="C4652" t="s">
        <v>7205</v>
      </c>
      <c r="D4652" s="6"/>
    </row>
    <row r="4653" spans="2:5">
      <c r="C4653" t="s">
        <v>7206</v>
      </c>
      <c r="D4653" s="6"/>
    </row>
    <row r="4654" spans="2:5">
      <c r="D4654" s="6"/>
    </row>
    <row r="4655" spans="2:5">
      <c r="B4655" s="13" t="s">
        <v>0</v>
      </c>
      <c r="D4655" s="6"/>
    </row>
    <row r="4656" spans="2:5">
      <c r="C4656" t="s">
        <v>7199</v>
      </c>
      <c r="D4656" s="6"/>
    </row>
    <row r="4657" spans="2:5">
      <c r="C4657" t="s">
        <v>7200</v>
      </c>
      <c r="D4657" s="6"/>
    </row>
    <row r="4658" spans="2:5">
      <c r="D4658" s="6"/>
    </row>
    <row r="4659" spans="2:5">
      <c r="B4659" t="s">
        <v>469</v>
      </c>
    </row>
    <row r="4660" spans="2:5">
      <c r="C4660" t="s">
        <v>7186</v>
      </c>
    </row>
    <row r="4661" spans="2:5">
      <c r="D4661" t="s">
        <v>7207</v>
      </c>
    </row>
    <row r="4662" spans="2:5">
      <c r="C4662" t="s">
        <v>4620</v>
      </c>
    </row>
    <row r="4663" spans="2:5">
      <c r="D4663" t="s">
        <v>7187</v>
      </c>
    </row>
    <row r="4664" spans="2:5">
      <c r="D4664" t="s">
        <v>7188</v>
      </c>
    </row>
    <row r="4665" spans="2:5">
      <c r="D4665" t="s">
        <v>7189</v>
      </c>
      <c r="E4665">
        <f>0.25*90</f>
        <v>22.5</v>
      </c>
    </row>
    <row r="4666" spans="2:5">
      <c r="D4666" t="s">
        <v>7190</v>
      </c>
    </row>
    <row r="4667" spans="2:5">
      <c r="C4667" t="s">
        <v>7191</v>
      </c>
    </row>
    <row r="4668" spans="2:5">
      <c r="D4668" t="s">
        <v>7192</v>
      </c>
    </row>
    <row r="4669" spans="2:5">
      <c r="D4669" t="s">
        <v>7193</v>
      </c>
    </row>
    <row r="4670" spans="2:5">
      <c r="C4670" t="s">
        <v>7194</v>
      </c>
    </row>
    <row r="4672" spans="2:5">
      <c r="B4672" s="513" t="s">
        <v>428</v>
      </c>
    </row>
    <row r="4674" spans="2:3">
      <c r="B4674" t="s">
        <v>3411</v>
      </c>
    </row>
    <row r="4675" spans="2:3">
      <c r="C4675" t="s">
        <v>7208</v>
      </c>
    </row>
    <row r="4676" spans="2:3">
      <c r="C4676" t="s">
        <v>7213</v>
      </c>
    </row>
    <row r="4677" spans="2:3">
      <c r="B4677" t="s">
        <v>6727</v>
      </c>
    </row>
    <row r="4678" spans="2:3">
      <c r="C4678" t="s">
        <v>7209</v>
      </c>
    </row>
    <row r="4679" spans="2:3">
      <c r="C4679" t="s">
        <v>7210</v>
      </c>
    </row>
    <row r="4680" spans="2:3">
      <c r="C4680" t="s">
        <v>7211</v>
      </c>
    </row>
    <row r="4681" spans="2:3">
      <c r="C4681" t="s">
        <v>7212</v>
      </c>
    </row>
    <row r="4682" spans="2:3">
      <c r="B4682" t="s">
        <v>52</v>
      </c>
    </row>
    <row r="4683" spans="2:3">
      <c r="C4683" t="s">
        <v>7214</v>
      </c>
    </row>
    <row r="4684" spans="2:3">
      <c r="B4684" t="s">
        <v>469</v>
      </c>
    </row>
    <row r="4685" spans="2:3">
      <c r="C4685" t="s">
        <v>7215</v>
      </c>
    </row>
    <row r="4686" spans="2:3">
      <c r="C4686" t="s">
        <v>7216</v>
      </c>
    </row>
    <row r="4687" spans="2:3">
      <c r="C4687" t="s">
        <v>7217</v>
      </c>
    </row>
    <row r="4688" spans="2:3">
      <c r="C4688" t="s">
        <v>7218</v>
      </c>
    </row>
    <row r="4689" spans="2:4">
      <c r="B4689" t="s">
        <v>0</v>
      </c>
    </row>
    <row r="4690" spans="2:4">
      <c r="C4690" t="s">
        <v>7219</v>
      </c>
    </row>
    <row r="4691" spans="2:4">
      <c r="C4691" t="s">
        <v>7220</v>
      </c>
    </row>
    <row r="4692" spans="2:4">
      <c r="C4692" t="s">
        <v>7221</v>
      </c>
    </row>
    <row r="4693" spans="2:4">
      <c r="B4693" t="s">
        <v>7222</v>
      </c>
    </row>
    <row r="4694" spans="2:4">
      <c r="C4694" t="s">
        <v>7223</v>
      </c>
    </row>
    <row r="4695" spans="2:4">
      <c r="C4695" t="s">
        <v>7224</v>
      </c>
    </row>
    <row r="4696" spans="2:4">
      <c r="C4696" t="s">
        <v>7225</v>
      </c>
    </row>
    <row r="4697" spans="2:4">
      <c r="C4697" t="s">
        <v>7226</v>
      </c>
    </row>
    <row r="4699" spans="2:4">
      <c r="B4699" s="513" t="s">
        <v>249</v>
      </c>
    </row>
    <row r="4700" spans="2:4">
      <c r="C4700" t="s">
        <v>7227</v>
      </c>
    </row>
    <row r="4701" spans="2:4">
      <c r="C4701" t="s">
        <v>7228</v>
      </c>
    </row>
    <row r="4702" spans="2:4">
      <c r="D4702" t="s">
        <v>7229</v>
      </c>
    </row>
    <row r="4703" spans="2:4">
      <c r="D4703" t="s">
        <v>7230</v>
      </c>
    </row>
    <row r="4704" spans="2:4">
      <c r="D4704" t="s">
        <v>7231</v>
      </c>
    </row>
    <row r="4705" spans="2:6">
      <c r="E4705" t="s">
        <v>7232</v>
      </c>
    </row>
    <row r="4706" spans="2:6">
      <c r="E4706" t="s">
        <v>7233</v>
      </c>
    </row>
    <row r="4707" spans="2:6">
      <c r="E4707" t="s">
        <v>7234</v>
      </c>
    </row>
    <row r="4708" spans="2:6">
      <c r="F4708" t="s">
        <v>7235</v>
      </c>
    </row>
    <row r="4709" spans="2:6">
      <c r="C4709" t="s">
        <v>7236</v>
      </c>
    </row>
    <row r="4710" spans="2:6">
      <c r="D4710" t="s">
        <v>7237</v>
      </c>
    </row>
    <row r="4711" spans="2:6">
      <c r="D4711" t="s">
        <v>7238</v>
      </c>
    </row>
    <row r="4712" spans="2:6">
      <c r="E4712" t="s">
        <v>7239</v>
      </c>
    </row>
    <row r="4713" spans="2:6">
      <c r="D4713" t="s">
        <v>7240</v>
      </c>
    </row>
    <row r="4714" spans="2:6">
      <c r="E4714" t="s">
        <v>7241</v>
      </c>
    </row>
    <row r="4715" spans="2:6">
      <c r="E4715" t="s">
        <v>7242</v>
      </c>
    </row>
    <row r="4716" spans="2:6">
      <c r="D4716" t="s">
        <v>7243</v>
      </c>
    </row>
    <row r="4717" spans="2:6">
      <c r="B4717" t="s">
        <v>2933</v>
      </c>
    </row>
    <row r="4718" spans="2:6">
      <c r="C4718" t="s">
        <v>7244</v>
      </c>
    </row>
    <row r="4719" spans="2:6">
      <c r="B4719" t="s">
        <v>7245</v>
      </c>
    </row>
    <row r="4720" spans="2:6">
      <c r="C4720" t="s">
        <v>7246</v>
      </c>
    </row>
    <row r="4721" spans="2:3">
      <c r="C4721" t="s">
        <v>7247</v>
      </c>
    </row>
    <row r="4722" spans="2:3">
      <c r="B4722" t="s">
        <v>7248</v>
      </c>
    </row>
    <row r="4723" spans="2:3">
      <c r="C4723" t="s">
        <v>7249</v>
      </c>
    </row>
    <row r="4724" spans="2:3">
      <c r="B4724" t="s">
        <v>468</v>
      </c>
    </row>
    <row r="4725" spans="2:3">
      <c r="C4725" t="s">
        <v>7250</v>
      </c>
    </row>
    <row r="4726" spans="2:3">
      <c r="C4726" t="s">
        <v>7251</v>
      </c>
    </row>
    <row r="4727" spans="2:3">
      <c r="B4727" t="s">
        <v>7100</v>
      </c>
    </row>
    <row r="4728" spans="2:3">
      <c r="C4728" t="s">
        <v>7252</v>
      </c>
    </row>
    <row r="4729" spans="2:3">
      <c r="C4729" t="s">
        <v>7253</v>
      </c>
    </row>
    <row r="4730" spans="2:3">
      <c r="C4730" t="s">
        <v>7254</v>
      </c>
    </row>
    <row r="4731" spans="2:3">
      <c r="C4731" t="s">
        <v>7255</v>
      </c>
    </row>
    <row r="4732" spans="2:3">
      <c r="B4732" t="s">
        <v>52</v>
      </c>
    </row>
    <row r="4733" spans="2:3">
      <c r="C4733" t="s">
        <v>7256</v>
      </c>
    </row>
    <row r="4734" spans="2:3">
      <c r="C4734" t="s">
        <v>7257</v>
      </c>
    </row>
    <row r="4735" spans="2:3">
      <c r="C4735" t="s">
        <v>7258</v>
      </c>
    </row>
    <row r="4736" spans="2:3">
      <c r="C4736" t="s">
        <v>7259</v>
      </c>
    </row>
    <row r="4737" spans="2:5">
      <c r="B4737" t="s">
        <v>7260</v>
      </c>
    </row>
    <row r="4738" spans="2:5">
      <c r="C4738" t="s">
        <v>7261</v>
      </c>
    </row>
    <row r="4739" spans="2:5">
      <c r="C4739" t="s">
        <v>7262</v>
      </c>
    </row>
    <row r="4740" spans="2:5">
      <c r="C4740" t="s">
        <v>7263</v>
      </c>
    </row>
    <row r="4741" spans="2:5">
      <c r="C4741" t="s">
        <v>7264</v>
      </c>
    </row>
    <row r="4742" spans="2:5">
      <c r="D4742" t="s">
        <v>7265</v>
      </c>
    </row>
    <row r="4743" spans="2:5">
      <c r="D4743" t="s">
        <v>7266</v>
      </c>
    </row>
    <row r="4744" spans="2:5">
      <c r="D4744" t="s">
        <v>7267</v>
      </c>
    </row>
    <row r="4745" spans="2:5">
      <c r="E4745" t="s">
        <v>7268</v>
      </c>
    </row>
    <row r="4746" spans="2:5">
      <c r="E4746" t="s">
        <v>7269</v>
      </c>
    </row>
    <row r="4747" spans="2:5">
      <c r="C4747" t="s">
        <v>7270</v>
      </c>
    </row>
    <row r="4749" spans="2:5">
      <c r="C4749" t="s">
        <v>7271</v>
      </c>
    </row>
    <row r="4750" spans="2:5">
      <c r="C4750" t="s">
        <v>7272</v>
      </c>
    </row>
    <row r="4752" spans="2:5">
      <c r="C4752" t="s">
        <v>7273</v>
      </c>
    </row>
    <row r="4753" spans="2:4">
      <c r="D4753" t="s">
        <v>7274</v>
      </c>
    </row>
    <row r="4754" spans="2:4">
      <c r="B4754" t="s">
        <v>2424</v>
      </c>
    </row>
    <row r="4755" spans="2:4">
      <c r="C4755" t="s">
        <v>7275</v>
      </c>
    </row>
    <row r="4756" spans="2:4">
      <c r="C4756" t="s">
        <v>7276</v>
      </c>
    </row>
    <row r="4757" spans="2:4">
      <c r="C4757" t="s">
        <v>7277</v>
      </c>
    </row>
    <row r="4758" spans="2:4">
      <c r="D4758" t="s">
        <v>7278</v>
      </c>
    </row>
    <row r="4759" spans="2:4">
      <c r="C4759" t="s">
        <v>7279</v>
      </c>
    </row>
    <row r="4760" spans="2:4">
      <c r="C4760" t="s">
        <v>7280</v>
      </c>
    </row>
    <row r="4761" spans="2:4">
      <c r="B4761" t="s">
        <v>0</v>
      </c>
    </row>
    <row r="4762" spans="2:4">
      <c r="C4762" t="s">
        <v>7281</v>
      </c>
    </row>
    <row r="4763" spans="2:4">
      <c r="C4763" t="s">
        <v>7282</v>
      </c>
    </row>
    <row r="4764" spans="2:4">
      <c r="C4764" t="s">
        <v>7283</v>
      </c>
    </row>
    <row r="4765" spans="2:4">
      <c r="C4765" t="s">
        <v>7284</v>
      </c>
    </row>
    <row r="4766" spans="2:4">
      <c r="B4766" t="s">
        <v>469</v>
      </c>
    </row>
    <row r="4767" spans="2:4">
      <c r="C4767" t="s">
        <v>7285</v>
      </c>
    </row>
    <row r="4768" spans="2:4">
      <c r="C4768" t="s">
        <v>7286</v>
      </c>
    </row>
    <row r="4769" spans="2:5">
      <c r="C4769" t="s">
        <v>7287</v>
      </c>
    </row>
    <row r="4770" spans="2:5">
      <c r="D4770" t="s">
        <v>4620</v>
      </c>
      <c r="E4770" t="s">
        <v>7288</v>
      </c>
    </row>
    <row r="4771" spans="2:5">
      <c r="D4771" t="s">
        <v>7289</v>
      </c>
    </row>
    <row r="4772" spans="2:5">
      <c r="C4772" t="s">
        <v>7290</v>
      </c>
    </row>
    <row r="4773" spans="2:5">
      <c r="D4773" t="s">
        <v>7291</v>
      </c>
    </row>
    <row r="4774" spans="2:5">
      <c r="D4774" t="s">
        <v>7292</v>
      </c>
    </row>
    <row r="4775" spans="2:5">
      <c r="C4775" t="s">
        <v>7293</v>
      </c>
    </row>
    <row r="4776" spans="2:5">
      <c r="C4776" t="s">
        <v>7294</v>
      </c>
    </row>
    <row r="4778" spans="2:5">
      <c r="C4778" t="s">
        <v>7295</v>
      </c>
    </row>
    <row r="4779" spans="2:5">
      <c r="B4779" t="s">
        <v>4164</v>
      </c>
    </row>
    <row r="4780" spans="2:5">
      <c r="C4780" t="s">
        <v>7296</v>
      </c>
    </row>
    <row r="4781" spans="2:5">
      <c r="C4781" t="s">
        <v>7297</v>
      </c>
    </row>
    <row r="4782" spans="2:5">
      <c r="C4782" t="s">
        <v>7298</v>
      </c>
    </row>
    <row r="4783" spans="2:5">
      <c r="C4783" t="s">
        <v>7299</v>
      </c>
    </row>
    <row r="4784" spans="2:5">
      <c r="C4784" t="s">
        <v>7300</v>
      </c>
    </row>
    <row r="4785" spans="2:5">
      <c r="C4785" t="s">
        <v>7301</v>
      </c>
    </row>
    <row r="4786" spans="2:5">
      <c r="C4786" t="s">
        <v>7302</v>
      </c>
    </row>
    <row r="4788" spans="2:5">
      <c r="B4788" t="s">
        <v>7121</v>
      </c>
    </row>
    <row r="4790" spans="2:5">
      <c r="B4790" t="s">
        <v>7331</v>
      </c>
    </row>
    <row r="4791" spans="2:5">
      <c r="C4791" t="s">
        <v>7332</v>
      </c>
    </row>
    <row r="4792" spans="2:5">
      <c r="C4792" t="s">
        <v>7333</v>
      </c>
      <c r="E4792">
        <v>14</v>
      </c>
    </row>
    <row r="4793" spans="2:5">
      <c r="C4793" t="s">
        <v>7334</v>
      </c>
      <c r="E4793">
        <v>9</v>
      </c>
    </row>
    <row r="4795" spans="2:5">
      <c r="B4795" t="s">
        <v>7336</v>
      </c>
      <c r="D4795">
        <f>45*12</f>
        <v>540</v>
      </c>
    </row>
    <row r="4796" spans="2:5">
      <c r="B4796" t="s">
        <v>7337</v>
      </c>
    </row>
    <row r="4798" spans="2:5">
      <c r="B4798" t="s">
        <v>2424</v>
      </c>
    </row>
    <row r="4800" spans="2:5">
      <c r="B4800" t="s">
        <v>7341</v>
      </c>
    </row>
    <row r="4801" spans="2:3">
      <c r="C4801" t="s">
        <v>7338</v>
      </c>
    </row>
    <row r="4802" spans="2:3">
      <c r="C4802" t="s">
        <v>7339</v>
      </c>
    </row>
    <row r="4803" spans="2:3">
      <c r="C4803" t="s">
        <v>7340</v>
      </c>
    </row>
    <row r="4804" spans="2:3">
      <c r="B4804" t="s">
        <v>7342</v>
      </c>
    </row>
    <row r="4806" spans="2:3">
      <c r="B4806" s="513" t="s">
        <v>428</v>
      </c>
    </row>
    <row r="4808" spans="2:3">
      <c r="B4808" t="s">
        <v>7343</v>
      </c>
    </row>
    <row r="4809" spans="2:3">
      <c r="C4809" t="s">
        <v>1775</v>
      </c>
    </row>
    <row r="4810" spans="2:3">
      <c r="C4810" t="s">
        <v>7344</v>
      </c>
    </row>
    <row r="4811" spans="2:3">
      <c r="C4811" t="s">
        <v>7345</v>
      </c>
    </row>
    <row r="4812" spans="2:3">
      <c r="B4812" t="s">
        <v>469</v>
      </c>
    </row>
    <row r="4813" spans="2:3">
      <c r="C4813" t="s">
        <v>7346</v>
      </c>
    </row>
    <row r="4814" spans="2:3">
      <c r="C4814" t="s">
        <v>7347</v>
      </c>
    </row>
    <row r="4815" spans="2:3">
      <c r="C4815" t="s">
        <v>7348</v>
      </c>
    </row>
    <row r="4816" spans="2:3">
      <c r="C4816" t="s">
        <v>7349</v>
      </c>
    </row>
    <row r="4818" spans="2:4">
      <c r="C4818" t="s">
        <v>7350</v>
      </c>
      <c r="D4818" t="s">
        <v>7351</v>
      </c>
    </row>
    <row r="4819" spans="2:4">
      <c r="D4819" t="s">
        <v>7352</v>
      </c>
    </row>
    <row r="4820" spans="2:4">
      <c r="D4820" t="s">
        <v>7353</v>
      </c>
    </row>
    <row r="4823" spans="2:4">
      <c r="B4823" t="s">
        <v>7354</v>
      </c>
    </row>
    <row r="4824" spans="2:4">
      <c r="C4824" t="s">
        <v>7355</v>
      </c>
    </row>
    <row r="4825" spans="2:4">
      <c r="B4825" t="s">
        <v>7356</v>
      </c>
    </row>
    <row r="4826" spans="2:4">
      <c r="B4826" t="s">
        <v>7357</v>
      </c>
    </row>
    <row r="4827" spans="2:4">
      <c r="B4827" t="s">
        <v>7358</v>
      </c>
    </row>
    <row r="4829" spans="2:4">
      <c r="B4829" t="s">
        <v>7359</v>
      </c>
    </row>
    <row r="4830" spans="2:4">
      <c r="C4830" s="488" t="s">
        <v>7360</v>
      </c>
    </row>
    <row r="4831" spans="2:4">
      <c r="C4831" t="s">
        <v>7361</v>
      </c>
    </row>
    <row r="4832" spans="2:4">
      <c r="C4832" t="s">
        <v>7362</v>
      </c>
    </row>
    <row r="4833" spans="2:4">
      <c r="C4833" t="s">
        <v>7363</v>
      </c>
    </row>
    <row r="4834" spans="2:4">
      <c r="B4834" t="s">
        <v>984</v>
      </c>
    </row>
    <row r="4835" spans="2:4">
      <c r="C4835" t="s">
        <v>7364</v>
      </c>
    </row>
    <row r="4836" spans="2:4">
      <c r="B4836" t="s">
        <v>7365</v>
      </c>
    </row>
    <row r="4837" spans="2:4">
      <c r="B4837" t="s">
        <v>7366</v>
      </c>
    </row>
    <row r="4838" spans="2:4">
      <c r="C4838" s="5" t="s">
        <v>7367</v>
      </c>
    </row>
    <row r="4840" spans="2:4">
      <c r="B4840" s="513" t="s">
        <v>7121</v>
      </c>
    </row>
    <row r="4842" spans="2:4">
      <c r="B4842" t="s">
        <v>7380</v>
      </c>
    </row>
    <row r="4843" spans="2:4">
      <c r="C4843" t="s">
        <v>7382</v>
      </c>
    </row>
    <row r="4844" spans="2:4">
      <c r="C4844" t="s">
        <v>7381</v>
      </c>
    </row>
    <row r="4845" spans="2:4">
      <c r="B4845" t="s">
        <v>744</v>
      </c>
    </row>
    <row r="4846" spans="2:4">
      <c r="C4846" t="s">
        <v>7383</v>
      </c>
    </row>
    <row r="4847" spans="2:4">
      <c r="C4847" s="488" t="s">
        <v>7385</v>
      </c>
    </row>
    <row r="4848" spans="2:4">
      <c r="C4848" s="1546">
        <f>0.08*Master!P74</f>
        <v>126.32792268372978</v>
      </c>
      <c r="D4848" s="16"/>
    </row>
    <row r="4849" spans="2:4">
      <c r="B4849" t="s">
        <v>7384</v>
      </c>
    </row>
    <row r="4851" spans="2:4">
      <c r="B4851" t="s">
        <v>0</v>
      </c>
    </row>
    <row r="4852" spans="2:4">
      <c r="C4852" t="s">
        <v>7389</v>
      </c>
    </row>
    <row r="4853" spans="2:4">
      <c r="C4853" t="s">
        <v>7387</v>
      </c>
    </row>
    <row r="4854" spans="2:4">
      <c r="C4854" t="s">
        <v>7386</v>
      </c>
    </row>
    <row r="4855" spans="2:4">
      <c r="C4855" t="s">
        <v>7388</v>
      </c>
    </row>
    <row r="4856" spans="2:4">
      <c r="B4856" t="s">
        <v>7390</v>
      </c>
    </row>
    <row r="4857" spans="2:4">
      <c r="C4857" t="s">
        <v>7391</v>
      </c>
    </row>
    <row r="4859" spans="2:4">
      <c r="B4859" s="513" t="s">
        <v>7451</v>
      </c>
    </row>
    <row r="4861" spans="2:4">
      <c r="B4861" t="s">
        <v>469</v>
      </c>
    </row>
    <row r="4862" spans="2:4">
      <c r="C4862" t="s">
        <v>7452</v>
      </c>
    </row>
    <row r="4863" spans="2:4">
      <c r="D4863" t="s">
        <v>7456</v>
      </c>
    </row>
    <row r="4864" spans="2:4">
      <c r="C4864" t="s">
        <v>5</v>
      </c>
    </row>
    <row r="4865" spans="3:5">
      <c r="D4865" t="s">
        <v>7453</v>
      </c>
    </row>
    <row r="4866" spans="3:5">
      <c r="D4866" t="s">
        <v>7454</v>
      </c>
    </row>
    <row r="4867" spans="3:5">
      <c r="D4867" t="s">
        <v>7455</v>
      </c>
    </row>
    <row r="4868" spans="3:5">
      <c r="C4868" t="s">
        <v>7457</v>
      </c>
    </row>
    <row r="4869" spans="3:5">
      <c r="D4869" t="s">
        <v>7458</v>
      </c>
    </row>
    <row r="4870" spans="3:5">
      <c r="D4870" t="s">
        <v>7459</v>
      </c>
    </row>
    <row r="4871" spans="3:5">
      <c r="C4871" t="s">
        <v>5</v>
      </c>
    </row>
    <row r="4872" spans="3:5">
      <c r="D4872" t="s">
        <v>7460</v>
      </c>
    </row>
    <row r="4873" spans="3:5">
      <c r="D4873" t="s">
        <v>7465</v>
      </c>
    </row>
    <row r="4874" spans="3:5">
      <c r="D4874" t="s">
        <v>7461</v>
      </c>
    </row>
    <row r="4875" spans="3:5">
      <c r="D4875" t="s">
        <v>7467</v>
      </c>
    </row>
    <row r="4876" spans="3:5">
      <c r="C4876" t="s">
        <v>733</v>
      </c>
    </row>
    <row r="4877" spans="3:5">
      <c r="D4877" t="s">
        <v>7466</v>
      </c>
    </row>
    <row r="4878" spans="3:5">
      <c r="C4878" t="s">
        <v>7462</v>
      </c>
    </row>
    <row r="4879" spans="3:5">
      <c r="D4879" t="s">
        <v>7463</v>
      </c>
    </row>
    <row r="4880" spans="3:5">
      <c r="E4880" t="s">
        <v>7464</v>
      </c>
    </row>
    <row r="4881" spans="2:4">
      <c r="C4881" t="s">
        <v>6981</v>
      </c>
    </row>
    <row r="4882" spans="2:4">
      <c r="D4882" t="s">
        <v>7468</v>
      </c>
    </row>
    <row r="4883" spans="2:4">
      <c r="D4883" t="s">
        <v>7470</v>
      </c>
    </row>
    <row r="4884" spans="2:4">
      <c r="D4884" t="s">
        <v>7483</v>
      </c>
    </row>
    <row r="4885" spans="2:4">
      <c r="D4885" t="s">
        <v>7486</v>
      </c>
    </row>
    <row r="4886" spans="2:4">
      <c r="D4886" t="s">
        <v>7484</v>
      </c>
    </row>
    <row r="4887" spans="2:4">
      <c r="D4887" t="s">
        <v>7485</v>
      </c>
    </row>
    <row r="4888" spans="2:4">
      <c r="D4888" t="s">
        <v>7487</v>
      </c>
    </row>
    <row r="4890" spans="2:4">
      <c r="C4890" t="s">
        <v>7469</v>
      </c>
    </row>
    <row r="4891" spans="2:4">
      <c r="C4891" t="s">
        <v>7471</v>
      </c>
    </row>
    <row r="4892" spans="2:4">
      <c r="B4892" t="s">
        <v>3411</v>
      </c>
    </row>
    <row r="4893" spans="2:4">
      <c r="C4893" t="s">
        <v>7472</v>
      </c>
    </row>
    <row r="4894" spans="2:4">
      <c r="D4894" t="s">
        <v>7473</v>
      </c>
    </row>
    <row r="4895" spans="2:4">
      <c r="C4895" t="s">
        <v>7474</v>
      </c>
    </row>
    <row r="4896" spans="2:4">
      <c r="D4896" t="s">
        <v>7475</v>
      </c>
    </row>
    <row r="4897" spans="2:4">
      <c r="D4897" t="s">
        <v>7476</v>
      </c>
    </row>
    <row r="4898" spans="2:4">
      <c r="D4898" t="s">
        <v>7477</v>
      </c>
    </row>
    <row r="4899" spans="2:4">
      <c r="B4899" t="s">
        <v>3092</v>
      </c>
    </row>
    <row r="4900" spans="2:4">
      <c r="C4900" t="s">
        <v>7478</v>
      </c>
    </row>
    <row r="4901" spans="2:4">
      <c r="C4901" t="s">
        <v>7479</v>
      </c>
    </row>
    <row r="4902" spans="2:4">
      <c r="C4902" t="s">
        <v>7480</v>
      </c>
    </row>
    <row r="4903" spans="2:4">
      <c r="D4903" t="s">
        <v>7482</v>
      </c>
    </row>
    <row r="4904" spans="2:4">
      <c r="B4904" t="s">
        <v>7481</v>
      </c>
    </row>
    <row r="4905" spans="2:4">
      <c r="C4905" t="s">
        <v>7491</v>
      </c>
    </row>
    <row r="4906" spans="2:4">
      <c r="C4906" t="s">
        <v>7488</v>
      </c>
    </row>
    <row r="4907" spans="2:4">
      <c r="C4907" t="s">
        <v>7492</v>
      </c>
    </row>
    <row r="4909" spans="2:4">
      <c r="B4909" t="s">
        <v>0</v>
      </c>
    </row>
    <row r="4910" spans="2:4">
      <c r="C4910" t="s">
        <v>7489</v>
      </c>
    </row>
    <row r="4911" spans="2:4">
      <c r="C4911" t="s">
        <v>7490</v>
      </c>
    </row>
    <row r="4912" spans="2:4">
      <c r="B4912" t="s">
        <v>7493</v>
      </c>
    </row>
    <row r="4913" spans="2:4">
      <c r="C4913" t="s">
        <v>7555</v>
      </c>
    </row>
    <row r="4914" spans="2:4">
      <c r="C4914" t="s">
        <v>7494</v>
      </c>
    </row>
    <row r="4915" spans="2:4">
      <c r="D4915" t="s">
        <v>7495</v>
      </c>
    </row>
    <row r="4916" spans="2:4">
      <c r="B4916" t="s">
        <v>7557</v>
      </c>
    </row>
    <row r="4917" spans="2:4">
      <c r="C4917" t="s">
        <v>7556</v>
      </c>
    </row>
    <row r="4919" spans="2:4">
      <c r="B4919" s="513" t="s">
        <v>428</v>
      </c>
    </row>
    <row r="4920" spans="2:4">
      <c r="B4920" s="513"/>
    </row>
    <row r="4921" spans="2:4">
      <c r="B4921" t="s">
        <v>7496</v>
      </c>
    </row>
    <row r="4922" spans="2:4">
      <c r="C4922" t="s">
        <v>7498</v>
      </c>
    </row>
    <row r="4923" spans="2:4">
      <c r="C4923" t="s">
        <v>7499</v>
      </c>
    </row>
    <row r="4924" spans="2:4">
      <c r="C4924" t="s">
        <v>7500</v>
      </c>
    </row>
    <row r="4925" spans="2:4">
      <c r="C4925" t="s">
        <v>7508</v>
      </c>
    </row>
    <row r="4926" spans="2:4">
      <c r="C4926" t="s">
        <v>7509</v>
      </c>
    </row>
    <row r="4928" spans="2:4">
      <c r="C4928" t="s">
        <v>7501</v>
      </c>
    </row>
    <row r="4929" spans="2:4">
      <c r="D4929" t="s">
        <v>7502</v>
      </c>
    </row>
    <row r="4930" spans="2:4">
      <c r="B4930" t="s">
        <v>7497</v>
      </c>
    </row>
    <row r="4931" spans="2:4">
      <c r="C4931" t="s">
        <v>7503</v>
      </c>
    </row>
    <row r="4932" spans="2:4">
      <c r="D4932" t="s">
        <v>7504</v>
      </c>
    </row>
    <row r="4933" spans="2:4">
      <c r="D4933" t="s">
        <v>7505</v>
      </c>
    </row>
    <row r="4934" spans="2:4">
      <c r="C4934" t="s">
        <v>7506</v>
      </c>
    </row>
    <row r="4935" spans="2:4">
      <c r="D4935" t="s">
        <v>7507</v>
      </c>
    </row>
    <row r="4936" spans="2:4">
      <c r="B4936" t="s">
        <v>7510</v>
      </c>
    </row>
    <row r="4938" spans="2:4">
      <c r="B4938" t="s">
        <v>469</v>
      </c>
    </row>
    <row r="4939" spans="2:4">
      <c r="C4939" t="s">
        <v>7511</v>
      </c>
    </row>
    <row r="4940" spans="2:4">
      <c r="C4940" t="s">
        <v>7512</v>
      </c>
    </row>
    <row r="4941" spans="2:4">
      <c r="C4941" t="s">
        <v>7513</v>
      </c>
    </row>
    <row r="4942" spans="2:4">
      <c r="B4942" t="s">
        <v>7514</v>
      </c>
    </row>
    <row r="4943" spans="2:4">
      <c r="C4943" t="s">
        <v>7515</v>
      </c>
    </row>
    <row r="4944" spans="2:4">
      <c r="C4944" t="s">
        <v>7516</v>
      </c>
    </row>
    <row r="4945" spans="4:5">
      <c r="D4945" t="s">
        <v>7517</v>
      </c>
    </row>
    <row r="4946" spans="4:5">
      <c r="E4946" t="s">
        <v>7518</v>
      </c>
    </row>
    <row r="4947" spans="4:5">
      <c r="D4947" t="s">
        <v>0</v>
      </c>
    </row>
    <row r="4948" spans="4:5">
      <c r="E4948" t="s">
        <v>7519</v>
      </c>
    </row>
    <row r="4949" spans="4:5">
      <c r="E4949" t="s">
        <v>7520</v>
      </c>
    </row>
    <row r="4950" spans="4:5">
      <c r="E4950" t="s">
        <v>7521</v>
      </c>
    </row>
    <row r="4951" spans="4:5">
      <c r="D4951" t="s">
        <v>3411</v>
      </c>
    </row>
    <row r="4952" spans="4:5">
      <c r="E4952" t="s">
        <v>7522</v>
      </c>
    </row>
    <row r="4953" spans="4:5">
      <c r="E4953" t="s">
        <v>7523</v>
      </c>
    </row>
    <row r="4954" spans="4:5">
      <c r="E4954" t="s">
        <v>7524</v>
      </c>
    </row>
    <row r="4955" spans="4:5">
      <c r="D4955" t="s">
        <v>52</v>
      </c>
    </row>
    <row r="4956" spans="4:5">
      <c r="E4956" t="s">
        <v>7525</v>
      </c>
    </row>
    <row r="4957" spans="4:5">
      <c r="E4957" t="s">
        <v>7526</v>
      </c>
    </row>
    <row r="4958" spans="4:5">
      <c r="E4958" t="s">
        <v>7527</v>
      </c>
    </row>
    <row r="4959" spans="4:5">
      <c r="E4959" t="s">
        <v>7528</v>
      </c>
    </row>
    <row r="4960" spans="4:5">
      <c r="E4960" t="s">
        <v>7529</v>
      </c>
    </row>
    <row r="4961" spans="2:5">
      <c r="D4961" t="s">
        <v>984</v>
      </c>
    </row>
    <row r="4962" spans="2:5">
      <c r="E4962" t="s">
        <v>7530</v>
      </c>
    </row>
    <row r="4963" spans="2:5">
      <c r="E4963" t="s">
        <v>7531</v>
      </c>
    </row>
    <row r="4964" spans="2:5">
      <c r="E4964" t="s">
        <v>7532</v>
      </c>
    </row>
    <row r="4965" spans="2:5">
      <c r="B4965" t="s">
        <v>7533</v>
      </c>
    </row>
    <row r="4966" spans="2:5">
      <c r="C4966" t="s">
        <v>7564</v>
      </c>
    </row>
    <row r="4967" spans="2:5">
      <c r="C4967" t="s">
        <v>7534</v>
      </c>
    </row>
    <row r="4968" spans="2:5">
      <c r="C4968" t="s">
        <v>7535</v>
      </c>
    </row>
    <row r="4969" spans="2:5">
      <c r="D4969" t="s">
        <v>0</v>
      </c>
    </row>
    <row r="4970" spans="2:5">
      <c r="D4970" t="s">
        <v>3411</v>
      </c>
      <c r="E4970" t="s">
        <v>7537</v>
      </c>
    </row>
    <row r="4971" spans="2:5">
      <c r="D4971" t="s">
        <v>1942</v>
      </c>
      <c r="E4971" t="s">
        <v>7536</v>
      </c>
    </row>
    <row r="4972" spans="2:5">
      <c r="C4972" t="s">
        <v>7538</v>
      </c>
    </row>
    <row r="4973" spans="2:5">
      <c r="C4973" t="s">
        <v>7539</v>
      </c>
    </row>
    <row r="4974" spans="2:5">
      <c r="C4974" t="s">
        <v>1943</v>
      </c>
    </row>
    <row r="4975" spans="2:5">
      <c r="D4975" t="s">
        <v>7540</v>
      </c>
    </row>
    <row r="4976" spans="2:5">
      <c r="C4976" t="s">
        <v>5724</v>
      </c>
    </row>
    <row r="4977" spans="2:4">
      <c r="D4977" t="s">
        <v>7565</v>
      </c>
    </row>
    <row r="4978" spans="2:4">
      <c r="C4978" t="s">
        <v>7566</v>
      </c>
    </row>
    <row r="4979" spans="2:4">
      <c r="C4979" t="s">
        <v>7541</v>
      </c>
    </row>
    <row r="4980" spans="2:4">
      <c r="D4980" t="s">
        <v>7542</v>
      </c>
    </row>
    <row r="4981" spans="2:4">
      <c r="D4981" t="s">
        <v>7543</v>
      </c>
    </row>
    <row r="4982" spans="2:4">
      <c r="D4982" t="s">
        <v>7544</v>
      </c>
    </row>
    <row r="4983" spans="2:4">
      <c r="B4983" t="s">
        <v>7545</v>
      </c>
    </row>
    <row r="4984" spans="2:4">
      <c r="C4984" t="s">
        <v>7546</v>
      </c>
    </row>
    <row r="4985" spans="2:4">
      <c r="C4985" t="s">
        <v>7547</v>
      </c>
    </row>
    <row r="4986" spans="2:4">
      <c r="D4986" t="s">
        <v>7548</v>
      </c>
    </row>
    <row r="4987" spans="2:4">
      <c r="C4987" t="s">
        <v>7549</v>
      </c>
    </row>
    <row r="4988" spans="2:4">
      <c r="C4988" t="s">
        <v>7550</v>
      </c>
    </row>
    <row r="4989" spans="2:4">
      <c r="C4989" t="s">
        <v>7551</v>
      </c>
    </row>
    <row r="4990" spans="2:4">
      <c r="C4990" t="s">
        <v>733</v>
      </c>
    </row>
    <row r="4991" spans="2:4">
      <c r="D4991" t="s">
        <v>7552</v>
      </c>
    </row>
    <row r="4992" spans="2:4">
      <c r="C4992" t="s">
        <v>7553</v>
      </c>
    </row>
    <row r="4993" spans="1:5">
      <c r="C4993" t="s">
        <v>7554</v>
      </c>
    </row>
    <row r="4995" spans="1:5">
      <c r="C4995" t="s">
        <v>7558</v>
      </c>
    </row>
    <row r="4996" spans="1:5">
      <c r="D4996" t="s">
        <v>7559</v>
      </c>
    </row>
    <row r="4997" spans="1:5">
      <c r="D4997" t="s">
        <v>7563</v>
      </c>
    </row>
    <row r="4998" spans="1:5">
      <c r="D4998" t="s">
        <v>7560</v>
      </c>
    </row>
    <row r="4999" spans="1:5">
      <c r="D4999" t="s">
        <v>7561</v>
      </c>
    </row>
    <row r="5000" spans="1:5">
      <c r="E5000" t="s">
        <v>7562</v>
      </c>
    </row>
    <row r="5002" spans="1:5">
      <c r="B5002" s="513" t="s">
        <v>7573</v>
      </c>
    </row>
    <row r="5004" spans="1:5">
      <c r="A5004" t="s">
        <v>984</v>
      </c>
      <c r="B5004" t="s">
        <v>7576</v>
      </c>
    </row>
    <row r="5006" spans="1:5">
      <c r="B5006" t="s">
        <v>7572</v>
      </c>
      <c r="C5006" s="16">
        <v>71</v>
      </c>
      <c r="D5006" s="16">
        <f>C5006/3</f>
        <v>23.666666666666668</v>
      </c>
    </row>
    <row r="5007" spans="1:5">
      <c r="C5007" s="16"/>
      <c r="D5007" s="16"/>
    </row>
    <row r="5008" spans="1:5">
      <c r="B5008" t="s">
        <v>7567</v>
      </c>
      <c r="C5008">
        <v>12</v>
      </c>
    </row>
    <row r="5009" spans="2:4">
      <c r="B5009" t="s">
        <v>7568</v>
      </c>
      <c r="C5009">
        <v>9</v>
      </c>
    </row>
    <row r="5010" spans="2:4">
      <c r="B5010" t="s">
        <v>7569</v>
      </c>
      <c r="C5010">
        <v>4</v>
      </c>
    </row>
    <row r="5011" spans="2:4">
      <c r="B5011" s="3" t="s">
        <v>7570</v>
      </c>
      <c r="C5011" s="3">
        <v>3</v>
      </c>
    </row>
    <row r="5012" spans="2:4">
      <c r="C5012" s="16">
        <f>SUM(C5006:C5011)</f>
        <v>99</v>
      </c>
      <c r="D5012" s="16">
        <f>C5012/3</f>
        <v>33</v>
      </c>
    </row>
    <row r="5014" spans="2:4">
      <c r="B5014" t="s">
        <v>7571</v>
      </c>
      <c r="C5014">
        <v>20</v>
      </c>
      <c r="D5014" s="16">
        <f>C5014/3</f>
        <v>6.666666666666667</v>
      </c>
    </row>
    <row r="5015" spans="2:4">
      <c r="B5015" s="3" t="s">
        <v>1725</v>
      </c>
      <c r="C5015" s="3">
        <v>10</v>
      </c>
      <c r="D5015" s="16">
        <f>C5015/3</f>
        <v>3.3333333333333335</v>
      </c>
    </row>
    <row r="5016" spans="2:4">
      <c r="C5016" s="16">
        <f>C5012+SUM(C5014:C5015)</f>
        <v>129</v>
      </c>
      <c r="D5016" s="16">
        <f>C5016/3</f>
        <v>43</v>
      </c>
    </row>
    <row r="5017" spans="2:4">
      <c r="B5017" t="s">
        <v>7578</v>
      </c>
      <c r="C5017" s="16"/>
      <c r="D5017" s="16"/>
    </row>
    <row r="5018" spans="2:4">
      <c r="B5018" t="s">
        <v>7579</v>
      </c>
      <c r="C5018" s="16"/>
      <c r="D5018" s="16"/>
    </row>
    <row r="5019" spans="2:4">
      <c r="C5019" t="s">
        <v>7580</v>
      </c>
    </row>
    <row r="5020" spans="2:4">
      <c r="C5020" t="s">
        <v>7581</v>
      </c>
    </row>
    <row r="5021" spans="2:4">
      <c r="B5021" t="s">
        <v>904</v>
      </c>
    </row>
    <row r="5022" spans="2:4">
      <c r="C5022" t="s">
        <v>7595</v>
      </c>
    </row>
    <row r="5023" spans="2:4">
      <c r="C5023" t="s">
        <v>7596</v>
      </c>
    </row>
    <row r="5024" spans="2:4">
      <c r="C5024" t="s">
        <v>7597</v>
      </c>
    </row>
    <row r="5025" spans="2:16">
      <c r="B5025" t="s">
        <v>3092</v>
      </c>
      <c r="D5025">
        <v>2024</v>
      </c>
      <c r="E5025">
        <f>D5025+1</f>
        <v>2025</v>
      </c>
      <c r="F5025">
        <f>E5025+1</f>
        <v>2026</v>
      </c>
      <c r="G5025">
        <f>F5025+1</f>
        <v>2027</v>
      </c>
    </row>
    <row r="5026" spans="2:16">
      <c r="C5026">
        <v>256</v>
      </c>
      <c r="D5026">
        <v>99</v>
      </c>
      <c r="E5026" s="16">
        <f>(C5026-D5026)/3</f>
        <v>52.333333333333336</v>
      </c>
      <c r="F5026" s="16">
        <f>E5026</f>
        <v>52.333333333333336</v>
      </c>
      <c r="G5026" s="16">
        <f>F5026</f>
        <v>52.333333333333336</v>
      </c>
    </row>
    <row r="5027" spans="2:16">
      <c r="C5027" t="s">
        <v>7598</v>
      </c>
    </row>
    <row r="5028" spans="2:16">
      <c r="D5028" t="s">
        <v>7602</v>
      </c>
    </row>
    <row r="5029" spans="2:16">
      <c r="D5029" t="s">
        <v>7603</v>
      </c>
    </row>
    <row r="5030" spans="2:16">
      <c r="C5030" s="13" t="s">
        <v>7600</v>
      </c>
    </row>
    <row r="5031" spans="2:16">
      <c r="C5031" s="8" t="s">
        <v>7599</v>
      </c>
    </row>
    <row r="5032" spans="2:16">
      <c r="C5032" t="s">
        <v>7601</v>
      </c>
    </row>
    <row r="5033" spans="2:16">
      <c r="B5033" t="s">
        <v>7574</v>
      </c>
    </row>
    <row r="5034" spans="2:16">
      <c r="C5034" t="s">
        <v>7575</v>
      </c>
    </row>
    <row r="5035" spans="2:16">
      <c r="B5035" t="s">
        <v>7577</v>
      </c>
      <c r="H5035">
        <v>2023</v>
      </c>
      <c r="I5035">
        <v>2024</v>
      </c>
      <c r="J5035">
        <v>2024</v>
      </c>
      <c r="K5035">
        <v>2024</v>
      </c>
      <c r="L5035" s="80" t="s">
        <v>4243</v>
      </c>
      <c r="N5035">
        <v>2023</v>
      </c>
      <c r="O5035">
        <v>2023</v>
      </c>
    </row>
    <row r="5036" spans="2:16">
      <c r="G5036" s="3"/>
      <c r="H5036" s="4" t="s">
        <v>1146</v>
      </c>
      <c r="I5036" s="4" t="s">
        <v>1146</v>
      </c>
      <c r="J5036" s="4" t="s">
        <v>4243</v>
      </c>
      <c r="K5036" s="4" t="s">
        <v>7584</v>
      </c>
      <c r="L5036" s="80" t="s">
        <v>28</v>
      </c>
      <c r="N5036" s="4" t="s">
        <v>7584</v>
      </c>
      <c r="O5036" s="4" t="s">
        <v>7585</v>
      </c>
      <c r="P5036" s="4" t="s">
        <v>7586</v>
      </c>
    </row>
    <row r="5037" spans="2:16">
      <c r="G5037" t="s">
        <v>482</v>
      </c>
      <c r="H5037" s="16">
        <f>Master!O49</f>
        <v>547.9</v>
      </c>
      <c r="I5037" s="16">
        <f>Master!P49</f>
        <v>587.03287333112166</v>
      </c>
      <c r="J5037" s="16">
        <v>158</v>
      </c>
      <c r="K5037" s="16">
        <f>I5037+J5037</f>
        <v>745.03287333112166</v>
      </c>
      <c r="N5037" s="16"/>
      <c r="O5037" s="16"/>
    </row>
    <row r="5038" spans="2:16">
      <c r="B5038" t="s">
        <v>3411</v>
      </c>
      <c r="G5038" t="s">
        <v>8</v>
      </c>
      <c r="H5038" s="16">
        <f>Master!O72</f>
        <v>203.1</v>
      </c>
      <c r="I5038" s="16">
        <f>Master!P72</f>
        <v>217.20216313251501</v>
      </c>
      <c r="J5038" s="16">
        <v>57</v>
      </c>
      <c r="K5038" s="16">
        <f>I5038+J5038</f>
        <v>274.20216313251501</v>
      </c>
      <c r="N5038" s="16">
        <v>255</v>
      </c>
      <c r="O5038" s="16">
        <f>N5038-H5038</f>
        <v>51.900000000000006</v>
      </c>
      <c r="P5038" s="16">
        <f>N5038-O5038</f>
        <v>203.1</v>
      </c>
    </row>
    <row r="5039" spans="2:16">
      <c r="C5039" t="s">
        <v>2136</v>
      </c>
      <c r="G5039" t="s">
        <v>251</v>
      </c>
      <c r="H5039" s="5">
        <f>H5038/H5037</f>
        <v>0.37068808176674578</v>
      </c>
      <c r="I5039" s="5">
        <f>I5038/I5037</f>
        <v>0.37</v>
      </c>
      <c r="J5039" s="5">
        <f>J5038/J5037</f>
        <v>0.36075949367088606</v>
      </c>
      <c r="K5039" s="5">
        <f>K5038/K5037</f>
        <v>0.36804035492625692</v>
      </c>
      <c r="N5039" s="5"/>
      <c r="O5039" s="5"/>
    </row>
    <row r="5040" spans="2:16">
      <c r="D5040" t="s">
        <v>7604</v>
      </c>
    </row>
    <row r="5041" spans="2:16">
      <c r="D5041" t="s">
        <v>7605</v>
      </c>
      <c r="G5041" t="s">
        <v>258</v>
      </c>
      <c r="H5041" s="16">
        <f>H5037-H5038</f>
        <v>344.79999999999995</v>
      </c>
      <c r="I5041" s="16">
        <f>I5037-I5038</f>
        <v>369.83071019860665</v>
      </c>
      <c r="J5041" s="16">
        <f>J5037-J5038</f>
        <v>101</v>
      </c>
      <c r="K5041" s="16">
        <f>I5041+J5041</f>
        <v>470.83071019860665</v>
      </c>
      <c r="N5041" s="16"/>
      <c r="O5041" s="16"/>
    </row>
    <row r="5042" spans="2:16">
      <c r="C5042" t="s">
        <v>7582</v>
      </c>
    </row>
    <row r="5043" spans="2:16">
      <c r="C5043" t="s">
        <v>7583</v>
      </c>
      <c r="G5043" s="3" t="s">
        <v>19</v>
      </c>
      <c r="H5043" s="64">
        <f>Master!O119</f>
        <v>75.2</v>
      </c>
      <c r="I5043" s="64">
        <f>Master!P119</f>
        <v>84.790169140145139</v>
      </c>
      <c r="J5043" s="64">
        <f>0.15*J5037</f>
        <v>23.7</v>
      </c>
      <c r="K5043" s="64">
        <f>I5043+J5043</f>
        <v>108.49016914014514</v>
      </c>
      <c r="N5043" s="64"/>
      <c r="O5043" s="64"/>
    </row>
    <row r="5044" spans="2:16">
      <c r="G5044" t="s">
        <v>27</v>
      </c>
      <c r="H5044" s="16">
        <f>H5041-H5043</f>
        <v>269.59999999999997</v>
      </c>
      <c r="I5044" s="16">
        <f>I5041-I5043</f>
        <v>285.04054105846149</v>
      </c>
      <c r="J5044" s="16">
        <f>J5041-J5043</f>
        <v>77.3</v>
      </c>
      <c r="K5044" s="16">
        <f>I5044+J5044</f>
        <v>362.3405410584615</v>
      </c>
      <c r="L5044" s="5">
        <f>J5044/K5044</f>
        <v>0.21333522264495405</v>
      </c>
      <c r="O5044" s="16"/>
      <c r="P5044" s="16"/>
    </row>
    <row r="5046" spans="2:16">
      <c r="G5046" t="s">
        <v>7587</v>
      </c>
      <c r="K5046" s="16">
        <f>K5041+K5043</f>
        <v>579.32087933875175</v>
      </c>
    </row>
    <row r="5047" spans="2:16">
      <c r="G5047" t="s">
        <v>7588</v>
      </c>
      <c r="K5047" s="16">
        <f>0.1*K5046</f>
        <v>57.932087933875181</v>
      </c>
    </row>
    <row r="5048" spans="2:16">
      <c r="G5048" t="s">
        <v>7589</v>
      </c>
      <c r="K5048" s="16">
        <f>0.7*K5047</f>
        <v>40.552461553712625</v>
      </c>
    </row>
    <row r="5049" spans="2:16">
      <c r="G5049" t="s">
        <v>817</v>
      </c>
      <c r="K5049">
        <f>1/(10%-0%)</f>
        <v>10</v>
      </c>
    </row>
    <row r="5050" spans="2:16">
      <c r="G5050" t="s">
        <v>204</v>
      </c>
      <c r="K5050" s="16">
        <f>K5048*K5049</f>
        <v>405.52461553712624</v>
      </c>
    </row>
    <row r="5051" spans="2:16">
      <c r="G5051" t="s">
        <v>7590</v>
      </c>
      <c r="K5051" s="5">
        <f>0.8*0.86</f>
        <v>0.68800000000000006</v>
      </c>
    </row>
    <row r="5052" spans="2:16">
      <c r="G5052" t="s">
        <v>7591</v>
      </c>
      <c r="K5052" s="16">
        <f>K5051*K5050</f>
        <v>279.00093548954288</v>
      </c>
    </row>
    <row r="5053" spans="2:16">
      <c r="G5053" t="s">
        <v>3061</v>
      </c>
      <c r="K5053" s="62">
        <f>K5052/SOP!G35</f>
        <v>1.6440832969330754</v>
      </c>
    </row>
    <row r="5055" spans="2:16">
      <c r="B5055" t="s">
        <v>7608</v>
      </c>
    </row>
    <row r="5056" spans="2:16">
      <c r="C5056" t="s">
        <v>7609</v>
      </c>
    </row>
    <row r="5057" spans="3:5">
      <c r="C5057" t="s">
        <v>7610</v>
      </c>
    </row>
    <row r="5058" spans="3:5">
      <c r="C5058" t="s">
        <v>7611</v>
      </c>
    </row>
    <row r="5059" spans="3:5">
      <c r="D5059" t="s">
        <v>7612</v>
      </c>
    </row>
    <row r="5060" spans="3:5">
      <c r="D5060" t="s">
        <v>7613</v>
      </c>
    </row>
    <row r="5061" spans="3:5">
      <c r="D5061" t="s">
        <v>7614</v>
      </c>
    </row>
    <row r="5062" spans="3:5">
      <c r="E5062" t="s">
        <v>7615</v>
      </c>
    </row>
    <row r="5063" spans="3:5">
      <c r="E5063" t="s">
        <v>7616</v>
      </c>
    </row>
    <row r="5064" spans="3:5">
      <c r="D5064" t="s">
        <v>7617</v>
      </c>
    </row>
    <row r="5065" spans="3:5">
      <c r="E5065" t="s">
        <v>7618</v>
      </c>
    </row>
    <row r="5066" spans="3:5">
      <c r="E5066" t="s">
        <v>7619</v>
      </c>
    </row>
    <row r="5067" spans="3:5">
      <c r="C5067" t="s">
        <v>7620</v>
      </c>
    </row>
    <row r="5068" spans="3:5">
      <c r="D5068" t="s">
        <v>7621</v>
      </c>
    </row>
    <row r="5069" spans="3:5">
      <c r="C5069" t="s">
        <v>7622</v>
      </c>
    </row>
    <row r="5070" spans="3:5">
      <c r="C5070" t="s">
        <v>7623</v>
      </c>
    </row>
    <row r="5072" spans="3:5">
      <c r="E5072" s="80" t="s">
        <v>2079</v>
      </c>
    </row>
    <row r="5073" spans="2:5">
      <c r="C5073">
        <v>150000</v>
      </c>
      <c r="D5073">
        <v>40</v>
      </c>
      <c r="E5073">
        <f>D5073*C5073/1000000</f>
        <v>6</v>
      </c>
    </row>
    <row r="5074" spans="2:5">
      <c r="C5074">
        <v>110000</v>
      </c>
      <c r="D5074">
        <v>10</v>
      </c>
      <c r="E5074" s="16">
        <f>D5074*C5074/1000000</f>
        <v>1.1000000000000001</v>
      </c>
    </row>
    <row r="5076" spans="2:5">
      <c r="B5076" s="513" t="s">
        <v>7626</v>
      </c>
    </row>
    <row r="5078" spans="2:5">
      <c r="B5078" t="s">
        <v>7624</v>
      </c>
    </row>
    <row r="5079" spans="2:5">
      <c r="C5079" t="s">
        <v>7625</v>
      </c>
    </row>
    <row r="5080" spans="2:5">
      <c r="B5080" t="s">
        <v>3411</v>
      </c>
    </row>
    <row r="5081" spans="2:5">
      <c r="C5081" t="s">
        <v>7627</v>
      </c>
    </row>
    <row r="5082" spans="2:5">
      <c r="C5082" t="s">
        <v>7628</v>
      </c>
    </row>
    <row r="5083" spans="2:5">
      <c r="C5083" t="s">
        <v>7629</v>
      </c>
    </row>
    <row r="5084" spans="2:5">
      <c r="C5084" t="s">
        <v>7630</v>
      </c>
    </row>
    <row r="5085" spans="2:5">
      <c r="B5085" t="s">
        <v>7631</v>
      </c>
    </row>
    <row r="5086" spans="2:5">
      <c r="C5086" t="s">
        <v>7632</v>
      </c>
    </row>
    <row r="5087" spans="2:5">
      <c r="C5087" t="s">
        <v>7633</v>
      </c>
    </row>
    <row r="5088" spans="2:5">
      <c r="C5088" t="s">
        <v>7635</v>
      </c>
    </row>
    <row r="5089" spans="2:4">
      <c r="B5089" t="s">
        <v>7634</v>
      </c>
    </row>
    <row r="5091" spans="2:4">
      <c r="B5091" t="s">
        <v>469</v>
      </c>
    </row>
    <row r="5092" spans="2:4">
      <c r="C5092" t="s">
        <v>7636</v>
      </c>
    </row>
    <row r="5093" spans="2:4">
      <c r="C5093" t="s">
        <v>7637</v>
      </c>
    </row>
    <row r="5094" spans="2:4">
      <c r="C5094" t="s">
        <v>7638</v>
      </c>
    </row>
    <row r="5095" spans="2:4">
      <c r="D5095" t="s">
        <v>7639</v>
      </c>
    </row>
    <row r="5096" spans="2:4">
      <c r="D5096" t="s">
        <v>7640</v>
      </c>
    </row>
    <row r="5097" spans="2:4">
      <c r="D5097" t="s">
        <v>7641</v>
      </c>
    </row>
    <row r="5098" spans="2:4">
      <c r="C5098" t="s">
        <v>7642</v>
      </c>
    </row>
    <row r="5099" spans="2:4">
      <c r="D5099" t="s">
        <v>7643</v>
      </c>
    </row>
    <row r="5100" spans="2:4">
      <c r="C5100" t="s">
        <v>7644</v>
      </c>
    </row>
    <row r="5101" spans="2:4">
      <c r="D5101" t="s">
        <v>7645</v>
      </c>
    </row>
    <row r="5102" spans="2:4">
      <c r="C5102" t="s">
        <v>7646</v>
      </c>
    </row>
    <row r="5103" spans="2:4">
      <c r="C5103" t="s">
        <v>7647</v>
      </c>
    </row>
    <row r="5104" spans="2:4">
      <c r="C5104" t="s">
        <v>7648</v>
      </c>
    </row>
    <row r="5105" spans="2:4">
      <c r="B5105" t="s">
        <v>482</v>
      </c>
    </row>
    <row r="5106" spans="2:4">
      <c r="C5106" t="s">
        <v>7649</v>
      </c>
    </row>
    <row r="5107" spans="2:4">
      <c r="C5107" t="s">
        <v>7650</v>
      </c>
    </row>
    <row r="5108" spans="2:4">
      <c r="B5108" t="s">
        <v>6727</v>
      </c>
    </row>
    <row r="5109" spans="2:4">
      <c r="C5109" t="s">
        <v>7651</v>
      </c>
    </row>
    <row r="5110" spans="2:4">
      <c r="D5110" t="s">
        <v>7652</v>
      </c>
    </row>
    <row r="5111" spans="2:4">
      <c r="C5111" t="s">
        <v>19</v>
      </c>
    </row>
    <row r="5112" spans="2:4">
      <c r="C5112" t="s">
        <v>7653</v>
      </c>
    </row>
    <row r="5113" spans="2:4">
      <c r="C5113" t="s">
        <v>7654</v>
      </c>
    </row>
    <row r="5115" spans="2:4">
      <c r="B5115" s="12" t="s">
        <v>7656</v>
      </c>
    </row>
    <row r="5116" spans="2:4">
      <c r="B5116" t="s">
        <v>7670</v>
      </c>
    </row>
    <row r="5117" spans="2:4">
      <c r="C5117" t="s">
        <v>7668</v>
      </c>
    </row>
    <row r="5118" spans="2:4">
      <c r="C5118" t="s">
        <v>7655</v>
      </c>
    </row>
    <row r="5119" spans="2:4">
      <c r="D5119" t="s">
        <v>7669</v>
      </c>
    </row>
    <row r="5120" spans="2:4">
      <c r="B5120" t="s">
        <v>7657</v>
      </c>
    </row>
    <row r="5121" spans="2:4">
      <c r="B5121" s="8" t="s">
        <v>7672</v>
      </c>
      <c r="C5121" t="s">
        <v>7658</v>
      </c>
    </row>
    <row r="5122" spans="2:4">
      <c r="B5122" s="8" t="s">
        <v>7673</v>
      </c>
      <c r="C5122" t="s">
        <v>7659</v>
      </c>
    </row>
    <row r="5123" spans="2:4">
      <c r="D5123" t="s">
        <v>7660</v>
      </c>
    </row>
    <row r="5124" spans="2:4">
      <c r="D5124" t="s">
        <v>7661</v>
      </c>
    </row>
    <row r="5125" spans="2:4">
      <c r="C5125" t="s">
        <v>7662</v>
      </c>
    </row>
    <row r="5126" spans="2:4">
      <c r="D5126" t="s">
        <v>7663</v>
      </c>
    </row>
    <row r="5127" spans="2:4">
      <c r="B5127" t="s">
        <v>7350</v>
      </c>
    </row>
    <row r="5128" spans="2:4">
      <c r="B5128" s="8" t="s">
        <v>7671</v>
      </c>
      <c r="C5128" t="s">
        <v>7664</v>
      </c>
    </row>
    <row r="5129" spans="2:4">
      <c r="C5129" t="s">
        <v>7665</v>
      </c>
    </row>
    <row r="5130" spans="2:4">
      <c r="D5130" t="s">
        <v>7667</v>
      </c>
    </row>
    <row r="5131" spans="2:4">
      <c r="D5131" t="s">
        <v>7666</v>
      </c>
    </row>
    <row r="5133" spans="2:4">
      <c r="B5133" s="12" t="s">
        <v>7675</v>
      </c>
    </row>
    <row r="5135" spans="2:4">
      <c r="B5135" t="s">
        <v>7676</v>
      </c>
    </row>
    <row r="5136" spans="2:4">
      <c r="B5136" t="s">
        <v>7680</v>
      </c>
    </row>
    <row r="5137" spans="2:3">
      <c r="B5137" t="s">
        <v>7677</v>
      </c>
    </row>
    <row r="5138" spans="2:3">
      <c r="B5138" s="608">
        <v>7.1249999999999994E-2</v>
      </c>
      <c r="C5138" t="s">
        <v>7678</v>
      </c>
    </row>
    <row r="5139" spans="2:3">
      <c r="C5139" t="s">
        <v>7679</v>
      </c>
    </row>
    <row r="5140" spans="2:3">
      <c r="B5140" t="s">
        <v>469</v>
      </c>
    </row>
    <row r="5141" spans="2:3">
      <c r="C5141" t="s">
        <v>7682</v>
      </c>
    </row>
    <row r="5142" spans="2:3">
      <c r="C5142" t="s">
        <v>7683</v>
      </c>
    </row>
    <row r="5143" spans="2:3">
      <c r="C5143" t="s">
        <v>7684</v>
      </c>
    </row>
    <row r="5144" spans="2:3">
      <c r="C5144" t="s">
        <v>7685</v>
      </c>
    </row>
    <row r="5145" spans="2:3">
      <c r="B5145" t="s">
        <v>7686</v>
      </c>
    </row>
    <row r="5146" spans="2:3">
      <c r="B5146" t="s">
        <v>7687</v>
      </c>
    </row>
    <row r="5147" spans="2:3">
      <c r="C5147" t="s">
        <v>7688</v>
      </c>
    </row>
    <row r="5148" spans="2:3">
      <c r="B5148" t="s">
        <v>7689</v>
      </c>
    </row>
    <row r="5149" spans="2:3">
      <c r="C5149" t="s">
        <v>7690</v>
      </c>
    </row>
    <row r="5150" spans="2:3">
      <c r="C5150" t="s">
        <v>7691</v>
      </c>
    </row>
    <row r="5151" spans="2:3">
      <c r="B5151" t="s">
        <v>7692</v>
      </c>
    </row>
    <row r="5152" spans="2:3">
      <c r="B5152" t="s">
        <v>3092</v>
      </c>
    </row>
    <row r="5153" spans="2:3">
      <c r="C5153" t="s">
        <v>7693</v>
      </c>
    </row>
    <row r="5154" spans="2:3">
      <c r="C5154" t="s">
        <v>7694</v>
      </c>
    </row>
    <row r="5155" spans="2:3">
      <c r="B5155" t="s">
        <v>482</v>
      </c>
    </row>
    <row r="5156" spans="2:3">
      <c r="C5156" t="s">
        <v>7695</v>
      </c>
    </row>
    <row r="5157" spans="2:3">
      <c r="C5157" t="s">
        <v>7696</v>
      </c>
    </row>
    <row r="5158" spans="2:3">
      <c r="C5158" t="s">
        <v>7697</v>
      </c>
    </row>
    <row r="5159" spans="2:3">
      <c r="C5159" t="s">
        <v>7698</v>
      </c>
    </row>
    <row r="5160" spans="2:3">
      <c r="C5160" s="84">
        <f>0.085*25*12</f>
        <v>25.5</v>
      </c>
    </row>
    <row r="5161" spans="2:3">
      <c r="C5161" s="84">
        <f>C5160/12</f>
        <v>2.125</v>
      </c>
    </row>
    <row r="5162" spans="2:3">
      <c r="C5162" t="s">
        <v>7699</v>
      </c>
    </row>
    <row r="5163" spans="2:3">
      <c r="C5163" t="s">
        <v>7700</v>
      </c>
    </row>
    <row r="5164" spans="2:3">
      <c r="B5164" t="s">
        <v>5968</v>
      </c>
    </row>
    <row r="5165" spans="2:3">
      <c r="C5165" t="s">
        <v>7701</v>
      </c>
    </row>
    <row r="5166" spans="2:3">
      <c r="C5166" t="s">
        <v>7702</v>
      </c>
    </row>
    <row r="5167" spans="2:3">
      <c r="B5167" t="s">
        <v>7703</v>
      </c>
    </row>
    <row r="5168" spans="2:3">
      <c r="C5168" s="1533">
        <f>28/3</f>
        <v>9.3333333333333339</v>
      </c>
    </row>
    <row r="5169" spans="2:10">
      <c r="B5169" t="s">
        <v>7704</v>
      </c>
    </row>
    <row r="5170" spans="2:10">
      <c r="C5170" t="s">
        <v>7705</v>
      </c>
    </row>
    <row r="5171" spans="2:10">
      <c r="C5171" t="s">
        <v>7706</v>
      </c>
    </row>
    <row r="5172" spans="2:10">
      <c r="B5172" t="s">
        <v>3092</v>
      </c>
    </row>
    <row r="5174" spans="2:10">
      <c r="B5174" s="3"/>
      <c r="C5174" s="4" t="s">
        <v>7707</v>
      </c>
      <c r="D5174" s="4" t="s">
        <v>7708</v>
      </c>
      <c r="E5174" s="4">
        <v>600</v>
      </c>
      <c r="F5174" s="4">
        <v>700</v>
      </c>
      <c r="G5174" s="4">
        <v>850</v>
      </c>
      <c r="H5174" s="4" t="s">
        <v>1370</v>
      </c>
      <c r="I5174" s="4">
        <v>1900</v>
      </c>
      <c r="J5174" s="4" t="s">
        <v>16</v>
      </c>
    </row>
    <row r="5175" spans="2:10">
      <c r="B5175" t="s">
        <v>4389</v>
      </c>
      <c r="C5175">
        <v>30</v>
      </c>
      <c r="D5175">
        <v>30</v>
      </c>
      <c r="F5175">
        <v>38</v>
      </c>
      <c r="G5175">
        <v>25</v>
      </c>
      <c r="H5175">
        <v>40</v>
      </c>
      <c r="I5175">
        <v>60</v>
      </c>
      <c r="J5175">
        <f>SUM(C5175:I5175)</f>
        <v>223</v>
      </c>
    </row>
    <row r="5176" spans="2:10">
      <c r="B5176" s="3" t="s">
        <v>3092</v>
      </c>
      <c r="C5176" s="3">
        <v>10</v>
      </c>
      <c r="D5176" s="3"/>
      <c r="E5176" s="3">
        <v>20</v>
      </c>
      <c r="F5176" s="3">
        <v>6</v>
      </c>
      <c r="G5176" s="3"/>
      <c r="H5176" s="3">
        <v>65</v>
      </c>
      <c r="I5176" s="3"/>
      <c r="J5176" s="3">
        <f>SUM(C5176:I5176)</f>
        <v>101</v>
      </c>
    </row>
    <row r="5177" spans="2:10">
      <c r="B5177" t="s">
        <v>5846</v>
      </c>
      <c r="C5177">
        <f>SUM(C5175:C5176)</f>
        <v>40</v>
      </c>
      <c r="D5177">
        <f t="shared" ref="D5177:J5177" si="4">SUM(D5175:D5176)</f>
        <v>30</v>
      </c>
      <c r="E5177">
        <f t="shared" si="4"/>
        <v>20</v>
      </c>
      <c r="F5177">
        <f t="shared" si="4"/>
        <v>44</v>
      </c>
      <c r="G5177">
        <f t="shared" si="4"/>
        <v>25</v>
      </c>
      <c r="H5177">
        <f t="shared" si="4"/>
        <v>105</v>
      </c>
      <c r="I5177">
        <f t="shared" si="4"/>
        <v>60</v>
      </c>
      <c r="J5177">
        <f t="shared" si="4"/>
        <v>324</v>
      </c>
    </row>
    <row r="5179" spans="2:10">
      <c r="B5179" s="3"/>
      <c r="C5179" s="3">
        <v>2024</v>
      </c>
      <c r="D5179" s="3">
        <f>C5179+1</f>
        <v>2025</v>
      </c>
      <c r="E5179" s="3">
        <f>D5179+1</f>
        <v>2026</v>
      </c>
      <c r="F5179" s="3">
        <f>E5179+1</f>
        <v>2027</v>
      </c>
    </row>
    <row r="5180" spans="2:10">
      <c r="B5180" t="s">
        <v>7709</v>
      </c>
      <c r="C5180">
        <v>67</v>
      </c>
      <c r="D5180">
        <v>72</v>
      </c>
      <c r="E5180">
        <v>45</v>
      </c>
      <c r="F5180">
        <v>40</v>
      </c>
    </row>
    <row r="5181" spans="2:10">
      <c r="C5181">
        <v>32</v>
      </c>
    </row>
    <row r="5182" spans="2:10">
      <c r="C5182">
        <v>95</v>
      </c>
      <c r="D5182">
        <f t="shared" ref="D5182:F5182" si="5">SUM(D5180:D5181)</f>
        <v>72</v>
      </c>
      <c r="E5182">
        <f t="shared" si="5"/>
        <v>45</v>
      </c>
      <c r="F5182">
        <f t="shared" si="5"/>
        <v>40</v>
      </c>
    </row>
    <row r="5184" spans="2:10">
      <c r="B5184" s="13" t="s">
        <v>3493</v>
      </c>
    </row>
    <row r="5185" spans="2:3">
      <c r="B5185" t="s">
        <v>7710</v>
      </c>
    </row>
    <row r="5186" spans="2:3">
      <c r="B5186" t="s">
        <v>7711</v>
      </c>
    </row>
    <row r="5187" spans="2:3">
      <c r="B5187" t="s">
        <v>7712</v>
      </c>
    </row>
    <row r="5188" spans="2:3">
      <c r="C5188" t="s">
        <v>7716</v>
      </c>
    </row>
    <row r="5189" spans="2:3">
      <c r="C5189" t="s">
        <v>7718</v>
      </c>
    </row>
    <row r="5190" spans="2:3">
      <c r="C5190" t="s">
        <v>7717</v>
      </c>
    </row>
    <row r="5191" spans="2:3">
      <c r="B5191" t="s">
        <v>7713</v>
      </c>
    </row>
    <row r="5192" spans="2:3">
      <c r="C5192" t="s">
        <v>7714</v>
      </c>
    </row>
    <row r="5193" spans="2:3">
      <c r="C5193" t="s">
        <v>7715</v>
      </c>
    </row>
    <row r="5194" spans="2:3">
      <c r="B5194" t="s">
        <v>7719</v>
      </c>
    </row>
    <row r="5195" spans="2:3">
      <c r="C5195" t="s">
        <v>1796</v>
      </c>
    </row>
    <row r="5196" spans="2:3">
      <c r="B5196" t="s">
        <v>7720</v>
      </c>
    </row>
    <row r="5197" spans="2:3">
      <c r="B5197" t="s">
        <v>7721</v>
      </c>
    </row>
    <row r="5198" spans="2:3">
      <c r="C5198" t="s">
        <v>7722</v>
      </c>
    </row>
    <row r="5199" spans="2:3">
      <c r="B5199" t="s">
        <v>7723</v>
      </c>
    </row>
    <row r="5200" spans="2:3">
      <c r="C5200" t="s">
        <v>7724</v>
      </c>
    </row>
    <row r="5201" spans="2:3">
      <c r="B5201" t="s">
        <v>7725</v>
      </c>
    </row>
    <row r="5202" spans="2:3">
      <c r="C5202" t="s">
        <v>7726</v>
      </c>
    </row>
    <row r="5203" spans="2:3">
      <c r="C5203" t="s">
        <v>7727</v>
      </c>
    </row>
    <row r="5204" spans="2:3">
      <c r="C5204" t="s">
        <v>7728</v>
      </c>
    </row>
    <row r="5205" spans="2:3">
      <c r="B5205" t="s">
        <v>7730</v>
      </c>
    </row>
    <row r="5206" spans="2:3">
      <c r="B5206" t="s">
        <v>7731</v>
      </c>
    </row>
    <row r="5207" spans="2:3">
      <c r="B5207" t="s">
        <v>7729</v>
      </c>
    </row>
    <row r="5209" spans="2:3">
      <c r="B5209" s="513" t="s">
        <v>70</v>
      </c>
    </row>
    <row r="5211" spans="2:3">
      <c r="B5211" t="s">
        <v>7802</v>
      </c>
    </row>
    <row r="5212" spans="2:3">
      <c r="C5212" t="s">
        <v>7803</v>
      </c>
    </row>
    <row r="5213" spans="2:3">
      <c r="B5213" t="s">
        <v>7801</v>
      </c>
    </row>
    <row r="5216" spans="2:3">
      <c r="B5216" s="13" t="s">
        <v>469</v>
      </c>
    </row>
    <row r="5217" spans="2:3">
      <c r="B5217" t="s">
        <v>733</v>
      </c>
    </row>
    <row r="5218" spans="2:3">
      <c r="C5218" t="s">
        <v>7804</v>
      </c>
    </row>
    <row r="5219" spans="2:3">
      <c r="B5219" t="s">
        <v>5</v>
      </c>
    </row>
    <row r="5220" spans="2:3">
      <c r="C5220" t="s">
        <v>7805</v>
      </c>
    </row>
    <row r="5221" spans="2:3">
      <c r="C5221" t="s">
        <v>7806</v>
      </c>
    </row>
    <row r="5222" spans="2:3">
      <c r="B5222" t="s">
        <v>7809</v>
      </c>
    </row>
    <row r="5223" spans="2:3">
      <c r="C5223" t="s">
        <v>7807</v>
      </c>
    </row>
    <row r="5224" spans="2:3">
      <c r="C5224" t="s">
        <v>7808</v>
      </c>
    </row>
    <row r="5225" spans="2:3">
      <c r="C5225" t="s">
        <v>7810</v>
      </c>
    </row>
    <row r="5226" spans="2:3">
      <c r="B5226" t="s">
        <v>4234</v>
      </c>
    </row>
    <row r="5227" spans="2:3">
      <c r="C5227" t="s">
        <v>7811</v>
      </c>
    </row>
    <row r="5228" spans="2:3">
      <c r="B5228" t="s">
        <v>4681</v>
      </c>
    </row>
    <row r="5229" spans="2:3">
      <c r="C5229" s="84">
        <v>2021</v>
      </c>
    </row>
    <row r="5230" spans="2:3">
      <c r="C5230" t="s">
        <v>7812</v>
      </c>
    </row>
    <row r="5231" spans="2:3">
      <c r="C5231" t="s">
        <v>7813</v>
      </c>
    </row>
    <row r="5232" spans="2:3">
      <c r="B5232" t="s">
        <v>7814</v>
      </c>
    </row>
    <row r="5234" spans="2:4">
      <c r="B5234" s="513" t="s">
        <v>428</v>
      </c>
    </row>
    <row r="5236" spans="2:4">
      <c r="B5236" t="s">
        <v>7824</v>
      </c>
    </row>
    <row r="5237" spans="2:4">
      <c r="C5237" t="s">
        <v>7825</v>
      </c>
    </row>
    <row r="5238" spans="2:4">
      <c r="C5238" t="s">
        <v>7826</v>
      </c>
    </row>
    <row r="5239" spans="2:4">
      <c r="D5239" t="s">
        <v>7827</v>
      </c>
    </row>
    <row r="5240" spans="2:4">
      <c r="B5240" t="s">
        <v>7843</v>
      </c>
    </row>
    <row r="5241" spans="2:4">
      <c r="C5241" t="s">
        <v>7844</v>
      </c>
    </row>
    <row r="5242" spans="2:4">
      <c r="D5242" t="s">
        <v>7845</v>
      </c>
    </row>
    <row r="5243" spans="2:4">
      <c r="C5243" t="s">
        <v>7846</v>
      </c>
    </row>
    <row r="5244" spans="2:4">
      <c r="D5244" t="s">
        <v>7847</v>
      </c>
    </row>
    <row r="5245" spans="2:4">
      <c r="C5245" t="s">
        <v>7848</v>
      </c>
    </row>
    <row r="5246" spans="2:4">
      <c r="C5246" t="s">
        <v>7849</v>
      </c>
    </row>
    <row r="5247" spans="2:4">
      <c r="D5247" t="s">
        <v>7850</v>
      </c>
    </row>
    <row r="5248" spans="2:4">
      <c r="C5248" t="s">
        <v>7851</v>
      </c>
    </row>
    <row r="5249" spans="2:4">
      <c r="B5249" t="s">
        <v>7852</v>
      </c>
    </row>
    <row r="5250" spans="2:4">
      <c r="C5250" t="s">
        <v>7853</v>
      </c>
    </row>
    <row r="5251" spans="2:4">
      <c r="C5251" t="s">
        <v>7854</v>
      </c>
    </row>
    <row r="5252" spans="2:4">
      <c r="C5252" t="s">
        <v>7855</v>
      </c>
    </row>
    <row r="5253" spans="2:4">
      <c r="C5253" t="s">
        <v>7856</v>
      </c>
    </row>
    <row r="5254" spans="2:4">
      <c r="C5254" t="s">
        <v>7857</v>
      </c>
    </row>
    <row r="5255" spans="2:4">
      <c r="B5255" t="s">
        <v>4681</v>
      </c>
    </row>
    <row r="5256" spans="2:4">
      <c r="C5256" t="s">
        <v>7828</v>
      </c>
    </row>
    <row r="5257" spans="2:4">
      <c r="C5257" t="s">
        <v>7864</v>
      </c>
    </row>
    <row r="5258" spans="2:4">
      <c r="C5258" t="s">
        <v>7865</v>
      </c>
    </row>
    <row r="5259" spans="2:4">
      <c r="C5259" t="s">
        <v>7866</v>
      </c>
    </row>
    <row r="5260" spans="2:4">
      <c r="C5260" t="s">
        <v>7829</v>
      </c>
    </row>
    <row r="5261" spans="2:4">
      <c r="C5261" t="s">
        <v>7830</v>
      </c>
    </row>
    <row r="5262" spans="2:4">
      <c r="C5262" t="s">
        <v>7831</v>
      </c>
    </row>
    <row r="5263" spans="2:4">
      <c r="D5263" t="s">
        <v>7832</v>
      </c>
    </row>
    <row r="5264" spans="2:4">
      <c r="C5264" t="s">
        <v>7867</v>
      </c>
    </row>
    <row r="5265" spans="2:4">
      <c r="C5265" t="s">
        <v>7868</v>
      </c>
    </row>
    <row r="5266" spans="2:4">
      <c r="B5266" t="s">
        <v>3269</v>
      </c>
    </row>
    <row r="5267" spans="2:4">
      <c r="C5267" t="s">
        <v>7833</v>
      </c>
    </row>
    <row r="5268" spans="2:4">
      <c r="C5268" t="s">
        <v>7834</v>
      </c>
    </row>
    <row r="5269" spans="2:4">
      <c r="D5269" t="s">
        <v>7835</v>
      </c>
    </row>
    <row r="5270" spans="2:4">
      <c r="C5270" t="s">
        <v>7840</v>
      </c>
    </row>
    <row r="5271" spans="2:4">
      <c r="D5271" t="s">
        <v>7841</v>
      </c>
    </row>
    <row r="5272" spans="2:4">
      <c r="D5272" t="s">
        <v>7842</v>
      </c>
    </row>
    <row r="5273" spans="2:4">
      <c r="B5273" t="s">
        <v>2281</v>
      </c>
    </row>
    <row r="5274" spans="2:4">
      <c r="C5274" t="s">
        <v>7836</v>
      </c>
    </row>
    <row r="5275" spans="2:4">
      <c r="D5275" t="s">
        <v>7838</v>
      </c>
    </row>
    <row r="5276" spans="2:4">
      <c r="C5276" t="s">
        <v>7837</v>
      </c>
    </row>
    <row r="5277" spans="2:4">
      <c r="D5277" t="s">
        <v>7839</v>
      </c>
    </row>
    <row r="5278" spans="2:4">
      <c r="B5278" t="s">
        <v>6160</v>
      </c>
    </row>
    <row r="5279" spans="2:4">
      <c r="C5279" t="s">
        <v>7858</v>
      </c>
    </row>
    <row r="5280" spans="2:4">
      <c r="C5280" t="s">
        <v>7862</v>
      </c>
    </row>
    <row r="5281" spans="2:4">
      <c r="C5281" t="s">
        <v>7859</v>
      </c>
    </row>
    <row r="5282" spans="2:4">
      <c r="C5282" t="s">
        <v>7860</v>
      </c>
    </row>
    <row r="5284" spans="2:4">
      <c r="C5284" t="s">
        <v>7861</v>
      </c>
    </row>
    <row r="5285" spans="2:4">
      <c r="B5285" t="s">
        <v>469</v>
      </c>
    </row>
    <row r="5286" spans="2:4">
      <c r="C5286" t="s">
        <v>7863</v>
      </c>
    </row>
    <row r="5287" spans="2:4">
      <c r="C5287" t="s">
        <v>7870</v>
      </c>
    </row>
    <row r="5288" spans="2:4">
      <c r="D5288" t="s">
        <v>7869</v>
      </c>
    </row>
    <row r="5289" spans="2:4">
      <c r="D5289" t="s">
        <v>7871</v>
      </c>
    </row>
    <row r="5290" spans="2:4">
      <c r="D5290" t="s">
        <v>7872</v>
      </c>
    </row>
    <row r="5291" spans="2:4">
      <c r="C5291" t="s">
        <v>7873</v>
      </c>
    </row>
    <row r="5293" spans="2:4">
      <c r="C5293" t="s">
        <v>5</v>
      </c>
    </row>
    <row r="5294" spans="2:4">
      <c r="D5294" t="s">
        <v>7874</v>
      </c>
    </row>
    <row r="5296" spans="2:4">
      <c r="B5296" s="513" t="s">
        <v>5042</v>
      </c>
    </row>
    <row r="5298" spans="2:6">
      <c r="B5298" t="s">
        <v>7896</v>
      </c>
    </row>
    <row r="5299" spans="2:6">
      <c r="C5299" t="s">
        <v>7893</v>
      </c>
    </row>
    <row r="5300" spans="2:6">
      <c r="C5300" t="s">
        <v>7894</v>
      </c>
    </row>
    <row r="5301" spans="2:6">
      <c r="C5301" t="s">
        <v>7895</v>
      </c>
    </row>
    <row r="5302" spans="2:6">
      <c r="B5302" t="s">
        <v>7897</v>
      </c>
    </row>
    <row r="5303" spans="2:6">
      <c r="C5303" t="s">
        <v>7898</v>
      </c>
    </row>
    <row r="5304" spans="2:6">
      <c r="D5304" t="s">
        <v>7899</v>
      </c>
    </row>
    <row r="5305" spans="2:6">
      <c r="D5305" t="s">
        <v>7900</v>
      </c>
      <c r="F5305" t="s">
        <v>7901</v>
      </c>
    </row>
    <row r="5306" spans="2:6">
      <c r="D5306" t="s">
        <v>7902</v>
      </c>
    </row>
    <row r="5307" spans="2:6">
      <c r="B5307" t="s">
        <v>7903</v>
      </c>
    </row>
    <row r="5309" spans="2:6">
      <c r="B5309" t="s">
        <v>7896</v>
      </c>
    </row>
    <row r="5310" spans="2:6">
      <c r="C5310" t="s">
        <v>7904</v>
      </c>
    </row>
    <row r="5311" spans="2:6">
      <c r="B5311" t="s">
        <v>7834</v>
      </c>
    </row>
    <row r="5312" spans="2:6">
      <c r="C5312" t="s">
        <v>7905</v>
      </c>
    </row>
    <row r="5313" spans="2:4">
      <c r="B5313" t="s">
        <v>7906</v>
      </c>
    </row>
    <row r="5314" spans="2:4">
      <c r="C5314" t="s">
        <v>469</v>
      </c>
      <c r="D5314" t="s">
        <v>7907</v>
      </c>
    </row>
    <row r="5315" spans="2:4">
      <c r="C5315" t="s">
        <v>90</v>
      </c>
    </row>
    <row r="5316" spans="2:4">
      <c r="B5316" t="s">
        <v>7908</v>
      </c>
    </row>
    <row r="5318" spans="2:4">
      <c r="B5318" t="s">
        <v>7909</v>
      </c>
    </row>
    <row r="5320" spans="2:4">
      <c r="B5320" t="s">
        <v>7910</v>
      </c>
    </row>
  </sheetData>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652A-45A6-40DF-8C4C-E699FB4A7180}">
  <dimension ref="B2:P141"/>
  <sheetViews>
    <sheetView zoomScale="72" zoomScaleNormal="72" workbookViewId="0"/>
  </sheetViews>
  <sheetFormatPr defaultRowHeight="15"/>
  <cols>
    <col min="2" max="2" width="35.7109375" customWidth="1"/>
  </cols>
  <sheetData>
    <row r="2" spans="2:14">
      <c r="B2" s="552" t="s">
        <v>6841</v>
      </c>
      <c r="C2" s="552"/>
      <c r="D2" s="552">
        <v>2020</v>
      </c>
      <c r="E2" s="552">
        <f>D2+1</f>
        <v>2021</v>
      </c>
      <c r="F2" s="552">
        <f t="shared" ref="F2:N2" si="0">E2+1</f>
        <v>2022</v>
      </c>
      <c r="G2" s="552">
        <f t="shared" si="0"/>
        <v>2023</v>
      </c>
      <c r="H2" s="552">
        <f t="shared" si="0"/>
        <v>2024</v>
      </c>
      <c r="I2" s="552">
        <f t="shared" si="0"/>
        <v>2025</v>
      </c>
      <c r="J2" s="552">
        <f t="shared" si="0"/>
        <v>2026</v>
      </c>
      <c r="K2" s="552">
        <f t="shared" si="0"/>
        <v>2027</v>
      </c>
      <c r="L2" s="552">
        <f t="shared" si="0"/>
        <v>2028</v>
      </c>
      <c r="M2" s="552">
        <f t="shared" si="0"/>
        <v>2029</v>
      </c>
      <c r="N2" s="552">
        <f t="shared" si="0"/>
        <v>2030</v>
      </c>
    </row>
    <row r="3" spans="2:14">
      <c r="B3" t="s">
        <v>6843</v>
      </c>
      <c r="D3" s="486">
        <f>'New Format'!G223</f>
        <v>2199.9</v>
      </c>
      <c r="E3" s="486">
        <f>'New Format'!H223</f>
        <v>2297.1</v>
      </c>
      <c r="F3" s="486">
        <f>'New Format'!I223</f>
        <v>2530.3000000000002</v>
      </c>
      <c r="G3" s="486">
        <f>'New Format'!J223</f>
        <v>2632.7</v>
      </c>
      <c r="H3" s="486">
        <f>'New Format'!K223</f>
        <v>2689.7449577034972</v>
      </c>
      <c r="I3" s="486">
        <f>'New Format'!L223</f>
        <v>2756.216675131273</v>
      </c>
      <c r="J3" s="486">
        <f>'New Format'!M223</f>
        <v>2822.4173106275225</v>
      </c>
      <c r="K3" s="486">
        <f>'New Format'!N223</f>
        <v>2888.5036228290742</v>
      </c>
      <c r="L3" s="486">
        <f>'New Format'!O223</f>
        <v>2961.409182834519</v>
      </c>
      <c r="M3" s="486">
        <f>'New Format'!P223</f>
        <v>3037.036504699437</v>
      </c>
      <c r="N3" s="486">
        <f>'New Format'!Q223</f>
        <v>3115.51788316999</v>
      </c>
    </row>
    <row r="4" spans="2:14">
      <c r="B4" s="3" t="s">
        <v>4073</v>
      </c>
      <c r="C4" s="3"/>
      <c r="D4" s="487"/>
      <c r="E4" s="487">
        <f>E5-E3</f>
        <v>13.5</v>
      </c>
      <c r="F4" s="487">
        <f>F5-F3</f>
        <v>-81.700000000000273</v>
      </c>
      <c r="G4" s="487">
        <f>G5-G3</f>
        <v>-89.5</v>
      </c>
      <c r="H4" s="1444">
        <f t="shared" ref="H4:N4" si="1">G4/G3*H3</f>
        <v>-91.439272881248527</v>
      </c>
      <c r="I4" s="1444">
        <f t="shared" si="1"/>
        <v>-93.699013341531099</v>
      </c>
      <c r="J4" s="1444">
        <f t="shared" si="1"/>
        <v>-95.949538231155572</v>
      </c>
      <c r="K4" s="1444">
        <f t="shared" si="1"/>
        <v>-98.196176641167682</v>
      </c>
      <c r="L4" s="1444">
        <f t="shared" si="1"/>
        <v>-100.67463891202547</v>
      </c>
      <c r="M4" s="1444">
        <f t="shared" si="1"/>
        <v>-103.24562888692203</v>
      </c>
      <c r="N4" s="1444">
        <f t="shared" si="1"/>
        <v>-105.9136439942698</v>
      </c>
    </row>
    <row r="5" spans="2:14">
      <c r="B5" t="s">
        <v>6844</v>
      </c>
      <c r="D5" s="486"/>
      <c r="E5" s="1427">
        <v>2310.6</v>
      </c>
      <c r="F5" s="1427">
        <v>2448.6</v>
      </c>
      <c r="G5" s="1427">
        <v>2543.1999999999998</v>
      </c>
      <c r="H5" s="486">
        <f t="shared" ref="H5:N5" si="2">H3+H4</f>
        <v>2598.3056848222486</v>
      </c>
      <c r="I5" s="486">
        <f t="shared" si="2"/>
        <v>2662.5176617897419</v>
      </c>
      <c r="J5" s="486">
        <f t="shared" si="2"/>
        <v>2726.4677723963669</v>
      </c>
      <c r="K5" s="486">
        <f t="shared" si="2"/>
        <v>2790.3074461879064</v>
      </c>
      <c r="L5" s="486">
        <f t="shared" si="2"/>
        <v>2860.7345439224937</v>
      </c>
      <c r="M5" s="486">
        <f t="shared" si="2"/>
        <v>2933.790875812515</v>
      </c>
      <c r="N5" s="486">
        <f t="shared" si="2"/>
        <v>3009.6042391757201</v>
      </c>
    </row>
    <row r="6" spans="2:14">
      <c r="B6" t="s">
        <v>78</v>
      </c>
      <c r="D6" s="486"/>
      <c r="E6" s="6">
        <f>E3/D3-1</f>
        <v>4.4183826537569804E-2</v>
      </c>
      <c r="F6" s="6">
        <f t="shared" ref="F6:N6" si="3">F3/E3-1</f>
        <v>0.1015193069522442</v>
      </c>
      <c r="G6" s="6">
        <f t="shared" si="3"/>
        <v>4.0469509544322602E-2</v>
      </c>
      <c r="H6" s="6">
        <f t="shared" si="3"/>
        <v>2.1667853421771355E-2</v>
      </c>
      <c r="I6" s="6">
        <f t="shared" si="3"/>
        <v>2.4713018696214784E-2</v>
      </c>
      <c r="J6" s="6">
        <f t="shared" si="3"/>
        <v>2.401866155645993E-2</v>
      </c>
      <c r="K6" s="6">
        <f t="shared" si="3"/>
        <v>2.3414791268715041E-2</v>
      </c>
      <c r="L6" s="6">
        <f t="shared" si="3"/>
        <v>2.5239906029281389E-2</v>
      </c>
      <c r="M6" s="6">
        <f t="shared" si="3"/>
        <v>2.5537613073966181E-2</v>
      </c>
      <c r="N6" s="6">
        <f t="shared" si="3"/>
        <v>2.5841434025936971E-2</v>
      </c>
    </row>
    <row r="8" spans="2:14">
      <c r="B8" t="s">
        <v>4161</v>
      </c>
      <c r="D8" s="486">
        <f>'New Format'!G252</f>
        <v>886</v>
      </c>
      <c r="E8" s="486">
        <f>'New Format'!H252</f>
        <v>947.30000000000007</v>
      </c>
      <c r="F8" s="486">
        <f>'New Format'!I252</f>
        <v>1000.3</v>
      </c>
      <c r="G8" s="486">
        <f>'New Format'!J252</f>
        <v>1086.2</v>
      </c>
      <c r="H8" s="486">
        <f>'New Format'!K252</f>
        <v>1121.9841984141069</v>
      </c>
      <c r="I8" s="486">
        <f>'New Format'!L252</f>
        <v>1184.2504847729369</v>
      </c>
      <c r="J8" s="486">
        <f>'New Format'!M252</f>
        <v>1222.7859544035505</v>
      </c>
      <c r="K8" s="486">
        <f>'New Format'!N252</f>
        <v>1256.3605099882809</v>
      </c>
      <c r="L8" s="486">
        <f>'New Format'!O252</f>
        <v>1288.7745116816072</v>
      </c>
      <c r="M8" s="486">
        <f>'New Format'!P252</f>
        <v>1322.4524122957098</v>
      </c>
      <c r="N8" s="486">
        <f>'New Format'!Q252</f>
        <v>1357.4566922960732</v>
      </c>
    </row>
    <row r="9" spans="2:14">
      <c r="B9" t="s">
        <v>251</v>
      </c>
      <c r="D9" s="6">
        <f>D8/D3</f>
        <v>0.40274557934451566</v>
      </c>
      <c r="E9" s="6">
        <f>E8/E3</f>
        <v>0.41238953463062128</v>
      </c>
      <c r="F9" s="6">
        <f>F8/F3</f>
        <v>0.39532861716002049</v>
      </c>
      <c r="G9" s="6">
        <f t="shared" ref="G9:N9" si="4">G8/G3</f>
        <v>0.41258024081741185</v>
      </c>
      <c r="H9" s="6">
        <f t="shared" si="4"/>
        <v>0.41713404655735703</v>
      </c>
      <c r="I9" s="6">
        <f t="shared" si="4"/>
        <v>0.42966523476117258</v>
      </c>
      <c r="J9" s="6">
        <f t="shared" si="4"/>
        <v>0.43324066565184233</v>
      </c>
      <c r="K9" s="6">
        <f t="shared" si="4"/>
        <v>0.4349520284685568</v>
      </c>
      <c r="L9" s="6">
        <f t="shared" si="4"/>
        <v>0.43518961147005497</v>
      </c>
      <c r="M9" s="6">
        <f t="shared" si="4"/>
        <v>0.43544172427607597</v>
      </c>
      <c r="N9" s="6">
        <f t="shared" si="4"/>
        <v>0.43570820107599018</v>
      </c>
    </row>
    <row r="11" spans="2:14">
      <c r="B11" t="s">
        <v>19</v>
      </c>
      <c r="D11" s="486">
        <f>'New Format'!G263</f>
        <v>317.20000000000005</v>
      </c>
      <c r="E11" s="486">
        <f>'New Format'!H263</f>
        <v>357.1</v>
      </c>
      <c r="F11" s="486">
        <f>'New Format'!I263</f>
        <v>350.08131600000002</v>
      </c>
      <c r="G11" s="486">
        <f>'New Format'!J263</f>
        <v>399.6</v>
      </c>
      <c r="H11" s="486">
        <f>'New Format'!K263</f>
        <v>400.34709410878224</v>
      </c>
      <c r="I11" s="486">
        <f>'New Format'!L263</f>
        <v>400.42058782805361</v>
      </c>
      <c r="J11" s="486">
        <f>'New Format'!M263</f>
        <v>410.13220377956895</v>
      </c>
      <c r="K11" s="486">
        <f>'New Format'!N263</f>
        <v>419.71444451711108</v>
      </c>
      <c r="L11" s="486">
        <f>'New Format'!O263</f>
        <v>430.36467739028387</v>
      </c>
      <c r="M11" s="486">
        <f>'New Format'!P263</f>
        <v>441.42665993565146</v>
      </c>
      <c r="N11" s="486">
        <f>'New Format'!Q263</f>
        <v>452.92089369838016</v>
      </c>
    </row>
    <row r="12" spans="2:14">
      <c r="B12" t="s">
        <v>91</v>
      </c>
      <c r="D12" s="6">
        <f>D11/D3</f>
        <v>0.14418837219873631</v>
      </c>
      <c r="E12" s="6">
        <f t="shared" ref="E12:N12" si="5">E11/E3</f>
        <v>0.15545688041443562</v>
      </c>
      <c r="F12" s="6">
        <f t="shared" si="5"/>
        <v>0.13835565585108484</v>
      </c>
      <c r="G12" s="6">
        <f t="shared" si="5"/>
        <v>0.15178334029703347</v>
      </c>
      <c r="H12" s="6">
        <f t="shared" si="5"/>
        <v>0.14884202792617124</v>
      </c>
      <c r="I12" s="6">
        <f t="shared" si="5"/>
        <v>0.14527906729574605</v>
      </c>
      <c r="J12" s="6">
        <f t="shared" si="5"/>
        <v>0.14531238957302955</v>
      </c>
      <c r="K12" s="6">
        <f t="shared" si="5"/>
        <v>0.14530514734339575</v>
      </c>
      <c r="L12" s="6">
        <f t="shared" si="5"/>
        <v>0.14532428679050674</v>
      </c>
      <c r="M12" s="6">
        <f t="shared" si="5"/>
        <v>0.1453478281385813</v>
      </c>
      <c r="N12" s="6">
        <f t="shared" si="5"/>
        <v>0.14537579647514023</v>
      </c>
    </row>
    <row r="14" spans="2:14">
      <c r="B14" t="s">
        <v>27</v>
      </c>
      <c r="D14" s="486">
        <f>D8-D11</f>
        <v>568.79999999999995</v>
      </c>
      <c r="E14" s="486">
        <f t="shared" ref="E14:N14" si="6">E8-E11</f>
        <v>590.20000000000005</v>
      </c>
      <c r="F14" s="486">
        <f t="shared" si="6"/>
        <v>650.21868399999994</v>
      </c>
      <c r="G14" s="486">
        <f t="shared" si="6"/>
        <v>686.6</v>
      </c>
      <c r="H14" s="486">
        <f t="shared" si="6"/>
        <v>721.63710430532467</v>
      </c>
      <c r="I14" s="486">
        <f t="shared" si="6"/>
        <v>783.82989694488333</v>
      </c>
      <c r="J14" s="486">
        <f t="shared" si="6"/>
        <v>812.65375062398152</v>
      </c>
      <c r="K14" s="486">
        <f t="shared" si="6"/>
        <v>836.64606547116978</v>
      </c>
      <c r="L14" s="486">
        <f t="shared" si="6"/>
        <v>858.40983429132336</v>
      </c>
      <c r="M14" s="486">
        <f t="shared" si="6"/>
        <v>881.02575236005828</v>
      </c>
      <c r="N14" s="486">
        <f t="shared" si="6"/>
        <v>904.53579859769309</v>
      </c>
    </row>
    <row r="16" spans="2:14">
      <c r="B16" t="s">
        <v>164</v>
      </c>
      <c r="E16" s="486">
        <v>4264.8</v>
      </c>
      <c r="F16" s="486">
        <v>4519.6000000000004</v>
      </c>
    </row>
    <row r="17" spans="2:14">
      <c r="B17" t="s">
        <v>707</v>
      </c>
      <c r="E17" s="486">
        <v>562.9</v>
      </c>
      <c r="F17" s="486">
        <v>536.20000000000005</v>
      </c>
    </row>
    <row r="18" spans="2:14">
      <c r="B18" t="s">
        <v>115</v>
      </c>
      <c r="E18" s="486">
        <f>E16-E17</f>
        <v>3701.9</v>
      </c>
      <c r="F18" s="486">
        <f>F16-F17</f>
        <v>3983.4000000000005</v>
      </c>
    </row>
    <row r="20" spans="2:14">
      <c r="B20" t="s">
        <v>895</v>
      </c>
      <c r="E20" s="1425">
        <f>E18/E8</f>
        <v>3.9078433442415283</v>
      </c>
      <c r="F20" s="1425">
        <f>F18/F8</f>
        <v>3.9822053383984812</v>
      </c>
    </row>
    <row r="26" spans="2:14">
      <c r="B26" s="1431" t="s">
        <v>2046</v>
      </c>
      <c r="C26" s="1431"/>
      <c r="D26" s="1431">
        <f t="shared" ref="D26:N26" si="7">D2</f>
        <v>2020</v>
      </c>
      <c r="E26" s="1431">
        <f t="shared" si="7"/>
        <v>2021</v>
      </c>
      <c r="F26" s="1431">
        <f t="shared" si="7"/>
        <v>2022</v>
      </c>
      <c r="G26" s="1431">
        <f t="shared" si="7"/>
        <v>2023</v>
      </c>
      <c r="H26" s="1431">
        <f t="shared" si="7"/>
        <v>2024</v>
      </c>
      <c r="I26" s="1431">
        <f t="shared" si="7"/>
        <v>2025</v>
      </c>
      <c r="J26" s="1431">
        <f t="shared" si="7"/>
        <v>2026</v>
      </c>
      <c r="K26" s="1431">
        <f t="shared" si="7"/>
        <v>2027</v>
      </c>
      <c r="L26" s="1431">
        <f t="shared" si="7"/>
        <v>2028</v>
      </c>
      <c r="M26" s="1431">
        <f t="shared" si="7"/>
        <v>2029</v>
      </c>
      <c r="N26" s="1431">
        <f t="shared" si="7"/>
        <v>2030</v>
      </c>
    </row>
    <row r="27" spans="2:14">
      <c r="B27" t="s">
        <v>6847</v>
      </c>
      <c r="D27" s="1427">
        <v>161.5</v>
      </c>
      <c r="E27" s="1427">
        <v>105</v>
      </c>
      <c r="F27" s="1427">
        <v>203.6</v>
      </c>
      <c r="G27" s="1427">
        <v>307.3</v>
      </c>
      <c r="H27" s="1381">
        <f t="shared" ref="H27:N27" si="8">G27</f>
        <v>307.3</v>
      </c>
      <c r="I27" s="1381">
        <f t="shared" si="8"/>
        <v>307.3</v>
      </c>
      <c r="J27" s="1381">
        <f t="shared" si="8"/>
        <v>307.3</v>
      </c>
      <c r="K27" s="1381">
        <f t="shared" si="8"/>
        <v>307.3</v>
      </c>
      <c r="L27" s="1381">
        <f t="shared" si="8"/>
        <v>307.3</v>
      </c>
      <c r="M27" s="1381">
        <f t="shared" si="8"/>
        <v>307.3</v>
      </c>
      <c r="N27" s="1381">
        <f t="shared" si="8"/>
        <v>307.3</v>
      </c>
    </row>
    <row r="28" spans="2:14">
      <c r="B28" t="s">
        <v>6846</v>
      </c>
      <c r="D28" s="1427">
        <v>4104.3</v>
      </c>
      <c r="E28" s="1427">
        <v>4128</v>
      </c>
      <c r="F28" s="1427">
        <v>4284.3999999999996</v>
      </c>
      <c r="G28" s="1427">
        <v>4536.3</v>
      </c>
      <c r="H28" s="486">
        <f t="shared" ref="H28:N28" si="9">H31+H30-H27</f>
        <v>4536.3</v>
      </c>
      <c r="I28" s="486">
        <f t="shared" si="9"/>
        <v>4536.3</v>
      </c>
      <c r="J28" s="486">
        <f t="shared" si="9"/>
        <v>4536.3</v>
      </c>
      <c r="K28" s="486">
        <f t="shared" si="9"/>
        <v>4536.3000000000011</v>
      </c>
      <c r="L28" s="486">
        <f t="shared" si="9"/>
        <v>4536.3</v>
      </c>
      <c r="M28" s="486">
        <f t="shared" si="9"/>
        <v>4536.3</v>
      </c>
      <c r="N28" s="486">
        <f t="shared" si="9"/>
        <v>4536.3</v>
      </c>
    </row>
    <row r="29" spans="2:14">
      <c r="B29" s="12" t="s">
        <v>6845</v>
      </c>
      <c r="C29" s="12"/>
      <c r="D29" s="1445">
        <f>D27+D28</f>
        <v>4265.8</v>
      </c>
      <c r="E29" s="1445">
        <f>E27+E28</f>
        <v>4233</v>
      </c>
      <c r="F29" s="1445">
        <f>F27+F28</f>
        <v>4488</v>
      </c>
      <c r="G29" s="1445">
        <f>G27+G28</f>
        <v>4843.6000000000004</v>
      </c>
      <c r="H29" s="1445">
        <f t="shared" ref="H29:N29" si="10">H27+H28</f>
        <v>4843.6000000000004</v>
      </c>
      <c r="I29" s="1445">
        <f t="shared" si="10"/>
        <v>4843.6000000000004</v>
      </c>
      <c r="J29" s="1445">
        <f t="shared" si="10"/>
        <v>4843.6000000000004</v>
      </c>
      <c r="K29" s="1445">
        <f t="shared" si="10"/>
        <v>4843.6000000000013</v>
      </c>
      <c r="L29" s="1445">
        <f t="shared" si="10"/>
        <v>4843.6000000000004</v>
      </c>
      <c r="M29" s="1445">
        <f t="shared" si="10"/>
        <v>4843.6000000000004</v>
      </c>
      <c r="N29" s="1445">
        <f t="shared" si="10"/>
        <v>4843.6000000000004</v>
      </c>
    </row>
    <row r="30" spans="2:14">
      <c r="B30" t="s">
        <v>707</v>
      </c>
      <c r="D30" s="1427">
        <v>485.5</v>
      </c>
      <c r="E30" s="1427">
        <v>562.9</v>
      </c>
      <c r="F30" s="1427">
        <v>536.20000000000005</v>
      </c>
      <c r="G30" s="1427">
        <v>737.9</v>
      </c>
      <c r="H30" s="486">
        <f t="shared" ref="H30:N30" si="11">G30+H51</f>
        <v>924.75205470179787</v>
      </c>
      <c r="I30" s="486">
        <f t="shared" si="11"/>
        <v>1157.1790032674717</v>
      </c>
      <c r="J30" s="486">
        <f t="shared" si="11"/>
        <v>1408.6011055405884</v>
      </c>
      <c r="K30" s="486">
        <f t="shared" si="11"/>
        <v>1675.3798252453332</v>
      </c>
      <c r="L30" s="486">
        <f t="shared" si="11"/>
        <v>1955.5987303577808</v>
      </c>
      <c r="M30" s="486">
        <f t="shared" si="11"/>
        <v>2249.7702257800538</v>
      </c>
      <c r="N30" s="486">
        <f t="shared" si="11"/>
        <v>2558.431317650899</v>
      </c>
    </row>
    <row r="31" spans="2:14">
      <c r="B31" s="1426" t="s">
        <v>115</v>
      </c>
      <c r="C31" s="1426"/>
      <c r="D31" s="1428">
        <f>D29-D30</f>
        <v>3780.3</v>
      </c>
      <c r="E31" s="1428">
        <f>E29-E30</f>
        <v>3670.1</v>
      </c>
      <c r="F31" s="1428">
        <f>F29-F30</f>
        <v>3951.8</v>
      </c>
      <c r="G31" s="1428">
        <f>G29-G30</f>
        <v>4105.7000000000007</v>
      </c>
      <c r="H31" s="1428">
        <f>G31-H51</f>
        <v>3918.8479452982028</v>
      </c>
      <c r="I31" s="1428">
        <f t="shared" ref="I31:N31" si="12">H31-I51</f>
        <v>3686.4209967325291</v>
      </c>
      <c r="J31" s="1428">
        <f t="shared" si="12"/>
        <v>3434.9988944594124</v>
      </c>
      <c r="K31" s="1428">
        <f t="shared" si="12"/>
        <v>3168.2201747546678</v>
      </c>
      <c r="L31" s="1428">
        <f t="shared" si="12"/>
        <v>2888.00126964222</v>
      </c>
      <c r="M31" s="1428">
        <f t="shared" si="12"/>
        <v>2593.829774219947</v>
      </c>
      <c r="N31" s="1428">
        <f t="shared" si="12"/>
        <v>2285.1686823491018</v>
      </c>
    </row>
    <row r="32" spans="2:14">
      <c r="B32" t="s">
        <v>273</v>
      </c>
      <c r="D32" s="1425">
        <f t="shared" ref="D32:N32" si="13">D31/D8</f>
        <v>4.2667042889390521</v>
      </c>
      <c r="E32" s="1425">
        <f t="shared" si="13"/>
        <v>3.8742742531405043</v>
      </c>
      <c r="F32" s="1425">
        <f t="shared" si="13"/>
        <v>3.9506148155553338</v>
      </c>
      <c r="G32" s="1425">
        <f>G31/G8</f>
        <v>3.7798747928558281</v>
      </c>
      <c r="H32" s="1425">
        <f t="shared" si="13"/>
        <v>3.4927835444005217</v>
      </c>
      <c r="I32" s="1425">
        <f t="shared" si="13"/>
        <v>3.1128726938535705</v>
      </c>
      <c r="J32" s="1425">
        <f t="shared" si="13"/>
        <v>2.8091579577677872</v>
      </c>
      <c r="K32" s="1425">
        <f t="shared" si="13"/>
        <v>2.5217444750664924</v>
      </c>
      <c r="L32" s="1425">
        <f t="shared" si="13"/>
        <v>2.240889498872789</v>
      </c>
      <c r="M32" s="1425">
        <f t="shared" si="13"/>
        <v>1.9613785343830945</v>
      </c>
      <c r="N32" s="1425">
        <f t="shared" si="13"/>
        <v>1.6834192172155769</v>
      </c>
    </row>
    <row r="34" spans="2:14">
      <c r="B34" t="s">
        <v>6851</v>
      </c>
      <c r="E34" s="1427">
        <v>1715</v>
      </c>
      <c r="F34" s="1427">
        <v>1715</v>
      </c>
      <c r="G34" s="1427">
        <v>1715</v>
      </c>
    </row>
    <row r="35" spans="2:14">
      <c r="B35" t="s">
        <v>6852</v>
      </c>
      <c r="E35" s="1427">
        <v>2451.3000000000002</v>
      </c>
      <c r="F35" s="1427">
        <v>2605.1999999999998</v>
      </c>
      <c r="G35" s="1427">
        <v>2694.2</v>
      </c>
    </row>
    <row r="36" spans="2:14">
      <c r="B36" t="s">
        <v>2787</v>
      </c>
      <c r="E36" s="1427">
        <v>98.4</v>
      </c>
      <c r="F36" s="1427">
        <v>199.4</v>
      </c>
      <c r="G36" s="1427">
        <v>460.3</v>
      </c>
    </row>
    <row r="37" spans="2:14">
      <c r="B37" t="s">
        <v>6857</v>
      </c>
      <c r="E37" s="1427">
        <v>-31.8</v>
      </c>
      <c r="F37" s="1427">
        <v>-31.6</v>
      </c>
      <c r="G37" s="1427">
        <v>-25.9</v>
      </c>
    </row>
    <row r="39" spans="2:14">
      <c r="B39" t="s">
        <v>6858</v>
      </c>
      <c r="F39" s="1427">
        <f>630+20+69.2</f>
        <v>719.2</v>
      </c>
      <c r="G39" s="1427">
        <f>572+10+54.5</f>
        <v>636.5</v>
      </c>
      <c r="H39" s="1381">
        <f t="shared" ref="H39:N39" si="14">G39</f>
        <v>636.5</v>
      </c>
      <c r="I39" s="1381">
        <f t="shared" si="14"/>
        <v>636.5</v>
      </c>
      <c r="J39" s="1381">
        <f t="shared" si="14"/>
        <v>636.5</v>
      </c>
      <c r="K39" s="1381">
        <f t="shared" si="14"/>
        <v>636.5</v>
      </c>
      <c r="L39" s="1381">
        <f t="shared" si="14"/>
        <v>636.5</v>
      </c>
      <c r="M39" s="1381">
        <f t="shared" si="14"/>
        <v>636.5</v>
      </c>
      <c r="N39" s="1381">
        <f t="shared" si="14"/>
        <v>636.5</v>
      </c>
    </row>
    <row r="43" spans="2:14">
      <c r="B43" s="1431" t="s">
        <v>6832</v>
      </c>
      <c r="C43" s="1431"/>
      <c r="D43" s="1431">
        <f t="shared" ref="D43:N43" si="15">D2</f>
        <v>2020</v>
      </c>
      <c r="E43" s="1431">
        <f t="shared" si="15"/>
        <v>2021</v>
      </c>
      <c r="F43" s="1431">
        <f t="shared" si="15"/>
        <v>2022</v>
      </c>
      <c r="G43" s="1431">
        <f t="shared" si="15"/>
        <v>2023</v>
      </c>
      <c r="H43" s="1431">
        <f t="shared" si="15"/>
        <v>2024</v>
      </c>
      <c r="I43" s="1431">
        <f t="shared" si="15"/>
        <v>2025</v>
      </c>
      <c r="J43" s="1431">
        <f t="shared" si="15"/>
        <v>2026</v>
      </c>
      <c r="K43" s="1431">
        <f t="shared" si="15"/>
        <v>2027</v>
      </c>
      <c r="L43" s="1431">
        <f t="shared" si="15"/>
        <v>2028</v>
      </c>
      <c r="M43" s="1431">
        <f t="shared" si="15"/>
        <v>2029</v>
      </c>
      <c r="N43" s="1431">
        <f t="shared" si="15"/>
        <v>2030</v>
      </c>
    </row>
    <row r="44" spans="2:14">
      <c r="B44" t="s">
        <v>27</v>
      </c>
      <c r="D44" s="486">
        <f t="shared" ref="D44:N44" si="16">D14</f>
        <v>568.79999999999995</v>
      </c>
      <c r="E44" s="486">
        <f t="shared" si="16"/>
        <v>590.20000000000005</v>
      </c>
      <c r="F44" s="486">
        <f t="shared" si="16"/>
        <v>650.21868399999994</v>
      </c>
      <c r="G44" s="486">
        <f t="shared" si="16"/>
        <v>686.6</v>
      </c>
      <c r="H44" s="486">
        <f t="shared" si="16"/>
        <v>721.63710430532467</v>
      </c>
      <c r="I44" s="486">
        <f t="shared" si="16"/>
        <v>783.82989694488333</v>
      </c>
      <c r="J44" s="486">
        <f t="shared" si="16"/>
        <v>812.65375062398152</v>
      </c>
      <c r="K44" s="486">
        <f t="shared" si="16"/>
        <v>836.64606547116978</v>
      </c>
      <c r="L44" s="486">
        <f t="shared" si="16"/>
        <v>858.40983429132336</v>
      </c>
      <c r="M44" s="486">
        <f t="shared" si="16"/>
        <v>881.02575236005828</v>
      </c>
      <c r="N44" s="486">
        <f t="shared" si="16"/>
        <v>904.53579859769309</v>
      </c>
    </row>
    <row r="45" spans="2:14">
      <c r="B45" t="s">
        <v>929</v>
      </c>
      <c r="C45" s="1427"/>
      <c r="D45" s="1427">
        <v>-221.5</v>
      </c>
      <c r="E45" s="1427">
        <v>-215.4</v>
      </c>
      <c r="F45" s="1427">
        <v>-235.7</v>
      </c>
      <c r="G45" s="1427">
        <v>-301.7</v>
      </c>
      <c r="H45" s="486">
        <f>H78+H77</f>
        <v>-339.05200000000008</v>
      </c>
      <c r="I45" s="486">
        <f t="shared" ref="I45:N45" si="17">I78+I77</f>
        <v>-339.05200000000008</v>
      </c>
      <c r="J45" s="486">
        <f t="shared" si="17"/>
        <v>-339.05200000000008</v>
      </c>
      <c r="K45" s="486">
        <f t="shared" si="17"/>
        <v>-339.05200000000008</v>
      </c>
      <c r="L45" s="486">
        <f t="shared" si="17"/>
        <v>-339.05200000000013</v>
      </c>
      <c r="M45" s="486">
        <f t="shared" si="17"/>
        <v>-339.05200000000008</v>
      </c>
      <c r="N45" s="486">
        <f t="shared" si="17"/>
        <v>-339.05200000000008</v>
      </c>
    </row>
    <row r="46" spans="2:14">
      <c r="B46" t="s">
        <v>2725</v>
      </c>
      <c r="C46" s="1427"/>
      <c r="D46" s="1427">
        <v>-41</v>
      </c>
      <c r="E46" s="1427">
        <v>-37.200000000000003</v>
      </c>
      <c r="F46" s="1427">
        <v>-59.9</v>
      </c>
      <c r="G46" s="1427">
        <v>-52.2</v>
      </c>
      <c r="H46" s="486">
        <f t="shared" ref="H46:N46" si="18">H82</f>
        <v>-65.817765362414278</v>
      </c>
      <c r="I46" s="486">
        <f t="shared" si="18"/>
        <v>-79.225065289722366</v>
      </c>
      <c r="J46" s="486">
        <f t="shared" si="18"/>
        <v>-85.856259731046293</v>
      </c>
      <c r="K46" s="486">
        <f t="shared" si="18"/>
        <v>-91.299973457029608</v>
      </c>
      <c r="L46" s="486">
        <f t="shared" si="18"/>
        <v>-96.102201982750813</v>
      </c>
      <c r="M46" s="486">
        <f t="shared" si="18"/>
        <v>-101.11271314715931</v>
      </c>
      <c r="N46" s="486">
        <f t="shared" si="18"/>
        <v>-106.34249476806193</v>
      </c>
    </row>
    <row r="47" spans="2:14">
      <c r="B47" t="s">
        <v>6829</v>
      </c>
      <c r="C47" s="1427"/>
      <c r="D47" s="1427">
        <f>57.4-161.6</f>
        <v>-104.19999999999999</v>
      </c>
      <c r="E47" s="1427">
        <f>-77.9-69.5</f>
        <v>-147.4</v>
      </c>
      <c r="F47" s="1427">
        <f>-70.6-70.5</f>
        <v>-141.1</v>
      </c>
      <c r="G47" s="1427">
        <f>80.6-102.6</f>
        <v>-22</v>
      </c>
      <c r="H47" s="486">
        <f t="shared" ref="H47:N47" si="19">H66*H5</f>
        <v>-129.91528424111243</v>
      </c>
      <c r="I47" s="486">
        <f t="shared" si="19"/>
        <v>-133.1258830894871</v>
      </c>
      <c r="J47" s="486">
        <f t="shared" si="19"/>
        <v>-136.32338861981836</v>
      </c>
      <c r="K47" s="486">
        <f t="shared" si="19"/>
        <v>-139.51537230939533</v>
      </c>
      <c r="L47" s="486">
        <f t="shared" si="19"/>
        <v>-143.0367271961247</v>
      </c>
      <c r="M47" s="486">
        <f t="shared" si="19"/>
        <v>-146.68954379062575</v>
      </c>
      <c r="N47" s="486">
        <f t="shared" si="19"/>
        <v>-150.48021195878601</v>
      </c>
    </row>
    <row r="48" spans="2:14">
      <c r="B48" t="s">
        <v>213</v>
      </c>
      <c r="C48" s="1427"/>
      <c r="D48" s="1427">
        <v>-16</v>
      </c>
      <c r="E48" s="1427">
        <v>-46.3</v>
      </c>
      <c r="F48" s="1427">
        <f>-134.2-1.9</f>
        <v>-136.1</v>
      </c>
      <c r="G48" s="1427">
        <f>-230-72.2</f>
        <v>-302.2</v>
      </c>
      <c r="H48" s="1381">
        <v>0</v>
      </c>
      <c r="I48" s="1381">
        <v>0</v>
      </c>
      <c r="J48" s="1381">
        <v>0</v>
      </c>
      <c r="K48" s="1381">
        <v>0</v>
      </c>
      <c r="L48" s="1381">
        <v>0</v>
      </c>
      <c r="M48" s="1381">
        <v>0</v>
      </c>
      <c r="N48" s="1381">
        <v>0</v>
      </c>
    </row>
    <row r="49" spans="2:14">
      <c r="B49" t="s">
        <v>219</v>
      </c>
      <c r="C49" s="1427"/>
      <c r="D49" s="1427">
        <v>0</v>
      </c>
      <c r="E49" s="1427">
        <v>0</v>
      </c>
      <c r="F49" s="1427">
        <v>-209.8</v>
      </c>
      <c r="G49" s="1427">
        <v>0</v>
      </c>
      <c r="H49" s="1381">
        <v>0</v>
      </c>
      <c r="I49" s="1381">
        <v>0</v>
      </c>
      <c r="J49" s="1381">
        <v>0</v>
      </c>
      <c r="K49" s="1381">
        <v>0</v>
      </c>
      <c r="L49" s="1381">
        <v>0</v>
      </c>
      <c r="M49" s="1381">
        <v>0</v>
      </c>
      <c r="N49" s="1381">
        <v>0</v>
      </c>
    </row>
    <row r="50" spans="2:14">
      <c r="B50" t="s">
        <v>4</v>
      </c>
      <c r="C50" s="1427"/>
      <c r="D50" s="1427">
        <f>51.4-SUM(D44:D49)</f>
        <v>-134.69999999999996</v>
      </c>
      <c r="E50" s="1427">
        <f>64.6-SUM(E44:E49)</f>
        <v>-79.300000000000097</v>
      </c>
      <c r="F50" s="1427">
        <f>-26-SUM(F44:F49)</f>
        <v>106.38131600000003</v>
      </c>
      <c r="G50" s="1427">
        <f>196.1-SUM(G44:G49)</f>
        <v>187.59999999999994</v>
      </c>
      <c r="H50" s="1381">
        <v>0</v>
      </c>
      <c r="I50" s="1381">
        <v>0</v>
      </c>
      <c r="J50" s="1381">
        <v>0</v>
      </c>
      <c r="K50" s="1381">
        <v>0</v>
      </c>
      <c r="L50" s="1381">
        <v>0</v>
      </c>
      <c r="M50" s="1381">
        <v>0</v>
      </c>
      <c r="N50" s="1381">
        <v>0</v>
      </c>
    </row>
    <row r="51" spans="2:14">
      <c r="B51" s="1426" t="s">
        <v>377</v>
      </c>
      <c r="C51" s="1429"/>
      <c r="D51" s="1428">
        <f>SUM(D44:D50)</f>
        <v>51.400000000000006</v>
      </c>
      <c r="E51" s="1428">
        <f>SUM(E44:E50)</f>
        <v>64.599999999999994</v>
      </c>
      <c r="F51" s="1428">
        <f t="shared" ref="F51:N51" si="20">SUM(F44:F50)</f>
        <v>-26</v>
      </c>
      <c r="G51" s="1428">
        <f t="shared" si="20"/>
        <v>196.1</v>
      </c>
      <c r="H51" s="1428">
        <f t="shared" si="20"/>
        <v>186.8520547017979</v>
      </c>
      <c r="I51" s="1428">
        <f t="shared" si="20"/>
        <v>232.4269485656738</v>
      </c>
      <c r="J51" s="1428">
        <f t="shared" si="20"/>
        <v>251.42210227311679</v>
      </c>
      <c r="K51" s="1428">
        <f t="shared" si="20"/>
        <v>266.77871970474479</v>
      </c>
      <c r="L51" s="1428">
        <f t="shared" si="20"/>
        <v>280.21890511244771</v>
      </c>
      <c r="M51" s="1428">
        <f t="shared" si="20"/>
        <v>294.1714954222731</v>
      </c>
      <c r="N51" s="1428">
        <f t="shared" si="20"/>
        <v>308.66109187084515</v>
      </c>
    </row>
    <row r="52" spans="2:14">
      <c r="B52" t="s">
        <v>116</v>
      </c>
      <c r="D52" s="486">
        <f>-D51</f>
        <v>-51.400000000000006</v>
      </c>
      <c r="E52" s="486">
        <f>-E51</f>
        <v>-64.599999999999994</v>
      </c>
      <c r="F52" s="486">
        <f t="shared" ref="F52:N52" si="21">-F51</f>
        <v>26</v>
      </c>
      <c r="G52" s="486">
        <f t="shared" si="21"/>
        <v>-196.1</v>
      </c>
      <c r="H52" s="486">
        <f t="shared" si="21"/>
        <v>-186.8520547017979</v>
      </c>
      <c r="I52" s="486">
        <f t="shared" si="21"/>
        <v>-232.4269485656738</v>
      </c>
      <c r="J52" s="486">
        <f t="shared" si="21"/>
        <v>-251.42210227311679</v>
      </c>
      <c r="K52" s="486">
        <f t="shared" si="21"/>
        <v>-266.77871970474479</v>
      </c>
      <c r="L52" s="486">
        <f t="shared" si="21"/>
        <v>-280.21890511244771</v>
      </c>
      <c r="M52" s="486">
        <f t="shared" si="21"/>
        <v>-294.1714954222731</v>
      </c>
      <c r="N52" s="486">
        <f t="shared" si="21"/>
        <v>-308.66109187084515</v>
      </c>
    </row>
    <row r="53" spans="2:14">
      <c r="E53" s="486"/>
      <c r="F53" s="486"/>
      <c r="G53" s="486"/>
      <c r="H53" s="486"/>
      <c r="I53" s="486"/>
      <c r="J53" s="486"/>
      <c r="K53" s="486"/>
      <c r="L53" s="486"/>
      <c r="M53" s="486"/>
      <c r="N53" s="486"/>
    </row>
    <row r="54" spans="2:14">
      <c r="E54" s="486"/>
      <c r="F54" s="486"/>
      <c r="G54" s="486"/>
      <c r="H54" s="486"/>
      <c r="I54" s="486"/>
      <c r="J54" s="486"/>
      <c r="K54" s="486"/>
      <c r="L54" s="486"/>
      <c r="M54" s="486"/>
      <c r="N54" s="486"/>
    </row>
    <row r="55" spans="2:14">
      <c r="E55" s="486"/>
      <c r="F55" s="486"/>
      <c r="G55" s="486"/>
      <c r="H55" s="486"/>
      <c r="I55" s="486"/>
      <c r="J55" s="486"/>
      <c r="K55" s="486"/>
      <c r="L55" s="486"/>
      <c r="M55" s="486"/>
      <c r="N55" s="486"/>
    </row>
    <row r="56" spans="2:14">
      <c r="B56" s="1482" t="s">
        <v>3070</v>
      </c>
      <c r="C56" s="1431"/>
      <c r="D56" s="1431">
        <f>D2</f>
        <v>2020</v>
      </c>
      <c r="E56" s="1431">
        <f t="shared" ref="E56:N56" si="22">E2</f>
        <v>2021</v>
      </c>
      <c r="F56" s="1431">
        <f t="shared" si="22"/>
        <v>2022</v>
      </c>
      <c r="G56" s="1431">
        <f t="shared" si="22"/>
        <v>2023</v>
      </c>
      <c r="H56" s="1431">
        <f t="shared" si="22"/>
        <v>2024</v>
      </c>
      <c r="I56" s="1431">
        <f t="shared" si="22"/>
        <v>2025</v>
      </c>
      <c r="J56" s="1431">
        <f t="shared" si="22"/>
        <v>2026</v>
      </c>
      <c r="K56" s="1431">
        <f t="shared" si="22"/>
        <v>2027</v>
      </c>
      <c r="L56" s="1431">
        <f t="shared" si="22"/>
        <v>2028</v>
      </c>
      <c r="M56" s="1431">
        <f t="shared" si="22"/>
        <v>2029</v>
      </c>
      <c r="N56" s="1431">
        <f t="shared" si="22"/>
        <v>2030</v>
      </c>
    </row>
    <row r="57" spans="2:14">
      <c r="B57" s="1203" t="s">
        <v>6855</v>
      </c>
      <c r="D57" s="486">
        <f>D30</f>
        <v>485.5</v>
      </c>
      <c r="E57" s="486">
        <f t="shared" ref="E57:N57" si="23">E30</f>
        <v>562.9</v>
      </c>
      <c r="F57" s="486">
        <f t="shared" si="23"/>
        <v>536.20000000000005</v>
      </c>
      <c r="G57" s="486">
        <f t="shared" si="23"/>
        <v>737.9</v>
      </c>
      <c r="H57" s="486">
        <f t="shared" si="23"/>
        <v>924.75205470179787</v>
      </c>
      <c r="I57" s="486">
        <f t="shared" si="23"/>
        <v>1157.1790032674717</v>
      </c>
      <c r="J57" s="486">
        <f t="shared" si="23"/>
        <v>1408.6011055405884</v>
      </c>
      <c r="K57" s="486">
        <f t="shared" si="23"/>
        <v>1675.3798252453332</v>
      </c>
      <c r="L57" s="486">
        <f t="shared" si="23"/>
        <v>1955.5987303577808</v>
      </c>
      <c r="M57" s="486">
        <f t="shared" si="23"/>
        <v>2249.7702257800538</v>
      </c>
      <c r="N57" s="486">
        <f t="shared" si="23"/>
        <v>2558.431317650899</v>
      </c>
    </row>
    <row r="58" spans="2:14">
      <c r="B58" s="1203" t="s">
        <v>6856</v>
      </c>
      <c r="E58" s="486"/>
      <c r="F58" s="486">
        <f>F39</f>
        <v>719.2</v>
      </c>
      <c r="G58" s="486">
        <f>G39</f>
        <v>636.5</v>
      </c>
      <c r="H58" s="486">
        <f t="shared" ref="H58:N58" si="24">H39</f>
        <v>636.5</v>
      </c>
      <c r="I58" s="486">
        <f t="shared" si="24"/>
        <v>636.5</v>
      </c>
      <c r="J58" s="486">
        <f t="shared" si="24"/>
        <v>636.5</v>
      </c>
      <c r="K58" s="486">
        <f t="shared" si="24"/>
        <v>636.5</v>
      </c>
      <c r="L58" s="486">
        <f t="shared" si="24"/>
        <v>636.5</v>
      </c>
      <c r="M58" s="486">
        <f t="shared" si="24"/>
        <v>636.5</v>
      </c>
      <c r="N58" s="486">
        <f t="shared" si="24"/>
        <v>636.5</v>
      </c>
    </row>
    <row r="59" spans="2:14">
      <c r="B59" s="1483" t="s">
        <v>3087</v>
      </c>
      <c r="C59" s="1428"/>
      <c r="D59" s="1428">
        <f t="shared" ref="D59:N59" si="25">D57+D58</f>
        <v>485.5</v>
      </c>
      <c r="E59" s="1428">
        <f t="shared" si="25"/>
        <v>562.9</v>
      </c>
      <c r="F59" s="1428">
        <f t="shared" si="25"/>
        <v>1255.4000000000001</v>
      </c>
      <c r="G59" s="1428">
        <f t="shared" si="25"/>
        <v>1374.4</v>
      </c>
      <c r="H59" s="1428">
        <f t="shared" si="25"/>
        <v>1561.252054701798</v>
      </c>
      <c r="I59" s="1428">
        <f t="shared" si="25"/>
        <v>1793.6790032674717</v>
      </c>
      <c r="J59" s="1428">
        <f t="shared" si="25"/>
        <v>2045.1011055405884</v>
      </c>
      <c r="K59" s="1428">
        <f t="shared" si="25"/>
        <v>2311.8798252453334</v>
      </c>
      <c r="L59" s="1428">
        <f t="shared" si="25"/>
        <v>2592.0987303577808</v>
      </c>
      <c r="M59" s="1428">
        <f t="shared" si="25"/>
        <v>2886.2702257800538</v>
      </c>
      <c r="N59" s="1428">
        <f t="shared" si="25"/>
        <v>3194.931317650899</v>
      </c>
    </row>
    <row r="60" spans="2:14">
      <c r="E60" s="486"/>
      <c r="F60" s="486"/>
      <c r="G60" s="486"/>
      <c r="H60" s="486"/>
      <c r="I60" s="486"/>
      <c r="J60" s="486"/>
      <c r="K60" s="486"/>
      <c r="L60" s="486"/>
      <c r="M60" s="486"/>
      <c r="N60" s="486"/>
    </row>
    <row r="61" spans="2:14">
      <c r="B61" t="s">
        <v>6861</v>
      </c>
      <c r="D61" s="1425">
        <f t="shared" ref="D61:H61" si="26">D8/-D45</f>
        <v>4</v>
      </c>
      <c r="E61" s="1425">
        <f t="shared" si="26"/>
        <v>4.3978644382544108</v>
      </c>
      <c r="F61" s="1425">
        <f t="shared" si="26"/>
        <v>4.2439541790411539</v>
      </c>
      <c r="G61" s="1425">
        <f t="shared" si="26"/>
        <v>3.6002651640702688</v>
      </c>
      <c r="H61" s="1425">
        <f t="shared" si="26"/>
        <v>3.3091802980489913</v>
      </c>
      <c r="I61" s="1425">
        <f>I8/-I45</f>
        <v>3.4928284887655483</v>
      </c>
      <c r="J61" s="1425">
        <f t="shared" ref="J61:N61" si="27">J8/-J45</f>
        <v>3.6064850064401632</v>
      </c>
      <c r="K61" s="1425">
        <f t="shared" si="27"/>
        <v>3.7055098037713408</v>
      </c>
      <c r="L61" s="1425">
        <f t="shared" si="27"/>
        <v>3.801111663348415</v>
      </c>
      <c r="M61" s="1425">
        <f t="shared" si="27"/>
        <v>3.9004412665187331</v>
      </c>
      <c r="N61" s="1425">
        <f t="shared" si="27"/>
        <v>4.003682893172944</v>
      </c>
    </row>
    <row r="62" spans="2:14">
      <c r="E62" s="486"/>
      <c r="F62" s="486"/>
      <c r="G62" s="486"/>
      <c r="H62" s="486"/>
      <c r="I62" s="486"/>
      <c r="J62" s="486"/>
      <c r="K62" s="486"/>
      <c r="L62" s="486"/>
      <c r="M62" s="486"/>
      <c r="N62" s="486"/>
    </row>
    <row r="63" spans="2:14">
      <c r="E63" s="486"/>
      <c r="F63" s="486"/>
      <c r="G63" s="486"/>
      <c r="H63" s="486"/>
      <c r="I63" s="486"/>
      <c r="J63" s="486"/>
      <c r="K63" s="486"/>
      <c r="L63" s="486"/>
      <c r="M63" s="486"/>
      <c r="N63" s="486"/>
    </row>
    <row r="64" spans="2:14">
      <c r="E64" s="486"/>
      <c r="F64" s="486"/>
      <c r="G64" s="486"/>
      <c r="H64" s="486"/>
      <c r="I64" s="486"/>
      <c r="J64" s="486"/>
      <c r="K64" s="486"/>
      <c r="L64" s="486"/>
      <c r="M64" s="486"/>
      <c r="N64" s="486"/>
    </row>
    <row r="65" spans="2:14">
      <c r="B65" s="513" t="s">
        <v>6836</v>
      </c>
    </row>
    <row r="66" spans="2:14">
      <c r="B66" t="s">
        <v>6837</v>
      </c>
      <c r="E66" s="606">
        <f>E47/E5</f>
        <v>-6.3792954211027444E-2</v>
      </c>
      <c r="F66" s="606">
        <f>F47/F5</f>
        <v>-5.7624765171934982E-2</v>
      </c>
      <c r="G66" s="606">
        <f>G47/G5</f>
        <v>-8.6505190311418692E-3</v>
      </c>
      <c r="H66" s="1438">
        <v>-0.05</v>
      </c>
      <c r="I66" s="1438">
        <v>-0.05</v>
      </c>
      <c r="J66" s="1438">
        <v>-0.05</v>
      </c>
      <c r="K66" s="1438">
        <v>-0.05</v>
      </c>
      <c r="L66" s="1438">
        <v>-0.05</v>
      </c>
      <c r="M66" s="1438">
        <v>-0.05</v>
      </c>
      <c r="N66" s="1438">
        <v>-0.05</v>
      </c>
    </row>
    <row r="67" spans="2:14">
      <c r="E67" s="486"/>
      <c r="F67" s="486"/>
      <c r="G67" s="486"/>
      <c r="H67" s="486"/>
      <c r="I67" s="486"/>
      <c r="J67" s="486"/>
      <c r="K67" s="486"/>
      <c r="L67" s="486"/>
      <c r="M67" s="486"/>
      <c r="N67" s="486"/>
    </row>
    <row r="68" spans="2:14">
      <c r="E68" s="486"/>
      <c r="F68" s="486"/>
      <c r="G68" s="486"/>
      <c r="H68" s="486"/>
      <c r="I68" s="486"/>
      <c r="J68" s="486"/>
      <c r="K68" s="486"/>
      <c r="L68" s="486"/>
      <c r="M68" s="486"/>
      <c r="N68" s="486"/>
    </row>
    <row r="69" spans="2:14">
      <c r="E69" s="486"/>
      <c r="F69" s="486"/>
      <c r="G69" s="486"/>
      <c r="H69" s="486"/>
      <c r="I69" s="486"/>
      <c r="J69" s="486"/>
      <c r="K69" s="486"/>
      <c r="L69" s="486"/>
      <c r="M69" s="486"/>
      <c r="N69" s="486"/>
    </row>
    <row r="70" spans="2:14">
      <c r="B70" s="1431" t="s">
        <v>6831</v>
      </c>
      <c r="C70" s="1431"/>
      <c r="D70" s="1431">
        <f t="shared" ref="D70:N70" si="28">D2</f>
        <v>2020</v>
      </c>
      <c r="E70" s="1431">
        <f t="shared" si="28"/>
        <v>2021</v>
      </c>
      <c r="F70" s="1431">
        <f t="shared" si="28"/>
        <v>2022</v>
      </c>
      <c r="G70" s="1431">
        <f t="shared" si="28"/>
        <v>2023</v>
      </c>
      <c r="H70" s="1431">
        <f t="shared" si="28"/>
        <v>2024</v>
      </c>
      <c r="I70" s="1431">
        <f t="shared" si="28"/>
        <v>2025</v>
      </c>
      <c r="J70" s="1431">
        <f t="shared" si="28"/>
        <v>2026</v>
      </c>
      <c r="K70" s="1431">
        <f t="shared" si="28"/>
        <v>2027</v>
      </c>
      <c r="L70" s="1431">
        <f t="shared" si="28"/>
        <v>2028</v>
      </c>
      <c r="M70" s="1431">
        <f t="shared" si="28"/>
        <v>2029</v>
      </c>
      <c r="N70" s="1431">
        <f t="shared" si="28"/>
        <v>2030</v>
      </c>
    </row>
    <row r="71" spans="2:14">
      <c r="B71" t="s">
        <v>15</v>
      </c>
      <c r="D71" s="486">
        <f>D3</f>
        <v>2199.9</v>
      </c>
      <c r="E71" s="486">
        <f t="shared" ref="E71:N71" si="29">E5</f>
        <v>2310.6</v>
      </c>
      <c r="F71" s="486">
        <f t="shared" si="29"/>
        <v>2448.6</v>
      </c>
      <c r="G71" s="486">
        <f t="shared" si="29"/>
        <v>2543.1999999999998</v>
      </c>
      <c r="H71" s="486">
        <f t="shared" si="29"/>
        <v>2598.3056848222486</v>
      </c>
      <c r="I71" s="486">
        <f t="shared" si="29"/>
        <v>2662.5176617897419</v>
      </c>
      <c r="J71" s="486">
        <f t="shared" si="29"/>
        <v>2726.4677723963669</v>
      </c>
      <c r="K71" s="486">
        <f t="shared" si="29"/>
        <v>2790.3074461879064</v>
      </c>
      <c r="L71" s="486">
        <f t="shared" si="29"/>
        <v>2860.7345439224937</v>
      </c>
      <c r="M71" s="486">
        <f t="shared" si="29"/>
        <v>2933.790875812515</v>
      </c>
      <c r="N71" s="486">
        <f t="shared" si="29"/>
        <v>3009.6042391757201</v>
      </c>
    </row>
    <row r="72" spans="2:14">
      <c r="B72" t="s">
        <v>8</v>
      </c>
      <c r="D72" s="486">
        <f t="shared" ref="D72:N72" si="30">D8</f>
        <v>886</v>
      </c>
      <c r="E72" s="486">
        <f t="shared" si="30"/>
        <v>947.30000000000007</v>
      </c>
      <c r="F72" s="486">
        <f t="shared" si="30"/>
        <v>1000.3</v>
      </c>
      <c r="G72" s="486">
        <f t="shared" si="30"/>
        <v>1086.2</v>
      </c>
      <c r="H72" s="486">
        <f t="shared" si="30"/>
        <v>1121.9841984141069</v>
      </c>
      <c r="I72" s="486">
        <f t="shared" si="30"/>
        <v>1184.2504847729369</v>
      </c>
      <c r="J72" s="486">
        <f t="shared" si="30"/>
        <v>1222.7859544035505</v>
      </c>
      <c r="K72" s="486">
        <f t="shared" si="30"/>
        <v>1256.3605099882809</v>
      </c>
      <c r="L72" s="486">
        <f t="shared" si="30"/>
        <v>1288.7745116816072</v>
      </c>
      <c r="M72" s="486">
        <f t="shared" si="30"/>
        <v>1322.4524122957098</v>
      </c>
      <c r="N72" s="486">
        <f t="shared" si="30"/>
        <v>1357.4566922960732</v>
      </c>
    </row>
    <row r="73" spans="2:14">
      <c r="B73" t="s">
        <v>56</v>
      </c>
      <c r="D73" s="1427">
        <v>-619</v>
      </c>
      <c r="E73" s="1427">
        <v>-578.5</v>
      </c>
      <c r="F73" s="1427">
        <v>-574.20000000000005</v>
      </c>
      <c r="G73" s="1427">
        <v>-644.29999999999995</v>
      </c>
      <c r="H73" s="486">
        <f t="shared" ref="H73:N73" si="31">-H89*H71</f>
        <v>-519.66113696444972</v>
      </c>
      <c r="I73" s="486">
        <f t="shared" si="31"/>
        <v>-532.50353235794842</v>
      </c>
      <c r="J73" s="486">
        <f t="shared" si="31"/>
        <v>-545.29355447927344</v>
      </c>
      <c r="K73" s="486">
        <f t="shared" si="31"/>
        <v>-558.06148923758133</v>
      </c>
      <c r="L73" s="486">
        <f t="shared" si="31"/>
        <v>-572.14690878449881</v>
      </c>
      <c r="M73" s="486">
        <f t="shared" si="31"/>
        <v>-586.75817516250299</v>
      </c>
      <c r="N73" s="486">
        <f t="shared" si="31"/>
        <v>-601.92084783514406</v>
      </c>
    </row>
    <row r="74" spans="2:14">
      <c r="B74" t="s">
        <v>4</v>
      </c>
      <c r="D74" s="486">
        <f t="shared" ref="D74:G74" si="32">-(D72+D73-D75)</f>
        <v>-364.3</v>
      </c>
      <c r="E74" s="486">
        <f t="shared" si="32"/>
        <v>-708.80000000000007</v>
      </c>
      <c r="F74" s="486">
        <f t="shared" si="32"/>
        <v>-678.19999999999993</v>
      </c>
      <c r="G74" s="486">
        <f t="shared" si="32"/>
        <v>-172.2000000000001</v>
      </c>
      <c r="H74" s="1381">
        <v>0</v>
      </c>
      <c r="I74" s="1381">
        <v>0</v>
      </c>
      <c r="J74" s="1381">
        <v>0</v>
      </c>
      <c r="K74" s="1381">
        <v>0</v>
      </c>
      <c r="L74" s="1381">
        <v>0</v>
      </c>
      <c r="M74" s="1381">
        <v>0</v>
      </c>
      <c r="N74" s="1381">
        <v>0</v>
      </c>
    </row>
    <row r="75" spans="2:14">
      <c r="B75" s="1426" t="s">
        <v>83</v>
      </c>
      <c r="C75" s="1426"/>
      <c r="D75" s="1430">
        <v>-97.3</v>
      </c>
      <c r="E75" s="1430">
        <v>-340</v>
      </c>
      <c r="F75" s="1430">
        <v>-252.1</v>
      </c>
      <c r="G75" s="1430">
        <v>269.7</v>
      </c>
      <c r="H75" s="1428">
        <f t="shared" ref="H75:N75" si="33">H72+H73+H74</f>
        <v>602.32306144965719</v>
      </c>
      <c r="I75" s="1428">
        <f t="shared" si="33"/>
        <v>651.74695241498853</v>
      </c>
      <c r="J75" s="1428">
        <f t="shared" si="33"/>
        <v>677.49239992427704</v>
      </c>
      <c r="K75" s="1428">
        <f t="shared" si="33"/>
        <v>698.29902075069958</v>
      </c>
      <c r="L75" s="1428">
        <f t="shared" si="33"/>
        <v>716.62760289710843</v>
      </c>
      <c r="M75" s="1428">
        <f t="shared" si="33"/>
        <v>735.6942371332068</v>
      </c>
      <c r="N75" s="1428">
        <f t="shared" si="33"/>
        <v>755.53584446092918</v>
      </c>
    </row>
    <row r="76" spans="2:14">
      <c r="E76" s="486"/>
      <c r="F76" s="486"/>
      <c r="G76" s="486"/>
      <c r="H76" s="486"/>
      <c r="I76" s="486"/>
      <c r="J76" s="486"/>
      <c r="K76" s="486"/>
      <c r="L76" s="486"/>
      <c r="M76" s="486"/>
      <c r="N76" s="486"/>
    </row>
    <row r="77" spans="2:14">
      <c r="B77" t="s">
        <v>155</v>
      </c>
      <c r="E77" s="1427"/>
      <c r="F77" s="1427"/>
      <c r="G77" s="486"/>
      <c r="H77" s="486">
        <f t="shared" ref="H77:N77" si="34">H92*G30</f>
        <v>0</v>
      </c>
      <c r="I77" s="486">
        <f t="shared" si="34"/>
        <v>0</v>
      </c>
      <c r="J77" s="486">
        <f t="shared" si="34"/>
        <v>0</v>
      </c>
      <c r="K77" s="486">
        <f t="shared" si="34"/>
        <v>0</v>
      </c>
      <c r="L77" s="486">
        <f t="shared" si="34"/>
        <v>0</v>
      </c>
      <c r="M77" s="486">
        <f t="shared" si="34"/>
        <v>0</v>
      </c>
      <c r="N77" s="486">
        <f t="shared" si="34"/>
        <v>0</v>
      </c>
    </row>
    <row r="78" spans="2:14">
      <c r="B78" t="s">
        <v>6848</v>
      </c>
      <c r="D78" s="1427">
        <v>-249.9</v>
      </c>
      <c r="E78" s="1427">
        <v>-231.2</v>
      </c>
      <c r="F78" s="1427">
        <v>-255.6</v>
      </c>
      <c r="G78" s="1427">
        <v>-339.7</v>
      </c>
      <c r="H78" s="486">
        <f t="shared" ref="H78:N78" si="35">-H95*G29</f>
        <v>-339.05200000000008</v>
      </c>
      <c r="I78" s="486">
        <f t="shared" si="35"/>
        <v>-339.05200000000008</v>
      </c>
      <c r="J78" s="486">
        <f t="shared" si="35"/>
        <v>-339.05200000000008</v>
      </c>
      <c r="K78" s="486">
        <f t="shared" si="35"/>
        <v>-339.05200000000008</v>
      </c>
      <c r="L78" s="486">
        <f t="shared" si="35"/>
        <v>-339.05200000000013</v>
      </c>
      <c r="M78" s="486">
        <f t="shared" si="35"/>
        <v>-339.05200000000008</v>
      </c>
      <c r="N78" s="486">
        <f t="shared" si="35"/>
        <v>-339.05200000000008</v>
      </c>
    </row>
    <row r="79" spans="2:14">
      <c r="B79" t="s">
        <v>4</v>
      </c>
      <c r="D79" s="486">
        <f t="shared" ref="D79:E79" si="36">(D80-D75-D77-D78)</f>
        <v>-171.4</v>
      </c>
      <c r="E79" s="486">
        <f t="shared" si="36"/>
        <v>-66.599999999999966</v>
      </c>
      <c r="F79" s="486">
        <f>(F80-F75-F77-F78)</f>
        <v>202.39999999999998</v>
      </c>
      <c r="G79" s="486">
        <f>(G80-G75-G77-G78)</f>
        <v>5.6999999999999886</v>
      </c>
      <c r="H79" s="1381">
        <v>0</v>
      </c>
      <c r="I79" s="1381">
        <v>0</v>
      </c>
      <c r="J79" s="1381">
        <v>0</v>
      </c>
      <c r="K79" s="1381">
        <v>0</v>
      </c>
      <c r="L79" s="1381">
        <v>0</v>
      </c>
      <c r="M79" s="1381">
        <v>0</v>
      </c>
      <c r="N79" s="1381">
        <v>0</v>
      </c>
    </row>
    <row r="80" spans="2:14">
      <c r="B80" s="1426" t="s">
        <v>66</v>
      </c>
      <c r="C80" s="1426"/>
      <c r="D80" s="1430">
        <v>-518.6</v>
      </c>
      <c r="E80" s="1430">
        <v>-637.79999999999995</v>
      </c>
      <c r="F80" s="1430">
        <v>-305.3</v>
      </c>
      <c r="G80" s="1430">
        <v>-64.3</v>
      </c>
      <c r="H80" s="1428">
        <f t="shared" ref="H80:N80" si="37">H75+H77+H78+H79</f>
        <v>263.27106144965711</v>
      </c>
      <c r="I80" s="1428">
        <f t="shared" si="37"/>
        <v>312.69495241498845</v>
      </c>
      <c r="J80" s="1428">
        <f t="shared" si="37"/>
        <v>338.44039992427696</v>
      </c>
      <c r="K80" s="1428">
        <f t="shared" si="37"/>
        <v>359.24702075069951</v>
      </c>
      <c r="L80" s="1428">
        <f t="shared" si="37"/>
        <v>377.5756028971083</v>
      </c>
      <c r="M80" s="1428">
        <f t="shared" si="37"/>
        <v>396.64223713320672</v>
      </c>
      <c r="N80" s="1428">
        <f t="shared" si="37"/>
        <v>416.48384446092911</v>
      </c>
    </row>
    <row r="81" spans="2:14">
      <c r="D81" s="486"/>
      <c r="E81" s="486"/>
      <c r="F81" s="486"/>
      <c r="G81" s="486"/>
      <c r="H81" s="486"/>
      <c r="I81" s="486"/>
      <c r="J81" s="486"/>
      <c r="K81" s="486"/>
      <c r="L81" s="486"/>
      <c r="M81" s="486"/>
      <c r="N81" s="486"/>
    </row>
    <row r="82" spans="2:14">
      <c r="B82" t="s">
        <v>67</v>
      </c>
      <c r="D82" s="486">
        <f t="shared" ref="D82:E82" si="38">-(D80+D81-D83)</f>
        <v>-14.699999999999932</v>
      </c>
      <c r="E82" s="486">
        <f t="shared" si="38"/>
        <v>-22.200000000000045</v>
      </c>
      <c r="F82" s="486">
        <f>-(F80+F81-F83)</f>
        <v>-27</v>
      </c>
      <c r="G82" s="486">
        <f>IF(G80&gt;0,-G98*G80,0)</f>
        <v>0</v>
      </c>
      <c r="H82" s="486">
        <f t="shared" ref="H82:N82" si="39">IF(H80&gt;0,-H98*H80,0)</f>
        <v>-65.817765362414278</v>
      </c>
      <c r="I82" s="486">
        <f t="shared" si="39"/>
        <v>-79.225065289722366</v>
      </c>
      <c r="J82" s="486">
        <f t="shared" si="39"/>
        <v>-85.856259731046293</v>
      </c>
      <c r="K82" s="486">
        <f t="shared" si="39"/>
        <v>-91.299973457029608</v>
      </c>
      <c r="L82" s="486">
        <f t="shared" si="39"/>
        <v>-96.102201982750813</v>
      </c>
      <c r="M82" s="486">
        <f t="shared" si="39"/>
        <v>-101.11271314715931</v>
      </c>
      <c r="N82" s="486">
        <f t="shared" si="39"/>
        <v>-106.34249476806193</v>
      </c>
    </row>
    <row r="83" spans="2:14">
      <c r="B83" s="1426" t="s">
        <v>69</v>
      </c>
      <c r="C83" s="1426"/>
      <c r="D83" s="1430">
        <v>-533.29999999999995</v>
      </c>
      <c r="E83" s="1430">
        <v>-660</v>
      </c>
      <c r="F83" s="1430">
        <v>-332.3</v>
      </c>
      <c r="G83" s="1430">
        <v>-83.1</v>
      </c>
      <c r="H83" s="1428">
        <f t="shared" ref="H83:N83" si="40">H80+H82</f>
        <v>197.45329608724285</v>
      </c>
      <c r="I83" s="1428">
        <f t="shared" si="40"/>
        <v>233.4698871252661</v>
      </c>
      <c r="J83" s="1428">
        <f t="shared" si="40"/>
        <v>252.58414019323067</v>
      </c>
      <c r="K83" s="1428">
        <f t="shared" si="40"/>
        <v>267.94704729366993</v>
      </c>
      <c r="L83" s="1428">
        <f t="shared" si="40"/>
        <v>281.47340091435751</v>
      </c>
      <c r="M83" s="1428">
        <f t="shared" si="40"/>
        <v>295.52952398604742</v>
      </c>
      <c r="N83" s="1428">
        <f t="shared" si="40"/>
        <v>310.14134969286715</v>
      </c>
    </row>
    <row r="84" spans="2:14">
      <c r="B84" t="s">
        <v>6830</v>
      </c>
      <c r="D84" s="1427">
        <v>-409.8</v>
      </c>
      <c r="E84" s="1427">
        <v>-615.1</v>
      </c>
      <c r="F84" s="1427">
        <v>-304.2</v>
      </c>
      <c r="G84" s="1427">
        <v>-59.8</v>
      </c>
      <c r="H84" s="486"/>
      <c r="I84" s="486"/>
      <c r="J84" s="486"/>
      <c r="K84" s="486"/>
      <c r="L84" s="486"/>
      <c r="M84" s="486"/>
      <c r="N84" s="486"/>
    </row>
    <row r="85" spans="2:14">
      <c r="B85" t="s">
        <v>6833</v>
      </c>
    </row>
    <row r="88" spans="2:14">
      <c r="B88" s="513" t="s">
        <v>6834</v>
      </c>
    </row>
    <row r="89" spans="2:14">
      <c r="B89" t="s">
        <v>56</v>
      </c>
      <c r="D89" s="1432">
        <f>-D73/D71</f>
        <v>0.28137642620119097</v>
      </c>
      <c r="E89" s="1432">
        <f>-E73/E71</f>
        <v>0.25036786981736348</v>
      </c>
      <c r="F89" s="1432">
        <f>-F73/F71</f>
        <v>0.23450134770889491</v>
      </c>
      <c r="G89" s="1432">
        <f>-G73/G71</f>
        <v>0.25334224598930483</v>
      </c>
      <c r="H89" s="1433">
        <v>0.2</v>
      </c>
      <c r="I89" s="1433">
        <v>0.2</v>
      </c>
      <c r="J89" s="1433">
        <v>0.2</v>
      </c>
      <c r="K89" s="1433">
        <v>0.2</v>
      </c>
      <c r="L89" s="1433">
        <v>0.2</v>
      </c>
      <c r="M89" s="1433">
        <v>0.2</v>
      </c>
      <c r="N89" s="1433">
        <v>0.2</v>
      </c>
    </row>
    <row r="91" spans="2:14">
      <c r="B91" t="s">
        <v>6835</v>
      </c>
      <c r="E91" s="486">
        <f>AVERAGE(E30,D30)</f>
        <v>524.20000000000005</v>
      </c>
      <c r="F91" s="486">
        <f>AVERAGE(F30,E30)</f>
        <v>549.54999999999995</v>
      </c>
      <c r="G91" s="486">
        <f>AVERAGE(G30,F30)</f>
        <v>637.04999999999995</v>
      </c>
    </row>
    <row r="92" spans="2:14">
      <c r="B92" t="s">
        <v>4176</v>
      </c>
      <c r="E92" s="5">
        <f>E77/E91</f>
        <v>0</v>
      </c>
      <c r="F92" s="5">
        <f>F77/F91</f>
        <v>0</v>
      </c>
      <c r="G92" s="5">
        <f>G77/G91</f>
        <v>0</v>
      </c>
      <c r="H92" s="34"/>
      <c r="I92" s="34"/>
      <c r="J92" s="34"/>
      <c r="K92" s="34"/>
      <c r="L92" s="34"/>
      <c r="M92" s="34"/>
      <c r="N92" s="34"/>
    </row>
    <row r="94" spans="2:14">
      <c r="B94" t="s">
        <v>163</v>
      </c>
      <c r="E94" s="486">
        <f>AVERAGE(E29,D29)</f>
        <v>4249.3999999999996</v>
      </c>
      <c r="F94" s="486">
        <f>AVERAGE(F29,E29)</f>
        <v>4360.5</v>
      </c>
      <c r="G94" s="486">
        <f>AVERAGE(G29,F29)</f>
        <v>4665.8</v>
      </c>
    </row>
    <row r="95" spans="2:14">
      <c r="B95" t="s">
        <v>4176</v>
      </c>
      <c r="E95" s="5">
        <f>-E78/E94</f>
        <v>5.4407681084388385E-2</v>
      </c>
      <c r="F95" s="5">
        <f>-F78/F94</f>
        <v>5.8617131062951494E-2</v>
      </c>
      <c r="G95" s="5">
        <f>-G78/G94</f>
        <v>7.2806378327403651E-2</v>
      </c>
      <c r="H95" s="34">
        <v>7.0000000000000007E-2</v>
      </c>
      <c r="I95" s="34">
        <v>7.0000000000000007E-2</v>
      </c>
      <c r="J95" s="34">
        <v>7.0000000000000007E-2</v>
      </c>
      <c r="K95" s="34">
        <v>7.0000000000000007E-2</v>
      </c>
      <c r="L95" s="34">
        <v>7.0000000000000007E-2</v>
      </c>
      <c r="M95" s="34">
        <v>7.0000000000000007E-2</v>
      </c>
      <c r="N95" s="34">
        <v>7.0000000000000007E-2</v>
      </c>
    </row>
    <row r="96" spans="2:14">
      <c r="E96" s="5"/>
      <c r="F96" s="5"/>
      <c r="G96" s="5"/>
      <c r="H96" s="5"/>
      <c r="I96" s="5"/>
      <c r="J96" s="5"/>
      <c r="K96" s="5"/>
      <c r="L96" s="5"/>
      <c r="M96" s="5"/>
      <c r="N96" s="5"/>
    </row>
    <row r="97" spans="2:14">
      <c r="B97" t="s">
        <v>196</v>
      </c>
      <c r="E97" s="5">
        <f>-E82/E80</f>
        <v>-3.4807149576669874E-2</v>
      </c>
      <c r="F97" s="5">
        <f>-F82/F80</f>
        <v>-8.8437602358336059E-2</v>
      </c>
      <c r="G97" s="5">
        <f t="shared" ref="G97:N97" si="41">-G82/G80</f>
        <v>0</v>
      </c>
      <c r="H97" s="5">
        <f t="shared" si="41"/>
        <v>0.25</v>
      </c>
      <c r="I97" s="5">
        <f t="shared" si="41"/>
        <v>0.25336214952577807</v>
      </c>
      <c r="J97" s="5">
        <f t="shared" si="41"/>
        <v>0.25368206558748857</v>
      </c>
      <c r="K97" s="5">
        <f t="shared" si="41"/>
        <v>0.25414260434573649</v>
      </c>
      <c r="L97" s="5">
        <f t="shared" si="41"/>
        <v>0.2545243952346658</v>
      </c>
      <c r="M97" s="5">
        <f t="shared" si="41"/>
        <v>0.25492169940843196</v>
      </c>
      <c r="N97" s="5">
        <f t="shared" si="41"/>
        <v>0.25533402119283899</v>
      </c>
    </row>
    <row r="98" spans="2:14">
      <c r="B98" t="s">
        <v>195</v>
      </c>
      <c r="H98" s="34">
        <v>0.25</v>
      </c>
      <c r="I98" s="34">
        <f t="shared" ref="I98:N98" si="42">I141</f>
        <v>0.25336214952577807</v>
      </c>
      <c r="J98" s="34">
        <f t="shared" si="42"/>
        <v>0.25368206558748857</v>
      </c>
      <c r="K98" s="34">
        <f t="shared" si="42"/>
        <v>0.25414260434573649</v>
      </c>
      <c r="L98" s="34">
        <f t="shared" si="42"/>
        <v>0.2545243952346658</v>
      </c>
      <c r="M98" s="34">
        <f t="shared" si="42"/>
        <v>0.25492169940843196</v>
      </c>
      <c r="N98" s="34">
        <f t="shared" si="42"/>
        <v>0.25533402119283899</v>
      </c>
    </row>
    <row r="102" spans="2:14">
      <c r="B102" s="1431" t="s">
        <v>6839</v>
      </c>
      <c r="C102" s="1431"/>
      <c r="D102" s="1431">
        <f t="shared" ref="D102:N102" si="43">D2</f>
        <v>2020</v>
      </c>
      <c r="E102" s="1431">
        <f t="shared" si="43"/>
        <v>2021</v>
      </c>
      <c r="F102" s="1431">
        <f t="shared" si="43"/>
        <v>2022</v>
      </c>
      <c r="G102" s="1431">
        <f t="shared" si="43"/>
        <v>2023</v>
      </c>
      <c r="H102" s="1431">
        <f t="shared" si="43"/>
        <v>2024</v>
      </c>
      <c r="I102" s="1431">
        <f t="shared" si="43"/>
        <v>2025</v>
      </c>
      <c r="J102" s="1431">
        <f t="shared" si="43"/>
        <v>2026</v>
      </c>
      <c r="K102" s="1431">
        <f t="shared" si="43"/>
        <v>2027</v>
      </c>
      <c r="L102" s="1431">
        <f t="shared" si="43"/>
        <v>2028</v>
      </c>
      <c r="M102" s="1431">
        <f t="shared" si="43"/>
        <v>2029</v>
      </c>
      <c r="N102" s="1431">
        <f t="shared" si="43"/>
        <v>2030</v>
      </c>
    </row>
    <row r="103" spans="2:14">
      <c r="B103" t="s">
        <v>6851</v>
      </c>
      <c r="D103" s="1427"/>
      <c r="E103" s="1427"/>
      <c r="F103" s="1427"/>
      <c r="G103" s="1427"/>
      <c r="H103" s="1427"/>
      <c r="I103" s="1427"/>
      <c r="J103" s="1427"/>
      <c r="K103" s="1427">
        <f>495+1220</f>
        <v>1715</v>
      </c>
      <c r="L103" s="1427"/>
      <c r="M103" s="1427"/>
      <c r="N103" s="1427"/>
    </row>
    <row r="104" spans="2:14">
      <c r="B104" t="s">
        <v>6852</v>
      </c>
      <c r="D104" s="1427"/>
      <c r="E104" s="1427"/>
      <c r="F104" s="1427"/>
      <c r="G104" s="1427"/>
      <c r="H104" s="1427"/>
      <c r="I104" s="1427"/>
      <c r="J104" s="1427"/>
      <c r="K104" s="1427">
        <f>10</f>
        <v>10</v>
      </c>
      <c r="L104" s="1427">
        <f>1510+435</f>
        <v>1945</v>
      </c>
      <c r="M104" s="1427">
        <v>590</v>
      </c>
      <c r="N104" s="1427"/>
    </row>
    <row r="105" spans="2:14">
      <c r="B105" s="1426" t="s">
        <v>16</v>
      </c>
      <c r="C105" s="1426"/>
      <c r="D105" s="1430"/>
      <c r="E105" s="1430"/>
      <c r="F105" s="1430"/>
      <c r="G105" s="1430"/>
      <c r="H105" s="1430">
        <v>307.3</v>
      </c>
      <c r="I105" s="1430">
        <v>32.700000000000003</v>
      </c>
      <c r="J105" s="1430">
        <v>25.3</v>
      </c>
      <c r="K105" s="1430">
        <v>1717.6</v>
      </c>
      <c r="L105" s="1430">
        <v>2000.3</v>
      </c>
      <c r="M105" s="1430">
        <v>786.3</v>
      </c>
      <c r="N105" s="1430"/>
    </row>
    <row r="112" spans="2:14">
      <c r="B112" s="1431" t="s">
        <v>392</v>
      </c>
      <c r="C112" s="1431"/>
      <c r="D112" s="1431">
        <f t="shared" ref="D112:N112" si="44">D2</f>
        <v>2020</v>
      </c>
      <c r="E112" s="1431">
        <f t="shared" si="44"/>
        <v>2021</v>
      </c>
      <c r="F112" s="1431">
        <f t="shared" si="44"/>
        <v>2022</v>
      </c>
      <c r="G112" s="1431">
        <f t="shared" si="44"/>
        <v>2023</v>
      </c>
      <c r="H112" s="1431">
        <f t="shared" si="44"/>
        <v>2024</v>
      </c>
      <c r="I112" s="1431">
        <f t="shared" si="44"/>
        <v>2025</v>
      </c>
      <c r="J112" s="1431">
        <f t="shared" si="44"/>
        <v>2026</v>
      </c>
      <c r="K112" s="1431">
        <f t="shared" si="44"/>
        <v>2027</v>
      </c>
      <c r="L112" s="1431">
        <f t="shared" si="44"/>
        <v>2028</v>
      </c>
      <c r="M112" s="1431">
        <f t="shared" si="44"/>
        <v>2029</v>
      </c>
      <c r="N112" s="1431">
        <f t="shared" si="44"/>
        <v>2030</v>
      </c>
    </row>
    <row r="113" spans="2:16">
      <c r="B113" s="12" t="s">
        <v>8</v>
      </c>
      <c r="D113" s="12"/>
      <c r="E113" s="12"/>
      <c r="F113" s="12"/>
      <c r="G113" s="12"/>
      <c r="H113" s="12"/>
      <c r="I113" s="12"/>
      <c r="J113" s="12"/>
      <c r="K113" s="12"/>
      <c r="L113" s="12"/>
      <c r="M113" s="12"/>
      <c r="N113" s="12"/>
    </row>
    <row r="114" spans="2:16" ht="15.75">
      <c r="B114" s="53" t="s">
        <v>32</v>
      </c>
      <c r="D114" s="486">
        <f>'New Format'!G37</f>
        <v>161.68</v>
      </c>
      <c r="E114" s="486">
        <f>'New Format'!H37</f>
        <v>172.85999999999999</v>
      </c>
      <c r="F114" s="486">
        <f>'New Format'!I37</f>
        <v>188.76</v>
      </c>
      <c r="G114" s="486">
        <f>'New Format'!J37</f>
        <v>192.85</v>
      </c>
      <c r="H114" s="486">
        <f>'New Format'!K37</f>
        <v>188.16957620014998</v>
      </c>
      <c r="I114" s="486">
        <f>'New Format'!L37</f>
        <v>207.1585497551678</v>
      </c>
      <c r="J114" s="486">
        <f>'New Format'!M37</f>
        <v>219.35864324913368</v>
      </c>
      <c r="K114" s="486">
        <f>'New Format'!N37</f>
        <v>234.40047793617589</v>
      </c>
      <c r="L114" s="486">
        <f>'New Format'!O37</f>
        <v>247.78899963140398</v>
      </c>
      <c r="M114" s="486">
        <f>'New Format'!P37</f>
        <v>261.92866287783045</v>
      </c>
      <c r="N114" s="486">
        <f>'New Format'!Q37</f>
        <v>276.86102633875612</v>
      </c>
    </row>
    <row r="115" spans="2:16" ht="15.75">
      <c r="B115" s="53" t="s">
        <v>2060</v>
      </c>
      <c r="D115" s="486">
        <f>'New Format'!G74</f>
        <v>64.400000000000006</v>
      </c>
      <c r="E115" s="486">
        <f>'New Format'!H74</f>
        <v>61.698</v>
      </c>
      <c r="F115" s="486">
        <f>'New Format'!I74</f>
        <v>62.12700000000001</v>
      </c>
      <c r="G115" s="486">
        <f>'New Format'!J74</f>
        <v>60.643750000000004</v>
      </c>
      <c r="H115" s="486">
        <f>'New Format'!K74</f>
        <v>60.632646009139371</v>
      </c>
      <c r="I115" s="486">
        <f>'New Format'!L74</f>
        <v>64.455214172124897</v>
      </c>
      <c r="J115" s="486">
        <f>'New Format'!M74</f>
        <v>65.948683760060931</v>
      </c>
      <c r="K115" s="486">
        <f>'New Format'!N74</f>
        <v>67.476110045845545</v>
      </c>
      <c r="L115" s="486">
        <f>'New Format'!O74</f>
        <v>69.038253909557511</v>
      </c>
      <c r="M115" s="486">
        <f>'New Format'!P74</f>
        <v>70.635893083799644</v>
      </c>
      <c r="N115" s="486">
        <f>'New Format'!Q74</f>
        <v>72.26982252344763</v>
      </c>
    </row>
    <row r="116" spans="2:16" ht="15.75">
      <c r="B116" s="53" t="s">
        <v>33</v>
      </c>
      <c r="D116" s="486">
        <f>'New Format'!G111</f>
        <v>58.379999999999995</v>
      </c>
      <c r="E116" s="486">
        <f>'New Format'!H111</f>
        <v>58.055999999999997</v>
      </c>
      <c r="F116" s="486">
        <f>'New Format'!I111</f>
        <v>60.68</v>
      </c>
      <c r="G116" s="486">
        <f>'New Format'!J111</f>
        <v>64.616</v>
      </c>
      <c r="H116" s="486">
        <f>'New Format'!K111</f>
        <v>66.358241854262573</v>
      </c>
      <c r="I116" s="486">
        <f>'New Format'!L111</f>
        <v>67.685406691347822</v>
      </c>
      <c r="J116" s="486">
        <f>'New Format'!M111</f>
        <v>68.362260758261314</v>
      </c>
      <c r="K116" s="486">
        <f>'New Format'!N111</f>
        <v>68.362260758261314</v>
      </c>
      <c r="L116" s="486">
        <f>'New Format'!O111</f>
        <v>68.362260758261314</v>
      </c>
      <c r="M116" s="486">
        <f>'New Format'!P111</f>
        <v>68.362260758261314</v>
      </c>
      <c r="N116" s="486">
        <f>'New Format'!Q111</f>
        <v>68.362260758261314</v>
      </c>
    </row>
    <row r="117" spans="2:16" ht="15.75">
      <c r="B117" s="53" t="s">
        <v>31</v>
      </c>
      <c r="D117" s="486">
        <f>'New Format'!G148</f>
        <v>76.02</v>
      </c>
      <c r="E117" s="486">
        <f>'New Format'!H148</f>
        <v>77.858999999999995</v>
      </c>
      <c r="F117" s="486">
        <f>'New Format'!I148</f>
        <v>79.826999999999984</v>
      </c>
      <c r="G117" s="486">
        <f>'New Format'!J148</f>
        <v>79.13</v>
      </c>
      <c r="H117" s="486">
        <f>'New Format'!K148</f>
        <v>81.551060147122485</v>
      </c>
      <c r="I117" s="486">
        <f>'New Format'!L148</f>
        <v>84.49215967113804</v>
      </c>
      <c r="J117" s="486">
        <f>'New Format'!M148</f>
        <v>86.617748593682393</v>
      </c>
      <c r="K117" s="486">
        <f>'New Format'!N148</f>
        <v>88.743337516226745</v>
      </c>
      <c r="L117" s="486">
        <f>'New Format'!O148</f>
        <v>90.868926438771098</v>
      </c>
      <c r="M117" s="486">
        <f>'New Format'!P148</f>
        <v>92.99451536131545</v>
      </c>
      <c r="N117" s="486">
        <f>'New Format'!Q148</f>
        <v>95.120104283859803</v>
      </c>
    </row>
    <row r="118" spans="2:16" ht="15.75">
      <c r="B118" s="53" t="s">
        <v>6123</v>
      </c>
      <c r="D118" s="486">
        <f>'New Format'!G185</f>
        <v>177.2</v>
      </c>
      <c r="E118" s="486">
        <f>'New Format'!H185</f>
        <v>200.1</v>
      </c>
      <c r="F118" s="486">
        <f>'New Format'!I185</f>
        <v>188.5</v>
      </c>
      <c r="G118" s="486">
        <f>'New Format'!J185</f>
        <v>204.5242743</v>
      </c>
      <c r="H118" s="486">
        <f>'New Format'!K185</f>
        <v>197.69405621843254</v>
      </c>
      <c r="I118" s="486">
        <f>'New Format'!L185</f>
        <v>207.08081741830856</v>
      </c>
      <c r="J118" s="486">
        <f>'New Format'!M185</f>
        <v>217.87245863194096</v>
      </c>
      <c r="K118" s="486">
        <f>'New Format'!N185</f>
        <v>220.49315956440449</v>
      </c>
      <c r="L118" s="486">
        <f>'New Format'!O185</f>
        <v>223.14448726965418</v>
      </c>
      <c r="M118" s="486">
        <f>'New Format'!P185</f>
        <v>225.82679221305241</v>
      </c>
      <c r="N118" s="486">
        <f>'New Format'!Q185</f>
        <v>228.54042880659162</v>
      </c>
    </row>
    <row r="119" spans="2:16" ht="15.75">
      <c r="B119" s="53" t="s">
        <v>4025</v>
      </c>
      <c r="D119" s="486">
        <f>'New Format'!G248</f>
        <v>145.13999999999999</v>
      </c>
      <c r="E119" s="486">
        <f>'New Format'!H248</f>
        <v>145.87799999999999</v>
      </c>
      <c r="F119" s="486">
        <f>'New Format'!I248</f>
        <v>184.91</v>
      </c>
      <c r="G119" s="486">
        <f>'New Format'!J248</f>
        <v>190.26</v>
      </c>
      <c r="H119" s="486">
        <f>'New Format'!K248</f>
        <v>192.561306</v>
      </c>
      <c r="I119" s="486">
        <f>'New Format'!L248</f>
        <v>202.39135596</v>
      </c>
      <c r="J119" s="486">
        <f>'New Format'!M248</f>
        <v>209.12199313800002</v>
      </c>
      <c r="K119" s="486">
        <f>'New Format'!N248</f>
        <v>216.79345799168402</v>
      </c>
      <c r="L119" s="486">
        <f>'New Format'!O248</f>
        <v>224.82064974002006</v>
      </c>
      <c r="M119" s="486">
        <f>'New Format'!P248</f>
        <v>233.22107626426043</v>
      </c>
      <c r="N119" s="486">
        <f>'New Format'!Q248</f>
        <v>242.01311805508524</v>
      </c>
    </row>
    <row r="120" spans="2:16" ht="15.75">
      <c r="B120" s="53" t="s">
        <v>4026</v>
      </c>
      <c r="D120" s="486">
        <f>'New Format'!G249</f>
        <v>203.18000000000012</v>
      </c>
      <c r="E120" s="486">
        <f>'New Format'!H249</f>
        <v>230.84900000000002</v>
      </c>
      <c r="F120" s="486">
        <f>'New Format'!I249</f>
        <v>237.1952215</v>
      </c>
      <c r="G120" s="486">
        <f>'New Format'!J249</f>
        <v>271.00025000000005</v>
      </c>
      <c r="H120" s="486">
        <f>'New Format'!K249</f>
        <v>278.03280000000001</v>
      </c>
      <c r="I120" s="486">
        <f>'New Format'!L249</f>
        <v>283.83262399999995</v>
      </c>
      <c r="J120" s="486">
        <f>'New Format'!M249</f>
        <v>286.67095023999997</v>
      </c>
      <c r="K120" s="486">
        <f>'New Format'!N249</f>
        <v>289.53765974239997</v>
      </c>
      <c r="L120" s="486">
        <f>'New Format'!O249</f>
        <v>292.43303633982401</v>
      </c>
      <c r="M120" s="486">
        <f>'New Format'!P249</f>
        <v>295.35736670322223</v>
      </c>
      <c r="N120" s="486">
        <f>'New Format'!Q249</f>
        <v>298.31094037025446</v>
      </c>
    </row>
    <row r="121" spans="2:16" ht="15.75">
      <c r="B121" s="961" t="s">
        <v>6849</v>
      </c>
      <c r="C121" s="1429"/>
      <c r="D121" s="1428">
        <f t="shared" ref="D121:N121" si="45">SUM(D114:D120)</f>
        <v>886.00000000000023</v>
      </c>
      <c r="E121" s="1428">
        <f t="shared" si="45"/>
        <v>947.30000000000007</v>
      </c>
      <c r="F121" s="1428">
        <f t="shared" si="45"/>
        <v>1001.9992215</v>
      </c>
      <c r="G121" s="1428">
        <f t="shared" si="45"/>
        <v>1063.0242743000001</v>
      </c>
      <c r="H121" s="1428">
        <f t="shared" si="45"/>
        <v>1064.999686429107</v>
      </c>
      <c r="I121" s="1428">
        <f t="shared" si="45"/>
        <v>1117.0961276680869</v>
      </c>
      <c r="J121" s="1428">
        <f t="shared" si="45"/>
        <v>1153.9527383710792</v>
      </c>
      <c r="K121" s="1428">
        <f t="shared" si="45"/>
        <v>1185.8064635549979</v>
      </c>
      <c r="L121" s="1428">
        <f t="shared" si="45"/>
        <v>1216.4566140874922</v>
      </c>
      <c r="M121" s="1428">
        <f t="shared" si="45"/>
        <v>1248.326567261742</v>
      </c>
      <c r="N121" s="1428">
        <f t="shared" si="45"/>
        <v>1281.4777011362562</v>
      </c>
    </row>
    <row r="123" spans="2:16">
      <c r="B123" s="12" t="s">
        <v>6850</v>
      </c>
      <c r="D123" s="12"/>
      <c r="E123" s="12"/>
      <c r="F123" s="12"/>
      <c r="G123" s="12"/>
      <c r="H123" s="12"/>
      <c r="I123" s="12"/>
      <c r="J123" s="12"/>
      <c r="K123" s="12"/>
      <c r="L123" s="12"/>
      <c r="M123" s="12"/>
      <c r="N123" s="12"/>
    </row>
    <row r="124" spans="2:16">
      <c r="B124" t="str">
        <f t="shared" ref="B124:B130" si="46">B114</f>
        <v>Jamaica</v>
      </c>
      <c r="D124" s="5">
        <f t="shared" ref="D124:N124" si="47">D114/D$121</f>
        <v>0.18248306997742661</v>
      </c>
      <c r="E124" s="5">
        <f t="shared" si="47"/>
        <v>0.18247651219254721</v>
      </c>
      <c r="F124" s="5">
        <f t="shared" si="47"/>
        <v>0.1883833798966679</v>
      </c>
      <c r="G124" s="5">
        <f t="shared" si="47"/>
        <v>0.18141636523492508</v>
      </c>
      <c r="H124" s="5">
        <f t="shared" si="47"/>
        <v>0.17668510009714047</v>
      </c>
      <c r="I124" s="5">
        <f t="shared" si="47"/>
        <v>0.18544379899302546</v>
      </c>
      <c r="J124" s="5">
        <f t="shared" si="47"/>
        <v>0.19009326461565534</v>
      </c>
      <c r="K124" s="5">
        <f t="shared" si="47"/>
        <v>0.19767178299353599</v>
      </c>
      <c r="L124" s="5">
        <f t="shared" si="47"/>
        <v>0.20369735900304131</v>
      </c>
      <c r="M124" s="5">
        <f t="shared" si="47"/>
        <v>0.20982383115692413</v>
      </c>
      <c r="N124" s="5">
        <f t="shared" si="47"/>
        <v>0.21604825904755889</v>
      </c>
      <c r="P124" s="5">
        <v>0.33329999999999999</v>
      </c>
    </row>
    <row r="125" spans="2:16">
      <c r="B125" t="str">
        <f t="shared" si="46"/>
        <v>Trinidad and Tobago</v>
      </c>
      <c r="D125" s="5">
        <f t="shared" ref="D125:N125" si="48">D115/D$121</f>
        <v>7.2686230248306991E-2</v>
      </c>
      <c r="E125" s="5">
        <f t="shared" si="48"/>
        <v>6.5130370526760267E-2</v>
      </c>
      <c r="F125" s="5">
        <f t="shared" si="48"/>
        <v>6.2003042184998358E-2</v>
      </c>
      <c r="G125" s="5">
        <f t="shared" si="48"/>
        <v>5.7048320970782933E-2</v>
      </c>
      <c r="H125" s="5">
        <f t="shared" si="48"/>
        <v>5.6932078743081822E-2</v>
      </c>
      <c r="I125" s="5">
        <f t="shared" si="48"/>
        <v>5.76988967875788E-2</v>
      </c>
      <c r="J125" s="5">
        <f t="shared" si="48"/>
        <v>5.7150246771071535E-2</v>
      </c>
      <c r="K125" s="5">
        <f t="shared" si="48"/>
        <v>5.690313901946107E-2</v>
      </c>
      <c r="L125" s="5">
        <f t="shared" si="48"/>
        <v>5.6753568610702639E-2</v>
      </c>
      <c r="M125" s="5">
        <f t="shared" si="48"/>
        <v>5.6584466706290255E-2</v>
      </c>
      <c r="N125" s="5">
        <f t="shared" si="48"/>
        <v>5.6395692612807601E-2</v>
      </c>
      <c r="P125" s="5">
        <v>0.3</v>
      </c>
    </row>
    <row r="126" spans="2:16">
      <c r="B126" t="str">
        <f t="shared" si="46"/>
        <v>Barbados</v>
      </c>
      <c r="D126" s="5">
        <f t="shared" ref="D126:N126" si="49">D116/D$121</f>
        <v>6.589164785553045E-2</v>
      </c>
      <c r="E126" s="5">
        <f t="shared" si="49"/>
        <v>6.1285759527076947E-2</v>
      </c>
      <c r="F126" s="5">
        <f t="shared" si="49"/>
        <v>6.0558929286553341E-2</v>
      </c>
      <c r="G126" s="5">
        <f t="shared" si="49"/>
        <v>6.0785065366968725E-2</v>
      </c>
      <c r="H126" s="5">
        <f t="shared" si="49"/>
        <v>6.230822665944493E-2</v>
      </c>
      <c r="I126" s="5">
        <f t="shared" si="49"/>
        <v>6.0590494421137772E-2</v>
      </c>
      <c r="J126" s="5">
        <f t="shared" si="49"/>
        <v>5.924182029739064E-2</v>
      </c>
      <c r="K126" s="5">
        <f t="shared" si="49"/>
        <v>5.7650436946779772E-2</v>
      </c>
      <c r="L126" s="5">
        <f t="shared" si="49"/>
        <v>5.6197861860895301E-2</v>
      </c>
      <c r="M126" s="5">
        <f t="shared" si="49"/>
        <v>5.4763122528279501E-2</v>
      </c>
      <c r="N126" s="5">
        <f t="shared" si="49"/>
        <v>5.3346430216964447E-2</v>
      </c>
      <c r="P126" s="5">
        <v>5.5E-2</v>
      </c>
    </row>
    <row r="127" spans="2:16">
      <c r="B127" t="str">
        <f t="shared" si="46"/>
        <v>Bahamas</v>
      </c>
      <c r="D127" s="5">
        <f t="shared" ref="D127:N127" si="50">D117/D$121</f>
        <v>8.5801354401805849E-2</v>
      </c>
      <c r="E127" s="5">
        <f t="shared" si="50"/>
        <v>8.2190435975931578E-2</v>
      </c>
      <c r="F127" s="5">
        <f t="shared" si="50"/>
        <v>7.966772656818874E-2</v>
      </c>
      <c r="G127" s="5">
        <f t="shared" si="50"/>
        <v>7.4438563552188849E-2</v>
      </c>
      <c r="H127" s="5">
        <f t="shared" si="50"/>
        <v>7.6573787942191121E-2</v>
      </c>
      <c r="I127" s="5">
        <f t="shared" si="50"/>
        <v>7.5635531784998239E-2</v>
      </c>
      <c r="J127" s="5">
        <f t="shared" si="50"/>
        <v>7.5061781746756873E-2</v>
      </c>
      <c r="K127" s="5">
        <f t="shared" si="50"/>
        <v>7.4837960699065467E-2</v>
      </c>
      <c r="L127" s="5">
        <f t="shared" si="50"/>
        <v>7.4699685452353878E-2</v>
      </c>
      <c r="M127" s="5">
        <f t="shared" si="50"/>
        <v>7.4495342645236592E-2</v>
      </c>
      <c r="N127" s="5">
        <f t="shared" si="50"/>
        <v>7.4226889940823035E-2</v>
      </c>
      <c r="P127" s="5">
        <v>0</v>
      </c>
    </row>
    <row r="128" spans="2:16">
      <c r="B128" t="str">
        <f t="shared" si="46"/>
        <v>Panama mobile</v>
      </c>
      <c r="D128" s="5">
        <f t="shared" ref="D128:N128" si="51">D118/D$121</f>
        <v>0.19999999999999993</v>
      </c>
      <c r="E128" s="5">
        <f t="shared" si="51"/>
        <v>0.21123192230549981</v>
      </c>
      <c r="F128" s="5">
        <f t="shared" si="51"/>
        <v>0.18812389865714083</v>
      </c>
      <c r="G128" s="5">
        <f t="shared" si="51"/>
        <v>0.19239849855232979</v>
      </c>
      <c r="H128" s="5">
        <f t="shared" si="51"/>
        <v>0.18562827645639152</v>
      </c>
      <c r="I128" s="5">
        <f t="shared" si="51"/>
        <v>0.18537421470664761</v>
      </c>
      <c r="J128" s="5">
        <f t="shared" si="51"/>
        <v>0.18880535691564798</v>
      </c>
      <c r="K128" s="5">
        <f t="shared" si="51"/>
        <v>0.18594363105710798</v>
      </c>
      <c r="L128" s="5">
        <f t="shared" si="51"/>
        <v>0.18343809773852301</v>
      </c>
      <c r="M128" s="5">
        <f t="shared" si="51"/>
        <v>0.18090361779963812</v>
      </c>
      <c r="N128" s="5">
        <f t="shared" si="51"/>
        <v>0.17834132314901008</v>
      </c>
      <c r="P128" s="5">
        <v>0.25</v>
      </c>
    </row>
    <row r="129" spans="2:16">
      <c r="B129" t="str">
        <f t="shared" si="46"/>
        <v>Networks &amp; LatAm</v>
      </c>
      <c r="D129" s="5">
        <f t="shared" ref="D129:N129" si="52">D119/D$121</f>
        <v>0.16381489841986449</v>
      </c>
      <c r="E129" s="5">
        <f t="shared" si="52"/>
        <v>0.15399345508286708</v>
      </c>
      <c r="F129" s="5">
        <f t="shared" si="52"/>
        <v>0.18454106154213215</v>
      </c>
      <c r="G129" s="5">
        <f t="shared" si="52"/>
        <v>0.1789799204023689</v>
      </c>
      <c r="H129" s="5">
        <f t="shared" si="52"/>
        <v>0.18080879126420107</v>
      </c>
      <c r="I129" s="5">
        <f t="shared" si="52"/>
        <v>0.18117631146254837</v>
      </c>
      <c r="J129" s="5">
        <f t="shared" si="52"/>
        <v>0.18122232062397706</v>
      </c>
      <c r="K129" s="5">
        <f t="shared" si="52"/>
        <v>0.18282364336398232</v>
      </c>
      <c r="L129" s="5">
        <f t="shared" si="52"/>
        <v>0.18481600341222701</v>
      </c>
      <c r="M129" s="5">
        <f t="shared" si="52"/>
        <v>0.18682697491237482</v>
      </c>
      <c r="N129" s="5">
        <f t="shared" si="52"/>
        <v>0.18885472438615036</v>
      </c>
      <c r="P129" s="5"/>
    </row>
    <row r="130" spans="2:16">
      <c r="B130" t="str">
        <f t="shared" si="46"/>
        <v>Ventures/Other</v>
      </c>
      <c r="D130" s="5">
        <f t="shared" ref="D130:N130" si="53">D120/D$121</f>
        <v>0.22932279909706554</v>
      </c>
      <c r="E130" s="5">
        <f t="shared" si="53"/>
        <v>0.24369154438931701</v>
      </c>
      <c r="F130" s="5">
        <f t="shared" si="53"/>
        <v>0.23672196186431868</v>
      </c>
      <c r="G130" s="5">
        <f t="shared" si="53"/>
        <v>0.25493326592043564</v>
      </c>
      <c r="H130" s="5">
        <f t="shared" si="53"/>
        <v>0.26106373883754902</v>
      </c>
      <c r="I130" s="5">
        <f t="shared" si="53"/>
        <v>0.25408075184406392</v>
      </c>
      <c r="J130" s="5">
        <f t="shared" si="53"/>
        <v>0.24842520902950058</v>
      </c>
      <c r="K130" s="5">
        <f t="shared" si="53"/>
        <v>0.24416940592006747</v>
      </c>
      <c r="L130" s="5">
        <f t="shared" si="53"/>
        <v>0.2403974239222568</v>
      </c>
      <c r="M130" s="5">
        <f t="shared" si="53"/>
        <v>0.23660264425125657</v>
      </c>
      <c r="N130" s="5">
        <f t="shared" si="53"/>
        <v>0.23278668064668559</v>
      </c>
      <c r="P130" s="5"/>
    </row>
    <row r="131" spans="2:16">
      <c r="D131" s="5"/>
      <c r="E131" s="5"/>
      <c r="F131" s="5"/>
      <c r="G131" s="5"/>
      <c r="H131" s="5"/>
      <c r="I131" s="5"/>
      <c r="J131" s="5"/>
      <c r="K131" s="5"/>
      <c r="L131" s="5"/>
      <c r="M131" s="5"/>
      <c r="N131" s="5"/>
    </row>
    <row r="132" spans="2:16">
      <c r="B132" s="12" t="s">
        <v>4058</v>
      </c>
      <c r="D132" s="12"/>
      <c r="E132" s="12"/>
      <c r="F132" s="12"/>
      <c r="G132" s="12"/>
      <c r="H132" s="12"/>
      <c r="I132" s="12"/>
      <c r="J132" s="12"/>
      <c r="K132" s="12"/>
      <c r="L132" s="12"/>
      <c r="M132" s="12"/>
      <c r="N132" s="12"/>
    </row>
    <row r="133" spans="2:16" ht="15.75">
      <c r="B133" s="53" t="s">
        <v>32</v>
      </c>
      <c r="D133" s="1432">
        <f>'New Format'!G275</f>
        <v>0.3</v>
      </c>
      <c r="E133" s="1432">
        <f>'New Format'!H275</f>
        <v>0.3</v>
      </c>
      <c r="F133" s="1432">
        <f>'New Format'!I275</f>
        <v>0.3</v>
      </c>
      <c r="G133" s="1432">
        <f>'New Format'!J275</f>
        <v>0.3</v>
      </c>
      <c r="H133" s="1432">
        <f>'New Format'!K275</f>
        <v>0.3</v>
      </c>
      <c r="I133" s="1432">
        <f>'New Format'!L275</f>
        <v>0.3</v>
      </c>
      <c r="J133" s="1432">
        <f>'New Format'!M275</f>
        <v>0.3</v>
      </c>
      <c r="K133" s="1432">
        <f>'New Format'!N275</f>
        <v>0.3</v>
      </c>
      <c r="L133" s="1432">
        <f>'New Format'!O275</f>
        <v>0.3</v>
      </c>
      <c r="M133" s="1432">
        <f>'New Format'!P275</f>
        <v>0.3</v>
      </c>
      <c r="N133" s="1432">
        <f>'New Format'!Q275</f>
        <v>0.3</v>
      </c>
    </row>
    <row r="134" spans="2:16" ht="15.75">
      <c r="B134" s="53" t="s">
        <v>2060</v>
      </c>
      <c r="D134" s="1432">
        <f>'New Format'!G276</f>
        <v>0.25</v>
      </c>
      <c r="E134" s="1432">
        <f>'New Format'!H276</f>
        <v>0.25</v>
      </c>
      <c r="F134" s="1432">
        <f>'New Format'!I276</f>
        <v>0.25</v>
      </c>
      <c r="G134" s="1432">
        <f>'New Format'!J276</f>
        <v>0.25</v>
      </c>
      <c r="H134" s="1432">
        <f>'New Format'!K276</f>
        <v>0.25</v>
      </c>
      <c r="I134" s="1432">
        <f>'New Format'!L276</f>
        <v>0.25</v>
      </c>
      <c r="J134" s="1432">
        <f>'New Format'!M276</f>
        <v>0.25</v>
      </c>
      <c r="K134" s="1432">
        <f>'New Format'!N276</f>
        <v>0.25</v>
      </c>
      <c r="L134" s="1432">
        <f>'New Format'!O276</f>
        <v>0.25</v>
      </c>
      <c r="M134" s="1432">
        <f>'New Format'!P276</f>
        <v>0.25</v>
      </c>
      <c r="N134" s="1432">
        <f>'New Format'!Q276</f>
        <v>0.25</v>
      </c>
    </row>
    <row r="135" spans="2:16" ht="15.75">
      <c r="B135" s="53" t="s">
        <v>33</v>
      </c>
      <c r="D135" s="1432">
        <f>'New Format'!G277</f>
        <v>0.25</v>
      </c>
      <c r="E135" s="1432">
        <f>'New Format'!H277</f>
        <v>0.25</v>
      </c>
      <c r="F135" s="1432">
        <f>'New Format'!I277</f>
        <v>0.25</v>
      </c>
      <c r="G135" s="1432">
        <f>'New Format'!J277</f>
        <v>0.25</v>
      </c>
      <c r="H135" s="1432">
        <f>'New Format'!K277</f>
        <v>0.25</v>
      </c>
      <c r="I135" s="1432">
        <f>'New Format'!L277</f>
        <v>0.25</v>
      </c>
      <c r="J135" s="1432">
        <f>'New Format'!M277</f>
        <v>0.25</v>
      </c>
      <c r="K135" s="1432">
        <f>'New Format'!N277</f>
        <v>0.25</v>
      </c>
      <c r="L135" s="1432">
        <f>'New Format'!O277</f>
        <v>0.25</v>
      </c>
      <c r="M135" s="1432">
        <f>'New Format'!P277</f>
        <v>0.25</v>
      </c>
      <c r="N135" s="1432">
        <f>'New Format'!Q277</f>
        <v>0.25</v>
      </c>
    </row>
    <row r="136" spans="2:16" ht="15.75">
      <c r="B136" s="53" t="s">
        <v>31</v>
      </c>
      <c r="D136" s="1432">
        <f>'New Format'!G278</f>
        <v>0.1</v>
      </c>
      <c r="E136" s="1432">
        <f>'New Format'!H278</f>
        <v>0.1</v>
      </c>
      <c r="F136" s="1432">
        <f>'New Format'!I278</f>
        <v>0.1</v>
      </c>
      <c r="G136" s="1432">
        <f>'New Format'!J278</f>
        <v>0.1</v>
      </c>
      <c r="H136" s="1432">
        <f>'New Format'!K278</f>
        <v>0.1</v>
      </c>
      <c r="I136" s="1432">
        <f>'New Format'!L278</f>
        <v>0.1</v>
      </c>
      <c r="J136" s="1432">
        <f>'New Format'!M278</f>
        <v>0.1</v>
      </c>
      <c r="K136" s="1432">
        <f>'New Format'!N278</f>
        <v>0.1</v>
      </c>
      <c r="L136" s="1432">
        <f>'New Format'!O278</f>
        <v>0.1</v>
      </c>
      <c r="M136" s="1432">
        <f>'New Format'!P278</f>
        <v>0.1</v>
      </c>
      <c r="N136" s="1432">
        <f>'New Format'!Q278</f>
        <v>0.1</v>
      </c>
    </row>
    <row r="137" spans="2:16" ht="15.75">
      <c r="B137" s="53" t="s">
        <v>6123</v>
      </c>
      <c r="D137" s="1432">
        <f>'New Format'!G279</f>
        <v>0.25</v>
      </c>
      <c r="E137" s="1432">
        <f>'New Format'!H279</f>
        <v>0.25</v>
      </c>
      <c r="F137" s="1432">
        <f>'New Format'!I279</f>
        <v>0.25</v>
      </c>
      <c r="G137" s="1432">
        <f>'New Format'!J279</f>
        <v>0.25</v>
      </c>
      <c r="H137" s="1432">
        <f>'New Format'!K279</f>
        <v>0.25</v>
      </c>
      <c r="I137" s="1432">
        <f>'New Format'!L279</f>
        <v>0.25</v>
      </c>
      <c r="J137" s="1432">
        <f>'New Format'!M279</f>
        <v>0.25</v>
      </c>
      <c r="K137" s="1432">
        <f>'New Format'!N279</f>
        <v>0.25</v>
      </c>
      <c r="L137" s="1432">
        <f>'New Format'!O279</f>
        <v>0.25</v>
      </c>
      <c r="M137" s="1432">
        <f>'New Format'!P279</f>
        <v>0.25</v>
      </c>
      <c r="N137" s="1432">
        <f>'New Format'!Q279</f>
        <v>0.25</v>
      </c>
    </row>
    <row r="138" spans="2:16" ht="15.75">
      <c r="B138" s="53" t="s">
        <v>4025</v>
      </c>
      <c r="D138" s="1432">
        <f>'New Format'!G280</f>
        <v>0.28000000000000003</v>
      </c>
      <c r="E138" s="1432">
        <f>'New Format'!H280</f>
        <v>0.28000000000000003</v>
      </c>
      <c r="F138" s="1432">
        <f>'New Format'!I280</f>
        <v>0.28000000000000003</v>
      </c>
      <c r="G138" s="1432">
        <f>'New Format'!J280</f>
        <v>0.28000000000000003</v>
      </c>
      <c r="H138" s="1432">
        <f>'New Format'!K280</f>
        <v>0.28000000000000003</v>
      </c>
      <c r="I138" s="1432">
        <f>'New Format'!L280</f>
        <v>0.28000000000000003</v>
      </c>
      <c r="J138" s="1432">
        <f>'New Format'!M280</f>
        <v>0.28000000000000003</v>
      </c>
      <c r="K138" s="1432">
        <f>'New Format'!N280</f>
        <v>0.28000000000000003</v>
      </c>
      <c r="L138" s="1432">
        <f>'New Format'!O280</f>
        <v>0.28000000000000003</v>
      </c>
      <c r="M138" s="1432">
        <f>'New Format'!P280</f>
        <v>0.28000000000000003</v>
      </c>
      <c r="N138" s="1432">
        <f>'New Format'!Q280</f>
        <v>0.28000000000000003</v>
      </c>
    </row>
    <row r="139" spans="2:16" ht="15.75">
      <c r="B139" s="53" t="s">
        <v>4026</v>
      </c>
      <c r="D139" s="1432">
        <f>'New Format'!G281</f>
        <v>0.25</v>
      </c>
      <c r="E139" s="1432">
        <f>'New Format'!H281</f>
        <v>0.25</v>
      </c>
      <c r="F139" s="1432">
        <f>'New Format'!I281</f>
        <v>0.25</v>
      </c>
      <c r="G139" s="1432">
        <f>'New Format'!J281</f>
        <v>0.25</v>
      </c>
      <c r="H139" s="1432">
        <f>'New Format'!K281</f>
        <v>0.25</v>
      </c>
      <c r="I139" s="1432">
        <f>'New Format'!L281</f>
        <v>0.25</v>
      </c>
      <c r="J139" s="1432">
        <f>'New Format'!M281</f>
        <v>0.25</v>
      </c>
      <c r="K139" s="1432">
        <f>'New Format'!N281</f>
        <v>0.25</v>
      </c>
      <c r="L139" s="1432">
        <f>'New Format'!O281</f>
        <v>0.25</v>
      </c>
      <c r="M139" s="1432">
        <f>'New Format'!P281</f>
        <v>0.25</v>
      </c>
      <c r="N139" s="1432">
        <f>'New Format'!Q281</f>
        <v>0.25</v>
      </c>
    </row>
    <row r="141" spans="2:16">
      <c r="B141" s="12" t="s">
        <v>5846</v>
      </c>
      <c r="D141" s="1446">
        <f t="shared" ref="D141:N141" si="54">SUMPRODUCT(D124:D130,D133:D139)</f>
        <v>0.25116839729119633</v>
      </c>
      <c r="E141" s="1446">
        <f t="shared" si="54"/>
        <v>0.2514150638657236</v>
      </c>
      <c r="F141" s="1446">
        <f t="shared" si="54"/>
        <v>0.25300524185586903</v>
      </c>
      <c r="G141" s="1446">
        <f t="shared" si="54"/>
        <v>0.25327443134098898</v>
      </c>
      <c r="H141" s="1446">
        <f t="shared" si="54"/>
        <v>0.25277245055145436</v>
      </c>
      <c r="I141" s="1446">
        <f t="shared" si="54"/>
        <v>0.25336214952577807</v>
      </c>
      <c r="J141" s="1446">
        <f t="shared" si="54"/>
        <v>0.25368206558748857</v>
      </c>
      <c r="K141" s="1446">
        <f t="shared" si="54"/>
        <v>0.25414260434573649</v>
      </c>
      <c r="L141" s="1446">
        <f t="shared" si="54"/>
        <v>0.2545243952346658</v>
      </c>
      <c r="M141" s="1446">
        <f t="shared" si="54"/>
        <v>0.25492169940843196</v>
      </c>
      <c r="N141" s="1446">
        <f t="shared" si="54"/>
        <v>0.25533402119283899</v>
      </c>
    </row>
  </sheetData>
  <pageMargins left="0.7" right="0.7" top="0.75" bottom="0.75" header="0.3" footer="0.3"/>
  <pageSetup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C5F3-7D09-4485-9E5F-D48801F1CD14}">
  <dimension ref="B2:Z196"/>
  <sheetViews>
    <sheetView zoomScale="72" zoomScaleNormal="72" workbookViewId="0">
      <selection activeCell="M119" sqref="M119"/>
    </sheetView>
  </sheetViews>
  <sheetFormatPr defaultRowHeight="15" outlineLevelRow="1"/>
  <cols>
    <col min="2" max="2" width="28.140625" customWidth="1"/>
    <col min="8" max="8" width="9.140625" customWidth="1"/>
  </cols>
  <sheetData>
    <row r="2" spans="2:18" ht="15.75">
      <c r="B2" s="636" t="s">
        <v>3871</v>
      </c>
      <c r="C2" s="636">
        <v>2015</v>
      </c>
      <c r="D2" s="636">
        <v>2016</v>
      </c>
      <c r="E2" s="636">
        <v>2017</v>
      </c>
      <c r="F2" s="636">
        <f>E2+1</f>
        <v>2018</v>
      </c>
      <c r="G2" s="636">
        <f>F2+1</f>
        <v>2019</v>
      </c>
      <c r="H2" s="636">
        <f t="shared" ref="H2:R2" si="0">G2+1</f>
        <v>2020</v>
      </c>
      <c r="I2" s="636">
        <f t="shared" si="0"/>
        <v>2021</v>
      </c>
      <c r="J2" s="636">
        <f t="shared" si="0"/>
        <v>2022</v>
      </c>
      <c r="K2" s="636">
        <f t="shared" si="0"/>
        <v>2023</v>
      </c>
      <c r="L2" s="636">
        <f t="shared" si="0"/>
        <v>2024</v>
      </c>
      <c r="M2" s="636">
        <f t="shared" si="0"/>
        <v>2025</v>
      </c>
      <c r="N2" s="636">
        <f t="shared" si="0"/>
        <v>2026</v>
      </c>
      <c r="O2" s="636">
        <f t="shared" si="0"/>
        <v>2027</v>
      </c>
      <c r="P2" s="636">
        <f t="shared" si="0"/>
        <v>2028</v>
      </c>
      <c r="Q2" s="636">
        <f t="shared" si="0"/>
        <v>2029</v>
      </c>
      <c r="R2" s="636">
        <f t="shared" si="0"/>
        <v>2030</v>
      </c>
    </row>
    <row r="3" spans="2:18" ht="15.75">
      <c r="B3" s="58" t="s">
        <v>469</v>
      </c>
      <c r="C3" s="58"/>
      <c r="D3" s="53"/>
      <c r="E3" s="53"/>
      <c r="F3" s="53"/>
      <c r="G3" s="53"/>
      <c r="H3" s="53"/>
      <c r="I3" s="53"/>
      <c r="J3" s="53"/>
      <c r="K3" s="53"/>
      <c r="L3" s="53"/>
      <c r="M3" s="53"/>
      <c r="N3" s="53"/>
      <c r="O3" s="53"/>
      <c r="P3" s="53"/>
      <c r="Q3" s="53"/>
      <c r="R3" s="53"/>
    </row>
    <row r="4" spans="2:18" ht="15.75">
      <c r="B4" s="53"/>
      <c r="C4" s="53"/>
      <c r="D4" s="53"/>
      <c r="E4" s="53"/>
      <c r="F4" s="53"/>
      <c r="G4" s="53"/>
      <c r="H4" s="53"/>
      <c r="I4" s="53"/>
      <c r="J4" s="53"/>
      <c r="K4" s="53"/>
      <c r="L4" s="53"/>
      <c r="M4" s="53"/>
      <c r="N4" s="53"/>
      <c r="O4" s="53"/>
      <c r="P4" s="53"/>
      <c r="Q4" s="53"/>
      <c r="R4" s="53"/>
    </row>
    <row r="5" spans="2:18" ht="15.75">
      <c r="B5" s="53" t="s">
        <v>557</v>
      </c>
      <c r="C5" s="764">
        <v>1070.7</v>
      </c>
      <c r="D5" s="764">
        <v>1092.3</v>
      </c>
      <c r="E5" s="764">
        <v>1076.9000000000001</v>
      </c>
      <c r="F5" s="764">
        <v>1088.4000000000001</v>
      </c>
      <c r="G5" s="764">
        <v>1111</v>
      </c>
      <c r="H5" s="764">
        <f>'LiLAC valuation'!AG324</f>
        <v>1137.7</v>
      </c>
      <c r="I5" s="764">
        <f>'LiLAC valuation'!AK324</f>
        <v>1160.2</v>
      </c>
      <c r="J5" s="764">
        <v>1173.5999999999999</v>
      </c>
      <c r="K5" s="764">
        <v>1178.7</v>
      </c>
      <c r="L5" s="630">
        <f t="shared" ref="L5:R5" si="1">K5+L6</f>
        <v>1188.7</v>
      </c>
      <c r="M5" s="630">
        <f t="shared" si="1"/>
        <v>1198.7</v>
      </c>
      <c r="N5" s="630">
        <f t="shared" si="1"/>
        <v>1208.7</v>
      </c>
      <c r="O5" s="630">
        <f t="shared" si="1"/>
        <v>1218.7</v>
      </c>
      <c r="P5" s="630">
        <f t="shared" si="1"/>
        <v>1228.7</v>
      </c>
      <c r="Q5" s="630">
        <f t="shared" si="1"/>
        <v>1238.7</v>
      </c>
      <c r="R5" s="630">
        <f t="shared" si="1"/>
        <v>1248.7</v>
      </c>
    </row>
    <row r="6" spans="2:18" ht="15.75">
      <c r="B6" s="53" t="s">
        <v>4047</v>
      </c>
      <c r="C6" s="53"/>
      <c r="D6" s="621">
        <f t="shared" ref="D6:K6" si="2">D5-C5</f>
        <v>21.599999999999909</v>
      </c>
      <c r="E6" s="621">
        <f t="shared" si="2"/>
        <v>-15.399999999999864</v>
      </c>
      <c r="F6" s="621">
        <f t="shared" si="2"/>
        <v>11.5</v>
      </c>
      <c r="G6" s="621">
        <f t="shared" si="2"/>
        <v>22.599999999999909</v>
      </c>
      <c r="H6" s="621">
        <f t="shared" si="2"/>
        <v>26.700000000000045</v>
      </c>
      <c r="I6" s="621">
        <f t="shared" si="2"/>
        <v>22.5</v>
      </c>
      <c r="J6" s="621">
        <f t="shared" si="2"/>
        <v>13.399999999999864</v>
      </c>
      <c r="K6" s="621">
        <f t="shared" si="2"/>
        <v>5.1000000000001364</v>
      </c>
      <c r="L6" s="702">
        <v>10</v>
      </c>
      <c r="M6" s="702">
        <v>10</v>
      </c>
      <c r="N6" s="702">
        <v>10</v>
      </c>
      <c r="O6" s="702">
        <v>10</v>
      </c>
      <c r="P6" s="702">
        <v>10</v>
      </c>
      <c r="Q6" s="702">
        <v>10</v>
      </c>
      <c r="R6" s="702">
        <v>10</v>
      </c>
    </row>
    <row r="7" spans="2:18" ht="15.75">
      <c r="B7" s="53"/>
      <c r="C7" s="53"/>
      <c r="D7" s="621"/>
      <c r="E7" s="621"/>
      <c r="F7" s="621"/>
      <c r="G7" s="53"/>
      <c r="H7" s="53"/>
      <c r="I7" s="53"/>
      <c r="J7" s="53"/>
      <c r="K7" s="53"/>
      <c r="L7" s="53"/>
      <c r="M7" s="53"/>
      <c r="N7" s="53"/>
      <c r="O7" s="53"/>
      <c r="P7" s="53"/>
      <c r="Q7" s="53"/>
      <c r="R7" s="53"/>
    </row>
    <row r="8" spans="2:18" ht="15.75">
      <c r="B8" s="53" t="s">
        <v>2303</v>
      </c>
      <c r="C8" s="764">
        <v>400.9</v>
      </c>
      <c r="D8" s="764">
        <v>403.7</v>
      </c>
      <c r="E8" s="764">
        <v>377.7</v>
      </c>
      <c r="F8" s="764">
        <v>376.1</v>
      </c>
      <c r="G8" s="764">
        <v>405</v>
      </c>
      <c r="H8" s="764">
        <f>'LiLAC valuation'!AG326</f>
        <v>480.5</v>
      </c>
      <c r="I8" s="764">
        <f>'LiLAC valuation'!AK326</f>
        <v>520.5</v>
      </c>
      <c r="J8" s="764">
        <v>551.1</v>
      </c>
      <c r="K8" s="764">
        <v>580.79999999999995</v>
      </c>
      <c r="L8" s="630">
        <f t="shared" ref="L8:R8" si="3">L9*L5</f>
        <v>546.80200000000002</v>
      </c>
      <c r="M8" s="630">
        <f t="shared" si="3"/>
        <v>551.40200000000004</v>
      </c>
      <c r="N8" s="630">
        <f t="shared" si="3"/>
        <v>556.00200000000007</v>
      </c>
      <c r="O8" s="630">
        <f t="shared" si="3"/>
        <v>560.60200000000009</v>
      </c>
      <c r="P8" s="630">
        <f t="shared" si="3"/>
        <v>565.202</v>
      </c>
      <c r="Q8" s="630">
        <f t="shared" si="3"/>
        <v>569.80200000000002</v>
      </c>
      <c r="R8" s="630">
        <f t="shared" si="3"/>
        <v>574.40200000000004</v>
      </c>
    </row>
    <row r="9" spans="2:18" ht="15.75">
      <c r="B9" s="53" t="s">
        <v>2193</v>
      </c>
      <c r="C9" s="56">
        <f t="shared" ref="C9:K9" si="4">C8/C5</f>
        <v>0.37442794433548143</v>
      </c>
      <c r="D9" s="56">
        <f t="shared" si="4"/>
        <v>0.36958710976837866</v>
      </c>
      <c r="E9" s="56">
        <f t="shared" si="4"/>
        <v>0.35072894419166123</v>
      </c>
      <c r="F9" s="56">
        <f t="shared" si="4"/>
        <v>0.34555310547592794</v>
      </c>
      <c r="G9" s="56">
        <f t="shared" si="4"/>
        <v>0.36453645364536452</v>
      </c>
      <c r="H9" s="56">
        <f t="shared" si="4"/>
        <v>0.42234332425068116</v>
      </c>
      <c r="I9" s="56">
        <f t="shared" si="4"/>
        <v>0.44862954662989141</v>
      </c>
      <c r="J9" s="56">
        <f t="shared" si="4"/>
        <v>0.46958077709611457</v>
      </c>
      <c r="K9" s="56">
        <f t="shared" si="4"/>
        <v>0.4927462458640875</v>
      </c>
      <c r="L9" s="752">
        <v>0.46</v>
      </c>
      <c r="M9" s="752">
        <v>0.46</v>
      </c>
      <c r="N9" s="752">
        <v>0.46</v>
      </c>
      <c r="O9" s="752">
        <v>0.46</v>
      </c>
      <c r="P9" s="752">
        <v>0.46</v>
      </c>
      <c r="Q9" s="752">
        <v>0.46</v>
      </c>
      <c r="R9" s="752">
        <v>0.46</v>
      </c>
    </row>
    <row r="10" spans="2:18" ht="15.75">
      <c r="B10" s="53"/>
      <c r="C10" s="53"/>
      <c r="D10" s="53"/>
      <c r="E10" s="53"/>
      <c r="F10" s="53"/>
      <c r="G10" s="53"/>
      <c r="H10" s="53"/>
      <c r="I10" s="53"/>
      <c r="J10" s="53"/>
      <c r="K10" s="53"/>
      <c r="L10" s="53"/>
      <c r="M10" s="53"/>
      <c r="N10" s="53"/>
      <c r="O10" s="53"/>
      <c r="P10" s="53"/>
      <c r="Q10" s="53"/>
      <c r="R10" s="53"/>
    </row>
    <row r="11" spans="2:18" ht="15.75">
      <c r="B11" s="53" t="s">
        <v>4048</v>
      </c>
      <c r="C11" s="53"/>
      <c r="D11" s="685">
        <f>D20/D8</f>
        <v>1.97944017835026</v>
      </c>
      <c r="E11" s="685">
        <f t="shared" ref="E11:R11" si="5">E20/E8</f>
        <v>1.9552554937781308</v>
      </c>
      <c r="F11" s="685">
        <f t="shared" si="5"/>
        <v>1.9638394044137197</v>
      </c>
      <c r="G11" s="685">
        <f t="shared" si="5"/>
        <v>1.9407407407407407</v>
      </c>
      <c r="H11" s="685">
        <f t="shared" si="5"/>
        <v>1.8847034339229969</v>
      </c>
      <c r="I11" s="685">
        <f t="shared" si="5"/>
        <v>1.8772334293948125</v>
      </c>
      <c r="J11" s="685">
        <f t="shared" si="5"/>
        <v>1.8584648884050077</v>
      </c>
      <c r="K11" s="685">
        <f t="shared" si="5"/>
        <v>1.8130165289256199</v>
      </c>
      <c r="L11" s="685">
        <f t="shared" si="5"/>
        <v>1.9422021133792486</v>
      </c>
      <c r="M11" s="685">
        <f t="shared" si="5"/>
        <v>1.9332537785499506</v>
      </c>
      <c r="N11" s="685">
        <f t="shared" si="5"/>
        <v>1.9154607357527489</v>
      </c>
      <c r="O11" s="685">
        <f t="shared" si="5"/>
        <v>1.8979596933296703</v>
      </c>
      <c r="P11" s="685">
        <f t="shared" si="5"/>
        <v>1.8807435217851316</v>
      </c>
      <c r="Q11" s="685">
        <f t="shared" si="5"/>
        <v>1.8638053218486421</v>
      </c>
      <c r="R11" s="685">
        <f t="shared" si="5"/>
        <v>1.8471384152562142</v>
      </c>
    </row>
    <row r="12" spans="2:18" ht="15.75">
      <c r="B12" s="53"/>
      <c r="C12" s="53"/>
      <c r="D12" s="53"/>
      <c r="E12" s="621"/>
      <c r="F12" s="621"/>
      <c r="G12" s="53"/>
      <c r="H12" s="53"/>
      <c r="I12" s="53"/>
      <c r="J12" s="53"/>
      <c r="K12" s="53"/>
      <c r="L12" s="53"/>
      <c r="M12" s="53"/>
      <c r="N12" s="53"/>
      <c r="O12" s="53"/>
      <c r="P12" s="53"/>
      <c r="Q12" s="53"/>
      <c r="R12" s="53"/>
    </row>
    <row r="13" spans="2:18" ht="15.75">
      <c r="B13" s="58" t="s">
        <v>53</v>
      </c>
      <c r="C13" s="58"/>
      <c r="D13" s="53"/>
      <c r="E13" s="621"/>
      <c r="F13" s="621"/>
      <c r="G13" s="53"/>
      <c r="H13" s="53"/>
      <c r="I13" s="53"/>
      <c r="J13" s="53"/>
      <c r="K13" s="53"/>
      <c r="L13" s="53"/>
      <c r="M13" s="53"/>
      <c r="N13" s="53"/>
      <c r="O13" s="53"/>
      <c r="P13" s="53"/>
      <c r="Q13" s="53"/>
      <c r="R13" s="53"/>
    </row>
    <row r="14" spans="2:18" ht="15.75">
      <c r="B14" s="53" t="s">
        <v>1568</v>
      </c>
      <c r="C14" s="702">
        <v>263.89999999999998</v>
      </c>
      <c r="D14" s="702">
        <v>261.3</v>
      </c>
      <c r="E14" s="702">
        <v>232.1</v>
      </c>
      <c r="F14" s="702">
        <v>217.1</v>
      </c>
      <c r="G14" s="702">
        <v>222</v>
      </c>
      <c r="H14" s="1094">
        <f>'LiLAC valuation'!AG329</f>
        <v>235.2</v>
      </c>
      <c r="I14" s="1094">
        <f>'LiLAC valuation'!AK329</f>
        <v>245.7</v>
      </c>
      <c r="J14" s="1094">
        <v>242.8</v>
      </c>
      <c r="K14" s="1094">
        <v>237.1</v>
      </c>
      <c r="L14" s="621">
        <f t="shared" ref="L14:R14" si="6">K14+L15</f>
        <v>238.1</v>
      </c>
      <c r="M14" s="621">
        <f t="shared" si="6"/>
        <v>239.1</v>
      </c>
      <c r="N14" s="621">
        <f t="shared" si="6"/>
        <v>240.1</v>
      </c>
      <c r="O14" s="621">
        <f t="shared" si="6"/>
        <v>241.1</v>
      </c>
      <c r="P14" s="621">
        <f t="shared" si="6"/>
        <v>242.1</v>
      </c>
      <c r="Q14" s="621">
        <f t="shared" si="6"/>
        <v>243.1</v>
      </c>
      <c r="R14" s="621">
        <f t="shared" si="6"/>
        <v>244.1</v>
      </c>
    </row>
    <row r="15" spans="2:18" ht="15.75">
      <c r="B15" s="53"/>
      <c r="C15" s="53"/>
      <c r="D15" s="621">
        <f t="shared" ref="D15:K15" si="7">D14-C14</f>
        <v>-2.5999999999999659</v>
      </c>
      <c r="E15" s="621">
        <f t="shared" si="7"/>
        <v>-29.200000000000017</v>
      </c>
      <c r="F15" s="621">
        <f t="shared" si="7"/>
        <v>-15</v>
      </c>
      <c r="G15" s="621">
        <f t="shared" si="7"/>
        <v>4.9000000000000057</v>
      </c>
      <c r="H15" s="621">
        <f t="shared" si="7"/>
        <v>13.199999999999989</v>
      </c>
      <c r="I15" s="621">
        <f t="shared" si="7"/>
        <v>10.5</v>
      </c>
      <c r="J15" s="621">
        <f t="shared" si="7"/>
        <v>-2.8999999999999773</v>
      </c>
      <c r="K15" s="621">
        <f t="shared" si="7"/>
        <v>-5.7000000000000171</v>
      </c>
      <c r="L15" s="702">
        <v>1</v>
      </c>
      <c r="M15" s="702">
        <v>1</v>
      </c>
      <c r="N15" s="702">
        <v>1</v>
      </c>
      <c r="O15" s="702">
        <v>1</v>
      </c>
      <c r="P15" s="702">
        <v>1</v>
      </c>
      <c r="Q15" s="702">
        <v>1</v>
      </c>
      <c r="R15" s="702">
        <v>1</v>
      </c>
    </row>
    <row r="16" spans="2:18" ht="15.75">
      <c r="B16" s="53" t="s">
        <v>1567</v>
      </c>
      <c r="C16" s="702">
        <v>319</v>
      </c>
      <c r="D16" s="702">
        <v>329</v>
      </c>
      <c r="E16" s="702">
        <v>313.10000000000002</v>
      </c>
      <c r="F16" s="702">
        <v>324</v>
      </c>
      <c r="G16" s="702">
        <v>354</v>
      </c>
      <c r="H16" s="1094">
        <f>'LiLAC valuation'!AG330</f>
        <v>434.3</v>
      </c>
      <c r="I16" s="1094">
        <f>'LiLAC valuation'!AK330</f>
        <v>478.9</v>
      </c>
      <c r="J16" s="1094">
        <v>524</v>
      </c>
      <c r="K16" s="1094">
        <v>547.1</v>
      </c>
      <c r="L16" s="621">
        <f t="shared" ref="L16:R16" si="8">K16+L17</f>
        <v>557.1</v>
      </c>
      <c r="M16" s="621">
        <f t="shared" si="8"/>
        <v>562.1</v>
      </c>
      <c r="N16" s="621">
        <f t="shared" si="8"/>
        <v>562.1</v>
      </c>
      <c r="O16" s="621">
        <f t="shared" si="8"/>
        <v>562.1</v>
      </c>
      <c r="P16" s="621">
        <f t="shared" si="8"/>
        <v>562.1</v>
      </c>
      <c r="Q16" s="621">
        <f t="shared" si="8"/>
        <v>562.1</v>
      </c>
      <c r="R16" s="621">
        <f t="shared" si="8"/>
        <v>562.1</v>
      </c>
    </row>
    <row r="17" spans="2:21" ht="15.75">
      <c r="B17" s="53"/>
      <c r="C17" s="53"/>
      <c r="D17" s="53">
        <v>90.399999999999864</v>
      </c>
      <c r="E17" s="621">
        <f t="shared" ref="E17:K17" si="9">E16-D16</f>
        <v>-15.899999999999977</v>
      </c>
      <c r="F17" s="621">
        <f t="shared" si="9"/>
        <v>10.899999999999977</v>
      </c>
      <c r="G17" s="621">
        <f t="shared" si="9"/>
        <v>30</v>
      </c>
      <c r="H17" s="621">
        <f t="shared" si="9"/>
        <v>80.300000000000011</v>
      </c>
      <c r="I17" s="621">
        <f t="shared" si="9"/>
        <v>44.599999999999966</v>
      </c>
      <c r="J17" s="621">
        <f t="shared" si="9"/>
        <v>45.100000000000023</v>
      </c>
      <c r="K17" s="621">
        <f t="shared" si="9"/>
        <v>23.100000000000023</v>
      </c>
      <c r="L17" s="702">
        <v>10</v>
      </c>
      <c r="M17" s="702">
        <v>5</v>
      </c>
      <c r="N17" s="702">
        <v>0</v>
      </c>
      <c r="O17" s="702">
        <v>0</v>
      </c>
      <c r="P17" s="702">
        <v>0</v>
      </c>
      <c r="Q17" s="702">
        <v>0</v>
      </c>
      <c r="R17" s="702">
        <v>0</v>
      </c>
      <c r="U17" s="62"/>
    </row>
    <row r="18" spans="2:21" ht="15.75">
      <c r="B18" s="53" t="s">
        <v>565</v>
      </c>
      <c r="C18" s="702">
        <v>194</v>
      </c>
      <c r="D18" s="702">
        <v>208.8</v>
      </c>
      <c r="E18" s="702">
        <v>193.3</v>
      </c>
      <c r="F18" s="702">
        <v>197.5</v>
      </c>
      <c r="G18" s="702">
        <v>210</v>
      </c>
      <c r="H18" s="1094">
        <f>'LiLAC valuation'!AG331</f>
        <v>236.1</v>
      </c>
      <c r="I18" s="1094">
        <f>'LiLAC valuation'!AK331</f>
        <v>252.5</v>
      </c>
      <c r="J18" s="1094">
        <v>257.39999999999998</v>
      </c>
      <c r="K18" s="1094">
        <v>268.8</v>
      </c>
      <c r="L18" s="621">
        <f t="shared" ref="L18:R18" si="10">K18+L19</f>
        <v>266.8</v>
      </c>
      <c r="M18" s="621">
        <f t="shared" si="10"/>
        <v>264.8</v>
      </c>
      <c r="N18" s="621">
        <f t="shared" si="10"/>
        <v>262.8</v>
      </c>
      <c r="O18" s="621">
        <f t="shared" si="10"/>
        <v>260.8</v>
      </c>
      <c r="P18" s="621">
        <f t="shared" si="10"/>
        <v>258.8</v>
      </c>
      <c r="Q18" s="621">
        <f t="shared" si="10"/>
        <v>256.8</v>
      </c>
      <c r="R18" s="621">
        <f t="shared" si="10"/>
        <v>254.8</v>
      </c>
    </row>
    <row r="19" spans="2:21" ht="15.75">
      <c r="B19" s="50"/>
      <c r="C19" s="50"/>
      <c r="D19" s="622">
        <f t="shared" ref="D19:K19" si="11">D18-C18</f>
        <v>14.800000000000011</v>
      </c>
      <c r="E19" s="622">
        <f t="shared" si="11"/>
        <v>-15.5</v>
      </c>
      <c r="F19" s="622">
        <f t="shared" si="11"/>
        <v>4.1999999999999886</v>
      </c>
      <c r="G19" s="622">
        <f t="shared" si="11"/>
        <v>12.5</v>
      </c>
      <c r="H19" s="622">
        <f t="shared" si="11"/>
        <v>26.099999999999994</v>
      </c>
      <c r="I19" s="622">
        <f t="shared" si="11"/>
        <v>16.400000000000006</v>
      </c>
      <c r="J19" s="622">
        <f t="shared" si="11"/>
        <v>4.8999999999999773</v>
      </c>
      <c r="K19" s="622">
        <f t="shared" si="11"/>
        <v>11.400000000000034</v>
      </c>
      <c r="L19" s="932">
        <v>-2</v>
      </c>
      <c r="M19" s="932">
        <v>-2</v>
      </c>
      <c r="N19" s="932">
        <v>-2</v>
      </c>
      <c r="O19" s="932">
        <v>-2</v>
      </c>
      <c r="P19" s="932">
        <v>-2</v>
      </c>
      <c r="Q19" s="932">
        <v>-2</v>
      </c>
      <c r="R19" s="932">
        <v>-2</v>
      </c>
    </row>
    <row r="20" spans="2:21" ht="15.75">
      <c r="B20" s="53" t="s">
        <v>4052</v>
      </c>
      <c r="C20" s="53"/>
      <c r="D20" s="639">
        <f>D14+D16+D18</f>
        <v>799.09999999999991</v>
      </c>
      <c r="E20" s="639">
        <f>E14+E16+E18</f>
        <v>738.5</v>
      </c>
      <c r="F20" s="639">
        <f>F14+F16+F18</f>
        <v>738.6</v>
      </c>
      <c r="G20" s="639">
        <f t="shared" ref="G20:R20" si="12">G14+G16+G18</f>
        <v>786</v>
      </c>
      <c r="H20" s="639">
        <f t="shared" si="12"/>
        <v>905.6</v>
      </c>
      <c r="I20" s="639">
        <f t="shared" si="12"/>
        <v>977.09999999999991</v>
      </c>
      <c r="J20" s="639">
        <f t="shared" si="12"/>
        <v>1024.1999999999998</v>
      </c>
      <c r="K20" s="639">
        <f t="shared" si="12"/>
        <v>1053</v>
      </c>
      <c r="L20" s="639">
        <f t="shared" si="12"/>
        <v>1062</v>
      </c>
      <c r="M20" s="639">
        <f t="shared" si="12"/>
        <v>1066</v>
      </c>
      <c r="N20" s="639">
        <f t="shared" si="12"/>
        <v>1065</v>
      </c>
      <c r="O20" s="639">
        <f t="shared" si="12"/>
        <v>1064</v>
      </c>
      <c r="P20" s="639">
        <f t="shared" si="12"/>
        <v>1063</v>
      </c>
      <c r="Q20" s="639">
        <f t="shared" si="12"/>
        <v>1062</v>
      </c>
      <c r="R20" s="639">
        <f t="shared" si="12"/>
        <v>1061</v>
      </c>
    </row>
    <row r="21" spans="2:21" ht="15.75">
      <c r="B21" s="53"/>
      <c r="C21" s="53"/>
      <c r="D21" s="621"/>
      <c r="E21" s="621">
        <f>E20-D20</f>
        <v>-60.599999999999909</v>
      </c>
      <c r="F21" s="621">
        <f>F20-E20</f>
        <v>0.10000000000002274</v>
      </c>
      <c r="G21" s="621">
        <f t="shared" ref="G21:R21" si="13">G20-F20</f>
        <v>47.399999999999977</v>
      </c>
      <c r="H21" s="621">
        <f t="shared" si="13"/>
        <v>119.60000000000002</v>
      </c>
      <c r="I21" s="621">
        <f t="shared" si="13"/>
        <v>71.499999999999886</v>
      </c>
      <c r="J21" s="621">
        <f t="shared" si="13"/>
        <v>47.099999999999909</v>
      </c>
      <c r="K21" s="621">
        <f t="shared" si="13"/>
        <v>28.800000000000182</v>
      </c>
      <c r="L21" s="621">
        <f t="shared" si="13"/>
        <v>9</v>
      </c>
      <c r="M21" s="621">
        <f t="shared" si="13"/>
        <v>4</v>
      </c>
      <c r="N21" s="621">
        <f t="shared" si="13"/>
        <v>-1</v>
      </c>
      <c r="O21" s="621">
        <f t="shared" si="13"/>
        <v>-1</v>
      </c>
      <c r="P21" s="621">
        <f t="shared" si="13"/>
        <v>-1</v>
      </c>
      <c r="Q21" s="621">
        <f t="shared" si="13"/>
        <v>-1</v>
      </c>
      <c r="R21" s="621">
        <f t="shared" si="13"/>
        <v>-1</v>
      </c>
    </row>
    <row r="22" spans="2:21" ht="15.75">
      <c r="B22" s="53"/>
      <c r="C22" s="53"/>
      <c r="D22" s="53"/>
      <c r="E22" s="621"/>
      <c r="F22" s="621"/>
      <c r="G22" s="53"/>
      <c r="H22" s="53"/>
      <c r="I22" s="53"/>
      <c r="J22" s="53"/>
      <c r="K22" s="53"/>
      <c r="L22" s="53"/>
      <c r="M22" s="53"/>
      <c r="N22" s="53"/>
      <c r="O22" s="53"/>
      <c r="P22" s="53"/>
      <c r="Q22" s="53"/>
      <c r="R22" s="53"/>
    </row>
    <row r="23" spans="2:21" ht="15.75">
      <c r="B23" s="58" t="s">
        <v>4045</v>
      </c>
      <c r="C23" s="53"/>
      <c r="F23" s="53"/>
      <c r="G23" s="53"/>
      <c r="H23" s="53"/>
      <c r="I23" s="53"/>
      <c r="J23" s="53"/>
      <c r="K23" s="53"/>
      <c r="L23" s="53"/>
      <c r="M23" s="53"/>
      <c r="N23" s="53"/>
      <c r="O23" s="53"/>
      <c r="P23" s="53"/>
      <c r="Q23" s="53"/>
      <c r="R23" s="53"/>
    </row>
    <row r="24" spans="2:21" ht="15.75">
      <c r="B24" s="53" t="s">
        <v>1568</v>
      </c>
      <c r="C24" s="53"/>
      <c r="D24" s="702">
        <f>SUM('LiLAC valuation'!N354:Q354)</f>
        <v>172.90000000000003</v>
      </c>
      <c r="E24" s="702">
        <f>SUM('LiLAC valuation'!R354:U354)</f>
        <v>124.5</v>
      </c>
      <c r="F24" s="702">
        <f>SUM('LiLAC valuation'!V354:Y354)</f>
        <v>118.90000000000002</v>
      </c>
      <c r="G24" s="702">
        <f>SUM('LiLAC valuation'!Z354:AC354)</f>
        <v>140.9</v>
      </c>
      <c r="H24" s="702">
        <v>147.19999999999999</v>
      </c>
      <c r="I24" s="621">
        <f t="shared" ref="I24:R24" si="14">I26*12*AVERAGE(H14,I14)/1000</f>
        <v>156.37875065616794</v>
      </c>
      <c r="J24" s="621">
        <f t="shared" si="14"/>
        <v>160.43861487314081</v>
      </c>
      <c r="K24" s="621">
        <f t="shared" si="14"/>
        <v>159.19024808678913</v>
      </c>
      <c r="L24" s="621">
        <f t="shared" si="14"/>
        <v>157.63118543622045</v>
      </c>
      <c r="M24" s="621">
        <f t="shared" si="14"/>
        <v>158.29461635135607</v>
      </c>
      <c r="N24" s="621">
        <f t="shared" si="14"/>
        <v>158.95804726649166</v>
      </c>
      <c r="O24" s="621">
        <f t="shared" si="14"/>
        <v>159.62147818162725</v>
      </c>
      <c r="P24" s="621">
        <f t="shared" si="14"/>
        <v>160.28490909676287</v>
      </c>
      <c r="Q24" s="621">
        <f t="shared" si="14"/>
        <v>160.94834001189849</v>
      </c>
      <c r="R24" s="621">
        <f t="shared" si="14"/>
        <v>161.61177092703409</v>
      </c>
    </row>
    <row r="25" spans="2:21" ht="15.75">
      <c r="B25" s="53" t="s">
        <v>78</v>
      </c>
      <c r="C25" s="53"/>
      <c r="D25" s="621"/>
      <c r="E25" s="56">
        <f>E24/D24-1</f>
        <v>-0.27993059572006951</v>
      </c>
      <c r="F25" s="56">
        <f>F24/E24-1</f>
        <v>-4.497991967871473E-2</v>
      </c>
      <c r="G25" s="56">
        <f>G24/F24-1</f>
        <v>0.18502943650126147</v>
      </c>
      <c r="H25" s="56">
        <f>H24/G24-1</f>
        <v>4.4712562100780673E-2</v>
      </c>
      <c r="I25" s="56">
        <f t="shared" ref="I25:R25" si="15">I24/H24-1</f>
        <v>6.2355643044619269E-2</v>
      </c>
      <c r="J25" s="56">
        <f t="shared" si="15"/>
        <v>2.5961738407153101E-2</v>
      </c>
      <c r="K25" s="56">
        <f t="shared" si="15"/>
        <v>-7.7809621289660624E-3</v>
      </c>
      <c r="L25" s="56">
        <f t="shared" si="15"/>
        <v>-9.7937070222963163E-3</v>
      </c>
      <c r="M25" s="56">
        <f t="shared" si="15"/>
        <v>4.2087542087543284E-3</v>
      </c>
      <c r="N25" s="56">
        <f t="shared" si="15"/>
        <v>4.191114836546328E-3</v>
      </c>
      <c r="O25" s="56">
        <f t="shared" si="15"/>
        <v>4.1736227045074958E-3</v>
      </c>
      <c r="P25" s="56">
        <f t="shared" si="15"/>
        <v>4.1562759767248547E-3</v>
      </c>
      <c r="Q25" s="56">
        <f t="shared" si="15"/>
        <v>4.1390728476822236E-3</v>
      </c>
      <c r="R25" s="56">
        <f t="shared" si="15"/>
        <v>4.1220115416322756E-3</v>
      </c>
    </row>
    <row r="26" spans="2:21" ht="15.75">
      <c r="B26" s="53" t="s">
        <v>4044</v>
      </c>
      <c r="C26" s="53"/>
      <c r="D26" s="621">
        <f>D24/AVERAGE(C14,D14)/12*1000</f>
        <v>54.867986798679873</v>
      </c>
      <c r="E26" s="621">
        <f>E24/AVERAGE(D14,E14)/12*1000</f>
        <v>42.055127685447921</v>
      </c>
      <c r="F26" s="621">
        <f>F24/AVERAGE(E14,F14)/12*1000</f>
        <v>44.115464529533995</v>
      </c>
      <c r="G26" s="621">
        <f>G24/AVERAGE(F14,G14)/12*1000</f>
        <v>53.480604266302279</v>
      </c>
      <c r="H26" s="621">
        <f>H24/AVERAGE(G14,H14)/12*1000</f>
        <v>53.65995917177019</v>
      </c>
      <c r="I26" s="621">
        <f>(1+I27)*H26</f>
        <v>54.196558763487893</v>
      </c>
      <c r="J26" s="621">
        <f t="shared" ref="J26:R26" si="16">(1+J27)*I26</f>
        <v>54.73852435112277</v>
      </c>
      <c r="K26" s="621">
        <f t="shared" si="16"/>
        <v>55.285909594633999</v>
      </c>
      <c r="L26" s="621">
        <f t="shared" si="16"/>
        <v>55.285909594633999</v>
      </c>
      <c r="M26" s="621">
        <f t="shared" si="16"/>
        <v>55.285909594633999</v>
      </c>
      <c r="N26" s="621">
        <f t="shared" si="16"/>
        <v>55.285909594633999</v>
      </c>
      <c r="O26" s="621">
        <f t="shared" si="16"/>
        <v>55.285909594633999</v>
      </c>
      <c r="P26" s="621">
        <f t="shared" si="16"/>
        <v>55.285909594633999</v>
      </c>
      <c r="Q26" s="621">
        <f t="shared" si="16"/>
        <v>55.285909594633999</v>
      </c>
      <c r="R26" s="621">
        <f t="shared" si="16"/>
        <v>55.285909594633999</v>
      </c>
    </row>
    <row r="27" spans="2:21" ht="15.75">
      <c r="B27" s="53" t="s">
        <v>78</v>
      </c>
      <c r="C27" s="53"/>
      <c r="D27" s="621"/>
      <c r="E27" s="54">
        <f>E26/D26-1</f>
        <v>-0.23352158263514466</v>
      </c>
      <c r="F27" s="54">
        <f>F26/E26-1</f>
        <v>4.8991334885400972E-2</v>
      </c>
      <c r="G27" s="54">
        <f>G26/F26-1</f>
        <v>0.21228700267904022</v>
      </c>
      <c r="H27" s="54">
        <f>H26/G26-1</f>
        <v>3.3536439598704781E-3</v>
      </c>
      <c r="I27" s="784">
        <v>0.01</v>
      </c>
      <c r="J27" s="784">
        <v>0.01</v>
      </c>
      <c r="K27" s="784">
        <v>0.01</v>
      </c>
      <c r="L27" s="784">
        <v>0</v>
      </c>
      <c r="M27" s="784">
        <v>0</v>
      </c>
      <c r="N27" s="784">
        <v>0</v>
      </c>
      <c r="O27" s="784">
        <v>0</v>
      </c>
      <c r="P27" s="784">
        <v>0</v>
      </c>
      <c r="Q27" s="784">
        <v>0</v>
      </c>
      <c r="R27" s="784">
        <v>0</v>
      </c>
    </row>
    <row r="28" spans="2:21" ht="15.75">
      <c r="B28" s="53"/>
      <c r="C28" s="53"/>
      <c r="D28" s="53"/>
      <c r="F28" s="53"/>
      <c r="G28" s="53"/>
      <c r="H28" s="53"/>
      <c r="I28" s="53"/>
      <c r="J28" s="53"/>
      <c r="K28" s="53"/>
      <c r="L28" s="53"/>
      <c r="M28" s="53"/>
      <c r="N28" s="53"/>
      <c r="O28" s="53"/>
      <c r="P28" s="53"/>
      <c r="Q28" s="53"/>
      <c r="R28" s="53"/>
    </row>
    <row r="29" spans="2:21" ht="15.75">
      <c r="B29" s="53" t="s">
        <v>564</v>
      </c>
      <c r="C29" s="53"/>
      <c r="D29" s="702">
        <f>SUM('LiLAC valuation'!N355:Q355)</f>
        <v>152.30000000000001</v>
      </c>
      <c r="E29" s="702">
        <f>SUM('LiLAC valuation'!R355:U355)</f>
        <v>119.9</v>
      </c>
      <c r="F29" s="702">
        <f>SUM('LiLAC valuation'!V355:Y355)</f>
        <v>132.5</v>
      </c>
      <c r="G29" s="702">
        <f>SUM('LiLAC valuation'!Z355:AC355)</f>
        <v>175</v>
      </c>
      <c r="H29" s="702">
        <v>204.7</v>
      </c>
      <c r="I29" s="621">
        <f t="shared" ref="I29:R29" si="17">I31*12*AVERAGE(H16,I16)/1000</f>
        <v>251.36110922237734</v>
      </c>
      <c r="J29" s="621">
        <f t="shared" si="17"/>
        <v>267.769770856273</v>
      </c>
      <c r="K29" s="621">
        <f t="shared" si="17"/>
        <v>288.83865149047324</v>
      </c>
      <c r="L29" s="621">
        <f t="shared" si="17"/>
        <v>300.74222328964464</v>
      </c>
      <c r="M29" s="621">
        <f t="shared" si="17"/>
        <v>307.87593123422215</v>
      </c>
      <c r="N29" s="621">
        <f t="shared" si="17"/>
        <v>312.34387340283024</v>
      </c>
      <c r="O29" s="621">
        <f t="shared" si="17"/>
        <v>315.46731213685854</v>
      </c>
      <c r="P29" s="621">
        <f t="shared" si="17"/>
        <v>318.62198525822708</v>
      </c>
      <c r="Q29" s="621">
        <f t="shared" si="17"/>
        <v>321.80820511080935</v>
      </c>
      <c r="R29" s="621">
        <f t="shared" si="17"/>
        <v>325.02628716191748</v>
      </c>
    </row>
    <row r="30" spans="2:21" ht="15.75">
      <c r="B30" s="53" t="s">
        <v>78</v>
      </c>
      <c r="C30" s="53"/>
      <c r="D30" s="621"/>
      <c r="E30" s="56">
        <f>E29/D29-1</f>
        <v>-0.21273801707156925</v>
      </c>
      <c r="F30" s="56">
        <f>F29/E29-1</f>
        <v>0.10508757297748117</v>
      </c>
      <c r="G30" s="56">
        <f>G29/F29-1</f>
        <v>0.320754716981132</v>
      </c>
      <c r="H30" s="56">
        <f>H29/G29-1</f>
        <v>0.16971428571428571</v>
      </c>
      <c r="I30" s="56">
        <f t="shared" ref="I30:R30" si="18">I29/H29-1</f>
        <v>0.22794875047570762</v>
      </c>
      <c r="J30" s="56">
        <f t="shared" si="18"/>
        <v>6.5279237844940496E-2</v>
      </c>
      <c r="K30" s="56">
        <f t="shared" si="18"/>
        <v>7.8682819822514904E-2</v>
      </c>
      <c r="L30" s="56">
        <f t="shared" si="18"/>
        <v>4.1211838297077863E-2</v>
      </c>
      <c r="M30" s="56">
        <f t="shared" si="18"/>
        <v>2.3720340518022409E-2</v>
      </c>
      <c r="N30" s="56">
        <f t="shared" si="18"/>
        <v>1.4512151536811846E-2</v>
      </c>
      <c r="O30" s="56">
        <f t="shared" si="18"/>
        <v>1.0000000000000009E-2</v>
      </c>
      <c r="P30" s="56">
        <f t="shared" si="18"/>
        <v>9.9999999999997868E-3</v>
      </c>
      <c r="Q30" s="56">
        <f t="shared" si="18"/>
        <v>1.0000000000000009E-2</v>
      </c>
      <c r="R30" s="56">
        <f t="shared" si="18"/>
        <v>1.0000000000000009E-2</v>
      </c>
    </row>
    <row r="31" spans="2:21" ht="15.75">
      <c r="B31" s="53" t="s">
        <v>365</v>
      </c>
      <c r="C31" s="53"/>
      <c r="D31" s="621">
        <f>D29/AVERAGE(C16,D16)/12*1000</f>
        <v>39.171810699588477</v>
      </c>
      <c r="E31" s="621">
        <f>E29/AVERAGE(D16,E16)/12*1000</f>
        <v>31.12183979650106</v>
      </c>
      <c r="F31" s="621">
        <f>F29/AVERAGE(E16,F16)/12*1000</f>
        <v>34.662271752210536</v>
      </c>
      <c r="G31" s="621">
        <f>G29/AVERAGE(F16,G16)/12*1000</f>
        <v>43.018682399213368</v>
      </c>
      <c r="H31" s="621">
        <f>H29/AVERAGE(G16,H16)/12*1000</f>
        <v>43.278785572328644</v>
      </c>
      <c r="I31" s="621">
        <f>(1+I32)*H31</f>
        <v>45.875512706668367</v>
      </c>
      <c r="J31" s="621">
        <f t="shared" ref="J31:R31" si="19">(1+J32)*I31</f>
        <v>44.499247325468318</v>
      </c>
      <c r="K31" s="621">
        <f t="shared" si="19"/>
        <v>44.944239798723004</v>
      </c>
      <c r="L31" s="621">
        <f t="shared" si="19"/>
        <v>45.393682196710238</v>
      </c>
      <c r="M31" s="621">
        <f t="shared" si="19"/>
        <v>45.847619018677342</v>
      </c>
      <c r="N31" s="621">
        <f t="shared" si="19"/>
        <v>46.306095208864114</v>
      </c>
      <c r="O31" s="621">
        <f t="shared" si="19"/>
        <v>46.769156160952754</v>
      </c>
      <c r="P31" s="621">
        <f t="shared" si="19"/>
        <v>47.236847722562281</v>
      </c>
      <c r="Q31" s="621">
        <f t="shared" si="19"/>
        <v>47.709216199787903</v>
      </c>
      <c r="R31" s="621">
        <f t="shared" si="19"/>
        <v>48.186308361785784</v>
      </c>
    </row>
    <row r="32" spans="2:21" ht="15.75">
      <c r="B32" s="53" t="s">
        <v>78</v>
      </c>
      <c r="C32" s="53"/>
      <c r="D32" s="53"/>
      <c r="E32" s="54">
        <f>E31/D31-1</f>
        <v>-0.20550418168879758</v>
      </c>
      <c r="F32" s="54">
        <f>F31/E31-1</f>
        <v>0.11376036824492353</v>
      </c>
      <c r="G32" s="54">
        <f>G31/F31-1</f>
        <v>0.24108087048477755</v>
      </c>
      <c r="H32" s="54">
        <f>H31/G31-1</f>
        <v>6.046284047045436E-3</v>
      </c>
      <c r="I32" s="784">
        <v>0.06</v>
      </c>
      <c r="J32" s="784">
        <v>-0.03</v>
      </c>
      <c r="K32" s="784">
        <v>0.01</v>
      </c>
      <c r="L32" s="784">
        <v>0.01</v>
      </c>
      <c r="M32" s="784">
        <v>0.01</v>
      </c>
      <c r="N32" s="784">
        <v>0.01</v>
      </c>
      <c r="O32" s="784">
        <v>0.01</v>
      </c>
      <c r="P32" s="784">
        <v>0.01</v>
      </c>
      <c r="Q32" s="784">
        <v>0.01</v>
      </c>
      <c r="R32" s="784">
        <v>0.01</v>
      </c>
    </row>
    <row r="33" spans="2:18" ht="15.75">
      <c r="B33" s="53"/>
      <c r="C33" s="53"/>
      <c r="D33" s="53"/>
      <c r="E33" s="54"/>
      <c r="F33" s="53"/>
      <c r="G33" s="53"/>
      <c r="H33" s="53"/>
      <c r="I33" s="53"/>
      <c r="J33" s="53"/>
      <c r="K33" s="53"/>
      <c r="L33" s="53"/>
      <c r="M33" s="53"/>
      <c r="N33" s="53"/>
      <c r="O33" s="53"/>
      <c r="P33" s="53"/>
      <c r="Q33" s="53"/>
      <c r="R33" s="53"/>
    </row>
    <row r="34" spans="2:18" ht="15.75">
      <c r="B34" s="53" t="s">
        <v>565</v>
      </c>
      <c r="C34" s="53"/>
      <c r="D34" s="702">
        <f>SUM('LiLAC valuation'!N356:Q356)</f>
        <v>25.6</v>
      </c>
      <c r="E34" s="702">
        <f>SUM('LiLAC valuation'!R356:U356)</f>
        <v>17.5</v>
      </c>
      <c r="F34" s="702">
        <f>SUM('LiLAC valuation'!V356:Y356)</f>
        <v>18.600000000000001</v>
      </c>
      <c r="G34" s="702">
        <f>SUM('LiLAC valuation'!Z356:AC356)</f>
        <v>23.4</v>
      </c>
      <c r="H34" s="702">
        <v>25.5</v>
      </c>
      <c r="I34" s="621">
        <f t="shared" ref="I34:R34" si="20">I36*12*AVERAGE(H18,I18)/1000</f>
        <v>28.20868190988568</v>
      </c>
      <c r="J34" s="621">
        <f t="shared" si="20"/>
        <v>28.555257262945531</v>
      </c>
      <c r="K34" s="621">
        <f t="shared" si="20"/>
        <v>29.468084667115004</v>
      </c>
      <c r="L34" s="621">
        <f t="shared" si="20"/>
        <v>29.994500470746477</v>
      </c>
      <c r="M34" s="621">
        <f t="shared" si="20"/>
        <v>29.770493745796912</v>
      </c>
      <c r="N34" s="621">
        <f t="shared" si="20"/>
        <v>29.546487020847348</v>
      </c>
      <c r="O34" s="621">
        <f t="shared" si="20"/>
        <v>29.322480295897787</v>
      </c>
      <c r="P34" s="621">
        <f t="shared" si="20"/>
        <v>29.098473570948222</v>
      </c>
      <c r="Q34" s="621">
        <f t="shared" si="20"/>
        <v>28.874466845998661</v>
      </c>
      <c r="R34" s="621">
        <f t="shared" si="20"/>
        <v>28.650460121049097</v>
      </c>
    </row>
    <row r="35" spans="2:18" ht="15.75">
      <c r="B35" s="53" t="s">
        <v>78</v>
      </c>
      <c r="C35" s="53"/>
      <c r="D35" s="621"/>
      <c r="E35" s="56">
        <f>E34/D34-1</f>
        <v>-0.31640625</v>
      </c>
      <c r="F35" s="56">
        <f>F34/E34-1</f>
        <v>6.2857142857142945E-2</v>
      </c>
      <c r="G35" s="56">
        <f>G34/F34-1</f>
        <v>0.25806451612903203</v>
      </c>
      <c r="H35" s="56">
        <f>H34/G34-1</f>
        <v>8.9743589743589869E-2</v>
      </c>
      <c r="I35" s="56">
        <f t="shared" ref="I35:R35" si="21">I34/H34-1</f>
        <v>0.10622281999551686</v>
      </c>
      <c r="J35" s="56">
        <f t="shared" si="21"/>
        <v>1.2286123618501898E-2</v>
      </c>
      <c r="K35" s="56">
        <f t="shared" si="21"/>
        <v>3.1967052363208515E-2</v>
      </c>
      <c r="L35" s="56">
        <f t="shared" si="21"/>
        <v>1.7863930064614175E-2</v>
      </c>
      <c r="M35" s="56">
        <f t="shared" si="21"/>
        <v>-7.4682598954444179E-3</v>
      </c>
      <c r="N35" s="56">
        <f t="shared" si="21"/>
        <v>-7.5244544770504129E-3</v>
      </c>
      <c r="O35" s="56">
        <f t="shared" si="21"/>
        <v>-7.5815011372251107E-3</v>
      </c>
      <c r="P35" s="56">
        <f t="shared" si="21"/>
        <v>-7.6394194041253805E-3</v>
      </c>
      <c r="Q35" s="56">
        <f t="shared" si="21"/>
        <v>-7.6982294072363011E-3</v>
      </c>
      <c r="R35" s="56">
        <f t="shared" si="21"/>
        <v>-7.7579519006982789E-3</v>
      </c>
    </row>
    <row r="36" spans="2:18" ht="15.75">
      <c r="B36" s="53" t="s">
        <v>4046</v>
      </c>
      <c r="C36" s="53"/>
      <c r="D36" s="621">
        <f>D34/AVERAGE(C18,D18)/12*1000</f>
        <v>10.592519033432639</v>
      </c>
      <c r="E36" s="621">
        <f>E34/AVERAGE(D18,E18)/12*1000</f>
        <v>7.2535853436127002</v>
      </c>
      <c r="F36" s="621">
        <f>F34/AVERAGE(E18,F18)/12*1000</f>
        <v>7.9324462640736941</v>
      </c>
      <c r="G36" s="621">
        <f>G34/AVERAGE(F18,G18)/12*1000</f>
        <v>9.5705521472392636</v>
      </c>
      <c r="H36" s="621">
        <f>H34/AVERAGE(G18,H18)/12*1000</f>
        <v>9.5270118807442277</v>
      </c>
      <c r="I36" s="621">
        <f>(1+I37)*H36</f>
        <v>9.6222819995516709</v>
      </c>
      <c r="J36" s="621">
        <f t="shared" ref="J36:R36" si="22">(1+J37)*I36</f>
        <v>9.3336135395651212</v>
      </c>
      <c r="K36" s="621">
        <f t="shared" si="22"/>
        <v>9.3336135395651212</v>
      </c>
      <c r="L36" s="621">
        <f t="shared" si="22"/>
        <v>9.3336135395651212</v>
      </c>
      <c r="M36" s="621">
        <f t="shared" si="22"/>
        <v>9.3336135395651212</v>
      </c>
      <c r="N36" s="621">
        <f t="shared" si="22"/>
        <v>9.3336135395651212</v>
      </c>
      <c r="O36" s="621">
        <f t="shared" si="22"/>
        <v>9.3336135395651212</v>
      </c>
      <c r="P36" s="621">
        <f t="shared" si="22"/>
        <v>9.3336135395651212</v>
      </c>
      <c r="Q36" s="621">
        <f t="shared" si="22"/>
        <v>9.3336135395651212</v>
      </c>
      <c r="R36" s="621">
        <f t="shared" si="22"/>
        <v>9.3336135395651212</v>
      </c>
    </row>
    <row r="37" spans="2:18" ht="15.75">
      <c r="B37" s="53" t="s">
        <v>78</v>
      </c>
      <c r="C37" s="53"/>
      <c r="D37" s="53"/>
      <c r="E37" s="54">
        <f>E36/D36-1</f>
        <v>-0.31521620865456357</v>
      </c>
      <c r="F37" s="54">
        <f>F36/E36-1</f>
        <v>9.3589706097382486E-2</v>
      </c>
      <c r="G37" s="54">
        <f>G36/F36-1</f>
        <v>0.2065070255293886</v>
      </c>
      <c r="H37" s="54">
        <f>H36/G36-1</f>
        <v>-4.5493996401864134E-3</v>
      </c>
      <c r="I37" s="784">
        <v>0.01</v>
      </c>
      <c r="J37" s="784">
        <v>-0.03</v>
      </c>
      <c r="K37" s="784">
        <v>0</v>
      </c>
      <c r="L37" s="784">
        <v>0</v>
      </c>
      <c r="M37" s="784">
        <v>0</v>
      </c>
      <c r="N37" s="784">
        <v>0</v>
      </c>
      <c r="O37" s="784">
        <v>0</v>
      </c>
      <c r="P37" s="784">
        <v>0</v>
      </c>
      <c r="Q37" s="784">
        <v>0</v>
      </c>
      <c r="R37" s="784">
        <v>0</v>
      </c>
    </row>
    <row r="38" spans="2:18" ht="15.75">
      <c r="B38" s="53"/>
      <c r="C38" s="53"/>
      <c r="D38" s="53"/>
      <c r="E38" s="54"/>
      <c r="F38" s="53"/>
      <c r="G38" s="53"/>
      <c r="H38" s="53"/>
      <c r="I38" s="53"/>
      <c r="J38" s="53"/>
      <c r="K38" s="53"/>
      <c r="L38" s="53"/>
      <c r="M38" s="53"/>
      <c r="N38" s="53"/>
      <c r="O38" s="53"/>
      <c r="P38" s="53"/>
      <c r="Q38" s="53"/>
      <c r="R38" s="53"/>
    </row>
    <row r="39" spans="2:18" ht="15.75">
      <c r="B39" s="53" t="s">
        <v>6724</v>
      </c>
      <c r="C39" s="53"/>
      <c r="D39" s="621">
        <f t="shared" ref="D39:I39" si="23">D42-D24-D29-D34</f>
        <v>69.999999999999972</v>
      </c>
      <c r="E39" s="621">
        <f t="shared" si="23"/>
        <v>58.599999999999994</v>
      </c>
      <c r="F39" s="621">
        <f t="shared" si="23"/>
        <v>54.599999999999987</v>
      </c>
      <c r="G39" s="621">
        <f t="shared" si="23"/>
        <v>70.999999999999972</v>
      </c>
      <c r="H39" s="621">
        <f t="shared" si="23"/>
        <v>73.600000000000023</v>
      </c>
      <c r="I39" s="621">
        <f t="shared" si="23"/>
        <v>284.75145821156906</v>
      </c>
      <c r="J39" s="621">
        <f t="shared" ref="J39:K39" si="24">J42-J24-J29-J34</f>
        <v>296.93635700764077</v>
      </c>
      <c r="K39" s="621">
        <f t="shared" si="24"/>
        <v>296.30301575562271</v>
      </c>
      <c r="L39" s="621">
        <f t="shared" ref="L39:R39" si="25">(1+L40)*K39</f>
        <v>311.11816654340385</v>
      </c>
      <c r="M39" s="621">
        <f t="shared" si="25"/>
        <v>326.67407487057403</v>
      </c>
      <c r="N39" s="621">
        <f t="shared" si="25"/>
        <v>343.00777861410273</v>
      </c>
      <c r="O39" s="621">
        <f t="shared" si="25"/>
        <v>360.1581675448079</v>
      </c>
      <c r="P39" s="621">
        <f t="shared" si="25"/>
        <v>378.16607592204832</v>
      </c>
      <c r="Q39" s="621">
        <f t="shared" si="25"/>
        <v>397.07437971815074</v>
      </c>
      <c r="R39" s="621">
        <f t="shared" si="25"/>
        <v>416.9280987040583</v>
      </c>
    </row>
    <row r="40" spans="2:18" ht="15.75">
      <c r="B40" s="53" t="s">
        <v>78</v>
      </c>
      <c r="C40" s="53"/>
      <c r="D40" s="53"/>
      <c r="E40" s="54">
        <f t="shared" ref="E40:K40" si="26">E39/D39-1</f>
        <v>-0.16285714285714259</v>
      </c>
      <c r="F40" s="54">
        <f t="shared" si="26"/>
        <v>-6.8259385665529138E-2</v>
      </c>
      <c r="G40" s="54">
        <f t="shared" si="26"/>
        <v>0.30036630036630019</v>
      </c>
      <c r="H40" s="54">
        <f t="shared" si="26"/>
        <v>3.6619718309859994E-2</v>
      </c>
      <c r="I40" s="54">
        <f t="shared" si="26"/>
        <v>2.8689056822224046</v>
      </c>
      <c r="J40" s="54">
        <f t="shared" si="26"/>
        <v>4.2791348190457379E-2</v>
      </c>
      <c r="K40" s="54">
        <f t="shared" si="26"/>
        <v>-2.1329191830886662E-3</v>
      </c>
      <c r="L40" s="784">
        <v>0.05</v>
      </c>
      <c r="M40" s="784">
        <v>0.05</v>
      </c>
      <c r="N40" s="784">
        <v>0.05</v>
      </c>
      <c r="O40" s="784">
        <v>0.05</v>
      </c>
      <c r="P40" s="784">
        <v>0.05</v>
      </c>
      <c r="Q40" s="784">
        <v>0.05</v>
      </c>
      <c r="R40" s="784">
        <v>0.05</v>
      </c>
    </row>
    <row r="41" spans="2:18" ht="15.75">
      <c r="B41" s="53"/>
      <c r="C41" s="53"/>
      <c r="D41" s="53"/>
      <c r="E41" s="53"/>
      <c r="F41" s="53"/>
      <c r="G41" s="53"/>
      <c r="H41" s="53"/>
      <c r="I41" s="53"/>
      <c r="J41" s="53"/>
      <c r="K41" s="53"/>
      <c r="L41" s="53"/>
      <c r="M41" s="53"/>
      <c r="N41" s="53"/>
      <c r="O41" s="53"/>
      <c r="P41" s="53"/>
      <c r="Q41" s="53"/>
      <c r="R41" s="53"/>
    </row>
    <row r="42" spans="2:18" ht="15.75">
      <c r="B42" s="700" t="s">
        <v>4053</v>
      </c>
      <c r="C42" s="700"/>
      <c r="D42" s="935">
        <f>SUM('LiLAC valuation'!N367:Q367)</f>
        <v>420.8</v>
      </c>
      <c r="E42" s="935">
        <f>SUM('LiLAC valuation'!R367:U367)</f>
        <v>320.5</v>
      </c>
      <c r="F42" s="935">
        <f>335.6-11</f>
        <v>324.60000000000002</v>
      </c>
      <c r="G42" s="935">
        <v>410.3</v>
      </c>
      <c r="H42" s="935">
        <v>451</v>
      </c>
      <c r="I42" s="935">
        <f>'New quarts'!AH56+'New quarts'!AI56+'New quarts'!AJ56+'New quarts'!AK56</f>
        <v>720.7</v>
      </c>
      <c r="J42" s="935">
        <f>'New quarts'!AM56+'New quarts'!AN56+'New quarts'!AO56+'New quarts'!AP56</f>
        <v>753.7</v>
      </c>
      <c r="K42" s="935">
        <f>'New quarts'!AR56+'New quarts'!AS56+'New quarts'!AT56+'New quarts'!AU56</f>
        <v>773.80000000000007</v>
      </c>
      <c r="L42" s="754">
        <f t="shared" ref="L42:R42" si="27">L24+L29+L34+L39</f>
        <v>799.48607574001539</v>
      </c>
      <c r="M42" s="754">
        <f t="shared" si="27"/>
        <v>822.61511620194915</v>
      </c>
      <c r="N42" s="754">
        <f t="shared" si="27"/>
        <v>843.856186304272</v>
      </c>
      <c r="O42" s="754">
        <f t="shared" si="27"/>
        <v>864.56943815919146</v>
      </c>
      <c r="P42" s="754">
        <f t="shared" si="27"/>
        <v>886.17144384798644</v>
      </c>
      <c r="Q42" s="754">
        <f t="shared" si="27"/>
        <v>908.70539168685718</v>
      </c>
      <c r="R42" s="754">
        <f t="shared" si="27"/>
        <v>932.21661691405893</v>
      </c>
    </row>
    <row r="43" spans="2:18" ht="15.75">
      <c r="B43" s="53" t="s">
        <v>78</v>
      </c>
      <c r="C43" s="53"/>
      <c r="D43" s="53"/>
      <c r="E43" s="56">
        <f>E42/D42-1</f>
        <v>-0.23835551330798477</v>
      </c>
      <c r="F43" s="56">
        <f>F42/E42-1</f>
        <v>1.2792511700468134E-2</v>
      </c>
      <c r="G43" s="56">
        <f t="shared" ref="G43:R43" si="28">G42/F42-1</f>
        <v>0.26401725200246462</v>
      </c>
      <c r="H43" s="56">
        <f t="shared" si="28"/>
        <v>9.9195710455764141E-2</v>
      </c>
      <c r="I43" s="56">
        <f t="shared" si="28"/>
        <v>0.59800443458980057</v>
      </c>
      <c r="J43" s="56">
        <f t="shared" si="28"/>
        <v>4.5788816428472323E-2</v>
      </c>
      <c r="K43" s="56">
        <f t="shared" si="28"/>
        <v>2.6668435717128958E-2</v>
      </c>
      <c r="L43" s="56">
        <f t="shared" si="28"/>
        <v>3.3194721814442163E-2</v>
      </c>
      <c r="M43" s="56">
        <f t="shared" si="28"/>
        <v>2.8929885289778356E-2</v>
      </c>
      <c r="N43" s="56">
        <f t="shared" si="28"/>
        <v>2.5821395308651462E-2</v>
      </c>
      <c r="O43" s="56">
        <f t="shared" si="28"/>
        <v>2.4545950116968029E-2</v>
      </c>
      <c r="P43" s="56">
        <f t="shared" si="28"/>
        <v>2.4985853923762402E-2</v>
      </c>
      <c r="Q43" s="56">
        <f t="shared" si="28"/>
        <v>2.5428429222479121E-2</v>
      </c>
      <c r="R43" s="56">
        <f t="shared" si="28"/>
        <v>2.5873319826525076E-2</v>
      </c>
    </row>
    <row r="44" spans="2:18" ht="15.75">
      <c r="B44" s="53" t="s">
        <v>4533</v>
      </c>
      <c r="C44" s="53"/>
      <c r="D44" s="53"/>
      <c r="E44" s="56"/>
      <c r="F44" s="56"/>
      <c r="G44" s="56"/>
      <c r="H44" s="56"/>
      <c r="I44" s="56">
        <f>(I42+Analysis!F2170)/(H42+Analysis!E2170)-1</f>
        <v>0.21653196622436677</v>
      </c>
      <c r="J44" s="56">
        <f>(J42+Analysis!G2170)/(I42+Analysis!F2170)-1</f>
        <v>3.1518286969325793E-2</v>
      </c>
      <c r="K44" s="56">
        <f>(K42+Analysis!H2170)/(J42+Analysis!G2170)-1</f>
        <v>2.3019586772494272E-2</v>
      </c>
      <c r="L44" s="56">
        <f>(L42+Analysis!I2170)/(K42+Analysis!H2170)-1</f>
        <v>2.5996116260806224E-2</v>
      </c>
      <c r="M44" s="56">
        <f>(M42+Analysis!J2170)/(L42+Analysis!I2170)-1</f>
        <v>2.4086506073621505E-2</v>
      </c>
      <c r="N44" s="56">
        <f>(N42+Analysis!K2170)/(M42+Analysis!J2170)-1</f>
        <v>-0.52834204981866417</v>
      </c>
      <c r="O44" s="56">
        <f>(O42+Analysis!L2170)/(N42+Analysis!K2170)-1</f>
        <v>2.4545950116968029E-2</v>
      </c>
      <c r="P44" s="56">
        <f>(P42+Analysis!M2170)/(O42+Analysis!L2170)-1</f>
        <v>2.4985853923762402E-2</v>
      </c>
      <c r="Q44" s="56">
        <f>(Q42+Analysis!N2170)/(P42+Analysis!M2170)-1</f>
        <v>2.5428429222479121E-2</v>
      </c>
      <c r="R44" s="56">
        <f>(R42+Analysis!O2170)/(Q42+Analysis!N2170)-1</f>
        <v>2.5873319826525076E-2</v>
      </c>
    </row>
    <row r="45" spans="2:18" ht="15.75">
      <c r="B45" s="53"/>
      <c r="C45" s="53"/>
      <c r="D45" s="53"/>
      <c r="E45" s="53"/>
      <c r="F45" s="53"/>
      <c r="G45" s="53"/>
      <c r="H45" s="53"/>
      <c r="I45" s="53"/>
      <c r="J45" s="53"/>
      <c r="K45" s="53"/>
      <c r="L45" s="53"/>
      <c r="M45" s="53"/>
      <c r="N45" s="53"/>
      <c r="O45" s="53"/>
      <c r="P45" s="53"/>
      <c r="Q45" s="53"/>
      <c r="R45" s="53"/>
    </row>
    <row r="46" spans="2:18" ht="15.75">
      <c r="B46" s="53" t="s">
        <v>4024</v>
      </c>
      <c r="C46" s="53"/>
      <c r="D46" s="53"/>
      <c r="E46" s="621">
        <f>E42*1000/12/(AVERAGE(D20,E20))</f>
        <v>34.740287894554285</v>
      </c>
      <c r="F46" s="621">
        <f>F42*1000/12/(AVERAGE(E20,F20))</f>
        <v>36.625820865208858</v>
      </c>
      <c r="G46" s="621">
        <f t="shared" ref="G46:R46" si="29">G42*1000/12/(AVERAGE(F20,G20))</f>
        <v>44.853294853294855</v>
      </c>
      <c r="H46" s="621">
        <f t="shared" si="29"/>
        <v>44.435248679750934</v>
      </c>
      <c r="I46" s="621">
        <f t="shared" si="29"/>
        <v>63.800216001841335</v>
      </c>
      <c r="J46" s="621">
        <f t="shared" si="29"/>
        <v>62.767534435949976</v>
      </c>
      <c r="K46" s="621">
        <f t="shared" si="29"/>
        <v>62.086783490596332</v>
      </c>
      <c r="L46" s="621">
        <f t="shared" si="29"/>
        <v>63.001266803783714</v>
      </c>
      <c r="M46" s="621">
        <f t="shared" si="29"/>
        <v>64.427875642383242</v>
      </c>
      <c r="N46" s="621">
        <f t="shared" si="29"/>
        <v>65.998450360102609</v>
      </c>
      <c r="O46" s="621">
        <f t="shared" si="29"/>
        <v>67.681966350335955</v>
      </c>
      <c r="P46" s="621">
        <f t="shared" si="29"/>
        <v>69.438288971006614</v>
      </c>
      <c r="Q46" s="621">
        <f t="shared" si="29"/>
        <v>71.27101111269468</v>
      </c>
      <c r="R46" s="621">
        <f t="shared" si="29"/>
        <v>73.183907749572839</v>
      </c>
    </row>
    <row r="47" spans="2:18" ht="15.75">
      <c r="B47" s="53"/>
      <c r="C47" s="53"/>
      <c r="D47" s="53"/>
      <c r="E47" s="53"/>
      <c r="F47" s="54">
        <f>F46/E46-1</f>
        <v>5.4275110683528416E-2</v>
      </c>
      <c r="G47" s="54">
        <f t="shared" ref="G47:R47" si="30">G46/F46-1</f>
        <v>0.22463589330502454</v>
      </c>
      <c r="H47" s="54">
        <f t="shared" si="30"/>
        <v>-9.3203002123090073E-3</v>
      </c>
      <c r="I47" s="54">
        <f t="shared" si="30"/>
        <v>0.43580193421793512</v>
      </c>
      <c r="J47" s="54">
        <f t="shared" si="30"/>
        <v>-1.6186176640241356E-2</v>
      </c>
      <c r="K47" s="54">
        <f t="shared" si="30"/>
        <v>-1.0845590024701424E-2</v>
      </c>
      <c r="L47" s="54">
        <f t="shared" si="30"/>
        <v>1.4729114020311407E-2</v>
      </c>
      <c r="M47" s="54">
        <f t="shared" si="30"/>
        <v>2.2644129411598657E-2</v>
      </c>
      <c r="N47" s="54">
        <f t="shared" si="30"/>
        <v>2.4377254442426111E-2</v>
      </c>
      <c r="O47" s="54">
        <f t="shared" si="30"/>
        <v>2.5508416955969393E-2</v>
      </c>
      <c r="P47" s="54">
        <f t="shared" si="30"/>
        <v>2.5949639399948321E-2</v>
      </c>
      <c r="Q47" s="54">
        <f t="shared" si="30"/>
        <v>2.6393538332335709E-2</v>
      </c>
      <c r="R47" s="54">
        <f t="shared" si="30"/>
        <v>2.6839757245108453E-2</v>
      </c>
    </row>
    <row r="48" spans="2:18" ht="15.75">
      <c r="B48" s="53"/>
      <c r="C48" s="53"/>
      <c r="D48" s="53"/>
      <c r="E48" s="53"/>
      <c r="F48" s="53"/>
      <c r="G48" s="53"/>
      <c r="H48" s="53"/>
      <c r="I48" s="53"/>
      <c r="J48" s="53"/>
      <c r="K48" s="53"/>
      <c r="L48" s="53"/>
      <c r="M48" s="53"/>
      <c r="N48" s="53"/>
      <c r="O48" s="53"/>
      <c r="P48" s="53"/>
      <c r="Q48" s="53"/>
      <c r="R48" s="53"/>
    </row>
    <row r="49" spans="2:18" ht="15.75">
      <c r="B49" s="53" t="s">
        <v>8</v>
      </c>
      <c r="C49" s="53"/>
      <c r="D49" s="702">
        <v>198.8</v>
      </c>
      <c r="E49" s="702">
        <v>132.6</v>
      </c>
      <c r="F49" s="702">
        <f>195.8-49-11</f>
        <v>135.80000000000001</v>
      </c>
      <c r="G49" s="702">
        <f>'LiLAC valuation'!Z382+'LiLAC valuation'!AA382+'LiLAC valuation'!AB382+'LiLAC valuation'!AC382</f>
        <v>203.20000000000002</v>
      </c>
      <c r="H49" s="702">
        <v>220.9</v>
      </c>
      <c r="I49" s="702">
        <f>SUM('New quarts'!AH260:AK260)</f>
        <v>350.90000000000003</v>
      </c>
      <c r="J49" s="702">
        <f>'New quarts'!AM260+'New quarts'!AN260+'New quarts'!AO260+'New quarts'!AP260</f>
        <v>354.8</v>
      </c>
      <c r="K49" s="481"/>
      <c r="L49" s="481"/>
      <c r="M49" s="481"/>
      <c r="N49" s="481"/>
      <c r="O49" s="481"/>
      <c r="P49" s="481"/>
      <c r="Q49" s="481"/>
      <c r="R49" s="481"/>
    </row>
    <row r="50" spans="2:18" ht="15.75">
      <c r="B50" s="53" t="s">
        <v>251</v>
      </c>
      <c r="C50" s="53"/>
      <c r="D50" s="56">
        <f t="shared" ref="D50:J50" si="31">D49/D42</f>
        <v>0.47243346007604564</v>
      </c>
      <c r="E50" s="56">
        <f t="shared" si="31"/>
        <v>0.41372854914196566</v>
      </c>
      <c r="F50" s="56">
        <f t="shared" si="31"/>
        <v>0.41836105976586568</v>
      </c>
      <c r="G50" s="56">
        <f t="shared" si="31"/>
        <v>0.49524737996587864</v>
      </c>
      <c r="H50" s="56">
        <f t="shared" si="31"/>
        <v>0.48980044345898005</v>
      </c>
      <c r="I50" s="56">
        <f t="shared" si="31"/>
        <v>0.4868877480227557</v>
      </c>
      <c r="J50" s="56">
        <f t="shared" si="31"/>
        <v>0.47074432798195565</v>
      </c>
      <c r="K50" s="781"/>
      <c r="L50" s="781"/>
      <c r="M50" s="781"/>
      <c r="N50" s="781"/>
      <c r="O50" s="781"/>
      <c r="P50" s="781"/>
      <c r="Q50" s="781"/>
      <c r="R50" s="781"/>
    </row>
    <row r="52" spans="2:18" ht="15.75">
      <c r="B52" s="53" t="s">
        <v>19</v>
      </c>
      <c r="C52" s="53"/>
      <c r="D52" s="749">
        <v>91</v>
      </c>
      <c r="E52" s="749">
        <v>132.19999999999999</v>
      </c>
      <c r="F52" s="749">
        <v>161.9</v>
      </c>
      <c r="G52" s="749">
        <v>88</v>
      </c>
      <c r="H52" s="749">
        <f>97.3-2/12*H83</f>
        <v>74.05</v>
      </c>
      <c r="I52" s="749">
        <f>219.2-I83</f>
        <v>109.05499999999999</v>
      </c>
      <c r="J52" s="749">
        <f>233.5-J83</f>
        <v>118.87600000000002</v>
      </c>
      <c r="K52" s="481"/>
      <c r="L52" s="481"/>
      <c r="M52" s="481"/>
      <c r="N52" s="481"/>
      <c r="O52" s="481"/>
      <c r="P52" s="481"/>
      <c r="Q52" s="481"/>
      <c r="R52" s="481"/>
    </row>
    <row r="53" spans="2:18" ht="15.75">
      <c r="B53" s="53" t="s">
        <v>251</v>
      </c>
      <c r="D53" s="54">
        <f t="shared" ref="D53:J53" si="32">D52/D42</f>
        <v>0.21625475285171103</v>
      </c>
      <c r="E53" s="54">
        <f t="shared" si="32"/>
        <v>0.41248049921996877</v>
      </c>
      <c r="F53" s="54">
        <f t="shared" si="32"/>
        <v>0.49876771410967341</v>
      </c>
      <c r="G53" s="54">
        <f t="shared" si="32"/>
        <v>0.21447721179624665</v>
      </c>
      <c r="H53" s="54">
        <f t="shared" si="32"/>
        <v>0.16419068736141906</v>
      </c>
      <c r="I53" s="54">
        <f t="shared" si="32"/>
        <v>0.15131816289718328</v>
      </c>
      <c r="J53" s="54">
        <f t="shared" si="32"/>
        <v>0.1577232320551944</v>
      </c>
      <c r="K53" s="933"/>
      <c r="L53" s="933"/>
      <c r="M53" s="933"/>
      <c r="N53" s="933"/>
      <c r="O53" s="933"/>
      <c r="P53" s="933"/>
      <c r="Q53" s="933"/>
      <c r="R53" s="933"/>
    </row>
    <row r="55" spans="2:18" ht="15.75">
      <c r="B55" s="53" t="s">
        <v>27</v>
      </c>
      <c r="D55" s="481">
        <f>D49-D52</f>
        <v>107.80000000000001</v>
      </c>
      <c r="E55" s="481">
        <f t="shared" ref="E55:J55" si="33">E49-E52</f>
        <v>0.40000000000000568</v>
      </c>
      <c r="F55" s="481">
        <f t="shared" si="33"/>
        <v>-26.099999999999994</v>
      </c>
      <c r="G55" s="481">
        <f t="shared" si="33"/>
        <v>115.20000000000002</v>
      </c>
      <c r="H55" s="481">
        <f t="shared" si="33"/>
        <v>146.85000000000002</v>
      </c>
      <c r="I55" s="481">
        <f t="shared" si="33"/>
        <v>241.84500000000003</v>
      </c>
      <c r="J55" s="481">
        <f t="shared" si="33"/>
        <v>235.92399999999998</v>
      </c>
      <c r="K55" s="481"/>
      <c r="L55" s="481"/>
      <c r="M55" s="481"/>
      <c r="N55" s="481"/>
      <c r="O55" s="481"/>
      <c r="P55" s="481"/>
      <c r="Q55" s="481"/>
      <c r="R55" s="481"/>
    </row>
    <row r="57" spans="2:18" ht="15.75">
      <c r="B57" s="636" t="s">
        <v>5439</v>
      </c>
      <c r="C57" s="636"/>
      <c r="D57" s="636">
        <f>D2</f>
        <v>2016</v>
      </c>
      <c r="E57" s="636">
        <f t="shared" ref="E57:R57" si="34">E2</f>
        <v>2017</v>
      </c>
      <c r="F57" s="636">
        <f t="shared" si="34"/>
        <v>2018</v>
      </c>
      <c r="G57" s="636">
        <f t="shared" si="34"/>
        <v>2019</v>
      </c>
      <c r="H57" s="636">
        <f t="shared" si="34"/>
        <v>2020</v>
      </c>
      <c r="I57" s="636">
        <f t="shared" si="34"/>
        <v>2021</v>
      </c>
      <c r="J57" s="636">
        <f t="shared" si="34"/>
        <v>2022</v>
      </c>
      <c r="K57" s="636">
        <f t="shared" si="34"/>
        <v>2023</v>
      </c>
      <c r="L57" s="636">
        <f t="shared" si="34"/>
        <v>2024</v>
      </c>
      <c r="M57" s="636">
        <f t="shared" si="34"/>
        <v>2025</v>
      </c>
      <c r="N57" s="636">
        <f t="shared" si="34"/>
        <v>2026</v>
      </c>
      <c r="O57" s="636">
        <f t="shared" si="34"/>
        <v>2027</v>
      </c>
      <c r="P57" s="636">
        <f t="shared" si="34"/>
        <v>2028</v>
      </c>
      <c r="Q57" s="636">
        <f t="shared" si="34"/>
        <v>2029</v>
      </c>
      <c r="R57" s="636">
        <f t="shared" si="34"/>
        <v>2030</v>
      </c>
    </row>
    <row r="58" spans="2:18" ht="15.75">
      <c r="B58" s="53"/>
      <c r="C58" s="53"/>
    </row>
    <row r="59" spans="2:18" ht="15.75">
      <c r="B59" s="53" t="s">
        <v>15</v>
      </c>
      <c r="C59" s="53"/>
      <c r="H59" s="749">
        <v>930</v>
      </c>
      <c r="I59" s="749">
        <f>SUM('New quarts'!AH55:AK55)</f>
        <v>734.3</v>
      </c>
      <c r="J59" s="749">
        <f>SUM('New quarts'!AM39:AP39)</f>
        <v>716.39999999999986</v>
      </c>
      <c r="K59" s="749">
        <f>SUM('New quarts'!AR39:AU39)</f>
        <v>648.69999999999993</v>
      </c>
      <c r="L59" s="481">
        <f t="shared" ref="L59:R59" si="35">L62+L64</f>
        <v>531.97679999999991</v>
      </c>
      <c r="M59" s="481">
        <f t="shared" si="35"/>
        <v>588.92927712000005</v>
      </c>
      <c r="N59" s="481">
        <f t="shared" si="35"/>
        <v>613.88246831433605</v>
      </c>
      <c r="O59" s="481">
        <f t="shared" si="35"/>
        <v>628.15327054442446</v>
      </c>
      <c r="P59" s="481">
        <f t="shared" si="35"/>
        <v>638.65415546986742</v>
      </c>
      <c r="Q59" s="481">
        <f t="shared" si="35"/>
        <v>649.34485822418685</v>
      </c>
      <c r="R59" s="481">
        <f t="shared" si="35"/>
        <v>660.22898164616174</v>
      </c>
    </row>
    <row r="60" spans="2:18" ht="15.75">
      <c r="B60" s="53" t="s">
        <v>78</v>
      </c>
      <c r="C60" s="53"/>
      <c r="I60" s="56">
        <f>I59/H59-1</f>
        <v>-0.21043010752688174</v>
      </c>
      <c r="J60" s="56">
        <f t="shared" ref="J60:R60" si="36">J59/I59-1</f>
        <v>-2.4376957646738528E-2</v>
      </c>
      <c r="K60" s="56">
        <f t="shared" si="36"/>
        <v>-9.4500279173645896E-2</v>
      </c>
      <c r="L60" s="56">
        <f t="shared" si="36"/>
        <v>-0.17993402188993379</v>
      </c>
      <c r="M60" s="56">
        <f t="shared" si="36"/>
        <v>0.10705819712438625</v>
      </c>
      <c r="N60" s="56">
        <f t="shared" si="36"/>
        <v>4.2370437612412326E-2</v>
      </c>
      <c r="O60" s="56">
        <f t="shared" si="36"/>
        <v>2.3246798803808089E-2</v>
      </c>
      <c r="P60" s="56">
        <f t="shared" si="36"/>
        <v>1.6717074347701422E-2</v>
      </c>
      <c r="Q60" s="56">
        <f t="shared" si="36"/>
        <v>1.6739424088541455E-2</v>
      </c>
      <c r="R60" s="56">
        <f t="shared" si="36"/>
        <v>1.6761699556288923E-2</v>
      </c>
    </row>
    <row r="61" spans="2:18" ht="15.75">
      <c r="B61" s="53"/>
      <c r="C61" s="53"/>
      <c r="I61" s="16"/>
    </row>
    <row r="62" spans="2:18" ht="15.75">
      <c r="B62" s="53" t="s">
        <v>5495</v>
      </c>
      <c r="C62" s="53"/>
      <c r="H62" s="749">
        <f>'LiLAC valuation'!AG363*6</f>
        <v>497.40000000000003</v>
      </c>
      <c r="I62" s="749">
        <f>SUM('New quarts'!AH37:AK37)</f>
        <v>480.8</v>
      </c>
      <c r="J62" s="749">
        <f>SUM('New quarts'!AM37:AP37)</f>
        <v>448</v>
      </c>
      <c r="K62" s="749">
        <f>SUM('New quarts'!AR37:AU37)</f>
        <v>398.7</v>
      </c>
      <c r="L62" s="481">
        <f t="shared" ref="L62:R62" si="37">L70*12*AVERAGE(K67,L67)/1000</f>
        <v>344.47679999999997</v>
      </c>
      <c r="M62" s="481">
        <f t="shared" si="37"/>
        <v>382.67927712000005</v>
      </c>
      <c r="N62" s="481">
        <f t="shared" si="37"/>
        <v>405.56996831433611</v>
      </c>
      <c r="O62" s="481">
        <f t="shared" si="37"/>
        <v>417.75764554442452</v>
      </c>
      <c r="P62" s="481">
        <f t="shared" si="37"/>
        <v>426.15457421986747</v>
      </c>
      <c r="Q62" s="481">
        <f t="shared" si="37"/>
        <v>434.7202811616869</v>
      </c>
      <c r="R62" s="481">
        <f t="shared" si="37"/>
        <v>443.45815881303679</v>
      </c>
    </row>
    <row r="63" spans="2:18" ht="15.75">
      <c r="B63" s="53"/>
      <c r="C63" s="53"/>
      <c r="I63" s="481"/>
      <c r="J63" s="481"/>
      <c r="K63" s="481"/>
      <c r="L63" s="481"/>
      <c r="M63" s="481"/>
      <c r="N63" s="481"/>
      <c r="O63" s="481"/>
      <c r="P63" s="481"/>
      <c r="Q63" s="481"/>
      <c r="R63" s="481"/>
    </row>
    <row r="64" spans="2:18" ht="15.75">
      <c r="B64" s="53" t="s">
        <v>5496</v>
      </c>
      <c r="C64" s="53"/>
      <c r="H64" s="481">
        <f>H59-H62</f>
        <v>432.59999999999997</v>
      </c>
      <c r="I64" s="481">
        <f>I59-I62</f>
        <v>253.49999999999994</v>
      </c>
      <c r="J64" s="481">
        <f>J59-J62</f>
        <v>268.39999999999986</v>
      </c>
      <c r="K64" s="481">
        <f>K59-K62</f>
        <v>249.99999999999994</v>
      </c>
      <c r="L64" s="481">
        <f>(1+L65)*K64</f>
        <v>187.49999999999994</v>
      </c>
      <c r="M64" s="481">
        <f t="shared" ref="M64:R64" si="38">(1+M65)*L64</f>
        <v>206.24999999999994</v>
      </c>
      <c r="N64" s="481">
        <f t="shared" si="38"/>
        <v>208.31249999999994</v>
      </c>
      <c r="O64" s="481">
        <f t="shared" si="38"/>
        <v>210.39562499999994</v>
      </c>
      <c r="P64" s="481">
        <f t="shared" si="38"/>
        <v>212.49958124999995</v>
      </c>
      <c r="Q64" s="481">
        <f t="shared" si="38"/>
        <v>214.62457706249995</v>
      </c>
      <c r="R64" s="481">
        <f t="shared" si="38"/>
        <v>216.77082283312495</v>
      </c>
    </row>
    <row r="65" spans="2:18" ht="15.75">
      <c r="B65" s="53" t="s">
        <v>78</v>
      </c>
      <c r="C65" s="53"/>
      <c r="H65" s="54">
        <f>H64/H62</f>
        <v>0.86972255729794923</v>
      </c>
      <c r="I65" s="54">
        <f>I64/H64-1</f>
        <v>-0.4140083217753121</v>
      </c>
      <c r="J65" s="54">
        <f>J64/I64-1</f>
        <v>5.8777120315581577E-2</v>
      </c>
      <c r="K65" s="54">
        <f>K64/J64-1</f>
        <v>-6.8554396423248676E-2</v>
      </c>
      <c r="L65" s="933">
        <v>-0.25</v>
      </c>
      <c r="M65" s="933">
        <v>0.1</v>
      </c>
      <c r="N65" s="933">
        <v>0.01</v>
      </c>
      <c r="O65" s="933">
        <v>0.01</v>
      </c>
      <c r="P65" s="933">
        <v>0.01</v>
      </c>
      <c r="Q65" s="933">
        <v>0.01</v>
      </c>
      <c r="R65" s="933">
        <v>0.01</v>
      </c>
    </row>
    <row r="66" spans="2:18" ht="15.75">
      <c r="B66" s="53"/>
      <c r="C66" s="53"/>
      <c r="I66" s="16"/>
    </row>
    <row r="67" spans="2:18" ht="15.75">
      <c r="B67" s="53" t="s">
        <v>1569</v>
      </c>
      <c r="C67" s="53"/>
      <c r="H67" s="749">
        <v>1022.6</v>
      </c>
      <c r="I67" s="749">
        <v>1022.4</v>
      </c>
      <c r="J67" s="749">
        <v>1085.5999999999999</v>
      </c>
      <c r="K67" s="749">
        <v>979.3</v>
      </c>
      <c r="L67" s="481">
        <f t="shared" ref="L67:R67" si="39">(1+L68)*K67</f>
        <v>900.95600000000002</v>
      </c>
      <c r="M67" s="481">
        <f t="shared" si="39"/>
        <v>964.02292000000011</v>
      </c>
      <c r="N67" s="481">
        <f t="shared" si="39"/>
        <v>992.94360760000018</v>
      </c>
      <c r="O67" s="481">
        <f t="shared" si="39"/>
        <v>1002.8730436760002</v>
      </c>
      <c r="P67" s="481">
        <f t="shared" si="39"/>
        <v>1012.9017741127602</v>
      </c>
      <c r="Q67" s="481">
        <f t="shared" si="39"/>
        <v>1023.0307918538879</v>
      </c>
      <c r="R67" s="481">
        <f t="shared" si="39"/>
        <v>1033.2610997724269</v>
      </c>
    </row>
    <row r="68" spans="2:18" ht="15.75">
      <c r="B68" s="53" t="s">
        <v>78</v>
      </c>
      <c r="C68" s="53"/>
      <c r="I68" s="56">
        <f>I67/H67-1</f>
        <v>-1.9557989438689916E-4</v>
      </c>
      <c r="J68" s="56">
        <f>J67/I67-1</f>
        <v>6.181533646322368E-2</v>
      </c>
      <c r="K68" s="56">
        <f>K67/J67-1</f>
        <v>-9.7918201915991099E-2</v>
      </c>
      <c r="L68" s="784">
        <v>-0.08</v>
      </c>
      <c r="M68" s="784">
        <v>7.0000000000000007E-2</v>
      </c>
      <c r="N68" s="784">
        <v>0.03</v>
      </c>
      <c r="O68" s="784">
        <v>0.01</v>
      </c>
      <c r="P68" s="784">
        <v>0.01</v>
      </c>
      <c r="Q68" s="784">
        <v>0.01</v>
      </c>
      <c r="R68" s="784">
        <v>0.01</v>
      </c>
    </row>
    <row r="69" spans="2:18" ht="15.75">
      <c r="B69" s="53"/>
      <c r="C69" s="53"/>
      <c r="H69" s="16"/>
      <c r="I69" s="16"/>
    </row>
    <row r="70" spans="2:18" ht="15.75">
      <c r="B70" s="53" t="s">
        <v>904</v>
      </c>
      <c r="C70" s="53"/>
      <c r="H70" s="621">
        <f>H62/H67/12*1000</f>
        <v>40.53393311167612</v>
      </c>
      <c r="I70" s="621">
        <f>I62/I67/12*1000</f>
        <v>39.188836724047995</v>
      </c>
      <c r="J70" s="621">
        <f>J62/J67/12*1000</f>
        <v>34.389584868582659</v>
      </c>
      <c r="K70" s="621">
        <f>K62/K67/12*1000</f>
        <v>33.927295006637394</v>
      </c>
      <c r="L70" s="621">
        <f t="shared" ref="L70:R70" si="40">(1+L71)*K70</f>
        <v>30.534565505973656</v>
      </c>
      <c r="M70" s="621">
        <f t="shared" si="40"/>
        <v>34.198713366690498</v>
      </c>
      <c r="N70" s="621">
        <f t="shared" si="40"/>
        <v>34.540700500357403</v>
      </c>
      <c r="O70" s="621">
        <f t="shared" si="40"/>
        <v>34.886107505360975</v>
      </c>
      <c r="P70" s="621">
        <f t="shared" si="40"/>
        <v>35.234968580414588</v>
      </c>
      <c r="Q70" s="621">
        <f t="shared" si="40"/>
        <v>35.587318266218738</v>
      </c>
      <c r="R70" s="621">
        <f t="shared" si="40"/>
        <v>35.943191448880924</v>
      </c>
    </row>
    <row r="71" spans="2:18" ht="15.75">
      <c r="B71" s="53" t="s">
        <v>78</v>
      </c>
      <c r="C71" s="53"/>
      <c r="H71" s="481"/>
      <c r="I71" s="56">
        <f>I70/H70-1</f>
        <v>-3.3184452737961889E-2</v>
      </c>
      <c r="J71" s="56">
        <f>J70/I70-1</f>
        <v>-0.12246476947656637</v>
      </c>
      <c r="K71" s="56">
        <f>K70/J70-1</f>
        <v>-1.3442728771279833E-2</v>
      </c>
      <c r="L71" s="784">
        <v>-0.1</v>
      </c>
      <c r="M71" s="784">
        <v>0.12</v>
      </c>
      <c r="N71" s="784">
        <v>0.01</v>
      </c>
      <c r="O71" s="784">
        <v>0.01</v>
      </c>
      <c r="P71" s="784">
        <v>0.01</v>
      </c>
      <c r="Q71" s="784">
        <v>0.01</v>
      </c>
      <c r="R71" s="784">
        <v>0.01</v>
      </c>
    </row>
    <row r="72" spans="2:18" ht="15.75">
      <c r="B72" s="53"/>
      <c r="C72" s="53"/>
      <c r="I72" s="16"/>
    </row>
    <row r="73" spans="2:18" ht="15.75">
      <c r="B73" s="53" t="s">
        <v>5958</v>
      </c>
      <c r="H73" s="481">
        <f>H80+H76-H78</f>
        <v>317</v>
      </c>
      <c r="I73" s="481">
        <f>I80+I76-I78</f>
        <v>247</v>
      </c>
      <c r="J73" s="481">
        <f>J80+J76-J78</f>
        <v>205</v>
      </c>
      <c r="K73" s="481">
        <f t="shared" ref="K73:R73" si="41">K74*K59</f>
        <v>142.714</v>
      </c>
      <c r="L73" s="481">
        <f t="shared" si="41"/>
        <v>122.35466399999999</v>
      </c>
      <c r="M73" s="481">
        <f t="shared" si="41"/>
        <v>141.34302650879999</v>
      </c>
      <c r="N73" s="481">
        <f t="shared" si="41"/>
        <v>153.47061707858401</v>
      </c>
      <c r="O73" s="481">
        <f t="shared" si="41"/>
        <v>163.31985034155036</v>
      </c>
      <c r="P73" s="481">
        <f t="shared" si="41"/>
        <v>166.05008042216554</v>
      </c>
      <c r="Q73" s="481">
        <f t="shared" si="41"/>
        <v>168.82966313828859</v>
      </c>
      <c r="R73" s="481">
        <f t="shared" si="41"/>
        <v>171.65953522800206</v>
      </c>
    </row>
    <row r="74" spans="2:18" ht="15.75">
      <c r="B74" s="53" t="s">
        <v>251</v>
      </c>
      <c r="H74" s="56">
        <f>H73/H59</f>
        <v>0.34086021505376346</v>
      </c>
      <c r="I74" s="56">
        <f>I73/I59</f>
        <v>0.33637477870080351</v>
      </c>
      <c r="J74" s="56">
        <f>J73/J59</f>
        <v>0.28615298715801235</v>
      </c>
      <c r="K74" s="752">
        <v>0.22</v>
      </c>
      <c r="L74" s="752">
        <v>0.23</v>
      </c>
      <c r="M74" s="752">
        <v>0.24</v>
      </c>
      <c r="N74" s="752">
        <v>0.25</v>
      </c>
      <c r="O74" s="752">
        <v>0.26</v>
      </c>
      <c r="P74" s="752">
        <v>0.26</v>
      </c>
      <c r="Q74" s="752">
        <v>0.26</v>
      </c>
      <c r="R74" s="752">
        <v>0.26</v>
      </c>
    </row>
    <row r="75" spans="2:18" ht="15.75">
      <c r="B75" s="53"/>
      <c r="H75" s="56"/>
      <c r="I75" s="56"/>
      <c r="J75" s="56"/>
      <c r="K75" s="56"/>
      <c r="L75" s="56"/>
      <c r="M75" s="56"/>
      <c r="N75" s="56"/>
      <c r="O75" s="56"/>
      <c r="P75" s="56"/>
      <c r="Q75" s="56"/>
      <c r="R75" s="56"/>
    </row>
    <row r="76" spans="2:18" ht="15.75">
      <c r="B76" s="53" t="s">
        <v>5397</v>
      </c>
      <c r="H76" s="749">
        <v>0</v>
      </c>
      <c r="I76" s="749">
        <v>12</v>
      </c>
      <c r="J76" s="749">
        <v>15</v>
      </c>
      <c r="K76" s="749">
        <v>25</v>
      </c>
      <c r="L76" s="749">
        <f>9+14</f>
        <v>23</v>
      </c>
      <c r="M76" s="749">
        <v>0</v>
      </c>
      <c r="N76" s="749">
        <v>0</v>
      </c>
      <c r="O76" s="749">
        <v>0</v>
      </c>
      <c r="P76" s="749">
        <v>0</v>
      </c>
      <c r="Q76" s="749">
        <v>0</v>
      </c>
      <c r="R76" s="749">
        <v>0</v>
      </c>
    </row>
    <row r="77" spans="2:18" ht="15.75">
      <c r="B77" s="53"/>
      <c r="J77" s="16">
        <f>J78-J76</f>
        <v>-15</v>
      </c>
      <c r="K77" s="16">
        <f>K78-K76</f>
        <v>-15</v>
      </c>
      <c r="L77" s="16">
        <f>L78-L76</f>
        <v>17</v>
      </c>
    </row>
    <row r="78" spans="2:18" ht="15.75">
      <c r="B78" s="53" t="s">
        <v>399</v>
      </c>
      <c r="H78" s="749">
        <v>0</v>
      </c>
      <c r="I78" s="749">
        <v>0</v>
      </c>
      <c r="J78" s="749">
        <v>0</v>
      </c>
      <c r="K78" s="749">
        <v>10</v>
      </c>
      <c r="L78" s="749">
        <v>40</v>
      </c>
      <c r="M78" s="749">
        <v>70</v>
      </c>
      <c r="N78" s="749">
        <v>70</v>
      </c>
      <c r="O78" s="749">
        <v>70</v>
      </c>
      <c r="P78" s="749">
        <v>70</v>
      </c>
      <c r="Q78" s="749">
        <v>70</v>
      </c>
      <c r="R78" s="749">
        <v>70</v>
      </c>
    </row>
    <row r="79" spans="2:18" ht="15.75">
      <c r="B79" s="53"/>
    </row>
    <row r="80" spans="2:18" ht="15.75">
      <c r="B80" s="53" t="s">
        <v>80</v>
      </c>
      <c r="H80" s="749">
        <v>317</v>
      </c>
      <c r="I80" s="749">
        <f>SUM('New quarts'!AH259:AK259)</f>
        <v>235</v>
      </c>
      <c r="J80" s="749">
        <f>SUM('New quarts'!AM259:AP259)</f>
        <v>190</v>
      </c>
      <c r="K80" s="481"/>
      <c r="L80" s="481"/>
      <c r="M80" s="481"/>
      <c r="N80" s="481"/>
      <c r="O80" s="481"/>
      <c r="P80" s="481"/>
      <c r="Q80" s="481"/>
      <c r="R80" s="481"/>
    </row>
    <row r="81" spans="2:18" ht="15.75">
      <c r="B81" s="53" t="s">
        <v>251</v>
      </c>
      <c r="H81" s="56">
        <f>H80/H59</f>
        <v>0.34086021505376346</v>
      </c>
      <c r="I81" s="56">
        <f t="shared" ref="I81:J81" si="42">I80/I59</f>
        <v>0.32003268418902359</v>
      </c>
      <c r="J81" s="56">
        <f t="shared" si="42"/>
        <v>0.26521496370742609</v>
      </c>
      <c r="K81" s="56"/>
      <c r="L81" s="56"/>
      <c r="M81" s="56"/>
      <c r="N81" s="56"/>
      <c r="O81" s="56"/>
      <c r="P81" s="56"/>
      <c r="Q81" s="56"/>
      <c r="R81" s="56"/>
    </row>
    <row r="83" spans="2:18" ht="15.75">
      <c r="B83" s="53" t="s">
        <v>19</v>
      </c>
      <c r="H83" s="481">
        <f t="shared" ref="H83:J83" si="43">H84*H59</f>
        <v>139.5</v>
      </c>
      <c r="I83" s="481">
        <f t="shared" si="43"/>
        <v>110.145</v>
      </c>
      <c r="J83" s="481">
        <f t="shared" si="43"/>
        <v>114.62399999999998</v>
      </c>
      <c r="K83" s="481"/>
      <c r="L83" s="481"/>
      <c r="M83" s="481"/>
      <c r="N83" s="481"/>
      <c r="O83" s="481"/>
      <c r="P83" s="481"/>
      <c r="Q83" s="481"/>
      <c r="R83" s="481"/>
    </row>
    <row r="84" spans="2:18" ht="15.75">
      <c r="B84" s="53" t="s">
        <v>91</v>
      </c>
      <c r="H84" s="752">
        <v>0.15</v>
      </c>
      <c r="I84" s="752">
        <v>0.15</v>
      </c>
      <c r="J84" s="752">
        <v>0.16</v>
      </c>
      <c r="K84" s="56"/>
      <c r="L84" s="56"/>
      <c r="M84" s="56"/>
      <c r="N84" s="56"/>
      <c r="O84" s="56"/>
      <c r="P84" s="56"/>
      <c r="Q84" s="56"/>
      <c r="R84" s="56"/>
    </row>
    <row r="86" spans="2:18" ht="15.75">
      <c r="B86" s="53" t="s">
        <v>27</v>
      </c>
      <c r="H86" s="481">
        <f t="shared" ref="H86:J86" si="44">H80-H83</f>
        <v>177.5</v>
      </c>
      <c r="I86" s="481">
        <f t="shared" si="44"/>
        <v>124.855</v>
      </c>
      <c r="J86" s="481">
        <f t="shared" si="44"/>
        <v>75.376000000000019</v>
      </c>
      <c r="K86" s="481"/>
      <c r="L86" s="481"/>
      <c r="M86" s="481"/>
      <c r="N86" s="481"/>
      <c r="O86" s="481"/>
      <c r="P86" s="481"/>
      <c r="Q86" s="481"/>
      <c r="R86" s="481"/>
    </row>
    <row r="88" spans="2:18" ht="15.75">
      <c r="B88" s="1423" t="s">
        <v>7735</v>
      </c>
      <c r="C88" s="1424"/>
      <c r="D88" s="1424"/>
      <c r="E88" s="1424"/>
      <c r="F88" s="1424"/>
      <c r="G88" s="1424"/>
      <c r="H88" s="1424"/>
      <c r="I88" s="1423">
        <f>I2</f>
        <v>2021</v>
      </c>
      <c r="J88" s="1423">
        <f t="shared" ref="J88:R88" si="45">J2</f>
        <v>2022</v>
      </c>
      <c r="K88" s="1423">
        <f t="shared" si="45"/>
        <v>2023</v>
      </c>
      <c r="L88" s="1423">
        <f t="shared" si="45"/>
        <v>2024</v>
      </c>
      <c r="M88" s="1423">
        <f t="shared" si="45"/>
        <v>2025</v>
      </c>
      <c r="N88" s="1423">
        <f t="shared" si="45"/>
        <v>2026</v>
      </c>
      <c r="O88" s="1423">
        <f t="shared" si="45"/>
        <v>2027</v>
      </c>
      <c r="P88" s="1423">
        <f t="shared" si="45"/>
        <v>2028</v>
      </c>
      <c r="Q88" s="1423">
        <f t="shared" si="45"/>
        <v>2029</v>
      </c>
      <c r="R88" s="1423">
        <f t="shared" si="45"/>
        <v>2030</v>
      </c>
    </row>
    <row r="90" spans="2:18">
      <c r="B90" t="str">
        <f>'New quarts'!B37</f>
        <v>Res mobile service revs</v>
      </c>
      <c r="I90" s="486">
        <f>I62</f>
        <v>480.8</v>
      </c>
      <c r="J90" s="486">
        <f>J62</f>
        <v>448</v>
      </c>
      <c r="K90" s="486">
        <f t="shared" ref="K90:R90" si="46">K62</f>
        <v>398.7</v>
      </c>
      <c r="L90" s="486">
        <f t="shared" si="46"/>
        <v>344.47679999999997</v>
      </c>
      <c r="M90" s="486">
        <f t="shared" si="46"/>
        <v>382.67927712000005</v>
      </c>
      <c r="N90" s="486">
        <f t="shared" si="46"/>
        <v>405.56996831433611</v>
      </c>
      <c r="O90" s="486">
        <f t="shared" si="46"/>
        <v>417.75764554442452</v>
      </c>
      <c r="P90" s="486">
        <f t="shared" si="46"/>
        <v>426.15457421986747</v>
      </c>
      <c r="Q90" s="486">
        <f t="shared" si="46"/>
        <v>434.7202811616869</v>
      </c>
      <c r="R90" s="486">
        <f t="shared" si="46"/>
        <v>443.45815881303679</v>
      </c>
    </row>
    <row r="91" spans="2:18">
      <c r="B91" t="s">
        <v>78</v>
      </c>
      <c r="I91" s="16"/>
      <c r="J91" s="5">
        <f>J90/I90-1</f>
        <v>-6.8219633943427671E-2</v>
      </c>
      <c r="K91" s="5">
        <f t="shared" ref="K91:R91" si="47">K90/J90-1</f>
        <v>-0.11004464285714288</v>
      </c>
      <c r="L91" s="5">
        <f t="shared" si="47"/>
        <v>-0.13600000000000001</v>
      </c>
      <c r="M91" s="5">
        <f t="shared" si="47"/>
        <v>0.11090000000000022</v>
      </c>
      <c r="N91" s="5">
        <f t="shared" si="47"/>
        <v>5.9816908212560582E-2</v>
      </c>
      <c r="O91" s="5">
        <f t="shared" si="47"/>
        <v>3.0050738916256092E-2</v>
      </c>
      <c r="P91" s="5">
        <f t="shared" si="47"/>
        <v>2.0100000000000007E-2</v>
      </c>
      <c r="Q91" s="5">
        <f t="shared" si="47"/>
        <v>2.0100000000000229E-2</v>
      </c>
      <c r="R91" s="5">
        <f t="shared" si="47"/>
        <v>2.0100000000000007E-2</v>
      </c>
    </row>
    <row r="92" spans="2:18">
      <c r="B92" s="3" t="str">
        <f>'New quarts'!B38</f>
        <v>Equipment / roaming</v>
      </c>
      <c r="C92" s="3"/>
      <c r="D92" s="3"/>
      <c r="E92" s="3"/>
      <c r="F92" s="3"/>
      <c r="G92" s="3"/>
      <c r="H92" s="3"/>
      <c r="I92" s="487">
        <f>I64</f>
        <v>253.49999999999994</v>
      </c>
      <c r="J92" s="487">
        <f>J64</f>
        <v>268.39999999999986</v>
      </c>
      <c r="K92" s="487">
        <f t="shared" ref="K92:R92" si="48">K64</f>
        <v>249.99999999999994</v>
      </c>
      <c r="L92" s="487">
        <f t="shared" si="48"/>
        <v>187.49999999999994</v>
      </c>
      <c r="M92" s="487">
        <f t="shared" si="48"/>
        <v>206.24999999999994</v>
      </c>
      <c r="N92" s="487">
        <f t="shared" si="48"/>
        <v>208.31249999999994</v>
      </c>
      <c r="O92" s="487">
        <f t="shared" si="48"/>
        <v>210.39562499999994</v>
      </c>
      <c r="P92" s="487">
        <f t="shared" si="48"/>
        <v>212.49958124999995</v>
      </c>
      <c r="Q92" s="487">
        <f t="shared" si="48"/>
        <v>214.62457706249995</v>
      </c>
      <c r="R92" s="487">
        <f t="shared" si="48"/>
        <v>216.77082283312495</v>
      </c>
    </row>
    <row r="93" spans="2:18">
      <c r="B93" t="str">
        <f>'New quarts'!B39</f>
        <v>Res mobile</v>
      </c>
      <c r="I93" s="486">
        <f>I59</f>
        <v>734.3</v>
      </c>
      <c r="J93" s="486">
        <f t="shared" ref="J93:R93" si="49">J59</f>
        <v>716.39999999999986</v>
      </c>
      <c r="K93" s="486">
        <f t="shared" si="49"/>
        <v>648.69999999999993</v>
      </c>
      <c r="L93" s="486">
        <f t="shared" si="49"/>
        <v>531.97679999999991</v>
      </c>
      <c r="M93" s="486">
        <f t="shared" si="49"/>
        <v>588.92927712000005</v>
      </c>
      <c r="N93" s="486">
        <f t="shared" si="49"/>
        <v>613.88246831433605</v>
      </c>
      <c r="O93" s="486">
        <f t="shared" si="49"/>
        <v>628.15327054442446</v>
      </c>
      <c r="P93" s="486">
        <f t="shared" si="49"/>
        <v>638.65415546986742</v>
      </c>
      <c r="Q93" s="486">
        <f t="shared" si="49"/>
        <v>649.34485822418685</v>
      </c>
      <c r="R93" s="486">
        <f t="shared" si="49"/>
        <v>660.22898164616174</v>
      </c>
    </row>
    <row r="94" spans="2:18">
      <c r="B94" t="s">
        <v>78</v>
      </c>
      <c r="I94" s="16"/>
      <c r="J94" s="5">
        <f>J93/I93-1</f>
        <v>-2.4376957646738528E-2</v>
      </c>
      <c r="K94" s="5">
        <f t="shared" ref="K94:R94" si="50">K93/J93-1</f>
        <v>-9.4500279173645896E-2</v>
      </c>
      <c r="L94" s="5">
        <f t="shared" si="50"/>
        <v>-0.17993402188993379</v>
      </c>
      <c r="M94" s="5">
        <f t="shared" si="50"/>
        <v>0.10705819712438625</v>
      </c>
      <c r="N94" s="5">
        <f t="shared" si="50"/>
        <v>4.2370437612412326E-2</v>
      </c>
      <c r="O94" s="5">
        <f t="shared" si="50"/>
        <v>2.3246798803808089E-2</v>
      </c>
      <c r="P94" s="5">
        <f t="shared" si="50"/>
        <v>1.6717074347701422E-2</v>
      </c>
      <c r="Q94" s="5">
        <f t="shared" si="50"/>
        <v>1.6739424088541455E-2</v>
      </c>
      <c r="R94" s="5">
        <f t="shared" si="50"/>
        <v>1.6761699556288923E-2</v>
      </c>
    </row>
    <row r="95" spans="2:18">
      <c r="I95" s="16"/>
      <c r="J95" s="5"/>
      <c r="K95" s="5"/>
      <c r="L95" s="5"/>
      <c r="M95" s="5"/>
      <c r="N95" s="5"/>
      <c r="O95" s="5"/>
      <c r="P95" s="5"/>
      <c r="Q95" s="5"/>
      <c r="R95" s="5"/>
    </row>
    <row r="96" spans="2:18">
      <c r="B96" t="str">
        <f>'New quarts'!B40</f>
        <v>Fixed</v>
      </c>
      <c r="I96" s="1427">
        <f>SUM('New quarts'!AH40:AK40)</f>
        <v>457.50000000000006</v>
      </c>
      <c r="J96" s="1427">
        <f>SUM('New quarts'!AM40:AP40)</f>
        <v>479.39999999999992</v>
      </c>
      <c r="K96" s="1427">
        <f>SUM('New quarts'!AR40:AU40)</f>
        <v>504.20000000000005</v>
      </c>
      <c r="L96" s="486">
        <f t="shared" ref="L96:R96" si="51">(1+L97)*K96</f>
        <v>496.63700000000006</v>
      </c>
      <c r="M96" s="486">
        <f t="shared" si="51"/>
        <v>486.70426000000003</v>
      </c>
      <c r="N96" s="486">
        <f t="shared" si="51"/>
        <v>481.83721740000004</v>
      </c>
      <c r="O96" s="486">
        <f t="shared" si="51"/>
        <v>477.01884522600005</v>
      </c>
      <c r="P96" s="486">
        <f t="shared" si="51"/>
        <v>472.24865677374004</v>
      </c>
      <c r="Q96" s="486">
        <f t="shared" si="51"/>
        <v>472.24865677374004</v>
      </c>
      <c r="R96" s="486">
        <f t="shared" si="51"/>
        <v>472.24865677374004</v>
      </c>
    </row>
    <row r="97" spans="2:18">
      <c r="I97" s="16"/>
      <c r="J97" s="5">
        <f>J96/I96-1</f>
        <v>4.7868852459016065E-2</v>
      </c>
      <c r="K97" s="5">
        <f>K96/J96-1</f>
        <v>5.1731330830204758E-2</v>
      </c>
      <c r="L97" s="1434">
        <v>-1.4999999999999999E-2</v>
      </c>
      <c r="M97" s="1434">
        <v>-0.02</v>
      </c>
      <c r="N97" s="1434">
        <v>-0.01</v>
      </c>
      <c r="O97" s="1434">
        <v>-0.01</v>
      </c>
      <c r="P97" s="1434">
        <v>-0.01</v>
      </c>
      <c r="Q97" s="1434">
        <v>0</v>
      </c>
      <c r="R97" s="1434">
        <v>0</v>
      </c>
    </row>
    <row r="98" spans="2:18">
      <c r="B98" t="str">
        <f>'New quarts'!B41</f>
        <v>B2B</v>
      </c>
      <c r="I98" s="1427">
        <f>SUM('New quarts'!AH41:AK41)</f>
        <v>220.4</v>
      </c>
      <c r="J98" s="1427">
        <f>SUM('New quarts'!AM41:AP41)</f>
        <v>220.60000000000002</v>
      </c>
      <c r="K98" s="1427">
        <f>SUM('New quarts'!AR41:AU41)</f>
        <v>224.3</v>
      </c>
      <c r="L98" s="486">
        <f t="shared" ref="L98" si="52">(1+L99)*K98</f>
        <v>219.81400000000002</v>
      </c>
      <c r="M98" s="486">
        <f t="shared" ref="M98" si="53">(1+M99)*L98</f>
        <v>219.81400000000002</v>
      </c>
      <c r="N98" s="486">
        <f t="shared" ref="N98" si="54">(1+N99)*M98</f>
        <v>224.21028000000001</v>
      </c>
      <c r="O98" s="486">
        <f t="shared" ref="O98" si="55">(1+O99)*N98</f>
        <v>228.69448560000001</v>
      </c>
      <c r="P98" s="486">
        <f t="shared" ref="P98" si="56">(1+P99)*O98</f>
        <v>233.26837531200002</v>
      </c>
      <c r="Q98" s="486">
        <f t="shared" ref="Q98" si="57">(1+Q99)*P98</f>
        <v>237.93374281824003</v>
      </c>
      <c r="R98" s="486">
        <f t="shared" ref="R98" si="58">(1+R99)*Q98</f>
        <v>242.69241767460483</v>
      </c>
    </row>
    <row r="99" spans="2:18">
      <c r="I99" s="16"/>
      <c r="J99" s="5">
        <f>J98/I98-1</f>
        <v>9.0744101633410956E-4</v>
      </c>
      <c r="K99" s="5">
        <f>K98/J98-1</f>
        <v>1.6772438803263734E-2</v>
      </c>
      <c r="L99" s="1434">
        <v>-0.02</v>
      </c>
      <c r="M99" s="1434">
        <v>0</v>
      </c>
      <c r="N99" s="1434">
        <v>0.02</v>
      </c>
      <c r="O99" s="1434">
        <v>0.02</v>
      </c>
      <c r="P99" s="1434">
        <v>0.02</v>
      </c>
      <c r="Q99" s="1434">
        <v>0.02</v>
      </c>
      <c r="R99" s="1434">
        <v>0.02</v>
      </c>
    </row>
    <row r="100" spans="2:18">
      <c r="B100" t="str">
        <f>'New quarts'!B42</f>
        <v>Other</v>
      </c>
      <c r="I100" s="1427">
        <f>SUM('New quarts'!AH42:AK42)</f>
        <v>37.5</v>
      </c>
      <c r="J100" s="1427">
        <f>SUM('New quarts'!AM42:AP42)</f>
        <v>53.7</v>
      </c>
      <c r="K100" s="1427">
        <f>SUM('New quarts'!AR42:AU42)</f>
        <v>40.5</v>
      </c>
      <c r="L100" s="486">
        <f t="shared" ref="L100" si="59">(1+L101)*K100</f>
        <v>30.375</v>
      </c>
      <c r="M100" s="486">
        <f t="shared" ref="M100" si="60">(1+M101)*L100</f>
        <v>31.893750000000001</v>
      </c>
      <c r="N100" s="486">
        <f t="shared" ref="N100" si="61">(1+N101)*M100</f>
        <v>33.488437500000003</v>
      </c>
      <c r="O100" s="486">
        <f t="shared" ref="O100" si="62">(1+O101)*N100</f>
        <v>35.162859375000004</v>
      </c>
      <c r="P100" s="486">
        <f t="shared" ref="P100" si="63">(1+P101)*O100</f>
        <v>36.921002343750004</v>
      </c>
      <c r="Q100" s="486">
        <f t="shared" ref="Q100" si="64">(1+Q101)*P100</f>
        <v>38.767052460937506</v>
      </c>
      <c r="R100" s="486">
        <f t="shared" ref="R100" si="65">(1+R101)*Q100</f>
        <v>40.705405083984381</v>
      </c>
    </row>
    <row r="101" spans="2:18">
      <c r="B101" s="3"/>
      <c r="C101" s="3"/>
      <c r="D101" s="3"/>
      <c r="E101" s="3"/>
      <c r="F101" s="3"/>
      <c r="G101" s="3"/>
      <c r="H101" s="3"/>
      <c r="I101" s="64"/>
      <c r="J101" s="512">
        <f>J100/I100-1</f>
        <v>0.43200000000000016</v>
      </c>
      <c r="K101" s="512">
        <f>K100/J100-1</f>
        <v>-0.24581005586592186</v>
      </c>
      <c r="L101" s="1435">
        <v>-0.25</v>
      </c>
      <c r="M101" s="1435">
        <v>0.05</v>
      </c>
      <c r="N101" s="1435">
        <v>0.05</v>
      </c>
      <c r="O101" s="1435">
        <v>0.05</v>
      </c>
      <c r="P101" s="1435">
        <v>0.05</v>
      </c>
      <c r="Q101" s="1435">
        <v>0.05</v>
      </c>
      <c r="R101" s="1435">
        <v>0.05</v>
      </c>
    </row>
    <row r="102" spans="2:18">
      <c r="B102" s="12" t="str">
        <f>'New quarts'!B43</f>
        <v>Total</v>
      </c>
      <c r="C102" s="12"/>
      <c r="D102" s="12"/>
      <c r="E102" s="12"/>
      <c r="F102" s="12"/>
      <c r="G102" s="12"/>
      <c r="H102" s="12"/>
      <c r="I102" s="1166">
        <f>SUM('New quarts'!AH43:AK43)</f>
        <v>1455</v>
      </c>
      <c r="J102" s="1166">
        <f>SUM('New quarts'!AM43:AP43)</f>
        <v>1470.1</v>
      </c>
      <c r="K102" s="1528">
        <v>1417</v>
      </c>
      <c r="L102" s="1166">
        <f>L93+L96+L98+L100</f>
        <v>1278.8028000000002</v>
      </c>
      <c r="M102" s="1166">
        <f t="shared" ref="M102:R102" si="66">M93+M96+M98+M100</f>
        <v>1327.3412871200001</v>
      </c>
      <c r="N102" s="1166">
        <f t="shared" si="66"/>
        <v>1353.418403214336</v>
      </c>
      <c r="O102" s="1166">
        <f t="shared" si="66"/>
        <v>1369.0294607454246</v>
      </c>
      <c r="P102" s="1166">
        <f t="shared" si="66"/>
        <v>1381.0921898993574</v>
      </c>
      <c r="Q102" s="1166">
        <f t="shared" si="66"/>
        <v>1398.2943102771044</v>
      </c>
      <c r="R102" s="1166">
        <f t="shared" si="66"/>
        <v>1415.8754611784909</v>
      </c>
    </row>
    <row r="103" spans="2:18">
      <c r="B103" s="12" t="s">
        <v>1092</v>
      </c>
      <c r="C103" s="12"/>
      <c r="D103" s="12"/>
      <c r="E103" s="12"/>
      <c r="F103" s="12"/>
      <c r="G103" s="12"/>
      <c r="H103" s="12"/>
      <c r="I103" s="600"/>
      <c r="J103" s="602">
        <f>J102/I102-1</f>
        <v>1.0378006872852064E-2</v>
      </c>
      <c r="K103" s="602">
        <f t="shared" ref="K103:R103" si="67">K102/J102-1</f>
        <v>-3.6119991837289867E-2</v>
      </c>
      <c r="L103" s="602">
        <f t="shared" si="67"/>
        <v>-9.7528016937191153E-2</v>
      </c>
      <c r="M103" s="602">
        <f t="shared" si="67"/>
        <v>3.7956193965168028E-2</v>
      </c>
      <c r="N103" s="602">
        <f t="shared" si="67"/>
        <v>1.9646127448440076E-2</v>
      </c>
      <c r="O103" s="602">
        <f t="shared" si="67"/>
        <v>1.1534539129963495E-2</v>
      </c>
      <c r="P103" s="602">
        <f t="shared" si="67"/>
        <v>8.8111538135671186E-3</v>
      </c>
      <c r="Q103" s="602">
        <f t="shared" si="67"/>
        <v>1.2455446858330665E-2</v>
      </c>
      <c r="R103" s="602">
        <f t="shared" si="67"/>
        <v>1.2573283587131501E-2</v>
      </c>
    </row>
    <row r="105" spans="2:18">
      <c r="B105" s="12" t="s">
        <v>80</v>
      </c>
      <c r="C105" s="12"/>
      <c r="D105" s="12"/>
      <c r="E105" s="12"/>
      <c r="F105" s="12"/>
      <c r="G105" s="12"/>
      <c r="H105" s="12"/>
      <c r="I105" s="1439">
        <f>SUM('New quarts'!AH242:AK242)</f>
        <v>585.90000000000009</v>
      </c>
      <c r="J105" s="1439">
        <f>SUM('New quarts'!AM242:AP242)</f>
        <v>544.80000000000007</v>
      </c>
      <c r="K105" s="1529">
        <v>485.5</v>
      </c>
      <c r="L105" s="1166">
        <f t="shared" ref="L105:R105" si="68">L113+L111-L109</f>
        <v>323.91267200000004</v>
      </c>
      <c r="M105" s="1166">
        <f t="shared" si="68"/>
        <v>481.47579900720001</v>
      </c>
      <c r="N105" s="1166">
        <f t="shared" si="68"/>
        <v>516.62807306073091</v>
      </c>
      <c r="O105" s="1166">
        <f t="shared" si="68"/>
        <v>535.47001665344442</v>
      </c>
      <c r="P105" s="1166">
        <f t="shared" si="68"/>
        <v>553.38226646477506</v>
      </c>
      <c r="Q105" s="1166">
        <f t="shared" si="68"/>
        <v>559.40300859698652</v>
      </c>
      <c r="R105" s="1166">
        <f t="shared" si="68"/>
        <v>565.55641141247179</v>
      </c>
    </row>
    <row r="106" spans="2:18">
      <c r="B106" s="1176" t="s">
        <v>7674</v>
      </c>
      <c r="C106" s="12"/>
      <c r="D106" s="12"/>
      <c r="E106" s="12"/>
      <c r="F106" s="12"/>
      <c r="G106" s="12"/>
      <c r="H106" s="12"/>
      <c r="I106" s="1439"/>
      <c r="J106" s="1439"/>
      <c r="K106" s="1619">
        <f>K105/12</f>
        <v>40.458333333333336</v>
      </c>
      <c r="L106" s="1619">
        <f t="shared" ref="L106:R106" si="69">L105/12</f>
        <v>26.992722666666669</v>
      </c>
      <c r="M106" s="1619">
        <f t="shared" si="69"/>
        <v>40.122983250600001</v>
      </c>
      <c r="N106" s="1619">
        <f t="shared" si="69"/>
        <v>43.052339421727574</v>
      </c>
      <c r="O106" s="1619">
        <f t="shared" si="69"/>
        <v>44.622501387787032</v>
      </c>
      <c r="P106" s="1619">
        <f t="shared" si="69"/>
        <v>46.115188872064586</v>
      </c>
      <c r="Q106" s="1619">
        <f t="shared" si="69"/>
        <v>46.61691738308221</v>
      </c>
      <c r="R106" s="1619">
        <f t="shared" si="69"/>
        <v>47.129700951039318</v>
      </c>
    </row>
    <row r="107" spans="2:18">
      <c r="B107" t="s">
        <v>251</v>
      </c>
      <c r="I107" s="6">
        <f>I105/I102</f>
        <v>0.40268041237113406</v>
      </c>
      <c r="J107" s="6">
        <f t="shared" ref="J107:R107" si="70">J105/J102</f>
        <v>0.37058703489558542</v>
      </c>
      <c r="K107" s="6">
        <f t="shared" si="70"/>
        <v>0.34262526464361326</v>
      </c>
      <c r="L107" s="6">
        <f t="shared" si="70"/>
        <v>0.25329368374858108</v>
      </c>
      <c r="M107" s="6">
        <f t="shared" si="70"/>
        <v>0.36273700191446812</v>
      </c>
      <c r="N107" s="6">
        <f t="shared" si="70"/>
        <v>0.38172088678102184</v>
      </c>
      <c r="O107" s="6">
        <f t="shared" si="70"/>
        <v>0.39113111295785097</v>
      </c>
      <c r="P107" s="6">
        <f t="shared" si="70"/>
        <v>0.40068452382248354</v>
      </c>
      <c r="Q107" s="6">
        <f t="shared" si="70"/>
        <v>0.40006099179945021</v>
      </c>
      <c r="R107" s="6">
        <f t="shared" si="70"/>
        <v>0.39943937649836525</v>
      </c>
    </row>
    <row r="109" spans="2:18">
      <c r="B109" t="s">
        <v>7822</v>
      </c>
      <c r="H109" s="16"/>
      <c r="I109" s="486">
        <f t="shared" ref="I109:R109" si="71">I76</f>
        <v>12</v>
      </c>
      <c r="J109" s="486">
        <f t="shared" si="71"/>
        <v>15</v>
      </c>
      <c r="K109" s="486">
        <f t="shared" si="71"/>
        <v>25</v>
      </c>
      <c r="L109" s="486">
        <f t="shared" si="71"/>
        <v>23</v>
      </c>
      <c r="M109" s="486">
        <f t="shared" si="71"/>
        <v>0</v>
      </c>
      <c r="N109" s="486">
        <f t="shared" si="71"/>
        <v>0</v>
      </c>
      <c r="O109" s="486">
        <f t="shared" si="71"/>
        <v>0</v>
      </c>
      <c r="P109" s="486">
        <f t="shared" si="71"/>
        <v>0</v>
      </c>
      <c r="Q109" s="486">
        <f t="shared" si="71"/>
        <v>0</v>
      </c>
      <c r="R109" s="486">
        <f t="shared" si="71"/>
        <v>0</v>
      </c>
    </row>
    <row r="111" spans="2:18">
      <c r="B111" t="s">
        <v>399</v>
      </c>
      <c r="H111" s="16"/>
      <c r="I111" s="486">
        <f t="shared" ref="I111:R111" si="72">I78</f>
        <v>0</v>
      </c>
      <c r="J111" s="486">
        <f t="shared" si="72"/>
        <v>0</v>
      </c>
      <c r="K111" s="486">
        <f t="shared" si="72"/>
        <v>10</v>
      </c>
      <c r="L111" s="486">
        <f t="shared" si="72"/>
        <v>40</v>
      </c>
      <c r="M111" s="486">
        <f t="shared" si="72"/>
        <v>70</v>
      </c>
      <c r="N111" s="486">
        <f t="shared" si="72"/>
        <v>70</v>
      </c>
      <c r="O111" s="486">
        <f t="shared" si="72"/>
        <v>70</v>
      </c>
      <c r="P111" s="486">
        <f t="shared" si="72"/>
        <v>70</v>
      </c>
      <c r="Q111" s="486">
        <f t="shared" si="72"/>
        <v>70</v>
      </c>
      <c r="R111" s="486">
        <f t="shared" si="72"/>
        <v>70</v>
      </c>
    </row>
    <row r="113" spans="2:24">
      <c r="B113" t="s">
        <v>7742</v>
      </c>
      <c r="I113" s="486">
        <f>I105+I109-I111</f>
        <v>597.90000000000009</v>
      </c>
      <c r="J113" s="486">
        <f t="shared" ref="J113:K113" si="73">J105+J109-J111</f>
        <v>559.80000000000007</v>
      </c>
      <c r="K113" s="486">
        <f t="shared" si="73"/>
        <v>500.5</v>
      </c>
      <c r="L113" s="486">
        <f t="shared" ref="L113:R113" si="74">L114*L102</f>
        <v>306.91267200000004</v>
      </c>
      <c r="M113" s="486">
        <f t="shared" si="74"/>
        <v>411.47579900720001</v>
      </c>
      <c r="N113" s="486">
        <f t="shared" si="74"/>
        <v>446.62807306073091</v>
      </c>
      <c r="O113" s="486">
        <f t="shared" si="74"/>
        <v>465.47001665344436</v>
      </c>
      <c r="P113" s="486">
        <f t="shared" si="74"/>
        <v>483.38226646477506</v>
      </c>
      <c r="Q113" s="486">
        <f t="shared" si="74"/>
        <v>489.40300859698652</v>
      </c>
      <c r="R113" s="486">
        <f t="shared" si="74"/>
        <v>495.55641141247179</v>
      </c>
      <c r="T113" s="5"/>
      <c r="U113" s="5"/>
      <c r="X113" s="16"/>
    </row>
    <row r="114" spans="2:24">
      <c r="B114" t="s">
        <v>251</v>
      </c>
      <c r="I114" s="6">
        <f>I113/I102</f>
        <v>0.41092783505154645</v>
      </c>
      <c r="J114" s="6">
        <f>J113/J102</f>
        <v>0.38079042242024358</v>
      </c>
      <c r="K114" s="6">
        <f>K113/K102</f>
        <v>0.35321100917431192</v>
      </c>
      <c r="L114" s="1436">
        <v>0.24</v>
      </c>
      <c r="M114" s="1436">
        <v>0.31</v>
      </c>
      <c r="N114" s="1436">
        <v>0.33</v>
      </c>
      <c r="O114" s="1436">
        <v>0.34</v>
      </c>
      <c r="P114" s="1436">
        <v>0.35</v>
      </c>
      <c r="Q114" s="1436">
        <v>0.35</v>
      </c>
      <c r="R114" s="1436">
        <v>0.35</v>
      </c>
    </row>
    <row r="116" spans="2:24">
      <c r="B116" t="s">
        <v>19</v>
      </c>
      <c r="I116" s="1427">
        <v>219.2</v>
      </c>
      <c r="J116" s="1427">
        <v>233.5</v>
      </c>
      <c r="K116" s="1427">
        <v>219</v>
      </c>
      <c r="L116" s="486">
        <f t="shared" ref="L116:R116" si="75">L117*L102</f>
        <v>204.60844800000004</v>
      </c>
      <c r="M116" s="486">
        <f t="shared" si="75"/>
        <v>212.37460593920002</v>
      </c>
      <c r="N116" s="486">
        <f t="shared" si="75"/>
        <v>203.01276048215038</v>
      </c>
      <c r="O116" s="486">
        <f t="shared" si="75"/>
        <v>205.35441911181368</v>
      </c>
      <c r="P116" s="486">
        <f t="shared" si="75"/>
        <v>207.1638284849036</v>
      </c>
      <c r="Q116" s="486">
        <f t="shared" si="75"/>
        <v>209.74414654156564</v>
      </c>
      <c r="R116" s="486">
        <f t="shared" si="75"/>
        <v>212.38131917677364</v>
      </c>
    </row>
    <row r="117" spans="2:24">
      <c r="B117" t="s">
        <v>4064</v>
      </c>
      <c r="I117" s="6">
        <f>I116/I102</f>
        <v>0.15065292096219932</v>
      </c>
      <c r="J117" s="6">
        <f>J116/J102</f>
        <v>0.15883273246717911</v>
      </c>
      <c r="K117" s="6">
        <f>K116/K102</f>
        <v>0.15455187014820043</v>
      </c>
      <c r="L117" s="1436">
        <v>0.16</v>
      </c>
      <c r="M117" s="1436">
        <v>0.16</v>
      </c>
      <c r="N117" s="1436">
        <v>0.15</v>
      </c>
      <c r="O117" s="1436">
        <v>0.15</v>
      </c>
      <c r="P117" s="1436">
        <v>0.15</v>
      </c>
      <c r="Q117" s="1436">
        <v>0.15</v>
      </c>
      <c r="R117" s="1436">
        <v>0.15</v>
      </c>
    </row>
    <row r="119" spans="2:24">
      <c r="B119" t="s">
        <v>27</v>
      </c>
      <c r="I119" s="486">
        <f t="shared" ref="I119:R119" si="76">I105-I116</f>
        <v>366.7000000000001</v>
      </c>
      <c r="J119" s="486">
        <f t="shared" si="76"/>
        <v>311.30000000000007</v>
      </c>
      <c r="K119" s="486">
        <f t="shared" si="76"/>
        <v>266.5</v>
      </c>
      <c r="L119" s="486">
        <f t="shared" si="76"/>
        <v>119.304224</v>
      </c>
      <c r="M119" s="486">
        <f t="shared" si="76"/>
        <v>269.10119306799999</v>
      </c>
      <c r="N119" s="486">
        <f t="shared" si="76"/>
        <v>313.61531257858053</v>
      </c>
      <c r="O119" s="486">
        <f t="shared" si="76"/>
        <v>330.11559754163073</v>
      </c>
      <c r="P119" s="486">
        <f t="shared" si="76"/>
        <v>346.21843797987145</v>
      </c>
      <c r="Q119" s="486">
        <f t="shared" si="76"/>
        <v>349.65886205542085</v>
      </c>
      <c r="R119" s="486">
        <f t="shared" si="76"/>
        <v>353.17509223569812</v>
      </c>
    </row>
    <row r="121" spans="2:24" outlineLevel="1">
      <c r="B121" s="13" t="s">
        <v>7305</v>
      </c>
    </row>
    <row r="122" spans="2:24" outlineLevel="1">
      <c r="B122" t="s">
        <v>904</v>
      </c>
      <c r="K122" s="1427">
        <v>45</v>
      </c>
    </row>
    <row r="123" spans="2:24" outlineLevel="1">
      <c r="B123" t="s">
        <v>1569</v>
      </c>
      <c r="J123" s="16">
        <f>'LiLAC valuation'!AO330</f>
        <v>524</v>
      </c>
      <c r="K123" s="16">
        <f>'LiLAC valuation'!AS330</f>
        <v>547.1</v>
      </c>
    </row>
    <row r="124" spans="2:24" outlineLevel="1">
      <c r="B124" t="s">
        <v>7306</v>
      </c>
      <c r="J124" s="16"/>
      <c r="K124" s="16">
        <f>K122*12*AVERAGE(J123,K123)/1000</f>
        <v>289.197</v>
      </c>
    </row>
    <row r="125" spans="2:24" outlineLevel="1">
      <c r="B125" t="s">
        <v>7307</v>
      </c>
      <c r="J125" s="16"/>
      <c r="K125" s="5">
        <f>K124/K102</f>
        <v>0.204091037402964</v>
      </c>
    </row>
    <row r="126" spans="2:24" outlineLevel="1">
      <c r="B126" t="s">
        <v>7308</v>
      </c>
      <c r="J126" s="16"/>
      <c r="K126" s="5">
        <f>K124/Master!O52</f>
        <v>6.410786726075679E-2</v>
      </c>
    </row>
    <row r="127" spans="2:24" outlineLevel="1"/>
    <row r="128" spans="2:24">
      <c r="B128" s="1431" t="s">
        <v>2046</v>
      </c>
      <c r="C128" s="1431"/>
      <c r="D128" s="1431"/>
      <c r="E128" s="1431"/>
      <c r="F128" s="1431"/>
      <c r="G128" s="1431"/>
      <c r="H128" s="1431"/>
      <c r="I128" s="1431">
        <f>I$88</f>
        <v>2021</v>
      </c>
      <c r="J128" s="1431">
        <f t="shared" ref="J128:R128" si="77">J$88</f>
        <v>2022</v>
      </c>
      <c r="K128" s="1431">
        <f t="shared" si="77"/>
        <v>2023</v>
      </c>
      <c r="L128" s="1431">
        <f t="shared" si="77"/>
        <v>2024</v>
      </c>
      <c r="M128" s="1431">
        <f t="shared" si="77"/>
        <v>2025</v>
      </c>
      <c r="N128" s="1431">
        <f t="shared" si="77"/>
        <v>2026</v>
      </c>
      <c r="O128" s="1431">
        <f t="shared" si="77"/>
        <v>2027</v>
      </c>
      <c r="P128" s="1431">
        <f t="shared" si="77"/>
        <v>2028</v>
      </c>
      <c r="Q128" s="1431">
        <f t="shared" si="77"/>
        <v>2029</v>
      </c>
      <c r="R128" s="1431">
        <f t="shared" si="77"/>
        <v>2030</v>
      </c>
    </row>
    <row r="129" spans="2:26">
      <c r="B129" t="s">
        <v>164</v>
      </c>
      <c r="I129" s="1427">
        <v>2566.1999999999998</v>
      </c>
      <c r="J129" s="1427">
        <v>2589.1</v>
      </c>
      <c r="K129" s="1427">
        <v>2701.3</v>
      </c>
      <c r="L129" s="1819">
        <f>K129+81</f>
        <v>2782.3</v>
      </c>
      <c r="M129" s="1819">
        <f>L129</f>
        <v>2782.3</v>
      </c>
      <c r="N129" s="1819">
        <f t="shared" ref="N129:R129" si="78">M129</f>
        <v>2782.3</v>
      </c>
      <c r="O129" s="1819">
        <f t="shared" si="78"/>
        <v>2782.3</v>
      </c>
      <c r="P129" s="1819">
        <f t="shared" si="78"/>
        <v>2782.3</v>
      </c>
      <c r="Q129" s="1819">
        <f t="shared" si="78"/>
        <v>2782.3</v>
      </c>
      <c r="R129" s="1819">
        <f t="shared" si="78"/>
        <v>2782.3</v>
      </c>
    </row>
    <row r="130" spans="2:26">
      <c r="B130" t="s">
        <v>6826</v>
      </c>
      <c r="I130" s="1427">
        <v>6.5</v>
      </c>
      <c r="J130" s="1427">
        <v>5.7</v>
      </c>
      <c r="K130" s="1427">
        <v>5.5</v>
      </c>
      <c r="L130" s="1381">
        <f t="shared" ref="L130:R130" si="79">K130*(1+L94)</f>
        <v>4.5103628796053643</v>
      </c>
      <c r="M130" s="1381">
        <f t="shared" si="79"/>
        <v>4.9932341978726695</v>
      </c>
      <c r="N130" s="1381">
        <f t="shared" si="79"/>
        <v>5.2047997159377974</v>
      </c>
      <c r="O130" s="1381">
        <f t="shared" si="79"/>
        <v>5.3257946477483209</v>
      </c>
      <c r="P130" s="1381">
        <f t="shared" si="79"/>
        <v>5.4148263528353198</v>
      </c>
      <c r="Q130" s="1381">
        <f t="shared" si="79"/>
        <v>5.5054674275212401</v>
      </c>
      <c r="R130" s="1381">
        <f t="shared" si="79"/>
        <v>5.597748418458286</v>
      </c>
    </row>
    <row r="131" spans="2:26">
      <c r="B131" t="s">
        <v>707</v>
      </c>
      <c r="I131" s="1427">
        <v>157.69999999999999</v>
      </c>
      <c r="J131" s="1427">
        <v>72.3</v>
      </c>
      <c r="K131" s="1427">
        <v>127.9</v>
      </c>
      <c r="L131" s="486">
        <f>L129-L130-L132</f>
        <v>31.416291120394362</v>
      </c>
      <c r="M131" s="486">
        <f t="shared" ref="M131:R131" si="80">M129-M130-M132</f>
        <v>6.7361339817584849</v>
      </c>
      <c r="N131" s="486">
        <f t="shared" si="80"/>
        <v>-5.5361149911432221</v>
      </c>
      <c r="O131" s="486">
        <f t="shared" si="80"/>
        <v>24.41372054204794</v>
      </c>
      <c r="P131" s="486">
        <f t="shared" si="80"/>
        <v>110.93379312425577</v>
      </c>
      <c r="Q131" s="486">
        <f t="shared" si="80"/>
        <v>206.8599144806094</v>
      </c>
      <c r="R131" s="486">
        <f t="shared" si="80"/>
        <v>316.13669175749465</v>
      </c>
    </row>
    <row r="132" spans="2:26">
      <c r="B132" s="1426" t="s">
        <v>115</v>
      </c>
      <c r="C132" s="1426"/>
      <c r="D132" s="1426"/>
      <c r="E132" s="1426"/>
      <c r="F132" s="1426"/>
      <c r="G132" s="1426"/>
      <c r="H132" s="1426"/>
      <c r="I132" s="1428">
        <f>I129+I130-I131</f>
        <v>2415</v>
      </c>
      <c r="J132" s="1428">
        <f t="shared" ref="J132:K132" si="81">J129+J130-J131</f>
        <v>2522.4999999999995</v>
      </c>
      <c r="K132" s="1428">
        <f t="shared" si="81"/>
        <v>2578.9</v>
      </c>
      <c r="L132" s="1428">
        <f t="shared" ref="L132:R132" si="82">K132-L150</f>
        <v>2746.3733460000003</v>
      </c>
      <c r="M132" s="1428">
        <f t="shared" si="82"/>
        <v>2770.5706318203688</v>
      </c>
      <c r="N132" s="1428">
        <f t="shared" si="82"/>
        <v>2782.6313152752055</v>
      </c>
      <c r="O132" s="1428">
        <f t="shared" si="82"/>
        <v>2752.5604848102039</v>
      </c>
      <c r="P132" s="1428">
        <f t="shared" si="82"/>
        <v>2665.9513805229089</v>
      </c>
      <c r="Q132" s="1428">
        <f t="shared" si="82"/>
        <v>2569.9346180918697</v>
      </c>
      <c r="R132" s="1428">
        <f t="shared" si="82"/>
        <v>2460.5655598240473</v>
      </c>
    </row>
    <row r="133" spans="2:26">
      <c r="B133" t="s">
        <v>273</v>
      </c>
      <c r="I133" s="1425">
        <f t="shared" ref="I133:R133" si="83">I132/I105</f>
        <v>4.1218637992831537</v>
      </c>
      <c r="J133" s="1425">
        <f t="shared" si="83"/>
        <v>4.630139500734213</v>
      </c>
      <c r="K133" s="1425">
        <f t="shared" ref="K133" si="84">K132/K105</f>
        <v>5.311843460350155</v>
      </c>
      <c r="L133" s="1425">
        <f t="shared" si="83"/>
        <v>8.4787462282426542</v>
      </c>
      <c r="M133" s="1425">
        <f t="shared" si="83"/>
        <v>5.7543299944322595</v>
      </c>
      <c r="N133" s="1425">
        <f t="shared" si="83"/>
        <v>5.3861403597169604</v>
      </c>
      <c r="O133" s="1425">
        <f t="shared" si="83"/>
        <v>5.1404567934784255</v>
      </c>
      <c r="P133" s="1425">
        <f t="shared" si="83"/>
        <v>4.817558389707826</v>
      </c>
      <c r="Q133" s="1425">
        <f t="shared" si="83"/>
        <v>4.5940664933808755</v>
      </c>
      <c r="R133" s="1425">
        <f t="shared" si="83"/>
        <v>4.3506987281406788</v>
      </c>
    </row>
    <row r="135" spans="2:26" outlineLevel="1">
      <c r="B135" t="s">
        <v>6859</v>
      </c>
      <c r="J135" s="1427">
        <v>1981</v>
      </c>
    </row>
    <row r="136" spans="2:26" outlineLevel="1">
      <c r="B136" t="s">
        <v>6860</v>
      </c>
      <c r="J136" s="1427">
        <v>620</v>
      </c>
    </row>
    <row r="137" spans="2:26" outlineLevel="1">
      <c r="B137" t="s">
        <v>2787</v>
      </c>
      <c r="J137" s="1427">
        <v>16.7</v>
      </c>
    </row>
    <row r="138" spans="2:26" outlineLevel="1">
      <c r="B138" t="s">
        <v>6857</v>
      </c>
      <c r="J138" s="1427">
        <v>-28.6</v>
      </c>
    </row>
    <row r="139" spans="2:26" outlineLevel="1">
      <c r="J139" s="1427"/>
      <c r="S139" s="80" t="s">
        <v>6525</v>
      </c>
      <c r="T139" s="80" t="s">
        <v>6526</v>
      </c>
      <c r="U139" s="80" t="s">
        <v>6527</v>
      </c>
      <c r="V139" s="80" t="s">
        <v>6528</v>
      </c>
      <c r="W139" s="80" t="s">
        <v>7121</v>
      </c>
      <c r="X139" s="80" t="s">
        <v>7451</v>
      </c>
      <c r="Y139" s="80" t="s">
        <v>7800</v>
      </c>
      <c r="Z139" s="80" t="s">
        <v>7912</v>
      </c>
    </row>
    <row r="140" spans="2:26" outlineLevel="1">
      <c r="S140" s="16">
        <v>34</v>
      </c>
      <c r="T140" s="16">
        <f>87.4-S140</f>
        <v>53.400000000000006</v>
      </c>
      <c r="U140" s="16">
        <f>123-S140-T140</f>
        <v>35.599999999999994</v>
      </c>
      <c r="V140" s="16">
        <f>-K144-S140-T140-U140</f>
        <v>50.599999999999994</v>
      </c>
      <c r="W140" s="16">
        <v>42.5</v>
      </c>
      <c r="X140" s="16">
        <f>97.7-W140</f>
        <v>55.2</v>
      </c>
    </row>
    <row r="141" spans="2:26" outlineLevel="1"/>
    <row r="142" spans="2:26">
      <c r="B142" s="1431" t="s">
        <v>6832</v>
      </c>
      <c r="C142" s="1431"/>
      <c r="D142" s="1431"/>
      <c r="E142" s="1431"/>
      <c r="F142" s="1431"/>
      <c r="G142" s="1431"/>
      <c r="H142" s="1431"/>
      <c r="I142" s="1431">
        <f>I$88</f>
        <v>2021</v>
      </c>
      <c r="J142" s="1431">
        <f t="shared" ref="J142:R142" si="85">J$88</f>
        <v>2022</v>
      </c>
      <c r="K142" s="1431">
        <f t="shared" si="85"/>
        <v>2023</v>
      </c>
      <c r="L142" s="1431">
        <f t="shared" si="85"/>
        <v>2024</v>
      </c>
      <c r="M142" s="1431">
        <f t="shared" si="85"/>
        <v>2025</v>
      </c>
      <c r="N142" s="1431">
        <f t="shared" si="85"/>
        <v>2026</v>
      </c>
      <c r="O142" s="1431">
        <f t="shared" si="85"/>
        <v>2027</v>
      </c>
      <c r="P142" s="1431">
        <f t="shared" si="85"/>
        <v>2028</v>
      </c>
      <c r="Q142" s="1431">
        <f t="shared" si="85"/>
        <v>2029</v>
      </c>
      <c r="R142" s="1431">
        <f t="shared" si="85"/>
        <v>2030</v>
      </c>
    </row>
    <row r="143" spans="2:26">
      <c r="B143" t="s">
        <v>27</v>
      </c>
      <c r="H143" s="486"/>
      <c r="I143" s="486">
        <f t="shared" ref="I143:R143" si="86">I119</f>
        <v>366.7000000000001</v>
      </c>
      <c r="J143" s="486">
        <f t="shared" si="86"/>
        <v>311.30000000000007</v>
      </c>
      <c r="K143" s="486">
        <f t="shared" si="86"/>
        <v>266.5</v>
      </c>
      <c r="L143" s="486">
        <f t="shared" si="86"/>
        <v>119.304224</v>
      </c>
      <c r="M143" s="486">
        <f t="shared" si="86"/>
        <v>269.10119306799999</v>
      </c>
      <c r="N143" s="486">
        <f t="shared" si="86"/>
        <v>313.61531257858053</v>
      </c>
      <c r="O143" s="486">
        <f t="shared" si="86"/>
        <v>330.11559754163073</v>
      </c>
      <c r="P143" s="486">
        <f t="shared" si="86"/>
        <v>346.21843797987145</v>
      </c>
      <c r="Q143" s="486">
        <f t="shared" si="86"/>
        <v>349.65886205542085</v>
      </c>
      <c r="R143" s="486">
        <f t="shared" si="86"/>
        <v>353.17509223569812</v>
      </c>
    </row>
    <row r="144" spans="2:26">
      <c r="B144" t="s">
        <v>731</v>
      </c>
      <c r="H144" s="1427"/>
      <c r="I144" s="1427">
        <v>-130.5</v>
      </c>
      <c r="J144" s="1427">
        <f>-155.2</f>
        <v>-155.19999999999999</v>
      </c>
      <c r="K144" s="1427">
        <v>-173.6</v>
      </c>
      <c r="L144" s="486">
        <f t="shared" ref="L144:R144" si="87">L171+L170</f>
        <v>-189.8075</v>
      </c>
      <c r="M144" s="486">
        <f>M171+M170</f>
        <v>-213.11494671036846</v>
      </c>
      <c r="N144" s="486">
        <f t="shared" si="87"/>
        <v>-215.2240819610945</v>
      </c>
      <c r="O144" s="486">
        <f t="shared" si="87"/>
        <v>-215.84969459964574</v>
      </c>
      <c r="P144" s="486">
        <f t="shared" si="87"/>
        <v>-215.13997558915904</v>
      </c>
      <c r="Q144" s="486">
        <f t="shared" si="87"/>
        <v>-213.40957413751488</v>
      </c>
      <c r="R144" s="486">
        <f t="shared" si="87"/>
        <v>-200.02825000000001</v>
      </c>
    </row>
    <row r="145" spans="2:18">
      <c r="B145" t="s">
        <v>2725</v>
      </c>
      <c r="H145" s="1427"/>
      <c r="I145" s="1427">
        <v>-21.3</v>
      </c>
      <c r="J145" s="1427">
        <f>-17.3</f>
        <v>-17.3</v>
      </c>
      <c r="K145" s="1427">
        <v>-9.9</v>
      </c>
      <c r="L145" s="1819">
        <v>-10</v>
      </c>
      <c r="M145" s="1819">
        <v>-15</v>
      </c>
      <c r="N145" s="1819">
        <v>-35</v>
      </c>
      <c r="O145" s="486">
        <f t="shared" ref="O145:R145" si="88">O175</f>
        <v>-16.814483262074742</v>
      </c>
      <c r="P145" s="486">
        <f t="shared" si="88"/>
        <v>-20.300244780178534</v>
      </c>
      <c r="Q145" s="486">
        <f t="shared" si="88"/>
        <v>-19.258110832709956</v>
      </c>
      <c r="R145" s="486">
        <f t="shared" si="88"/>
        <v>-22.539652050198224</v>
      </c>
    </row>
    <row r="146" spans="2:18">
      <c r="B146" t="s">
        <v>6829</v>
      </c>
      <c r="H146" s="1427"/>
      <c r="I146" s="1427">
        <f>-55.3+37.4</f>
        <v>-17.899999999999999</v>
      </c>
      <c r="J146" s="1427">
        <f>-78.8+56.7</f>
        <v>-22.099999999999994</v>
      </c>
      <c r="K146" s="1427">
        <f>-14.9-20.1</f>
        <v>-35</v>
      </c>
      <c r="L146" s="1381">
        <f t="shared" ref="L146:R146" si="89">L161*L102</f>
        <v>-31.970070000000007</v>
      </c>
      <c r="M146" s="1381">
        <f t="shared" si="89"/>
        <v>-33.183532178</v>
      </c>
      <c r="N146" s="1381">
        <f t="shared" si="89"/>
        <v>-30.451914072322559</v>
      </c>
      <c r="O146" s="1381">
        <f t="shared" si="89"/>
        <v>-27.380589214908493</v>
      </c>
      <c r="P146" s="1381">
        <f t="shared" si="89"/>
        <v>-24.169113323238758</v>
      </c>
      <c r="Q146" s="1381">
        <f t="shared" si="89"/>
        <v>-20.974414654156565</v>
      </c>
      <c r="R146" s="1381">
        <f t="shared" si="89"/>
        <v>-21.238131917677364</v>
      </c>
    </row>
    <row r="147" spans="2:18">
      <c r="B147" t="s">
        <v>213</v>
      </c>
      <c r="H147" s="486"/>
      <c r="I147" s="486"/>
      <c r="J147" s="486"/>
      <c r="K147" s="486"/>
      <c r="L147" s="1381">
        <v>0</v>
      </c>
      <c r="M147" s="1381">
        <v>0</v>
      </c>
      <c r="N147" s="1381">
        <v>0</v>
      </c>
      <c r="O147" s="1381">
        <v>0</v>
      </c>
      <c r="P147" s="1381">
        <v>0</v>
      </c>
      <c r="Q147" s="1381">
        <v>0</v>
      </c>
      <c r="R147" s="1381">
        <v>0</v>
      </c>
    </row>
    <row r="148" spans="2:18">
      <c r="B148" t="s">
        <v>7741</v>
      </c>
      <c r="H148" s="486"/>
      <c r="I148" s="486"/>
      <c r="J148" s="486"/>
      <c r="K148" s="486"/>
      <c r="L148" s="1381">
        <f>-Notes!C5182</f>
        <v>-95</v>
      </c>
      <c r="M148" s="1381">
        <f>-Notes!D5182</f>
        <v>-72</v>
      </c>
      <c r="N148" s="1381">
        <f>-Notes!E5182</f>
        <v>-45</v>
      </c>
      <c r="O148" s="1381">
        <f>-Notes!F5182</f>
        <v>-40</v>
      </c>
      <c r="P148" s="1381">
        <v>0</v>
      </c>
      <c r="Q148" s="1381">
        <v>0</v>
      </c>
      <c r="R148" s="1381">
        <v>0</v>
      </c>
    </row>
    <row r="149" spans="2:18">
      <c r="B149" t="s">
        <v>7918</v>
      </c>
      <c r="H149" s="486"/>
      <c r="I149" s="486"/>
      <c r="J149" s="486"/>
      <c r="K149" s="486"/>
      <c r="L149" s="1381">
        <v>40</v>
      </c>
      <c r="M149" s="1381">
        <v>40</v>
      </c>
      <c r="N149" s="1381">
        <v>0</v>
      </c>
      <c r="O149" s="1381">
        <v>0</v>
      </c>
      <c r="P149" s="1381">
        <v>0</v>
      </c>
      <c r="Q149" s="1381">
        <v>0</v>
      </c>
      <c r="R149" s="1381">
        <v>0</v>
      </c>
    </row>
    <row r="150" spans="2:18">
      <c r="B150" s="1426" t="s">
        <v>377</v>
      </c>
      <c r="C150" s="1429"/>
      <c r="D150" s="1429"/>
      <c r="E150" s="1429"/>
      <c r="F150" s="1429"/>
      <c r="G150" s="1429"/>
      <c r="H150" s="1428"/>
      <c r="I150" s="1428">
        <f>SUM(I143:I149)</f>
        <v>197.00000000000009</v>
      </c>
      <c r="J150" s="1428">
        <f t="shared" ref="J150:R150" si="90">SUM(J143:J149)</f>
        <v>116.70000000000007</v>
      </c>
      <c r="K150" s="1428">
        <f t="shared" si="90"/>
        <v>48</v>
      </c>
      <c r="L150" s="1428">
        <f t="shared" si="90"/>
        <v>-167.47334599999999</v>
      </c>
      <c r="M150" s="1428">
        <f t="shared" si="90"/>
        <v>-24.197285820368478</v>
      </c>
      <c r="N150" s="1428">
        <f t="shared" si="90"/>
        <v>-12.060683454836528</v>
      </c>
      <c r="O150" s="1428">
        <f t="shared" si="90"/>
        <v>30.070830465001748</v>
      </c>
      <c r="P150" s="1428">
        <f t="shared" si="90"/>
        <v>86.609104287295125</v>
      </c>
      <c r="Q150" s="1428">
        <f t="shared" si="90"/>
        <v>96.016762431039453</v>
      </c>
      <c r="R150" s="1428">
        <f t="shared" si="90"/>
        <v>109.36905826782252</v>
      </c>
    </row>
    <row r="151" spans="2:18">
      <c r="B151" t="s">
        <v>116</v>
      </c>
      <c r="H151" s="486"/>
      <c r="I151" s="486">
        <f>-I150</f>
        <v>-197.00000000000009</v>
      </c>
      <c r="J151" s="486">
        <f t="shared" ref="J151:R151" si="91">-J150</f>
        <v>-116.70000000000007</v>
      </c>
      <c r="K151" s="486">
        <f t="shared" si="91"/>
        <v>-48</v>
      </c>
      <c r="L151" s="486">
        <f t="shared" si="91"/>
        <v>167.47334599999999</v>
      </c>
      <c r="M151" s="486">
        <f t="shared" si="91"/>
        <v>24.197285820368478</v>
      </c>
      <c r="N151" s="486">
        <f t="shared" si="91"/>
        <v>12.060683454836528</v>
      </c>
      <c r="O151" s="486">
        <f t="shared" si="91"/>
        <v>-30.070830465001748</v>
      </c>
      <c r="P151" s="486">
        <f t="shared" si="91"/>
        <v>-86.609104287295125</v>
      </c>
      <c r="Q151" s="486">
        <f t="shared" si="91"/>
        <v>-96.016762431039453</v>
      </c>
      <c r="R151" s="486">
        <f t="shared" si="91"/>
        <v>-109.36905826782252</v>
      </c>
    </row>
    <row r="152" spans="2:18">
      <c r="H152" s="486"/>
      <c r="I152" s="486"/>
      <c r="J152" s="486"/>
      <c r="K152" s="486"/>
      <c r="L152" s="486"/>
      <c r="M152" s="486"/>
      <c r="N152" s="486"/>
      <c r="O152" s="486"/>
      <c r="P152" s="486"/>
      <c r="Q152" s="486"/>
      <c r="R152" s="486"/>
    </row>
    <row r="153" spans="2:18">
      <c r="B153" s="1625" t="s">
        <v>3070</v>
      </c>
      <c r="C153" s="1431"/>
      <c r="D153" s="1431"/>
      <c r="E153" s="1431"/>
      <c r="F153" s="1431"/>
      <c r="G153" s="1431"/>
      <c r="H153" s="1431"/>
      <c r="I153" s="1431">
        <f t="shared" ref="I153:R153" si="92">I88</f>
        <v>2021</v>
      </c>
      <c r="J153" s="1431">
        <f t="shared" si="92"/>
        <v>2022</v>
      </c>
      <c r="K153" s="1431">
        <f t="shared" si="92"/>
        <v>2023</v>
      </c>
      <c r="L153" s="1431">
        <f t="shared" si="92"/>
        <v>2024</v>
      </c>
      <c r="M153" s="1431">
        <f t="shared" si="92"/>
        <v>2025</v>
      </c>
      <c r="N153" s="1431">
        <f t="shared" si="92"/>
        <v>2026</v>
      </c>
      <c r="O153" s="1431">
        <f t="shared" si="92"/>
        <v>2027</v>
      </c>
      <c r="P153" s="1431">
        <f t="shared" si="92"/>
        <v>2028</v>
      </c>
      <c r="Q153" s="1431">
        <f t="shared" si="92"/>
        <v>2029</v>
      </c>
      <c r="R153" s="1431">
        <f t="shared" si="92"/>
        <v>2030</v>
      </c>
    </row>
    <row r="154" spans="2:18">
      <c r="B154" t="s">
        <v>6855</v>
      </c>
      <c r="D154" s="486"/>
      <c r="E154" s="486"/>
      <c r="F154" s="486"/>
      <c r="G154" s="486"/>
      <c r="H154" s="486"/>
      <c r="I154" s="486">
        <f t="shared" ref="I154:R154" si="93">I131</f>
        <v>157.69999999999999</v>
      </c>
      <c r="J154" s="486">
        <f t="shared" si="93"/>
        <v>72.3</v>
      </c>
      <c r="K154" s="486">
        <f t="shared" si="93"/>
        <v>127.9</v>
      </c>
      <c r="L154" s="486">
        <f t="shared" si="93"/>
        <v>31.416291120394362</v>
      </c>
      <c r="M154" s="486">
        <f t="shared" si="93"/>
        <v>6.7361339817584849</v>
      </c>
      <c r="N154" s="486">
        <f t="shared" si="93"/>
        <v>-5.5361149911432221</v>
      </c>
      <c r="O154" s="486">
        <f t="shared" si="93"/>
        <v>24.41372054204794</v>
      </c>
      <c r="P154" s="486">
        <f t="shared" si="93"/>
        <v>110.93379312425577</v>
      </c>
      <c r="Q154" s="486">
        <f t="shared" si="93"/>
        <v>206.8599144806094</v>
      </c>
      <c r="R154" s="486">
        <f t="shared" si="93"/>
        <v>316.13669175749465</v>
      </c>
    </row>
    <row r="155" spans="2:18">
      <c r="B155" t="s">
        <v>6856</v>
      </c>
      <c r="E155" s="486"/>
      <c r="F155" s="486"/>
      <c r="G155" s="486"/>
      <c r="H155" s="486"/>
      <c r="I155" s="486"/>
      <c r="J155" s="486"/>
      <c r="K155" s="1427">
        <v>172.5</v>
      </c>
      <c r="L155" s="1381">
        <f>K155-50</f>
        <v>122.5</v>
      </c>
      <c r="M155" s="1381">
        <f t="shared" ref="M155:R155" si="94">L155</f>
        <v>122.5</v>
      </c>
      <c r="N155" s="1381">
        <f t="shared" si="94"/>
        <v>122.5</v>
      </c>
      <c r="O155" s="1381">
        <f t="shared" si="94"/>
        <v>122.5</v>
      </c>
      <c r="P155" s="1381">
        <f t="shared" si="94"/>
        <v>122.5</v>
      </c>
      <c r="Q155" s="1381">
        <f t="shared" si="94"/>
        <v>122.5</v>
      </c>
      <c r="R155" s="1381">
        <f t="shared" si="94"/>
        <v>122.5</v>
      </c>
    </row>
    <row r="156" spans="2:18">
      <c r="B156" s="1426" t="s">
        <v>3087</v>
      </c>
      <c r="C156" s="1428"/>
      <c r="D156" s="1428"/>
      <c r="E156" s="1428"/>
      <c r="F156" s="1428"/>
      <c r="G156" s="1428"/>
      <c r="H156" s="1428"/>
      <c r="I156" s="1428">
        <f t="shared" ref="I156" si="95">I154+I155</f>
        <v>157.69999999999999</v>
      </c>
      <c r="J156" s="1428">
        <f t="shared" ref="J156" si="96">J154+J155</f>
        <v>72.3</v>
      </c>
      <c r="K156" s="1428">
        <f t="shared" ref="K156" si="97">K154+K155</f>
        <v>300.39999999999998</v>
      </c>
      <c r="L156" s="1428">
        <f t="shared" ref="L156" si="98">L154+L155</f>
        <v>153.91629112039436</v>
      </c>
      <c r="M156" s="1428">
        <f t="shared" ref="M156" si="99">M154+M155</f>
        <v>129.23613398175848</v>
      </c>
      <c r="N156" s="1428">
        <f t="shared" ref="N156" si="100">N154+N155</f>
        <v>116.96388500885678</v>
      </c>
      <c r="O156" s="1428">
        <f t="shared" ref="O156" si="101">O154+O155</f>
        <v>146.91372054204794</v>
      </c>
      <c r="P156" s="1428">
        <f t="shared" ref="P156" si="102">P154+P155</f>
        <v>233.43379312425577</v>
      </c>
      <c r="Q156" s="1428">
        <f t="shared" ref="Q156" si="103">Q154+Q155</f>
        <v>329.3599144806094</v>
      </c>
      <c r="R156" s="1428">
        <f t="shared" ref="R156" si="104">R154+R155</f>
        <v>438.63669175749465</v>
      </c>
    </row>
    <row r="157" spans="2:18">
      <c r="H157" s="486"/>
      <c r="I157" s="486"/>
      <c r="J157" s="486"/>
      <c r="K157" s="486"/>
      <c r="L157" s="486"/>
      <c r="M157" s="486"/>
      <c r="N157" s="486"/>
      <c r="O157" s="486"/>
      <c r="P157" s="486"/>
      <c r="Q157" s="486"/>
      <c r="R157" s="486"/>
    </row>
    <row r="158" spans="2:18">
      <c r="B158" t="s">
        <v>6861</v>
      </c>
      <c r="I158" s="1425">
        <f t="shared" ref="I158:R158" si="105">I105/-I144</f>
        <v>4.4896551724137934</v>
      </c>
      <c r="J158" s="1425">
        <f t="shared" si="105"/>
        <v>3.5103092783505163</v>
      </c>
      <c r="K158" s="1425">
        <f t="shared" si="105"/>
        <v>2.7966589861751152</v>
      </c>
      <c r="L158" s="1425">
        <f t="shared" si="105"/>
        <v>1.706532523741159</v>
      </c>
      <c r="M158" s="1425">
        <f t="shared" si="105"/>
        <v>2.2592305534606374</v>
      </c>
      <c r="N158" s="1425">
        <f t="shared" si="105"/>
        <v>2.4004194528478484</v>
      </c>
      <c r="O158" s="1425">
        <f t="shared" si="105"/>
        <v>2.4807541083003377</v>
      </c>
      <c r="P158" s="1425">
        <f t="shared" si="105"/>
        <v>2.5721963802837773</v>
      </c>
      <c r="Q158" s="1425">
        <f t="shared" si="105"/>
        <v>2.6212648184027754</v>
      </c>
      <c r="R158" s="1425">
        <f t="shared" si="105"/>
        <v>2.8273826892575009</v>
      </c>
    </row>
    <row r="159" spans="2:18">
      <c r="H159" s="486"/>
      <c r="I159" s="486"/>
      <c r="J159" s="486"/>
      <c r="K159" s="486"/>
      <c r="L159" s="486"/>
      <c r="M159" s="486"/>
      <c r="N159" s="486"/>
      <c r="O159" s="486"/>
      <c r="P159" s="486"/>
      <c r="Q159" s="486"/>
      <c r="R159" s="486"/>
    </row>
    <row r="160" spans="2:18">
      <c r="B160" s="513" t="s">
        <v>6836</v>
      </c>
    </row>
    <row r="161" spans="2:18">
      <c r="B161" t="s">
        <v>7734</v>
      </c>
      <c r="H161" s="1437"/>
      <c r="I161" s="606">
        <f>I146/I102</f>
        <v>-1.2302405498281786E-2</v>
      </c>
      <c r="J161" s="606">
        <f>J146/J102</f>
        <v>-1.5032990952996391E-2</v>
      </c>
      <c r="K161" s="606">
        <f>K146/K102</f>
        <v>-2.4700070571630206E-2</v>
      </c>
      <c r="L161" s="1438">
        <v>-2.5000000000000001E-2</v>
      </c>
      <c r="M161" s="1438">
        <v>-2.5000000000000001E-2</v>
      </c>
      <c r="N161" s="1438">
        <v>-2.2499999999999999E-2</v>
      </c>
      <c r="O161" s="1438">
        <v>-0.02</v>
      </c>
      <c r="P161" s="1438">
        <v>-1.7500000000000002E-2</v>
      </c>
      <c r="Q161" s="1438">
        <v>-1.4999999999999999E-2</v>
      </c>
      <c r="R161" s="1438">
        <v>-1.4999999999999999E-2</v>
      </c>
    </row>
    <row r="162" spans="2:18">
      <c r="H162" s="486"/>
      <c r="I162" s="486"/>
      <c r="J162" s="486"/>
      <c r="K162" s="486"/>
      <c r="L162" s="486"/>
      <c r="M162" s="486"/>
      <c r="N162" s="486"/>
      <c r="O162" s="486"/>
      <c r="P162" s="486"/>
      <c r="Q162" s="486"/>
      <c r="R162" s="486"/>
    </row>
    <row r="163" spans="2:18">
      <c r="B163" s="1431" t="s">
        <v>6831</v>
      </c>
      <c r="C163" s="1431"/>
      <c r="D163" s="1431"/>
      <c r="E163" s="1431"/>
      <c r="F163" s="1431"/>
      <c r="G163" s="1431"/>
      <c r="H163" s="1431"/>
      <c r="I163" s="1431">
        <f>I$88</f>
        <v>2021</v>
      </c>
      <c r="J163" s="1431">
        <f t="shared" ref="J163:R163" si="106">J$88</f>
        <v>2022</v>
      </c>
      <c r="K163" s="1431">
        <f t="shared" si="106"/>
        <v>2023</v>
      </c>
      <c r="L163" s="1431">
        <f t="shared" si="106"/>
        <v>2024</v>
      </c>
      <c r="M163" s="1431">
        <f t="shared" si="106"/>
        <v>2025</v>
      </c>
      <c r="N163" s="1431">
        <f t="shared" si="106"/>
        <v>2026</v>
      </c>
      <c r="O163" s="1431">
        <f t="shared" si="106"/>
        <v>2027</v>
      </c>
      <c r="P163" s="1431">
        <f t="shared" si="106"/>
        <v>2028</v>
      </c>
      <c r="Q163" s="1431">
        <f t="shared" si="106"/>
        <v>2029</v>
      </c>
      <c r="R163" s="1431">
        <f t="shared" si="106"/>
        <v>2030</v>
      </c>
    </row>
    <row r="164" spans="2:18">
      <c r="B164" t="s">
        <v>15</v>
      </c>
      <c r="H164" s="486"/>
      <c r="I164" s="486">
        <f t="shared" ref="I164:R164" si="107">I102</f>
        <v>1455</v>
      </c>
      <c r="J164" s="486">
        <f t="shared" si="107"/>
        <v>1470.1</v>
      </c>
      <c r="K164" s="486">
        <f t="shared" si="107"/>
        <v>1417</v>
      </c>
      <c r="L164" s="486">
        <f t="shared" si="107"/>
        <v>1278.8028000000002</v>
      </c>
      <c r="M164" s="486">
        <f t="shared" si="107"/>
        <v>1327.3412871200001</v>
      </c>
      <c r="N164" s="486">
        <f t="shared" si="107"/>
        <v>1353.418403214336</v>
      </c>
      <c r="O164" s="486">
        <f t="shared" si="107"/>
        <v>1369.0294607454246</v>
      </c>
      <c r="P164" s="486">
        <f t="shared" si="107"/>
        <v>1381.0921898993574</v>
      </c>
      <c r="Q164" s="486">
        <f t="shared" si="107"/>
        <v>1398.2943102771044</v>
      </c>
      <c r="R164" s="486">
        <f t="shared" si="107"/>
        <v>1415.8754611784909</v>
      </c>
    </row>
    <row r="165" spans="2:18">
      <c r="B165" t="s">
        <v>8</v>
      </c>
      <c r="H165" s="486"/>
      <c r="I165" s="486">
        <f t="shared" ref="I165:R165" si="108">I105</f>
        <v>585.90000000000009</v>
      </c>
      <c r="J165" s="486">
        <f t="shared" si="108"/>
        <v>544.80000000000007</v>
      </c>
      <c r="K165" s="486">
        <f t="shared" si="108"/>
        <v>485.5</v>
      </c>
      <c r="L165" s="486">
        <f t="shared" si="108"/>
        <v>323.91267200000004</v>
      </c>
      <c r="M165" s="486">
        <f t="shared" si="108"/>
        <v>481.47579900720001</v>
      </c>
      <c r="N165" s="486">
        <f t="shared" si="108"/>
        <v>516.62807306073091</v>
      </c>
      <c r="O165" s="486">
        <f t="shared" si="108"/>
        <v>535.47001665344442</v>
      </c>
      <c r="P165" s="486">
        <f t="shared" si="108"/>
        <v>553.38226646477506</v>
      </c>
      <c r="Q165" s="486">
        <f t="shared" si="108"/>
        <v>559.40300859698652</v>
      </c>
      <c r="R165" s="486">
        <f t="shared" si="108"/>
        <v>565.55641141247179</v>
      </c>
    </row>
    <row r="166" spans="2:18">
      <c r="B166" t="s">
        <v>56</v>
      </c>
      <c r="H166" s="1427"/>
      <c r="I166" s="1427">
        <v>-213.4</v>
      </c>
      <c r="J166" s="1427">
        <v>-244.6</v>
      </c>
      <c r="K166" s="1427">
        <v>-241.9</v>
      </c>
      <c r="L166" s="486">
        <f t="shared" ref="L166:R166" si="109">-L182*L164</f>
        <v>-231.09600070289349</v>
      </c>
      <c r="M166" s="486">
        <f t="shared" si="109"/>
        <v>-253.14093820134713</v>
      </c>
      <c r="N166" s="486">
        <f t="shared" si="109"/>
        <v>-264.88126935174012</v>
      </c>
      <c r="O166" s="486">
        <f t="shared" si="109"/>
        <v>-274.78170002159936</v>
      </c>
      <c r="P166" s="486">
        <f t="shared" si="109"/>
        <v>-284.10830479513993</v>
      </c>
      <c r="Q166" s="486">
        <f t="shared" si="109"/>
        <v>-294.63847223891173</v>
      </c>
      <c r="R166" s="486">
        <f t="shared" si="109"/>
        <v>-305.4224226119432</v>
      </c>
    </row>
    <row r="167" spans="2:18">
      <c r="B167" t="s">
        <v>4</v>
      </c>
      <c r="H167" s="486"/>
      <c r="I167" s="486">
        <f t="shared" ref="I167" si="110">-(I165+I166-I168)</f>
        <v>-72.300000000000125</v>
      </c>
      <c r="J167" s="486">
        <f>-(J165+J166-J168)</f>
        <v>-70.500000000000057</v>
      </c>
      <c r="K167" s="486">
        <f>-(K165+K166-K168)</f>
        <v>-68.400000000000006</v>
      </c>
      <c r="L167" s="1381">
        <v>0</v>
      </c>
      <c r="M167" s="1381">
        <v>0</v>
      </c>
      <c r="N167" s="1381">
        <v>0</v>
      </c>
      <c r="O167" s="1381">
        <v>0</v>
      </c>
      <c r="P167" s="1381">
        <v>0</v>
      </c>
      <c r="Q167" s="1381">
        <v>0</v>
      </c>
      <c r="R167" s="1381">
        <v>0</v>
      </c>
    </row>
    <row r="168" spans="2:18">
      <c r="B168" s="1426" t="s">
        <v>83</v>
      </c>
      <c r="C168" s="1426"/>
      <c r="D168" s="1426"/>
      <c r="E168" s="1426"/>
      <c r="F168" s="1426"/>
      <c r="G168" s="1426"/>
      <c r="H168" s="1430"/>
      <c r="I168" s="1430">
        <v>300.2</v>
      </c>
      <c r="J168" s="1430">
        <v>229.7</v>
      </c>
      <c r="K168" s="1430">
        <v>175.2</v>
      </c>
      <c r="L168" s="1428">
        <f t="shared" ref="L168:R168" si="111">L165+L166+L167</f>
        <v>92.816671297106552</v>
      </c>
      <c r="M168" s="1428">
        <f t="shared" si="111"/>
        <v>228.33486080585288</v>
      </c>
      <c r="N168" s="1428">
        <f t="shared" si="111"/>
        <v>251.7468037089908</v>
      </c>
      <c r="O168" s="1428">
        <f t="shared" si="111"/>
        <v>260.68831663184505</v>
      </c>
      <c r="P168" s="1428">
        <f t="shared" si="111"/>
        <v>269.27396166963513</v>
      </c>
      <c r="Q168" s="1428">
        <f t="shared" si="111"/>
        <v>264.76453635807479</v>
      </c>
      <c r="R168" s="1428">
        <f t="shared" si="111"/>
        <v>260.13398880052858</v>
      </c>
    </row>
    <row r="169" spans="2:18">
      <c r="H169" s="486"/>
      <c r="I169" s="486"/>
      <c r="J169" s="486"/>
      <c r="K169" s="486"/>
      <c r="L169" s="486"/>
      <c r="M169" s="486"/>
      <c r="N169" s="486"/>
      <c r="O169" s="486"/>
      <c r="P169" s="486"/>
      <c r="Q169" s="486"/>
      <c r="R169" s="486"/>
    </row>
    <row r="170" spans="2:18">
      <c r="B170" t="s">
        <v>155</v>
      </c>
      <c r="H170" s="1427"/>
      <c r="I170" s="1427">
        <v>10.199999999999999</v>
      </c>
      <c r="J170" s="1427">
        <v>15.6</v>
      </c>
      <c r="K170" s="1427">
        <v>24.5</v>
      </c>
      <c r="L170" s="486">
        <f t="shared" ref="L170:Q170" si="112">L185*K131</f>
        <v>12.790000000000001</v>
      </c>
      <c r="M170" s="486">
        <f t="shared" si="112"/>
        <v>2.513303289631549</v>
      </c>
      <c r="N170" s="486">
        <f t="shared" si="112"/>
        <v>0.40416803890550906</v>
      </c>
      <c r="O170" s="486">
        <f t="shared" si="112"/>
        <v>-0.22144459964572888</v>
      </c>
      <c r="P170" s="486">
        <f t="shared" si="112"/>
        <v>0.48827441084095879</v>
      </c>
      <c r="Q170" s="486">
        <f t="shared" si="112"/>
        <v>2.2186758624851155</v>
      </c>
      <c r="R170" s="1427">
        <v>15.6</v>
      </c>
    </row>
    <row r="171" spans="2:18">
      <c r="B171" t="s">
        <v>159</v>
      </c>
      <c r="H171" s="1427"/>
      <c r="I171" s="1427">
        <v>-151.30000000000001</v>
      </c>
      <c r="J171" s="1427">
        <v>-165.8</v>
      </c>
      <c r="K171" s="1427">
        <v>-187.3</v>
      </c>
      <c r="L171" s="486">
        <f t="shared" ref="L171:R171" si="113">-L188*K129</f>
        <v>-202.5975</v>
      </c>
      <c r="M171" s="486">
        <f t="shared" si="113"/>
        <v>-215.62825000000001</v>
      </c>
      <c r="N171" s="486">
        <f t="shared" si="113"/>
        <v>-215.62825000000001</v>
      </c>
      <c r="O171" s="486">
        <f t="shared" si="113"/>
        <v>-215.62825000000001</v>
      </c>
      <c r="P171" s="486">
        <f t="shared" si="113"/>
        <v>-215.62825000000001</v>
      </c>
      <c r="Q171" s="486">
        <f t="shared" si="113"/>
        <v>-215.62825000000001</v>
      </c>
      <c r="R171" s="486">
        <f t="shared" si="113"/>
        <v>-215.62825000000001</v>
      </c>
    </row>
    <row r="172" spans="2:18">
      <c r="B172" t="s">
        <v>4</v>
      </c>
      <c r="H172" s="486"/>
      <c r="I172" s="486">
        <f t="shared" ref="I172" si="114">(I173-I168-I170-I171)</f>
        <v>-17.899999999999977</v>
      </c>
      <c r="J172" s="486">
        <f>(J173-J168-J170-J171)</f>
        <v>62.400000000000034</v>
      </c>
      <c r="K172" s="486">
        <f>(K173-K168-K170-K171)</f>
        <v>-18.199999999999989</v>
      </c>
      <c r="L172" s="1381">
        <v>0</v>
      </c>
      <c r="M172" s="1381">
        <v>0</v>
      </c>
      <c r="N172" s="1381">
        <v>0</v>
      </c>
      <c r="O172" s="1381">
        <v>0</v>
      </c>
      <c r="P172" s="1381">
        <v>0</v>
      </c>
      <c r="Q172" s="1381">
        <v>0</v>
      </c>
      <c r="R172" s="1381">
        <v>0</v>
      </c>
    </row>
    <row r="173" spans="2:18">
      <c r="B173" s="1426" t="s">
        <v>66</v>
      </c>
      <c r="C173" s="1426"/>
      <c r="D173" s="1426"/>
      <c r="E173" s="1426"/>
      <c r="F173" s="1426"/>
      <c r="G173" s="1426"/>
      <c r="H173" s="1430"/>
      <c r="I173" s="1430">
        <v>141.19999999999999</v>
      </c>
      <c r="J173" s="1430">
        <v>141.9</v>
      </c>
      <c r="K173" s="1430">
        <v>-5.8</v>
      </c>
      <c r="L173" s="1428">
        <f t="shared" ref="L173:R173" si="115">L168+L170+L171+L172</f>
        <v>-96.990828702893438</v>
      </c>
      <c r="M173" s="1428">
        <f t="shared" si="115"/>
        <v>15.219914095484427</v>
      </c>
      <c r="N173" s="1428">
        <f t="shared" si="115"/>
        <v>36.522721747896298</v>
      </c>
      <c r="O173" s="1428">
        <f t="shared" si="115"/>
        <v>44.838622032199311</v>
      </c>
      <c r="P173" s="1428">
        <f t="shared" si="115"/>
        <v>54.133986080476092</v>
      </c>
      <c r="Q173" s="1428">
        <f t="shared" si="115"/>
        <v>51.354962220559884</v>
      </c>
      <c r="R173" s="1428">
        <f t="shared" si="115"/>
        <v>60.105738800528599</v>
      </c>
    </row>
    <row r="174" spans="2:18">
      <c r="H174" s="486"/>
      <c r="I174" s="486"/>
      <c r="J174" s="486"/>
      <c r="K174" s="486"/>
      <c r="L174" s="486"/>
      <c r="M174" s="486"/>
      <c r="N174" s="486"/>
      <c r="O174" s="486"/>
      <c r="P174" s="486"/>
      <c r="Q174" s="486"/>
      <c r="R174" s="486"/>
    </row>
    <row r="175" spans="2:18">
      <c r="B175" t="s">
        <v>67</v>
      </c>
      <c r="H175" s="486"/>
      <c r="I175" s="486">
        <f t="shared" ref="I175" si="116">-(I173+I174-I176)</f>
        <v>-78.499999999999986</v>
      </c>
      <c r="J175" s="486">
        <f>-(J173+J174-J176)</f>
        <v>-59.5</v>
      </c>
      <c r="K175" s="486">
        <f>-(K173+K174-K176)</f>
        <v>23</v>
      </c>
      <c r="L175" s="486">
        <f t="shared" ref="L175:R175" si="117">IF(L173&gt;0,-L191*L173,0)</f>
        <v>0</v>
      </c>
      <c r="M175" s="486">
        <f t="shared" si="117"/>
        <v>-5.70746778580666</v>
      </c>
      <c r="N175" s="486">
        <f t="shared" si="117"/>
        <v>-13.696020655461112</v>
      </c>
      <c r="O175" s="486">
        <f t="shared" si="117"/>
        <v>-16.814483262074742</v>
      </c>
      <c r="P175" s="486">
        <f t="shared" si="117"/>
        <v>-20.300244780178534</v>
      </c>
      <c r="Q175" s="486">
        <f t="shared" si="117"/>
        <v>-19.258110832709956</v>
      </c>
      <c r="R175" s="486">
        <f t="shared" si="117"/>
        <v>-22.539652050198224</v>
      </c>
    </row>
    <row r="176" spans="2:18">
      <c r="B176" s="1426" t="s">
        <v>69</v>
      </c>
      <c r="C176" s="1426"/>
      <c r="D176" s="1426"/>
      <c r="E176" s="1426"/>
      <c r="F176" s="1426"/>
      <c r="G176" s="1426"/>
      <c r="H176" s="1430"/>
      <c r="I176" s="1430">
        <v>62.7</v>
      </c>
      <c r="J176" s="1430">
        <v>82.4</v>
      </c>
      <c r="K176" s="1430">
        <v>17.2</v>
      </c>
      <c r="L176" s="1428">
        <f t="shared" ref="L176:R176" si="118">L173+L175</f>
        <v>-96.990828702893438</v>
      </c>
      <c r="M176" s="1428">
        <f t="shared" si="118"/>
        <v>9.5124463096777667</v>
      </c>
      <c r="N176" s="1428">
        <f t="shared" si="118"/>
        <v>22.826701092435187</v>
      </c>
      <c r="O176" s="1428">
        <f t="shared" si="118"/>
        <v>28.024138770124569</v>
      </c>
      <c r="P176" s="1428">
        <f t="shared" si="118"/>
        <v>33.833741300297561</v>
      </c>
      <c r="Q176" s="1428">
        <f t="shared" si="118"/>
        <v>32.096851387849924</v>
      </c>
      <c r="R176" s="1428">
        <f t="shared" si="118"/>
        <v>37.566086750330371</v>
      </c>
    </row>
    <row r="177" spans="2:18">
      <c r="B177" t="s">
        <v>6830</v>
      </c>
      <c r="H177" s="1427"/>
      <c r="I177" s="1427">
        <v>62.7</v>
      </c>
      <c r="J177" s="1427">
        <v>81.8</v>
      </c>
      <c r="K177" s="486"/>
      <c r="L177" s="486"/>
      <c r="M177" s="486"/>
      <c r="N177" s="486"/>
      <c r="O177" s="486"/>
      <c r="P177" s="486"/>
      <c r="Q177" s="486"/>
      <c r="R177" s="486"/>
    </row>
    <row r="178" spans="2:18">
      <c r="B178" t="s">
        <v>6833</v>
      </c>
    </row>
    <row r="181" spans="2:18">
      <c r="B181" s="513" t="s">
        <v>6834</v>
      </c>
    </row>
    <row r="182" spans="2:18">
      <c r="B182" t="s">
        <v>56</v>
      </c>
      <c r="H182" s="1437"/>
      <c r="I182" s="1432">
        <f>-I166/I164</f>
        <v>0.14666666666666667</v>
      </c>
      <c r="J182" s="1432">
        <f>-J166/J164</f>
        <v>0.16638323923542617</v>
      </c>
      <c r="K182" s="1432">
        <f>-K166/K164</f>
        <v>0.17071277346506705</v>
      </c>
      <c r="L182" s="1433">
        <f t="shared" ref="L182:M182" si="119">K182+1%</f>
        <v>0.18071277346506706</v>
      </c>
      <c r="M182" s="1433">
        <f t="shared" si="119"/>
        <v>0.19071277346506707</v>
      </c>
      <c r="N182" s="1433">
        <f>M182+0.5%</f>
        <v>0.19571277346506707</v>
      </c>
      <c r="O182" s="1433">
        <f t="shared" ref="O182:R182" si="120">N182+0.5%</f>
        <v>0.20071277346506708</v>
      </c>
      <c r="P182" s="1433">
        <f t="shared" si="120"/>
        <v>0.20571277346506708</v>
      </c>
      <c r="Q182" s="1433">
        <f t="shared" si="120"/>
        <v>0.21071277346506709</v>
      </c>
      <c r="R182" s="1433">
        <f t="shared" si="120"/>
        <v>0.21571277346506709</v>
      </c>
    </row>
    <row r="184" spans="2:18">
      <c r="B184" t="s">
        <v>6835</v>
      </c>
      <c r="J184" s="486">
        <f>AVERAGE(J131,I131)</f>
        <v>115</v>
      </c>
      <c r="K184" s="486">
        <f>AVERAGE(K131,J131)</f>
        <v>100.1</v>
      </c>
    </row>
    <row r="185" spans="2:18">
      <c r="B185" t="s">
        <v>4176</v>
      </c>
      <c r="H185" s="5"/>
      <c r="I185" s="5"/>
      <c r="J185" s="5">
        <f>J170/J184</f>
        <v>0.13565217391304349</v>
      </c>
      <c r="K185" s="5">
        <f>K170/K184</f>
        <v>0.24475524475524477</v>
      </c>
      <c r="L185" s="34">
        <v>0.1</v>
      </c>
      <c r="M185" s="34">
        <v>0.08</v>
      </c>
      <c r="N185" s="34">
        <v>0.06</v>
      </c>
      <c r="O185" s="34">
        <v>0.04</v>
      </c>
      <c r="P185" s="34">
        <v>0.02</v>
      </c>
      <c r="Q185" s="34">
        <v>0.02</v>
      </c>
      <c r="R185" s="34">
        <v>0.02</v>
      </c>
    </row>
    <row r="187" spans="2:18">
      <c r="B187" t="s">
        <v>7740</v>
      </c>
      <c r="J187" s="486">
        <f>AVERAGE(J129,I129)</f>
        <v>2577.6499999999996</v>
      </c>
      <c r="K187" s="486">
        <f>AVERAGE(K129,J129)</f>
        <v>2645.2</v>
      </c>
      <c r="L187" s="486">
        <f t="shared" ref="L187:R187" si="121">AVERAGE(L129,K129)</f>
        <v>2741.8</v>
      </c>
      <c r="M187" s="486">
        <f t="shared" si="121"/>
        <v>2782.3</v>
      </c>
      <c r="N187" s="486">
        <f t="shared" si="121"/>
        <v>2782.3</v>
      </c>
      <c r="O187" s="486">
        <f t="shared" si="121"/>
        <v>2782.3</v>
      </c>
      <c r="P187" s="486">
        <f t="shared" si="121"/>
        <v>2782.3</v>
      </c>
      <c r="Q187" s="486">
        <f t="shared" si="121"/>
        <v>2782.3</v>
      </c>
      <c r="R187" s="486">
        <f t="shared" si="121"/>
        <v>2782.3</v>
      </c>
    </row>
    <row r="188" spans="2:18">
      <c r="B188" t="s">
        <v>4176</v>
      </c>
      <c r="H188" s="5"/>
      <c r="I188" s="5"/>
      <c r="J188" s="6">
        <f>-J171/J187</f>
        <v>6.4322153899870047E-2</v>
      </c>
      <c r="K188" s="6">
        <f>-K171/K187</f>
        <v>7.0807500378043259E-2</v>
      </c>
      <c r="L188" s="35">
        <v>7.4999999999999997E-2</v>
      </c>
      <c r="M188" s="35">
        <v>7.7499999999999999E-2</v>
      </c>
      <c r="N188" s="35">
        <v>7.7499999999999999E-2</v>
      </c>
      <c r="O188" s="35">
        <v>7.7499999999999999E-2</v>
      </c>
      <c r="P188" s="35">
        <v>7.7499999999999999E-2</v>
      </c>
      <c r="Q188" s="35">
        <v>7.7499999999999999E-2</v>
      </c>
      <c r="R188" s="35">
        <v>7.7499999999999999E-2</v>
      </c>
    </row>
    <row r="189" spans="2:18">
      <c r="H189" s="5"/>
      <c r="I189" s="5"/>
      <c r="J189" s="5"/>
      <c r="K189" s="5"/>
      <c r="L189" s="5"/>
      <c r="M189" s="5"/>
      <c r="N189" s="5"/>
      <c r="O189" s="5"/>
      <c r="P189" s="5"/>
      <c r="Q189" s="5"/>
      <c r="R189" s="5"/>
    </row>
    <row r="190" spans="2:18">
      <c r="B190" t="s">
        <v>196</v>
      </c>
      <c r="H190" s="5"/>
      <c r="I190" s="5">
        <f>-I175/I173</f>
        <v>0.55594900849858353</v>
      </c>
      <c r="J190" s="5">
        <f>-J175/J173</f>
        <v>0.41930937279774488</v>
      </c>
      <c r="K190" s="5">
        <f t="shared" ref="K190:R190" si="122">-K175/K173</f>
        <v>3.9655172413793105</v>
      </c>
      <c r="L190" s="5">
        <f t="shared" si="122"/>
        <v>0</v>
      </c>
      <c r="M190" s="5">
        <f t="shared" si="122"/>
        <v>0.375</v>
      </c>
      <c r="N190" s="5">
        <f t="shared" si="122"/>
        <v>0.375</v>
      </c>
      <c r="O190" s="5">
        <f t="shared" si="122"/>
        <v>0.375</v>
      </c>
      <c r="P190" s="5">
        <f t="shared" si="122"/>
        <v>0.375</v>
      </c>
      <c r="Q190" s="5">
        <f t="shared" si="122"/>
        <v>0.375</v>
      </c>
      <c r="R190" s="5">
        <f t="shared" si="122"/>
        <v>0.375</v>
      </c>
    </row>
    <row r="191" spans="2:18">
      <c r="B191" t="s">
        <v>195</v>
      </c>
      <c r="K191" s="34">
        <v>0.375</v>
      </c>
      <c r="L191" s="34">
        <v>0.375</v>
      </c>
      <c r="M191" s="34">
        <v>0.375</v>
      </c>
      <c r="N191" s="34">
        <v>0.375</v>
      </c>
      <c r="O191" s="34">
        <v>0.375</v>
      </c>
      <c r="P191" s="34">
        <v>0.375</v>
      </c>
      <c r="Q191" s="34">
        <v>0.375</v>
      </c>
      <c r="R191" s="34">
        <v>0.375</v>
      </c>
    </row>
    <row r="195" spans="2:18">
      <c r="B195" s="1431" t="s">
        <v>6839</v>
      </c>
      <c r="C195" s="1431"/>
      <c r="D195" s="1431"/>
      <c r="E195" s="1431"/>
      <c r="F195" s="1431"/>
      <c r="G195" s="1431"/>
      <c r="H195" s="1431"/>
      <c r="I195" s="1431">
        <f>I$88</f>
        <v>2021</v>
      </c>
      <c r="J195" s="1431">
        <f t="shared" ref="J195:R195" si="123">J$88</f>
        <v>2022</v>
      </c>
      <c r="K195" s="1431">
        <f t="shared" si="123"/>
        <v>2023</v>
      </c>
      <c r="L195" s="1431">
        <f t="shared" si="123"/>
        <v>2024</v>
      </c>
      <c r="M195" s="1431">
        <f t="shared" si="123"/>
        <v>2025</v>
      </c>
      <c r="N195" s="1431">
        <f t="shared" si="123"/>
        <v>2026</v>
      </c>
      <c r="O195" s="1431">
        <f t="shared" si="123"/>
        <v>2027</v>
      </c>
      <c r="P195" s="1431">
        <f t="shared" si="123"/>
        <v>2028</v>
      </c>
      <c r="Q195" s="1431">
        <f t="shared" si="123"/>
        <v>2029</v>
      </c>
      <c r="R195" s="1431">
        <f t="shared" si="123"/>
        <v>2030</v>
      </c>
    </row>
    <row r="196" spans="2:18">
      <c r="B196" t="s">
        <v>6840</v>
      </c>
      <c r="H196" s="486"/>
      <c r="I196" s="486"/>
      <c r="J196" s="486"/>
      <c r="K196" s="486"/>
      <c r="L196" s="486"/>
      <c r="M196" s="486"/>
      <c r="N196" s="486"/>
      <c r="O196" s="1427">
        <v>1146.3</v>
      </c>
      <c r="P196" s="1427">
        <v>615.6</v>
      </c>
      <c r="Q196" s="1427">
        <v>810.5</v>
      </c>
      <c r="R196" s="486"/>
    </row>
  </sheetData>
  <pageMargins left="0.7" right="0.7" top="0.75" bottom="0.75" header="0.3" footer="0.3"/>
  <pageSetup orientation="portrait" horizontalDpi="300" verticalDpi="300" r:id="rId1"/>
  <ignoredErrors>
    <ignoredError sqref="J91:T95 J147 J146 S146:T146 S131:T132 J134:T134 K135:S135 J145 J141:S143 J115:T115 S97:T97 J113:J114 S114:T114 J150:T152 J148 P148:T148 J103:T103 N99:T99 M101:T102 J96:J102 L96:T96 L98:T98 L100:T100 J107:T111 J105 L105:T105 L113:S113 J127:T128 J116:J117 L116:T116 L130:T130 J130:J133 L133:T133 J112:K112 N112:T112 S129:T129 J118:T121 J104:L104 O104:T104 J144 L144:T144 O145:T145 L147:T147 J149 N149:T149 M117 S117:T117" 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368"/>
  <sheetViews>
    <sheetView zoomScale="62" zoomScaleNormal="72" workbookViewId="0">
      <pane ySplit="1" topLeftCell="A215" activePane="bottomLeft" state="frozen"/>
      <selection pane="bottomLeft" activeCell="J255" sqref="J255"/>
    </sheetView>
  </sheetViews>
  <sheetFormatPr defaultRowHeight="15" outlineLevelRow="1"/>
  <cols>
    <col min="1" max="1" width="3.7109375" customWidth="1"/>
    <col min="2" max="2" width="40.5703125" customWidth="1"/>
    <col min="3" max="3" width="10.7109375" customWidth="1"/>
    <col min="4" max="6" width="10.7109375" bestFit="1" customWidth="1"/>
    <col min="7" max="7" width="10.5703125" customWidth="1"/>
    <col min="8" max="8" width="10.7109375" bestFit="1" customWidth="1"/>
    <col min="9" max="10" width="10.7109375" customWidth="1"/>
    <col min="11" max="16" width="10.7109375" bestFit="1" customWidth="1"/>
  </cols>
  <sheetData>
    <row r="1" spans="2:16" ht="21.75" customHeight="1">
      <c r="B1" s="1165" t="s">
        <v>3411</v>
      </c>
      <c r="C1" s="1165">
        <v>2017</v>
      </c>
      <c r="D1" s="1165">
        <v>2018</v>
      </c>
      <c r="E1" s="1165">
        <v>2019</v>
      </c>
      <c r="F1" s="1165">
        <v>2020</v>
      </c>
      <c r="G1" s="1165">
        <v>2021</v>
      </c>
      <c r="H1" s="1165">
        <v>2022</v>
      </c>
      <c r="I1" s="1165">
        <v>2023</v>
      </c>
      <c r="J1" s="1165">
        <v>2024</v>
      </c>
      <c r="K1" s="1165">
        <v>2025</v>
      </c>
      <c r="L1" s="1165">
        <v>2026</v>
      </c>
      <c r="M1" s="1165">
        <v>2027</v>
      </c>
      <c r="N1" s="1165">
        <v>2028</v>
      </c>
      <c r="O1" s="1165">
        <v>2029</v>
      </c>
      <c r="P1" s="1165">
        <v>2030</v>
      </c>
    </row>
    <row r="2" spans="2:16" ht="15.75" customHeight="1"/>
    <row r="3" spans="2:16" ht="15.75" customHeight="1"/>
    <row r="4" spans="2:16" ht="15.75" customHeight="1">
      <c r="B4" s="1165" t="s">
        <v>5913</v>
      </c>
    </row>
    <row r="5" spans="2:16" ht="15.75" customHeight="1"/>
    <row r="6" spans="2:16" ht="15.75" customHeight="1">
      <c r="B6" s="636" t="s">
        <v>7762</v>
      </c>
      <c r="C6" s="636">
        <v>2017</v>
      </c>
      <c r="D6" s="636">
        <v>2018</v>
      </c>
      <c r="E6" s="636">
        <f t="shared" ref="E6:P6" si="0">D6+1</f>
        <v>2019</v>
      </c>
      <c r="F6" s="636">
        <f t="shared" si="0"/>
        <v>2020</v>
      </c>
      <c r="G6" s="636">
        <f t="shared" si="0"/>
        <v>2021</v>
      </c>
      <c r="H6" s="636">
        <f t="shared" si="0"/>
        <v>2022</v>
      </c>
      <c r="I6" s="636">
        <f t="shared" si="0"/>
        <v>2023</v>
      </c>
      <c r="J6" s="636">
        <f t="shared" si="0"/>
        <v>2024</v>
      </c>
      <c r="K6" s="636">
        <f t="shared" si="0"/>
        <v>2025</v>
      </c>
      <c r="L6" s="636">
        <f t="shared" si="0"/>
        <v>2026</v>
      </c>
      <c r="M6" s="636">
        <f t="shared" si="0"/>
        <v>2027</v>
      </c>
      <c r="N6" s="636">
        <f t="shared" si="0"/>
        <v>2028</v>
      </c>
      <c r="O6" s="636">
        <f t="shared" si="0"/>
        <v>2029</v>
      </c>
      <c r="P6" s="636">
        <f t="shared" si="0"/>
        <v>2030</v>
      </c>
    </row>
    <row r="7" spans="2:16" ht="15.75" customHeight="1">
      <c r="B7" s="53"/>
      <c r="C7" s="53"/>
      <c r="D7" s="53"/>
      <c r="E7" s="53"/>
      <c r="F7" s="53"/>
      <c r="G7" s="53"/>
      <c r="H7" s="53"/>
      <c r="I7" s="53"/>
      <c r="J7" s="53"/>
      <c r="K7" s="53"/>
      <c r="L7" s="53"/>
      <c r="M7" s="53"/>
      <c r="N7" s="53"/>
      <c r="O7" s="53"/>
      <c r="P7" s="53"/>
    </row>
    <row r="8" spans="2:16" ht="15.75" customHeight="1">
      <c r="B8" s="53" t="s">
        <v>1372</v>
      </c>
      <c r="C8" s="53">
        <v>4900</v>
      </c>
      <c r="D8" s="481">
        <f>(1+D9)*C8</f>
        <v>4924.4999999999991</v>
      </c>
      <c r="E8" s="481">
        <f t="shared" ref="E8:P8" si="1">(1+E9)*D8</f>
        <v>4949.1224999999986</v>
      </c>
      <c r="F8" s="481">
        <f t="shared" si="1"/>
        <v>4973.8681124999985</v>
      </c>
      <c r="G8" s="481">
        <f t="shared" si="1"/>
        <v>4998.7374530624975</v>
      </c>
      <c r="H8" s="481">
        <f t="shared" si="1"/>
        <v>5023.731140327809</v>
      </c>
      <c r="I8" s="481">
        <f t="shared" si="1"/>
        <v>5048.8497960294471</v>
      </c>
      <c r="J8" s="481">
        <f t="shared" si="1"/>
        <v>5074.0940450095941</v>
      </c>
      <c r="K8" s="481">
        <f t="shared" si="1"/>
        <v>5099.4645152346411</v>
      </c>
      <c r="L8" s="481">
        <f t="shared" si="1"/>
        <v>5124.9618378108134</v>
      </c>
      <c r="M8" s="481">
        <f t="shared" si="1"/>
        <v>5150.5866469998673</v>
      </c>
      <c r="N8" s="481">
        <f t="shared" si="1"/>
        <v>5176.3395802348659</v>
      </c>
      <c r="O8" s="481">
        <f t="shared" si="1"/>
        <v>5202.2212781360395</v>
      </c>
      <c r="P8" s="481">
        <f t="shared" si="1"/>
        <v>5228.2323845267192</v>
      </c>
    </row>
    <row r="9" spans="2:16" ht="15.75" customHeight="1">
      <c r="B9" s="53" t="s">
        <v>78</v>
      </c>
      <c r="C9" s="53"/>
      <c r="D9" s="752">
        <v>5.0000000000000001E-3</v>
      </c>
      <c r="E9" s="752">
        <v>5.0000000000000001E-3</v>
      </c>
      <c r="F9" s="752">
        <v>5.0000000000000001E-3</v>
      </c>
      <c r="G9" s="752">
        <v>5.0000000000000001E-3</v>
      </c>
      <c r="H9" s="752">
        <v>5.0000000000000001E-3</v>
      </c>
      <c r="I9" s="752">
        <v>5.0000000000000001E-3</v>
      </c>
      <c r="J9" s="752">
        <v>5.0000000000000001E-3</v>
      </c>
      <c r="K9" s="752">
        <v>5.0000000000000001E-3</v>
      </c>
      <c r="L9" s="752">
        <v>5.0000000000000001E-3</v>
      </c>
      <c r="M9" s="752">
        <v>5.0000000000000001E-3</v>
      </c>
      <c r="N9" s="752">
        <v>5.0000000000000001E-3</v>
      </c>
      <c r="O9" s="752">
        <v>5.0000000000000001E-3</v>
      </c>
      <c r="P9" s="752">
        <v>5.0000000000000001E-3</v>
      </c>
    </row>
    <row r="10" spans="2:16" ht="15.75" customHeight="1">
      <c r="B10" s="53"/>
      <c r="C10" s="53"/>
      <c r="D10" s="53"/>
      <c r="E10" s="53"/>
      <c r="F10" s="53"/>
      <c r="G10" s="53"/>
      <c r="H10" s="53"/>
      <c r="I10" s="53"/>
      <c r="J10" s="53"/>
      <c r="K10" s="53"/>
      <c r="L10" s="53"/>
      <c r="M10" s="53"/>
      <c r="N10" s="53"/>
      <c r="O10" s="53"/>
      <c r="P10" s="53"/>
    </row>
    <row r="11" spans="2:16" ht="15.75" customHeight="1">
      <c r="B11" s="53" t="s">
        <v>1790</v>
      </c>
      <c r="C11" s="481">
        <f>C14/C15</f>
        <v>1405</v>
      </c>
      <c r="D11" s="481">
        <f>D8/D12</f>
        <v>1412.0249999999999</v>
      </c>
      <c r="E11" s="481">
        <f t="shared" ref="E11:P11" si="2">E8/E12</f>
        <v>1419.0851249999996</v>
      </c>
      <c r="F11" s="481">
        <f t="shared" si="2"/>
        <v>1426.1805506249996</v>
      </c>
      <c r="G11" s="481">
        <f t="shared" si="2"/>
        <v>1433.3114533781243</v>
      </c>
      <c r="H11" s="481">
        <f t="shared" si="2"/>
        <v>1440.4780106450146</v>
      </c>
      <c r="I11" s="481">
        <f t="shared" si="2"/>
        <v>1447.6804006982395</v>
      </c>
      <c r="J11" s="481">
        <f t="shared" si="2"/>
        <v>1454.9188027017306</v>
      </c>
      <c r="K11" s="481">
        <f t="shared" si="2"/>
        <v>1462.193396715239</v>
      </c>
      <c r="L11" s="481">
        <f t="shared" si="2"/>
        <v>1469.504363698815</v>
      </c>
      <c r="M11" s="481">
        <f t="shared" si="2"/>
        <v>1476.851885517309</v>
      </c>
      <c r="N11" s="481">
        <f t="shared" si="2"/>
        <v>1484.2361449448954</v>
      </c>
      <c r="O11" s="481">
        <f t="shared" si="2"/>
        <v>1491.6573256696195</v>
      </c>
      <c r="P11" s="481">
        <f t="shared" si="2"/>
        <v>1499.1156122979676</v>
      </c>
    </row>
    <row r="12" spans="2:16" ht="15.75" customHeight="1">
      <c r="B12" s="53" t="s">
        <v>3441</v>
      </c>
      <c r="C12" s="685">
        <f>C8/C11</f>
        <v>3.487544483985765</v>
      </c>
      <c r="D12" s="685">
        <f>C12</f>
        <v>3.487544483985765</v>
      </c>
      <c r="E12" s="685">
        <f t="shared" ref="E12:P12" si="3">D12</f>
        <v>3.487544483985765</v>
      </c>
      <c r="F12" s="685">
        <f t="shared" si="3"/>
        <v>3.487544483985765</v>
      </c>
      <c r="G12" s="685">
        <f t="shared" si="3"/>
        <v>3.487544483985765</v>
      </c>
      <c r="H12" s="685">
        <f t="shared" si="3"/>
        <v>3.487544483985765</v>
      </c>
      <c r="I12" s="685">
        <f t="shared" si="3"/>
        <v>3.487544483985765</v>
      </c>
      <c r="J12" s="685">
        <f t="shared" si="3"/>
        <v>3.487544483985765</v>
      </c>
      <c r="K12" s="685">
        <f t="shared" si="3"/>
        <v>3.487544483985765</v>
      </c>
      <c r="L12" s="685">
        <f t="shared" si="3"/>
        <v>3.487544483985765</v>
      </c>
      <c r="M12" s="685">
        <f t="shared" si="3"/>
        <v>3.487544483985765</v>
      </c>
      <c r="N12" s="685">
        <f t="shared" si="3"/>
        <v>3.487544483985765</v>
      </c>
      <c r="O12" s="685">
        <f t="shared" si="3"/>
        <v>3.487544483985765</v>
      </c>
      <c r="P12" s="685">
        <f t="shared" si="3"/>
        <v>3.487544483985765</v>
      </c>
    </row>
    <row r="13" spans="2:16" ht="15.75" customHeight="1">
      <c r="B13" s="53"/>
      <c r="C13" s="53"/>
      <c r="D13" s="53"/>
      <c r="E13" s="53"/>
      <c r="F13" s="53"/>
      <c r="G13" s="53"/>
      <c r="H13" s="53"/>
      <c r="I13" s="53"/>
      <c r="J13" s="53"/>
      <c r="K13" s="53"/>
      <c r="L13" s="53"/>
      <c r="M13" s="53"/>
      <c r="N13" s="53"/>
      <c r="O13" s="53"/>
      <c r="P13" s="53"/>
    </row>
    <row r="14" spans="2:16" ht="15.75" customHeight="1">
      <c r="B14" s="53" t="s">
        <v>3440</v>
      </c>
      <c r="C14" s="1668">
        <v>562</v>
      </c>
      <c r="D14" s="1669">
        <f>'New quarts'!N469</f>
        <v>585.1</v>
      </c>
      <c r="E14" s="1669">
        <f>'New quarts'!R469</f>
        <v>603.4</v>
      </c>
      <c r="F14" s="1669">
        <f>'New quarts'!V469</f>
        <v>633</v>
      </c>
      <c r="G14" s="1669">
        <f>'New quarts'!Z469</f>
        <v>663.1</v>
      </c>
      <c r="H14" s="1669">
        <f>'New quarts'!AD469</f>
        <v>700.3</v>
      </c>
      <c r="I14" s="1669">
        <f>'New quarts'!AH469</f>
        <v>749.5</v>
      </c>
      <c r="J14" s="481">
        <f t="shared" ref="J14:P14" si="4">J15*J11</f>
        <v>756.55777740489987</v>
      </c>
      <c r="K14" s="481">
        <f t="shared" si="4"/>
        <v>760.34056629192435</v>
      </c>
      <c r="L14" s="481">
        <f t="shared" si="4"/>
        <v>764.14226912338381</v>
      </c>
      <c r="M14" s="481">
        <f t="shared" si="4"/>
        <v>767.96298046900074</v>
      </c>
      <c r="N14" s="481">
        <f t="shared" si="4"/>
        <v>771.80279537134561</v>
      </c>
      <c r="O14" s="481">
        <f t="shared" si="4"/>
        <v>775.66180934820215</v>
      </c>
      <c r="P14" s="481">
        <f t="shared" si="4"/>
        <v>779.54011839494319</v>
      </c>
    </row>
    <row r="15" spans="2:16" ht="15.75" customHeight="1">
      <c r="B15" s="53" t="s">
        <v>4593</v>
      </c>
      <c r="C15" s="54">
        <v>0.4</v>
      </c>
      <c r="D15" s="54">
        <f>D14/D11</f>
        <v>0.41436943396894538</v>
      </c>
      <c r="E15" s="54">
        <f>E14/E11</f>
        <v>0.42520352681450324</v>
      </c>
      <c r="F15" s="54">
        <f>F14/F11</f>
        <v>0.44384282181004253</v>
      </c>
      <c r="G15" s="54">
        <f>G14/G11</f>
        <v>0.46263496913888574</v>
      </c>
      <c r="H15" s="54">
        <f t="shared" ref="H15:I15" si="5">H14/H11</f>
        <v>0.48615806338232187</v>
      </c>
      <c r="I15" s="54">
        <f t="shared" si="5"/>
        <v>0.51772476828345826</v>
      </c>
      <c r="J15" s="784">
        <v>0.52</v>
      </c>
      <c r="K15" s="784">
        <v>0.52</v>
      </c>
      <c r="L15" s="784">
        <v>0.52</v>
      </c>
      <c r="M15" s="784">
        <v>0.52</v>
      </c>
      <c r="N15" s="784">
        <v>0.52</v>
      </c>
      <c r="O15" s="784">
        <v>0.52</v>
      </c>
      <c r="P15" s="784">
        <v>0.52</v>
      </c>
    </row>
    <row r="16" spans="2:16" ht="15.75" customHeight="1">
      <c r="B16" s="53"/>
      <c r="C16" s="53"/>
      <c r="D16" s="53"/>
      <c r="E16" s="53"/>
      <c r="F16" s="53"/>
      <c r="G16" s="53"/>
      <c r="H16" s="53"/>
      <c r="I16" s="53"/>
      <c r="J16" s="53"/>
      <c r="K16" s="53"/>
      <c r="L16" s="53"/>
      <c r="M16" s="53"/>
      <c r="N16" s="53"/>
      <c r="O16" s="53"/>
      <c r="P16" s="53"/>
    </row>
    <row r="17" spans="2:16" ht="15.75" customHeight="1">
      <c r="B17" s="53" t="s">
        <v>1569</v>
      </c>
      <c r="C17" s="1668">
        <v>267</v>
      </c>
      <c r="D17" s="1669">
        <f>'New quarts'!N471</f>
        <v>232.7</v>
      </c>
      <c r="E17" s="1669">
        <f>'New quarts'!R471</f>
        <v>256.5</v>
      </c>
      <c r="F17" s="1669">
        <f>'New quarts'!V471</f>
        <v>268.3</v>
      </c>
      <c r="G17" s="1669">
        <f>'New quarts'!Z471</f>
        <v>283.2</v>
      </c>
      <c r="H17" s="1669">
        <f>'New quarts'!AD471</f>
        <v>299.2</v>
      </c>
      <c r="I17" s="1669">
        <f>'New quarts'!AH471</f>
        <v>277.5</v>
      </c>
      <c r="J17" s="481">
        <f t="shared" ref="J17:P17" si="6">J18*J14</f>
        <v>280.11311971962601</v>
      </c>
      <c r="K17" s="481">
        <f t="shared" si="6"/>
        <v>281.51368531822413</v>
      </c>
      <c r="L17" s="481">
        <f t="shared" si="6"/>
        <v>282.9212537448152</v>
      </c>
      <c r="M17" s="481">
        <f t="shared" si="6"/>
        <v>284.33586001353927</v>
      </c>
      <c r="N17" s="481">
        <f t="shared" si="6"/>
        <v>285.75753931360691</v>
      </c>
      <c r="O17" s="481">
        <f t="shared" si="6"/>
        <v>287.18632701017492</v>
      </c>
      <c r="P17" s="481">
        <f t="shared" si="6"/>
        <v>288.62225864522577</v>
      </c>
    </row>
    <row r="18" spans="2:16" ht="15.75" customHeight="1">
      <c r="B18" s="53" t="s">
        <v>3442</v>
      </c>
      <c r="C18" s="54">
        <f>C17/C14</f>
        <v>0.47508896797153027</v>
      </c>
      <c r="D18" s="54">
        <f>D17/D14</f>
        <v>0.39770979319774397</v>
      </c>
      <c r="E18" s="54">
        <f>E17/E14</f>
        <v>0.42509115014915483</v>
      </c>
      <c r="F18" s="54">
        <f t="shared" ref="F18:I18" si="7">F17/F14</f>
        <v>0.42385466034755137</v>
      </c>
      <c r="G18" s="54">
        <f t="shared" si="7"/>
        <v>0.42708490423767154</v>
      </c>
      <c r="H18" s="54">
        <f t="shared" si="7"/>
        <v>0.42724546622875914</v>
      </c>
      <c r="I18" s="54">
        <f t="shared" si="7"/>
        <v>0.37024683122081387</v>
      </c>
      <c r="J18" s="784">
        <f t="shared" ref="J18:P18" si="8">I18</f>
        <v>0.37024683122081387</v>
      </c>
      <c r="K18" s="784">
        <f t="shared" si="8"/>
        <v>0.37024683122081387</v>
      </c>
      <c r="L18" s="784">
        <f t="shared" si="8"/>
        <v>0.37024683122081387</v>
      </c>
      <c r="M18" s="784">
        <f t="shared" si="8"/>
        <v>0.37024683122081387</v>
      </c>
      <c r="N18" s="784">
        <f t="shared" si="8"/>
        <v>0.37024683122081387</v>
      </c>
      <c r="O18" s="784">
        <f t="shared" si="8"/>
        <v>0.37024683122081387</v>
      </c>
      <c r="P18" s="784">
        <f t="shared" si="8"/>
        <v>0.37024683122081387</v>
      </c>
    </row>
    <row r="19" spans="2:16" ht="15.75" customHeight="1">
      <c r="B19" s="53" t="s">
        <v>363</v>
      </c>
      <c r="C19" s="54"/>
      <c r="D19" s="481">
        <f t="shared" ref="D19:H19" si="9">D17-C17</f>
        <v>-34.300000000000011</v>
      </c>
      <c r="E19" s="481">
        <f t="shared" si="9"/>
        <v>23.800000000000011</v>
      </c>
      <c r="F19" s="481">
        <f t="shared" si="9"/>
        <v>11.800000000000011</v>
      </c>
      <c r="G19" s="481">
        <f t="shared" si="9"/>
        <v>14.899999999999977</v>
      </c>
      <c r="H19" s="481">
        <f t="shared" si="9"/>
        <v>16</v>
      </c>
      <c r="I19" s="481">
        <f>I17-H17</f>
        <v>-21.699999999999989</v>
      </c>
      <c r="J19" s="481">
        <f t="shared" ref="J19:P19" si="10">J17-I17</f>
        <v>2.6131197196260132</v>
      </c>
      <c r="K19" s="481">
        <f t="shared" si="10"/>
        <v>1.4005655985981207</v>
      </c>
      <c r="L19" s="481">
        <f t="shared" si="10"/>
        <v>1.4075684265910695</v>
      </c>
      <c r="M19" s="481">
        <f t="shared" si="10"/>
        <v>1.4146062687240715</v>
      </c>
      <c r="N19" s="481">
        <f t="shared" si="10"/>
        <v>1.4216793000676375</v>
      </c>
      <c r="O19" s="481">
        <f t="shared" si="10"/>
        <v>1.4287876965680084</v>
      </c>
      <c r="P19" s="481">
        <f t="shared" si="10"/>
        <v>1.4359316350508493</v>
      </c>
    </row>
    <row r="20" spans="2:16" ht="15.75" customHeight="1">
      <c r="B20" s="53"/>
      <c r="C20" s="53"/>
      <c r="D20" s="53"/>
      <c r="E20" s="53"/>
      <c r="F20" s="53"/>
      <c r="G20" s="53"/>
      <c r="H20" s="53"/>
      <c r="I20" s="53"/>
      <c r="J20" s="53"/>
      <c r="K20" s="53"/>
      <c r="L20" s="53"/>
      <c r="M20" s="53"/>
      <c r="N20" s="53"/>
      <c r="O20" s="53"/>
      <c r="P20" s="53"/>
    </row>
    <row r="21" spans="2:16" ht="15.75" customHeight="1">
      <c r="B21" s="53" t="s">
        <v>54</v>
      </c>
      <c r="C21" s="1668">
        <v>327</v>
      </c>
      <c r="D21" s="1669">
        <f>'New quarts'!N472</f>
        <v>381.29999999999995</v>
      </c>
      <c r="E21" s="1669">
        <f>'New quarts'!R472</f>
        <v>425</v>
      </c>
      <c r="F21" s="1669">
        <f>'New quarts'!V472</f>
        <v>443.20000000000005</v>
      </c>
      <c r="G21" s="1669">
        <f>'New quarts'!Z472</f>
        <v>476.70000000000005</v>
      </c>
      <c r="H21" s="1669">
        <f>'New quarts'!AD472</f>
        <v>528.4</v>
      </c>
      <c r="I21" s="1669">
        <f>'New quarts'!AH472</f>
        <v>520.9</v>
      </c>
      <c r="J21" s="481">
        <f t="shared" ref="J21:P21" si="11">J22*J17</f>
        <v>537.00965654357128</v>
      </c>
      <c r="K21" s="481">
        <f t="shared" si="11"/>
        <v>550.95525223901814</v>
      </c>
      <c r="L21" s="481">
        <f t="shared" si="11"/>
        <v>565.02687865000576</v>
      </c>
      <c r="M21" s="481">
        <f t="shared" si="11"/>
        <v>579.22544744379729</v>
      </c>
      <c r="N21" s="481">
        <f t="shared" si="11"/>
        <v>593.55187625356052</v>
      </c>
      <c r="O21" s="481">
        <f t="shared" si="11"/>
        <v>608.00708871523523</v>
      </c>
      <c r="P21" s="481">
        <f t="shared" si="11"/>
        <v>622.59201450462035</v>
      </c>
    </row>
    <row r="22" spans="2:16" ht="15.75" customHeight="1">
      <c r="B22" s="53" t="s">
        <v>3443</v>
      </c>
      <c r="C22" s="685">
        <f>C21/C17</f>
        <v>1.2247191011235956</v>
      </c>
      <c r="D22" s="685">
        <f>D21/D17</f>
        <v>1.63859045981951</v>
      </c>
      <c r="E22" s="685">
        <f>E21/E17</f>
        <v>1.6569200779727096</v>
      </c>
      <c r="F22" s="685">
        <f>F21/F17</f>
        <v>1.6518822213939621</v>
      </c>
      <c r="G22" s="685">
        <f>G21/G17</f>
        <v>1.683262711864407</v>
      </c>
      <c r="H22" s="685">
        <f t="shared" ref="H22:I22" si="12">H21/H17</f>
        <v>1.7660427807486632</v>
      </c>
      <c r="I22" s="685">
        <f t="shared" si="12"/>
        <v>1.877117117117117</v>
      </c>
      <c r="J22" s="938">
        <f t="shared" ref="J22:P22" si="13">I22+0.04</f>
        <v>1.9171171171171171</v>
      </c>
      <c r="K22" s="938">
        <f t="shared" si="13"/>
        <v>1.9571171171171171</v>
      </c>
      <c r="L22" s="938">
        <f t="shared" si="13"/>
        <v>1.9971171171171171</v>
      </c>
      <c r="M22" s="938">
        <f t="shared" si="13"/>
        <v>2.0371171171171172</v>
      </c>
      <c r="N22" s="938">
        <f t="shared" si="13"/>
        <v>2.0771171171171172</v>
      </c>
      <c r="O22" s="938">
        <f t="shared" si="13"/>
        <v>2.1171171171171173</v>
      </c>
      <c r="P22" s="938">
        <f t="shared" si="13"/>
        <v>2.1571171171171173</v>
      </c>
    </row>
    <row r="23" spans="2:16" ht="15.75" customHeight="1">
      <c r="B23" s="53"/>
      <c r="C23" s="53"/>
      <c r="D23" s="53"/>
      <c r="E23" s="53"/>
      <c r="F23" s="53"/>
      <c r="G23" s="53"/>
      <c r="H23" s="53"/>
      <c r="I23" s="53"/>
      <c r="J23" s="53"/>
      <c r="K23" s="53"/>
      <c r="L23" s="53"/>
      <c r="M23" s="53"/>
      <c r="N23" s="53"/>
      <c r="O23" s="53"/>
      <c r="P23" s="53"/>
    </row>
    <row r="24" spans="2:16" ht="15.75" customHeight="1">
      <c r="B24" s="53" t="s">
        <v>1568</v>
      </c>
      <c r="C24" s="53"/>
      <c r="D24" s="53"/>
      <c r="E24" s="53"/>
      <c r="F24" s="53"/>
      <c r="G24" s="53"/>
      <c r="H24" s="1669">
        <v>204.8</v>
      </c>
      <c r="I24" s="1669">
        <v>183.1</v>
      </c>
      <c r="J24" s="53"/>
      <c r="K24" s="53"/>
      <c r="L24" s="53"/>
      <c r="M24" s="53"/>
      <c r="N24" s="53"/>
      <c r="O24" s="53"/>
      <c r="P24" s="53"/>
    </row>
    <row r="25" spans="2:16" ht="15.75" customHeight="1">
      <c r="B25" s="53" t="s">
        <v>5295</v>
      </c>
      <c r="C25" s="53"/>
      <c r="D25" s="53"/>
      <c r="E25" s="53"/>
      <c r="F25" s="53"/>
      <c r="G25" s="53"/>
      <c r="H25" s="1669">
        <v>268.2</v>
      </c>
      <c r="I25" s="1669">
        <v>262.3</v>
      </c>
      <c r="J25" s="481">
        <f>I25/I21*J21</f>
        <v>270.41204244841384</v>
      </c>
      <c r="K25" s="481">
        <f t="shared" ref="K25:P25" si="14">J25/J21*K21</f>
        <v>277.43436871241022</v>
      </c>
      <c r="L25" s="481">
        <f t="shared" si="14"/>
        <v>284.52015793798529</v>
      </c>
      <c r="M25" s="481">
        <f t="shared" si="14"/>
        <v>291.66986919659831</v>
      </c>
      <c r="N25" s="481">
        <f t="shared" si="14"/>
        <v>298.88396456384902</v>
      </c>
      <c r="O25" s="481">
        <f t="shared" si="14"/>
        <v>306.16290913804227</v>
      </c>
      <c r="P25" s="481">
        <f t="shared" si="14"/>
        <v>313.50717105886338</v>
      </c>
    </row>
    <row r="26" spans="2:16" ht="15.75" customHeight="1">
      <c r="B26" s="53" t="s">
        <v>565</v>
      </c>
      <c r="C26" s="53"/>
      <c r="D26" s="53"/>
      <c r="E26" s="53"/>
      <c r="F26" s="53"/>
      <c r="G26" s="53"/>
      <c r="H26" s="1669">
        <v>55.4</v>
      </c>
      <c r="I26" s="1669">
        <v>75.5</v>
      </c>
      <c r="J26" s="53"/>
      <c r="K26" s="53"/>
      <c r="L26" s="53"/>
      <c r="M26" s="53"/>
      <c r="N26" s="53"/>
      <c r="O26" s="53"/>
      <c r="P26" s="53"/>
    </row>
    <row r="27" spans="2:16" ht="15.75" customHeight="1">
      <c r="B27" s="53"/>
      <c r="C27" s="53"/>
      <c r="D27" s="53"/>
      <c r="E27" s="53"/>
      <c r="F27" s="53"/>
      <c r="G27" s="53"/>
      <c r="H27" s="53"/>
      <c r="I27" s="53"/>
      <c r="J27" s="53"/>
      <c r="K27" s="53"/>
      <c r="L27" s="53"/>
      <c r="M27" s="53"/>
      <c r="N27" s="53"/>
      <c r="O27" s="53"/>
      <c r="P27" s="53"/>
    </row>
    <row r="28" spans="2:16" ht="15.75" customHeight="1">
      <c r="B28" s="53"/>
      <c r="C28" s="53"/>
      <c r="D28" s="53"/>
      <c r="E28" s="53"/>
      <c r="F28" s="53"/>
      <c r="G28" s="53"/>
      <c r="H28" s="53"/>
      <c r="I28" s="53"/>
      <c r="J28" s="53"/>
      <c r="K28" s="53"/>
      <c r="L28" s="53"/>
      <c r="M28" s="53"/>
      <c r="N28" s="53"/>
      <c r="O28" s="53"/>
      <c r="P28" s="53"/>
    </row>
    <row r="29" spans="2:16" ht="15.75" customHeight="1">
      <c r="B29" s="1680" t="s">
        <v>3444</v>
      </c>
      <c r="C29" s="1681">
        <v>569</v>
      </c>
      <c r="D29" s="1682">
        <v>578</v>
      </c>
      <c r="E29" s="1682">
        <v>588</v>
      </c>
      <c r="F29" s="1682">
        <v>585</v>
      </c>
      <c r="G29" s="1682">
        <v>622</v>
      </c>
      <c r="H29" s="1682">
        <v>647</v>
      </c>
      <c r="I29" s="1682">
        <v>547</v>
      </c>
      <c r="J29" s="1683">
        <f t="shared" ref="J29:P29" si="15">(1+J30)*I29</f>
        <v>519.65</v>
      </c>
      <c r="K29" s="1683">
        <f t="shared" si="15"/>
        <v>530.04300000000001</v>
      </c>
      <c r="L29" s="1683">
        <f t="shared" si="15"/>
        <v>540.64386000000002</v>
      </c>
      <c r="M29" s="1683">
        <f t="shared" si="15"/>
        <v>551.45673720000002</v>
      </c>
      <c r="N29" s="1683">
        <f t="shared" si="15"/>
        <v>562.485871944</v>
      </c>
      <c r="O29" s="1683">
        <f t="shared" si="15"/>
        <v>573.73558938287999</v>
      </c>
      <c r="P29" s="1683">
        <f t="shared" si="15"/>
        <v>585.2103011705376</v>
      </c>
    </row>
    <row r="30" spans="2:16" ht="15.75" customHeight="1">
      <c r="B30" s="1680" t="s">
        <v>648</v>
      </c>
      <c r="C30" s="1680"/>
      <c r="D30" s="1684">
        <f t="shared" ref="D30:I30" si="16">D29/C29-1</f>
        <v>1.5817223198594021E-2</v>
      </c>
      <c r="E30" s="1684">
        <f t="shared" si="16"/>
        <v>1.730103806228378E-2</v>
      </c>
      <c r="F30" s="1684">
        <f t="shared" si="16"/>
        <v>-5.1020408163264808E-3</v>
      </c>
      <c r="G30" s="1684">
        <f t="shared" si="16"/>
        <v>6.3247863247863245E-2</v>
      </c>
      <c r="H30" s="1684">
        <f t="shared" si="16"/>
        <v>4.0192926045016009E-2</v>
      </c>
      <c r="I30" s="1684">
        <f t="shared" si="16"/>
        <v>-0.15455950540958274</v>
      </c>
      <c r="J30" s="752">
        <v>-0.05</v>
      </c>
      <c r="K30" s="752">
        <v>0.02</v>
      </c>
      <c r="L30" s="752">
        <v>0.02</v>
      </c>
      <c r="M30" s="752">
        <v>0.02</v>
      </c>
      <c r="N30" s="752">
        <v>0.02</v>
      </c>
      <c r="O30" s="752">
        <v>0.02</v>
      </c>
      <c r="P30" s="752">
        <v>0.02</v>
      </c>
    </row>
    <row r="31" spans="2:16" ht="15.75" customHeight="1">
      <c r="B31" s="53"/>
      <c r="C31" s="53"/>
      <c r="D31" s="53"/>
      <c r="E31" s="53"/>
      <c r="F31" s="53"/>
      <c r="G31" s="53"/>
      <c r="H31" s="53"/>
      <c r="I31" s="53"/>
      <c r="J31" s="53"/>
      <c r="K31" s="53"/>
      <c r="L31" s="53"/>
      <c r="M31" s="53"/>
      <c r="N31" s="53"/>
      <c r="O31" s="53"/>
      <c r="P31" s="53"/>
    </row>
    <row r="32" spans="2:16" ht="15.75" customHeight="1">
      <c r="B32" s="53"/>
      <c r="C32" s="53"/>
      <c r="D32" s="53"/>
      <c r="E32" s="53"/>
      <c r="F32" s="53"/>
      <c r="G32" s="53"/>
      <c r="H32" s="53"/>
      <c r="I32" s="53"/>
      <c r="J32" s="53"/>
      <c r="K32" s="53"/>
      <c r="L32" s="53"/>
      <c r="M32" s="53"/>
      <c r="N32" s="53"/>
      <c r="O32" s="53"/>
      <c r="P32" s="53"/>
    </row>
    <row r="33" spans="2:16" ht="15.75" customHeight="1">
      <c r="B33" s="53"/>
      <c r="C33" s="53"/>
      <c r="D33" s="53"/>
      <c r="E33" s="53"/>
      <c r="F33" s="53"/>
      <c r="G33" s="53"/>
      <c r="H33" s="53"/>
      <c r="I33" s="53"/>
      <c r="J33" s="53"/>
      <c r="K33" s="53"/>
      <c r="L33" s="53"/>
      <c r="M33" s="53"/>
      <c r="N33" s="53"/>
      <c r="O33" s="53"/>
      <c r="P33" s="53"/>
    </row>
    <row r="34" spans="2:16" ht="15.75" hidden="1" customHeight="1" outlineLevel="1">
      <c r="B34" s="1824" t="s">
        <v>7769</v>
      </c>
      <c r="C34" s="53"/>
      <c r="D34" s="53"/>
      <c r="E34" s="53"/>
      <c r="F34" s="53"/>
      <c r="G34" s="53"/>
      <c r="H34" s="53"/>
      <c r="I34" s="53"/>
      <c r="J34" s="53"/>
      <c r="K34" s="53"/>
      <c r="L34" s="53"/>
      <c r="M34" s="53"/>
      <c r="N34" s="53"/>
      <c r="O34" s="53"/>
      <c r="P34" s="53"/>
    </row>
    <row r="35" spans="2:16" ht="15.75" hidden="1" customHeight="1" outlineLevel="1">
      <c r="B35" s="636" t="s">
        <v>7753</v>
      </c>
      <c r="C35" s="636">
        <v>2017</v>
      </c>
      <c r="D35" s="636">
        <v>2018</v>
      </c>
      <c r="E35" s="636">
        <f t="shared" ref="E35:P35" si="17">D35+1</f>
        <v>2019</v>
      </c>
      <c r="F35" s="636">
        <f t="shared" si="17"/>
        <v>2020</v>
      </c>
      <c r="G35" s="636">
        <f t="shared" si="17"/>
        <v>2021</v>
      </c>
      <c r="H35" s="636">
        <f t="shared" si="17"/>
        <v>2022</v>
      </c>
      <c r="I35" s="636">
        <f t="shared" si="17"/>
        <v>2023</v>
      </c>
      <c r="J35" s="636">
        <f t="shared" si="17"/>
        <v>2024</v>
      </c>
      <c r="K35" s="636">
        <f t="shared" si="17"/>
        <v>2025</v>
      </c>
      <c r="L35" s="636">
        <f t="shared" si="17"/>
        <v>2026</v>
      </c>
      <c r="M35" s="636">
        <f t="shared" si="17"/>
        <v>2027</v>
      </c>
      <c r="N35" s="636">
        <f t="shared" si="17"/>
        <v>2028</v>
      </c>
      <c r="O35" s="636">
        <f t="shared" si="17"/>
        <v>2029</v>
      </c>
      <c r="P35" s="636">
        <f t="shared" si="17"/>
        <v>2030</v>
      </c>
    </row>
    <row r="36" spans="2:16" ht="15.75" hidden="1" customHeight="1" outlineLevel="1">
      <c r="B36" s="53"/>
      <c r="C36" s="53"/>
      <c r="D36" s="53"/>
      <c r="E36" s="53"/>
      <c r="F36" s="53"/>
      <c r="G36" s="53"/>
      <c r="H36" s="53"/>
      <c r="I36" s="53"/>
      <c r="J36" s="53"/>
      <c r="K36" s="53"/>
      <c r="L36" s="53"/>
      <c r="M36" s="53"/>
      <c r="N36" s="53"/>
      <c r="O36" s="53"/>
      <c r="P36" s="53"/>
    </row>
    <row r="37" spans="2:16" ht="15.75" hidden="1" customHeight="1" outlineLevel="1">
      <c r="B37" s="58" t="s">
        <v>15</v>
      </c>
      <c r="C37" s="711">
        <f>C48/C49</f>
        <v>64.954337899543376</v>
      </c>
      <c r="D37" s="711">
        <f>D40*12*AVERAGE(C21,D21)/1000</f>
        <v>74.568175820032678</v>
      </c>
      <c r="E37" s="711">
        <f>E57*E29/1000</f>
        <v>78.027599999999993</v>
      </c>
      <c r="F37" s="711">
        <f>F57*F29/1000</f>
        <v>83.655000000000001</v>
      </c>
      <c r="G37" s="711">
        <f t="shared" ref="G37:P37" si="18">G40*12*AVERAGE(F21,G21)/1000</f>
        <v>89.522894315825837</v>
      </c>
      <c r="H37" s="711">
        <f t="shared" si="18"/>
        <v>101.72696980096752</v>
      </c>
      <c r="I37" s="711">
        <f t="shared" si="18"/>
        <v>104.07647719024186</v>
      </c>
      <c r="J37" s="711">
        <f t="shared" si="18"/>
        <v>105.97974396357526</v>
      </c>
      <c r="K37" s="711">
        <f t="shared" si="18"/>
        <v>112.26035135776834</v>
      </c>
      <c r="L37" s="711">
        <f t="shared" si="18"/>
        <v>118.60581298588259</v>
      </c>
      <c r="M37" s="711">
        <f t="shared" si="18"/>
        <v>125.25866037649287</v>
      </c>
      <c r="N37" s="711">
        <f t="shared" si="18"/>
        <v>132.23266278808816</v>
      </c>
      <c r="O37" s="711">
        <f t="shared" si="18"/>
        <v>139.54217767600363</v>
      </c>
      <c r="P37" s="711">
        <f t="shared" si="18"/>
        <v>147.20217503042991</v>
      </c>
    </row>
    <row r="38" spans="2:16" ht="15.75" hidden="1" customHeight="1" outlineLevel="1">
      <c r="B38" s="53" t="s">
        <v>1092</v>
      </c>
      <c r="C38" s="621"/>
      <c r="D38" s="54">
        <f>D37/C37-1</f>
        <v>0.14800917431192673</v>
      </c>
      <c r="E38" s="54">
        <f t="shared" ref="E38:P38" si="19">E37/D37-1</f>
        <v>4.6392769327179062E-2</v>
      </c>
      <c r="F38" s="54">
        <f t="shared" si="19"/>
        <v>7.2120634237116121E-2</v>
      </c>
      <c r="G38" s="54">
        <f t="shared" si="19"/>
        <v>7.0143976042386313E-2</v>
      </c>
      <c r="H38" s="54">
        <f t="shared" si="19"/>
        <v>0.13632351342537241</v>
      </c>
      <c r="I38" s="54">
        <f t="shared" si="19"/>
        <v>2.3096209332404527E-2</v>
      </c>
      <c r="J38" s="54">
        <f t="shared" si="19"/>
        <v>1.8287194423908248E-2</v>
      </c>
      <c r="K38" s="54">
        <f t="shared" si="19"/>
        <v>5.92623378704491E-2</v>
      </c>
      <c r="L38" s="54">
        <f t="shared" si="19"/>
        <v>5.652451245134249E-2</v>
      </c>
      <c r="M38" s="54">
        <f t="shared" si="19"/>
        <v>5.609208539721533E-2</v>
      </c>
      <c r="N38" s="54">
        <f t="shared" si="19"/>
        <v>5.5676808219354834E-2</v>
      </c>
      <c r="O38" s="54">
        <f t="shared" si="19"/>
        <v>5.527768052005011E-2</v>
      </c>
      <c r="P38" s="54">
        <f t="shared" si="19"/>
        <v>5.4893778225330925E-2</v>
      </c>
    </row>
    <row r="39" spans="2:16" ht="15.75" hidden="1" customHeight="1" outlineLevel="1">
      <c r="B39" s="53"/>
      <c r="C39" s="621"/>
      <c r="D39" s="54"/>
      <c r="E39" s="54"/>
      <c r="F39" s="54"/>
      <c r="G39" s="54"/>
      <c r="H39" s="54"/>
      <c r="I39" s="54"/>
      <c r="J39" s="54"/>
      <c r="K39" s="54"/>
      <c r="L39" s="54"/>
      <c r="M39" s="54"/>
      <c r="N39" s="54"/>
      <c r="O39" s="54"/>
      <c r="P39" s="54"/>
    </row>
    <row r="40" spans="2:16" ht="15.75" hidden="1" customHeight="1" outlineLevel="1">
      <c r="B40" s="53" t="s">
        <v>3445</v>
      </c>
      <c r="C40" s="621">
        <f>C37*1000/C21/12</f>
        <v>16.553093246570686</v>
      </c>
      <c r="D40" s="621">
        <f>(1+D41)*C40</f>
        <v>17.546278841364927</v>
      </c>
      <c r="E40" s="621">
        <f>E37*1000/AVERAGE(D21,E21)/12</f>
        <v>16.128736202406049</v>
      </c>
      <c r="F40" s="621">
        <f>F37*1000/AVERAGE(E21,F21)/12</f>
        <v>16.059087767795436</v>
      </c>
      <c r="G40" s="621">
        <f t="shared" ref="G40:P40" si="20">(1+G41)*F40</f>
        <v>16.21967864547339</v>
      </c>
      <c r="H40" s="621">
        <f t="shared" si="20"/>
        <v>16.868465791292326</v>
      </c>
      <c r="I40" s="621">
        <f t="shared" si="20"/>
        <v>16.53109647546648</v>
      </c>
      <c r="J40" s="621">
        <f t="shared" si="20"/>
        <v>16.696407440221144</v>
      </c>
      <c r="K40" s="621">
        <f t="shared" si="20"/>
        <v>17.197299663427778</v>
      </c>
      <c r="L40" s="621">
        <f t="shared" si="20"/>
        <v>17.71321865333061</v>
      </c>
      <c r="M40" s="621">
        <f t="shared" si="20"/>
        <v>18.24461521293053</v>
      </c>
      <c r="N40" s="621">
        <f t="shared" si="20"/>
        <v>18.791953669318445</v>
      </c>
      <c r="O40" s="621">
        <f t="shared" si="20"/>
        <v>19.355712279397999</v>
      </c>
      <c r="P40" s="621">
        <f t="shared" si="20"/>
        <v>19.936383647779937</v>
      </c>
    </row>
    <row r="41" spans="2:16" ht="15.75" hidden="1" customHeight="1" outlineLevel="1">
      <c r="B41" s="53"/>
      <c r="C41" s="621"/>
      <c r="D41" s="752">
        <v>0.06</v>
      </c>
      <c r="E41" s="54">
        <f>E40/D40-1</f>
        <v>-8.0788790134638466E-2</v>
      </c>
      <c r="F41" s="54">
        <f>F40/E40-1</f>
        <v>-4.3182822098747353E-3</v>
      </c>
      <c r="G41" s="752">
        <v>0.01</v>
      </c>
      <c r="H41" s="752">
        <v>0.04</v>
      </c>
      <c r="I41" s="752">
        <v>-0.02</v>
      </c>
      <c r="J41" s="752">
        <v>0.01</v>
      </c>
      <c r="K41" s="752">
        <v>0.03</v>
      </c>
      <c r="L41" s="752">
        <v>0.03</v>
      </c>
      <c r="M41" s="752">
        <v>0.03</v>
      </c>
      <c r="N41" s="752">
        <v>0.03</v>
      </c>
      <c r="O41" s="752">
        <v>0.03</v>
      </c>
      <c r="P41" s="752">
        <v>0.03</v>
      </c>
    </row>
    <row r="42" spans="2:16" ht="15.75" hidden="1" customHeight="1" outlineLevel="1">
      <c r="B42" s="53"/>
      <c r="C42" s="53"/>
      <c r="D42" s="53"/>
      <c r="E42" s="53"/>
      <c r="F42" s="53"/>
      <c r="G42" s="53"/>
      <c r="H42" s="53"/>
      <c r="I42" s="53"/>
      <c r="J42" s="53"/>
      <c r="K42" s="53"/>
      <c r="L42" s="53"/>
      <c r="M42" s="53"/>
      <c r="N42" s="53"/>
      <c r="O42" s="53"/>
      <c r="P42" s="53"/>
    </row>
    <row r="43" spans="2:16" ht="15.75" hidden="1" customHeight="1" outlineLevel="1">
      <c r="B43" s="58" t="s">
        <v>79</v>
      </c>
      <c r="C43" s="53"/>
      <c r="D43" s="53"/>
      <c r="E43" s="53"/>
      <c r="F43" s="712">
        <f>F48+F45-F46</f>
        <v>32.76</v>
      </c>
      <c r="G43" s="712">
        <f>G48+G45-G46</f>
        <v>37.128699840013816</v>
      </c>
      <c r="H43" s="712">
        <f t="shared" ref="H43:P43" si="21">H48+H45-H46</f>
        <v>42.444709128348308</v>
      </c>
      <c r="I43" s="712">
        <f t="shared" si="21"/>
        <v>42.724590876096748</v>
      </c>
      <c r="J43" s="712">
        <f t="shared" si="21"/>
        <v>33.058695025065852</v>
      </c>
      <c r="K43" s="712">
        <f t="shared" si="21"/>
        <v>35.633744056685018</v>
      </c>
      <c r="L43" s="712">
        <f t="shared" si="21"/>
        <v>38.23538332421186</v>
      </c>
      <c r="M43" s="712">
        <f t="shared" si="21"/>
        <v>40.963050754362072</v>
      </c>
      <c r="N43" s="712">
        <f t="shared" si="21"/>
        <v>43.822391743116142</v>
      </c>
      <c r="O43" s="712">
        <f t="shared" si="21"/>
        <v>46.819292847161485</v>
      </c>
      <c r="P43" s="712">
        <f t="shared" si="21"/>
        <v>49.959891762476261</v>
      </c>
    </row>
    <row r="44" spans="2:16" ht="15.75" hidden="1" customHeight="1" outlineLevel="1">
      <c r="B44" s="53" t="s">
        <v>251</v>
      </c>
      <c r="C44" s="53"/>
      <c r="D44" s="53"/>
      <c r="E44" s="53"/>
      <c r="F44" s="56">
        <f>F43/F37</f>
        <v>0.39160839160839156</v>
      </c>
      <c r="G44" s="56">
        <f t="shared" ref="G44:P44" si="22">G43/G37</f>
        <v>0.41473971684861188</v>
      </c>
      <c r="H44" s="56">
        <f t="shared" si="22"/>
        <v>0.41724145731847617</v>
      </c>
      <c r="I44" s="56">
        <f t="shared" si="22"/>
        <v>0.41051150105705708</v>
      </c>
      <c r="J44" s="56">
        <f t="shared" si="22"/>
        <v>0.31193409031473007</v>
      </c>
      <c r="K44" s="56">
        <f t="shared" si="22"/>
        <v>0.31742056412349884</v>
      </c>
      <c r="L44" s="56">
        <f t="shared" si="22"/>
        <v>0.32237360346548055</v>
      </c>
      <c r="M44" s="56">
        <f t="shared" si="22"/>
        <v>0.32702769318495406</v>
      </c>
      <c r="N44" s="56">
        <f t="shared" si="22"/>
        <v>0.33140368513447022</v>
      </c>
      <c r="O44" s="56">
        <f t="shared" si="22"/>
        <v>0.33552072661406346</v>
      </c>
      <c r="P44" s="56">
        <f t="shared" si="22"/>
        <v>0.33939642367477557</v>
      </c>
    </row>
    <row r="45" spans="2:16" ht="15.75" hidden="1" customHeight="1" outlineLevel="1">
      <c r="B45" s="53" t="s">
        <v>6027</v>
      </c>
      <c r="C45" s="53"/>
      <c r="D45" s="53"/>
      <c r="E45" s="53"/>
      <c r="F45" s="53"/>
      <c r="G45" s="749">
        <f>5*G29/1000</f>
        <v>3.11</v>
      </c>
      <c r="H45" s="749">
        <f>10*H29/1000</f>
        <v>6.47</v>
      </c>
      <c r="I45" s="749">
        <f>12*I29/1000</f>
        <v>6.5640000000000001</v>
      </c>
      <c r="J45" s="749">
        <v>0</v>
      </c>
      <c r="K45" s="643">
        <f>J45</f>
        <v>0</v>
      </c>
      <c r="L45" s="643">
        <f t="shared" ref="L45:P46" si="23">K45</f>
        <v>0</v>
      </c>
      <c r="M45" s="643">
        <f t="shared" si="23"/>
        <v>0</v>
      </c>
      <c r="N45" s="643">
        <f t="shared" si="23"/>
        <v>0</v>
      </c>
      <c r="O45" s="643">
        <f t="shared" si="23"/>
        <v>0</v>
      </c>
      <c r="P45" s="643">
        <f t="shared" si="23"/>
        <v>0</v>
      </c>
    </row>
    <row r="46" spans="2:16" ht="15.75" hidden="1" customHeight="1" outlineLevel="1">
      <c r="B46" s="53" t="s">
        <v>399</v>
      </c>
      <c r="C46" s="53"/>
      <c r="D46" s="53"/>
      <c r="E46" s="53"/>
      <c r="F46" s="53"/>
      <c r="G46" s="749">
        <v>0</v>
      </c>
      <c r="H46" s="749">
        <f>1*H29/1000</f>
        <v>0.64700000000000002</v>
      </c>
      <c r="I46" s="749">
        <f>10*I29/1000</f>
        <v>5.47</v>
      </c>
      <c r="J46" s="749">
        <f>20*J29/1000</f>
        <v>10.393000000000001</v>
      </c>
      <c r="K46" s="643">
        <f>J46</f>
        <v>10.393000000000001</v>
      </c>
      <c r="L46" s="643">
        <f t="shared" si="23"/>
        <v>10.393000000000001</v>
      </c>
      <c r="M46" s="643">
        <f t="shared" si="23"/>
        <v>10.393000000000001</v>
      </c>
      <c r="N46" s="643">
        <f t="shared" si="23"/>
        <v>10.393000000000001</v>
      </c>
      <c r="O46" s="643">
        <f t="shared" si="23"/>
        <v>10.393000000000001</v>
      </c>
      <c r="P46" s="643">
        <f t="shared" si="23"/>
        <v>10.393000000000001</v>
      </c>
    </row>
    <row r="47" spans="2:16" ht="15.75" hidden="1" customHeight="1" outlineLevel="1">
      <c r="B47" s="53"/>
      <c r="C47" s="53"/>
      <c r="D47" s="53"/>
      <c r="E47" s="53"/>
      <c r="F47" s="53"/>
      <c r="G47" s="53"/>
      <c r="H47" s="53"/>
      <c r="I47" s="53"/>
      <c r="J47" s="53"/>
      <c r="K47" s="53"/>
      <c r="L47" s="53"/>
      <c r="M47" s="53"/>
      <c r="N47" s="53"/>
      <c r="O47" s="53"/>
      <c r="P47" s="53"/>
    </row>
    <row r="48" spans="2:16" ht="15.75" hidden="1" customHeight="1" outlineLevel="1">
      <c r="B48" s="58" t="s">
        <v>5960</v>
      </c>
      <c r="C48" s="939">
        <f>250/7.3*(C29/1000)</f>
        <v>19.486301369863011</v>
      </c>
      <c r="D48" s="712">
        <f t="shared" ref="D48:P48" si="24">D49*D37</f>
        <v>23.861816262410457</v>
      </c>
      <c r="E48" s="711">
        <f>E59*E29/1000</f>
        <v>27.635999999999999</v>
      </c>
      <c r="F48" s="711">
        <f>F59*F29/1000</f>
        <v>32.76</v>
      </c>
      <c r="G48" s="712">
        <f t="shared" si="24"/>
        <v>34.018699840013817</v>
      </c>
      <c r="H48" s="712">
        <f t="shared" si="24"/>
        <v>36.621709128348307</v>
      </c>
      <c r="I48" s="712">
        <f t="shared" si="24"/>
        <v>41.630590876096747</v>
      </c>
      <c r="J48" s="712">
        <f t="shared" si="24"/>
        <v>43.451695025065852</v>
      </c>
      <c r="K48" s="712">
        <f t="shared" si="24"/>
        <v>46.026744056685018</v>
      </c>
      <c r="L48" s="712">
        <f t="shared" si="24"/>
        <v>48.62838332421186</v>
      </c>
      <c r="M48" s="712">
        <f t="shared" si="24"/>
        <v>51.356050754362073</v>
      </c>
      <c r="N48" s="712">
        <f t="shared" si="24"/>
        <v>54.215391743116143</v>
      </c>
      <c r="O48" s="712">
        <f t="shared" si="24"/>
        <v>57.212292847161486</v>
      </c>
      <c r="P48" s="712">
        <f t="shared" si="24"/>
        <v>60.352891762476261</v>
      </c>
    </row>
    <row r="49" spans="2:16" ht="15.75" hidden="1" customHeight="1" outlineLevel="1">
      <c r="B49" s="53" t="s">
        <v>2048</v>
      </c>
      <c r="C49" s="784">
        <v>0.3</v>
      </c>
      <c r="D49" s="752">
        <v>0.32</v>
      </c>
      <c r="E49" s="56">
        <f>E48/E37</f>
        <v>0.35418236623963828</v>
      </c>
      <c r="F49" s="56">
        <f>F48/F37</f>
        <v>0.39160839160839156</v>
      </c>
      <c r="G49" s="752">
        <v>0.38</v>
      </c>
      <c r="H49" s="752">
        <v>0.36</v>
      </c>
      <c r="I49" s="752">
        <v>0.4</v>
      </c>
      <c r="J49" s="752">
        <v>0.41</v>
      </c>
      <c r="K49" s="752">
        <v>0.41</v>
      </c>
      <c r="L49" s="752">
        <v>0.41</v>
      </c>
      <c r="M49" s="752">
        <v>0.41</v>
      </c>
      <c r="N49" s="752">
        <v>0.41</v>
      </c>
      <c r="O49" s="752">
        <v>0.41</v>
      </c>
      <c r="P49" s="752">
        <v>0.41</v>
      </c>
    </row>
    <row r="50" spans="2:16" ht="15.75" hidden="1" customHeight="1" outlineLevel="1">
      <c r="B50" s="53"/>
      <c r="C50" s="53"/>
      <c r="D50" s="53"/>
      <c r="E50" s="53"/>
      <c r="F50" s="53"/>
      <c r="G50" s="53"/>
      <c r="H50" s="53"/>
      <c r="I50" s="53"/>
      <c r="J50" s="53"/>
      <c r="K50" s="53"/>
      <c r="L50" s="53"/>
      <c r="M50" s="53"/>
      <c r="N50" s="53"/>
      <c r="O50" s="53"/>
      <c r="P50" s="53"/>
    </row>
    <row r="51" spans="2:16" ht="15.75" hidden="1" customHeight="1" outlineLevel="1">
      <c r="B51" s="53" t="s">
        <v>19</v>
      </c>
      <c r="C51" s="481">
        <f>C52*C37</f>
        <v>12.990867579908675</v>
      </c>
      <c r="D51" s="481">
        <f>D52*D37</f>
        <v>14.913635164006536</v>
      </c>
      <c r="E51" s="481">
        <f>E52*E37</f>
        <v>19.506899999999998</v>
      </c>
      <c r="F51" s="621">
        <f>F60*F29/1000</f>
        <v>14.365590909090907</v>
      </c>
      <c r="G51" s="481">
        <f t="shared" ref="G51:P51" si="25">G52*G37</f>
        <v>16.11412097684865</v>
      </c>
      <c r="H51" s="481">
        <f t="shared" si="25"/>
        <v>21.362663658203179</v>
      </c>
      <c r="I51" s="481">
        <f t="shared" si="25"/>
        <v>20.815295438048373</v>
      </c>
      <c r="J51" s="481">
        <f t="shared" si="25"/>
        <v>20.136151353079299</v>
      </c>
      <c r="K51" s="481">
        <f t="shared" si="25"/>
        <v>20.206863244398303</v>
      </c>
      <c r="L51" s="481">
        <f t="shared" si="25"/>
        <v>21.349046337458866</v>
      </c>
      <c r="M51" s="481">
        <f t="shared" si="25"/>
        <v>22.546558867768717</v>
      </c>
      <c r="N51" s="481">
        <f t="shared" si="25"/>
        <v>23.80187930185587</v>
      </c>
      <c r="O51" s="481">
        <f t="shared" si="25"/>
        <v>25.117591981680654</v>
      </c>
      <c r="P51" s="481">
        <f t="shared" si="25"/>
        <v>26.496391505477384</v>
      </c>
    </row>
    <row r="52" spans="2:16" ht="15.75" hidden="1" customHeight="1" outlineLevel="1">
      <c r="B52" s="53" t="s">
        <v>91</v>
      </c>
      <c r="C52" s="784">
        <v>0.2</v>
      </c>
      <c r="D52" s="784">
        <v>0.2</v>
      </c>
      <c r="E52" s="784">
        <v>0.25</v>
      </c>
      <c r="F52" s="54">
        <f>F51/F37</f>
        <v>0.17172423536059897</v>
      </c>
      <c r="G52" s="784">
        <v>0.18</v>
      </c>
      <c r="H52" s="784">
        <v>0.21</v>
      </c>
      <c r="I52" s="784">
        <v>0.2</v>
      </c>
      <c r="J52" s="784">
        <v>0.19</v>
      </c>
      <c r="K52" s="784">
        <v>0.18</v>
      </c>
      <c r="L52" s="784">
        <v>0.18</v>
      </c>
      <c r="M52" s="784">
        <v>0.18</v>
      </c>
      <c r="N52" s="784">
        <v>0.18</v>
      </c>
      <c r="O52" s="784">
        <v>0.18</v>
      </c>
      <c r="P52" s="784">
        <v>0.18</v>
      </c>
    </row>
    <row r="53" spans="2:16" ht="15.75" hidden="1" customHeight="1" outlineLevel="1">
      <c r="B53" s="53"/>
      <c r="C53" s="53"/>
      <c r="D53" s="53"/>
      <c r="E53" s="53"/>
      <c r="F53" s="53"/>
      <c r="G53" s="53"/>
      <c r="H53" s="53"/>
      <c r="I53" s="53"/>
      <c r="J53" s="53"/>
      <c r="K53" s="53"/>
      <c r="L53" s="53"/>
      <c r="M53" s="53"/>
      <c r="N53" s="53"/>
      <c r="O53" s="53"/>
      <c r="P53" s="53"/>
    </row>
    <row r="54" spans="2:16" ht="15.75" hidden="1" customHeight="1" outlineLevel="1">
      <c r="B54" s="53" t="s">
        <v>27</v>
      </c>
      <c r="C54" s="481">
        <f>C48-C51</f>
        <v>6.4954337899543351</v>
      </c>
      <c r="D54" s="481">
        <f t="shared" ref="D54:P54" si="26">D48-D51</f>
        <v>8.9481810984039214</v>
      </c>
      <c r="E54" s="481">
        <f t="shared" si="26"/>
        <v>8.1291000000000011</v>
      </c>
      <c r="F54" s="481">
        <f t="shared" si="26"/>
        <v>18.394409090909093</v>
      </c>
      <c r="G54" s="481">
        <f t="shared" si="26"/>
        <v>17.904578863165167</v>
      </c>
      <c r="H54" s="481">
        <f t="shared" si="26"/>
        <v>15.259045470145129</v>
      </c>
      <c r="I54" s="481">
        <f t="shared" si="26"/>
        <v>20.815295438048373</v>
      </c>
      <c r="J54" s="481">
        <f t="shared" si="26"/>
        <v>23.315543671986553</v>
      </c>
      <c r="K54" s="481">
        <f t="shared" si="26"/>
        <v>25.819880812286716</v>
      </c>
      <c r="L54" s="481">
        <f t="shared" si="26"/>
        <v>27.279336986752995</v>
      </c>
      <c r="M54" s="481">
        <f t="shared" si="26"/>
        <v>28.809491886593356</v>
      </c>
      <c r="N54" s="481">
        <f t="shared" si="26"/>
        <v>30.413512441260274</v>
      </c>
      <c r="O54" s="481">
        <f t="shared" si="26"/>
        <v>32.094700865480831</v>
      </c>
      <c r="P54" s="481">
        <f t="shared" si="26"/>
        <v>33.856500256998878</v>
      </c>
    </row>
    <row r="55" spans="2:16" ht="15.75" hidden="1" customHeight="1" outlineLevel="1">
      <c r="B55" s="53"/>
      <c r="C55" s="53"/>
      <c r="D55" s="53"/>
      <c r="E55" s="53"/>
      <c r="F55" s="53"/>
      <c r="G55" s="53"/>
      <c r="H55" s="53"/>
      <c r="I55" s="53"/>
      <c r="J55" s="53"/>
      <c r="K55" s="53"/>
      <c r="L55" s="53"/>
      <c r="M55" s="53"/>
      <c r="N55" s="53"/>
      <c r="O55" s="53"/>
      <c r="P55" s="53"/>
    </row>
    <row r="56" spans="2:16" ht="15.75" hidden="1" customHeight="1" outlineLevel="1">
      <c r="B56" s="1166" t="s">
        <v>3871</v>
      </c>
      <c r="C56" s="53"/>
      <c r="D56" s="53"/>
      <c r="E56" s="53"/>
      <c r="F56" s="53"/>
      <c r="G56" s="53"/>
      <c r="H56" s="53"/>
      <c r="I56" s="53"/>
      <c r="J56" s="53"/>
      <c r="K56" s="53"/>
      <c r="L56" s="53"/>
      <c r="M56" s="53"/>
      <c r="N56" s="53"/>
      <c r="O56" s="53"/>
      <c r="P56" s="53"/>
    </row>
    <row r="57" spans="2:16" ht="15.75" hidden="1" customHeight="1" outlineLevel="1">
      <c r="B57" s="53" t="s">
        <v>15</v>
      </c>
      <c r="C57" s="621">
        <f>C37*1000/C29</f>
        <v>114.1552511415525</v>
      </c>
      <c r="D57" s="621">
        <f>D37*1000/D29</f>
        <v>129.0106848097451</v>
      </c>
      <c r="E57" s="702">
        <v>132.69999999999999</v>
      </c>
      <c r="F57" s="702">
        <v>143</v>
      </c>
      <c r="G57" s="621">
        <f t="shared" ref="G57:P57" si="27">G37*1000/G29</f>
        <v>143.92748282287113</v>
      </c>
      <c r="H57" s="621">
        <f t="shared" si="27"/>
        <v>157.22870139253095</v>
      </c>
      <c r="I57" s="621">
        <f t="shared" si="27"/>
        <v>190.2677827975171</v>
      </c>
      <c r="J57" s="621">
        <f t="shared" si="27"/>
        <v>203.94447024646445</v>
      </c>
      <c r="K57" s="621">
        <f t="shared" si="27"/>
        <v>211.79480034217667</v>
      </c>
      <c r="L57" s="621">
        <f t="shared" si="27"/>
        <v>219.37882173651727</v>
      </c>
      <c r="M57" s="621">
        <f t="shared" si="27"/>
        <v>227.14140915657103</v>
      </c>
      <c r="N57" s="621">
        <f t="shared" si="27"/>
        <v>235.08619395377988</v>
      </c>
      <c r="O57" s="621">
        <f t="shared" si="27"/>
        <v>243.21687595865828</v>
      </c>
      <c r="P57" s="621">
        <f t="shared" si="27"/>
        <v>251.53722471391245</v>
      </c>
    </row>
    <row r="58" spans="2:16" ht="15.75" hidden="1" customHeight="1" outlineLevel="1">
      <c r="B58" s="53" t="s">
        <v>79</v>
      </c>
      <c r="C58" s="621"/>
      <c r="D58" s="621"/>
      <c r="E58" s="621"/>
      <c r="F58" s="621"/>
      <c r="G58" s="621">
        <f t="shared" ref="G58:P58" si="28">G43*1000/G29</f>
        <v>59.692443472691025</v>
      </c>
      <c r="H58" s="621">
        <f t="shared" si="28"/>
        <v>65.602332501311139</v>
      </c>
      <c r="I58" s="621">
        <f t="shared" si="28"/>
        <v>78.107113119006854</v>
      </c>
      <c r="J58" s="621">
        <f t="shared" si="28"/>
        <v>63.61723280105042</v>
      </c>
      <c r="K58" s="621">
        <f t="shared" si="28"/>
        <v>67.22802500303753</v>
      </c>
      <c r="L58" s="621">
        <f t="shared" si="28"/>
        <v>70.721941287212346</v>
      </c>
      <c r="M58" s="621">
        <f t="shared" si="28"/>
        <v>74.281531063253226</v>
      </c>
      <c r="N58" s="621">
        <f t="shared" si="28"/>
        <v>77.908431000519442</v>
      </c>
      <c r="O58" s="621">
        <f t="shared" si="28"/>
        <v>81.604302946451583</v>
      </c>
      <c r="P58" s="621">
        <f t="shared" si="28"/>
        <v>85.370834488980265</v>
      </c>
    </row>
    <row r="59" spans="2:16" ht="15.75" hidden="1" customHeight="1" outlineLevel="1">
      <c r="B59" s="53" t="s">
        <v>5960</v>
      </c>
      <c r="C59" s="621">
        <f>C48*1000/C29</f>
        <v>34.246575342465746</v>
      </c>
      <c r="D59" s="621">
        <f>D48*1000/D29</f>
        <v>41.283419139118443</v>
      </c>
      <c r="E59" s="702">
        <v>47</v>
      </c>
      <c r="F59" s="702">
        <v>56</v>
      </c>
      <c r="G59" s="621">
        <f t="shared" ref="G59:P59" si="29">G48*1000/G29</f>
        <v>54.692443472691025</v>
      </c>
      <c r="H59" s="621">
        <f t="shared" si="29"/>
        <v>56.602332501311146</v>
      </c>
      <c r="I59" s="621">
        <f t="shared" si="29"/>
        <v>76.107113119006854</v>
      </c>
      <c r="J59" s="621">
        <f t="shared" si="29"/>
        <v>83.617232801050434</v>
      </c>
      <c r="K59" s="621">
        <f t="shared" si="29"/>
        <v>86.835868140292433</v>
      </c>
      <c r="L59" s="621">
        <f t="shared" si="29"/>
        <v>89.945316911972071</v>
      </c>
      <c r="M59" s="621">
        <f t="shared" si="29"/>
        <v>93.127977754194106</v>
      </c>
      <c r="N59" s="621">
        <f t="shared" si="29"/>
        <v>96.385339521049744</v>
      </c>
      <c r="O59" s="621">
        <f t="shared" si="29"/>
        <v>99.718919143049902</v>
      </c>
      <c r="P59" s="621">
        <f t="shared" si="29"/>
        <v>103.1302621327041</v>
      </c>
    </row>
    <row r="60" spans="2:16" ht="15.75" hidden="1" customHeight="1" outlineLevel="1">
      <c r="B60" s="53" t="s">
        <v>19</v>
      </c>
      <c r="C60" s="621">
        <f>C51*1000/C29</f>
        <v>22.831050228310502</v>
      </c>
      <c r="D60" s="621">
        <f>D51*1000/D29</f>
        <v>25.802136961949021</v>
      </c>
      <c r="E60" s="621">
        <f>E51*1000/E29</f>
        <v>33.174999999999997</v>
      </c>
      <c r="F60" s="702">
        <f>196.4-Master!L117</f>
        <v>24.556565656565652</v>
      </c>
      <c r="G60" s="621">
        <f t="shared" ref="G60:P60" si="30">G51*1000/G29</f>
        <v>25.906946908116801</v>
      </c>
      <c r="H60" s="621">
        <f t="shared" si="30"/>
        <v>33.018027292431498</v>
      </c>
      <c r="I60" s="621">
        <f t="shared" si="30"/>
        <v>38.053556559503427</v>
      </c>
      <c r="J60" s="621">
        <f t="shared" si="30"/>
        <v>38.74944934682825</v>
      </c>
      <c r="K60" s="621">
        <f t="shared" si="30"/>
        <v>38.123064061591805</v>
      </c>
      <c r="L60" s="621">
        <f t="shared" si="30"/>
        <v>39.488187912573103</v>
      </c>
      <c r="M60" s="621">
        <f t="shared" si="30"/>
        <v>40.885453648182782</v>
      </c>
      <c r="N60" s="621">
        <f t="shared" si="30"/>
        <v>42.315514911680374</v>
      </c>
      <c r="O60" s="621">
        <f t="shared" si="30"/>
        <v>43.779037672558488</v>
      </c>
      <c r="P60" s="621">
        <f t="shared" si="30"/>
        <v>45.276700448504243</v>
      </c>
    </row>
    <row r="61" spans="2:16" ht="15.75" hidden="1" customHeight="1" outlineLevel="1">
      <c r="B61" s="53" t="s">
        <v>27</v>
      </c>
      <c r="C61" s="621">
        <f>C59-C60</f>
        <v>11.415525114155244</v>
      </c>
      <c r="D61" s="621">
        <f t="shared" ref="D61:P61" si="31">D59-D60</f>
        <v>15.481282177169422</v>
      </c>
      <c r="E61" s="621">
        <f t="shared" si="31"/>
        <v>13.825000000000003</v>
      </c>
      <c r="F61" s="621">
        <f t="shared" si="31"/>
        <v>31.443434343434348</v>
      </c>
      <c r="G61" s="621">
        <f t="shared" si="31"/>
        <v>28.785496564574224</v>
      </c>
      <c r="H61" s="621">
        <f t="shared" si="31"/>
        <v>23.584305208879648</v>
      </c>
      <c r="I61" s="621">
        <f t="shared" si="31"/>
        <v>38.053556559503427</v>
      </c>
      <c r="J61" s="621">
        <f t="shared" si="31"/>
        <v>44.867783454222185</v>
      </c>
      <c r="K61" s="621">
        <f t="shared" si="31"/>
        <v>48.712804078700628</v>
      </c>
      <c r="L61" s="621">
        <f t="shared" si="31"/>
        <v>50.457128999398968</v>
      </c>
      <c r="M61" s="621">
        <f t="shared" si="31"/>
        <v>52.242524106011324</v>
      </c>
      <c r="N61" s="621">
        <f t="shared" si="31"/>
        <v>54.06982460936937</v>
      </c>
      <c r="O61" s="621">
        <f t="shared" si="31"/>
        <v>55.939881470491414</v>
      </c>
      <c r="P61" s="621">
        <f t="shared" si="31"/>
        <v>57.85356168419986</v>
      </c>
    </row>
    <row r="62" spans="2:16" ht="15.75" hidden="1" customHeight="1" outlineLevel="1">
      <c r="B62" s="53" t="s">
        <v>3448</v>
      </c>
      <c r="C62" s="784">
        <v>0.28000000000000003</v>
      </c>
      <c r="D62" s="54">
        <f>C62</f>
        <v>0.28000000000000003</v>
      </c>
      <c r="E62" s="54">
        <f t="shared" ref="E62:P62" si="32">D62</f>
        <v>0.28000000000000003</v>
      </c>
      <c r="F62" s="54">
        <f t="shared" si="32"/>
        <v>0.28000000000000003</v>
      </c>
      <c r="G62" s="54">
        <f t="shared" si="32"/>
        <v>0.28000000000000003</v>
      </c>
      <c r="H62" s="54">
        <f t="shared" si="32"/>
        <v>0.28000000000000003</v>
      </c>
      <c r="I62" s="54">
        <f t="shared" si="32"/>
        <v>0.28000000000000003</v>
      </c>
      <c r="J62" s="54">
        <f t="shared" si="32"/>
        <v>0.28000000000000003</v>
      </c>
      <c r="K62" s="54">
        <f t="shared" si="32"/>
        <v>0.28000000000000003</v>
      </c>
      <c r="L62" s="54">
        <f t="shared" si="32"/>
        <v>0.28000000000000003</v>
      </c>
      <c r="M62" s="54">
        <f t="shared" si="32"/>
        <v>0.28000000000000003</v>
      </c>
      <c r="N62" s="54">
        <f t="shared" si="32"/>
        <v>0.28000000000000003</v>
      </c>
      <c r="O62" s="54">
        <f t="shared" si="32"/>
        <v>0.28000000000000003</v>
      </c>
      <c r="P62" s="54">
        <f t="shared" si="32"/>
        <v>0.28000000000000003</v>
      </c>
    </row>
    <row r="63" spans="2:16" ht="15.75" hidden="1" customHeight="1" outlineLevel="1">
      <c r="B63" s="53" t="s">
        <v>377</v>
      </c>
      <c r="C63" s="621">
        <f>(1-C62)*C61</f>
        <v>8.2191780821917746</v>
      </c>
      <c r="D63" s="621">
        <f t="shared" ref="D63:P63" si="33">(1-D62)*D61</f>
        <v>11.146523167561984</v>
      </c>
      <c r="E63" s="621">
        <f t="shared" si="33"/>
        <v>9.9540000000000024</v>
      </c>
      <c r="F63" s="621">
        <f t="shared" si="33"/>
        <v>22.639272727272729</v>
      </c>
      <c r="G63" s="621">
        <f t="shared" si="33"/>
        <v>20.725557526493439</v>
      </c>
      <c r="H63" s="621">
        <f t="shared" si="33"/>
        <v>16.980699750393345</v>
      </c>
      <c r="I63" s="621">
        <f>(1-I62)*I61</f>
        <v>27.398560722842465</v>
      </c>
      <c r="J63" s="621">
        <f t="shared" si="33"/>
        <v>32.304804087039969</v>
      </c>
      <c r="K63" s="621">
        <f t="shared" si="33"/>
        <v>35.073218936664453</v>
      </c>
      <c r="L63" s="621">
        <f t="shared" si="33"/>
        <v>36.329132879567254</v>
      </c>
      <c r="M63" s="621">
        <f t="shared" si="33"/>
        <v>37.614617356328154</v>
      </c>
      <c r="N63" s="621">
        <f t="shared" si="33"/>
        <v>38.930273718745944</v>
      </c>
      <c r="O63" s="621">
        <f t="shared" si="33"/>
        <v>40.276714658753818</v>
      </c>
      <c r="P63" s="621">
        <f t="shared" si="33"/>
        <v>41.654564412623898</v>
      </c>
    </row>
    <row r="64" spans="2:16" ht="15.75" hidden="1" customHeight="1" outlineLevel="1"/>
    <row r="65" spans="2:16" ht="15.75" hidden="1" customHeight="1" outlineLevel="1"/>
    <row r="66" spans="2:16" ht="15.75" hidden="1" customHeight="1" outlineLevel="1"/>
    <row r="67" spans="2:16" ht="15.75" hidden="1" customHeight="1" outlineLevel="1">
      <c r="B67" s="1167" t="s">
        <v>5914</v>
      </c>
      <c r="C67" s="53"/>
      <c r="D67" s="53"/>
      <c r="E67" s="53"/>
      <c r="F67" s="53"/>
      <c r="G67" s="53"/>
      <c r="H67" s="53"/>
      <c r="I67" s="53"/>
      <c r="J67" s="53"/>
      <c r="K67" s="53"/>
      <c r="L67" s="53"/>
      <c r="M67" s="53"/>
      <c r="N67" s="53"/>
      <c r="O67" s="53"/>
      <c r="P67" s="53"/>
    </row>
    <row r="68" spans="2:16" ht="15.75" hidden="1" customHeight="1" outlineLevel="1">
      <c r="B68" s="53"/>
      <c r="C68" s="53"/>
      <c r="D68" s="53"/>
      <c r="E68" s="53"/>
      <c r="F68" s="53"/>
      <c r="G68" s="53"/>
      <c r="H68" s="53"/>
      <c r="I68" s="53"/>
      <c r="J68" s="53"/>
      <c r="K68" s="53"/>
      <c r="L68" s="53"/>
      <c r="M68" s="53"/>
      <c r="N68" s="53"/>
      <c r="O68" s="53"/>
      <c r="P68" s="53"/>
    </row>
    <row r="69" spans="2:16" ht="15.75" hidden="1" customHeight="1" outlineLevel="1">
      <c r="B69" s="1824" t="s">
        <v>7770</v>
      </c>
      <c r="C69" s="53"/>
      <c r="D69" s="53"/>
      <c r="E69" s="53"/>
      <c r="F69" s="53"/>
      <c r="G69" s="53"/>
      <c r="H69" s="53"/>
      <c r="I69" s="53"/>
      <c r="J69" s="53"/>
      <c r="K69" s="53"/>
      <c r="L69" s="53"/>
      <c r="M69" s="53"/>
      <c r="N69" s="53"/>
      <c r="O69" s="53"/>
      <c r="P69" s="53"/>
    </row>
    <row r="70" spans="2:16" ht="15.75" hidden="1" customHeight="1" outlineLevel="1">
      <c r="B70" s="636" t="str">
        <f>B35</f>
        <v>CRP bn</v>
      </c>
      <c r="C70" s="636">
        <f t="shared" ref="C70:P70" si="34">C6</f>
        <v>2017</v>
      </c>
      <c r="D70" s="636">
        <f t="shared" si="34"/>
        <v>2018</v>
      </c>
      <c r="E70" s="636">
        <f t="shared" si="34"/>
        <v>2019</v>
      </c>
      <c r="F70" s="636">
        <f t="shared" si="34"/>
        <v>2020</v>
      </c>
      <c r="G70" s="636">
        <f t="shared" si="34"/>
        <v>2021</v>
      </c>
      <c r="H70" s="636">
        <f t="shared" si="34"/>
        <v>2022</v>
      </c>
      <c r="I70" s="636">
        <f t="shared" si="34"/>
        <v>2023</v>
      </c>
      <c r="J70" s="636">
        <f t="shared" si="34"/>
        <v>2024</v>
      </c>
      <c r="K70" s="636">
        <f t="shared" si="34"/>
        <v>2025</v>
      </c>
      <c r="L70" s="636">
        <f t="shared" si="34"/>
        <v>2026</v>
      </c>
      <c r="M70" s="636">
        <f t="shared" si="34"/>
        <v>2027</v>
      </c>
      <c r="N70" s="636">
        <f t="shared" si="34"/>
        <v>2028</v>
      </c>
      <c r="O70" s="636">
        <f t="shared" si="34"/>
        <v>2029</v>
      </c>
      <c r="P70" s="636">
        <f t="shared" si="34"/>
        <v>2030</v>
      </c>
    </row>
    <row r="71" spans="2:16" ht="15.75" hidden="1" customHeight="1" outlineLevel="1">
      <c r="B71" s="630" t="str">
        <f>Analysis!B2265</f>
        <v>Revenue</v>
      </c>
      <c r="C71" s="630">
        <f>Analysis!E2265/1000</f>
        <v>131.43899999999999</v>
      </c>
      <c r="D71" s="630">
        <f>Analysis!F2265/1000</f>
        <v>146.23400000000001</v>
      </c>
      <c r="E71" s="630">
        <f>Analysis!G2265/1000</f>
        <v>154.76160000000004</v>
      </c>
      <c r="F71" s="630">
        <f>Analysis!H2265/1000</f>
        <v>156.30921600000005</v>
      </c>
      <c r="G71" s="630">
        <f>Analysis!I2265/1000</f>
        <v>164.12467680000003</v>
      </c>
      <c r="H71" s="630">
        <f>Analysis!J2265/1000</f>
        <v>183.79413019903248</v>
      </c>
      <c r="I71" s="630">
        <f>Analysis!K2265/1000</f>
        <v>195.62482280975814</v>
      </c>
      <c r="J71" s="630">
        <f>Analysis!L2265/1000</f>
        <v>197.58107103785574</v>
      </c>
      <c r="K71" s="630">
        <f>Analysis!M2265/1000</f>
        <v>203.50850316899141</v>
      </c>
      <c r="L71" s="630">
        <f>Analysis!N2265/1000</f>
        <v>211.64884329575108</v>
      </c>
      <c r="M71" s="630">
        <f>Analysis!O2265/1000</f>
        <v>220.11479702758115</v>
      </c>
      <c r="N71" s="630">
        <f>Analysis!P2265/1000</f>
        <v>228.9193889086844</v>
      </c>
      <c r="O71" s="630">
        <f>Analysis!Q2265/1000</f>
        <v>238.07616446503178</v>
      </c>
      <c r="P71" s="630">
        <f>Analysis!R2265/1000</f>
        <v>247.59921104363309</v>
      </c>
    </row>
    <row r="72" spans="2:16" ht="15.75" hidden="1" customHeight="1" outlineLevel="1">
      <c r="B72" s="630" t="str">
        <f>Analysis!B2266</f>
        <v>% change</v>
      </c>
      <c r="C72" s="54">
        <f>Analysis!E2266</f>
        <v>0.21581196581196571</v>
      </c>
      <c r="D72" s="54">
        <f>Analysis!F2266</f>
        <v>0.11256172064607917</v>
      </c>
      <c r="E72" s="54">
        <f>Analysis!G2266</f>
        <v>5.8314755802344465E-2</v>
      </c>
      <c r="F72" s="54">
        <f>Analysis!H2266</f>
        <v>0.01</v>
      </c>
      <c r="G72" s="54">
        <f>Analysis!I2266</f>
        <v>0.05</v>
      </c>
      <c r="H72" s="54">
        <f>Analysis!J2266</f>
        <v>0.1198445826827208</v>
      </c>
      <c r="I72" s="54">
        <f>Analysis!K2266</f>
        <v>6.4369262489036405E-2</v>
      </c>
      <c r="J72" s="54">
        <f>Analysis!L2266</f>
        <v>0.01</v>
      </c>
      <c r="K72" s="54">
        <f>Analysis!M2266</f>
        <v>0.03</v>
      </c>
      <c r="L72" s="54">
        <f>Analysis!N2266</f>
        <v>0.04</v>
      </c>
      <c r="M72" s="54">
        <f>Analysis!O2266</f>
        <v>0.04</v>
      </c>
      <c r="N72" s="54">
        <f>Analysis!P2266</f>
        <v>0.04</v>
      </c>
      <c r="O72" s="54">
        <f>Analysis!Q2266</f>
        <v>0.04</v>
      </c>
      <c r="P72" s="54">
        <f>Analysis!R2266</f>
        <v>0.04</v>
      </c>
    </row>
    <row r="73" spans="2:16" ht="15.75" hidden="1" customHeight="1" outlineLevel="1">
      <c r="B73" s="630" t="str">
        <f>Analysis!B2267</f>
        <v>EBITDA</v>
      </c>
      <c r="C73" s="630">
        <f>Analysis!E2267/1000</f>
        <v>25.605</v>
      </c>
      <c r="D73" s="630">
        <f>Analysis!F2267/1000</f>
        <v>34.68</v>
      </c>
      <c r="E73" s="630">
        <f>Analysis!G2267/1000</f>
        <v>39.729729729729726</v>
      </c>
      <c r="F73" s="630">
        <f>Analysis!H2267/1000</f>
        <v>42.203488320000012</v>
      </c>
      <c r="G73" s="630">
        <f>Analysis!I2267/1000</f>
        <v>41.031169200000008</v>
      </c>
      <c r="H73" s="630">
        <f>Analysis!J2267/1000</f>
        <v>50.529190871651686</v>
      </c>
      <c r="I73" s="630">
        <f>Analysis!K2267/1000</f>
        <v>69.465109123903261</v>
      </c>
      <c r="J73" s="630">
        <f>Analysis!L2267/1000</f>
        <v>71.12918557362805</v>
      </c>
      <c r="K73" s="630">
        <f>Analysis!M2267/1000</f>
        <v>75.298146172526813</v>
      </c>
      <c r="L73" s="630">
        <f>Analysis!N2267/1000</f>
        <v>80.426560452385417</v>
      </c>
      <c r="M73" s="630">
        <f>Analysis!O2267/1000</f>
        <v>83.643622870480826</v>
      </c>
      <c r="N73" s="630">
        <f>Analysis!P2267/1000</f>
        <v>86.989367785300075</v>
      </c>
      <c r="O73" s="630">
        <f>Analysis!Q2267/1000</f>
        <v>90.468942496712089</v>
      </c>
      <c r="P73" s="630">
        <f>Analysis!R2267/1000</f>
        <v>94.08770019658057</v>
      </c>
    </row>
    <row r="74" spans="2:16" ht="15.75" hidden="1" customHeight="1" outlineLevel="1">
      <c r="B74" s="630" t="str">
        <f>Analysis!B2268</f>
        <v>% margin</v>
      </c>
      <c r="C74" s="54">
        <f>Analysis!E2268</f>
        <v>0.19480519480519481</v>
      </c>
      <c r="D74" s="54">
        <f>Analysis!F2268</f>
        <v>0.23715415019762845</v>
      </c>
      <c r="E74" s="54">
        <f>Analysis!G2268</f>
        <v>0.25671568224759705</v>
      </c>
      <c r="F74" s="54">
        <f>Analysis!H2268</f>
        <v>0.27</v>
      </c>
      <c r="G74" s="54">
        <f>Analysis!I2268</f>
        <v>0.25</v>
      </c>
      <c r="H74" s="54">
        <f>Analysis!J2268</f>
        <v>0.27492276721206016</v>
      </c>
      <c r="I74" s="54">
        <f>Analysis!K2268</f>
        <v>0.35509353121028464</v>
      </c>
      <c r="J74" s="54">
        <f>Analysis!L2268</f>
        <v>0.36</v>
      </c>
      <c r="K74" s="54">
        <f>Analysis!M2268</f>
        <v>0.37</v>
      </c>
      <c r="L74" s="54">
        <f>Analysis!N2268</f>
        <v>0.38</v>
      </c>
      <c r="M74" s="54">
        <f>Analysis!O2268</f>
        <v>0.38</v>
      </c>
      <c r="N74" s="54">
        <f>Analysis!P2268</f>
        <v>0.38</v>
      </c>
      <c r="O74" s="54">
        <f>Analysis!Q2268</f>
        <v>0.38</v>
      </c>
      <c r="P74" s="54">
        <f>Analysis!R2268</f>
        <v>0.38</v>
      </c>
    </row>
    <row r="75" spans="2:16" ht="15.75" hidden="1" customHeight="1" outlineLevel="1">
      <c r="B75" s="630" t="str">
        <f>Analysis!B2269</f>
        <v>Capex</v>
      </c>
      <c r="C75" s="630">
        <f>Analysis!E2269/1000</f>
        <v>15.856739825581396</v>
      </c>
      <c r="D75" s="630">
        <f>Analysis!F2269/1000</f>
        <v>16.294056417489422</v>
      </c>
      <c r="E75" s="630">
        <f>Analysis!G2269/1000</f>
        <v>18.073944000000004</v>
      </c>
      <c r="F75" s="630">
        <f>Analysis!H2269/1000</f>
        <v>20.320198080000004</v>
      </c>
      <c r="G75" s="630">
        <f>Analysis!I2269/1000</f>
        <v>19.694961216000003</v>
      </c>
      <c r="H75" s="630">
        <f>Analysis!J2269/1000</f>
        <v>21.01583634179682</v>
      </c>
      <c r="I75" s="630">
        <f>Analysis!K2269/1000</f>
        <v>20.319104561951626</v>
      </c>
      <c r="J75" s="630">
        <f>Analysis!L2269/1000</f>
        <v>23.709728524542687</v>
      </c>
      <c r="K75" s="630">
        <f>Analysis!M2269/1000</f>
        <v>24.421020380278968</v>
      </c>
      <c r="L75" s="630">
        <f>Analysis!N2269/1000</f>
        <v>25.39786119549013</v>
      </c>
      <c r="M75" s="630">
        <f>Analysis!O2269/1000</f>
        <v>26.413775643309734</v>
      </c>
      <c r="N75" s="630">
        <f>Analysis!P2269/1000</f>
        <v>27.470326669042127</v>
      </c>
      <c r="O75" s="630">
        <f>Analysis!Q2269/1000</f>
        <v>28.569139735803812</v>
      </c>
      <c r="P75" s="630">
        <f>Analysis!R2269/1000</f>
        <v>29.711905325235971</v>
      </c>
    </row>
    <row r="76" spans="2:16" ht="15.75" hidden="1" customHeight="1" outlineLevel="1">
      <c r="B76" s="630" t="str">
        <f>Analysis!B2270</f>
        <v>Capex as % sales</v>
      </c>
      <c r="C76" s="54">
        <f>Analysis!E2270</f>
        <v>0.12063953488372094</v>
      </c>
      <c r="D76" s="54">
        <f>Analysis!F2270</f>
        <v>0.11142454160789844</v>
      </c>
      <c r="E76" s="54">
        <f>Analysis!G2270</f>
        <v>0.11678571428571428</v>
      </c>
      <c r="F76" s="54">
        <f>Analysis!H2270</f>
        <v>0.13</v>
      </c>
      <c r="G76" s="54">
        <f>Analysis!I2270</f>
        <v>0.12</v>
      </c>
      <c r="H76" s="54">
        <f>Analysis!J2270</f>
        <v>0.12</v>
      </c>
      <c r="I76" s="54">
        <f>Analysis!K2270</f>
        <v>0.12</v>
      </c>
      <c r="J76" s="54">
        <f>Analysis!L2270</f>
        <v>0.12</v>
      </c>
      <c r="K76" s="54">
        <f>Analysis!M2270</f>
        <v>0.12</v>
      </c>
      <c r="L76" s="54">
        <f>Analysis!N2270</f>
        <v>0.12</v>
      </c>
      <c r="M76" s="54">
        <f>Analysis!O2270</f>
        <v>0.12</v>
      </c>
      <c r="N76" s="54">
        <f>Analysis!P2270</f>
        <v>0.12</v>
      </c>
      <c r="O76" s="54">
        <f>Analysis!Q2270</f>
        <v>0.12</v>
      </c>
      <c r="P76" s="54">
        <f>Analysis!R2270</f>
        <v>0.12</v>
      </c>
    </row>
    <row r="77" spans="2:16" ht="15.75" hidden="1" customHeight="1" outlineLevel="1">
      <c r="B77" s="630" t="str">
        <f>Analysis!B2271</f>
        <v>OpFCF</v>
      </c>
      <c r="C77" s="630">
        <f>Analysis!E2271/1000</f>
        <v>9.7482601744186024</v>
      </c>
      <c r="D77" s="630">
        <f>Analysis!F2271/1000</f>
        <v>18.385943582510578</v>
      </c>
      <c r="E77" s="630">
        <f>Analysis!G2271/1000</f>
        <v>21.655785729729722</v>
      </c>
      <c r="F77" s="630">
        <f>Analysis!H2271/1000</f>
        <v>21.883290240000004</v>
      </c>
      <c r="G77" s="630">
        <f>Analysis!I2271/1000</f>
        <v>21.336207984000009</v>
      </c>
      <c r="H77" s="630">
        <f>Analysis!J2271/1000</f>
        <v>29.513354529854862</v>
      </c>
      <c r="I77" s="630">
        <f>Analysis!K2271/1000</f>
        <v>49.146004561951628</v>
      </c>
      <c r="J77" s="630">
        <f>Analysis!L2271/1000</f>
        <v>47.419457049085366</v>
      </c>
      <c r="K77" s="630">
        <f>Analysis!M2271/1000</f>
        <v>50.877125792247845</v>
      </c>
      <c r="L77" s="630">
        <f>Analysis!N2271/1000</f>
        <v>55.028699256895287</v>
      </c>
      <c r="M77" s="630">
        <f>Analysis!O2271/1000</f>
        <v>57.229847227171092</v>
      </c>
      <c r="N77" s="630">
        <f>Analysis!P2271/1000</f>
        <v>59.519041116257938</v>
      </c>
      <c r="O77" s="630">
        <f>Analysis!Q2271/1000</f>
        <v>61.89980276090828</v>
      </c>
      <c r="P77" s="630">
        <f>Analysis!R2271/1000</f>
        <v>64.375794871344596</v>
      </c>
    </row>
    <row r="78" spans="2:16" ht="15.75" hidden="1" customHeight="1" outlineLevel="1">
      <c r="B78" s="630" t="str">
        <f>Analysis!B2272</f>
        <v>OpFCF margin</v>
      </c>
      <c r="C78" s="54">
        <f>Analysis!E2272</f>
        <v>7.4165659921473864E-2</v>
      </c>
      <c r="D78" s="54">
        <f>Analysis!F2272</f>
        <v>0.12572960858973001</v>
      </c>
      <c r="E78" s="54">
        <f>Analysis!G2272</f>
        <v>0.13992996796188278</v>
      </c>
      <c r="F78" s="54">
        <f>Analysis!H2272</f>
        <v>0.13999999999999999</v>
      </c>
      <c r="G78" s="54">
        <f>Analysis!I2272</f>
        <v>0.13</v>
      </c>
      <c r="H78" s="54">
        <f>Analysis!J2272</f>
        <v>0.16057833021051629</v>
      </c>
      <c r="I78" s="54">
        <f>Analysis!K2272</f>
        <v>0.25122580997681104</v>
      </c>
      <c r="J78" s="54">
        <f>Analysis!L2272</f>
        <v>0.23999999999999996</v>
      </c>
      <c r="K78" s="54">
        <f>Analysis!M2272</f>
        <v>0.24999999999999997</v>
      </c>
      <c r="L78" s="54">
        <f>Analysis!N2272</f>
        <v>0.26</v>
      </c>
      <c r="M78" s="54">
        <f>Analysis!O2272</f>
        <v>0.26</v>
      </c>
      <c r="N78" s="54">
        <f>Analysis!P2272</f>
        <v>0.26</v>
      </c>
      <c r="O78" s="54">
        <f>Analysis!Q2272</f>
        <v>0.26000000000000006</v>
      </c>
      <c r="P78" s="54">
        <f>Analysis!R2272</f>
        <v>0.25999999999999995</v>
      </c>
    </row>
    <row r="79" spans="2:16" ht="15.75" hidden="1" customHeight="1" outlineLevel="1">
      <c r="B79" s="630" t="str">
        <f>Analysis!B2273</f>
        <v>FCF</v>
      </c>
      <c r="C79" s="630">
        <f>Analysis!E2273/1000</f>
        <v>0</v>
      </c>
      <c r="D79" s="630">
        <f>Analysis!F2273/1000</f>
        <v>0</v>
      </c>
      <c r="E79" s="630">
        <f>Analysis!G2273/1000</f>
        <v>0</v>
      </c>
      <c r="F79" s="630">
        <f>Analysis!H2273/1000</f>
        <v>0</v>
      </c>
      <c r="G79" s="630">
        <f>Analysis!I2273/1000</f>
        <v>17.619183348480007</v>
      </c>
      <c r="H79" s="630">
        <f>Analysis!J2273/1000</f>
        <v>23.597448861495501</v>
      </c>
      <c r="I79" s="630">
        <f>Analysis!K2273/1000</f>
        <v>37.370076884605162</v>
      </c>
      <c r="J79" s="630">
        <f>Analysis!L2273/1000</f>
        <v>36.027714995341462</v>
      </c>
      <c r="K79" s="630">
        <f>Analysis!M2273/1000</f>
        <v>38.554950608818451</v>
      </c>
      <c r="L79" s="630">
        <f>Analysis!N2273/1000</f>
        <v>39.620663464964608</v>
      </c>
      <c r="M79" s="630">
        <f>Analysis!O2273/1000</f>
        <v>41.205490003563185</v>
      </c>
      <c r="N79" s="630">
        <f>Analysis!P2273/1000</f>
        <v>42.853709603705717</v>
      </c>
      <c r="O79" s="630">
        <f>Analysis!Q2273/1000</f>
        <v>44.567857987853955</v>
      </c>
      <c r="P79" s="630">
        <f>Analysis!R2273/1000</f>
        <v>46.350572307368104</v>
      </c>
    </row>
    <row r="80" spans="2:16" ht="15.75" hidden="1" customHeight="1" outlineLevel="1">
      <c r="B80" s="630"/>
      <c r="C80" s="630"/>
      <c r="D80" s="630"/>
      <c r="E80" s="630"/>
      <c r="F80" s="630"/>
      <c r="G80" s="630"/>
      <c r="H80" s="630"/>
      <c r="I80" s="630"/>
      <c r="J80" s="630"/>
      <c r="K80" s="630"/>
      <c r="L80" s="630"/>
      <c r="M80" s="630"/>
      <c r="N80" s="630"/>
      <c r="O80" s="630"/>
      <c r="P80" s="630"/>
    </row>
    <row r="81" spans="2:16" ht="15.75" hidden="1" customHeight="1" outlineLevel="1">
      <c r="B81" s="718" t="str">
        <f>Analysis!B2277</f>
        <v>USD m</v>
      </c>
      <c r="C81" s="630"/>
      <c r="D81" s="630"/>
      <c r="E81" s="630"/>
      <c r="F81" s="630"/>
      <c r="G81" s="630"/>
      <c r="H81" s="630"/>
      <c r="I81" s="630"/>
      <c r="J81" s="630"/>
      <c r="K81" s="630"/>
      <c r="L81" s="630"/>
      <c r="M81" s="630"/>
      <c r="N81" s="630"/>
      <c r="O81" s="630"/>
      <c r="P81" s="630"/>
    </row>
    <row r="82" spans="2:16" ht="15.75" hidden="1" customHeight="1" outlineLevel="1">
      <c r="B82" s="630" t="str">
        <f>Analysis!B2278</f>
        <v>Revenue</v>
      </c>
      <c r="C82" s="630">
        <f>Analysis!E2278</f>
        <v>231</v>
      </c>
      <c r="D82" s="630">
        <f>Analysis!F2278</f>
        <v>253</v>
      </c>
      <c r="E82" s="630">
        <f>Analysis!G2278</f>
        <v>263.20000000000005</v>
      </c>
      <c r="F82" s="630">
        <f>Analysis!H2278</f>
        <v>267.19524102564111</v>
      </c>
      <c r="G82" s="630">
        <f>Analysis!I2278</f>
        <v>263.86603987138272</v>
      </c>
      <c r="H82" s="630">
        <f>Analysis!J2278</f>
        <v>284.07129860746909</v>
      </c>
      <c r="I82" s="630">
        <f>Analysis!K2278</f>
        <v>357.63221720248288</v>
      </c>
      <c r="J82" s="630">
        <f>Analysis!L2278</f>
        <v>380.2195151310608</v>
      </c>
      <c r="K82" s="630">
        <f>Analysis!M2278</f>
        <v>383.94715743626728</v>
      </c>
      <c r="L82" s="630">
        <f>Analysis!N2278</f>
        <v>391.47553307227253</v>
      </c>
      <c r="M82" s="630">
        <f>Analysis!O2278</f>
        <v>399.15152391682693</v>
      </c>
      <c r="N82" s="630">
        <f>Analysis!P2278</f>
        <v>406.97802438578435</v>
      </c>
      <c r="O82" s="630">
        <f>Analysis!Q2278</f>
        <v>414.95798564825071</v>
      </c>
      <c r="P82" s="630">
        <f>Analysis!R2278</f>
        <v>423.09441673939295</v>
      </c>
    </row>
    <row r="83" spans="2:16" ht="15.75" hidden="1" customHeight="1" outlineLevel="1">
      <c r="B83" s="630" t="str">
        <f>Analysis!B2280</f>
        <v>EBITDA</v>
      </c>
      <c r="C83" s="630">
        <f>Analysis!E2280</f>
        <v>45</v>
      </c>
      <c r="D83" s="630">
        <f>Analysis!F2280</f>
        <v>60</v>
      </c>
      <c r="E83" s="630">
        <f>Analysis!G2280</f>
        <v>67.567567567567565</v>
      </c>
      <c r="F83" s="630">
        <f>Analysis!H2280</f>
        <v>72.142715076923096</v>
      </c>
      <c r="G83" s="630">
        <f>Analysis!I2280</f>
        <v>65.966509967845681</v>
      </c>
      <c r="H83" s="630">
        <f>Analysis!J2280</f>
        <v>78.09766749868885</v>
      </c>
      <c r="I83" s="630">
        <f>Analysis!K2280</f>
        <v>126.99288688099314</v>
      </c>
      <c r="J83" s="630">
        <f>Analysis!L2280</f>
        <v>136.87902544718187</v>
      </c>
      <c r="K83" s="630">
        <f>Analysis!M2280</f>
        <v>142.06044825141888</v>
      </c>
      <c r="L83" s="630">
        <f>Analysis!N2280</f>
        <v>148.76070256746357</v>
      </c>
      <c r="M83" s="630">
        <f>Analysis!O2280</f>
        <v>151.67757908839422</v>
      </c>
      <c r="N83" s="630">
        <f>Analysis!P2280</f>
        <v>154.65164926659804</v>
      </c>
      <c r="O83" s="630">
        <f>Analysis!Q2280</f>
        <v>157.68403454633528</v>
      </c>
      <c r="P83" s="630">
        <f>Analysis!R2280</f>
        <v>160.7758783609693</v>
      </c>
    </row>
    <row r="84" spans="2:16" ht="15.75" hidden="1" customHeight="1" outlineLevel="1">
      <c r="B84" s="630" t="str">
        <f>Analysis!B2282</f>
        <v>Capex</v>
      </c>
      <c r="C84" s="630">
        <f>Analysis!E2282</f>
        <v>27.867732558139537</v>
      </c>
      <c r="D84" s="630">
        <f>Analysis!F2282</f>
        <v>28.190409026798307</v>
      </c>
      <c r="E84" s="630">
        <f>Analysis!G2282</f>
        <v>30.738000000000003</v>
      </c>
      <c r="F84" s="630">
        <f>Analysis!H2282</f>
        <v>34.735381333333343</v>
      </c>
      <c r="G84" s="630">
        <f>Analysis!I2282</f>
        <v>31.663924784565921</v>
      </c>
      <c r="H84" s="630">
        <f>Analysis!J2282</f>
        <v>32.481972707568502</v>
      </c>
      <c r="I84" s="630">
        <f>Analysis!K2282</f>
        <v>37.146443440496576</v>
      </c>
      <c r="J84" s="630">
        <f>Analysis!L2282</f>
        <v>45.626341815727294</v>
      </c>
      <c r="K84" s="630">
        <f>Analysis!M2282</f>
        <v>46.073658892352071</v>
      </c>
      <c r="L84" s="630">
        <f>Analysis!N2282</f>
        <v>46.977063968672702</v>
      </c>
      <c r="M84" s="630">
        <f>Analysis!O2282</f>
        <v>47.898182870019227</v>
      </c>
      <c r="N84" s="630">
        <f>Analysis!P2282</f>
        <v>48.837362926294119</v>
      </c>
      <c r="O84" s="630">
        <f>Analysis!Q2282</f>
        <v>49.79495827779008</v>
      </c>
      <c r="P84" s="630">
        <f>Analysis!R2282</f>
        <v>50.771330008727155</v>
      </c>
    </row>
    <row r="85" spans="2:16" ht="15.75" hidden="1" customHeight="1" outlineLevel="1">
      <c r="B85" s="630" t="str">
        <f>Analysis!B2284</f>
        <v>OpFCF</v>
      </c>
      <c r="C85" s="630">
        <f>Analysis!E2284</f>
        <v>17.132267441860463</v>
      </c>
      <c r="D85" s="630">
        <f>Analysis!F2284</f>
        <v>31.809590973201693</v>
      </c>
      <c r="E85" s="630">
        <f>Analysis!G2284</f>
        <v>36.829567567567565</v>
      </c>
      <c r="F85" s="630">
        <f>Analysis!H2284</f>
        <v>37.407333743589753</v>
      </c>
      <c r="G85" s="630">
        <f>Analysis!I2284</f>
        <v>34.30258518327976</v>
      </c>
      <c r="H85" s="630">
        <f>Analysis!J2284</f>
        <v>45.615694791120347</v>
      </c>
      <c r="I85" s="630">
        <f>Analysis!K2284</f>
        <v>89.846443440496557</v>
      </c>
      <c r="J85" s="630">
        <f>Analysis!L2284</f>
        <v>91.252683631454573</v>
      </c>
      <c r="K85" s="630">
        <f>Analysis!M2284</f>
        <v>95.986789359066805</v>
      </c>
      <c r="L85" s="630">
        <f>Analysis!N2284</f>
        <v>101.78363859879087</v>
      </c>
      <c r="M85" s="630">
        <f>Analysis!O2284</f>
        <v>103.779396218375</v>
      </c>
      <c r="N85" s="630">
        <f>Analysis!P2284</f>
        <v>105.81428634030392</v>
      </c>
      <c r="O85" s="630">
        <f>Analysis!Q2284</f>
        <v>107.88907626854521</v>
      </c>
      <c r="P85" s="630">
        <f>Analysis!R2284</f>
        <v>110.00454835224215</v>
      </c>
    </row>
    <row r="86" spans="2:16" ht="15.75" hidden="1" customHeight="1" outlineLevel="1">
      <c r="B86" s="630" t="str">
        <f>Analysis!B2289</f>
        <v>EFCF</v>
      </c>
      <c r="C86" s="630">
        <f>Analysis!E2289</f>
        <v>0</v>
      </c>
      <c r="D86" s="630">
        <f>Analysis!F2289</f>
        <v>0</v>
      </c>
      <c r="E86" s="630">
        <f>Analysis!G2289</f>
        <v>0</v>
      </c>
      <c r="F86" s="630">
        <f>Analysis!H2289</f>
        <v>0</v>
      </c>
      <c r="G86" s="630">
        <f>Analysis!I2289</f>
        <v>15.366661331961426</v>
      </c>
      <c r="H86" s="630">
        <f>Analysis!J2289</f>
        <v>23.512100249606647</v>
      </c>
      <c r="I86" s="630">
        <f>Analysis!K2289</f>
        <v>55.358239277157523</v>
      </c>
      <c r="J86" s="630">
        <f>Analysis!L2289</f>
        <v>56.37073221464729</v>
      </c>
      <c r="K86" s="630">
        <f>Analysis!M2289</f>
        <v>59.779288338528104</v>
      </c>
      <c r="L86" s="630">
        <f>Analysis!N2289</f>
        <v>73.284219791129431</v>
      </c>
      <c r="M86" s="630">
        <f>Analysis!O2289</f>
        <v>74.72116527723</v>
      </c>
      <c r="N86" s="630">
        <f>Analysis!P2289</f>
        <v>76.186286165018828</v>
      </c>
      <c r="O86" s="630">
        <f>Analysis!Q2289</f>
        <v>77.680134913352546</v>
      </c>
      <c r="P86" s="630">
        <f>Analysis!R2289</f>
        <v>79.203274813614343</v>
      </c>
    </row>
    <row r="87" spans="2:16" ht="15.75" hidden="1" customHeight="1" outlineLevel="1">
      <c r="B87" s="53"/>
      <c r="C87" s="53"/>
      <c r="D87" s="53"/>
      <c r="E87" s="53"/>
      <c r="F87" s="53"/>
      <c r="G87" s="53"/>
      <c r="H87" s="53"/>
      <c r="I87" s="53"/>
      <c r="J87" s="53"/>
      <c r="K87" s="53"/>
      <c r="L87" s="53"/>
      <c r="M87" s="53"/>
      <c r="N87" s="53"/>
      <c r="O87" s="53"/>
      <c r="P87" s="53"/>
    </row>
    <row r="88" spans="2:16" ht="15.75" hidden="1" customHeight="1" outlineLevel="1">
      <c r="B88" s="53"/>
      <c r="C88" s="53"/>
      <c r="D88" s="53"/>
      <c r="E88" s="53"/>
      <c r="F88" s="53"/>
      <c r="G88" s="53"/>
      <c r="H88" s="53"/>
      <c r="I88" s="53"/>
      <c r="J88" s="53"/>
      <c r="K88" s="53"/>
      <c r="L88" s="53"/>
      <c r="M88" s="53"/>
      <c r="N88" s="53"/>
      <c r="O88" s="53"/>
      <c r="P88" s="53"/>
    </row>
    <row r="89" spans="2:16" ht="15.75" hidden="1" customHeight="1" outlineLevel="1">
      <c r="B89" s="53"/>
      <c r="C89" s="53"/>
      <c r="D89" s="53"/>
      <c r="E89" s="53"/>
      <c r="F89" s="53"/>
      <c r="G89" s="53"/>
      <c r="H89" s="53"/>
      <c r="I89" s="53"/>
      <c r="J89" s="53"/>
      <c r="K89" s="53"/>
      <c r="L89" s="53"/>
      <c r="M89" s="53"/>
      <c r="N89" s="53"/>
      <c r="O89" s="53"/>
      <c r="P89" s="53"/>
    </row>
    <row r="90" spans="2:16" ht="15.75" hidden="1" customHeight="1" outlineLevel="1">
      <c r="B90" s="1167" t="s">
        <v>7763</v>
      </c>
      <c r="C90" s="53"/>
      <c r="D90" s="53"/>
      <c r="E90" s="53"/>
      <c r="F90" s="53"/>
      <c r="G90" s="53"/>
      <c r="H90" s="53"/>
      <c r="I90" s="53"/>
      <c r="J90" s="53"/>
      <c r="K90" s="53"/>
      <c r="L90" s="53"/>
      <c r="M90" s="53"/>
      <c r="N90" s="53"/>
      <c r="O90" s="53"/>
      <c r="P90" s="53"/>
    </row>
    <row r="91" spans="2:16" ht="15.75" hidden="1" customHeight="1" outlineLevel="1">
      <c r="B91" s="53"/>
      <c r="C91" s="53"/>
      <c r="D91" s="53"/>
      <c r="E91" s="53"/>
      <c r="F91" s="53"/>
      <c r="G91" s="53"/>
      <c r="H91" s="53"/>
      <c r="J91" s="53"/>
      <c r="K91" s="53"/>
      <c r="L91" s="53"/>
      <c r="M91" s="53"/>
      <c r="N91" s="53"/>
      <c r="O91" s="53"/>
      <c r="P91" s="53"/>
    </row>
    <row r="92" spans="2:16" ht="15.75" hidden="1" customHeight="1" outlineLevel="1">
      <c r="B92" s="636" t="str">
        <f>B81</f>
        <v>USD m</v>
      </c>
      <c r="C92" s="636">
        <f>C70</f>
        <v>2017</v>
      </c>
      <c r="D92" s="636">
        <f t="shared" ref="D92:P92" si="35">D70</f>
        <v>2018</v>
      </c>
      <c r="E92" s="636">
        <f t="shared" si="35"/>
        <v>2019</v>
      </c>
      <c r="F92" s="636">
        <f t="shared" si="35"/>
        <v>2020</v>
      </c>
      <c r="G92" s="636">
        <f t="shared" si="35"/>
        <v>2021</v>
      </c>
      <c r="H92" s="636">
        <f t="shared" si="35"/>
        <v>2022</v>
      </c>
      <c r="I92" s="636">
        <f t="shared" si="35"/>
        <v>2023</v>
      </c>
      <c r="J92" s="636">
        <f t="shared" si="35"/>
        <v>2024</v>
      </c>
      <c r="K92" s="636">
        <f t="shared" si="35"/>
        <v>2025</v>
      </c>
      <c r="L92" s="636">
        <f t="shared" si="35"/>
        <v>2026</v>
      </c>
      <c r="M92" s="636">
        <f t="shared" si="35"/>
        <v>2027</v>
      </c>
      <c r="N92" s="636">
        <f t="shared" si="35"/>
        <v>2028</v>
      </c>
      <c r="O92" s="636">
        <f t="shared" si="35"/>
        <v>2029</v>
      </c>
      <c r="P92" s="636">
        <f t="shared" si="35"/>
        <v>2030</v>
      </c>
    </row>
    <row r="93" spans="2:16" ht="15.75" hidden="1" customHeight="1" outlineLevel="1">
      <c r="B93" s="630" t="str">
        <f>B82</f>
        <v>Revenue</v>
      </c>
      <c r="C93" s="481">
        <f>C57+C82</f>
        <v>345.15525114155253</v>
      </c>
      <c r="D93" s="481">
        <f t="shared" ref="D93:P93" si="36">D57+D82</f>
        <v>382.0106848097451</v>
      </c>
      <c r="E93" s="481">
        <f t="shared" si="36"/>
        <v>395.90000000000003</v>
      </c>
      <c r="F93" s="481">
        <f t="shared" si="36"/>
        <v>410.19524102564111</v>
      </c>
      <c r="G93" s="481">
        <f t="shared" si="36"/>
        <v>407.79352269425385</v>
      </c>
      <c r="H93" s="481">
        <f t="shared" si="36"/>
        <v>441.30000000000007</v>
      </c>
      <c r="I93" s="481">
        <f>I57+I82</f>
        <v>547.9</v>
      </c>
      <c r="J93" s="481">
        <f t="shared" si="36"/>
        <v>584.16398537752525</v>
      </c>
      <c r="K93" s="481">
        <f t="shared" si="36"/>
        <v>595.74195777844398</v>
      </c>
      <c r="L93" s="481">
        <f t="shared" si="36"/>
        <v>610.85435480878982</v>
      </c>
      <c r="M93" s="481">
        <f t="shared" si="36"/>
        <v>626.29293307339799</v>
      </c>
      <c r="N93" s="481">
        <f t="shared" si="36"/>
        <v>642.06421833956426</v>
      </c>
      <c r="O93" s="481">
        <f t="shared" si="36"/>
        <v>658.17486160690896</v>
      </c>
      <c r="P93" s="481">
        <f t="shared" si="36"/>
        <v>674.63164145330541</v>
      </c>
    </row>
    <row r="94" spans="2:16" ht="15.75" hidden="1" customHeight="1" outlineLevel="1">
      <c r="B94" s="630"/>
      <c r="C94" s="481"/>
      <c r="D94" s="481"/>
      <c r="E94" s="481"/>
      <c r="F94" s="481"/>
      <c r="G94" s="481"/>
      <c r="H94" s="481"/>
      <c r="I94" s="481"/>
      <c r="J94" s="481"/>
      <c r="K94" s="481"/>
      <c r="L94" s="481"/>
      <c r="M94" s="481"/>
      <c r="N94" s="481"/>
      <c r="O94" s="481"/>
      <c r="P94" s="481"/>
    </row>
    <row r="95" spans="2:16" ht="15.75" hidden="1" customHeight="1" outlineLevel="1">
      <c r="B95" s="630" t="s">
        <v>79</v>
      </c>
      <c r="C95" s="481"/>
      <c r="D95" s="481"/>
      <c r="E95" s="481"/>
      <c r="F95" s="481"/>
      <c r="G95" s="481">
        <f>G58+G83</f>
        <v>125.65895344053671</v>
      </c>
      <c r="H95" s="481">
        <f t="shared" ref="H95:P95" si="37">H58+H83</f>
        <v>143.69999999999999</v>
      </c>
      <c r="I95" s="481">
        <f t="shared" si="37"/>
        <v>205.1</v>
      </c>
      <c r="J95" s="481">
        <f t="shared" si="37"/>
        <v>200.49625824823229</v>
      </c>
      <c r="K95" s="481">
        <f t="shared" si="37"/>
        <v>209.28847325445639</v>
      </c>
      <c r="L95" s="481">
        <f t="shared" si="37"/>
        <v>219.48264385467593</v>
      </c>
      <c r="M95" s="481">
        <f t="shared" si="37"/>
        <v>225.95911015164745</v>
      </c>
      <c r="N95" s="481">
        <f t="shared" si="37"/>
        <v>232.56008026711748</v>
      </c>
      <c r="O95" s="481">
        <f t="shared" si="37"/>
        <v>239.28833749278687</v>
      </c>
      <c r="P95" s="481">
        <f t="shared" si="37"/>
        <v>246.14671284994955</v>
      </c>
    </row>
    <row r="96" spans="2:16" ht="15.75" hidden="1" customHeight="1" outlineLevel="1">
      <c r="B96" s="630" t="s">
        <v>251</v>
      </c>
      <c r="C96" s="481"/>
      <c r="D96" s="481"/>
      <c r="E96" s="481"/>
      <c r="F96" s="481"/>
      <c r="G96" s="56">
        <f>G95/G93</f>
        <v>0.30814357376330964</v>
      </c>
      <c r="H96" s="56">
        <f t="shared" ref="H96:P96" si="38">H95/H93</f>
        <v>0.3256288239292997</v>
      </c>
      <c r="I96" s="56">
        <f t="shared" si="38"/>
        <v>0.37433838291659061</v>
      </c>
      <c r="J96" s="56">
        <f t="shared" si="38"/>
        <v>0.34321913583676061</v>
      </c>
      <c r="K96" s="56">
        <f t="shared" si="38"/>
        <v>0.351307257314736</v>
      </c>
      <c r="L96" s="56">
        <f t="shared" si="38"/>
        <v>0.35930437775691815</v>
      </c>
      <c r="M96" s="56">
        <f t="shared" si="38"/>
        <v>0.36078821621505719</v>
      </c>
      <c r="N96" s="56">
        <f t="shared" si="38"/>
        <v>0.36220688464549344</v>
      </c>
      <c r="O96" s="56">
        <f t="shared" si="38"/>
        <v>0.36356347142850987</v>
      </c>
      <c r="P96" s="56">
        <f t="shared" si="38"/>
        <v>0.36486090738302052</v>
      </c>
    </row>
    <row r="97" spans="1:45" ht="15.75" hidden="1" customHeight="1" outlineLevel="1">
      <c r="B97" s="630"/>
      <c r="C97" s="481"/>
      <c r="D97" s="481"/>
      <c r="E97" s="481"/>
      <c r="F97" s="481"/>
      <c r="G97" s="481"/>
      <c r="H97" s="481"/>
      <c r="I97" s="481"/>
      <c r="J97" s="481"/>
      <c r="K97" s="481"/>
      <c r="L97" s="481"/>
      <c r="M97" s="481"/>
      <c r="N97" s="481"/>
      <c r="O97" s="481"/>
      <c r="P97" s="481"/>
    </row>
    <row r="98" spans="1:45" ht="15.75" hidden="1" customHeight="1" outlineLevel="1">
      <c r="B98" s="630" t="s">
        <v>5960</v>
      </c>
      <c r="C98" s="481">
        <f t="shared" ref="C98:P98" si="39">C59+C83</f>
        <v>79.246575342465746</v>
      </c>
      <c r="D98" s="481">
        <f t="shared" si="39"/>
        <v>101.28341913911845</v>
      </c>
      <c r="E98" s="481">
        <f t="shared" si="39"/>
        <v>114.56756756756756</v>
      </c>
      <c r="F98" s="481">
        <f t="shared" si="39"/>
        <v>128.14271507692308</v>
      </c>
      <c r="G98" s="481">
        <f t="shared" si="39"/>
        <v>120.65895344053671</v>
      </c>
      <c r="H98" s="481">
        <f>H59+H83</f>
        <v>134.69999999999999</v>
      </c>
      <c r="I98" s="481">
        <f>I59+I83</f>
        <v>203.1</v>
      </c>
      <c r="J98" s="481">
        <f>J59+J83</f>
        <v>220.49625824823232</v>
      </c>
      <c r="K98" s="481">
        <f t="shared" si="39"/>
        <v>228.89631639171131</v>
      </c>
      <c r="L98" s="481">
        <f t="shared" si="39"/>
        <v>238.70601947943564</v>
      </c>
      <c r="M98" s="481">
        <f t="shared" si="39"/>
        <v>244.80555684258832</v>
      </c>
      <c r="N98" s="481">
        <f t="shared" si="39"/>
        <v>251.03698878764777</v>
      </c>
      <c r="O98" s="481">
        <f t="shared" si="39"/>
        <v>257.40295368938519</v>
      </c>
      <c r="P98" s="481">
        <f t="shared" si="39"/>
        <v>263.90614049367343</v>
      </c>
    </row>
    <row r="99" spans="1:45" ht="15.75" hidden="1" customHeight="1" outlineLevel="1">
      <c r="B99" s="630" t="s">
        <v>251</v>
      </c>
      <c r="C99" s="56">
        <f>C98/C93</f>
        <v>0.2295968990196986</v>
      </c>
      <c r="D99" s="56">
        <f t="shared" ref="D99:P99" si="40">D98/D93</f>
        <v>0.26513242473718029</v>
      </c>
      <c r="E99" s="56">
        <f t="shared" si="40"/>
        <v>0.28938511636162556</v>
      </c>
      <c r="F99" s="56">
        <f t="shared" si="40"/>
        <v>0.31239444601190031</v>
      </c>
      <c r="G99" s="56">
        <f t="shared" si="40"/>
        <v>0.29588246680171432</v>
      </c>
      <c r="H99" s="56">
        <f t="shared" si="40"/>
        <v>0.30523453433038744</v>
      </c>
      <c r="I99" s="56">
        <f>I98/I93</f>
        <v>0.37068808176674578</v>
      </c>
      <c r="J99" s="56">
        <f>J98/J93</f>
        <v>0.37745609754722059</v>
      </c>
      <c r="K99" s="56">
        <f t="shared" si="40"/>
        <v>0.3842205730233923</v>
      </c>
      <c r="L99" s="56">
        <f t="shared" si="40"/>
        <v>0.39077403246827241</v>
      </c>
      <c r="M99" s="56">
        <f t="shared" si="40"/>
        <v>0.39088027968199746</v>
      </c>
      <c r="N99" s="56">
        <f t="shared" si="40"/>
        <v>0.39098423742854255</v>
      </c>
      <c r="O99" s="56">
        <f t="shared" si="40"/>
        <v>0.3910859692528299</v>
      </c>
      <c r="P99" s="56">
        <f t="shared" si="40"/>
        <v>0.3911855363397444</v>
      </c>
    </row>
    <row r="100" spans="1:45" ht="15.75" hidden="1" customHeight="1" outlineLevel="1">
      <c r="B100" s="630"/>
      <c r="C100" s="56"/>
      <c r="D100" s="56"/>
      <c r="E100" s="56"/>
      <c r="F100" s="56"/>
      <c r="G100" s="56"/>
      <c r="H100" s="56"/>
      <c r="I100" s="56"/>
      <c r="J100" s="56"/>
      <c r="K100" s="56"/>
      <c r="L100" s="56"/>
      <c r="M100" s="56"/>
      <c r="N100" s="56"/>
      <c r="O100" s="56"/>
      <c r="P100" s="56"/>
    </row>
    <row r="101" spans="1:45" ht="15.75" hidden="1" customHeight="1" outlineLevel="1">
      <c r="B101" s="630"/>
      <c r="C101" s="56"/>
      <c r="D101" s="56"/>
      <c r="E101" s="56"/>
      <c r="F101" s="56"/>
      <c r="G101" s="56"/>
      <c r="H101" s="56"/>
      <c r="I101" s="56"/>
      <c r="J101" s="56"/>
      <c r="K101" s="56"/>
      <c r="L101" s="56"/>
      <c r="M101" s="56"/>
      <c r="N101" s="56"/>
      <c r="O101" s="56"/>
      <c r="P101" s="56"/>
    </row>
    <row r="102" spans="1:45" ht="15.75" hidden="1" customHeight="1" outlineLevel="1">
      <c r="B102" s="630" t="str">
        <f>B84</f>
        <v>Capex</v>
      </c>
      <c r="C102" s="481">
        <f t="shared" ref="C102:P102" si="41">C60+C84</f>
        <v>50.698782786450039</v>
      </c>
      <c r="D102" s="481">
        <f t="shared" si="41"/>
        <v>53.992545988747324</v>
      </c>
      <c r="E102" s="481">
        <f t="shared" si="41"/>
        <v>63.912999999999997</v>
      </c>
      <c r="F102" s="481">
        <f t="shared" si="41"/>
        <v>59.291946989898996</v>
      </c>
      <c r="G102" s="481">
        <f t="shared" si="41"/>
        <v>57.570871692682722</v>
      </c>
      <c r="H102" s="481">
        <f t="shared" si="41"/>
        <v>65.5</v>
      </c>
      <c r="I102" s="481">
        <f t="shared" si="41"/>
        <v>75.2</v>
      </c>
      <c r="J102" s="481">
        <f t="shared" si="41"/>
        <v>84.375791162555544</v>
      </c>
      <c r="K102" s="481">
        <f t="shared" si="41"/>
        <v>84.196722953943876</v>
      </c>
      <c r="L102" s="481">
        <f t="shared" si="41"/>
        <v>86.465251881245806</v>
      </c>
      <c r="M102" s="481">
        <f t="shared" si="41"/>
        <v>88.783636518202002</v>
      </c>
      <c r="N102" s="481">
        <f t="shared" si="41"/>
        <v>91.152877837974501</v>
      </c>
      <c r="O102" s="481">
        <f t="shared" si="41"/>
        <v>93.573995950348575</v>
      </c>
      <c r="P102" s="481">
        <f t="shared" si="41"/>
        <v>96.048030457231391</v>
      </c>
    </row>
    <row r="103" spans="1:45" ht="15.75" hidden="1" customHeight="1" outlineLevel="1">
      <c r="B103" s="630" t="str">
        <f>B85</f>
        <v>OpFCF</v>
      </c>
      <c r="C103" s="481">
        <f>C61+C85</f>
        <v>28.547792556015708</v>
      </c>
      <c r="D103" s="481">
        <f t="shared" ref="D103:P103" si="42">D61+D85</f>
        <v>47.290873150371112</v>
      </c>
      <c r="E103" s="481">
        <f t="shared" si="42"/>
        <v>50.654567567567568</v>
      </c>
      <c r="F103" s="481">
        <f t="shared" si="42"/>
        <v>68.850768087024107</v>
      </c>
      <c r="G103" s="481">
        <f t="shared" si="42"/>
        <v>63.088081747853984</v>
      </c>
      <c r="H103" s="481">
        <f t="shared" si="42"/>
        <v>69.199999999999989</v>
      </c>
      <c r="I103" s="481">
        <f t="shared" si="42"/>
        <v>127.89999999999998</v>
      </c>
      <c r="J103" s="481">
        <f t="shared" si="42"/>
        <v>136.12046708567675</v>
      </c>
      <c r="K103" s="481">
        <f t="shared" si="42"/>
        <v>144.69959343776742</v>
      </c>
      <c r="L103" s="481">
        <f t="shared" si="42"/>
        <v>152.24076759818985</v>
      </c>
      <c r="M103" s="481">
        <f t="shared" si="42"/>
        <v>156.02192032438631</v>
      </c>
      <c r="N103" s="481">
        <f t="shared" si="42"/>
        <v>159.8841109496733</v>
      </c>
      <c r="O103" s="481">
        <f t="shared" si="42"/>
        <v>163.82895773903664</v>
      </c>
      <c r="P103" s="481">
        <f t="shared" si="42"/>
        <v>167.85811003644201</v>
      </c>
    </row>
    <row r="104" spans="1:45" ht="15.75" customHeight="1" collapsed="1">
      <c r="B104" s="486"/>
    </row>
    <row r="105" spans="1:45" ht="15.75" customHeight="1"/>
    <row r="106" spans="1:45" ht="15.75" customHeight="1">
      <c r="I106" s="16">
        <f>I95</f>
        <v>205.1</v>
      </c>
      <c r="J106" s="16">
        <f t="shared" ref="J106:P106" si="43">J95</f>
        <v>200.49625824823229</v>
      </c>
      <c r="K106" s="16">
        <f t="shared" si="43"/>
        <v>209.28847325445639</v>
      </c>
      <c r="L106" s="16">
        <f t="shared" si="43"/>
        <v>219.48264385467593</v>
      </c>
      <c r="M106" s="16">
        <f t="shared" si="43"/>
        <v>225.95911015164745</v>
      </c>
      <c r="N106" s="16">
        <f t="shared" si="43"/>
        <v>232.56008026711748</v>
      </c>
      <c r="O106" s="16">
        <f t="shared" si="43"/>
        <v>239.28833749278687</v>
      </c>
      <c r="P106" s="16">
        <f t="shared" si="43"/>
        <v>246.14671284994955</v>
      </c>
    </row>
    <row r="107" spans="1:45" ht="15.75" customHeight="1">
      <c r="I107" s="16">
        <f>I248</f>
        <v>201.09689213893967</v>
      </c>
      <c r="J107" s="16">
        <f t="shared" ref="J107:P107" si="44">J248</f>
        <v>217.20216313251501</v>
      </c>
      <c r="K107" s="16">
        <f t="shared" si="44"/>
        <v>221.10334865412818</v>
      </c>
      <c r="L107" s="16">
        <f t="shared" si="44"/>
        <v>232.42211034164094</v>
      </c>
      <c r="M107" s="16">
        <f t="shared" si="44"/>
        <v>238.11291256847872</v>
      </c>
      <c r="N107" s="16">
        <f t="shared" si="44"/>
        <v>243.60873807515136</v>
      </c>
      <c r="O107" s="16">
        <f t="shared" si="44"/>
        <v>249.19190361275054</v>
      </c>
      <c r="P107" s="16">
        <f t="shared" si="44"/>
        <v>254.89643403385958</v>
      </c>
    </row>
    <row r="108" spans="1:45" ht="15.75" customHeight="1">
      <c r="I108" s="16">
        <f>I107-I106</f>
        <v>-4.0031078610603288</v>
      </c>
      <c r="J108" s="16">
        <f t="shared" ref="J108:P108" si="45">J107-J106</f>
        <v>16.705904884282717</v>
      </c>
      <c r="K108" s="16">
        <f t="shared" si="45"/>
        <v>11.814875399671791</v>
      </c>
      <c r="L108" s="16">
        <f t="shared" si="45"/>
        <v>12.939466486965017</v>
      </c>
      <c r="M108" s="16">
        <f t="shared" si="45"/>
        <v>12.153802416831269</v>
      </c>
      <c r="N108" s="16">
        <f t="shared" si="45"/>
        <v>11.04865780803388</v>
      </c>
      <c r="O108" s="16">
        <f t="shared" si="45"/>
        <v>9.9035661199636706</v>
      </c>
      <c r="P108" s="16">
        <f t="shared" si="45"/>
        <v>8.749721183910026</v>
      </c>
    </row>
    <row r="109" spans="1:45" ht="15.75" customHeight="1"/>
    <row r="110" spans="1:45" ht="15.75" customHeight="1">
      <c r="A110" s="1203"/>
      <c r="B110" s="1167" t="s">
        <v>7771</v>
      </c>
      <c r="C110" s="1203"/>
      <c r="D110" s="1203"/>
      <c r="E110" s="1203"/>
      <c r="F110" s="1203"/>
      <c r="G110" s="1203"/>
      <c r="H110" s="1203"/>
      <c r="I110" s="1217"/>
      <c r="J110" s="1203"/>
      <c r="K110" s="1203"/>
      <c r="L110" s="1203"/>
      <c r="M110" s="1203"/>
      <c r="N110" s="1203"/>
      <c r="O110" s="1203"/>
      <c r="P110" s="1203"/>
      <c r="Q110" s="1203"/>
      <c r="R110" s="1203"/>
      <c r="S110" s="1203"/>
      <c r="T110" s="1203"/>
      <c r="U110" s="1203"/>
      <c r="V110" s="1203"/>
      <c r="W110" s="1203"/>
      <c r="X110" s="1203"/>
      <c r="Y110" s="1203"/>
      <c r="Z110" s="1203"/>
      <c r="AA110" s="1203"/>
      <c r="AB110" s="1203"/>
      <c r="AC110" s="1203"/>
      <c r="AD110" s="1203"/>
      <c r="AE110" s="1203"/>
      <c r="AF110" s="1203"/>
      <c r="AG110" s="1203"/>
      <c r="AH110" s="1203"/>
      <c r="AI110" s="1203"/>
      <c r="AJ110" s="1203"/>
      <c r="AK110" s="1203"/>
      <c r="AL110" s="1203"/>
      <c r="AM110" s="1203"/>
      <c r="AN110" s="1203"/>
      <c r="AO110" s="1203"/>
      <c r="AP110" s="1203"/>
      <c r="AQ110" s="1203"/>
      <c r="AR110" s="1203"/>
      <c r="AS110" s="1203"/>
    </row>
    <row r="111" spans="1:45" ht="15.75" customHeight="1">
      <c r="A111" s="1203"/>
      <c r="B111" s="1203"/>
      <c r="C111" s="1203"/>
      <c r="D111" s="1203"/>
      <c r="E111" s="1203"/>
      <c r="F111" s="1203"/>
      <c r="G111" s="1203"/>
      <c r="H111" s="1203"/>
      <c r="I111" s="1203"/>
      <c r="J111" s="1203"/>
      <c r="K111" s="1203"/>
      <c r="L111" s="1203"/>
      <c r="M111" s="1203"/>
      <c r="N111" s="1203"/>
      <c r="O111" s="1203"/>
      <c r="P111" s="1203"/>
      <c r="Q111" s="1203"/>
      <c r="R111" s="1203"/>
      <c r="S111" s="1203"/>
      <c r="T111" s="1203"/>
      <c r="U111" s="1203"/>
      <c r="V111" s="1203"/>
      <c r="W111" s="1203"/>
      <c r="X111" s="1203"/>
      <c r="Y111" s="1203"/>
      <c r="Z111" s="1203"/>
      <c r="AA111" s="1203"/>
      <c r="AB111" s="1203"/>
      <c r="AC111" s="1203"/>
      <c r="AD111" s="1203"/>
      <c r="AE111" s="1203"/>
      <c r="AF111" s="1203"/>
      <c r="AG111" s="1203"/>
      <c r="AH111" s="1203"/>
      <c r="AI111" s="1203"/>
      <c r="AJ111" s="1203"/>
      <c r="AK111" s="1203"/>
      <c r="AL111" s="1203"/>
      <c r="AM111" s="1203"/>
      <c r="AN111" s="1203"/>
      <c r="AO111" s="1203"/>
      <c r="AP111" s="1203"/>
      <c r="AQ111" s="1203"/>
      <c r="AR111" s="1203"/>
      <c r="AS111" s="1203"/>
    </row>
    <row r="112" spans="1:45" ht="15.75" customHeight="1">
      <c r="A112" s="1203"/>
      <c r="B112" s="1203"/>
      <c r="C112" s="1203"/>
      <c r="D112" s="1203"/>
      <c r="E112" s="1203"/>
      <c r="F112" s="1203"/>
      <c r="G112" s="1203"/>
      <c r="H112" s="1203"/>
      <c r="I112" s="1203"/>
      <c r="J112" s="1203"/>
      <c r="K112" s="1203"/>
      <c r="L112" s="1203"/>
      <c r="M112" s="1203"/>
      <c r="N112" s="1203"/>
      <c r="O112" s="1203"/>
      <c r="P112" s="1203"/>
      <c r="Q112" s="1203"/>
      <c r="R112" s="1203"/>
      <c r="S112" s="1203"/>
      <c r="T112" s="1203"/>
      <c r="U112" s="1203"/>
      <c r="V112" s="1203"/>
      <c r="W112" s="1203"/>
      <c r="X112" s="1203"/>
      <c r="Y112" s="1203"/>
      <c r="Z112" s="1203"/>
      <c r="AA112" s="1203"/>
      <c r="AB112" s="1203"/>
      <c r="AC112" s="1203"/>
      <c r="AD112" s="1203"/>
      <c r="AE112" s="1203"/>
      <c r="AF112" s="1203"/>
      <c r="AG112" s="1203"/>
      <c r="AH112" s="1203"/>
      <c r="AI112" s="1203"/>
      <c r="AJ112" s="1203"/>
      <c r="AK112" s="1203"/>
      <c r="AL112" s="1203"/>
      <c r="AM112" s="1203"/>
      <c r="AN112" s="1203"/>
      <c r="AO112" s="1203"/>
      <c r="AP112" s="1203"/>
      <c r="AQ112" s="1203"/>
      <c r="AR112" s="1203"/>
      <c r="AS112" s="1203"/>
    </row>
    <row r="113" spans="1:45" ht="15.75" customHeight="1">
      <c r="A113" s="1203"/>
      <c r="B113" s="1609" t="s">
        <v>3471</v>
      </c>
      <c r="C113" s="1609">
        <f>C1</f>
        <v>2017</v>
      </c>
      <c r="D113" s="1609">
        <f t="shared" ref="D113:P113" si="46">D1</f>
        <v>2018</v>
      </c>
      <c r="E113" s="1609">
        <f t="shared" si="46"/>
        <v>2019</v>
      </c>
      <c r="F113" s="1609">
        <f t="shared" si="46"/>
        <v>2020</v>
      </c>
      <c r="G113" s="1609">
        <f t="shared" si="46"/>
        <v>2021</v>
      </c>
      <c r="H113" s="1609">
        <f t="shared" si="46"/>
        <v>2022</v>
      </c>
      <c r="I113" s="1609">
        <f t="shared" si="46"/>
        <v>2023</v>
      </c>
      <c r="J113" s="1609">
        <f t="shared" si="46"/>
        <v>2024</v>
      </c>
      <c r="K113" s="1609">
        <f t="shared" si="46"/>
        <v>2025</v>
      </c>
      <c r="L113" s="1609">
        <f t="shared" si="46"/>
        <v>2026</v>
      </c>
      <c r="M113" s="1609">
        <f t="shared" si="46"/>
        <v>2027</v>
      </c>
      <c r="N113" s="1609">
        <f t="shared" si="46"/>
        <v>2028</v>
      </c>
      <c r="O113" s="1609">
        <f t="shared" si="46"/>
        <v>2029</v>
      </c>
      <c r="P113" s="1609">
        <f t="shared" si="46"/>
        <v>2030</v>
      </c>
      <c r="Q113" s="1203"/>
      <c r="R113" s="1203"/>
      <c r="S113" s="1203"/>
      <c r="T113" s="1203"/>
      <c r="U113" s="1203"/>
      <c r="V113" s="1203"/>
      <c r="W113" s="1203"/>
      <c r="X113" s="1203"/>
      <c r="Y113" s="1203"/>
      <c r="Z113" s="1203"/>
      <c r="AA113" s="1203"/>
      <c r="AB113" s="1203"/>
      <c r="AC113" s="1203"/>
      <c r="AD113" s="1203"/>
      <c r="AE113" s="1203"/>
      <c r="AF113" s="1203"/>
      <c r="AG113" s="1203"/>
      <c r="AH113" s="1203"/>
      <c r="AI113" s="1203"/>
      <c r="AJ113" s="1203"/>
      <c r="AK113" s="1203"/>
      <c r="AL113" s="1203"/>
      <c r="AM113" s="1203"/>
      <c r="AN113" s="1203"/>
      <c r="AO113" s="1203"/>
      <c r="AP113" s="1203"/>
      <c r="AQ113" s="1203"/>
      <c r="AR113" s="1203"/>
      <c r="AS113" s="1203"/>
    </row>
    <row r="114" spans="1:45" ht="15.75" customHeight="1">
      <c r="A114" s="1203"/>
      <c r="B114" s="1203" t="s">
        <v>3631</v>
      </c>
      <c r="C114" s="1203"/>
      <c r="D114" s="1203"/>
      <c r="E114" s="1203"/>
      <c r="F114" s="1203"/>
      <c r="G114" s="1217">
        <f>G115+G116</f>
        <v>90</v>
      </c>
      <c r="H114" s="1203">
        <f>H115+H116</f>
        <v>88.2</v>
      </c>
      <c r="I114" s="1203">
        <f>I115+I116</f>
        <v>86.3</v>
      </c>
      <c r="J114" s="1217">
        <f t="shared" ref="J114" si="47">J115+J116</f>
        <v>80.990330300179863</v>
      </c>
      <c r="K114" s="1217">
        <f t="shared" ref="K114" si="48">K115+K116</f>
        <v>78.967229009676359</v>
      </c>
      <c r="L114" s="1217">
        <f t="shared" ref="L114" si="49">L115+L116</f>
        <v>78.314920184741851</v>
      </c>
      <c r="M114" s="1217">
        <f t="shared" ref="M114" si="50">M115+M116</f>
        <v>79.095499901511644</v>
      </c>
      <c r="N114" s="1217">
        <f t="shared" ref="N114" si="51">N115+N116</f>
        <v>79.872425928595774</v>
      </c>
      <c r="O114" s="1217">
        <f t="shared" ref="O114" si="52">O115+O116</f>
        <v>80.647519447577139</v>
      </c>
      <c r="P114" s="1217">
        <f t="shared" ref="P114" si="53">P115+P116</f>
        <v>81.422641914439424</v>
      </c>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3"/>
      <c r="AK114" s="1203"/>
      <c r="AL114" s="1203"/>
      <c r="AM114" s="1203"/>
      <c r="AN114" s="1203"/>
      <c r="AO114" s="1203"/>
      <c r="AP114" s="1203"/>
      <c r="AQ114" s="1203"/>
      <c r="AR114" s="1203"/>
      <c r="AS114" s="1203"/>
    </row>
    <row r="115" spans="1:45" ht="15.75" customHeight="1">
      <c r="A115" s="1203"/>
      <c r="B115" s="1670" t="s">
        <v>7746</v>
      </c>
      <c r="C115" s="1203"/>
      <c r="D115" s="1203"/>
      <c r="E115" s="1203"/>
      <c r="F115" s="1203"/>
      <c r="G115" s="1671">
        <v>86.1</v>
      </c>
      <c r="H115" s="1671">
        <v>85</v>
      </c>
      <c r="I115" s="1672">
        <v>78.599999999999994</v>
      </c>
      <c r="J115" s="1217">
        <f t="shared" ref="J115:P115" si="54">J130*AVERAGE(I129,J129)*12/1000000</f>
        <v>72.90533030017987</v>
      </c>
      <c r="K115" s="1217">
        <f t="shared" si="54"/>
        <v>70.477979009676361</v>
      </c>
      <c r="L115" s="1217">
        <f t="shared" si="54"/>
        <v>69.401207684741848</v>
      </c>
      <c r="M115" s="1217">
        <f t="shared" si="54"/>
        <v>69.736101776511646</v>
      </c>
      <c r="N115" s="1217">
        <f t="shared" si="54"/>
        <v>70.045057897345771</v>
      </c>
      <c r="O115" s="1217">
        <f t="shared" si="54"/>
        <v>70.328783014764639</v>
      </c>
      <c r="P115" s="1217">
        <f t="shared" si="54"/>
        <v>70.587968659986288</v>
      </c>
      <c r="Q115" s="1203"/>
      <c r="R115" s="1203"/>
      <c r="S115" s="1305"/>
      <c r="T115" s="1305"/>
      <c r="U115" s="1305"/>
      <c r="V115" s="1305"/>
      <c r="W115" s="1305"/>
      <c r="X115" s="1305"/>
      <c r="Y115" s="1305"/>
      <c r="Z115" s="1305"/>
      <c r="AA115" s="1305"/>
      <c r="AB115" s="1305"/>
      <c r="AC115" s="1203"/>
      <c r="AD115" s="1203"/>
      <c r="AE115" s="1203"/>
      <c r="AF115" s="1203"/>
      <c r="AG115" s="1203"/>
      <c r="AH115" s="1203"/>
      <c r="AI115" s="1203"/>
      <c r="AJ115" s="1203"/>
      <c r="AK115" s="1203"/>
      <c r="AL115" s="1203"/>
      <c r="AM115" s="1203"/>
      <c r="AN115" s="1203"/>
      <c r="AO115" s="1203"/>
      <c r="AP115" s="1203"/>
      <c r="AQ115" s="1203"/>
      <c r="AR115" s="1203"/>
      <c r="AS115" s="1203"/>
    </row>
    <row r="116" spans="1:45" ht="15.75" customHeight="1">
      <c r="A116" s="1203"/>
      <c r="B116" s="1670" t="s">
        <v>7747</v>
      </c>
      <c r="C116" s="1203"/>
      <c r="D116" s="1203"/>
      <c r="E116" s="1203"/>
      <c r="F116" s="1203"/>
      <c r="G116" s="1672">
        <v>3.9</v>
      </c>
      <c r="H116" s="1672">
        <v>3.2</v>
      </c>
      <c r="I116" s="1672">
        <v>7.7</v>
      </c>
      <c r="J116" s="1217">
        <f t="shared" ref="J116:P116" si="55">I116*(1+J133)</f>
        <v>8.0850000000000009</v>
      </c>
      <c r="K116" s="1217">
        <f t="shared" si="55"/>
        <v>8.489250000000002</v>
      </c>
      <c r="L116" s="1217">
        <f t="shared" si="55"/>
        <v>8.9137125000000026</v>
      </c>
      <c r="M116" s="1217">
        <f t="shared" si="55"/>
        <v>9.3593981250000038</v>
      </c>
      <c r="N116" s="1217">
        <f t="shared" si="55"/>
        <v>9.8273680312500051</v>
      </c>
      <c r="O116" s="1217">
        <f t="shared" si="55"/>
        <v>10.318736432812505</v>
      </c>
      <c r="P116" s="1217">
        <f t="shared" si="55"/>
        <v>10.834673254453131</v>
      </c>
      <c r="Q116" s="1203"/>
      <c r="R116" s="1203"/>
      <c r="S116" s="1203"/>
      <c r="T116" s="1203"/>
      <c r="U116" s="1203"/>
      <c r="V116" s="1203"/>
      <c r="W116" s="1203"/>
      <c r="X116" s="1203"/>
      <c r="Y116" s="1203"/>
      <c r="Z116" s="1203"/>
      <c r="AA116" s="1203"/>
      <c r="AB116" s="1203"/>
      <c r="AC116" s="1203"/>
      <c r="AD116" s="1203"/>
      <c r="AE116" s="1203"/>
      <c r="AF116" s="1203"/>
      <c r="AG116" s="1203"/>
      <c r="AH116" s="1203"/>
      <c r="AI116" s="1203"/>
      <c r="AJ116" s="1203"/>
      <c r="AK116" s="1203"/>
      <c r="AL116" s="1203"/>
      <c r="AM116" s="1203"/>
      <c r="AN116" s="1203"/>
      <c r="AO116" s="1203"/>
      <c r="AP116" s="1203"/>
      <c r="AQ116" s="1203"/>
      <c r="AR116" s="1203"/>
      <c r="AS116" s="1203"/>
    </row>
    <row r="117" spans="1:45" ht="15.75" customHeight="1">
      <c r="A117" s="1203"/>
      <c r="B117" s="1203"/>
      <c r="C117" s="1203"/>
      <c r="D117" s="1203"/>
      <c r="E117" s="1203"/>
      <c r="F117" s="1203"/>
      <c r="G117" s="1203"/>
      <c r="H117" s="1203"/>
      <c r="I117" s="1203"/>
      <c r="J117" s="1203"/>
      <c r="K117" s="1203"/>
      <c r="L117" s="1203"/>
      <c r="M117" s="1203"/>
      <c r="N117" s="1203"/>
      <c r="O117" s="1203"/>
      <c r="P117" s="1203"/>
      <c r="Q117" s="1203"/>
      <c r="R117" s="1203"/>
      <c r="S117" s="1203"/>
      <c r="T117" s="1203"/>
      <c r="U117" s="1203"/>
      <c r="V117" s="1203"/>
      <c r="W117" s="1203"/>
      <c r="X117" s="1203"/>
      <c r="Y117" s="1203"/>
      <c r="Z117" s="1203"/>
      <c r="AA117" s="1203"/>
      <c r="AB117" s="1203"/>
      <c r="AC117" s="1203"/>
      <c r="AD117" s="1203"/>
      <c r="AE117" s="1203"/>
      <c r="AF117" s="1203"/>
      <c r="AG117" s="1203"/>
      <c r="AH117" s="1203"/>
      <c r="AI117" s="1203"/>
      <c r="AJ117" s="1203"/>
      <c r="AK117" s="1203"/>
      <c r="AL117" s="1203"/>
      <c r="AM117" s="1203"/>
      <c r="AN117" s="1203"/>
      <c r="AO117" s="1203"/>
      <c r="AP117" s="1203"/>
      <c r="AQ117" s="1203"/>
      <c r="AR117" s="1203"/>
      <c r="AS117" s="1203"/>
    </row>
    <row r="118" spans="1:45" ht="15.75" customHeight="1">
      <c r="A118" s="1203"/>
      <c r="B118" s="1203" t="s">
        <v>7748</v>
      </c>
      <c r="C118" s="1203"/>
      <c r="D118" s="1203"/>
      <c r="E118" s="1203"/>
      <c r="F118" s="1203"/>
      <c r="G118" s="1203">
        <f>G119+G120</f>
        <v>63.099999999999994</v>
      </c>
      <c r="H118" s="1203">
        <f>H119+H120</f>
        <v>168.2</v>
      </c>
      <c r="I118" s="1217">
        <f>I119+I120</f>
        <v>175</v>
      </c>
      <c r="J118" s="1217">
        <f t="shared" ref="J118:P118" si="56">J119+J120</f>
        <v>180.50130232633751</v>
      </c>
      <c r="K118" s="1217">
        <f t="shared" si="56"/>
        <v>186.37327431648595</v>
      </c>
      <c r="L118" s="1217">
        <f t="shared" si="56"/>
        <v>192.7380120374969</v>
      </c>
      <c r="M118" s="1217">
        <f t="shared" si="56"/>
        <v>199.67450139691505</v>
      </c>
      <c r="N118" s="1217">
        <f t="shared" si="56"/>
        <v>207.26564553692796</v>
      </c>
      <c r="O118" s="1217">
        <f t="shared" si="56"/>
        <v>214.78631414972614</v>
      </c>
      <c r="P118" s="1217">
        <f t="shared" si="56"/>
        <v>222.24070364964015</v>
      </c>
      <c r="Q118" s="1203"/>
      <c r="R118" s="1341"/>
      <c r="S118" s="1203"/>
      <c r="T118" s="1203"/>
      <c r="U118" s="1203"/>
      <c r="V118" s="1203"/>
      <c r="W118" s="1203"/>
      <c r="X118" s="1203"/>
      <c r="Y118" s="1203"/>
      <c r="Z118" s="1203"/>
      <c r="AA118" s="1203"/>
      <c r="AB118" s="1203"/>
      <c r="AC118" s="1203"/>
      <c r="AD118" s="1203"/>
      <c r="AE118" s="1203"/>
      <c r="AF118" s="1203"/>
      <c r="AG118" s="1203"/>
      <c r="AH118" s="1203"/>
      <c r="AI118" s="1203"/>
      <c r="AJ118" s="1203"/>
      <c r="AK118" s="1203"/>
      <c r="AL118" s="1203"/>
      <c r="AM118" s="1203"/>
      <c r="AN118" s="1203"/>
      <c r="AO118" s="1203"/>
      <c r="AP118" s="1203"/>
      <c r="AQ118" s="1203"/>
      <c r="AR118" s="1203"/>
      <c r="AS118" s="1203"/>
    </row>
    <row r="119" spans="1:45" ht="15.75" customHeight="1">
      <c r="A119" s="1203"/>
      <c r="B119" s="1670" t="s">
        <v>7749</v>
      </c>
      <c r="C119" s="1203"/>
      <c r="D119" s="1203"/>
      <c r="E119" s="1203"/>
      <c r="F119" s="1203"/>
      <c r="G119" s="1672">
        <v>45.9</v>
      </c>
      <c r="H119" s="1672">
        <v>126.2</v>
      </c>
      <c r="I119" s="1672">
        <v>131.4</v>
      </c>
      <c r="J119" s="1217">
        <f>J142*AVERAGE(I136,J136)*12/1000000</f>
        <v>135.3753023263375</v>
      </c>
      <c r="K119" s="1217">
        <f t="shared" ref="K119:P119" si="57">K142*AVERAGE(J136,K136)*12/1000000</f>
        <v>139.66786431648595</v>
      </c>
      <c r="L119" s="1217">
        <f t="shared" si="57"/>
        <v>144.3979126874969</v>
      </c>
      <c r="M119" s="1217">
        <f t="shared" si="57"/>
        <v>149.64249856966507</v>
      </c>
      <c r="N119" s="1217">
        <f t="shared" si="57"/>
        <v>155.48252261072423</v>
      </c>
      <c r="O119" s="1217">
        <f t="shared" si="57"/>
        <v>161.19078192110527</v>
      </c>
      <c r="P119" s="1217">
        <f t="shared" si="57"/>
        <v>166.76932779301757</v>
      </c>
      <c r="Q119" s="1203"/>
      <c r="R119" s="1203"/>
      <c r="S119" s="1203"/>
      <c r="T119" s="1203"/>
      <c r="U119" s="1203"/>
      <c r="V119" s="1203"/>
      <c r="W119" s="1203"/>
      <c r="X119" s="1203"/>
      <c r="Y119" s="1203"/>
      <c r="Z119" s="1203"/>
      <c r="AA119" s="1203"/>
      <c r="AB119" s="1203"/>
      <c r="AC119" s="1203"/>
      <c r="AD119" s="1203"/>
      <c r="AE119" s="1203"/>
      <c r="AF119" s="1203"/>
      <c r="AG119" s="1203"/>
      <c r="AH119" s="1203"/>
      <c r="AI119" s="1203"/>
      <c r="AJ119" s="1203"/>
      <c r="AK119" s="1203"/>
      <c r="AL119" s="1203"/>
      <c r="AM119" s="1203"/>
      <c r="AN119" s="1203"/>
      <c r="AO119" s="1203"/>
      <c r="AP119" s="1203"/>
      <c r="AQ119" s="1203"/>
      <c r="AR119" s="1203"/>
      <c r="AS119" s="1203"/>
    </row>
    <row r="120" spans="1:45" ht="15.75" customHeight="1">
      <c r="A120" s="1203"/>
      <c r="B120" s="1670" t="s">
        <v>7750</v>
      </c>
      <c r="C120" s="1203"/>
      <c r="D120" s="1203"/>
      <c r="E120" s="1203"/>
      <c r="F120" s="1203"/>
      <c r="G120" s="1671">
        <v>17.2</v>
      </c>
      <c r="H120" s="1671">
        <v>42</v>
      </c>
      <c r="I120" s="1672">
        <v>43.6</v>
      </c>
      <c r="J120" s="1217">
        <f t="shared" ref="J120:P120" si="58">I120*(1+J145)</f>
        <v>45.125999999999998</v>
      </c>
      <c r="K120" s="1217">
        <f t="shared" si="58"/>
        <v>46.705409999999993</v>
      </c>
      <c r="L120" s="1217">
        <f t="shared" si="58"/>
        <v>48.340099349999988</v>
      </c>
      <c r="M120" s="1217">
        <f t="shared" si="58"/>
        <v>50.032002827249983</v>
      </c>
      <c r="N120" s="1217">
        <f t="shared" si="58"/>
        <v>51.783122926203731</v>
      </c>
      <c r="O120" s="1217">
        <f t="shared" si="58"/>
        <v>53.595532228620854</v>
      </c>
      <c r="P120" s="1217">
        <f t="shared" si="58"/>
        <v>55.471375856622579</v>
      </c>
      <c r="Q120" s="1203"/>
      <c r="R120" s="1203"/>
      <c r="S120" s="1203"/>
      <c r="T120" s="1203"/>
      <c r="U120" s="1203"/>
      <c r="V120" s="1203"/>
      <c r="W120" s="1203"/>
      <c r="X120" s="1203"/>
      <c r="Y120" s="1203"/>
      <c r="Z120" s="1203"/>
      <c r="AA120" s="1203"/>
      <c r="AB120" s="1203"/>
      <c r="AC120" s="1203"/>
      <c r="AD120" s="1203"/>
      <c r="AE120" s="1203"/>
      <c r="AF120" s="1203"/>
      <c r="AG120" s="1203"/>
      <c r="AH120" s="1203"/>
      <c r="AI120" s="1203"/>
      <c r="AJ120" s="1203"/>
      <c r="AK120" s="1203"/>
      <c r="AL120" s="1203"/>
      <c r="AM120" s="1203"/>
      <c r="AN120" s="1203"/>
      <c r="AO120" s="1203"/>
      <c r="AP120" s="1203"/>
      <c r="AQ120" s="1203"/>
      <c r="AR120" s="1203"/>
      <c r="AS120" s="1203"/>
    </row>
    <row r="121" spans="1:45" ht="15.75" customHeight="1">
      <c r="A121" s="1203"/>
      <c r="B121" s="1203"/>
      <c r="C121" s="1203"/>
      <c r="D121" s="1203"/>
      <c r="E121" s="1203"/>
      <c r="F121" s="1203"/>
      <c r="G121" s="1203"/>
      <c r="H121" s="1203"/>
      <c r="I121" s="1203"/>
      <c r="J121" s="1203"/>
      <c r="K121" s="1203"/>
      <c r="L121" s="1203"/>
      <c r="M121" s="1203"/>
      <c r="N121" s="1203"/>
      <c r="O121" s="1203"/>
      <c r="P121" s="1203"/>
      <c r="Q121" s="1203"/>
      <c r="R121" s="1203"/>
      <c r="S121" s="1203"/>
      <c r="T121" s="1203"/>
      <c r="U121" s="1203"/>
      <c r="V121" s="1203"/>
      <c r="W121" s="1203"/>
      <c r="X121" s="1203"/>
      <c r="Y121" s="1203"/>
      <c r="Z121" s="1203"/>
      <c r="AA121" s="1203"/>
      <c r="AB121" s="1203"/>
      <c r="AC121" s="1203"/>
      <c r="AD121" s="1203"/>
      <c r="AE121" s="1203"/>
      <c r="AF121" s="1203"/>
      <c r="AG121" s="1203"/>
      <c r="AH121" s="1203"/>
      <c r="AI121" s="1203"/>
      <c r="AJ121" s="1203"/>
      <c r="AK121" s="1203"/>
      <c r="AL121" s="1203"/>
      <c r="AM121" s="1203"/>
      <c r="AN121" s="1203"/>
      <c r="AO121" s="1203"/>
      <c r="AP121" s="1203"/>
      <c r="AQ121" s="1203"/>
      <c r="AR121" s="1203"/>
      <c r="AS121" s="1203"/>
    </row>
    <row r="122" spans="1:45" ht="15.75" customHeight="1">
      <c r="A122" s="1203"/>
      <c r="B122" s="1203" t="s">
        <v>7751</v>
      </c>
      <c r="C122" s="1203"/>
      <c r="D122" s="1203"/>
      <c r="E122" s="1203"/>
      <c r="F122" s="1203"/>
      <c r="G122" s="1672">
        <v>8.8000000000000007</v>
      </c>
      <c r="H122" s="1672">
        <v>28.9</v>
      </c>
      <c r="I122" s="1672">
        <v>36.299999999999997</v>
      </c>
      <c r="J122" s="1217">
        <f t="shared" ref="J122:P122" si="59">I122*(1+J148)</f>
        <v>43.559999999999995</v>
      </c>
      <c r="K122" s="1217">
        <f t="shared" si="59"/>
        <v>51.40079999999999</v>
      </c>
      <c r="L122" s="1217">
        <f t="shared" si="59"/>
        <v>59.624927999999983</v>
      </c>
      <c r="M122" s="1217">
        <f t="shared" si="59"/>
        <v>66.779919359999994</v>
      </c>
      <c r="N122" s="1217">
        <f t="shared" si="59"/>
        <v>73.457911296000006</v>
      </c>
      <c r="O122" s="1217">
        <f t="shared" si="59"/>
        <v>80.803702425600008</v>
      </c>
      <c r="P122" s="1217">
        <f t="shared" si="59"/>
        <v>88.884072668160016</v>
      </c>
      <c r="Q122" s="1203"/>
      <c r="R122" s="1203"/>
      <c r="S122" s="1203"/>
      <c r="T122" s="1203"/>
      <c r="U122" s="1203"/>
      <c r="V122" s="1203"/>
      <c r="W122" s="1203"/>
      <c r="X122" s="1203"/>
      <c r="Y122" s="1203"/>
      <c r="Z122" s="1203"/>
      <c r="AA122" s="1203"/>
      <c r="AB122" s="1203"/>
      <c r="AC122" s="1203"/>
      <c r="AD122" s="1203"/>
      <c r="AE122" s="1203"/>
      <c r="AF122" s="1203"/>
      <c r="AG122" s="1203"/>
      <c r="AH122" s="1203"/>
      <c r="AI122" s="1203"/>
      <c r="AJ122" s="1203"/>
      <c r="AK122" s="1203"/>
      <c r="AL122" s="1203"/>
      <c r="AM122" s="1203"/>
      <c r="AN122" s="1203"/>
      <c r="AO122" s="1203"/>
      <c r="AP122" s="1203"/>
      <c r="AQ122" s="1203"/>
      <c r="AR122" s="1203"/>
      <c r="AS122" s="1203"/>
    </row>
    <row r="123" spans="1:45" ht="15.75" customHeight="1">
      <c r="A123" s="1203"/>
      <c r="B123" s="1483" t="s">
        <v>7752</v>
      </c>
      <c r="C123" s="1483"/>
      <c r="D123" s="1483"/>
      <c r="E123" s="1483"/>
      <c r="F123" s="1483"/>
      <c r="G123" s="1483">
        <f t="shared" ref="G123:P123" si="60">G114+G118+G122</f>
        <v>161.9</v>
      </c>
      <c r="H123" s="1483">
        <f t="shared" si="60"/>
        <v>285.29999999999995</v>
      </c>
      <c r="I123" s="1483">
        <f t="shared" si="60"/>
        <v>297.60000000000002</v>
      </c>
      <c r="J123" s="1673">
        <f t="shared" si="60"/>
        <v>305.05163262651735</v>
      </c>
      <c r="K123" s="1673">
        <f t="shared" si="60"/>
        <v>316.74130332616232</v>
      </c>
      <c r="L123" s="1673">
        <f t="shared" si="60"/>
        <v>330.67786022223868</v>
      </c>
      <c r="M123" s="1673">
        <f t="shared" si="60"/>
        <v>345.54992065842669</v>
      </c>
      <c r="N123" s="1673">
        <f t="shared" si="60"/>
        <v>360.59598276152377</v>
      </c>
      <c r="O123" s="1673">
        <f t="shared" si="60"/>
        <v>376.23753602290333</v>
      </c>
      <c r="P123" s="1673">
        <f t="shared" si="60"/>
        <v>392.54741823223958</v>
      </c>
      <c r="Q123" s="1203"/>
      <c r="R123" s="1203"/>
      <c r="S123" s="1203"/>
      <c r="T123" s="1203"/>
      <c r="U123" s="1203"/>
      <c r="V123" s="1203"/>
      <c r="W123" s="1203"/>
      <c r="X123" s="1203"/>
      <c r="Y123" s="1203"/>
      <c r="Z123" s="1203"/>
      <c r="AA123" s="1203"/>
      <c r="AB123" s="1203"/>
      <c r="AC123" s="1203"/>
      <c r="AD123" s="1203"/>
      <c r="AE123" s="1203"/>
      <c r="AF123" s="1203"/>
      <c r="AG123" s="1203"/>
      <c r="AH123" s="1203"/>
      <c r="AI123" s="1203"/>
      <c r="AJ123" s="1203"/>
      <c r="AK123" s="1203"/>
      <c r="AL123" s="1203"/>
      <c r="AM123" s="1203"/>
      <c r="AN123" s="1203"/>
      <c r="AO123" s="1203"/>
      <c r="AP123" s="1203"/>
      <c r="AQ123" s="1203"/>
      <c r="AR123" s="1203"/>
      <c r="AS123" s="1203"/>
    </row>
    <row r="124" spans="1:45" ht="15.75" customHeight="1">
      <c r="A124" s="1203"/>
      <c r="B124" s="1203" t="s">
        <v>648</v>
      </c>
      <c r="C124" s="1203"/>
      <c r="D124" s="1203"/>
      <c r="E124" s="1203"/>
      <c r="F124" s="1203"/>
      <c r="G124" s="1203"/>
      <c r="H124" s="1307">
        <f>H123/G123-1</f>
        <v>0.76219888820259385</v>
      </c>
      <c r="I124" s="1307">
        <f t="shared" ref="I124:P124" si="61">I123/H123-1</f>
        <v>4.3112513144059061E-2</v>
      </c>
      <c r="J124" s="1307">
        <f t="shared" si="61"/>
        <v>2.5039088126738385E-2</v>
      </c>
      <c r="K124" s="1307">
        <f t="shared" si="61"/>
        <v>3.8320302038694409E-2</v>
      </c>
      <c r="L124" s="1307">
        <f t="shared" si="61"/>
        <v>4.3999809149377844E-2</v>
      </c>
      <c r="M124" s="1307">
        <f t="shared" si="61"/>
        <v>4.4974466770145938E-2</v>
      </c>
      <c r="N124" s="1307">
        <f t="shared" si="61"/>
        <v>4.3542368854918578E-2</v>
      </c>
      <c r="O124" s="1307">
        <f t="shared" si="61"/>
        <v>4.3376948188920794E-2</v>
      </c>
      <c r="P124" s="1307">
        <f t="shared" si="61"/>
        <v>4.334996019201931E-2</v>
      </c>
      <c r="Q124" s="1203"/>
      <c r="R124" s="1203"/>
      <c r="S124" s="1203"/>
      <c r="T124" s="1203"/>
      <c r="U124" s="1203"/>
      <c r="V124" s="1203"/>
      <c r="W124" s="1203"/>
      <c r="X124" s="1203"/>
      <c r="Y124" s="1203"/>
      <c r="Z124" s="1203"/>
      <c r="AA124" s="1203"/>
      <c r="AB124" s="1203"/>
      <c r="AC124" s="1203"/>
      <c r="AD124" s="1203"/>
      <c r="AE124" s="1203"/>
      <c r="AF124" s="1203"/>
      <c r="AG124" s="1203"/>
      <c r="AH124" s="1203"/>
      <c r="AI124" s="1203"/>
      <c r="AJ124" s="1203"/>
      <c r="AK124" s="1203"/>
      <c r="AL124" s="1203"/>
      <c r="AM124" s="1203"/>
      <c r="AN124" s="1203"/>
      <c r="AO124" s="1203"/>
      <c r="AP124" s="1203"/>
      <c r="AQ124" s="1203"/>
      <c r="AR124" s="1203"/>
      <c r="AS124" s="1203"/>
    </row>
    <row r="125" spans="1:45" ht="15.75" customHeight="1">
      <c r="A125" s="1203"/>
      <c r="B125" s="1203"/>
      <c r="C125" s="1203"/>
      <c r="D125" s="1203"/>
      <c r="E125" s="1203"/>
      <c r="F125" s="1203"/>
      <c r="G125" s="1203"/>
      <c r="H125" s="1203"/>
      <c r="I125" s="1203"/>
      <c r="J125" s="1203"/>
      <c r="K125" s="1203"/>
      <c r="L125" s="1203"/>
      <c r="M125" s="1203"/>
      <c r="N125" s="1203"/>
      <c r="O125" s="1203"/>
      <c r="P125" s="1203"/>
      <c r="Q125" s="1203"/>
      <c r="R125" s="1203"/>
      <c r="S125" s="1203"/>
      <c r="T125" s="1203"/>
      <c r="U125" s="1203"/>
      <c r="V125" s="1203"/>
      <c r="W125" s="1203"/>
      <c r="X125" s="1203"/>
      <c r="Y125" s="1203"/>
      <c r="Z125" s="1203"/>
      <c r="AA125" s="1203"/>
      <c r="AB125" s="1203"/>
      <c r="AC125" s="1203"/>
      <c r="AD125" s="1203"/>
      <c r="AE125" s="1203"/>
      <c r="AF125" s="1203"/>
      <c r="AG125" s="1203"/>
      <c r="AH125" s="1203"/>
      <c r="AI125" s="1203"/>
      <c r="AJ125" s="1203"/>
      <c r="AK125" s="1203"/>
      <c r="AL125" s="1203"/>
      <c r="AM125" s="1203"/>
      <c r="AN125" s="1203"/>
      <c r="AO125" s="1203"/>
      <c r="AP125" s="1203"/>
      <c r="AQ125" s="1203"/>
      <c r="AR125" s="1203"/>
      <c r="AS125" s="1203"/>
    </row>
    <row r="126" spans="1:45" ht="15.75" customHeight="1">
      <c r="A126" s="1203"/>
      <c r="B126" s="1203"/>
      <c r="C126" s="1203"/>
      <c r="D126" s="1203"/>
      <c r="E126" s="1203"/>
      <c r="F126" s="1203"/>
      <c r="G126" s="1203"/>
      <c r="H126" s="1203"/>
      <c r="I126" s="1203"/>
      <c r="J126" s="1203"/>
      <c r="K126" s="1203"/>
      <c r="L126" s="1203"/>
      <c r="M126" s="1203"/>
      <c r="N126" s="1203"/>
      <c r="O126" s="1203"/>
      <c r="P126" s="1203"/>
      <c r="Q126" s="1203"/>
      <c r="R126" s="1203"/>
      <c r="S126" s="1203"/>
      <c r="T126" s="1203"/>
      <c r="U126" s="1203"/>
      <c r="V126" s="1203"/>
      <c r="W126" s="1203"/>
      <c r="X126" s="1203"/>
      <c r="Y126" s="1203"/>
      <c r="Z126" s="1203"/>
      <c r="AA126" s="1203"/>
      <c r="AB126" s="1203"/>
      <c r="AC126" s="1203"/>
      <c r="AD126" s="1203"/>
      <c r="AE126" s="1203"/>
      <c r="AF126" s="1203"/>
      <c r="AG126" s="1203"/>
      <c r="AH126" s="1203"/>
      <c r="AI126" s="1203"/>
      <c r="AJ126" s="1203"/>
      <c r="AK126" s="1203"/>
      <c r="AL126" s="1203"/>
      <c r="AM126" s="1203"/>
      <c r="AN126" s="1203"/>
      <c r="AO126" s="1203"/>
      <c r="AP126" s="1203"/>
      <c r="AQ126" s="1203"/>
      <c r="AR126" s="1203"/>
      <c r="AS126" s="1203"/>
    </row>
    <row r="127" spans="1:45" ht="15.75" customHeight="1">
      <c r="A127" s="1203"/>
      <c r="B127" s="1203"/>
      <c r="C127" s="1203"/>
      <c r="D127" s="1203"/>
      <c r="E127" s="1203"/>
      <c r="F127" s="1203"/>
      <c r="G127" s="1341"/>
      <c r="H127" s="1341"/>
      <c r="I127" s="1341"/>
      <c r="J127" s="1341"/>
      <c r="K127" s="1341"/>
      <c r="L127" s="1341"/>
      <c r="M127" s="1341"/>
      <c r="N127" s="1341"/>
      <c r="O127" s="1341"/>
      <c r="P127" s="1341"/>
      <c r="Q127" s="1203"/>
      <c r="R127" s="1203"/>
      <c r="S127" s="1203"/>
      <c r="T127" s="1203"/>
      <c r="U127" s="1203"/>
      <c r="V127" s="1203"/>
      <c r="W127" s="1203"/>
      <c r="X127" s="1203"/>
      <c r="Y127" s="1203"/>
      <c r="Z127" s="1203"/>
      <c r="AA127" s="1203"/>
      <c r="AB127" s="1203"/>
      <c r="AC127" s="1203"/>
      <c r="AD127" s="1203"/>
      <c r="AE127" s="1203"/>
      <c r="AF127" s="1203"/>
      <c r="AG127" s="1203"/>
      <c r="AH127" s="1203"/>
      <c r="AI127" s="1203"/>
      <c r="AJ127" s="1203"/>
      <c r="AK127" s="1203"/>
      <c r="AL127" s="1203"/>
      <c r="AM127" s="1203"/>
      <c r="AN127" s="1203"/>
      <c r="AO127" s="1203"/>
      <c r="AP127" s="1203"/>
      <c r="AQ127" s="1203"/>
      <c r="AR127" s="1203"/>
      <c r="AS127" s="1203"/>
    </row>
    <row r="128" spans="1:45" ht="15.75" customHeight="1">
      <c r="A128" s="1203"/>
      <c r="B128" s="1203" t="s">
        <v>7754</v>
      </c>
      <c r="C128" s="1341">
        <f t="shared" ref="C128:P128" si="62">C17</f>
        <v>267</v>
      </c>
      <c r="D128" s="1341">
        <f t="shared" si="62"/>
        <v>232.7</v>
      </c>
      <c r="E128" s="1341">
        <f t="shared" si="62"/>
        <v>256.5</v>
      </c>
      <c r="F128" s="1341">
        <f t="shared" si="62"/>
        <v>268.3</v>
      </c>
      <c r="G128" s="1341">
        <f t="shared" si="62"/>
        <v>283.2</v>
      </c>
      <c r="H128" s="1341">
        <f t="shared" si="62"/>
        <v>299.2</v>
      </c>
      <c r="I128" s="1341">
        <f t="shared" si="62"/>
        <v>277.5</v>
      </c>
      <c r="J128" s="1341">
        <f t="shared" si="62"/>
        <v>280.11311971962601</v>
      </c>
      <c r="K128" s="1341">
        <f t="shared" si="62"/>
        <v>281.51368531822413</v>
      </c>
      <c r="L128" s="1341">
        <f t="shared" si="62"/>
        <v>282.9212537448152</v>
      </c>
      <c r="M128" s="1341">
        <f t="shared" si="62"/>
        <v>284.33586001353927</v>
      </c>
      <c r="N128" s="1341">
        <f t="shared" si="62"/>
        <v>285.75753931360691</v>
      </c>
      <c r="O128" s="1341">
        <f t="shared" si="62"/>
        <v>287.18632701017492</v>
      </c>
      <c r="P128" s="1341">
        <f t="shared" si="62"/>
        <v>288.62225864522577</v>
      </c>
      <c r="Q128" s="1203"/>
      <c r="R128" s="1203"/>
      <c r="S128" s="1203"/>
      <c r="T128" s="1203"/>
      <c r="U128" s="1203"/>
      <c r="V128" s="1203"/>
      <c r="W128" s="1203"/>
      <c r="X128" s="1203"/>
      <c r="Y128" s="1203"/>
      <c r="Z128" s="1203"/>
      <c r="AA128" s="1203"/>
      <c r="AB128" s="1203"/>
      <c r="AC128" s="1203"/>
      <c r="AD128" s="1203"/>
      <c r="AE128" s="1203"/>
      <c r="AF128" s="1203"/>
      <c r="AG128" s="1203"/>
      <c r="AH128" s="1203"/>
      <c r="AI128" s="1203"/>
      <c r="AJ128" s="1203"/>
      <c r="AK128" s="1203"/>
      <c r="AL128" s="1203"/>
      <c r="AM128" s="1203"/>
      <c r="AN128" s="1203"/>
      <c r="AO128" s="1203"/>
      <c r="AP128" s="1203"/>
      <c r="AQ128" s="1203"/>
      <c r="AR128" s="1203"/>
      <c r="AS128" s="1203"/>
    </row>
    <row r="129" spans="1:45" ht="15.75" customHeight="1">
      <c r="A129" s="1203"/>
      <c r="B129" s="1203" t="s">
        <v>571</v>
      </c>
      <c r="C129" s="1341">
        <f t="shared" ref="C129:P129" si="63">C21</f>
        <v>327</v>
      </c>
      <c r="D129" s="1341">
        <f t="shared" si="63"/>
        <v>381.29999999999995</v>
      </c>
      <c r="E129" s="1341">
        <f t="shared" si="63"/>
        <v>425</v>
      </c>
      <c r="F129" s="1341">
        <f t="shared" si="63"/>
        <v>443.20000000000005</v>
      </c>
      <c r="G129" s="1341">
        <f t="shared" si="63"/>
        <v>476.70000000000005</v>
      </c>
      <c r="H129" s="1341">
        <f t="shared" si="63"/>
        <v>528.4</v>
      </c>
      <c r="I129" s="1341">
        <f t="shared" si="63"/>
        <v>520.9</v>
      </c>
      <c r="J129" s="1341">
        <f t="shared" si="63"/>
        <v>537.00965654357128</v>
      </c>
      <c r="K129" s="1341">
        <f t="shared" si="63"/>
        <v>550.95525223901814</v>
      </c>
      <c r="L129" s="1341">
        <f t="shared" si="63"/>
        <v>565.02687865000576</v>
      </c>
      <c r="M129" s="1341">
        <f t="shared" si="63"/>
        <v>579.22544744379729</v>
      </c>
      <c r="N129" s="1341">
        <f t="shared" si="63"/>
        <v>593.55187625356052</v>
      </c>
      <c r="O129" s="1341">
        <f t="shared" si="63"/>
        <v>608.00708871523523</v>
      </c>
      <c r="P129" s="1341">
        <f t="shared" si="63"/>
        <v>622.59201450462035</v>
      </c>
      <c r="Q129" s="1203"/>
      <c r="R129" s="1203"/>
      <c r="S129" s="1203"/>
      <c r="T129" s="1203"/>
      <c r="U129" s="1203"/>
      <c r="V129" s="1203"/>
      <c r="W129" s="1203"/>
      <c r="X129" s="1203"/>
      <c r="Y129" s="1203"/>
      <c r="Z129" s="1203"/>
      <c r="AA129" s="1203"/>
      <c r="AB129" s="1203"/>
      <c r="AC129" s="1203"/>
      <c r="AD129" s="1203"/>
      <c r="AE129" s="1203"/>
      <c r="AF129" s="1203"/>
      <c r="AG129" s="1203"/>
      <c r="AH129" s="1203"/>
      <c r="AI129" s="1203"/>
      <c r="AJ129" s="1203"/>
      <c r="AK129" s="1203"/>
      <c r="AL129" s="1203"/>
      <c r="AM129" s="1203"/>
      <c r="AN129" s="1203"/>
      <c r="AO129" s="1203"/>
      <c r="AP129" s="1203"/>
      <c r="AQ129" s="1203"/>
      <c r="AR129" s="1203"/>
      <c r="AS129" s="1203"/>
    </row>
    <row r="130" spans="1:45" ht="15.75" customHeight="1">
      <c r="A130" s="1203"/>
      <c r="B130" s="1203" t="s">
        <v>7755</v>
      </c>
      <c r="C130" s="1306"/>
      <c r="D130" s="1306"/>
      <c r="E130" s="1306"/>
      <c r="F130" s="1306"/>
      <c r="G130" s="1306">
        <f>(G115*1000*1000)/AVERAGE(F129,G129)/12</f>
        <v>15599.521687139904</v>
      </c>
      <c r="H130" s="1306">
        <f>(H115*1000*1000)/AVERAGE(G129,H129)/12</f>
        <v>14094.78327197957</v>
      </c>
      <c r="I130" s="1306">
        <f>(I115*1000*1000)/AVERAGE(H129,I129)/12</f>
        <v>12484.513485180598</v>
      </c>
      <c r="J130" s="1306">
        <f>I130*(1+J131)</f>
        <v>11485.752406366151</v>
      </c>
      <c r="K130" s="1306">
        <f t="shared" ref="K130:P130" si="64">J130*(1+K131)</f>
        <v>10796.607261984182</v>
      </c>
      <c r="L130" s="1306">
        <f t="shared" si="64"/>
        <v>10364.742971504815</v>
      </c>
      <c r="M130" s="1306">
        <f t="shared" si="64"/>
        <v>10157.448112074719</v>
      </c>
      <c r="N130" s="1306">
        <f t="shared" si="64"/>
        <v>9954.2991498332249</v>
      </c>
      <c r="O130" s="1306">
        <f t="shared" si="64"/>
        <v>9755.21316683656</v>
      </c>
      <c r="P130" s="1306">
        <f t="shared" si="64"/>
        <v>9560.1089034998295</v>
      </c>
      <c r="Q130" s="1203"/>
      <c r="R130" s="1203"/>
      <c r="S130" s="1203"/>
      <c r="T130" s="1203"/>
      <c r="U130" s="1203"/>
      <c r="V130" s="1203"/>
      <c r="W130" s="1203"/>
      <c r="X130" s="1203"/>
      <c r="Y130" s="1203"/>
      <c r="Z130" s="1203"/>
      <c r="AA130" s="1203"/>
      <c r="AB130" s="1203"/>
      <c r="AC130" s="1203"/>
      <c r="AD130" s="1203"/>
      <c r="AE130" s="1203"/>
      <c r="AF130" s="1203"/>
      <c r="AG130" s="1203"/>
      <c r="AH130" s="1203"/>
      <c r="AI130" s="1203"/>
      <c r="AJ130" s="1203"/>
      <c r="AK130" s="1203"/>
      <c r="AL130" s="1203"/>
      <c r="AM130" s="1203"/>
      <c r="AN130" s="1203"/>
      <c r="AO130" s="1203"/>
      <c r="AP130" s="1203"/>
      <c r="AQ130" s="1203"/>
      <c r="AR130" s="1203"/>
      <c r="AS130" s="1203"/>
    </row>
    <row r="131" spans="1:45" ht="15.75" customHeight="1">
      <c r="A131" s="1203"/>
      <c r="B131" s="1203" t="s">
        <v>648</v>
      </c>
      <c r="C131" s="1203"/>
      <c r="D131" s="1203"/>
      <c r="E131" s="1203"/>
      <c r="F131" s="1203"/>
      <c r="G131" s="1203"/>
      <c r="H131" s="1305">
        <f>H130/G130-1</f>
        <v>-9.6460548300069116E-2</v>
      </c>
      <c r="I131" s="1305">
        <f>I130/H130-1</f>
        <v>-0.11424579972082216</v>
      </c>
      <c r="J131" s="1674">
        <v>-0.08</v>
      </c>
      <c r="K131" s="1674">
        <v>-0.06</v>
      </c>
      <c r="L131" s="1674">
        <v>-0.04</v>
      </c>
      <c r="M131" s="1674">
        <v>-0.02</v>
      </c>
      <c r="N131" s="1674">
        <v>-0.02</v>
      </c>
      <c r="O131" s="1674">
        <v>-0.02</v>
      </c>
      <c r="P131" s="1674">
        <v>-0.02</v>
      </c>
      <c r="Q131" s="1203"/>
      <c r="R131" s="1203"/>
      <c r="S131" s="1203"/>
      <c r="T131" s="1203"/>
      <c r="U131" s="1203"/>
      <c r="V131" s="1203"/>
      <c r="W131" s="1203"/>
      <c r="X131" s="1203"/>
      <c r="Y131" s="1203"/>
      <c r="Z131" s="1203"/>
      <c r="AA131" s="1203"/>
      <c r="AB131" s="1203"/>
      <c r="AC131" s="1203"/>
      <c r="AD131" s="1203"/>
      <c r="AE131" s="1203"/>
      <c r="AF131" s="1203"/>
      <c r="AG131" s="1203"/>
      <c r="AH131" s="1203"/>
      <c r="AI131" s="1203"/>
      <c r="AJ131" s="1203"/>
      <c r="AK131" s="1203"/>
      <c r="AL131" s="1203"/>
      <c r="AM131" s="1203"/>
      <c r="AN131" s="1203"/>
      <c r="AO131" s="1203"/>
      <c r="AP131" s="1203"/>
      <c r="AQ131" s="1203"/>
      <c r="AR131" s="1203"/>
      <c r="AS131" s="1203"/>
    </row>
    <row r="132" spans="1:45" ht="15.75" customHeight="1">
      <c r="A132" s="1203"/>
      <c r="B132" s="1203"/>
      <c r="C132" s="1203"/>
      <c r="D132" s="1203"/>
      <c r="E132" s="1203"/>
      <c r="F132" s="1203"/>
      <c r="G132" s="1203"/>
      <c r="H132" s="1203"/>
      <c r="I132" s="1203"/>
      <c r="J132" s="1203"/>
      <c r="K132" s="1203"/>
      <c r="L132" s="1203"/>
      <c r="M132" s="1203"/>
      <c r="N132" s="1203"/>
      <c r="O132" s="1203"/>
      <c r="P132" s="1203"/>
      <c r="Q132" s="1203"/>
      <c r="R132" s="1203"/>
      <c r="S132" s="1203"/>
      <c r="T132" s="1203"/>
      <c r="U132" s="1203"/>
      <c r="V132" s="1203"/>
      <c r="W132" s="1203"/>
      <c r="X132" s="1203"/>
      <c r="Y132" s="1203"/>
      <c r="Z132" s="1203"/>
      <c r="AA132" s="1203"/>
      <c r="AB132" s="1203"/>
      <c r="AC132" s="1203"/>
      <c r="AD132" s="1203"/>
      <c r="AE132" s="1203"/>
      <c r="AF132" s="1203"/>
      <c r="AG132" s="1203"/>
      <c r="AH132" s="1203"/>
      <c r="AI132" s="1203"/>
      <c r="AJ132" s="1203"/>
      <c r="AK132" s="1203"/>
      <c r="AL132" s="1203"/>
      <c r="AM132" s="1203"/>
      <c r="AN132" s="1203"/>
      <c r="AO132" s="1203"/>
      <c r="AP132" s="1203"/>
      <c r="AQ132" s="1203"/>
      <c r="AR132" s="1203"/>
      <c r="AS132" s="1203"/>
    </row>
    <row r="133" spans="1:45" ht="15.75" customHeight="1">
      <c r="A133" s="1203"/>
      <c r="B133" s="1203" t="s">
        <v>7756</v>
      </c>
      <c r="C133" s="1203"/>
      <c r="D133" s="1203"/>
      <c r="E133" s="1203"/>
      <c r="F133" s="1203"/>
      <c r="G133" s="1203"/>
      <c r="H133" s="1305">
        <f>H116/G116-1</f>
        <v>-0.1794871794871794</v>
      </c>
      <c r="I133" s="1305">
        <f>I116/H116-1</f>
        <v>1.40625</v>
      </c>
      <c r="J133" s="1674">
        <v>0.05</v>
      </c>
      <c r="K133" s="1674">
        <v>0.05</v>
      </c>
      <c r="L133" s="1674">
        <v>0.05</v>
      </c>
      <c r="M133" s="1674">
        <v>0.05</v>
      </c>
      <c r="N133" s="1674">
        <v>0.05</v>
      </c>
      <c r="O133" s="1674">
        <v>0.05</v>
      </c>
      <c r="P133" s="1674">
        <v>0.05</v>
      </c>
      <c r="Q133" s="1203"/>
      <c r="R133" s="1203"/>
      <c r="S133" s="1203"/>
      <c r="T133" s="1203"/>
      <c r="U133" s="1203"/>
      <c r="V133" s="1203"/>
      <c r="W133" s="1203"/>
      <c r="X133" s="1203"/>
      <c r="Y133" s="1203"/>
      <c r="Z133" s="1203"/>
      <c r="AA133" s="1203"/>
      <c r="AB133" s="1203"/>
      <c r="AC133" s="1203"/>
      <c r="AD133" s="1203"/>
      <c r="AE133" s="1203"/>
      <c r="AF133" s="1203"/>
      <c r="AG133" s="1203"/>
      <c r="AH133" s="1203"/>
      <c r="AI133" s="1203"/>
      <c r="AJ133" s="1203"/>
      <c r="AK133" s="1203"/>
      <c r="AL133" s="1203"/>
      <c r="AM133" s="1203"/>
      <c r="AN133" s="1203"/>
      <c r="AO133" s="1203"/>
      <c r="AP133" s="1203"/>
      <c r="AQ133" s="1203"/>
      <c r="AR133" s="1203"/>
      <c r="AS133" s="1203"/>
    </row>
    <row r="134" spans="1:45" ht="15.75" customHeight="1">
      <c r="A134" s="1203"/>
      <c r="B134" s="1203"/>
      <c r="C134" s="1203"/>
      <c r="D134" s="1203"/>
      <c r="E134" s="1203"/>
      <c r="F134" s="1203"/>
      <c r="G134" s="1203"/>
      <c r="H134" s="1203"/>
      <c r="I134" s="1203"/>
      <c r="J134" s="1203"/>
      <c r="K134" s="1203"/>
      <c r="L134" s="1203"/>
      <c r="M134" s="1203"/>
      <c r="N134" s="1203"/>
      <c r="O134" s="1203"/>
      <c r="P134" s="1203"/>
      <c r="Q134" s="1203"/>
      <c r="R134" s="1203"/>
      <c r="S134" s="1203"/>
      <c r="T134" s="1203"/>
      <c r="U134" s="1203"/>
      <c r="V134" s="1203"/>
      <c r="W134" s="1203"/>
      <c r="X134" s="1203"/>
      <c r="Y134" s="1203"/>
      <c r="Z134" s="1203"/>
      <c r="AA134" s="1203"/>
      <c r="AB134" s="1203"/>
      <c r="AC134" s="1203"/>
      <c r="AD134" s="1203"/>
      <c r="AE134" s="1203"/>
      <c r="AF134" s="1203"/>
      <c r="AG134" s="1203"/>
      <c r="AH134" s="1203"/>
      <c r="AI134" s="1203"/>
      <c r="AJ134" s="1203"/>
      <c r="AK134" s="1203"/>
      <c r="AL134" s="1203"/>
      <c r="AM134" s="1203"/>
      <c r="AN134" s="1203"/>
      <c r="AO134" s="1203"/>
      <c r="AP134" s="1203"/>
      <c r="AQ134" s="1203"/>
      <c r="AR134" s="1203"/>
      <c r="AS134" s="1203"/>
    </row>
    <row r="135" spans="1:45" ht="15.75" customHeight="1">
      <c r="A135" s="1203"/>
      <c r="B135" s="1203"/>
      <c r="C135" s="1203"/>
      <c r="D135" s="1203"/>
      <c r="E135" s="1203"/>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3"/>
      <c r="AK135" s="1203"/>
      <c r="AL135" s="1203"/>
      <c r="AM135" s="1203"/>
      <c r="AN135" s="1203"/>
      <c r="AO135" s="1203"/>
      <c r="AP135" s="1203"/>
      <c r="AQ135" s="1203"/>
      <c r="AR135" s="1203"/>
      <c r="AS135" s="1203"/>
    </row>
    <row r="136" spans="1:45" ht="15.75" customHeight="1">
      <c r="A136" s="1203"/>
      <c r="B136" s="1203" t="s">
        <v>360</v>
      </c>
      <c r="C136" s="1306"/>
      <c r="D136" s="1306"/>
      <c r="E136" s="1306"/>
      <c r="F136" s="1306"/>
      <c r="G136" s="1306">
        <f>G137+G138</f>
        <v>2733</v>
      </c>
      <c r="H136" s="1306">
        <f>H137+H138</f>
        <v>2979.6000000000004</v>
      </c>
      <c r="I136" s="1306">
        <f>I137+I138</f>
        <v>3171.7</v>
      </c>
      <c r="J136" s="1306">
        <f t="shared" ref="J136:P136" si="65">J137+J138</f>
        <v>3361.7</v>
      </c>
      <c r="K136" s="1306">
        <f t="shared" si="65"/>
        <v>3551.7</v>
      </c>
      <c r="L136" s="1306">
        <f t="shared" si="65"/>
        <v>3741.7</v>
      </c>
      <c r="M136" s="1306">
        <f t="shared" si="65"/>
        <v>3931.7</v>
      </c>
      <c r="N136" s="1306">
        <f t="shared" si="65"/>
        <v>4121.7</v>
      </c>
      <c r="O136" s="1306">
        <f t="shared" si="65"/>
        <v>4311.7</v>
      </c>
      <c r="P136" s="1306">
        <f t="shared" si="65"/>
        <v>4501.7</v>
      </c>
      <c r="Q136" s="1203"/>
      <c r="R136" s="1203"/>
      <c r="S136" s="1203"/>
      <c r="T136" s="1203"/>
      <c r="U136" s="1203"/>
      <c r="V136" s="1203"/>
      <c r="W136" s="1203"/>
      <c r="X136" s="1203"/>
      <c r="Y136" s="1203"/>
      <c r="Z136" s="1203"/>
      <c r="AA136" s="1203"/>
      <c r="AB136" s="1203"/>
      <c r="AC136" s="1203"/>
      <c r="AD136" s="1203"/>
      <c r="AE136" s="1203"/>
      <c r="AF136" s="1203"/>
      <c r="AG136" s="1203"/>
      <c r="AH136" s="1203"/>
      <c r="AI136" s="1203"/>
      <c r="AJ136" s="1203"/>
      <c r="AK136" s="1203"/>
      <c r="AL136" s="1203"/>
      <c r="AM136" s="1203"/>
      <c r="AN136" s="1203"/>
      <c r="AO136" s="1203"/>
      <c r="AP136" s="1203"/>
      <c r="AQ136" s="1203"/>
      <c r="AR136" s="1203"/>
      <c r="AS136" s="1203"/>
    </row>
    <row r="137" spans="1:45" ht="15.75" customHeight="1">
      <c r="A137" s="1203"/>
      <c r="B137" s="1670" t="s">
        <v>567</v>
      </c>
      <c r="C137" s="1306"/>
      <c r="D137" s="1306"/>
      <c r="E137" s="1306"/>
      <c r="F137" s="1306"/>
      <c r="G137" s="1500">
        <v>2031</v>
      </c>
      <c r="H137" s="1500">
        <v>2162.4</v>
      </c>
      <c r="I137" s="1500">
        <v>2267.1</v>
      </c>
      <c r="J137" s="1306">
        <f>I137+J139</f>
        <v>2367.1</v>
      </c>
      <c r="K137" s="1306">
        <f t="shared" ref="K137:P137" si="66">J137+K139</f>
        <v>2467.1</v>
      </c>
      <c r="L137" s="1306">
        <f t="shared" si="66"/>
        <v>2567.1</v>
      </c>
      <c r="M137" s="1306">
        <f t="shared" si="66"/>
        <v>2667.1</v>
      </c>
      <c r="N137" s="1306">
        <f t="shared" si="66"/>
        <v>2767.1</v>
      </c>
      <c r="O137" s="1306">
        <f t="shared" si="66"/>
        <v>2867.1</v>
      </c>
      <c r="P137" s="1306">
        <f t="shared" si="66"/>
        <v>2967.1</v>
      </c>
      <c r="Q137" s="1203"/>
      <c r="R137" s="1203"/>
      <c r="S137" s="1203"/>
      <c r="T137" s="1203"/>
      <c r="U137" s="1203"/>
      <c r="V137" s="1203"/>
      <c r="W137" s="1203"/>
      <c r="X137" s="1203"/>
      <c r="Y137" s="1203"/>
      <c r="Z137" s="1203"/>
      <c r="AA137" s="1203"/>
      <c r="AB137" s="1203"/>
      <c r="AC137" s="1203"/>
      <c r="AD137" s="1203"/>
      <c r="AE137" s="1203"/>
      <c r="AF137" s="1203"/>
      <c r="AG137" s="1203"/>
      <c r="AH137" s="1203"/>
      <c r="AI137" s="1203"/>
      <c r="AJ137" s="1203"/>
      <c r="AK137" s="1203"/>
      <c r="AL137" s="1203"/>
      <c r="AM137" s="1203"/>
      <c r="AN137" s="1203"/>
      <c r="AO137" s="1203"/>
      <c r="AP137" s="1203"/>
      <c r="AQ137" s="1203"/>
      <c r="AR137" s="1203"/>
      <c r="AS137" s="1203"/>
    </row>
    <row r="138" spans="1:45" ht="15.75" customHeight="1">
      <c r="A138" s="1203"/>
      <c r="B138" s="1670" t="s">
        <v>566</v>
      </c>
      <c r="C138" s="1306"/>
      <c r="D138" s="1306"/>
      <c r="E138" s="1306"/>
      <c r="F138" s="1306"/>
      <c r="G138" s="1500">
        <v>702</v>
      </c>
      <c r="H138" s="1500">
        <v>817.2</v>
      </c>
      <c r="I138" s="1500">
        <v>904.6</v>
      </c>
      <c r="J138" s="1306">
        <f>I138+J140</f>
        <v>994.6</v>
      </c>
      <c r="K138" s="1306">
        <f t="shared" ref="K138:P138" si="67">J138+K140</f>
        <v>1084.5999999999999</v>
      </c>
      <c r="L138" s="1306">
        <f t="shared" si="67"/>
        <v>1174.5999999999999</v>
      </c>
      <c r="M138" s="1306">
        <f t="shared" si="67"/>
        <v>1264.5999999999999</v>
      </c>
      <c r="N138" s="1306">
        <f t="shared" si="67"/>
        <v>1354.6</v>
      </c>
      <c r="O138" s="1306">
        <f t="shared" si="67"/>
        <v>1444.6</v>
      </c>
      <c r="P138" s="1306">
        <f t="shared" si="67"/>
        <v>1534.6</v>
      </c>
      <c r="Q138" s="1203"/>
      <c r="R138" s="1203"/>
      <c r="S138" s="1203"/>
      <c r="T138" s="1203"/>
      <c r="U138" s="1203"/>
      <c r="V138" s="1203"/>
      <c r="W138" s="1203"/>
      <c r="X138" s="1203"/>
      <c r="Y138" s="1203"/>
      <c r="Z138" s="1203"/>
      <c r="AA138" s="1203"/>
      <c r="AB138" s="1203"/>
      <c r="AC138" s="1203"/>
      <c r="AD138" s="1203"/>
      <c r="AE138" s="1203"/>
      <c r="AF138" s="1203"/>
      <c r="AG138" s="1203"/>
      <c r="AH138" s="1203"/>
      <c r="AI138" s="1203"/>
      <c r="AJ138" s="1203"/>
      <c r="AK138" s="1203"/>
      <c r="AL138" s="1203"/>
      <c r="AM138" s="1203"/>
      <c r="AN138" s="1203"/>
      <c r="AO138" s="1203"/>
      <c r="AP138" s="1203"/>
      <c r="AQ138" s="1203"/>
      <c r="AR138" s="1203"/>
      <c r="AS138" s="1203"/>
    </row>
    <row r="139" spans="1:45" ht="15.75" customHeight="1">
      <c r="A139" s="1203"/>
      <c r="B139" s="1203" t="s">
        <v>7757</v>
      </c>
      <c r="C139" s="1203" t="s">
        <v>72</v>
      </c>
      <c r="D139" s="1203"/>
      <c r="E139" s="1203"/>
      <c r="F139" s="1203"/>
      <c r="G139" s="1203"/>
      <c r="H139" s="1203">
        <f>H137-G137</f>
        <v>131.40000000000009</v>
      </c>
      <c r="I139" s="1203">
        <f>I137-H137</f>
        <v>104.69999999999982</v>
      </c>
      <c r="J139" s="1358">
        <v>100</v>
      </c>
      <c r="K139" s="1358">
        <v>100</v>
      </c>
      <c r="L139" s="1358">
        <v>100</v>
      </c>
      <c r="M139" s="1358">
        <v>100</v>
      </c>
      <c r="N139" s="1358">
        <v>100</v>
      </c>
      <c r="O139" s="1358">
        <v>100</v>
      </c>
      <c r="P139" s="1358">
        <v>100</v>
      </c>
      <c r="Q139" s="1203"/>
      <c r="R139" s="1203"/>
      <c r="S139" s="1203"/>
      <c r="T139" s="1203"/>
      <c r="U139" s="1203"/>
      <c r="V139" s="1203"/>
      <c r="W139" s="1203"/>
      <c r="X139" s="1203"/>
      <c r="Y139" s="1203"/>
      <c r="Z139" s="1203"/>
      <c r="AA139" s="1203"/>
      <c r="AB139" s="1203"/>
      <c r="AC139" s="1203"/>
      <c r="AD139" s="1203"/>
      <c r="AE139" s="1203"/>
      <c r="AF139" s="1203"/>
      <c r="AG139" s="1203"/>
      <c r="AH139" s="1203"/>
      <c r="AI139" s="1203"/>
      <c r="AJ139" s="1203"/>
      <c r="AK139" s="1203"/>
      <c r="AL139" s="1203"/>
      <c r="AM139" s="1203"/>
      <c r="AN139" s="1203"/>
      <c r="AO139" s="1203"/>
      <c r="AP139" s="1203"/>
      <c r="AQ139" s="1203"/>
      <c r="AR139" s="1203"/>
      <c r="AS139" s="1203"/>
    </row>
    <row r="140" spans="1:45" ht="15.75" customHeight="1">
      <c r="A140" s="1203"/>
      <c r="B140" s="1203" t="s">
        <v>7758</v>
      </c>
      <c r="C140" s="1203"/>
      <c r="D140" s="1203"/>
      <c r="E140" s="1203"/>
      <c r="F140" s="1203"/>
      <c r="G140" s="1203"/>
      <c r="H140" s="1203">
        <f>H138-G138</f>
        <v>115.20000000000005</v>
      </c>
      <c r="I140" s="1203">
        <f>I138-H138</f>
        <v>87.399999999999977</v>
      </c>
      <c r="J140" s="1358">
        <v>90</v>
      </c>
      <c r="K140" s="1358">
        <v>90</v>
      </c>
      <c r="L140" s="1358">
        <v>90</v>
      </c>
      <c r="M140" s="1358">
        <v>90</v>
      </c>
      <c r="N140" s="1358">
        <v>90</v>
      </c>
      <c r="O140" s="1358">
        <v>90</v>
      </c>
      <c r="P140" s="1358">
        <v>90</v>
      </c>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row>
    <row r="141" spans="1:45" ht="15.75" customHeight="1">
      <c r="A141" s="1203"/>
      <c r="B141" s="1203"/>
      <c r="C141" s="1203"/>
      <c r="D141" s="1203"/>
      <c r="E141" s="1203"/>
      <c r="F141" s="1203"/>
      <c r="G141" s="1203"/>
      <c r="H141" s="1203"/>
      <c r="I141" s="1203"/>
      <c r="J141" s="1203"/>
      <c r="K141" s="1203"/>
      <c r="L141" s="1203"/>
      <c r="M141" s="1203"/>
      <c r="N141" s="1203"/>
      <c r="O141" s="1203"/>
      <c r="P141" s="1203"/>
      <c r="Q141" s="1203"/>
      <c r="R141" s="1203"/>
      <c r="S141" s="1203"/>
      <c r="T141" s="1203"/>
      <c r="U141" s="1203"/>
      <c r="V141" s="1203"/>
      <c r="W141" s="1203"/>
      <c r="X141" s="1203"/>
      <c r="Y141" s="1203"/>
      <c r="Z141" s="1203"/>
      <c r="AA141" s="1203"/>
      <c r="AB141" s="1203"/>
      <c r="AC141" s="1203"/>
      <c r="AD141" s="1203"/>
      <c r="AE141" s="1203"/>
      <c r="AF141" s="1203"/>
      <c r="AG141" s="1203"/>
      <c r="AH141" s="1203"/>
      <c r="AI141" s="1203"/>
      <c r="AJ141" s="1203"/>
      <c r="AK141" s="1203"/>
      <c r="AL141" s="1203"/>
      <c r="AM141" s="1203"/>
      <c r="AN141" s="1203"/>
      <c r="AO141" s="1203"/>
      <c r="AP141" s="1203"/>
      <c r="AQ141" s="1203"/>
      <c r="AR141" s="1203"/>
      <c r="AS141" s="1203"/>
    </row>
    <row r="142" spans="1:45" ht="15.75" customHeight="1">
      <c r="A142" s="1203"/>
      <c r="B142" s="1203" t="s">
        <v>904</v>
      </c>
      <c r="C142" s="1203"/>
      <c r="D142" s="1203"/>
      <c r="E142" s="1203"/>
      <c r="F142" s="1203"/>
      <c r="G142" s="1203"/>
      <c r="H142" s="1306">
        <f>H119*1000*1000/AVERAGE(G136,H136)/12</f>
        <v>3681.9194995857106</v>
      </c>
      <c r="I142" s="1306">
        <f>I119*1000*1000/AVERAGE(H136,I136)/12</f>
        <v>3560.2230422837451</v>
      </c>
      <c r="J142" s="1306">
        <f>I142*(1+J143)</f>
        <v>3453.4163510152325</v>
      </c>
      <c r="K142" s="1306">
        <f t="shared" ref="K142:P142" si="68">J142*(1+K143)</f>
        <v>3367.0809422398515</v>
      </c>
      <c r="L142" s="1306">
        <f t="shared" si="68"/>
        <v>3299.7393233950543</v>
      </c>
      <c r="M142" s="1306">
        <f t="shared" si="68"/>
        <v>3250.2432335441285</v>
      </c>
      <c r="N142" s="1306">
        <f t="shared" si="68"/>
        <v>3217.7408012086871</v>
      </c>
      <c r="O142" s="1306">
        <f t="shared" si="68"/>
        <v>3185.5633931966004</v>
      </c>
      <c r="P142" s="1306">
        <f t="shared" si="68"/>
        <v>3153.7077592646342</v>
      </c>
      <c r="Q142" s="1203"/>
      <c r="R142" s="1203"/>
      <c r="S142" s="1203"/>
      <c r="T142" s="1203"/>
      <c r="U142" s="1203"/>
      <c r="V142" s="1203"/>
      <c r="W142" s="1203"/>
      <c r="X142" s="1203"/>
      <c r="Y142" s="1203"/>
      <c r="Z142" s="1203"/>
      <c r="AA142" s="1203"/>
      <c r="AB142" s="1203"/>
      <c r="AC142" s="1203"/>
      <c r="AD142" s="1203"/>
      <c r="AE142" s="1203"/>
      <c r="AF142" s="1203"/>
      <c r="AG142" s="1203"/>
      <c r="AH142" s="1203"/>
      <c r="AI142" s="1203"/>
      <c r="AJ142" s="1203"/>
      <c r="AK142" s="1203"/>
      <c r="AL142" s="1203"/>
      <c r="AM142" s="1203"/>
      <c r="AN142" s="1203"/>
      <c r="AO142" s="1203"/>
      <c r="AP142" s="1203"/>
      <c r="AQ142" s="1203"/>
      <c r="AR142" s="1203"/>
      <c r="AS142" s="1203"/>
    </row>
    <row r="143" spans="1:45" ht="15.75" customHeight="1">
      <c r="A143" s="1203"/>
      <c r="B143" s="1203" t="s">
        <v>648</v>
      </c>
      <c r="C143" s="1203"/>
      <c r="D143" s="1203"/>
      <c r="E143" s="1203"/>
      <c r="F143" s="1203"/>
      <c r="G143" s="1203"/>
      <c r="H143" s="1203"/>
      <c r="I143" s="1305">
        <f>I142/H142-1</f>
        <v>-3.3052449222656488E-2</v>
      </c>
      <c r="J143" s="1674">
        <v>-0.03</v>
      </c>
      <c r="K143" s="1674">
        <v>-2.5000000000000001E-2</v>
      </c>
      <c r="L143" s="1674">
        <v>-0.02</v>
      </c>
      <c r="M143" s="1674">
        <v>-1.4999999999999999E-2</v>
      </c>
      <c r="N143" s="1674">
        <v>-0.01</v>
      </c>
      <c r="O143" s="1674">
        <v>-0.01</v>
      </c>
      <c r="P143" s="1674">
        <v>-0.01</v>
      </c>
      <c r="Q143" s="1203"/>
      <c r="R143" s="1203"/>
      <c r="S143" s="1203"/>
      <c r="T143" s="1203"/>
      <c r="U143" s="1203"/>
      <c r="V143" s="1203"/>
      <c r="W143" s="1203"/>
      <c r="X143" s="1203"/>
      <c r="Y143" s="1203"/>
      <c r="Z143" s="1203"/>
      <c r="AA143" s="1203"/>
      <c r="AB143" s="1203"/>
      <c r="AC143" s="1203"/>
      <c r="AD143" s="1203"/>
      <c r="AE143" s="1203"/>
      <c r="AF143" s="1203"/>
      <c r="AG143" s="1203"/>
      <c r="AH143" s="1203"/>
      <c r="AI143" s="1203"/>
      <c r="AJ143" s="1203"/>
      <c r="AK143" s="1203"/>
      <c r="AL143" s="1203"/>
      <c r="AM143" s="1203"/>
      <c r="AN143" s="1203"/>
      <c r="AO143" s="1203"/>
      <c r="AP143" s="1203"/>
      <c r="AQ143" s="1203"/>
      <c r="AR143" s="1203"/>
      <c r="AS143" s="1203"/>
    </row>
    <row r="144" spans="1:45" ht="15.75" customHeight="1">
      <c r="A144" s="1203"/>
      <c r="B144" s="1203"/>
      <c r="C144" s="1203"/>
      <c r="D144" s="1203"/>
      <c r="E144" s="1203"/>
      <c r="F144" s="1203"/>
      <c r="G144" s="1203"/>
      <c r="H144" s="1203"/>
      <c r="I144" s="1203"/>
      <c r="J144" s="1203"/>
      <c r="K144" s="1203"/>
      <c r="L144" s="1203"/>
      <c r="M144" s="1203"/>
      <c r="N144" s="1203"/>
      <c r="O144" s="1203"/>
      <c r="P144" s="1203"/>
      <c r="Q144" s="1203"/>
      <c r="R144" s="1203"/>
      <c r="S144" s="1203"/>
      <c r="T144" s="1203"/>
      <c r="U144" s="1341"/>
      <c r="V144" s="1341"/>
      <c r="W144" s="1341"/>
      <c r="X144" s="1341"/>
      <c r="Y144" s="1341"/>
      <c r="Z144" s="1341"/>
      <c r="AA144" s="1341"/>
      <c r="AB144" s="1203"/>
      <c r="AC144" s="1203"/>
      <c r="AD144" s="1203"/>
      <c r="AE144" s="1203"/>
      <c r="AF144" s="1203"/>
      <c r="AG144" s="1203"/>
      <c r="AH144" s="1203"/>
      <c r="AI144" s="1203"/>
      <c r="AJ144" s="1203"/>
      <c r="AK144" s="1203"/>
      <c r="AL144" s="1203"/>
      <c r="AM144" s="1203"/>
      <c r="AN144" s="1203"/>
      <c r="AO144" s="1203"/>
      <c r="AP144" s="1203"/>
      <c r="AQ144" s="1203"/>
      <c r="AR144" s="1203"/>
      <c r="AS144" s="1203"/>
    </row>
    <row r="145" spans="1:45" ht="15.75" customHeight="1">
      <c r="A145" s="1203"/>
      <c r="B145" s="1670" t="s">
        <v>7759</v>
      </c>
      <c r="C145" s="1203"/>
      <c r="D145" s="1203"/>
      <c r="E145" s="1203"/>
      <c r="F145" s="1203"/>
      <c r="G145" s="1203"/>
      <c r="H145" s="1203"/>
      <c r="I145" s="1305">
        <f>I120/H120-1</f>
        <v>3.8095238095238182E-2</v>
      </c>
      <c r="J145" s="1674">
        <v>3.5000000000000003E-2</v>
      </c>
      <c r="K145" s="1674">
        <v>3.5000000000000003E-2</v>
      </c>
      <c r="L145" s="1674">
        <v>3.5000000000000003E-2</v>
      </c>
      <c r="M145" s="1674">
        <v>3.5000000000000003E-2</v>
      </c>
      <c r="N145" s="1674">
        <v>3.5000000000000003E-2</v>
      </c>
      <c r="O145" s="1674">
        <v>3.5000000000000003E-2</v>
      </c>
      <c r="P145" s="1674">
        <v>3.5000000000000003E-2</v>
      </c>
      <c r="Q145" s="1203"/>
      <c r="R145" s="1203"/>
      <c r="S145" s="1203"/>
      <c r="T145" s="1203"/>
      <c r="U145" s="1203"/>
      <c r="V145" s="1203"/>
      <c r="W145" s="1203"/>
      <c r="X145" s="1203"/>
      <c r="Y145" s="1203"/>
      <c r="Z145" s="1203"/>
      <c r="AA145" s="1203"/>
      <c r="AB145" s="1203"/>
      <c r="AC145" s="1203"/>
      <c r="AD145" s="1203"/>
      <c r="AE145" s="1203"/>
      <c r="AF145" s="1203"/>
      <c r="AG145" s="1203"/>
      <c r="AH145" s="1203"/>
      <c r="AI145" s="1203"/>
      <c r="AJ145" s="1203"/>
      <c r="AK145" s="1203"/>
      <c r="AL145" s="1203"/>
      <c r="AM145" s="1203"/>
      <c r="AN145" s="1203"/>
      <c r="AO145" s="1203"/>
      <c r="AP145" s="1203"/>
      <c r="AQ145" s="1203"/>
      <c r="AR145" s="1203"/>
      <c r="AS145" s="1203"/>
    </row>
    <row r="146" spans="1:45" ht="15.75" customHeight="1">
      <c r="A146" s="1203"/>
      <c r="B146" s="1203"/>
      <c r="C146" s="1203"/>
      <c r="D146" s="1203"/>
      <c r="E146" s="1203"/>
      <c r="F146" s="1203"/>
      <c r="G146" s="1203"/>
      <c r="H146" s="1203"/>
      <c r="I146" s="1203"/>
      <c r="J146" s="1203"/>
      <c r="K146" s="1203"/>
      <c r="L146" s="1203"/>
      <c r="M146" s="1203"/>
      <c r="N146" s="1203"/>
      <c r="O146" s="1203"/>
      <c r="P146" s="1203"/>
      <c r="Q146" s="1203"/>
      <c r="R146" s="1203"/>
      <c r="S146" s="1203"/>
      <c r="T146" s="1203"/>
      <c r="U146" s="1203"/>
      <c r="V146" s="1203"/>
      <c r="W146" s="1203"/>
      <c r="X146" s="1203"/>
      <c r="Y146" s="1203"/>
      <c r="Z146" s="1203"/>
      <c r="AA146" s="1203"/>
      <c r="AB146" s="1203"/>
      <c r="AC146" s="1203"/>
      <c r="AD146" s="1203"/>
      <c r="AE146" s="1203"/>
      <c r="AF146" s="1203"/>
      <c r="AG146" s="1203"/>
      <c r="AH146" s="1203"/>
      <c r="AI146" s="1203"/>
      <c r="AJ146" s="1203"/>
      <c r="AK146" s="1203"/>
      <c r="AL146" s="1203"/>
      <c r="AM146" s="1203"/>
      <c r="AN146" s="1203"/>
      <c r="AO146" s="1203"/>
      <c r="AP146" s="1203"/>
      <c r="AQ146" s="1203"/>
      <c r="AR146" s="1203"/>
      <c r="AS146" s="1203"/>
    </row>
    <row r="147" spans="1:45" ht="15.75" customHeight="1">
      <c r="A147" s="1203"/>
      <c r="B147" s="1203"/>
      <c r="C147" s="1203"/>
      <c r="D147" s="1203"/>
      <c r="E147" s="1203"/>
      <c r="F147" s="1203"/>
      <c r="G147" s="1203"/>
      <c r="H147" s="1203"/>
      <c r="I147" s="1203"/>
      <c r="J147" s="1203"/>
      <c r="K147" s="1203"/>
      <c r="L147" s="1203"/>
      <c r="M147" s="1203"/>
      <c r="N147" s="1203"/>
      <c r="O147" s="1203"/>
      <c r="P147" s="1203"/>
      <c r="Q147" s="1203"/>
      <c r="R147" s="1203"/>
      <c r="S147" s="1203"/>
      <c r="T147" s="1203"/>
      <c r="U147" s="1203"/>
      <c r="V147" s="1203"/>
      <c r="W147" s="1203"/>
      <c r="X147" s="1203"/>
      <c r="Y147" s="1203"/>
      <c r="Z147" s="1203"/>
      <c r="AA147" s="1203"/>
      <c r="AB147" s="1203"/>
      <c r="AC147" s="1203"/>
      <c r="AD147" s="1203"/>
      <c r="AE147" s="1203"/>
      <c r="AF147" s="1203"/>
      <c r="AG147" s="1203"/>
      <c r="AH147" s="1203"/>
      <c r="AI147" s="1203"/>
      <c r="AJ147" s="1203"/>
      <c r="AK147" s="1203"/>
      <c r="AL147" s="1203"/>
      <c r="AM147" s="1203"/>
      <c r="AN147" s="1203"/>
      <c r="AO147" s="1203"/>
      <c r="AP147" s="1203"/>
      <c r="AQ147" s="1203"/>
      <c r="AR147" s="1203"/>
      <c r="AS147" s="1203"/>
    </row>
    <row r="148" spans="1:45" ht="15.75" customHeight="1">
      <c r="A148" s="1203"/>
      <c r="B148" s="1203" t="s">
        <v>7760</v>
      </c>
      <c r="C148" s="1203"/>
      <c r="D148" s="1203"/>
      <c r="E148" s="1203"/>
      <c r="F148" s="1203"/>
      <c r="G148" s="1203"/>
      <c r="H148" s="1203"/>
      <c r="I148" s="1305">
        <f>I122/H122-1</f>
        <v>0.25605536332179923</v>
      </c>
      <c r="J148" s="1674">
        <v>0.2</v>
      </c>
      <c r="K148" s="1674">
        <v>0.18</v>
      </c>
      <c r="L148" s="1674">
        <v>0.16</v>
      </c>
      <c r="M148" s="1674">
        <v>0.12</v>
      </c>
      <c r="N148" s="1674">
        <v>0.1</v>
      </c>
      <c r="O148" s="1674">
        <v>0.1</v>
      </c>
      <c r="P148" s="1674">
        <v>0.1</v>
      </c>
      <c r="Q148" s="1203"/>
      <c r="R148" s="1203"/>
      <c r="S148" s="1203"/>
      <c r="T148" s="1203"/>
      <c r="U148" s="1203"/>
      <c r="V148" s="1203"/>
      <c r="W148" s="1203"/>
      <c r="X148" s="1203"/>
      <c r="Y148" s="1203"/>
      <c r="Z148" s="1203"/>
      <c r="AA148" s="1203"/>
      <c r="AB148" s="1203"/>
      <c r="AC148" s="1203"/>
      <c r="AD148" s="1203"/>
      <c r="AE148" s="1203"/>
      <c r="AF148" s="1203"/>
      <c r="AG148" s="1203"/>
      <c r="AH148" s="1203"/>
      <c r="AI148" s="1203"/>
      <c r="AJ148" s="1203"/>
      <c r="AK148" s="1203"/>
      <c r="AL148" s="1203"/>
      <c r="AM148" s="1203"/>
      <c r="AN148" s="1203"/>
      <c r="AO148" s="1203"/>
      <c r="AP148" s="1203"/>
      <c r="AQ148" s="1203"/>
      <c r="AR148" s="1203"/>
      <c r="AS148" s="1203"/>
    </row>
    <row r="149" spans="1:45" ht="15.75" customHeight="1">
      <c r="A149" s="1203"/>
      <c r="B149" s="1203"/>
      <c r="C149" s="1203"/>
      <c r="D149" s="1203"/>
      <c r="E149" s="1203"/>
      <c r="F149" s="1203"/>
      <c r="G149" s="1203"/>
      <c r="H149" s="1203"/>
      <c r="I149" s="1203"/>
      <c r="J149" s="1203"/>
      <c r="K149" s="1203"/>
      <c r="L149" s="1203"/>
      <c r="M149" s="1203"/>
      <c r="N149" s="1203"/>
      <c r="O149" s="1203"/>
      <c r="P149" s="1203"/>
      <c r="Q149" s="1203"/>
      <c r="R149" s="1203"/>
      <c r="S149" s="1203"/>
      <c r="T149" s="1203"/>
      <c r="U149" s="1203"/>
      <c r="V149" s="1203"/>
      <c r="W149" s="1203"/>
      <c r="X149" s="1203"/>
      <c r="Y149" s="1203"/>
      <c r="Z149" s="1203"/>
      <c r="AA149" s="1203"/>
      <c r="AB149" s="1203"/>
      <c r="AC149" s="1203"/>
      <c r="AD149" s="1203"/>
      <c r="AE149" s="1203"/>
      <c r="AF149" s="1203"/>
      <c r="AG149" s="1203"/>
      <c r="AH149" s="1203"/>
      <c r="AI149" s="1203"/>
      <c r="AJ149" s="1203"/>
      <c r="AK149" s="1203"/>
      <c r="AL149" s="1203"/>
      <c r="AM149" s="1203"/>
      <c r="AN149" s="1203"/>
      <c r="AO149" s="1203"/>
      <c r="AP149" s="1203"/>
      <c r="AQ149" s="1203"/>
      <c r="AR149" s="1203"/>
      <c r="AS149" s="1203"/>
    </row>
    <row r="150" spans="1:45" ht="15.75" customHeight="1">
      <c r="A150" s="1203"/>
      <c r="B150" s="1203"/>
      <c r="C150" s="1203"/>
      <c r="D150" s="1203"/>
      <c r="E150" s="1203"/>
      <c r="F150" s="1203"/>
      <c r="G150" s="1203"/>
      <c r="H150" s="1203"/>
      <c r="I150" s="1203"/>
      <c r="J150" s="1203"/>
      <c r="K150" s="1203"/>
      <c r="L150" s="1203"/>
      <c r="M150" s="1203"/>
      <c r="N150" s="1203"/>
      <c r="O150" s="1203"/>
      <c r="P150" s="1203"/>
      <c r="Q150" s="1203"/>
      <c r="R150" s="1203"/>
      <c r="S150" s="1203"/>
      <c r="T150" s="1203"/>
      <c r="U150" s="1203"/>
      <c r="V150" s="1203"/>
      <c r="W150" s="1203"/>
      <c r="X150" s="1203"/>
      <c r="Y150" s="1203"/>
      <c r="Z150" s="1203"/>
      <c r="AA150" s="1203"/>
      <c r="AB150" s="1203"/>
      <c r="AC150" s="1203"/>
      <c r="AD150" s="1203"/>
      <c r="AE150" s="1203"/>
      <c r="AF150" s="1203"/>
      <c r="AG150" s="1203"/>
      <c r="AH150" s="1203"/>
      <c r="AI150" s="1203"/>
      <c r="AJ150" s="1203"/>
      <c r="AK150" s="1203"/>
      <c r="AL150" s="1203"/>
      <c r="AM150" s="1203"/>
      <c r="AN150" s="1203"/>
      <c r="AO150" s="1203"/>
      <c r="AP150" s="1203"/>
      <c r="AQ150" s="1203"/>
      <c r="AR150" s="1203"/>
      <c r="AS150" s="1203"/>
    </row>
    <row r="151" spans="1:45" ht="15.75" customHeight="1">
      <c r="A151" s="1203"/>
      <c r="B151" s="1204" t="s">
        <v>8</v>
      </c>
      <c r="C151" s="1677"/>
      <c r="D151" s="1677"/>
      <c r="E151" s="1677"/>
      <c r="F151" s="1677"/>
      <c r="G151" s="1678">
        <v>74</v>
      </c>
      <c r="H151" s="1678">
        <v>87</v>
      </c>
      <c r="I151" s="1678">
        <v>110</v>
      </c>
      <c r="J151" s="1679">
        <f t="shared" ref="J151:P151" si="69">J152*J123</f>
        <v>112.86910407181142</v>
      </c>
      <c r="K151" s="1679">
        <f t="shared" si="69"/>
        <v>117.19428223068006</v>
      </c>
      <c r="L151" s="1679">
        <f t="shared" si="69"/>
        <v>125.65758688445069</v>
      </c>
      <c r="M151" s="1679">
        <f t="shared" si="69"/>
        <v>131.30896985020215</v>
      </c>
      <c r="N151" s="1679">
        <f t="shared" si="69"/>
        <v>137.02647344937904</v>
      </c>
      <c r="O151" s="1679">
        <f t="shared" si="69"/>
        <v>142.97026368870326</v>
      </c>
      <c r="P151" s="1679">
        <f t="shared" si="69"/>
        <v>149.16801892825103</v>
      </c>
      <c r="Q151" s="1203"/>
      <c r="R151" s="1203"/>
      <c r="S151" s="1203"/>
      <c r="T151" s="1203"/>
      <c r="U151" s="1203"/>
      <c r="V151" s="1203"/>
      <c r="W151" s="1203"/>
      <c r="X151" s="1203"/>
      <c r="Y151" s="1203"/>
      <c r="Z151" s="1203"/>
      <c r="AA151" s="1203"/>
      <c r="AB151" s="1203"/>
      <c r="AC151" s="1203"/>
      <c r="AD151" s="1203"/>
      <c r="AE151" s="1203"/>
      <c r="AF151" s="1203"/>
      <c r="AG151" s="1203"/>
      <c r="AH151" s="1203"/>
      <c r="AI151" s="1203"/>
      <c r="AJ151" s="1203"/>
      <c r="AK151" s="1203"/>
      <c r="AL151" s="1203"/>
      <c r="AM151" s="1203"/>
      <c r="AN151" s="1203"/>
      <c r="AO151" s="1203"/>
      <c r="AP151" s="1203"/>
      <c r="AQ151" s="1203"/>
      <c r="AR151" s="1203"/>
      <c r="AS151" s="1203"/>
    </row>
    <row r="152" spans="1:45" ht="15.75" customHeight="1">
      <c r="A152" s="1203"/>
      <c r="B152" s="1203" t="s">
        <v>251</v>
      </c>
      <c r="C152" s="1203"/>
      <c r="D152" s="1203"/>
      <c r="E152" s="1203"/>
      <c r="F152" s="1203"/>
      <c r="G152" s="1675">
        <f>G151/262</f>
        <v>0.28244274809160308</v>
      </c>
      <c r="H152" s="1305">
        <f>H151/H123</f>
        <v>0.30494216614090436</v>
      </c>
      <c r="I152" s="1305">
        <f>I151/I123</f>
        <v>0.36962365591397844</v>
      </c>
      <c r="J152" s="1674">
        <v>0.37</v>
      </c>
      <c r="K152" s="1674">
        <f>J152</f>
        <v>0.37</v>
      </c>
      <c r="L152" s="1674">
        <v>0.38</v>
      </c>
      <c r="M152" s="1674">
        <v>0.38</v>
      </c>
      <c r="N152" s="1674">
        <v>0.38</v>
      </c>
      <c r="O152" s="1674">
        <v>0.38</v>
      </c>
      <c r="P152" s="1674">
        <v>0.38</v>
      </c>
      <c r="Q152" s="1203"/>
      <c r="R152" s="1203"/>
      <c r="S152" s="1203"/>
      <c r="T152" s="1203"/>
      <c r="U152" s="1203"/>
      <c r="V152" s="1203"/>
      <c r="W152" s="1203"/>
      <c r="X152" s="1203"/>
      <c r="Y152" s="1203"/>
      <c r="Z152" s="1203"/>
      <c r="AA152" s="1203"/>
      <c r="AB152" s="1203"/>
      <c r="AC152" s="1203"/>
      <c r="AD152" s="1203"/>
      <c r="AE152" s="1203"/>
      <c r="AF152" s="1203"/>
      <c r="AG152" s="1203"/>
      <c r="AH152" s="1203"/>
      <c r="AI152" s="1203"/>
      <c r="AJ152" s="1203"/>
      <c r="AK152" s="1203"/>
      <c r="AL152" s="1203"/>
      <c r="AM152" s="1203"/>
      <c r="AN152" s="1203"/>
      <c r="AO152" s="1203"/>
      <c r="AP152" s="1203"/>
      <c r="AQ152" s="1203"/>
      <c r="AR152" s="1203"/>
      <c r="AS152" s="1203"/>
    </row>
    <row r="153" spans="1:45" ht="15.75" customHeight="1">
      <c r="A153" s="1203"/>
      <c r="B153" s="1203"/>
      <c r="C153" s="1203"/>
      <c r="D153" s="1203"/>
      <c r="E153" s="1203"/>
      <c r="F153" s="1203"/>
      <c r="G153" s="1203"/>
      <c r="H153" s="1203"/>
      <c r="I153" s="1203"/>
      <c r="J153" s="1203"/>
      <c r="K153" s="1203"/>
      <c r="L153" s="1203"/>
      <c r="M153" s="1203"/>
      <c r="N153" s="1203"/>
      <c r="O153" s="1203"/>
      <c r="P153" s="1203"/>
      <c r="Q153" s="1203"/>
      <c r="R153" s="1203"/>
      <c r="S153" s="1203"/>
      <c r="T153" s="1203"/>
      <c r="U153" s="1203"/>
      <c r="V153" s="1203"/>
      <c r="W153" s="1203"/>
      <c r="X153" s="1203"/>
      <c r="Y153" s="1203"/>
      <c r="Z153" s="1203"/>
      <c r="AA153" s="1203"/>
      <c r="AB153" s="1203"/>
      <c r="AC153" s="1203"/>
      <c r="AD153" s="1203"/>
      <c r="AE153" s="1203"/>
      <c r="AF153" s="1203"/>
      <c r="AG153" s="1203"/>
      <c r="AH153" s="1203"/>
      <c r="AI153" s="1203"/>
      <c r="AJ153" s="1203"/>
      <c r="AK153" s="1203"/>
      <c r="AL153" s="1203"/>
      <c r="AM153" s="1203"/>
      <c r="AN153" s="1203"/>
      <c r="AO153" s="1203"/>
      <c r="AP153" s="1203"/>
      <c r="AQ153" s="1203"/>
      <c r="AR153" s="1203"/>
      <c r="AS153" s="1203"/>
    </row>
    <row r="154" spans="1:45" ht="15.75" customHeight="1">
      <c r="A154" s="1203"/>
      <c r="B154" s="1204" t="s">
        <v>19</v>
      </c>
      <c r="C154" s="1204"/>
      <c r="D154" s="1204"/>
      <c r="E154" s="1204"/>
      <c r="F154" s="1204"/>
      <c r="G154" s="1678">
        <v>42.2</v>
      </c>
      <c r="H154" s="1678">
        <v>42.2</v>
      </c>
      <c r="I154" s="1678">
        <v>40.700000000000003</v>
      </c>
      <c r="J154" s="1679">
        <f t="shared" ref="J154:P154" si="70">J155*J123</f>
        <v>44.061211393676423</v>
      </c>
      <c r="K154" s="1679">
        <f t="shared" si="70"/>
        <v>44.343782465662727</v>
      </c>
      <c r="L154" s="1679">
        <f t="shared" si="70"/>
        <v>52.908457635558193</v>
      </c>
      <c r="M154" s="1679">
        <f t="shared" si="70"/>
        <v>55.287987305348274</v>
      </c>
      <c r="N154" s="1679">
        <f t="shared" si="70"/>
        <v>57.695357241843801</v>
      </c>
      <c r="O154" s="1679">
        <f t="shared" si="70"/>
        <v>60.198005763664533</v>
      </c>
      <c r="P154" s="1679">
        <f t="shared" si="70"/>
        <v>62.807586917158332</v>
      </c>
      <c r="Q154" s="1203"/>
      <c r="R154" s="1203"/>
      <c r="S154" s="1203"/>
      <c r="T154" s="1203"/>
      <c r="U154" s="1203"/>
      <c r="V154" s="1203"/>
      <c r="W154" s="1203"/>
      <c r="X154" s="1203"/>
      <c r="Y154" s="1203"/>
      <c r="Z154" s="1203"/>
      <c r="AA154" s="1203"/>
      <c r="AB154" s="1203"/>
      <c r="AC154" s="1203"/>
      <c r="AD154" s="1203"/>
      <c r="AE154" s="1203"/>
      <c r="AF154" s="1203"/>
      <c r="AG154" s="1203"/>
      <c r="AH154" s="1203"/>
      <c r="AI154" s="1203"/>
      <c r="AJ154" s="1203"/>
      <c r="AK154" s="1203"/>
      <c r="AL154" s="1203"/>
      <c r="AM154" s="1203"/>
      <c r="AN154" s="1203"/>
      <c r="AO154" s="1203"/>
      <c r="AP154" s="1203"/>
      <c r="AQ154" s="1203"/>
      <c r="AR154" s="1203"/>
      <c r="AS154" s="1203"/>
    </row>
    <row r="155" spans="1:45" ht="15.75" customHeight="1">
      <c r="A155" s="1203"/>
      <c r="B155" s="1203" t="s">
        <v>4064</v>
      </c>
      <c r="C155" s="1203"/>
      <c r="D155" s="1203"/>
      <c r="E155" s="1203"/>
      <c r="F155" s="1203"/>
      <c r="G155" s="1675">
        <f>G154/262</f>
        <v>0.16106870229007636</v>
      </c>
      <c r="H155" s="1305">
        <f>H154/H123</f>
        <v>0.14791447599018581</v>
      </c>
      <c r="I155" s="1305">
        <f>I154/I123</f>
        <v>0.13676075268817203</v>
      </c>
      <c r="J155" s="1674">
        <v>0.14443853656610883</v>
      </c>
      <c r="K155" s="1674">
        <v>0.14000000000000001</v>
      </c>
      <c r="L155" s="1674">
        <v>0.16</v>
      </c>
      <c r="M155" s="1674">
        <v>0.16</v>
      </c>
      <c r="N155" s="1674">
        <v>0.16</v>
      </c>
      <c r="O155" s="1674">
        <v>0.16</v>
      </c>
      <c r="P155" s="1674">
        <v>0.16</v>
      </c>
      <c r="Q155" s="1203"/>
      <c r="R155" s="1203"/>
      <c r="S155" s="1203"/>
      <c r="T155" s="1203"/>
      <c r="U155" s="1203"/>
      <c r="V155" s="1203"/>
      <c r="W155" s="1203"/>
      <c r="X155" s="1203"/>
      <c r="Y155" s="1203"/>
      <c r="Z155" s="1203"/>
      <c r="AA155" s="1203"/>
      <c r="AB155" s="1203"/>
      <c r="AC155" s="1203"/>
      <c r="AD155" s="1203"/>
      <c r="AE155" s="1203"/>
      <c r="AF155" s="1203"/>
      <c r="AG155" s="1203"/>
      <c r="AH155" s="1203"/>
      <c r="AI155" s="1203"/>
      <c r="AJ155" s="1203"/>
      <c r="AK155" s="1203"/>
      <c r="AL155" s="1203"/>
      <c r="AM155" s="1203"/>
      <c r="AN155" s="1203"/>
      <c r="AO155" s="1203"/>
      <c r="AP155" s="1203"/>
      <c r="AQ155" s="1203"/>
      <c r="AR155" s="1203"/>
      <c r="AS155" s="1203"/>
    </row>
    <row r="156" spans="1:45" ht="15.75" customHeight="1">
      <c r="A156" s="1203"/>
      <c r="B156" s="1203" t="s">
        <v>2722</v>
      </c>
      <c r="C156" s="1203"/>
      <c r="D156" s="1203"/>
      <c r="E156" s="1203"/>
      <c r="F156" s="1203"/>
      <c r="G156" s="1203"/>
      <c r="H156" s="1500">
        <v>42.2</v>
      </c>
      <c r="I156" s="1500">
        <v>46.9</v>
      </c>
      <c r="J156" s="1203"/>
      <c r="K156" s="1203"/>
      <c r="L156" s="1203"/>
      <c r="M156" s="1203"/>
      <c r="N156" s="1203"/>
      <c r="O156" s="1203"/>
      <c r="P156" s="1203"/>
      <c r="Q156" s="1203"/>
      <c r="R156" s="1203"/>
      <c r="S156" s="1203"/>
      <c r="T156" s="1203"/>
      <c r="U156" s="1203"/>
      <c r="V156" s="1203"/>
      <c r="W156" s="1203"/>
      <c r="X156" s="1203"/>
      <c r="Y156" s="1203"/>
      <c r="Z156" s="1203"/>
      <c r="AA156" s="1203"/>
      <c r="AB156" s="1203"/>
      <c r="AC156" s="1203"/>
      <c r="AD156" s="1203"/>
      <c r="AE156" s="1203"/>
      <c r="AF156" s="1203"/>
      <c r="AG156" s="1203"/>
      <c r="AH156" s="1203"/>
      <c r="AI156" s="1203"/>
      <c r="AJ156" s="1203"/>
      <c r="AK156" s="1203"/>
      <c r="AL156" s="1203"/>
      <c r="AM156" s="1203"/>
      <c r="AN156" s="1203"/>
      <c r="AO156" s="1203"/>
      <c r="AP156" s="1203"/>
      <c r="AQ156" s="1203"/>
      <c r="AR156" s="1203"/>
      <c r="AS156" s="1203"/>
    </row>
    <row r="157" spans="1:45" ht="15.75" customHeight="1">
      <c r="A157" s="1203"/>
      <c r="B157" s="1203"/>
      <c r="C157" s="1203"/>
      <c r="D157" s="1203"/>
      <c r="E157" s="1203"/>
      <c r="F157" s="1203"/>
      <c r="G157" s="1203"/>
      <c r="H157" s="1203"/>
      <c r="I157" s="1203"/>
      <c r="J157" s="1203"/>
      <c r="K157" s="1203"/>
      <c r="L157" s="1203"/>
      <c r="M157" s="1203"/>
      <c r="N157" s="1203"/>
      <c r="O157" s="1203"/>
      <c r="P157" s="1203"/>
      <c r="Q157" s="1203"/>
      <c r="R157" s="1203"/>
      <c r="S157" s="1203"/>
      <c r="T157" s="1203"/>
      <c r="U157" s="1203"/>
      <c r="V157" s="1203"/>
      <c r="W157" s="1203"/>
      <c r="X157" s="1203"/>
      <c r="Y157" s="1203"/>
      <c r="Z157" s="1203"/>
      <c r="AA157" s="1203"/>
      <c r="AB157" s="1203"/>
      <c r="AC157" s="1203"/>
      <c r="AD157" s="1203"/>
      <c r="AE157" s="1203"/>
      <c r="AF157" s="1203"/>
      <c r="AG157" s="1203"/>
      <c r="AH157" s="1203"/>
      <c r="AI157" s="1203"/>
      <c r="AJ157" s="1203"/>
      <c r="AK157" s="1203"/>
      <c r="AL157" s="1203"/>
      <c r="AM157" s="1203"/>
      <c r="AN157" s="1203"/>
      <c r="AO157" s="1203"/>
      <c r="AP157" s="1203"/>
      <c r="AQ157" s="1203"/>
      <c r="AR157" s="1203"/>
      <c r="AS157" s="1203"/>
    </row>
    <row r="158" spans="1:45" ht="15.75" customHeight="1">
      <c r="A158" s="1203"/>
      <c r="B158" s="1203" t="s">
        <v>27</v>
      </c>
      <c r="C158" s="1203"/>
      <c r="D158" s="1203"/>
      <c r="E158" s="1203"/>
      <c r="F158" s="1203"/>
      <c r="G158" s="1306">
        <f t="shared" ref="G158:P158" si="71">G151-G156</f>
        <v>74</v>
      </c>
      <c r="H158" s="1306">
        <f t="shared" si="71"/>
        <v>44.8</v>
      </c>
      <c r="I158" s="1306">
        <f t="shared" si="71"/>
        <v>63.1</v>
      </c>
      <c r="J158" s="1306">
        <f t="shared" si="71"/>
        <v>112.86910407181142</v>
      </c>
      <c r="K158" s="1306">
        <f t="shared" si="71"/>
        <v>117.19428223068006</v>
      </c>
      <c r="L158" s="1306">
        <f t="shared" si="71"/>
        <v>125.65758688445069</v>
      </c>
      <c r="M158" s="1306">
        <f t="shared" si="71"/>
        <v>131.30896985020215</v>
      </c>
      <c r="N158" s="1306">
        <f t="shared" si="71"/>
        <v>137.02647344937904</v>
      </c>
      <c r="O158" s="1306">
        <f t="shared" si="71"/>
        <v>142.97026368870326</v>
      </c>
      <c r="P158" s="1306">
        <f t="shared" si="71"/>
        <v>149.16801892825103</v>
      </c>
      <c r="Q158" s="1203"/>
      <c r="R158" s="1203"/>
      <c r="S158" s="1203"/>
      <c r="T158" s="1203"/>
      <c r="U158" s="1203"/>
      <c r="V158" s="1203"/>
      <c r="W158" s="1203"/>
      <c r="X158" s="1203"/>
      <c r="Y158" s="1203"/>
      <c r="Z158" s="1203"/>
      <c r="AA158" s="1203"/>
      <c r="AB158" s="1203"/>
      <c r="AC158" s="1203"/>
      <c r="AD158" s="1203"/>
      <c r="AE158" s="1203"/>
      <c r="AF158" s="1203"/>
      <c r="AG158" s="1203"/>
      <c r="AH158" s="1203"/>
      <c r="AI158" s="1203"/>
      <c r="AJ158" s="1203"/>
      <c r="AK158" s="1203"/>
      <c r="AL158" s="1203"/>
      <c r="AM158" s="1203"/>
      <c r="AN158" s="1203"/>
      <c r="AO158" s="1203"/>
      <c r="AP158" s="1203"/>
      <c r="AQ158" s="1203"/>
      <c r="AR158" s="1203"/>
      <c r="AS158" s="1203"/>
    </row>
    <row r="159" spans="1:45" ht="15.75" customHeight="1">
      <c r="A159" s="1203"/>
      <c r="B159" s="1203"/>
      <c r="C159" s="1203"/>
      <c r="D159" s="1203"/>
      <c r="E159" s="1203"/>
      <c r="F159" s="1203"/>
      <c r="G159" s="1203"/>
      <c r="H159" s="1203"/>
      <c r="I159" s="1203"/>
      <c r="J159" s="1203"/>
      <c r="K159" s="1203"/>
      <c r="L159" s="1203"/>
      <c r="M159" s="1203"/>
      <c r="N159" s="1203"/>
      <c r="O159" s="1203"/>
      <c r="P159" s="1203"/>
      <c r="Q159" s="1203"/>
      <c r="R159" s="1203"/>
      <c r="S159" s="1203"/>
      <c r="T159" s="1203"/>
      <c r="U159" s="1203"/>
      <c r="V159" s="1203"/>
      <c r="W159" s="1203"/>
      <c r="X159" s="1203"/>
      <c r="Y159" s="1203"/>
      <c r="Z159" s="1203"/>
      <c r="AA159" s="1203"/>
      <c r="AB159" s="1203"/>
      <c r="AC159" s="1203"/>
      <c r="AD159" s="1203"/>
      <c r="AE159" s="1203"/>
      <c r="AF159" s="1203"/>
      <c r="AG159" s="1203"/>
      <c r="AH159" s="1203"/>
      <c r="AI159" s="1203"/>
      <c r="AJ159" s="1203"/>
      <c r="AK159" s="1203"/>
      <c r="AL159" s="1203"/>
      <c r="AM159" s="1203"/>
      <c r="AN159" s="1203"/>
      <c r="AO159" s="1203"/>
      <c r="AP159" s="1203"/>
      <c r="AQ159" s="1203"/>
      <c r="AR159" s="1203"/>
      <c r="AS159" s="1203"/>
    </row>
    <row r="160" spans="1:45" ht="15.75" customHeight="1">
      <c r="A160" s="1203"/>
      <c r="B160" s="1203" t="s">
        <v>392</v>
      </c>
      <c r="C160" s="1674">
        <v>0.28000000000000003</v>
      </c>
      <c r="D160" s="1305">
        <f>C160</f>
        <v>0.28000000000000003</v>
      </c>
      <c r="E160" s="1305">
        <f t="shared" ref="E160" si="72">D160</f>
        <v>0.28000000000000003</v>
      </c>
      <c r="F160" s="1305">
        <f t="shared" ref="F160" si="73">E160</f>
        <v>0.28000000000000003</v>
      </c>
      <c r="G160" s="1305">
        <f t="shared" ref="G160" si="74">F160</f>
        <v>0.28000000000000003</v>
      </c>
      <c r="H160" s="1305">
        <f t="shared" ref="H160" si="75">G160</f>
        <v>0.28000000000000003</v>
      </c>
      <c r="I160" s="1305">
        <f t="shared" ref="I160" si="76">H160</f>
        <v>0.28000000000000003</v>
      </c>
      <c r="J160" s="1305">
        <f t="shared" ref="J160" si="77">I160</f>
        <v>0.28000000000000003</v>
      </c>
      <c r="K160" s="1305">
        <f t="shared" ref="K160" si="78">J160</f>
        <v>0.28000000000000003</v>
      </c>
      <c r="L160" s="1305">
        <f t="shared" ref="L160" si="79">K160</f>
        <v>0.28000000000000003</v>
      </c>
      <c r="M160" s="1305">
        <f t="shared" ref="M160" si="80">L160</f>
        <v>0.28000000000000003</v>
      </c>
      <c r="N160" s="1305">
        <f t="shared" ref="N160" si="81">M160</f>
        <v>0.28000000000000003</v>
      </c>
      <c r="O160" s="1305">
        <f t="shared" ref="O160" si="82">N160</f>
        <v>0.28000000000000003</v>
      </c>
      <c r="P160" s="1305">
        <f t="shared" ref="P160" si="83">O160</f>
        <v>0.28000000000000003</v>
      </c>
      <c r="Q160" s="1203"/>
      <c r="R160" s="1203"/>
      <c r="S160" s="1203"/>
      <c r="T160" s="1203"/>
      <c r="U160" s="1203"/>
      <c r="V160" s="1203"/>
      <c r="W160" s="1203"/>
      <c r="X160" s="1203"/>
      <c r="Y160" s="1203"/>
      <c r="Z160" s="1203"/>
      <c r="AA160" s="1203"/>
      <c r="AB160" s="1203"/>
      <c r="AC160" s="1203"/>
      <c r="AD160" s="1203"/>
      <c r="AE160" s="1203"/>
      <c r="AF160" s="1203"/>
      <c r="AG160" s="1203"/>
      <c r="AH160" s="1203"/>
      <c r="AI160" s="1203"/>
      <c r="AJ160" s="1203"/>
      <c r="AK160" s="1203"/>
      <c r="AL160" s="1203"/>
      <c r="AM160" s="1203"/>
      <c r="AN160" s="1203"/>
      <c r="AO160" s="1203"/>
      <c r="AP160" s="1203"/>
      <c r="AQ160" s="1203"/>
      <c r="AR160" s="1203"/>
      <c r="AS160" s="1203"/>
    </row>
    <row r="161" spans="1:45" ht="15.75" customHeight="1">
      <c r="A161" s="1203"/>
      <c r="B161" s="1204" t="s">
        <v>377</v>
      </c>
      <c r="C161" s="1679"/>
      <c r="D161" s="1679"/>
      <c r="E161" s="1679"/>
      <c r="F161" s="1679"/>
      <c r="G161" s="1679">
        <f>(1-G160)*G158</f>
        <v>53.28</v>
      </c>
      <c r="H161" s="1679">
        <f t="shared" ref="H161:P161" si="84">(1-H160)*H158</f>
        <v>32.256</v>
      </c>
      <c r="I161" s="1679">
        <f t="shared" si="84"/>
        <v>45.432000000000002</v>
      </c>
      <c r="J161" s="1679">
        <f t="shared" si="84"/>
        <v>81.265754931704222</v>
      </c>
      <c r="K161" s="1679">
        <f t="shared" si="84"/>
        <v>84.379883206089644</v>
      </c>
      <c r="L161" s="1679">
        <f t="shared" si="84"/>
        <v>90.473462556804492</v>
      </c>
      <c r="M161" s="1679">
        <f t="shared" si="84"/>
        <v>94.54245829214554</v>
      </c>
      <c r="N161" s="1679">
        <f t="shared" si="84"/>
        <v>98.659060883552911</v>
      </c>
      <c r="O161" s="1679">
        <f t="shared" si="84"/>
        <v>102.93858985586634</v>
      </c>
      <c r="P161" s="1679">
        <f t="shared" si="84"/>
        <v>107.40097362834074</v>
      </c>
      <c r="Q161" s="1203"/>
      <c r="R161" s="1203"/>
      <c r="S161" s="1203"/>
      <c r="T161" s="1203"/>
      <c r="U161" s="1203"/>
      <c r="V161" s="1203"/>
      <c r="W161" s="1203"/>
      <c r="X161" s="1203"/>
      <c r="Y161" s="1203"/>
      <c r="Z161" s="1203"/>
      <c r="AA161" s="1203"/>
      <c r="AB161" s="1203"/>
      <c r="AC161" s="1203"/>
      <c r="AD161" s="1203"/>
      <c r="AE161" s="1203"/>
      <c r="AF161" s="1203"/>
      <c r="AG161" s="1203"/>
      <c r="AH161" s="1203"/>
      <c r="AI161" s="1203"/>
      <c r="AJ161" s="1203"/>
      <c r="AK161" s="1203"/>
      <c r="AL161" s="1203"/>
      <c r="AM161" s="1203"/>
      <c r="AN161" s="1203"/>
      <c r="AO161" s="1203"/>
      <c r="AP161" s="1203"/>
      <c r="AQ161" s="1203"/>
      <c r="AR161" s="1203"/>
      <c r="AS161" s="1203"/>
    </row>
    <row r="162" spans="1:45" ht="15.75" customHeight="1">
      <c r="A162" s="1203"/>
      <c r="B162" s="1203"/>
      <c r="C162" s="1203"/>
      <c r="D162" s="1203"/>
      <c r="E162" s="1203"/>
      <c r="F162" s="1203"/>
      <c r="G162" s="1203"/>
      <c r="H162" s="1203"/>
      <c r="I162" s="1203"/>
      <c r="J162" s="1203"/>
      <c r="K162" s="1203"/>
      <c r="L162" s="1203"/>
      <c r="M162" s="1203"/>
      <c r="N162" s="1203"/>
      <c r="O162" s="1203"/>
      <c r="P162" s="1203"/>
      <c r="Q162" s="1203"/>
      <c r="R162" s="1203"/>
      <c r="S162" s="1203"/>
      <c r="T162" s="1203"/>
      <c r="U162" s="1203"/>
      <c r="V162" s="1203"/>
      <c r="W162" s="1203"/>
      <c r="X162" s="1203"/>
      <c r="Y162" s="1203"/>
      <c r="Z162" s="1203"/>
      <c r="AA162" s="1203"/>
      <c r="AB162" s="1203"/>
      <c r="AC162" s="1203"/>
      <c r="AD162" s="1203"/>
      <c r="AE162" s="1203"/>
      <c r="AF162" s="1203"/>
      <c r="AG162" s="1203"/>
      <c r="AH162" s="1203"/>
      <c r="AI162" s="1203"/>
      <c r="AJ162" s="1203"/>
      <c r="AK162" s="1203"/>
      <c r="AL162" s="1203"/>
      <c r="AM162" s="1203"/>
      <c r="AN162" s="1203"/>
      <c r="AO162" s="1203"/>
      <c r="AP162" s="1203"/>
      <c r="AQ162" s="1203"/>
      <c r="AR162" s="1203"/>
      <c r="AS162" s="1203"/>
    </row>
    <row r="163" spans="1:45" ht="15.75" customHeight="1">
      <c r="A163" s="1203"/>
      <c r="B163" s="1203"/>
      <c r="C163" s="1203"/>
      <c r="D163" s="1203"/>
      <c r="E163" s="1203"/>
      <c r="F163" s="1203"/>
      <c r="G163" s="1203"/>
      <c r="H163" s="1203"/>
      <c r="I163" s="1203"/>
      <c r="J163" s="1203"/>
      <c r="K163" s="1203"/>
      <c r="L163" s="1203"/>
      <c r="M163" s="1203"/>
      <c r="N163" s="1203"/>
      <c r="O163" s="1203"/>
      <c r="P163" s="1203"/>
      <c r="Q163" s="1203"/>
      <c r="R163" s="1203"/>
      <c r="S163" s="1203"/>
      <c r="T163" s="1203"/>
      <c r="U163" s="1203"/>
      <c r="V163" s="1203"/>
      <c r="W163" s="1203"/>
      <c r="X163" s="1203"/>
      <c r="Y163" s="1203"/>
      <c r="Z163" s="1203"/>
      <c r="AA163" s="1203"/>
      <c r="AB163" s="1203"/>
      <c r="AC163" s="1203"/>
      <c r="AD163" s="1203"/>
      <c r="AE163" s="1203"/>
      <c r="AF163" s="1203"/>
      <c r="AG163" s="1203"/>
      <c r="AH163" s="1203"/>
      <c r="AI163" s="1203"/>
      <c r="AJ163" s="1203"/>
      <c r="AK163" s="1203"/>
      <c r="AL163" s="1203"/>
      <c r="AM163" s="1203"/>
      <c r="AN163" s="1203"/>
      <c r="AO163" s="1203"/>
      <c r="AP163" s="1203"/>
      <c r="AQ163" s="1203"/>
      <c r="AR163" s="1203"/>
      <c r="AS163" s="1203"/>
    </row>
    <row r="164" spans="1:45" ht="15.75" customHeight="1">
      <c r="A164" s="1203"/>
      <c r="B164" s="1203"/>
      <c r="C164" s="1203"/>
      <c r="D164" s="1203"/>
      <c r="E164" s="1203"/>
      <c r="F164" s="1203"/>
      <c r="G164" s="1203"/>
      <c r="H164" s="1203"/>
      <c r="I164" s="1203"/>
      <c r="J164" s="1203"/>
      <c r="K164" s="1203"/>
      <c r="L164" s="1203"/>
      <c r="M164" s="1203"/>
      <c r="N164" s="1203"/>
      <c r="O164" s="1203"/>
      <c r="P164" s="1203"/>
      <c r="Q164" s="1203"/>
      <c r="R164" s="1203"/>
      <c r="S164" s="1203"/>
      <c r="T164" s="1203"/>
      <c r="U164" s="1203"/>
      <c r="V164" s="1203"/>
      <c r="W164" s="1203"/>
      <c r="X164" s="1203"/>
      <c r="Y164" s="1203"/>
      <c r="Z164" s="1203"/>
      <c r="AA164" s="1203"/>
      <c r="AB164" s="1203"/>
      <c r="AC164" s="1203"/>
      <c r="AD164" s="1203"/>
      <c r="AE164" s="1203"/>
      <c r="AF164" s="1203"/>
      <c r="AG164" s="1203"/>
      <c r="AH164" s="1203"/>
      <c r="AI164" s="1203"/>
      <c r="AJ164" s="1203"/>
      <c r="AK164" s="1203"/>
      <c r="AL164" s="1203"/>
      <c r="AM164" s="1203"/>
      <c r="AN164" s="1203"/>
      <c r="AO164" s="1203"/>
      <c r="AP164" s="1203"/>
      <c r="AQ164" s="1203"/>
      <c r="AR164" s="1203"/>
      <c r="AS164" s="1203"/>
    </row>
    <row r="165" spans="1:45" ht="15.75" customHeight="1">
      <c r="A165" s="1203"/>
      <c r="B165" s="1431" t="s">
        <v>2046</v>
      </c>
      <c r="C165" s="1609">
        <f>C$1</f>
        <v>2017</v>
      </c>
      <c r="D165" s="1609">
        <f t="shared" ref="D165:P165" si="85">D$1</f>
        <v>2018</v>
      </c>
      <c r="E165" s="1609">
        <f t="shared" si="85"/>
        <v>2019</v>
      </c>
      <c r="F165" s="1609">
        <f t="shared" si="85"/>
        <v>2020</v>
      </c>
      <c r="G165" s="1609">
        <f t="shared" si="85"/>
        <v>2021</v>
      </c>
      <c r="H165" s="1609">
        <f t="shared" si="85"/>
        <v>2022</v>
      </c>
      <c r="I165" s="1609">
        <f t="shared" si="85"/>
        <v>2023</v>
      </c>
      <c r="J165" s="1609">
        <f t="shared" si="85"/>
        <v>2024</v>
      </c>
      <c r="K165" s="1609">
        <f t="shared" si="85"/>
        <v>2025</v>
      </c>
      <c r="L165" s="1609">
        <f t="shared" si="85"/>
        <v>2026</v>
      </c>
      <c r="M165" s="1609">
        <f t="shared" si="85"/>
        <v>2027</v>
      </c>
      <c r="N165" s="1609">
        <f t="shared" si="85"/>
        <v>2028</v>
      </c>
      <c r="O165" s="1609">
        <f t="shared" si="85"/>
        <v>2029</v>
      </c>
      <c r="P165" s="1609">
        <f t="shared" si="85"/>
        <v>2030</v>
      </c>
      <c r="Q165" s="1203"/>
      <c r="R165" s="1203"/>
      <c r="S165" s="1203"/>
      <c r="T165" s="1203"/>
      <c r="U165" s="1203"/>
      <c r="V165" s="1203"/>
      <c r="W165" s="1203"/>
      <c r="X165" s="1203"/>
      <c r="Y165" s="1203"/>
      <c r="Z165" s="1203"/>
      <c r="AA165" s="1203"/>
      <c r="AB165" s="1203"/>
      <c r="AC165" s="1203"/>
      <c r="AD165" s="1203"/>
      <c r="AE165" s="1203"/>
      <c r="AF165" s="1203"/>
      <c r="AG165" s="1203"/>
      <c r="AH165" s="1203"/>
      <c r="AI165" s="1203"/>
      <c r="AJ165" s="1203"/>
      <c r="AK165" s="1203"/>
      <c r="AL165" s="1203"/>
      <c r="AM165" s="1203"/>
      <c r="AN165" s="1203"/>
      <c r="AO165" s="1203"/>
      <c r="AP165" s="1203"/>
      <c r="AQ165" s="1203"/>
      <c r="AR165" s="1203"/>
      <c r="AS165" s="1203"/>
    </row>
    <row r="166" spans="1:45" ht="15.75" customHeight="1">
      <c r="A166" s="1203"/>
      <c r="B166" t="s">
        <v>7764</v>
      </c>
      <c r="C166" s="1203"/>
      <c r="D166" s="1203"/>
      <c r="E166" s="1203"/>
      <c r="F166" s="1203"/>
      <c r="G166" s="1203"/>
      <c r="H166" s="1672">
        <v>3.2</v>
      </c>
      <c r="I166" s="1672">
        <v>0.3</v>
      </c>
      <c r="J166" s="1358">
        <f>I166</f>
        <v>0.3</v>
      </c>
      <c r="K166" s="1358">
        <f t="shared" ref="K166:P166" si="86">J166</f>
        <v>0.3</v>
      </c>
      <c r="L166" s="1358">
        <f t="shared" si="86"/>
        <v>0.3</v>
      </c>
      <c r="M166" s="1358">
        <f t="shared" si="86"/>
        <v>0.3</v>
      </c>
      <c r="N166" s="1358">
        <f t="shared" si="86"/>
        <v>0.3</v>
      </c>
      <c r="O166" s="1358">
        <f t="shared" si="86"/>
        <v>0.3</v>
      </c>
      <c r="P166" s="1358">
        <f t="shared" si="86"/>
        <v>0.3</v>
      </c>
      <c r="Q166" s="1203"/>
      <c r="R166" s="1203"/>
      <c r="S166" s="1203"/>
      <c r="T166" s="1203"/>
      <c r="U166" s="1203"/>
      <c r="V166" s="1203"/>
      <c r="W166" s="1203"/>
      <c r="X166" s="1203"/>
      <c r="Y166" s="1203"/>
      <c r="Z166" s="1203"/>
      <c r="AA166" s="1203"/>
      <c r="AB166" s="1203"/>
      <c r="AC166" s="1203"/>
      <c r="AD166" s="1203"/>
      <c r="AE166" s="1203"/>
      <c r="AF166" s="1203"/>
      <c r="AG166" s="1203"/>
      <c r="AH166" s="1203"/>
      <c r="AI166" s="1203"/>
      <c r="AJ166" s="1203"/>
      <c r="AK166" s="1203"/>
      <c r="AL166" s="1203"/>
      <c r="AM166" s="1203"/>
      <c r="AN166" s="1203"/>
      <c r="AO166" s="1203"/>
      <c r="AP166" s="1203"/>
      <c r="AQ166" s="1203"/>
      <c r="AR166" s="1203"/>
      <c r="AS166" s="1203"/>
    </row>
    <row r="167" spans="1:45" ht="15.75" customHeight="1">
      <c r="A167" s="1203"/>
      <c r="B167" t="s">
        <v>7765</v>
      </c>
      <c r="C167" s="1203"/>
      <c r="D167" s="1203"/>
      <c r="E167" s="1203"/>
      <c r="F167" s="1203"/>
      <c r="G167" s="1203"/>
      <c r="H167" s="1672">
        <v>246.9</v>
      </c>
      <c r="I167" s="1672">
        <v>227.9</v>
      </c>
      <c r="J167" s="1358">
        <f>I167</f>
        <v>227.9</v>
      </c>
      <c r="K167" s="1358">
        <f t="shared" ref="K167:P167" si="87">J167</f>
        <v>227.9</v>
      </c>
      <c r="L167" s="1358">
        <f t="shared" si="87"/>
        <v>227.9</v>
      </c>
      <c r="M167" s="1358">
        <f t="shared" si="87"/>
        <v>227.9</v>
      </c>
      <c r="N167" s="1358">
        <f t="shared" si="87"/>
        <v>227.9</v>
      </c>
      <c r="O167" s="1358">
        <f t="shared" si="87"/>
        <v>227.9</v>
      </c>
      <c r="P167" s="1358">
        <f t="shared" si="87"/>
        <v>227.9</v>
      </c>
      <c r="Q167" s="1203"/>
      <c r="R167" s="1203"/>
      <c r="S167" s="1203"/>
      <c r="T167" s="1203"/>
      <c r="U167" s="1203"/>
      <c r="V167" s="1203"/>
      <c r="W167" s="1203"/>
      <c r="X167" s="1203"/>
      <c r="Y167" s="1203"/>
      <c r="Z167" s="1203"/>
      <c r="AA167" s="1203"/>
      <c r="AB167" s="1203"/>
      <c r="AC167" s="1203"/>
      <c r="AD167" s="1203"/>
      <c r="AE167" s="1203"/>
      <c r="AF167" s="1203"/>
      <c r="AG167" s="1203"/>
      <c r="AH167" s="1203"/>
      <c r="AI167" s="1203"/>
      <c r="AJ167" s="1203"/>
      <c r="AK167" s="1203"/>
      <c r="AL167" s="1203"/>
      <c r="AM167" s="1203"/>
      <c r="AN167" s="1203"/>
      <c r="AO167" s="1203"/>
      <c r="AP167" s="1203"/>
      <c r="AQ167" s="1203"/>
      <c r="AR167" s="1203"/>
      <c r="AS167" s="1203"/>
    </row>
    <row r="168" spans="1:45" ht="15.75" customHeight="1">
      <c r="A168" s="1203"/>
      <c r="B168" s="1426" t="s">
        <v>7766</v>
      </c>
      <c r="C168" s="1483"/>
      <c r="D168" s="1483"/>
      <c r="E168" s="1483"/>
      <c r="F168" s="1483"/>
      <c r="G168" s="1483"/>
      <c r="H168" s="1483">
        <f t="shared" ref="H168:P168" si="88">H166+H167</f>
        <v>250.1</v>
      </c>
      <c r="I168" s="1483">
        <f t="shared" si="88"/>
        <v>228.20000000000002</v>
      </c>
      <c r="J168" s="1483">
        <f t="shared" si="88"/>
        <v>228.20000000000002</v>
      </c>
      <c r="K168" s="1483">
        <f t="shared" si="88"/>
        <v>228.20000000000002</v>
      </c>
      <c r="L168" s="1483">
        <f t="shared" si="88"/>
        <v>228.20000000000002</v>
      </c>
      <c r="M168" s="1483">
        <f t="shared" si="88"/>
        <v>228.20000000000002</v>
      </c>
      <c r="N168" s="1483">
        <f t="shared" si="88"/>
        <v>228.20000000000002</v>
      </c>
      <c r="O168" s="1483">
        <f t="shared" si="88"/>
        <v>228.20000000000002</v>
      </c>
      <c r="P168" s="1483">
        <f t="shared" si="88"/>
        <v>228.20000000000002</v>
      </c>
      <c r="Q168" s="1203"/>
      <c r="R168" s="1203"/>
      <c r="S168" s="1203"/>
      <c r="T168" s="1203"/>
      <c r="U168" s="1203"/>
      <c r="V168" s="1203"/>
      <c r="W168" s="1203"/>
      <c r="X168" s="1203"/>
      <c r="Y168" s="1203"/>
      <c r="Z168" s="1203"/>
      <c r="AA168" s="1203"/>
      <c r="AB168" s="1203"/>
      <c r="AC168" s="1203"/>
      <c r="AD168" s="1203"/>
      <c r="AE168" s="1203"/>
      <c r="AF168" s="1203"/>
      <c r="AG168" s="1203"/>
      <c r="AH168" s="1203"/>
      <c r="AI168" s="1203"/>
      <c r="AJ168" s="1203"/>
      <c r="AK168" s="1203"/>
      <c r="AL168" s="1203"/>
      <c r="AM168" s="1203"/>
      <c r="AN168" s="1203"/>
      <c r="AO168" s="1203"/>
      <c r="AP168" s="1203"/>
      <c r="AQ168" s="1203"/>
      <c r="AR168" s="1203"/>
      <c r="AS168" s="1203"/>
    </row>
    <row r="169" spans="1:45" ht="15.75" customHeight="1">
      <c r="A169" s="1203"/>
      <c r="B169" t="s">
        <v>707</v>
      </c>
      <c r="C169" s="1203"/>
      <c r="D169" s="1203"/>
      <c r="E169" s="1203"/>
      <c r="F169" s="1203"/>
      <c r="G169" s="1203"/>
      <c r="H169" s="1672">
        <v>9.5</v>
      </c>
      <c r="I169" s="1672">
        <v>15.9</v>
      </c>
      <c r="J169" s="1217">
        <f t="shared" ref="J169:P169" ca="1" si="89">I169+J189</f>
        <v>35.405784037851454</v>
      </c>
      <c r="K169" s="1217">
        <f t="shared" ca="1" si="89"/>
        <v>54.640798983363972</v>
      </c>
      <c r="L169" s="1217">
        <f t="shared" ca="1" si="89"/>
        <v>73.30735022179681</v>
      </c>
      <c r="M169" s="1217">
        <f t="shared" ca="1" si="89"/>
        <v>89.892436770748304</v>
      </c>
      <c r="N169" s="1217">
        <f t="shared" ca="1" si="89"/>
        <v>103.95608704284881</v>
      </c>
      <c r="O169" s="1217">
        <f t="shared" ca="1" si="89"/>
        <v>118.66876753160338</v>
      </c>
      <c r="P169" s="1217">
        <f t="shared" ca="1" si="89"/>
        <v>134.05820986152781</v>
      </c>
      <c r="Q169" s="1203"/>
      <c r="R169" s="1203"/>
      <c r="S169" s="1203"/>
      <c r="T169" s="1203"/>
      <c r="U169" s="1203"/>
      <c r="V169" s="1203"/>
      <c r="W169" s="1203"/>
      <c r="X169" s="1203"/>
      <c r="Y169" s="1203"/>
      <c r="Z169" s="1203"/>
      <c r="AA169" s="1203"/>
      <c r="AB169" s="1203"/>
      <c r="AC169" s="1203"/>
      <c r="AD169" s="1203"/>
      <c r="AE169" s="1203"/>
      <c r="AF169" s="1203"/>
      <c r="AG169" s="1203"/>
      <c r="AH169" s="1203"/>
      <c r="AI169" s="1203"/>
      <c r="AJ169" s="1203"/>
      <c r="AK169" s="1203"/>
      <c r="AL169" s="1203"/>
      <c r="AM169" s="1203"/>
      <c r="AN169" s="1203"/>
      <c r="AO169" s="1203"/>
      <c r="AP169" s="1203"/>
      <c r="AQ169" s="1203"/>
      <c r="AR169" s="1203"/>
      <c r="AS169" s="1203"/>
    </row>
    <row r="170" spans="1:45" ht="15.75" customHeight="1">
      <c r="A170" s="1203"/>
      <c r="B170" s="1426" t="s">
        <v>115</v>
      </c>
      <c r="C170" s="1483"/>
      <c r="D170" s="1483"/>
      <c r="E170" s="1483"/>
      <c r="F170" s="1483"/>
      <c r="G170" s="1483"/>
      <c r="H170" s="1673">
        <f>H168-H169</f>
        <v>240.6</v>
      </c>
      <c r="I170" s="1673">
        <f>I168-I169</f>
        <v>212.3</v>
      </c>
      <c r="J170" s="1673">
        <f ca="1">J168-J169</f>
        <v>192.79421596214857</v>
      </c>
      <c r="K170" s="1673">
        <f t="shared" ref="K170:P170" ca="1" si="90">K168-K169</f>
        <v>173.55920101663605</v>
      </c>
      <c r="L170" s="1673">
        <f t="shared" ca="1" si="90"/>
        <v>154.89264977820321</v>
      </c>
      <c r="M170" s="1673">
        <f t="shared" ca="1" si="90"/>
        <v>138.30756322925171</v>
      </c>
      <c r="N170" s="1673">
        <f t="shared" ca="1" si="90"/>
        <v>124.24391295715121</v>
      </c>
      <c r="O170" s="1673">
        <f t="shared" ca="1" si="90"/>
        <v>109.53123246839664</v>
      </c>
      <c r="P170" s="1673">
        <f t="shared" ca="1" si="90"/>
        <v>94.141790138472203</v>
      </c>
      <c r="Q170" s="1203"/>
      <c r="R170" s="1203"/>
      <c r="S170" s="1203"/>
      <c r="T170" s="1203"/>
      <c r="U170" s="1203"/>
      <c r="V170" s="1203"/>
      <c r="W170" s="1203"/>
      <c r="X170" s="1203"/>
      <c r="Y170" s="1203"/>
      <c r="Z170" s="1203"/>
      <c r="AA170" s="1203"/>
      <c r="AB170" s="1203"/>
      <c r="AC170" s="1203"/>
      <c r="AD170" s="1203"/>
      <c r="AE170" s="1203"/>
      <c r="AF170" s="1203"/>
      <c r="AG170" s="1203"/>
      <c r="AH170" s="1203"/>
      <c r="AI170" s="1203"/>
      <c r="AJ170" s="1203"/>
      <c r="AK170" s="1203"/>
      <c r="AL170" s="1203"/>
      <c r="AM170" s="1203"/>
      <c r="AN170" s="1203"/>
      <c r="AO170" s="1203"/>
      <c r="AP170" s="1203"/>
      <c r="AQ170" s="1203"/>
      <c r="AR170" s="1203"/>
      <c r="AS170" s="1203"/>
    </row>
    <row r="171" spans="1:45" ht="15.75" customHeight="1">
      <c r="A171" s="1203"/>
      <c r="B171" t="s">
        <v>273</v>
      </c>
      <c r="C171" s="1203"/>
      <c r="D171" s="1203"/>
      <c r="E171" s="1203"/>
      <c r="F171" s="1203"/>
      <c r="G171" s="1203"/>
      <c r="H171" s="1217">
        <f t="shared" ref="H171:P171" si="91">H170/H151</f>
        <v>2.7655172413793103</v>
      </c>
      <c r="I171" s="1217">
        <f t="shared" si="91"/>
        <v>1.9300000000000002</v>
      </c>
      <c r="J171" s="1217">
        <f t="shared" ca="1" si="91"/>
        <v>1.7081221433235254</v>
      </c>
      <c r="K171" s="1217">
        <f t="shared" ca="1" si="91"/>
        <v>1.4809528051463277</v>
      </c>
      <c r="L171" s="1217">
        <f t="shared" ca="1" si="91"/>
        <v>1.2326565678890191</v>
      </c>
      <c r="M171" s="1217">
        <f t="shared" ca="1" si="91"/>
        <v>1.0532986694437827</v>
      </c>
      <c r="N171" s="1217">
        <f t="shared" ca="1" si="91"/>
        <v>0.90671466490779962</v>
      </c>
      <c r="O171" s="1217">
        <f t="shared" ca="1" si="91"/>
        <v>0.76611198470532871</v>
      </c>
      <c r="P171" s="1217">
        <f t="shared" ca="1" si="91"/>
        <v>0.63111242486738306</v>
      </c>
      <c r="Q171" s="1203"/>
      <c r="R171" s="1203"/>
      <c r="S171" s="1203"/>
      <c r="T171" s="1203"/>
      <c r="U171" s="1203"/>
      <c r="V171" s="1203"/>
      <c r="W171" s="1203"/>
      <c r="X171" s="1203"/>
      <c r="Y171" s="1203"/>
      <c r="Z171" s="1203"/>
      <c r="AA171" s="1203"/>
      <c r="AB171" s="1203"/>
      <c r="AC171" s="1203"/>
      <c r="AD171" s="1203"/>
      <c r="AE171" s="1203"/>
      <c r="AF171" s="1203"/>
      <c r="AG171" s="1203"/>
      <c r="AH171" s="1203"/>
      <c r="AI171" s="1203"/>
      <c r="AJ171" s="1203"/>
      <c r="AK171" s="1203"/>
      <c r="AL171" s="1203"/>
      <c r="AM171" s="1203"/>
      <c r="AN171" s="1203"/>
      <c r="AO171" s="1203"/>
      <c r="AP171" s="1203"/>
      <c r="AQ171" s="1203"/>
      <c r="AR171" s="1203"/>
      <c r="AS171" s="1203"/>
    </row>
    <row r="172" spans="1:45" ht="15.75" customHeight="1">
      <c r="A172" s="1203"/>
      <c r="C172" s="1203"/>
      <c r="D172" s="1203"/>
      <c r="E172" s="1203"/>
      <c r="F172" s="1203"/>
      <c r="G172" s="1203"/>
      <c r="H172" s="1203"/>
      <c r="I172" s="1203"/>
      <c r="J172" s="1341"/>
      <c r="K172" s="1203"/>
      <c r="L172" s="1203"/>
      <c r="M172" s="1203"/>
      <c r="N172" s="1203"/>
      <c r="O172" s="1203"/>
      <c r="P172" s="1203"/>
      <c r="Q172" s="1203"/>
      <c r="R172" s="1203"/>
      <c r="S172" s="1203"/>
      <c r="T172" s="1203"/>
      <c r="U172" s="1203"/>
      <c r="V172" s="1203"/>
      <c r="W172" s="1203"/>
      <c r="X172" s="1203"/>
      <c r="Y172" s="1203"/>
      <c r="Z172" s="1203"/>
      <c r="AA172" s="1203"/>
      <c r="AB172" s="1203"/>
      <c r="AC172" s="1203"/>
      <c r="AD172" s="1203"/>
      <c r="AE172" s="1203"/>
      <c r="AF172" s="1203"/>
      <c r="AG172" s="1203"/>
      <c r="AH172" s="1203"/>
      <c r="AI172" s="1203"/>
      <c r="AJ172" s="1203"/>
      <c r="AK172" s="1203"/>
      <c r="AL172" s="1203"/>
      <c r="AM172" s="1203"/>
      <c r="AN172" s="1203"/>
      <c r="AO172" s="1203"/>
      <c r="AP172" s="1203"/>
      <c r="AQ172" s="1203"/>
      <c r="AR172" s="1203"/>
      <c r="AS172" s="1203"/>
    </row>
    <row r="173" spans="1:45" ht="15.75" customHeight="1">
      <c r="A173" s="1203"/>
      <c r="B173" t="s">
        <v>7767</v>
      </c>
      <c r="C173" s="1203"/>
      <c r="D173" s="1203"/>
      <c r="E173" s="1203"/>
      <c r="F173" s="1203"/>
      <c r="G173" s="1203"/>
      <c r="H173" s="1203"/>
      <c r="I173" s="1672">
        <v>25.6</v>
      </c>
      <c r="J173" s="1203"/>
      <c r="K173" s="1203"/>
      <c r="L173" s="1203"/>
      <c r="M173" s="1203"/>
      <c r="N173" s="1203"/>
      <c r="O173" s="1203"/>
      <c r="P173" s="1203"/>
      <c r="Q173" s="1203"/>
      <c r="R173" s="1203"/>
      <c r="S173" s="1203"/>
      <c r="T173" s="1203"/>
      <c r="U173" s="1203"/>
      <c r="V173" s="1203"/>
      <c r="W173" s="1203"/>
      <c r="X173" s="1203"/>
      <c r="Y173" s="1203"/>
      <c r="Z173" s="1203"/>
      <c r="AA173" s="1203"/>
      <c r="AB173" s="1203"/>
      <c r="AC173" s="1203"/>
      <c r="AD173" s="1203"/>
      <c r="AE173" s="1203"/>
      <c r="AF173" s="1203"/>
      <c r="AG173" s="1203"/>
      <c r="AH173" s="1203"/>
      <c r="AI173" s="1203"/>
      <c r="AJ173" s="1203"/>
      <c r="AK173" s="1203"/>
      <c r="AL173" s="1203"/>
      <c r="AM173" s="1203"/>
      <c r="AN173" s="1203"/>
      <c r="AO173" s="1203"/>
      <c r="AP173" s="1203"/>
      <c r="AQ173" s="1203"/>
      <c r="AR173" s="1203"/>
      <c r="AS173" s="1203"/>
    </row>
    <row r="174" spans="1:45" ht="15.75" customHeight="1">
      <c r="A174" s="1203"/>
      <c r="B174" t="s">
        <v>7767</v>
      </c>
      <c r="C174" s="1203"/>
      <c r="D174" s="1203"/>
      <c r="E174" s="1203"/>
      <c r="F174" s="1203"/>
      <c r="G174" s="1203"/>
      <c r="H174" s="1203"/>
      <c r="I174" s="1672">
        <v>202.3</v>
      </c>
      <c r="J174" s="1203"/>
      <c r="K174" s="1203"/>
      <c r="L174" s="1203"/>
      <c r="M174" s="1203"/>
      <c r="N174" s="1203"/>
      <c r="O174" s="1203"/>
      <c r="P174" s="1203"/>
      <c r="Q174" s="1203"/>
      <c r="R174" s="1203"/>
      <c r="S174" s="1203"/>
      <c r="T174" s="1203"/>
      <c r="U174" s="1203"/>
      <c r="V174" s="1203"/>
      <c r="W174" s="1203"/>
      <c r="X174" s="1203"/>
      <c r="Y174" s="1203"/>
      <c r="Z174" s="1203"/>
      <c r="AA174" s="1203"/>
      <c r="AB174" s="1203"/>
      <c r="AC174" s="1203"/>
      <c r="AD174" s="1203"/>
      <c r="AE174" s="1203"/>
      <c r="AF174" s="1203"/>
      <c r="AG174" s="1203"/>
      <c r="AH174" s="1203"/>
      <c r="AI174" s="1203"/>
      <c r="AJ174" s="1203"/>
      <c r="AK174" s="1203"/>
      <c r="AL174" s="1203"/>
      <c r="AM174" s="1203"/>
      <c r="AN174" s="1203"/>
      <c r="AO174" s="1203"/>
      <c r="AP174" s="1203"/>
      <c r="AQ174" s="1203"/>
      <c r="AR174" s="1203"/>
      <c r="AS174" s="1203"/>
    </row>
    <row r="175" spans="1:45" ht="15.75" customHeight="1">
      <c r="A175" s="1203"/>
      <c r="B175" t="s">
        <v>5058</v>
      </c>
      <c r="C175" s="1203"/>
      <c r="D175" s="1203"/>
      <c r="E175" s="1203"/>
      <c r="F175" s="1203"/>
      <c r="G175" s="1203"/>
      <c r="H175" s="1203"/>
      <c r="I175" s="1672">
        <v>0</v>
      </c>
      <c r="J175" s="1203"/>
      <c r="K175" s="1203"/>
      <c r="L175" s="1203"/>
      <c r="M175" s="1203"/>
      <c r="N175" s="1203"/>
      <c r="O175" s="1203"/>
      <c r="P175" s="1203"/>
      <c r="Q175" s="1203"/>
      <c r="R175" s="1203"/>
      <c r="S175" s="1203"/>
      <c r="T175" s="1203"/>
      <c r="U175" s="1203"/>
      <c r="V175" s="1203"/>
      <c r="W175" s="1203"/>
      <c r="X175" s="1203"/>
      <c r="Y175" s="1203"/>
      <c r="Z175" s="1203"/>
      <c r="AA175" s="1203"/>
      <c r="AB175" s="1203"/>
      <c r="AC175" s="1203"/>
      <c r="AD175" s="1203"/>
      <c r="AE175" s="1203"/>
      <c r="AF175" s="1203"/>
      <c r="AG175" s="1203"/>
      <c r="AH175" s="1203"/>
      <c r="AI175" s="1203"/>
      <c r="AJ175" s="1203"/>
      <c r="AK175" s="1203"/>
      <c r="AL175" s="1203"/>
      <c r="AM175" s="1203"/>
      <c r="AN175" s="1203"/>
      <c r="AO175" s="1203"/>
      <c r="AP175" s="1203"/>
      <c r="AQ175" s="1203"/>
      <c r="AR175" s="1203"/>
      <c r="AS175" s="1203"/>
    </row>
    <row r="176" spans="1:45" ht="15.75" customHeight="1">
      <c r="A176" s="1203"/>
      <c r="C176" s="1203"/>
      <c r="D176" s="1203"/>
      <c r="E176" s="1203"/>
      <c r="F176" s="1203"/>
      <c r="G176" s="1203"/>
      <c r="H176" s="1203"/>
      <c r="I176" s="1203"/>
      <c r="J176" s="1203"/>
      <c r="K176" s="1203"/>
      <c r="L176" s="1203"/>
      <c r="M176" s="1203"/>
      <c r="N176" s="1203"/>
      <c r="O176" s="1203"/>
      <c r="P176" s="1203"/>
      <c r="Q176" s="1203"/>
      <c r="R176" s="1203"/>
      <c r="S176" s="1203"/>
      <c r="T176" s="1203"/>
      <c r="U176" s="1203"/>
      <c r="V176" s="1203"/>
      <c r="W176" s="1203"/>
      <c r="X176" s="1203"/>
      <c r="Y176" s="1203"/>
      <c r="Z176" s="1203"/>
      <c r="AA176" s="1203"/>
      <c r="AB176" s="1203"/>
      <c r="AC176" s="1203"/>
      <c r="AD176" s="1203"/>
      <c r="AE176" s="1203"/>
      <c r="AF176" s="1203"/>
      <c r="AG176" s="1203"/>
      <c r="AH176" s="1203"/>
      <c r="AI176" s="1203"/>
      <c r="AJ176" s="1203"/>
      <c r="AK176" s="1203"/>
      <c r="AL176" s="1203"/>
      <c r="AM176" s="1203"/>
      <c r="AN176" s="1203"/>
      <c r="AO176" s="1203"/>
      <c r="AP176" s="1203"/>
      <c r="AQ176" s="1203"/>
      <c r="AR176" s="1203"/>
      <c r="AS176" s="1203"/>
    </row>
    <row r="177" spans="1:45" ht="15.75" customHeight="1">
      <c r="A177" s="1203"/>
      <c r="B177" t="s">
        <v>6858</v>
      </c>
      <c r="C177" s="1203"/>
      <c r="D177" s="1203"/>
      <c r="E177" s="1203"/>
      <c r="F177" s="1203"/>
      <c r="G177" s="1203"/>
      <c r="H177" s="1672">
        <v>4.0999999999999996</v>
      </c>
      <c r="I177" s="1672">
        <v>31.4</v>
      </c>
      <c r="J177" s="1358">
        <f>I177</f>
        <v>31.4</v>
      </c>
      <c r="K177" s="1358">
        <f t="shared" ref="K177:P177" si="92">J177</f>
        <v>31.4</v>
      </c>
      <c r="L177" s="1358">
        <f t="shared" si="92"/>
        <v>31.4</v>
      </c>
      <c r="M177" s="1358">
        <f t="shared" si="92"/>
        <v>31.4</v>
      </c>
      <c r="N177" s="1358">
        <f t="shared" si="92"/>
        <v>31.4</v>
      </c>
      <c r="O177" s="1358">
        <v>0</v>
      </c>
      <c r="P177" s="1358">
        <f t="shared" si="92"/>
        <v>0</v>
      </c>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3"/>
      <c r="AK177" s="1203"/>
      <c r="AL177" s="1203"/>
      <c r="AM177" s="1203"/>
      <c r="AN177" s="1203"/>
      <c r="AO177" s="1203"/>
      <c r="AP177" s="1203"/>
      <c r="AQ177" s="1203"/>
      <c r="AR177" s="1203"/>
      <c r="AS177" s="1203"/>
    </row>
    <row r="178" spans="1:45" ht="15.75" customHeight="1">
      <c r="A178" s="1203"/>
      <c r="C178" s="1203"/>
      <c r="D178" s="1203"/>
      <c r="E178" s="1203"/>
      <c r="F178" s="1203"/>
      <c r="G178" s="1203"/>
      <c r="H178" s="1203"/>
      <c r="I178" s="1203"/>
      <c r="J178" s="1203"/>
      <c r="K178" s="1203"/>
      <c r="L178" s="1203"/>
      <c r="M178" s="1203"/>
      <c r="N178" s="1203"/>
      <c r="O178" s="1203"/>
      <c r="P178" s="1203"/>
      <c r="Q178" s="1203"/>
      <c r="R178" s="1203"/>
      <c r="S178" s="1203"/>
      <c r="T178" s="1203"/>
      <c r="U178" s="1203"/>
      <c r="V178" s="1203"/>
      <c r="W178" s="1203"/>
      <c r="X178" s="1203"/>
      <c r="Y178" s="1203"/>
      <c r="Z178" s="1203"/>
      <c r="AA178" s="1203"/>
      <c r="AB178" s="1203"/>
      <c r="AC178" s="1203"/>
      <c r="AD178" s="1203"/>
      <c r="AE178" s="1203"/>
      <c r="AF178" s="1203"/>
      <c r="AG178" s="1203"/>
      <c r="AH178" s="1203"/>
      <c r="AI178" s="1203"/>
      <c r="AJ178" s="1203"/>
      <c r="AK178" s="1203"/>
      <c r="AL178" s="1203"/>
      <c r="AM178" s="1203"/>
      <c r="AN178" s="1203"/>
      <c r="AO178" s="1203"/>
      <c r="AP178" s="1203"/>
      <c r="AQ178" s="1203"/>
      <c r="AR178" s="1203"/>
      <c r="AS178" s="1203"/>
    </row>
    <row r="179" spans="1:45" ht="15.75" customHeight="1">
      <c r="A179" s="1203"/>
      <c r="C179" s="1203"/>
      <c r="D179" s="1203"/>
      <c r="E179" s="1203"/>
      <c r="F179" s="1203"/>
      <c r="G179" s="1203"/>
      <c r="H179" s="1203"/>
      <c r="I179" s="1203"/>
      <c r="J179" s="1203"/>
      <c r="K179" s="1203"/>
      <c r="L179" s="1203"/>
      <c r="M179" s="1203"/>
      <c r="N179" s="1203"/>
      <c r="O179" s="1203"/>
      <c r="P179" s="1203"/>
      <c r="Q179" s="1203"/>
      <c r="R179" s="1203"/>
      <c r="S179" s="1203"/>
      <c r="T179" s="1203"/>
      <c r="U179" s="1203"/>
      <c r="V179" s="1203"/>
      <c r="W179" s="1203"/>
      <c r="X179" s="1203"/>
      <c r="Y179" s="1203"/>
      <c r="Z179" s="1203"/>
      <c r="AA179" s="1203"/>
      <c r="AB179" s="1203"/>
      <c r="AC179" s="1203"/>
      <c r="AD179" s="1203"/>
      <c r="AE179" s="1203"/>
      <c r="AF179" s="1203"/>
      <c r="AG179" s="1203"/>
      <c r="AH179" s="1203"/>
      <c r="AI179" s="1203"/>
      <c r="AJ179" s="1203"/>
      <c r="AK179" s="1203"/>
      <c r="AL179" s="1203"/>
      <c r="AM179" s="1203"/>
      <c r="AN179" s="1203"/>
      <c r="AO179" s="1203"/>
      <c r="AP179" s="1203"/>
      <c r="AQ179" s="1203"/>
      <c r="AR179" s="1203"/>
      <c r="AS179" s="1203"/>
    </row>
    <row r="180" spans="1:45" ht="15.75" customHeight="1">
      <c r="A180" s="1203"/>
      <c r="C180" s="1203"/>
      <c r="D180" s="1203"/>
      <c r="E180" s="1203"/>
      <c r="F180" s="1203"/>
      <c r="G180" s="1203"/>
      <c r="H180" s="1203"/>
      <c r="I180" s="1203"/>
      <c r="J180" s="1203"/>
      <c r="K180" s="1203"/>
      <c r="L180" s="1203"/>
      <c r="M180" s="1203"/>
      <c r="N180" s="1203"/>
      <c r="O180" s="1203"/>
      <c r="P180" s="1203"/>
      <c r="Q180" s="1203"/>
      <c r="R180" s="1203"/>
      <c r="S180" s="1203"/>
      <c r="T180" s="1203"/>
      <c r="U180" s="1203"/>
      <c r="V180" s="1203"/>
      <c r="W180" s="1203"/>
      <c r="X180" s="1203"/>
      <c r="Y180" s="1203"/>
      <c r="Z180" s="1203"/>
      <c r="AA180" s="1203"/>
      <c r="AB180" s="1203"/>
      <c r="AC180" s="1203"/>
      <c r="AD180" s="1203"/>
      <c r="AE180" s="1203"/>
      <c r="AF180" s="1203"/>
      <c r="AG180" s="1203"/>
      <c r="AH180" s="1203"/>
      <c r="AI180" s="1203"/>
      <c r="AJ180" s="1203"/>
      <c r="AK180" s="1203"/>
      <c r="AL180" s="1203"/>
      <c r="AM180" s="1203"/>
      <c r="AN180" s="1203"/>
      <c r="AO180" s="1203"/>
      <c r="AP180" s="1203"/>
      <c r="AQ180" s="1203"/>
      <c r="AR180" s="1203"/>
      <c r="AS180" s="1203"/>
    </row>
    <row r="181" spans="1:45" ht="15.75" customHeight="1">
      <c r="A181" s="1203"/>
      <c r="B181" s="1609" t="s">
        <v>6832</v>
      </c>
      <c r="C181" s="1609">
        <f>C$1</f>
        <v>2017</v>
      </c>
      <c r="D181" s="1609">
        <f t="shared" ref="D181:P181" si="93">D$1</f>
        <v>2018</v>
      </c>
      <c r="E181" s="1609">
        <f t="shared" si="93"/>
        <v>2019</v>
      </c>
      <c r="F181" s="1609">
        <f t="shared" si="93"/>
        <v>2020</v>
      </c>
      <c r="G181" s="1609">
        <f t="shared" si="93"/>
        <v>2021</v>
      </c>
      <c r="H181" s="1609">
        <f t="shared" si="93"/>
        <v>2022</v>
      </c>
      <c r="I181" s="1609">
        <f t="shared" si="93"/>
        <v>2023</v>
      </c>
      <c r="J181" s="1609">
        <f t="shared" si="93"/>
        <v>2024</v>
      </c>
      <c r="K181" s="1609">
        <f t="shared" si="93"/>
        <v>2025</v>
      </c>
      <c r="L181" s="1609">
        <f t="shared" si="93"/>
        <v>2026</v>
      </c>
      <c r="M181" s="1609">
        <f t="shared" si="93"/>
        <v>2027</v>
      </c>
      <c r="N181" s="1609">
        <f t="shared" si="93"/>
        <v>2028</v>
      </c>
      <c r="O181" s="1609">
        <f t="shared" si="93"/>
        <v>2029</v>
      </c>
      <c r="P181" s="1609">
        <f t="shared" si="93"/>
        <v>2030</v>
      </c>
      <c r="Q181" s="1203"/>
      <c r="R181" s="1203"/>
      <c r="S181" s="1203"/>
      <c r="T181" s="1203"/>
      <c r="U181" s="1203"/>
      <c r="V181" s="1203"/>
      <c r="W181" s="1203"/>
      <c r="X181" s="1203"/>
      <c r="Y181" s="1203"/>
      <c r="Z181" s="1203"/>
      <c r="AA181" s="1203"/>
      <c r="AB181" s="1203"/>
      <c r="AC181" s="1203"/>
      <c r="AD181" s="1203"/>
      <c r="AE181" s="1203"/>
      <c r="AF181" s="1203"/>
      <c r="AG181" s="1203"/>
      <c r="AH181" s="1203"/>
      <c r="AI181" s="1203"/>
      <c r="AJ181" s="1203"/>
      <c r="AK181" s="1203"/>
      <c r="AL181" s="1203"/>
      <c r="AM181" s="1203"/>
      <c r="AN181" s="1203"/>
      <c r="AO181" s="1203"/>
      <c r="AP181" s="1203"/>
      <c r="AQ181" s="1203"/>
      <c r="AR181" s="1203"/>
      <c r="AS181" s="1203"/>
    </row>
    <row r="182" spans="1:45" ht="15.75" customHeight="1">
      <c r="A182" s="1203"/>
      <c r="B182" s="1203" t="s">
        <v>27</v>
      </c>
      <c r="C182" s="1203"/>
      <c r="D182" s="1203"/>
      <c r="E182" s="1203"/>
      <c r="F182" s="1203"/>
      <c r="G182" s="1203"/>
      <c r="H182" s="1306">
        <f t="shared" ref="H182:P182" si="94">H158</f>
        <v>44.8</v>
      </c>
      <c r="I182" s="1306">
        <f t="shared" si="94"/>
        <v>63.1</v>
      </c>
      <c r="J182" s="1306">
        <f t="shared" si="94"/>
        <v>112.86910407181142</v>
      </c>
      <c r="K182" s="1306">
        <f t="shared" si="94"/>
        <v>117.19428223068006</v>
      </c>
      <c r="L182" s="1306">
        <f t="shared" si="94"/>
        <v>125.65758688445069</v>
      </c>
      <c r="M182" s="1306">
        <f t="shared" si="94"/>
        <v>131.30896985020215</v>
      </c>
      <c r="N182" s="1306">
        <f t="shared" si="94"/>
        <v>137.02647344937904</v>
      </c>
      <c r="O182" s="1306">
        <f t="shared" si="94"/>
        <v>142.97026368870326</v>
      </c>
      <c r="P182" s="1306">
        <f t="shared" si="94"/>
        <v>149.16801892825103</v>
      </c>
      <c r="Q182" s="1203"/>
      <c r="R182" s="1203"/>
      <c r="S182" s="1203"/>
      <c r="T182" s="1203"/>
      <c r="U182" s="1203"/>
      <c r="V182" s="1203"/>
      <c r="W182" s="1203"/>
      <c r="X182" s="1203"/>
      <c r="Y182" s="1203"/>
      <c r="Z182" s="1203"/>
      <c r="AA182" s="1203"/>
      <c r="AB182" s="1203"/>
      <c r="AC182" s="1203"/>
      <c r="AD182" s="1203"/>
      <c r="AE182" s="1203"/>
      <c r="AF182" s="1203"/>
      <c r="AG182" s="1203"/>
      <c r="AH182" s="1203"/>
      <c r="AI182" s="1203"/>
      <c r="AJ182" s="1203"/>
      <c r="AK182" s="1203"/>
      <c r="AL182" s="1203"/>
      <c r="AM182" s="1203"/>
      <c r="AN182" s="1203"/>
      <c r="AO182" s="1203"/>
      <c r="AP182" s="1203"/>
      <c r="AQ182" s="1203"/>
      <c r="AR182" s="1203"/>
      <c r="AS182" s="1203"/>
    </row>
    <row r="183" spans="1:45" ht="15.75" customHeight="1">
      <c r="A183" s="1203"/>
      <c r="B183" s="1203" t="s">
        <v>731</v>
      </c>
      <c r="C183" s="1203"/>
      <c r="D183" s="1203"/>
      <c r="E183" s="1203"/>
      <c r="F183" s="1203"/>
      <c r="G183" s="1203"/>
      <c r="H183" s="1672">
        <v>-20</v>
      </c>
      <c r="I183" s="1672">
        <v>-21</v>
      </c>
      <c r="J183" s="1217">
        <f>J215</f>
        <v>-27.576750993100564</v>
      </c>
      <c r="K183" s="1217">
        <f t="shared" ref="K183:P183" si="95">K215</f>
        <v>-25.102</v>
      </c>
      <c r="L183" s="1217">
        <f t="shared" si="95"/>
        <v>-25.102</v>
      </c>
      <c r="M183" s="1217">
        <f t="shared" si="95"/>
        <v>-25.102</v>
      </c>
      <c r="N183" s="1217">
        <f t="shared" si="95"/>
        <v>-25.102</v>
      </c>
      <c r="O183" s="1217">
        <f t="shared" si="95"/>
        <v>-25.102</v>
      </c>
      <c r="P183" s="1217">
        <f t="shared" si="95"/>
        <v>-25.102</v>
      </c>
      <c r="Q183" s="1203"/>
      <c r="R183" s="1203"/>
      <c r="S183" s="1203"/>
      <c r="T183" s="1203"/>
      <c r="U183" s="1203"/>
      <c r="V183" s="1203"/>
      <c r="W183" s="1203"/>
      <c r="X183" s="1203"/>
      <c r="Y183" s="1203"/>
      <c r="Z183" s="1203"/>
      <c r="AA183" s="1203"/>
      <c r="AB183" s="1203"/>
      <c r="AC183" s="1203"/>
      <c r="AD183" s="1203"/>
      <c r="AE183" s="1203"/>
      <c r="AF183" s="1203"/>
      <c r="AG183" s="1203"/>
      <c r="AH183" s="1203"/>
      <c r="AI183" s="1203"/>
      <c r="AJ183" s="1203"/>
      <c r="AK183" s="1203"/>
      <c r="AL183" s="1203"/>
      <c r="AM183" s="1203"/>
      <c r="AN183" s="1203"/>
      <c r="AO183" s="1203"/>
      <c r="AP183" s="1203"/>
      <c r="AQ183" s="1203"/>
      <c r="AR183" s="1203"/>
      <c r="AS183" s="1203"/>
    </row>
    <row r="184" spans="1:45" ht="15.75" customHeight="1">
      <c r="A184" s="1203"/>
      <c r="B184" s="1203" t="s">
        <v>2725</v>
      </c>
      <c r="C184" s="1203"/>
      <c r="D184" s="1203"/>
      <c r="E184" s="1203"/>
      <c r="F184" s="1203"/>
      <c r="G184" s="1203"/>
      <c r="H184" s="1672">
        <v>-18.899999999999999</v>
      </c>
      <c r="I184" s="1672">
        <v>-6.8</v>
      </c>
      <c r="J184" s="1217">
        <f ca="1">J219</f>
        <v>-8.1400959607749446</v>
      </c>
      <c r="K184" s="1217">
        <f t="shared" ref="K184:P184" ca="1" si="96">K219</f>
        <v>-9.460061486112588</v>
      </c>
      <c r="L184" s="1217">
        <f t="shared" ca="1" si="96"/>
        <v>-11.132043406944456</v>
      </c>
      <c r="M184" s="1217">
        <f t="shared" ca="1" si="96"/>
        <v>-11.983836946276295</v>
      </c>
      <c r="N184" s="1217">
        <f t="shared" ca="1" si="96"/>
        <v>-12.845596387531545</v>
      </c>
      <c r="O184" s="1217">
        <f t="shared" ca="1" si="96"/>
        <v>-13.741462435839033</v>
      </c>
      <c r="P184" s="1217">
        <f t="shared" ca="1" si="96"/>
        <v>-14.675606857372649</v>
      </c>
      <c r="Q184" s="1203"/>
      <c r="R184" s="1203"/>
      <c r="S184" s="1203"/>
      <c r="T184" s="1203"/>
      <c r="U184" s="1203"/>
      <c r="V184" s="1203"/>
      <c r="W184" s="1203"/>
      <c r="X184" s="1203"/>
      <c r="Y184" s="1203"/>
      <c r="Z184" s="1203"/>
      <c r="AA184" s="1203"/>
      <c r="AB184" s="1203"/>
      <c r="AC184" s="1203"/>
      <c r="AD184" s="1203"/>
      <c r="AE184" s="1203"/>
      <c r="AF184" s="1203"/>
      <c r="AG184" s="1203"/>
      <c r="AH184" s="1203"/>
      <c r="AI184" s="1203"/>
      <c r="AJ184" s="1203"/>
      <c r="AK184" s="1203"/>
      <c r="AL184" s="1203"/>
      <c r="AM184" s="1203"/>
      <c r="AN184" s="1203"/>
      <c r="AO184" s="1203"/>
      <c r="AP184" s="1203"/>
      <c r="AQ184" s="1203"/>
      <c r="AR184" s="1203"/>
      <c r="AS184" s="1203"/>
    </row>
    <row r="185" spans="1:45" ht="15.75" customHeight="1">
      <c r="A185" s="1203"/>
      <c r="B185" s="1203" t="s">
        <v>6829</v>
      </c>
      <c r="C185" s="1203"/>
      <c r="D185" s="1203"/>
      <c r="E185" s="1203"/>
      <c r="F185" s="1203"/>
      <c r="G185" s="1203"/>
      <c r="H185" s="1203">
        <v>-34.4</v>
      </c>
      <c r="I185" s="1203">
        <v>-47.9</v>
      </c>
      <c r="J185" s="1217">
        <f t="shared" ref="J185:P185" si="97">J202*J123</f>
        <v>-49.099372321270771</v>
      </c>
      <c r="K185" s="1217">
        <f t="shared" si="97"/>
        <v>-50.980875098532174</v>
      </c>
      <c r="L185" s="1217">
        <f t="shared" si="97"/>
        <v>-53.224023873135863</v>
      </c>
      <c r="M185" s="1217">
        <f t="shared" si="97"/>
        <v>-55.617745966191663</v>
      </c>
      <c r="N185" s="1217">
        <f t="shared" si="97"/>
        <v>-58.039474375930737</v>
      </c>
      <c r="O185" s="1217">
        <f t="shared" si="97"/>
        <v>-60.557049648847681</v>
      </c>
      <c r="P185" s="1217">
        <f t="shared" si="97"/>
        <v>-63.182195340471353</v>
      </c>
      <c r="Q185" s="1203"/>
      <c r="R185" s="1203"/>
      <c r="S185" s="1203"/>
      <c r="T185" s="1203"/>
      <c r="U185" s="1203"/>
      <c r="V185" s="1203"/>
      <c r="W185" s="1203"/>
      <c r="X185" s="1203"/>
      <c r="Y185" s="1203"/>
      <c r="Z185" s="1203"/>
      <c r="AA185" s="1203"/>
      <c r="AB185" s="1203"/>
      <c r="AC185" s="1203"/>
      <c r="AD185" s="1203"/>
      <c r="AE185" s="1203"/>
      <c r="AF185" s="1203"/>
      <c r="AG185" s="1203"/>
      <c r="AH185" s="1203"/>
      <c r="AI185" s="1203"/>
      <c r="AJ185" s="1203"/>
      <c r="AK185" s="1203"/>
      <c r="AL185" s="1203"/>
      <c r="AM185" s="1203"/>
      <c r="AN185" s="1203"/>
      <c r="AO185" s="1203"/>
      <c r="AP185" s="1203"/>
      <c r="AQ185" s="1203"/>
      <c r="AR185" s="1203"/>
      <c r="AS185" s="1203"/>
    </row>
    <row r="186" spans="1:45" ht="15.75" customHeight="1">
      <c r="A186" s="1203"/>
      <c r="B186" s="1203" t="s">
        <v>213</v>
      </c>
      <c r="C186" s="1203"/>
      <c r="D186" s="1203"/>
      <c r="E186" s="1203"/>
      <c r="F186" s="1203"/>
      <c r="G186" s="1203"/>
      <c r="H186" s="1217">
        <v>0</v>
      </c>
      <c r="I186" s="1203">
        <v>-8.5</v>
      </c>
      <c r="J186" s="1217">
        <f ca="1">-J203*J220</f>
        <v>-8.5471007588136931</v>
      </c>
      <c r="K186" s="1217">
        <f t="shared" ref="K186:P186" ca="1" si="98">-K203*K220</f>
        <v>-12.416330700522774</v>
      </c>
      <c r="L186" s="1217">
        <f t="shared" ca="1" si="98"/>
        <v>-17.532968365937524</v>
      </c>
      <c r="M186" s="1217">
        <f t="shared" ca="1" si="98"/>
        <v>-22.02030038878269</v>
      </c>
      <c r="N186" s="1217">
        <f t="shared" ca="1" si="98"/>
        <v>-26.975752413816249</v>
      </c>
      <c r="O186" s="1217">
        <f t="shared" ca="1" si="98"/>
        <v>-28.857071115261974</v>
      </c>
      <c r="P186" s="1217">
        <f t="shared" ca="1" si="98"/>
        <v>-30.818774400482567</v>
      </c>
      <c r="Q186" s="1203"/>
      <c r="R186" s="1203"/>
      <c r="S186" s="1203"/>
      <c r="T186" s="1203"/>
      <c r="U186" s="1203"/>
      <c r="V186" s="1203"/>
      <c r="W186" s="1203"/>
      <c r="X186" s="1203"/>
      <c r="Y186" s="1203"/>
      <c r="Z186" s="1203"/>
      <c r="AA186" s="1203"/>
      <c r="AB186" s="1203"/>
      <c r="AC186" s="1203"/>
      <c r="AD186" s="1203"/>
      <c r="AE186" s="1203"/>
      <c r="AF186" s="1203"/>
      <c r="AG186" s="1203"/>
      <c r="AH186" s="1203"/>
      <c r="AI186" s="1203"/>
      <c r="AJ186" s="1203"/>
      <c r="AK186" s="1203"/>
      <c r="AL186" s="1203"/>
      <c r="AM186" s="1203"/>
      <c r="AN186" s="1203"/>
      <c r="AO186" s="1203"/>
      <c r="AP186" s="1203"/>
      <c r="AQ186" s="1203"/>
      <c r="AR186" s="1203"/>
      <c r="AS186" s="1203"/>
    </row>
    <row r="187" spans="1:45" ht="15.75" customHeight="1">
      <c r="A187" s="1203"/>
      <c r="B187" s="1203" t="s">
        <v>7741</v>
      </c>
      <c r="C187" s="1203"/>
      <c r="D187" s="1203"/>
      <c r="E187" s="1203"/>
      <c r="F187" s="1203"/>
      <c r="G187" s="1203"/>
      <c r="H187" s="1217">
        <v>0</v>
      </c>
      <c r="I187" s="1217">
        <v>-1</v>
      </c>
      <c r="J187" s="1823">
        <v>0</v>
      </c>
      <c r="K187" s="1823">
        <v>0</v>
      </c>
      <c r="L187" s="1823">
        <v>0</v>
      </c>
      <c r="M187" s="1823">
        <v>0</v>
      </c>
      <c r="N187" s="1823">
        <v>0</v>
      </c>
      <c r="O187" s="1823">
        <v>0</v>
      </c>
      <c r="P187" s="1823">
        <v>0</v>
      </c>
      <c r="Q187" s="1203"/>
      <c r="R187" s="1203"/>
      <c r="S187" s="1203"/>
      <c r="T187" s="1203"/>
      <c r="U187" s="1203"/>
      <c r="V187" s="1203"/>
      <c r="W187" s="1203"/>
      <c r="X187" s="1203"/>
      <c r="Y187" s="1203"/>
      <c r="Z187" s="1203"/>
      <c r="AA187" s="1203"/>
      <c r="AB187" s="1203"/>
      <c r="AC187" s="1203"/>
      <c r="AD187" s="1203"/>
      <c r="AE187" s="1203"/>
      <c r="AF187" s="1203"/>
      <c r="AG187" s="1203"/>
      <c r="AH187" s="1203"/>
      <c r="AI187" s="1203"/>
      <c r="AJ187" s="1203"/>
      <c r="AK187" s="1203"/>
      <c r="AL187" s="1203"/>
      <c r="AM187" s="1203"/>
      <c r="AN187" s="1203"/>
      <c r="AO187" s="1203"/>
      <c r="AP187" s="1203"/>
      <c r="AQ187" s="1203"/>
      <c r="AR187" s="1203"/>
      <c r="AS187" s="1203"/>
    </row>
    <row r="188" spans="1:45" ht="15.75" customHeight="1">
      <c r="A188" s="1203"/>
      <c r="B188" s="1203" t="s">
        <v>4</v>
      </c>
      <c r="C188" s="1203"/>
      <c r="D188" s="1203"/>
      <c r="E188" s="1203"/>
      <c r="F188" s="1203"/>
      <c r="G188" s="1203"/>
      <c r="H188" s="1217"/>
      <c r="I188" s="1217"/>
      <c r="J188" s="1823">
        <v>0</v>
      </c>
      <c r="K188" s="1823">
        <v>0</v>
      </c>
      <c r="L188" s="1823">
        <v>0</v>
      </c>
      <c r="M188" s="1823">
        <v>0</v>
      </c>
      <c r="N188" s="1823">
        <v>0</v>
      </c>
      <c r="O188" s="1823">
        <v>0</v>
      </c>
      <c r="P188" s="1823">
        <v>0</v>
      </c>
      <c r="Q188" s="1203"/>
      <c r="R188" s="1203"/>
      <c r="S188" s="1203"/>
      <c r="T188" s="1203"/>
      <c r="U188" s="1203"/>
      <c r="V188" s="1203"/>
      <c r="W188" s="1203"/>
      <c r="X188" s="1203"/>
      <c r="Y188" s="1203"/>
      <c r="Z188" s="1203"/>
      <c r="AA188" s="1203"/>
      <c r="AB188" s="1203"/>
      <c r="AC188" s="1203"/>
      <c r="AD188" s="1203"/>
      <c r="AE188" s="1203"/>
      <c r="AF188" s="1203"/>
      <c r="AG188" s="1203"/>
      <c r="AH188" s="1203"/>
      <c r="AI188" s="1203"/>
      <c r="AJ188" s="1203"/>
      <c r="AK188" s="1203"/>
      <c r="AL188" s="1203"/>
      <c r="AM188" s="1203"/>
      <c r="AN188" s="1203"/>
      <c r="AO188" s="1203"/>
      <c r="AP188" s="1203"/>
      <c r="AQ188" s="1203"/>
      <c r="AR188" s="1203"/>
      <c r="AS188" s="1203"/>
    </row>
    <row r="189" spans="1:45" ht="15.75" customHeight="1">
      <c r="A189" s="1203"/>
      <c r="B189" s="1483" t="s">
        <v>377</v>
      </c>
      <c r="C189" s="1483"/>
      <c r="D189" s="1483"/>
      <c r="E189" s="1483"/>
      <c r="F189" s="1483"/>
      <c r="G189" s="1483"/>
      <c r="H189" s="1818">
        <f t="shared" ref="H189" si="99">SUM(H182:H188)</f>
        <v>-28.5</v>
      </c>
      <c r="I189" s="1818">
        <f>SUM(I182:I188)</f>
        <v>-22.099999999999994</v>
      </c>
      <c r="J189" s="1818">
        <f t="shared" ref="J189:P189" ca="1" si="100">SUM(J182:J188)</f>
        <v>19.505784037851456</v>
      </c>
      <c r="K189" s="1818">
        <f t="shared" ca="1" si="100"/>
        <v>19.235014945512514</v>
      </c>
      <c r="L189" s="1818">
        <f t="shared" ca="1" si="100"/>
        <v>18.666551238432842</v>
      </c>
      <c r="M189" s="1818">
        <f t="shared" ca="1" si="100"/>
        <v>16.585086548951491</v>
      </c>
      <c r="N189" s="1818">
        <f t="shared" ca="1" si="100"/>
        <v>14.063650272100507</v>
      </c>
      <c r="O189" s="1818">
        <f t="shared" ca="1" si="100"/>
        <v>14.712680488754572</v>
      </c>
      <c r="P189" s="1818">
        <f t="shared" ca="1" si="100"/>
        <v>15.389442329924449</v>
      </c>
      <c r="Q189" s="1203"/>
      <c r="R189" s="1203"/>
      <c r="S189" s="1203"/>
      <c r="T189" s="1203"/>
      <c r="U189" s="1203"/>
      <c r="V189" s="1203"/>
      <c r="W189" s="1203"/>
      <c r="X189" s="1203"/>
      <c r="Y189" s="1203"/>
      <c r="Z189" s="1203"/>
      <c r="AA189" s="1203"/>
      <c r="AB189" s="1203"/>
      <c r="AC189" s="1203"/>
      <c r="AD189" s="1203"/>
      <c r="AE189" s="1203"/>
      <c r="AF189" s="1203"/>
      <c r="AG189" s="1203"/>
      <c r="AH189" s="1203"/>
      <c r="AI189" s="1203"/>
      <c r="AJ189" s="1203"/>
      <c r="AK189" s="1203"/>
      <c r="AL189" s="1203"/>
      <c r="AM189" s="1203"/>
      <c r="AN189" s="1203"/>
      <c r="AO189" s="1203"/>
      <c r="AP189" s="1203"/>
      <c r="AQ189" s="1203"/>
      <c r="AR189" s="1203"/>
      <c r="AS189" s="1203"/>
    </row>
    <row r="190" spans="1:45" ht="15.75" customHeight="1">
      <c r="A190" s="1203"/>
      <c r="B190" s="1203" t="s">
        <v>116</v>
      </c>
      <c r="C190" s="1203"/>
      <c r="D190" s="1203"/>
      <c r="E190" s="1203"/>
      <c r="F190" s="1203"/>
      <c r="G190" s="1203"/>
      <c r="H190" s="1306">
        <f>-H189</f>
        <v>28.5</v>
      </c>
      <c r="I190" s="1306">
        <f t="shared" ref="I190:P190" si="101">-I189</f>
        <v>22.099999999999994</v>
      </c>
      <c r="J190" s="1306">
        <f t="shared" ca="1" si="101"/>
        <v>-19.505784037851456</v>
      </c>
      <c r="K190" s="1306">
        <f t="shared" ca="1" si="101"/>
        <v>-19.235014945512514</v>
      </c>
      <c r="L190" s="1306">
        <f t="shared" ca="1" si="101"/>
        <v>-18.666551238432842</v>
      </c>
      <c r="M190" s="1306">
        <f t="shared" ca="1" si="101"/>
        <v>-16.585086548951491</v>
      </c>
      <c r="N190" s="1306">
        <f t="shared" ca="1" si="101"/>
        <v>-14.063650272100507</v>
      </c>
      <c r="O190" s="1306">
        <f t="shared" ca="1" si="101"/>
        <v>-14.712680488754572</v>
      </c>
      <c r="P190" s="1306">
        <f t="shared" ca="1" si="101"/>
        <v>-15.389442329924449</v>
      </c>
      <c r="Q190" s="1203"/>
      <c r="R190" s="1203"/>
      <c r="S190" s="1203"/>
      <c r="T190" s="1203"/>
      <c r="U190" s="1203"/>
      <c r="V190" s="1203"/>
      <c r="W190" s="1203"/>
      <c r="X190" s="1203"/>
      <c r="Y190" s="1203"/>
      <c r="Z190" s="1203"/>
      <c r="AA190" s="1203"/>
      <c r="AB190" s="1203"/>
      <c r="AC190" s="1203"/>
      <c r="AD190" s="1203"/>
      <c r="AE190" s="1203"/>
      <c r="AF190" s="1203"/>
      <c r="AG190" s="1203"/>
      <c r="AH190" s="1203"/>
      <c r="AI190" s="1203"/>
      <c r="AJ190" s="1203"/>
      <c r="AK190" s="1203"/>
      <c r="AL190" s="1203"/>
      <c r="AM190" s="1203"/>
      <c r="AN190" s="1203"/>
      <c r="AO190" s="1203"/>
      <c r="AP190" s="1203"/>
      <c r="AQ190" s="1203"/>
      <c r="AR190" s="1203"/>
      <c r="AS190" s="1203"/>
    </row>
    <row r="191" spans="1:45" ht="15.75" customHeight="1">
      <c r="A191" s="1203"/>
      <c r="B191" s="1203"/>
      <c r="C191" s="1203"/>
      <c r="D191" s="1203"/>
      <c r="E191" s="1203"/>
      <c r="F191" s="1203"/>
      <c r="G191" s="1203"/>
      <c r="H191" s="1203"/>
      <c r="I191" s="1203"/>
      <c r="J191" s="1203"/>
      <c r="K191" s="1203"/>
      <c r="L191" s="1203"/>
      <c r="M191" s="1203"/>
      <c r="N191" s="1203"/>
      <c r="O191" s="1203"/>
      <c r="P191" s="1203"/>
      <c r="Q191" s="1203"/>
      <c r="R191" s="1203"/>
      <c r="S191" s="1203"/>
      <c r="T191" s="1203"/>
      <c r="U191" s="1203"/>
      <c r="V191" s="1203"/>
      <c r="W191" s="1203"/>
      <c r="X191" s="1203"/>
      <c r="Y191" s="1203"/>
      <c r="Z191" s="1203"/>
      <c r="AA191" s="1203"/>
      <c r="AB191" s="1203"/>
      <c r="AC191" s="1203"/>
      <c r="AD191" s="1203"/>
      <c r="AE191" s="1203"/>
      <c r="AF191" s="1203"/>
      <c r="AG191" s="1203"/>
      <c r="AH191" s="1203"/>
      <c r="AI191" s="1203"/>
      <c r="AJ191" s="1203"/>
      <c r="AK191" s="1203"/>
      <c r="AL191" s="1203"/>
      <c r="AM191" s="1203"/>
      <c r="AN191" s="1203"/>
      <c r="AO191" s="1203"/>
      <c r="AP191" s="1203"/>
      <c r="AQ191" s="1203"/>
      <c r="AR191" s="1203"/>
      <c r="AS191" s="1203"/>
    </row>
    <row r="192" spans="1:45" ht="15.75" customHeight="1">
      <c r="A192" s="1203"/>
      <c r="B192" s="1203"/>
      <c r="C192" s="1203"/>
      <c r="D192" s="1203"/>
      <c r="E192" s="1203"/>
      <c r="F192" s="1203"/>
      <c r="G192" s="1203"/>
      <c r="H192" s="1203"/>
      <c r="I192" s="1203"/>
      <c r="J192" s="1203"/>
      <c r="K192" s="1203"/>
      <c r="L192" s="1203"/>
      <c r="M192" s="1203"/>
      <c r="N192" s="1203"/>
      <c r="O192" s="1203"/>
      <c r="P192" s="1203"/>
      <c r="Q192" s="1203"/>
      <c r="R192" s="1203"/>
      <c r="S192" s="1203"/>
      <c r="T192" s="1203"/>
      <c r="U192" s="1203"/>
      <c r="V192" s="1203"/>
      <c r="W192" s="1203"/>
      <c r="X192" s="1203"/>
      <c r="Y192" s="1203"/>
      <c r="Z192" s="1203"/>
      <c r="AA192" s="1203"/>
      <c r="AB192" s="1203"/>
      <c r="AC192" s="1203"/>
      <c r="AD192" s="1203"/>
      <c r="AE192" s="1203"/>
      <c r="AF192" s="1203"/>
      <c r="AG192" s="1203"/>
      <c r="AH192" s="1203"/>
      <c r="AI192" s="1203"/>
      <c r="AJ192" s="1203"/>
      <c r="AK192" s="1203"/>
      <c r="AL192" s="1203"/>
      <c r="AM192" s="1203"/>
      <c r="AN192" s="1203"/>
      <c r="AO192" s="1203"/>
      <c r="AP192" s="1203"/>
      <c r="AQ192" s="1203"/>
      <c r="AR192" s="1203"/>
      <c r="AS192" s="1203"/>
    </row>
    <row r="193" spans="1:45" ht="15.75" customHeight="1">
      <c r="A193" s="1203"/>
      <c r="B193" s="1203"/>
      <c r="C193" s="1203"/>
      <c r="D193" s="1203"/>
      <c r="E193" s="1203"/>
      <c r="F193" s="1203"/>
      <c r="G193" s="1203"/>
      <c r="H193" s="1203"/>
      <c r="I193" s="1203"/>
      <c r="J193" s="1203"/>
      <c r="K193" s="1203"/>
      <c r="L193" s="1203"/>
      <c r="M193" s="1203"/>
      <c r="N193" s="1203"/>
      <c r="O193" s="1203"/>
      <c r="P193" s="1203"/>
      <c r="Q193" s="1203"/>
      <c r="R193" s="1203"/>
      <c r="S193" s="1203"/>
      <c r="T193" s="1203"/>
      <c r="U193" s="1203"/>
      <c r="V193" s="1203"/>
      <c r="W193" s="1203"/>
      <c r="X193" s="1203"/>
      <c r="Y193" s="1203"/>
      <c r="Z193" s="1203"/>
      <c r="AA193" s="1203"/>
      <c r="AB193" s="1203"/>
      <c r="AC193" s="1203"/>
      <c r="AD193" s="1203"/>
      <c r="AE193" s="1203"/>
      <c r="AF193" s="1203"/>
      <c r="AG193" s="1203"/>
      <c r="AH193" s="1203"/>
      <c r="AI193" s="1203"/>
      <c r="AJ193" s="1203"/>
      <c r="AK193" s="1203"/>
      <c r="AL193" s="1203"/>
      <c r="AM193" s="1203"/>
      <c r="AN193" s="1203"/>
      <c r="AO193" s="1203"/>
      <c r="AP193" s="1203"/>
      <c r="AQ193" s="1203"/>
      <c r="AR193" s="1203"/>
      <c r="AS193" s="1203"/>
    </row>
    <row r="194" spans="1:45" ht="15.75" customHeight="1">
      <c r="A194" s="1203"/>
      <c r="B194" s="1482" t="s">
        <v>3070</v>
      </c>
      <c r="C194" s="1609">
        <f>C$1</f>
        <v>2017</v>
      </c>
      <c r="D194" s="1609">
        <f t="shared" ref="D194:P194" si="102">D$1</f>
        <v>2018</v>
      </c>
      <c r="E194" s="1609">
        <f t="shared" si="102"/>
        <v>2019</v>
      </c>
      <c r="F194" s="1609">
        <f t="shared" si="102"/>
        <v>2020</v>
      </c>
      <c r="G194" s="1609">
        <f t="shared" si="102"/>
        <v>2021</v>
      </c>
      <c r="H194" s="1609">
        <f t="shared" si="102"/>
        <v>2022</v>
      </c>
      <c r="I194" s="1609">
        <f t="shared" si="102"/>
        <v>2023</v>
      </c>
      <c r="J194" s="1609">
        <f t="shared" si="102"/>
        <v>2024</v>
      </c>
      <c r="K194" s="1609">
        <f t="shared" si="102"/>
        <v>2025</v>
      </c>
      <c r="L194" s="1609">
        <f t="shared" si="102"/>
        <v>2026</v>
      </c>
      <c r="M194" s="1609">
        <f t="shared" si="102"/>
        <v>2027</v>
      </c>
      <c r="N194" s="1609">
        <f t="shared" si="102"/>
        <v>2028</v>
      </c>
      <c r="O194" s="1609">
        <f t="shared" si="102"/>
        <v>2029</v>
      </c>
      <c r="P194" s="1609">
        <f t="shared" si="102"/>
        <v>2030</v>
      </c>
      <c r="Q194" s="1203"/>
      <c r="R194" s="1203"/>
      <c r="S194" s="1203"/>
      <c r="T194" s="1203"/>
      <c r="U194" s="1203"/>
      <c r="V194" s="1203"/>
      <c r="W194" s="1203"/>
      <c r="X194" s="1203"/>
      <c r="Y194" s="1203"/>
      <c r="Z194" s="1203"/>
      <c r="AA194" s="1203"/>
      <c r="AB194" s="1203"/>
      <c r="AC194" s="1203"/>
      <c r="AD194" s="1203"/>
      <c r="AE194" s="1203"/>
      <c r="AF194" s="1203"/>
      <c r="AG194" s="1203"/>
      <c r="AH194" s="1203"/>
      <c r="AI194" s="1203"/>
      <c r="AJ194" s="1203"/>
      <c r="AK194" s="1203"/>
      <c r="AL194" s="1203"/>
      <c r="AM194" s="1203"/>
      <c r="AN194" s="1203"/>
      <c r="AO194" s="1203"/>
      <c r="AP194" s="1203"/>
      <c r="AQ194" s="1203"/>
      <c r="AR194" s="1203"/>
      <c r="AS194" s="1203"/>
    </row>
    <row r="195" spans="1:45" ht="15.75" customHeight="1">
      <c r="A195" s="1203"/>
      <c r="B195" s="1203" t="s">
        <v>6855</v>
      </c>
      <c r="C195" s="1203"/>
      <c r="D195" s="1203"/>
      <c r="E195" s="1203"/>
      <c r="F195" s="1203"/>
      <c r="G195" s="1203"/>
      <c r="H195" s="1217">
        <f t="shared" ref="H195:P195" si="103">H169</f>
        <v>9.5</v>
      </c>
      <c r="I195" s="1217">
        <f t="shared" si="103"/>
        <v>15.9</v>
      </c>
      <c r="J195" s="1217">
        <f t="shared" ca="1" si="103"/>
        <v>35.405784037851454</v>
      </c>
      <c r="K195" s="1217">
        <f t="shared" ca="1" si="103"/>
        <v>54.640798983363972</v>
      </c>
      <c r="L195" s="1217">
        <f t="shared" ca="1" si="103"/>
        <v>73.30735022179681</v>
      </c>
      <c r="M195" s="1217">
        <f t="shared" ca="1" si="103"/>
        <v>89.892436770748304</v>
      </c>
      <c r="N195" s="1217">
        <f t="shared" ca="1" si="103"/>
        <v>103.95608704284881</v>
      </c>
      <c r="O195" s="1217">
        <f t="shared" ca="1" si="103"/>
        <v>118.66876753160338</v>
      </c>
      <c r="P195" s="1217">
        <f t="shared" ca="1" si="103"/>
        <v>134.05820986152781</v>
      </c>
      <c r="Q195" s="1203"/>
      <c r="R195" s="1203"/>
      <c r="S195" s="1203"/>
      <c r="T195" s="1203"/>
      <c r="U195" s="1203"/>
      <c r="V195" s="1203"/>
      <c r="W195" s="1203"/>
      <c r="X195" s="1203"/>
      <c r="Y195" s="1203"/>
      <c r="Z195" s="1203"/>
      <c r="AA195" s="1203"/>
      <c r="AB195" s="1203"/>
      <c r="AC195" s="1203"/>
      <c r="AD195" s="1203"/>
      <c r="AE195" s="1203"/>
      <c r="AF195" s="1203"/>
      <c r="AG195" s="1203"/>
      <c r="AH195" s="1203"/>
      <c r="AI195" s="1203"/>
      <c r="AJ195" s="1203"/>
      <c r="AK195" s="1203"/>
      <c r="AL195" s="1203"/>
      <c r="AM195" s="1203"/>
      <c r="AN195" s="1203"/>
      <c r="AO195" s="1203"/>
      <c r="AP195" s="1203"/>
      <c r="AQ195" s="1203"/>
      <c r="AR195" s="1203"/>
      <c r="AS195" s="1203"/>
    </row>
    <row r="196" spans="1:45" ht="15.75" customHeight="1">
      <c r="A196" s="1203"/>
      <c r="B196" s="1203" t="s">
        <v>6856</v>
      </c>
      <c r="C196" s="1203"/>
      <c r="D196" s="1203"/>
      <c r="E196" s="1203"/>
      <c r="F196" s="1203"/>
      <c r="G196" s="1203"/>
      <c r="H196" s="1217">
        <f>H177</f>
        <v>4.0999999999999996</v>
      </c>
      <c r="I196" s="1217">
        <f t="shared" ref="I196:P196" si="104">I177</f>
        <v>31.4</v>
      </c>
      <c r="J196" s="1217">
        <f t="shared" si="104"/>
        <v>31.4</v>
      </c>
      <c r="K196" s="1217">
        <f t="shared" si="104"/>
        <v>31.4</v>
      </c>
      <c r="L196" s="1217">
        <f t="shared" si="104"/>
        <v>31.4</v>
      </c>
      <c r="M196" s="1217">
        <f t="shared" si="104"/>
        <v>31.4</v>
      </c>
      <c r="N196" s="1217">
        <f t="shared" si="104"/>
        <v>31.4</v>
      </c>
      <c r="O196" s="1217">
        <f t="shared" si="104"/>
        <v>0</v>
      </c>
      <c r="P196" s="1217">
        <f t="shared" si="104"/>
        <v>0</v>
      </c>
      <c r="Q196" s="1203"/>
      <c r="R196" s="1203"/>
      <c r="S196" s="1203"/>
      <c r="T196" s="1203"/>
      <c r="U196" s="1203"/>
      <c r="V196" s="1203"/>
      <c r="W196" s="1203"/>
      <c r="X196" s="1203"/>
      <c r="Y196" s="1203"/>
      <c r="Z196" s="1203"/>
      <c r="AA196" s="1203"/>
      <c r="AB196" s="1203"/>
      <c r="AC196" s="1203"/>
      <c r="AD196" s="1203"/>
      <c r="AE196" s="1203"/>
      <c r="AF196" s="1203"/>
      <c r="AG196" s="1203"/>
      <c r="AH196" s="1203"/>
      <c r="AI196" s="1203"/>
      <c r="AJ196" s="1203"/>
      <c r="AK196" s="1203"/>
      <c r="AL196" s="1203"/>
      <c r="AM196" s="1203"/>
      <c r="AN196" s="1203"/>
      <c r="AO196" s="1203"/>
      <c r="AP196" s="1203"/>
      <c r="AQ196" s="1203"/>
      <c r="AR196" s="1203"/>
      <c r="AS196" s="1203"/>
    </row>
    <row r="197" spans="1:45" ht="15.75" customHeight="1">
      <c r="A197" s="1203"/>
      <c r="B197" s="1483" t="s">
        <v>3087</v>
      </c>
      <c r="C197" s="1483"/>
      <c r="D197" s="1483"/>
      <c r="E197" s="1483"/>
      <c r="F197" s="1483"/>
      <c r="G197" s="1483"/>
      <c r="H197" s="1673">
        <f>H195+H196</f>
        <v>13.6</v>
      </c>
      <c r="I197" s="1673">
        <f t="shared" ref="I197:P197" si="105">I195+I196</f>
        <v>47.3</v>
      </c>
      <c r="J197" s="1673">
        <f t="shared" ca="1" si="105"/>
        <v>66.805784037851453</v>
      </c>
      <c r="K197" s="1673">
        <f t="shared" ca="1" si="105"/>
        <v>86.04079898336397</v>
      </c>
      <c r="L197" s="1673">
        <f t="shared" ca="1" si="105"/>
        <v>104.70735022179682</v>
      </c>
      <c r="M197" s="1673">
        <f t="shared" ca="1" si="105"/>
        <v>121.29243677074831</v>
      </c>
      <c r="N197" s="1673">
        <f t="shared" ca="1" si="105"/>
        <v>135.3560870428488</v>
      </c>
      <c r="O197" s="1673">
        <f t="shared" ca="1" si="105"/>
        <v>118.66876753160338</v>
      </c>
      <c r="P197" s="1673">
        <f t="shared" ca="1" si="105"/>
        <v>134.05820986152781</v>
      </c>
      <c r="Q197" s="1203"/>
      <c r="R197" s="1203"/>
      <c r="S197" s="1203"/>
      <c r="T197" s="1203"/>
      <c r="U197" s="1203"/>
      <c r="V197" s="1203"/>
      <c r="W197" s="1203"/>
      <c r="X197" s="1203"/>
      <c r="Y197" s="1203"/>
      <c r="Z197" s="1203"/>
      <c r="AA197" s="1203"/>
      <c r="AB197" s="1203"/>
      <c r="AC197" s="1203"/>
      <c r="AD197" s="1203"/>
      <c r="AE197" s="1203"/>
      <c r="AF197" s="1203"/>
      <c r="AG197" s="1203"/>
      <c r="AH197" s="1203"/>
      <c r="AI197" s="1203"/>
      <c r="AJ197" s="1203"/>
      <c r="AK197" s="1203"/>
      <c r="AL197" s="1203"/>
      <c r="AM197" s="1203"/>
      <c r="AN197" s="1203"/>
      <c r="AO197" s="1203"/>
      <c r="AP197" s="1203"/>
      <c r="AQ197" s="1203"/>
      <c r="AR197" s="1203"/>
      <c r="AS197" s="1203"/>
    </row>
    <row r="198" spans="1:45" ht="15.75" customHeight="1">
      <c r="A198" s="1203"/>
      <c r="B198" s="1203"/>
      <c r="C198" s="1203"/>
      <c r="D198" s="1203"/>
      <c r="E198" s="1203"/>
      <c r="F198" s="1203"/>
      <c r="G198" s="1203"/>
      <c r="H198" s="1203"/>
      <c r="I198" s="1203"/>
      <c r="J198" s="1203"/>
      <c r="K198" s="1203"/>
      <c r="L198" s="1203"/>
      <c r="M198" s="1203"/>
      <c r="N198" s="1203"/>
      <c r="O198" s="1203"/>
      <c r="P198" s="1203"/>
      <c r="Q198" s="1203"/>
      <c r="R198" s="1203"/>
      <c r="S198" s="1203"/>
      <c r="T198" s="1203"/>
      <c r="U198" s="1203"/>
      <c r="V198" s="1203"/>
      <c r="W198" s="1203"/>
      <c r="X198" s="1203"/>
      <c r="Y198" s="1203"/>
      <c r="Z198" s="1203"/>
      <c r="AA198" s="1203"/>
      <c r="AB198" s="1203"/>
      <c r="AC198" s="1203"/>
      <c r="AD198" s="1203"/>
      <c r="AE198" s="1203"/>
      <c r="AF198" s="1203"/>
      <c r="AG198" s="1203"/>
      <c r="AH198" s="1203"/>
      <c r="AI198" s="1203"/>
      <c r="AJ198" s="1203"/>
      <c r="AK198" s="1203"/>
      <c r="AL198" s="1203"/>
      <c r="AM198" s="1203"/>
      <c r="AN198" s="1203"/>
      <c r="AO198" s="1203"/>
      <c r="AP198" s="1203"/>
      <c r="AQ198" s="1203"/>
      <c r="AR198" s="1203"/>
      <c r="AS198" s="1203"/>
    </row>
    <row r="199" spans="1:45" ht="15.75" customHeight="1">
      <c r="A199" s="1203"/>
      <c r="B199" s="1203" t="s">
        <v>6861</v>
      </c>
      <c r="C199" s="1203"/>
      <c r="D199" s="1203"/>
      <c r="E199" s="1203"/>
      <c r="F199" s="1203"/>
      <c r="G199" s="1203"/>
      <c r="H199" s="1425">
        <f t="shared" ref="H199:P199" si="106">H151/-H183</f>
        <v>4.3499999999999996</v>
      </c>
      <c r="I199" s="1425">
        <f t="shared" si="106"/>
        <v>5.2380952380952381</v>
      </c>
      <c r="J199" s="1425">
        <f t="shared" si="106"/>
        <v>4.0929079752741782</v>
      </c>
      <c r="K199" s="1425">
        <f t="shared" si="106"/>
        <v>4.6687228997960348</v>
      </c>
      <c r="L199" s="1425">
        <f t="shared" si="106"/>
        <v>5.0058794870707786</v>
      </c>
      <c r="M199" s="1425">
        <f t="shared" si="106"/>
        <v>5.2310162477173989</v>
      </c>
      <c r="N199" s="1425">
        <f t="shared" si="106"/>
        <v>5.458787086661582</v>
      </c>
      <c r="O199" s="1425">
        <f t="shared" si="106"/>
        <v>5.6955726112940503</v>
      </c>
      <c r="P199" s="1425">
        <f t="shared" si="106"/>
        <v>5.9424754572644023</v>
      </c>
      <c r="Q199" s="1203"/>
      <c r="R199" s="1203"/>
      <c r="S199" s="1203"/>
      <c r="T199" s="1203"/>
      <c r="U199" s="1203"/>
      <c r="V199" s="1203"/>
      <c r="W199" s="1203"/>
      <c r="X199" s="1203"/>
      <c r="Y199" s="1203"/>
      <c r="Z199" s="1203"/>
      <c r="AA199" s="1203"/>
      <c r="AB199" s="1203"/>
      <c r="AC199" s="1203"/>
      <c r="AD199" s="1203"/>
      <c r="AE199" s="1203"/>
      <c r="AF199" s="1203"/>
      <c r="AG199" s="1203"/>
      <c r="AH199" s="1203"/>
      <c r="AI199" s="1203"/>
      <c r="AJ199" s="1203"/>
      <c r="AK199" s="1203"/>
      <c r="AL199" s="1203"/>
      <c r="AM199" s="1203"/>
      <c r="AN199" s="1203"/>
      <c r="AO199" s="1203"/>
      <c r="AP199" s="1203"/>
      <c r="AQ199" s="1203"/>
      <c r="AR199" s="1203"/>
      <c r="AS199" s="1203"/>
    </row>
    <row r="200" spans="1:45" ht="15.75" customHeight="1">
      <c r="A200" s="1203"/>
      <c r="B200" s="1203"/>
      <c r="C200" s="1203"/>
      <c r="D200" s="1203"/>
      <c r="E200" s="1203"/>
      <c r="F200" s="1203"/>
      <c r="G200" s="1203"/>
      <c r="H200" s="1203"/>
      <c r="I200" s="1203"/>
      <c r="J200" s="1203"/>
      <c r="K200" s="1203"/>
      <c r="L200" s="1203"/>
      <c r="M200" s="1203"/>
      <c r="N200" s="1203"/>
      <c r="O200" s="1203"/>
      <c r="P200" s="1203"/>
      <c r="Q200" s="1203"/>
      <c r="R200" s="1203"/>
      <c r="S200" s="1203"/>
      <c r="T200" s="1203"/>
      <c r="U200" s="1203"/>
      <c r="V200" s="1203"/>
      <c r="W200" s="1203"/>
      <c r="X200" s="1203"/>
      <c r="Y200" s="1203"/>
      <c r="Z200" s="1203"/>
      <c r="AA200" s="1203"/>
      <c r="AB200" s="1203"/>
      <c r="AC200" s="1203"/>
      <c r="AD200" s="1203"/>
      <c r="AE200" s="1203"/>
      <c r="AF200" s="1203"/>
      <c r="AG200" s="1203"/>
      <c r="AH200" s="1203"/>
      <c r="AI200" s="1203"/>
      <c r="AJ200" s="1203"/>
      <c r="AK200" s="1203"/>
      <c r="AL200" s="1203"/>
      <c r="AM200" s="1203"/>
      <c r="AN200" s="1203"/>
      <c r="AO200" s="1203"/>
      <c r="AP200" s="1203"/>
      <c r="AQ200" s="1203"/>
      <c r="AR200" s="1203"/>
      <c r="AS200" s="1203"/>
    </row>
    <row r="201" spans="1:45" ht="15.75" customHeight="1">
      <c r="A201" s="1203"/>
      <c r="B201" s="1336" t="s">
        <v>6836</v>
      </c>
      <c r="C201" s="1203"/>
      <c r="D201" s="1203"/>
      <c r="E201" s="1203"/>
      <c r="F201" s="1203"/>
      <c r="G201" s="1203"/>
      <c r="H201" s="1203"/>
      <c r="I201" s="1203"/>
      <c r="J201" s="1203"/>
      <c r="K201" s="1203"/>
      <c r="L201" s="1203"/>
      <c r="M201" s="1203"/>
      <c r="N201" s="1203"/>
      <c r="O201" s="1203"/>
      <c r="P201" s="1203"/>
      <c r="Q201" s="1203"/>
      <c r="R201" s="1203"/>
      <c r="S201" s="1203"/>
      <c r="T201" s="1203"/>
      <c r="U201" s="1203"/>
      <c r="V201" s="1203"/>
      <c r="W201" s="1203"/>
      <c r="X201" s="1203"/>
      <c r="Y201" s="1203"/>
      <c r="Z201" s="1203"/>
      <c r="AA201" s="1203"/>
      <c r="AB201" s="1203"/>
      <c r="AC201" s="1203"/>
      <c r="AD201" s="1203"/>
      <c r="AE201" s="1203"/>
      <c r="AF201" s="1203"/>
      <c r="AG201" s="1203"/>
      <c r="AH201" s="1203"/>
      <c r="AI201" s="1203"/>
      <c r="AJ201" s="1203"/>
      <c r="AK201" s="1203"/>
      <c r="AL201" s="1203"/>
      <c r="AM201" s="1203"/>
      <c r="AN201" s="1203"/>
      <c r="AO201" s="1203"/>
      <c r="AP201" s="1203"/>
      <c r="AQ201" s="1203"/>
      <c r="AR201" s="1203"/>
      <c r="AS201" s="1203"/>
    </row>
    <row r="202" spans="1:45" ht="15.75" customHeight="1">
      <c r="A202" s="1203"/>
      <c r="B202" s="1203" t="s">
        <v>7734</v>
      </c>
      <c r="C202" s="1203"/>
      <c r="D202" s="1203"/>
      <c r="E202" s="1203"/>
      <c r="F202" s="1203"/>
      <c r="G202" s="1203"/>
      <c r="H202" s="1305">
        <f>H185/H123</f>
        <v>-0.12057483350858747</v>
      </c>
      <c r="I202" s="1305">
        <f>I185/I123</f>
        <v>-0.16095430107526881</v>
      </c>
      <c r="J202" s="1674">
        <f>I202</f>
        <v>-0.16095430107526881</v>
      </c>
      <c r="K202" s="1674">
        <f t="shared" ref="K202:P202" si="107">J202</f>
        <v>-0.16095430107526881</v>
      </c>
      <c r="L202" s="1674">
        <f t="shared" si="107"/>
        <v>-0.16095430107526881</v>
      </c>
      <c r="M202" s="1674">
        <f t="shared" si="107"/>
        <v>-0.16095430107526881</v>
      </c>
      <c r="N202" s="1674">
        <f t="shared" si="107"/>
        <v>-0.16095430107526881</v>
      </c>
      <c r="O202" s="1674">
        <f t="shared" si="107"/>
        <v>-0.16095430107526881</v>
      </c>
      <c r="P202" s="1674">
        <f t="shared" si="107"/>
        <v>-0.16095430107526881</v>
      </c>
      <c r="Q202" s="1203"/>
      <c r="R202" s="1203"/>
      <c r="S202" s="1203"/>
      <c r="T202" s="1203"/>
      <c r="U202" s="1203"/>
      <c r="V202" s="1203"/>
      <c r="W202" s="1203"/>
      <c r="X202" s="1203"/>
      <c r="Y202" s="1203"/>
      <c r="Z202" s="1203"/>
      <c r="AA202" s="1203"/>
      <c r="AB202" s="1203"/>
      <c r="AC202" s="1203"/>
      <c r="AD202" s="1203"/>
      <c r="AE202" s="1203"/>
      <c r="AF202" s="1203"/>
      <c r="AG202" s="1203"/>
      <c r="AH202" s="1203"/>
      <c r="AI202" s="1203"/>
      <c r="AJ202" s="1203"/>
      <c r="AK202" s="1203"/>
      <c r="AL202" s="1203"/>
      <c r="AM202" s="1203"/>
      <c r="AN202" s="1203"/>
      <c r="AO202" s="1203"/>
      <c r="AP202" s="1203"/>
      <c r="AQ202" s="1203"/>
      <c r="AR202" s="1203"/>
      <c r="AS202" s="1203"/>
    </row>
    <row r="203" spans="1:45" ht="15.75" customHeight="1">
      <c r="A203" s="1203"/>
      <c r="B203" s="1203" t="s">
        <v>7768</v>
      </c>
      <c r="C203" s="1203"/>
      <c r="D203" s="1203"/>
      <c r="E203" s="1203"/>
      <c r="F203" s="1203"/>
      <c r="G203" s="1203"/>
      <c r="H203" s="1305">
        <f>-H186/H220</f>
        <v>0</v>
      </c>
      <c r="I203" s="1305">
        <f>-I186/I220</f>
        <v>0.31135531135531136</v>
      </c>
      <c r="J203" s="1674">
        <v>0.4</v>
      </c>
      <c r="K203" s="1674">
        <v>0.5</v>
      </c>
      <c r="L203" s="1674">
        <v>0.6</v>
      </c>
      <c r="M203" s="1674">
        <v>0.7</v>
      </c>
      <c r="N203" s="1674">
        <v>0.8</v>
      </c>
      <c r="O203" s="1674">
        <v>0.8</v>
      </c>
      <c r="P203" s="1674">
        <v>0.8</v>
      </c>
      <c r="Q203" s="1203"/>
      <c r="R203" s="1203"/>
      <c r="S203" s="1203"/>
      <c r="T203" s="1203"/>
      <c r="U203" s="1203"/>
      <c r="V203" s="1203"/>
      <c r="W203" s="1203"/>
      <c r="X203" s="1203"/>
      <c r="Y203" s="1203"/>
      <c r="Z203" s="1203"/>
      <c r="AA203" s="1203"/>
      <c r="AB203" s="1203"/>
      <c r="AC203" s="1203"/>
      <c r="AD203" s="1203"/>
      <c r="AE203" s="1203"/>
      <c r="AF203" s="1203"/>
      <c r="AG203" s="1203"/>
      <c r="AH203" s="1203"/>
      <c r="AI203" s="1203"/>
      <c r="AJ203" s="1203"/>
      <c r="AK203" s="1203"/>
      <c r="AL203" s="1203"/>
      <c r="AM203" s="1203"/>
      <c r="AN203" s="1203"/>
      <c r="AO203" s="1203"/>
      <c r="AP203" s="1203"/>
      <c r="AQ203" s="1203"/>
      <c r="AR203" s="1203"/>
      <c r="AS203" s="1203"/>
    </row>
    <row r="204" spans="1:45" ht="15.75" customHeight="1">
      <c r="A204" s="1203"/>
      <c r="B204" s="1203"/>
      <c r="C204" s="1203"/>
      <c r="D204" s="1203"/>
      <c r="E204" s="1203"/>
      <c r="F204" s="1203"/>
      <c r="G204" s="1203"/>
      <c r="H204" s="1203"/>
      <c r="I204" s="1203"/>
      <c r="J204" s="1203"/>
      <c r="K204" s="1203"/>
      <c r="L204" s="1203"/>
      <c r="M204" s="1203"/>
      <c r="N204" s="1203"/>
      <c r="O204" s="1203"/>
      <c r="P204" s="1203"/>
      <c r="Q204" s="1203"/>
      <c r="R204" s="1203"/>
      <c r="S204" s="1203"/>
      <c r="T204" s="1203"/>
      <c r="U204" s="1203"/>
      <c r="V204" s="1203"/>
      <c r="W204" s="1203"/>
      <c r="X204" s="1203"/>
      <c r="Y204" s="1203"/>
      <c r="Z204" s="1203"/>
      <c r="AA204" s="1203"/>
      <c r="AB204" s="1203"/>
      <c r="AC204" s="1203"/>
      <c r="AD204" s="1203"/>
      <c r="AE204" s="1203"/>
      <c r="AF204" s="1203"/>
      <c r="AG204" s="1203"/>
      <c r="AH204" s="1203"/>
      <c r="AI204" s="1203"/>
      <c r="AJ204" s="1203"/>
      <c r="AK204" s="1203"/>
      <c r="AL204" s="1203"/>
      <c r="AM204" s="1203"/>
      <c r="AN204" s="1203"/>
      <c r="AO204" s="1203"/>
      <c r="AP204" s="1203"/>
      <c r="AQ204" s="1203"/>
      <c r="AR204" s="1203"/>
      <c r="AS204" s="1203"/>
    </row>
    <row r="205" spans="1:45" ht="15.75" customHeight="1">
      <c r="A205" s="1203"/>
      <c r="B205" s="1203"/>
      <c r="C205" s="1203"/>
      <c r="D205" s="1203"/>
      <c r="E205" s="1203"/>
      <c r="F205" s="1203"/>
      <c r="G205" s="1203"/>
      <c r="H205" s="1203"/>
      <c r="I205" s="1203"/>
      <c r="J205" s="1203"/>
      <c r="K205" s="1203"/>
      <c r="L205" s="1203"/>
      <c r="M205" s="1203"/>
      <c r="N205" s="1203"/>
      <c r="O205" s="1203"/>
      <c r="P205" s="1203"/>
      <c r="Q205" s="1203"/>
      <c r="R205" s="1203"/>
      <c r="S205" s="1203"/>
      <c r="T205" s="1203"/>
      <c r="U205" s="1203"/>
      <c r="V205" s="1203"/>
      <c r="W205" s="1203"/>
      <c r="X205" s="1203"/>
      <c r="Y205" s="1203"/>
      <c r="Z205" s="1203"/>
      <c r="AA205" s="1203"/>
      <c r="AB205" s="1203"/>
      <c r="AC205" s="1203"/>
      <c r="AD205" s="1203"/>
      <c r="AE205" s="1203"/>
      <c r="AF205" s="1203"/>
      <c r="AG205" s="1203"/>
      <c r="AH205" s="1203"/>
      <c r="AI205" s="1203"/>
      <c r="AJ205" s="1203"/>
      <c r="AK205" s="1203"/>
      <c r="AL205" s="1203"/>
      <c r="AM205" s="1203"/>
      <c r="AN205" s="1203"/>
      <c r="AO205" s="1203"/>
      <c r="AP205" s="1203"/>
      <c r="AQ205" s="1203"/>
      <c r="AR205" s="1203"/>
      <c r="AS205" s="1203"/>
    </row>
    <row r="206" spans="1:45" ht="15.75" customHeight="1">
      <c r="A206" s="1203"/>
      <c r="B206" s="1203"/>
      <c r="C206" s="1203"/>
      <c r="D206" s="1203"/>
      <c r="E206" s="1203"/>
      <c r="F206" s="1203"/>
      <c r="G206" s="1203"/>
      <c r="H206" s="1203"/>
      <c r="I206" s="1203"/>
      <c r="J206" s="1203"/>
      <c r="K206" s="1203"/>
      <c r="L206" s="1203"/>
      <c r="M206" s="1203"/>
      <c r="N206" s="1203"/>
      <c r="O206" s="1203"/>
      <c r="P206" s="1203"/>
      <c r="Q206" s="1203"/>
      <c r="R206" s="1203"/>
      <c r="S206" s="1203"/>
      <c r="T206" s="1203"/>
      <c r="U206" s="1203"/>
      <c r="V206" s="1203"/>
      <c r="W206" s="1203"/>
      <c r="X206" s="1203"/>
      <c r="Y206" s="1203"/>
      <c r="Z206" s="1203"/>
      <c r="AA206" s="1203"/>
      <c r="AB206" s="1203"/>
      <c r="AC206" s="1203"/>
      <c r="AD206" s="1203"/>
      <c r="AE206" s="1203"/>
      <c r="AF206" s="1203"/>
      <c r="AG206" s="1203"/>
      <c r="AH206" s="1203"/>
      <c r="AI206" s="1203"/>
      <c r="AJ206" s="1203"/>
      <c r="AK206" s="1203"/>
      <c r="AL206" s="1203"/>
      <c r="AM206" s="1203"/>
      <c r="AN206" s="1203"/>
      <c r="AO206" s="1203"/>
      <c r="AP206" s="1203"/>
      <c r="AQ206" s="1203"/>
      <c r="AR206" s="1203"/>
      <c r="AS206" s="1203"/>
    </row>
    <row r="207" spans="1:45" ht="15.75" customHeight="1">
      <c r="A207" s="1203"/>
      <c r="B207" s="1609" t="s">
        <v>6831</v>
      </c>
      <c r="C207" s="1609">
        <f>C$1</f>
        <v>2017</v>
      </c>
      <c r="D207" s="1609">
        <f t="shared" ref="D207:P207" si="108">D$1</f>
        <v>2018</v>
      </c>
      <c r="E207" s="1609">
        <f t="shared" si="108"/>
        <v>2019</v>
      </c>
      <c r="F207" s="1609">
        <f t="shared" si="108"/>
        <v>2020</v>
      </c>
      <c r="G207" s="1609">
        <f t="shared" si="108"/>
        <v>2021</v>
      </c>
      <c r="H207" s="1609">
        <f t="shared" si="108"/>
        <v>2022</v>
      </c>
      <c r="I207" s="1609">
        <f t="shared" si="108"/>
        <v>2023</v>
      </c>
      <c r="J207" s="1609">
        <f t="shared" si="108"/>
        <v>2024</v>
      </c>
      <c r="K207" s="1609">
        <f t="shared" si="108"/>
        <v>2025</v>
      </c>
      <c r="L207" s="1609">
        <f t="shared" si="108"/>
        <v>2026</v>
      </c>
      <c r="M207" s="1609">
        <f t="shared" si="108"/>
        <v>2027</v>
      </c>
      <c r="N207" s="1609">
        <f t="shared" si="108"/>
        <v>2028</v>
      </c>
      <c r="O207" s="1609">
        <f t="shared" si="108"/>
        <v>2029</v>
      </c>
      <c r="P207" s="1609">
        <f t="shared" si="108"/>
        <v>2030</v>
      </c>
      <c r="Q207" s="1203"/>
      <c r="R207" s="1203"/>
      <c r="S207" s="1203"/>
      <c r="T207" s="1203"/>
      <c r="U207" s="1203"/>
      <c r="V207" s="1203"/>
      <c r="W207" s="1203"/>
      <c r="X207" s="1203"/>
      <c r="Y207" s="1203"/>
      <c r="Z207" s="1203"/>
      <c r="AA207" s="1203"/>
      <c r="AB207" s="1203"/>
      <c r="AC207" s="1203"/>
      <c r="AD207" s="1203"/>
      <c r="AE207" s="1203"/>
      <c r="AF207" s="1203"/>
      <c r="AG207" s="1203"/>
      <c r="AH207" s="1203"/>
      <c r="AI207" s="1203"/>
      <c r="AJ207" s="1203"/>
      <c r="AK207" s="1203"/>
      <c r="AL207" s="1203"/>
      <c r="AM207" s="1203"/>
      <c r="AN207" s="1203"/>
      <c r="AO207" s="1203"/>
      <c r="AP207" s="1203"/>
      <c r="AQ207" s="1203"/>
      <c r="AR207" s="1203"/>
      <c r="AS207" s="1203"/>
    </row>
    <row r="208" spans="1:45" ht="15.75" customHeight="1">
      <c r="A208" s="1203"/>
      <c r="B208" s="1203" t="s">
        <v>15</v>
      </c>
      <c r="C208" s="1203"/>
      <c r="D208" s="1203"/>
      <c r="E208" s="1203"/>
      <c r="F208" s="1203"/>
      <c r="G208" s="1203">
        <f t="shared" ref="G208:P208" si="109">G123</f>
        <v>161.9</v>
      </c>
      <c r="H208" s="1203">
        <f t="shared" si="109"/>
        <v>285.29999999999995</v>
      </c>
      <c r="I208" s="1203">
        <f t="shared" si="109"/>
        <v>297.60000000000002</v>
      </c>
      <c r="J208" s="1217">
        <f t="shared" si="109"/>
        <v>305.05163262651735</v>
      </c>
      <c r="K208" s="1217">
        <f t="shared" si="109"/>
        <v>316.74130332616232</v>
      </c>
      <c r="L208" s="1217">
        <f t="shared" si="109"/>
        <v>330.67786022223868</v>
      </c>
      <c r="M208" s="1217">
        <f t="shared" si="109"/>
        <v>345.54992065842669</v>
      </c>
      <c r="N208" s="1217">
        <f t="shared" si="109"/>
        <v>360.59598276152377</v>
      </c>
      <c r="O208" s="1217">
        <f t="shared" si="109"/>
        <v>376.23753602290333</v>
      </c>
      <c r="P208" s="1217">
        <f t="shared" si="109"/>
        <v>392.54741823223958</v>
      </c>
      <c r="Q208" s="1203"/>
      <c r="R208" s="1203"/>
      <c r="S208" s="1203"/>
      <c r="T208" s="1203"/>
      <c r="U208" s="1203"/>
      <c r="V208" s="1203"/>
      <c r="W208" s="1203"/>
      <c r="X208" s="1203"/>
      <c r="Y208" s="1203"/>
      <c r="Z208" s="1203"/>
      <c r="AA208" s="1203"/>
      <c r="AB208" s="1203"/>
      <c r="AC208" s="1203"/>
      <c r="AD208" s="1203"/>
      <c r="AE208" s="1203"/>
      <c r="AF208" s="1203"/>
      <c r="AG208" s="1203"/>
      <c r="AH208" s="1203"/>
      <c r="AI208" s="1203"/>
      <c r="AJ208" s="1203"/>
      <c r="AK208" s="1203"/>
      <c r="AL208" s="1203"/>
      <c r="AM208" s="1203"/>
      <c r="AN208" s="1203"/>
      <c r="AO208" s="1203"/>
      <c r="AP208" s="1203"/>
      <c r="AQ208" s="1203"/>
      <c r="AR208" s="1203"/>
      <c r="AS208" s="1203"/>
    </row>
    <row r="209" spans="1:45" ht="15.75" customHeight="1">
      <c r="A209" s="1203"/>
      <c r="B209" s="1203" t="s">
        <v>8</v>
      </c>
      <c r="C209" s="1203"/>
      <c r="D209" s="1203"/>
      <c r="E209" s="1203"/>
      <c r="F209" s="1203"/>
      <c r="G209" s="1820">
        <f t="shared" ref="G209:P209" si="110">G151</f>
        <v>74</v>
      </c>
      <c r="H209" s="1820">
        <f t="shared" si="110"/>
        <v>87</v>
      </c>
      <c r="I209" s="1820">
        <f t="shared" si="110"/>
        <v>110</v>
      </c>
      <c r="J209" s="1820">
        <f t="shared" si="110"/>
        <v>112.86910407181142</v>
      </c>
      <c r="K209" s="1820">
        <f t="shared" si="110"/>
        <v>117.19428223068006</v>
      </c>
      <c r="L209" s="1820">
        <f t="shared" si="110"/>
        <v>125.65758688445069</v>
      </c>
      <c r="M209" s="1820">
        <f t="shared" si="110"/>
        <v>131.30896985020215</v>
      </c>
      <c r="N209" s="1820">
        <f t="shared" si="110"/>
        <v>137.02647344937904</v>
      </c>
      <c r="O209" s="1820">
        <f t="shared" si="110"/>
        <v>142.97026368870326</v>
      </c>
      <c r="P209" s="1820">
        <f t="shared" si="110"/>
        <v>149.16801892825103</v>
      </c>
      <c r="Q209" s="1203"/>
      <c r="R209" s="1203"/>
      <c r="S209" s="1203"/>
      <c r="T209" s="1203"/>
      <c r="U209" s="1203"/>
      <c r="V209" s="1203"/>
      <c r="W209" s="1203"/>
      <c r="X209" s="1203"/>
      <c r="Y209" s="1203"/>
      <c r="Z209" s="1203"/>
      <c r="AA209" s="1203"/>
      <c r="AB209" s="1203"/>
      <c r="AC209" s="1203"/>
      <c r="AD209" s="1203"/>
      <c r="AE209" s="1203"/>
      <c r="AF209" s="1203"/>
      <c r="AG209" s="1203"/>
      <c r="AH209" s="1203"/>
      <c r="AI209" s="1203"/>
      <c r="AJ209" s="1203"/>
      <c r="AK209" s="1203"/>
      <c r="AL209" s="1203"/>
      <c r="AM209" s="1203"/>
      <c r="AN209" s="1203"/>
      <c r="AO209" s="1203"/>
      <c r="AP209" s="1203"/>
      <c r="AQ209" s="1203"/>
      <c r="AR209" s="1203"/>
      <c r="AS209" s="1203"/>
    </row>
    <row r="210" spans="1:45" ht="15.75" customHeight="1">
      <c r="A210" s="1203"/>
      <c r="B210" s="1203" t="s">
        <v>56</v>
      </c>
      <c r="C210" s="1203"/>
      <c r="D210" s="1203"/>
      <c r="E210" s="1203"/>
      <c r="F210" s="1203"/>
      <c r="G210" s="1203"/>
      <c r="H210" s="1672">
        <v>-49.9</v>
      </c>
      <c r="I210" s="1672">
        <v>-51.3</v>
      </c>
      <c r="J210" s="1217">
        <f>-J226*J208</f>
        <v>-52.584505220901676</v>
      </c>
      <c r="K210" s="1217">
        <f t="shared" ref="K210:P210" si="111">-K226*K208</f>
        <v>-54.599559343521925</v>
      </c>
      <c r="L210" s="1217">
        <f t="shared" si="111"/>
        <v>-57.001929534277025</v>
      </c>
      <c r="M210" s="1217">
        <f t="shared" si="111"/>
        <v>-59.565560919950563</v>
      </c>
      <c r="N210" s="1217">
        <f t="shared" si="111"/>
        <v>-62.159186544577175</v>
      </c>
      <c r="O210" s="1217">
        <f t="shared" si="111"/>
        <v>-64.855462358786752</v>
      </c>
      <c r="P210" s="1217">
        <f t="shared" si="111"/>
        <v>-67.666944070275164</v>
      </c>
      <c r="Q210" s="1203"/>
      <c r="R210" s="1203"/>
      <c r="S210" s="1203"/>
      <c r="T210" s="1203"/>
      <c r="U210" s="1203"/>
      <c r="V210" s="1203"/>
      <c r="W210" s="1203"/>
      <c r="X210" s="1203"/>
      <c r="Y210" s="1203"/>
      <c r="Z210" s="1203"/>
      <c r="AA210" s="1203"/>
      <c r="AB210" s="1203"/>
      <c r="AC210" s="1203"/>
      <c r="AD210" s="1203"/>
      <c r="AE210" s="1203"/>
      <c r="AF210" s="1203"/>
      <c r="AG210" s="1203"/>
      <c r="AH210" s="1203"/>
      <c r="AI210" s="1203"/>
      <c r="AJ210" s="1203"/>
      <c r="AK210" s="1203"/>
      <c r="AL210" s="1203"/>
      <c r="AM210" s="1203"/>
      <c r="AN210" s="1203"/>
      <c r="AO210" s="1203"/>
      <c r="AP210" s="1203"/>
      <c r="AQ210" s="1203"/>
      <c r="AR210" s="1203"/>
      <c r="AS210" s="1203"/>
    </row>
    <row r="211" spans="1:45" ht="15.75" customHeight="1">
      <c r="A211" s="1203"/>
      <c r="B211" s="1203" t="s">
        <v>4</v>
      </c>
      <c r="C211" s="1203"/>
      <c r="D211" s="1203"/>
      <c r="E211" s="1203"/>
      <c r="F211" s="1203"/>
      <c r="G211" s="1203"/>
      <c r="H211" s="1676">
        <f>34-(H209+H210)</f>
        <v>-3.1000000000000014</v>
      </c>
      <c r="I211" s="1676">
        <f>55.5-(I209+I210)</f>
        <v>-3.2000000000000028</v>
      </c>
      <c r="J211" s="1822">
        <f>I211</f>
        <v>-3.2000000000000028</v>
      </c>
      <c r="K211" s="1822">
        <f t="shared" ref="K211:P211" si="112">J211</f>
        <v>-3.2000000000000028</v>
      </c>
      <c r="L211" s="1822">
        <f t="shared" si="112"/>
        <v>-3.2000000000000028</v>
      </c>
      <c r="M211" s="1822">
        <f t="shared" si="112"/>
        <v>-3.2000000000000028</v>
      </c>
      <c r="N211" s="1822">
        <f t="shared" si="112"/>
        <v>-3.2000000000000028</v>
      </c>
      <c r="O211" s="1822">
        <f t="shared" si="112"/>
        <v>-3.2000000000000028</v>
      </c>
      <c r="P211" s="1822">
        <f t="shared" si="112"/>
        <v>-3.2000000000000028</v>
      </c>
      <c r="Q211" s="1203"/>
      <c r="R211" s="1203"/>
      <c r="S211" s="1203"/>
      <c r="T211" s="1203"/>
      <c r="U211" s="1203"/>
      <c r="V211" s="1203"/>
      <c r="W211" s="1203"/>
      <c r="X211" s="1203"/>
      <c r="Y211" s="1203"/>
      <c r="Z211" s="1203"/>
      <c r="AA211" s="1203"/>
      <c r="AB211" s="1203"/>
      <c r="AC211" s="1203"/>
      <c r="AD211" s="1203"/>
      <c r="AE211" s="1203"/>
      <c r="AF211" s="1203"/>
      <c r="AG211" s="1203"/>
      <c r="AH211" s="1203"/>
      <c r="AI211" s="1203"/>
      <c r="AJ211" s="1203"/>
      <c r="AK211" s="1203"/>
      <c r="AL211" s="1203"/>
      <c r="AM211" s="1203"/>
      <c r="AN211" s="1203"/>
      <c r="AO211" s="1203"/>
      <c r="AP211" s="1203"/>
      <c r="AQ211" s="1203"/>
      <c r="AR211" s="1203"/>
      <c r="AS211" s="1203"/>
    </row>
    <row r="212" spans="1:45" ht="15.75" customHeight="1">
      <c r="A212" s="1203"/>
      <c r="B212" s="1483" t="s">
        <v>83</v>
      </c>
      <c r="C212" s="1817"/>
      <c r="D212" s="1817"/>
      <c r="E212" s="1817"/>
      <c r="F212" s="1817"/>
      <c r="G212" s="1817"/>
      <c r="H212" s="1821">
        <f>H209+H210+H211</f>
        <v>34</v>
      </c>
      <c r="I212" s="1821">
        <f>I209+I210+I211</f>
        <v>55.5</v>
      </c>
      <c r="J212" s="1821">
        <f t="shared" ref="J212:P212" si="113">J209+J210+J211</f>
        <v>57.084598850909742</v>
      </c>
      <c r="K212" s="1821">
        <f t="shared" si="113"/>
        <v>59.394722887158132</v>
      </c>
      <c r="L212" s="1821">
        <f t="shared" si="113"/>
        <v>65.455657350173666</v>
      </c>
      <c r="M212" s="1821">
        <f t="shared" si="113"/>
        <v>68.543408930251573</v>
      </c>
      <c r="N212" s="1821">
        <f t="shared" si="113"/>
        <v>71.667286904801855</v>
      </c>
      <c r="O212" s="1821">
        <f t="shared" si="113"/>
        <v>74.9148013299165</v>
      </c>
      <c r="P212" s="1821">
        <f t="shared" si="113"/>
        <v>78.301074857975863</v>
      </c>
      <c r="Q212" s="1203"/>
      <c r="R212" s="1203"/>
      <c r="S212" s="1203"/>
      <c r="T212" s="1203"/>
      <c r="U212" s="1203"/>
      <c r="V212" s="1203"/>
      <c r="W212" s="1203"/>
      <c r="X212" s="1203"/>
      <c r="Y212" s="1203"/>
      <c r="Z212" s="1203"/>
      <c r="AA212" s="1203"/>
      <c r="AB212" s="1203"/>
      <c r="AC212" s="1203"/>
      <c r="AD212" s="1203"/>
      <c r="AE212" s="1203"/>
      <c r="AF212" s="1203"/>
      <c r="AG212" s="1203"/>
      <c r="AH212" s="1203"/>
      <c r="AI212" s="1203"/>
      <c r="AJ212" s="1203"/>
      <c r="AK212" s="1203"/>
      <c r="AL212" s="1203"/>
      <c r="AM212" s="1203"/>
      <c r="AN212" s="1203"/>
      <c r="AO212" s="1203"/>
      <c r="AP212" s="1203"/>
      <c r="AQ212" s="1203"/>
      <c r="AR212" s="1203"/>
      <c r="AS212" s="1203"/>
    </row>
    <row r="213" spans="1:45" ht="15.75" customHeight="1">
      <c r="A213" s="1203"/>
      <c r="B213" s="1203"/>
      <c r="C213" s="1203"/>
      <c r="D213" s="1203"/>
      <c r="E213" s="1203"/>
      <c r="F213" s="1203"/>
      <c r="G213" s="1203"/>
      <c r="H213" s="1203"/>
      <c r="I213" s="1203"/>
      <c r="J213" s="1203"/>
      <c r="K213" s="1203"/>
      <c r="L213" s="1203"/>
      <c r="M213" s="1203"/>
      <c r="N213" s="1203"/>
      <c r="O213" s="1203"/>
      <c r="P213" s="1203"/>
      <c r="Q213" s="1203"/>
      <c r="R213" s="1203"/>
      <c r="S213" s="1203"/>
      <c r="T213" s="1203"/>
      <c r="U213" s="1203"/>
      <c r="V213" s="1203"/>
      <c r="W213" s="1203"/>
      <c r="X213" s="1203"/>
      <c r="Y213" s="1203"/>
      <c r="Z213" s="1203"/>
      <c r="AA213" s="1203"/>
      <c r="AB213" s="1203"/>
      <c r="AC213" s="1203"/>
      <c r="AD213" s="1203"/>
      <c r="AE213" s="1203"/>
      <c r="AF213" s="1203"/>
      <c r="AG213" s="1203"/>
      <c r="AH213" s="1203"/>
      <c r="AI213" s="1203"/>
      <c r="AJ213" s="1203"/>
      <c r="AK213" s="1203"/>
      <c r="AL213" s="1203"/>
      <c r="AM213" s="1203"/>
      <c r="AN213" s="1203"/>
      <c r="AO213" s="1203"/>
      <c r="AP213" s="1203"/>
      <c r="AQ213" s="1203"/>
      <c r="AR213" s="1203"/>
      <c r="AS213" s="1203"/>
    </row>
    <row r="214" spans="1:45" ht="15.75" customHeight="1">
      <c r="A214" s="1203"/>
      <c r="B214" s="1203" t="s">
        <v>155</v>
      </c>
      <c r="C214" s="1203"/>
      <c r="D214" s="1203"/>
      <c r="E214" s="1203"/>
      <c r="F214" s="1203"/>
      <c r="G214" s="1203"/>
      <c r="H214" s="1672"/>
      <c r="I214" s="1672"/>
      <c r="J214" s="1203"/>
      <c r="K214" s="1203"/>
      <c r="L214" s="1203"/>
      <c r="M214" s="1203"/>
      <c r="N214" s="1203"/>
      <c r="O214" s="1203"/>
      <c r="P214" s="1203"/>
      <c r="Q214" s="1203"/>
      <c r="R214" s="1203"/>
      <c r="S214" s="1203"/>
      <c r="T214" s="1203"/>
      <c r="U214" s="1203"/>
      <c r="V214" s="1203"/>
      <c r="W214" s="1203"/>
      <c r="X214" s="1203"/>
      <c r="Y214" s="1203"/>
      <c r="Z214" s="1203"/>
      <c r="AA214" s="1203"/>
      <c r="AB214" s="1203"/>
      <c r="AC214" s="1203"/>
      <c r="AD214" s="1203"/>
      <c r="AE214" s="1203"/>
      <c r="AF214" s="1203"/>
      <c r="AG214" s="1203"/>
      <c r="AH214" s="1203"/>
      <c r="AI214" s="1203"/>
      <c r="AJ214" s="1203"/>
      <c r="AK214" s="1203"/>
      <c r="AL214" s="1203"/>
      <c r="AM214" s="1203"/>
      <c r="AN214" s="1203"/>
      <c r="AO214" s="1203"/>
      <c r="AP214" s="1203"/>
      <c r="AQ214" s="1203"/>
      <c r="AR214" s="1203"/>
      <c r="AS214" s="1203"/>
    </row>
    <row r="215" spans="1:45" ht="15.75" customHeight="1">
      <c r="A215" s="1203"/>
      <c r="B215" s="1203" t="s">
        <v>159</v>
      </c>
      <c r="C215" s="1203"/>
      <c r="D215" s="1203"/>
      <c r="E215" s="1203"/>
      <c r="F215" s="1203"/>
      <c r="G215" s="1203"/>
      <c r="H215" s="1672">
        <v>-27.1</v>
      </c>
      <c r="I215" s="1672">
        <v>-28.9</v>
      </c>
      <c r="J215" s="1217">
        <f>-J232*J231</f>
        <v>-27.576750993100564</v>
      </c>
      <c r="K215" s="1217">
        <f t="shared" ref="K215:P215" si="114">-K232*K231</f>
        <v>-25.102</v>
      </c>
      <c r="L215" s="1217">
        <f t="shared" si="114"/>
        <v>-25.102</v>
      </c>
      <c r="M215" s="1217">
        <f t="shared" si="114"/>
        <v>-25.102</v>
      </c>
      <c r="N215" s="1217">
        <f t="shared" si="114"/>
        <v>-25.102</v>
      </c>
      <c r="O215" s="1217">
        <f t="shared" si="114"/>
        <v>-25.102</v>
      </c>
      <c r="P215" s="1217">
        <f t="shared" si="114"/>
        <v>-25.102</v>
      </c>
      <c r="Q215" s="1203"/>
      <c r="R215" s="1203"/>
      <c r="S215" s="1203"/>
      <c r="T215" s="1203"/>
      <c r="U215" s="1203"/>
      <c r="V215" s="1203"/>
      <c r="W215" s="1203"/>
      <c r="X215" s="1203"/>
      <c r="Y215" s="1203"/>
      <c r="Z215" s="1203"/>
      <c r="AA215" s="1203"/>
      <c r="AB215" s="1203"/>
      <c r="AC215" s="1203"/>
      <c r="AD215" s="1203"/>
      <c r="AE215" s="1203"/>
      <c r="AF215" s="1203"/>
      <c r="AG215" s="1203"/>
      <c r="AH215" s="1203"/>
      <c r="AI215" s="1203"/>
      <c r="AJ215" s="1203"/>
      <c r="AK215" s="1203"/>
      <c r="AL215" s="1203"/>
      <c r="AM215" s="1203"/>
      <c r="AN215" s="1203"/>
      <c r="AO215" s="1203"/>
      <c r="AP215" s="1203"/>
      <c r="AQ215" s="1203"/>
      <c r="AR215" s="1203"/>
      <c r="AS215" s="1203"/>
    </row>
    <row r="216" spans="1:45" ht="15.75" customHeight="1">
      <c r="A216" s="1203"/>
      <c r="B216" s="1203" t="s">
        <v>4</v>
      </c>
      <c r="C216" s="1203"/>
      <c r="D216" s="1203"/>
      <c r="E216" s="1203"/>
      <c r="F216" s="1203"/>
      <c r="G216" s="1203"/>
      <c r="H216" s="1676">
        <f>24.9-H212-H214-H215</f>
        <v>18</v>
      </c>
      <c r="I216" s="1676">
        <f>44.1-I212-I214-I215</f>
        <v>17.5</v>
      </c>
      <c r="J216" s="1358">
        <v>0</v>
      </c>
      <c r="K216" s="1358">
        <v>0</v>
      </c>
      <c r="L216" s="1358">
        <v>0</v>
      </c>
      <c r="M216" s="1358">
        <v>0</v>
      </c>
      <c r="N216" s="1358">
        <v>0</v>
      </c>
      <c r="O216" s="1358">
        <v>0</v>
      </c>
      <c r="P216" s="1358">
        <v>0</v>
      </c>
      <c r="Q216" s="1203"/>
      <c r="R216" s="1203"/>
      <c r="S216" s="1203"/>
      <c r="T216" s="1203"/>
      <c r="U216" s="1203"/>
      <c r="V216" s="1203"/>
      <c r="W216" s="1203"/>
      <c r="X216" s="1203"/>
      <c r="Y216" s="1203"/>
      <c r="Z216" s="1203"/>
      <c r="AA216" s="1203"/>
      <c r="AB216" s="1203"/>
      <c r="AC216" s="1203"/>
      <c r="AD216" s="1203"/>
      <c r="AE216" s="1203"/>
      <c r="AF216" s="1203"/>
      <c r="AG216" s="1203"/>
      <c r="AH216" s="1203"/>
      <c r="AI216" s="1203"/>
      <c r="AJ216" s="1203"/>
      <c r="AK216" s="1203"/>
      <c r="AL216" s="1203"/>
      <c r="AM216" s="1203"/>
      <c r="AN216" s="1203"/>
      <c r="AO216" s="1203"/>
      <c r="AP216" s="1203"/>
      <c r="AQ216" s="1203"/>
      <c r="AR216" s="1203"/>
      <c r="AS216" s="1203"/>
    </row>
    <row r="217" spans="1:45" ht="15.75" customHeight="1">
      <c r="A217" s="1203"/>
      <c r="B217" s="1483" t="s">
        <v>66</v>
      </c>
      <c r="C217" s="1817"/>
      <c r="D217" s="1817"/>
      <c r="E217" s="1817"/>
      <c r="F217" s="1817"/>
      <c r="G217" s="1817"/>
      <c r="H217" s="1821">
        <f>H212+H214+H215+H216</f>
        <v>24.9</v>
      </c>
      <c r="I217" s="1821">
        <f>I212+I214+I215+I216</f>
        <v>44.1</v>
      </c>
      <c r="J217" s="1821">
        <f t="shared" ref="J217:P217" si="115">J212+J214+J215+J216</f>
        <v>29.507847857809178</v>
      </c>
      <c r="K217" s="1821">
        <f t="shared" si="115"/>
        <v>34.292722887158135</v>
      </c>
      <c r="L217" s="1821">
        <f t="shared" si="115"/>
        <v>40.353657350173663</v>
      </c>
      <c r="M217" s="1821">
        <f t="shared" si="115"/>
        <v>43.441408930251569</v>
      </c>
      <c r="N217" s="1821">
        <f t="shared" si="115"/>
        <v>46.565286904801852</v>
      </c>
      <c r="O217" s="1821">
        <f t="shared" si="115"/>
        <v>49.812801329916496</v>
      </c>
      <c r="P217" s="1821">
        <f t="shared" si="115"/>
        <v>53.199074857975859</v>
      </c>
      <c r="Q217" s="1203"/>
      <c r="R217" s="1203"/>
      <c r="S217" s="1203"/>
      <c r="T217" s="1203"/>
      <c r="U217" s="1203"/>
      <c r="V217" s="1203"/>
      <c r="W217" s="1203"/>
      <c r="X217" s="1203"/>
      <c r="Y217" s="1203"/>
      <c r="Z217" s="1203"/>
      <c r="AA217" s="1203"/>
      <c r="AB217" s="1203"/>
      <c r="AC217" s="1203"/>
      <c r="AD217" s="1203"/>
      <c r="AE217" s="1203"/>
      <c r="AF217" s="1203"/>
      <c r="AG217" s="1203"/>
      <c r="AH217" s="1203"/>
      <c r="AI217" s="1203"/>
      <c r="AJ217" s="1203"/>
      <c r="AK217" s="1203"/>
      <c r="AL217" s="1203"/>
      <c r="AM217" s="1203"/>
      <c r="AN217" s="1203"/>
      <c r="AO217" s="1203"/>
      <c r="AP217" s="1203"/>
      <c r="AQ217" s="1203"/>
      <c r="AR217" s="1203"/>
      <c r="AS217" s="1203"/>
    </row>
    <row r="218" spans="1:45" ht="15.75" customHeight="1">
      <c r="A218" s="1203"/>
      <c r="B218" s="1203"/>
      <c r="C218" s="1203"/>
      <c r="D218" s="1203"/>
      <c r="E218" s="1203"/>
      <c r="F218" s="1203"/>
      <c r="G218" s="1203"/>
      <c r="H218" s="1203"/>
      <c r="I218" s="1203"/>
      <c r="J218" s="1203"/>
      <c r="K218" s="1203"/>
      <c r="L218" s="1203"/>
      <c r="M218" s="1203"/>
      <c r="N218" s="1203"/>
      <c r="O218" s="1203"/>
      <c r="P218" s="1203"/>
      <c r="Q218" s="1203"/>
      <c r="R218" s="1203"/>
      <c r="S218" s="1203"/>
      <c r="T218" s="1203"/>
      <c r="U218" s="1203"/>
      <c r="V218" s="1203"/>
      <c r="W218" s="1203"/>
      <c r="X218" s="1203"/>
      <c r="Y218" s="1203"/>
      <c r="Z218" s="1203"/>
      <c r="AA218" s="1203"/>
      <c r="AB218" s="1203"/>
      <c r="AC218" s="1203"/>
      <c r="AD218" s="1203"/>
      <c r="AE218" s="1203"/>
      <c r="AF218" s="1203"/>
      <c r="AG218" s="1203"/>
      <c r="AH218" s="1203"/>
      <c r="AI218" s="1203"/>
      <c r="AJ218" s="1203"/>
      <c r="AK218" s="1203"/>
      <c r="AL218" s="1203"/>
      <c r="AM218" s="1203"/>
      <c r="AN218" s="1203"/>
      <c r="AO218" s="1203"/>
      <c r="AP218" s="1203"/>
      <c r="AQ218" s="1203"/>
      <c r="AR218" s="1203"/>
      <c r="AS218" s="1203"/>
    </row>
    <row r="219" spans="1:45" ht="15.75" customHeight="1">
      <c r="A219" s="1203"/>
      <c r="B219" s="1203" t="s">
        <v>67</v>
      </c>
      <c r="C219" s="1203"/>
      <c r="D219" s="1203"/>
      <c r="E219" s="1203"/>
      <c r="F219" s="1203"/>
      <c r="G219" s="1203"/>
      <c r="H219" s="1672">
        <v>-9.4</v>
      </c>
      <c r="I219" s="1672">
        <v>-16.8</v>
      </c>
      <c r="J219" s="1217">
        <f ca="1">-J234*J220</f>
        <v>-8.1400959607749446</v>
      </c>
      <c r="K219" s="1217">
        <f t="shared" ref="K219:P219" ca="1" si="116">-K234*K220</f>
        <v>-9.4600614861125898</v>
      </c>
      <c r="L219" s="1217">
        <f t="shared" ca="1" si="116"/>
        <v>-11.13204340694446</v>
      </c>
      <c r="M219" s="1217">
        <f t="shared" ca="1" si="116"/>
        <v>-11.983836946276295</v>
      </c>
      <c r="N219" s="1217">
        <f t="shared" ca="1" si="116"/>
        <v>-12.845596387531545</v>
      </c>
      <c r="O219" s="1217">
        <f t="shared" ca="1" si="116"/>
        <v>-13.741462435839033</v>
      </c>
      <c r="P219" s="1217">
        <f t="shared" ca="1" si="116"/>
        <v>-14.675606857372649</v>
      </c>
      <c r="Q219" s="1203"/>
      <c r="R219" s="1203"/>
      <c r="S219" s="1203"/>
      <c r="T219" s="1203"/>
      <c r="U219" s="1203"/>
      <c r="V219" s="1203"/>
      <c r="W219" s="1203"/>
      <c r="X219" s="1203"/>
      <c r="Y219" s="1203"/>
      <c r="Z219" s="1203"/>
      <c r="AA219" s="1203"/>
      <c r="AB219" s="1203"/>
      <c r="AC219" s="1203"/>
      <c r="AD219" s="1203"/>
      <c r="AE219" s="1203"/>
      <c r="AF219" s="1203"/>
      <c r="AG219" s="1203"/>
      <c r="AH219" s="1203"/>
      <c r="AI219" s="1203"/>
      <c r="AJ219" s="1203"/>
      <c r="AK219" s="1203"/>
      <c r="AL219" s="1203"/>
      <c r="AM219" s="1203"/>
      <c r="AN219" s="1203"/>
      <c r="AO219" s="1203"/>
      <c r="AP219" s="1203"/>
      <c r="AQ219" s="1203"/>
      <c r="AR219" s="1203"/>
      <c r="AS219" s="1203"/>
    </row>
    <row r="220" spans="1:45" ht="15.75" customHeight="1">
      <c r="A220" s="1203"/>
      <c r="B220" s="1483" t="s">
        <v>69</v>
      </c>
      <c r="C220" s="1483"/>
      <c r="D220" s="1483"/>
      <c r="E220" s="1483"/>
      <c r="F220" s="1483"/>
      <c r="G220" s="1483"/>
      <c r="H220" s="1821">
        <f>H217+H219</f>
        <v>15.499999999999998</v>
      </c>
      <c r="I220" s="1821">
        <f>I217+I219</f>
        <v>27.3</v>
      </c>
      <c r="J220" s="1821">
        <f t="shared" ref="J220:P220" ca="1" si="117">J217+J219</f>
        <v>21.367751897034232</v>
      </c>
      <c r="K220" s="1821">
        <f t="shared" ca="1" si="117"/>
        <v>24.832661401045545</v>
      </c>
      <c r="L220" s="1821">
        <f t="shared" ca="1" si="117"/>
        <v>29.221613943229201</v>
      </c>
      <c r="M220" s="1821">
        <f t="shared" ca="1" si="117"/>
        <v>31.457571983975274</v>
      </c>
      <c r="N220" s="1821">
        <f t="shared" ca="1" si="117"/>
        <v>33.719690517270308</v>
      </c>
      <c r="O220" s="1821">
        <f t="shared" ca="1" si="117"/>
        <v>36.071338894077464</v>
      </c>
      <c r="P220" s="1821">
        <f t="shared" ca="1" si="117"/>
        <v>38.523468000603209</v>
      </c>
      <c r="Q220" s="1203"/>
      <c r="R220" s="1203"/>
      <c r="S220" s="1203"/>
      <c r="T220" s="1203"/>
      <c r="U220" s="1203"/>
      <c r="V220" s="1203"/>
      <c r="W220" s="1203"/>
      <c r="X220" s="1203"/>
      <c r="Y220" s="1203"/>
      <c r="Z220" s="1203"/>
      <c r="AA220" s="1203"/>
      <c r="AB220" s="1203"/>
      <c r="AC220" s="1203"/>
      <c r="AD220" s="1203"/>
      <c r="AE220" s="1203"/>
      <c r="AF220" s="1203"/>
      <c r="AG220" s="1203"/>
      <c r="AH220" s="1203"/>
      <c r="AI220" s="1203"/>
      <c r="AJ220" s="1203"/>
      <c r="AK220" s="1203"/>
      <c r="AL220" s="1203"/>
      <c r="AM220" s="1203"/>
      <c r="AN220" s="1203"/>
      <c r="AO220" s="1203"/>
      <c r="AP220" s="1203"/>
      <c r="AQ220" s="1203"/>
      <c r="AR220" s="1203"/>
      <c r="AS220" s="1203"/>
    </row>
    <row r="221" spans="1:45" ht="15.75" customHeight="1">
      <c r="A221" s="1203"/>
      <c r="B221" s="1203" t="s">
        <v>6830</v>
      </c>
      <c r="C221" s="1203"/>
      <c r="D221" s="1203"/>
      <c r="E221" s="1203"/>
      <c r="F221" s="1203"/>
      <c r="G221" s="1203"/>
      <c r="H221" s="1203"/>
      <c r="I221" s="1203"/>
      <c r="J221" s="1203"/>
      <c r="K221" s="1203"/>
      <c r="L221" s="1203"/>
      <c r="M221" s="1203"/>
      <c r="N221" s="1203"/>
      <c r="O221" s="1203"/>
      <c r="P221" s="1203"/>
      <c r="Q221" s="1203"/>
      <c r="R221" s="1203"/>
      <c r="S221" s="1203"/>
      <c r="T221" s="1203"/>
      <c r="U221" s="1203"/>
      <c r="V221" s="1203"/>
      <c r="W221" s="1203"/>
      <c r="X221" s="1203"/>
      <c r="Y221" s="1203"/>
      <c r="Z221" s="1203"/>
      <c r="AA221" s="1203"/>
      <c r="AB221" s="1203"/>
      <c r="AC221" s="1203"/>
      <c r="AD221" s="1203"/>
      <c r="AE221" s="1203"/>
      <c r="AF221" s="1203"/>
      <c r="AG221" s="1203"/>
      <c r="AH221" s="1203"/>
      <c r="AI221" s="1203"/>
      <c r="AJ221" s="1203"/>
      <c r="AK221" s="1203"/>
      <c r="AL221" s="1203"/>
      <c r="AM221" s="1203"/>
      <c r="AN221" s="1203"/>
      <c r="AO221" s="1203"/>
      <c r="AP221" s="1203"/>
      <c r="AQ221" s="1203"/>
      <c r="AR221" s="1203"/>
      <c r="AS221" s="1203"/>
    </row>
    <row r="222" spans="1:45" ht="15.75" customHeight="1">
      <c r="A222" s="1203"/>
      <c r="B222" s="1203" t="s">
        <v>6833</v>
      </c>
      <c r="C222" s="1203"/>
      <c r="D222" s="1203"/>
      <c r="E222" s="1203"/>
      <c r="F222" s="1203"/>
      <c r="G222" s="1203"/>
      <c r="H222" s="1203"/>
      <c r="I222" s="1203"/>
      <c r="J222" s="1203"/>
      <c r="K222" s="1203"/>
      <c r="L222" s="1203"/>
      <c r="M222" s="1203"/>
      <c r="N222" s="1203"/>
      <c r="O222" s="1203"/>
      <c r="P222" s="1203"/>
      <c r="Q222" s="1203"/>
      <c r="R222" s="1203"/>
      <c r="S222" s="1203"/>
      <c r="T222" s="1203"/>
      <c r="U222" s="1203"/>
      <c r="V222" s="1203"/>
      <c r="W222" s="1203"/>
      <c r="X222" s="1203"/>
      <c r="Y222" s="1203"/>
      <c r="Z222" s="1203"/>
      <c r="AA222" s="1203"/>
      <c r="AB222" s="1203"/>
      <c r="AC222" s="1203"/>
      <c r="AD222" s="1203"/>
      <c r="AE222" s="1203"/>
      <c r="AF222" s="1203"/>
      <c r="AG222" s="1203"/>
      <c r="AH222" s="1203"/>
      <c r="AI222" s="1203"/>
      <c r="AJ222" s="1203"/>
      <c r="AK222" s="1203"/>
      <c r="AL222" s="1203"/>
      <c r="AM222" s="1203"/>
      <c r="AN222" s="1203"/>
      <c r="AO222" s="1203"/>
      <c r="AP222" s="1203"/>
      <c r="AQ222" s="1203"/>
      <c r="AR222" s="1203"/>
      <c r="AS222" s="1203"/>
    </row>
    <row r="223" spans="1:45" ht="15.75" customHeight="1">
      <c r="A223" s="1203"/>
      <c r="B223" s="1203"/>
      <c r="C223" s="1203"/>
      <c r="D223" s="1203"/>
      <c r="E223" s="1203"/>
      <c r="F223" s="1203"/>
      <c r="G223" s="1203"/>
      <c r="H223" s="1203"/>
      <c r="I223" s="1203"/>
      <c r="J223" s="1203"/>
      <c r="K223" s="1203"/>
      <c r="L223" s="1203"/>
      <c r="M223" s="1203"/>
      <c r="N223" s="1203"/>
      <c r="O223" s="1203"/>
      <c r="P223" s="1203"/>
      <c r="Q223" s="1203"/>
      <c r="R223" s="1203"/>
      <c r="S223" s="1203"/>
      <c r="T223" s="1203"/>
      <c r="U223" s="1203"/>
      <c r="V223" s="1203"/>
      <c r="W223" s="1203"/>
      <c r="X223" s="1203"/>
      <c r="Y223" s="1203"/>
      <c r="Z223" s="1203"/>
      <c r="AA223" s="1203"/>
      <c r="AB223" s="1203"/>
      <c r="AC223" s="1203"/>
      <c r="AD223" s="1203"/>
      <c r="AE223" s="1203"/>
      <c r="AF223" s="1203"/>
      <c r="AG223" s="1203"/>
      <c r="AH223" s="1203"/>
      <c r="AI223" s="1203"/>
      <c r="AJ223" s="1203"/>
      <c r="AK223" s="1203"/>
      <c r="AL223" s="1203"/>
      <c r="AM223" s="1203"/>
      <c r="AN223" s="1203"/>
      <c r="AO223" s="1203"/>
      <c r="AP223" s="1203"/>
      <c r="AQ223" s="1203"/>
      <c r="AR223" s="1203"/>
      <c r="AS223" s="1203"/>
    </row>
    <row r="224" spans="1:45" ht="15.75" customHeight="1">
      <c r="A224" s="1203"/>
      <c r="B224" s="1203"/>
      <c r="C224" s="1203"/>
      <c r="D224" s="1203"/>
      <c r="E224" s="1203"/>
      <c r="F224" s="1203"/>
      <c r="G224" s="1203"/>
      <c r="H224" s="1203"/>
      <c r="I224" s="1203"/>
      <c r="J224" s="1203"/>
      <c r="K224" s="1203"/>
      <c r="L224" s="1203"/>
      <c r="M224" s="1203"/>
      <c r="N224" s="1203"/>
      <c r="O224" s="1203"/>
      <c r="P224" s="1203"/>
      <c r="Q224" s="1203"/>
      <c r="R224" s="1203"/>
      <c r="S224" s="1203"/>
      <c r="T224" s="1203"/>
      <c r="U224" s="1203"/>
      <c r="V224" s="1203"/>
      <c r="W224" s="1203"/>
      <c r="X224" s="1203"/>
      <c r="Y224" s="1203"/>
      <c r="Z224" s="1203"/>
      <c r="AA224" s="1203"/>
      <c r="AB224" s="1203"/>
      <c r="AC224" s="1203"/>
      <c r="AD224" s="1203"/>
      <c r="AE224" s="1203"/>
      <c r="AF224" s="1203"/>
      <c r="AG224" s="1203"/>
      <c r="AH224" s="1203"/>
      <c r="AI224" s="1203"/>
      <c r="AJ224" s="1203"/>
      <c r="AK224" s="1203"/>
      <c r="AL224" s="1203"/>
      <c r="AM224" s="1203"/>
      <c r="AN224" s="1203"/>
      <c r="AO224" s="1203"/>
      <c r="AP224" s="1203"/>
      <c r="AQ224" s="1203"/>
      <c r="AR224" s="1203"/>
      <c r="AS224" s="1203"/>
    </row>
    <row r="225" spans="1:45" ht="15.75" customHeight="1">
      <c r="A225" s="1203"/>
      <c r="B225" s="1336" t="s">
        <v>6834</v>
      </c>
      <c r="C225" s="1203"/>
      <c r="D225" s="1203"/>
      <c r="E225" s="1203"/>
      <c r="F225" s="1203"/>
      <c r="G225" s="1203"/>
      <c r="H225" s="1203"/>
      <c r="I225" s="1203"/>
      <c r="J225" s="1203"/>
      <c r="K225" s="1203"/>
      <c r="L225" s="1203"/>
      <c r="M225" s="1203"/>
      <c r="N225" s="1203"/>
      <c r="O225" s="1203"/>
      <c r="P225" s="1203"/>
      <c r="Q225" s="1203"/>
      <c r="R225" s="1203"/>
      <c r="S225" s="1203"/>
      <c r="T225" s="1203"/>
      <c r="U225" s="1203"/>
      <c r="V225" s="1203"/>
      <c r="W225" s="1203"/>
      <c r="X225" s="1203"/>
      <c r="Y225" s="1203"/>
      <c r="Z225" s="1203"/>
      <c r="AA225" s="1203"/>
      <c r="AB225" s="1203"/>
      <c r="AC225" s="1203"/>
      <c r="AD225" s="1203"/>
      <c r="AE225" s="1203"/>
      <c r="AF225" s="1203"/>
      <c r="AG225" s="1203"/>
      <c r="AH225" s="1203"/>
      <c r="AI225" s="1203"/>
      <c r="AJ225" s="1203"/>
      <c r="AK225" s="1203"/>
      <c r="AL225" s="1203"/>
      <c r="AM225" s="1203"/>
      <c r="AN225" s="1203"/>
      <c r="AO225" s="1203"/>
      <c r="AP225" s="1203"/>
      <c r="AQ225" s="1203"/>
      <c r="AR225" s="1203"/>
      <c r="AS225" s="1203"/>
    </row>
    <row r="226" spans="1:45" ht="15.75" customHeight="1">
      <c r="A226" s="1203"/>
      <c r="B226" s="1203" t="s">
        <v>56</v>
      </c>
      <c r="C226" s="1203"/>
      <c r="D226" s="1203"/>
      <c r="E226" s="1203"/>
      <c r="F226" s="1203"/>
      <c r="G226" s="1203"/>
      <c r="H226" s="1305">
        <f>-H210/H208</f>
        <v>0.17490361023484055</v>
      </c>
      <c r="I226" s="1305">
        <f>-I210/I208</f>
        <v>0.1723790322580645</v>
      </c>
      <c r="J226" s="1674">
        <f>I226</f>
        <v>0.1723790322580645</v>
      </c>
      <c r="K226" s="1674">
        <f t="shared" ref="K226:P226" si="118">J226</f>
        <v>0.1723790322580645</v>
      </c>
      <c r="L226" s="1674">
        <f t="shared" si="118"/>
        <v>0.1723790322580645</v>
      </c>
      <c r="M226" s="1674">
        <f t="shared" si="118"/>
        <v>0.1723790322580645</v>
      </c>
      <c r="N226" s="1674">
        <f t="shared" si="118"/>
        <v>0.1723790322580645</v>
      </c>
      <c r="O226" s="1674">
        <f t="shared" si="118"/>
        <v>0.1723790322580645</v>
      </c>
      <c r="P226" s="1674">
        <f t="shared" si="118"/>
        <v>0.1723790322580645</v>
      </c>
      <c r="Q226" s="1203"/>
      <c r="R226" s="1203"/>
      <c r="S226" s="1203"/>
      <c r="T226" s="1203"/>
      <c r="U226" s="1203"/>
      <c r="V226" s="1203"/>
      <c r="W226" s="1203"/>
      <c r="X226" s="1203"/>
      <c r="Y226" s="1203"/>
      <c r="Z226" s="1203"/>
      <c r="AA226" s="1203"/>
      <c r="AB226" s="1203"/>
      <c r="AC226" s="1203"/>
      <c r="AD226" s="1203"/>
      <c r="AE226" s="1203"/>
      <c r="AF226" s="1203"/>
      <c r="AG226" s="1203"/>
      <c r="AH226" s="1203"/>
      <c r="AI226" s="1203"/>
      <c r="AJ226" s="1203"/>
      <c r="AK226" s="1203"/>
      <c r="AL226" s="1203"/>
      <c r="AM226" s="1203"/>
      <c r="AN226" s="1203"/>
      <c r="AO226" s="1203"/>
      <c r="AP226" s="1203"/>
      <c r="AQ226" s="1203"/>
      <c r="AR226" s="1203"/>
      <c r="AS226" s="1203"/>
    </row>
    <row r="227" spans="1:45" ht="15.75" customHeight="1">
      <c r="A227" s="1203"/>
      <c r="B227" s="1203"/>
      <c r="C227" s="1203"/>
      <c r="D227" s="1203"/>
      <c r="E227" s="1203"/>
      <c r="F227" s="1203"/>
      <c r="G227" s="1203"/>
      <c r="H227" s="1203"/>
      <c r="I227" s="1203"/>
      <c r="J227" s="1203"/>
      <c r="K227" s="1203"/>
      <c r="L227" s="1203"/>
      <c r="M227" s="1203"/>
      <c r="N227" s="1203"/>
      <c r="O227" s="1203"/>
      <c r="P227" s="1203"/>
      <c r="Q227" s="1203"/>
      <c r="R227" s="1203"/>
      <c r="S227" s="1203"/>
      <c r="T227" s="1203"/>
      <c r="U227" s="1203"/>
      <c r="V227" s="1203"/>
      <c r="W227" s="1203"/>
      <c r="X227" s="1203"/>
      <c r="Y227" s="1203"/>
      <c r="Z227" s="1203"/>
      <c r="AA227" s="1203"/>
      <c r="AB227" s="1203"/>
      <c r="AC227" s="1203"/>
      <c r="AD227" s="1203"/>
      <c r="AE227" s="1203"/>
      <c r="AF227" s="1203"/>
      <c r="AG227" s="1203"/>
      <c r="AH227" s="1203"/>
      <c r="AI227" s="1203"/>
      <c r="AJ227" s="1203"/>
      <c r="AK227" s="1203"/>
      <c r="AL227" s="1203"/>
      <c r="AM227" s="1203"/>
      <c r="AN227" s="1203"/>
      <c r="AO227" s="1203"/>
      <c r="AP227" s="1203"/>
      <c r="AQ227" s="1203"/>
      <c r="AR227" s="1203"/>
      <c r="AS227" s="1203"/>
    </row>
    <row r="228" spans="1:45" ht="15.75" customHeight="1">
      <c r="A228" s="1203"/>
      <c r="B228" s="1203" t="s">
        <v>6835</v>
      </c>
      <c r="C228" s="1203"/>
      <c r="D228" s="1203"/>
      <c r="E228" s="1203"/>
      <c r="F228" s="1203"/>
      <c r="G228" s="1203"/>
      <c r="H228" s="1203">
        <f>AVERAGE(H169,G169)</f>
        <v>9.5</v>
      </c>
      <c r="I228" s="1203">
        <f>AVERAGE(I169,H169)</f>
        <v>12.7</v>
      </c>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3"/>
      <c r="AL228" s="1203"/>
      <c r="AM228" s="1203"/>
      <c r="AN228" s="1203"/>
      <c r="AO228" s="1203"/>
      <c r="AP228" s="1203"/>
      <c r="AQ228" s="1203"/>
      <c r="AR228" s="1203"/>
      <c r="AS228" s="1203"/>
    </row>
    <row r="229" spans="1:45" ht="15.75" customHeight="1">
      <c r="A229" s="1203"/>
      <c r="B229" s="1203" t="s">
        <v>4176</v>
      </c>
      <c r="C229" s="1203"/>
      <c r="D229" s="1203"/>
      <c r="E229" s="1203"/>
      <c r="F229" s="1203"/>
      <c r="G229" s="1203"/>
      <c r="H229" s="1203"/>
      <c r="I229" s="1203"/>
      <c r="J229" s="1203"/>
      <c r="K229" s="1203"/>
      <c r="L229" s="1203"/>
      <c r="M229" s="1203"/>
      <c r="N229" s="1203"/>
      <c r="O229" s="1203"/>
      <c r="P229" s="1203"/>
      <c r="Q229" s="1203"/>
      <c r="R229" s="1203"/>
      <c r="S229" s="1203"/>
      <c r="T229" s="1203"/>
      <c r="U229" s="1203"/>
      <c r="V229" s="1203"/>
      <c r="W229" s="1203"/>
      <c r="X229" s="1203"/>
      <c r="Y229" s="1203"/>
      <c r="Z229" s="1203"/>
      <c r="AA229" s="1203"/>
      <c r="AB229" s="1203"/>
      <c r="AC229" s="1203"/>
      <c r="AD229" s="1203"/>
      <c r="AE229" s="1203"/>
      <c r="AF229" s="1203"/>
      <c r="AG229" s="1203"/>
      <c r="AH229" s="1203"/>
      <c r="AI229" s="1203"/>
      <c r="AJ229" s="1203"/>
      <c r="AK229" s="1203"/>
      <c r="AL229" s="1203"/>
      <c r="AM229" s="1203"/>
      <c r="AN229" s="1203"/>
      <c r="AO229" s="1203"/>
      <c r="AP229" s="1203"/>
      <c r="AQ229" s="1203"/>
      <c r="AR229" s="1203"/>
      <c r="AS229" s="1203"/>
    </row>
    <row r="230" spans="1:45" ht="15.75" customHeight="1">
      <c r="A230" s="1203"/>
      <c r="B230" s="1203"/>
      <c r="C230" s="1203"/>
      <c r="D230" s="1203"/>
      <c r="E230" s="1203"/>
      <c r="F230" s="1203"/>
      <c r="G230" s="1203"/>
      <c r="H230" s="1203"/>
      <c r="I230" s="1203"/>
      <c r="J230" s="1203"/>
      <c r="K230" s="1203"/>
      <c r="L230" s="1203"/>
      <c r="M230" s="1203"/>
      <c r="N230" s="1203"/>
      <c r="O230" s="1203"/>
      <c r="P230" s="1203"/>
      <c r="Q230" s="1203"/>
      <c r="R230" s="1203"/>
      <c r="S230" s="1203"/>
      <c r="T230" s="1203"/>
      <c r="U230" s="1203"/>
      <c r="V230" s="1203"/>
      <c r="W230" s="1203"/>
      <c r="X230" s="1203"/>
      <c r="Y230" s="1203"/>
      <c r="Z230" s="1203"/>
      <c r="AA230" s="1203"/>
      <c r="AB230" s="1203"/>
      <c r="AC230" s="1203"/>
      <c r="AD230" s="1203"/>
      <c r="AE230" s="1203"/>
      <c r="AF230" s="1203"/>
      <c r="AG230" s="1203"/>
      <c r="AH230" s="1203"/>
      <c r="AI230" s="1203"/>
      <c r="AJ230" s="1203"/>
      <c r="AK230" s="1203"/>
      <c r="AL230" s="1203"/>
      <c r="AM230" s="1203"/>
      <c r="AN230" s="1203"/>
      <c r="AO230" s="1203"/>
      <c r="AP230" s="1203"/>
      <c r="AQ230" s="1203"/>
      <c r="AR230" s="1203"/>
      <c r="AS230" s="1203"/>
    </row>
    <row r="231" spans="1:45" ht="15.75" customHeight="1">
      <c r="A231" s="1203"/>
      <c r="B231" s="1203" t="s">
        <v>7740</v>
      </c>
      <c r="C231" s="1203"/>
      <c r="D231" s="1203"/>
      <c r="E231" s="1203"/>
      <c r="F231" s="1203"/>
      <c r="G231" s="1203"/>
      <c r="H231" s="1203">
        <f t="shared" ref="H231:P231" si="119">AVERAGE(H168,G168)</f>
        <v>250.1</v>
      </c>
      <c r="I231" s="1217">
        <f t="shared" si="119"/>
        <v>239.15</v>
      </c>
      <c r="J231" s="1217">
        <f t="shared" si="119"/>
        <v>228.20000000000002</v>
      </c>
      <c r="K231" s="1217">
        <f t="shared" si="119"/>
        <v>228.20000000000002</v>
      </c>
      <c r="L231" s="1217">
        <f t="shared" si="119"/>
        <v>228.20000000000002</v>
      </c>
      <c r="M231" s="1217">
        <f t="shared" si="119"/>
        <v>228.20000000000002</v>
      </c>
      <c r="N231" s="1217">
        <f t="shared" si="119"/>
        <v>228.20000000000002</v>
      </c>
      <c r="O231" s="1217">
        <f t="shared" si="119"/>
        <v>228.20000000000002</v>
      </c>
      <c r="P231" s="1217">
        <f t="shared" si="119"/>
        <v>228.20000000000002</v>
      </c>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3"/>
      <c r="AK231" s="1203"/>
      <c r="AL231" s="1203"/>
      <c r="AM231" s="1203"/>
      <c r="AN231" s="1203"/>
      <c r="AO231" s="1203"/>
      <c r="AP231" s="1203"/>
      <c r="AQ231" s="1203"/>
      <c r="AR231" s="1203"/>
      <c r="AS231" s="1203"/>
    </row>
    <row r="232" spans="1:45" ht="15.75" customHeight="1">
      <c r="A232" s="1203"/>
      <c r="B232" s="1203" t="s">
        <v>4176</v>
      </c>
      <c r="C232" s="1203"/>
      <c r="D232" s="1203"/>
      <c r="E232" s="1203"/>
      <c r="F232" s="1203"/>
      <c r="G232" s="1203"/>
      <c r="H232" s="1305">
        <f>-H215/H231</f>
        <v>0.10835665733706518</v>
      </c>
      <c r="I232" s="1305">
        <f>-I215/I231</f>
        <v>0.120844658164332</v>
      </c>
      <c r="J232" s="1674">
        <f>I232</f>
        <v>0.120844658164332</v>
      </c>
      <c r="K232" s="1674">
        <v>0.11</v>
      </c>
      <c r="L232" s="1674">
        <v>0.11</v>
      </c>
      <c r="M232" s="1674">
        <v>0.11</v>
      </c>
      <c r="N232" s="1674">
        <v>0.11</v>
      </c>
      <c r="O232" s="1674">
        <v>0.11</v>
      </c>
      <c r="P232" s="1674">
        <v>0.11</v>
      </c>
      <c r="Q232" s="1203"/>
      <c r="R232" s="1203"/>
      <c r="S232" s="1203"/>
      <c r="T232" s="1203"/>
      <c r="U232" s="1203"/>
      <c r="V232" s="1203"/>
      <c r="W232" s="1203"/>
      <c r="X232" s="1203"/>
      <c r="Y232" s="1203"/>
      <c r="Z232" s="1203"/>
      <c r="AA232" s="1203"/>
      <c r="AB232" s="1203"/>
      <c r="AC232" s="1203"/>
      <c r="AD232" s="1203"/>
      <c r="AE232" s="1203"/>
      <c r="AF232" s="1203"/>
      <c r="AG232" s="1203"/>
      <c r="AH232" s="1203"/>
      <c r="AI232" s="1203"/>
      <c r="AJ232" s="1203"/>
      <c r="AK232" s="1203"/>
      <c r="AL232" s="1203"/>
      <c r="AM232" s="1203"/>
      <c r="AN232" s="1203"/>
      <c r="AO232" s="1203"/>
      <c r="AP232" s="1203"/>
      <c r="AQ232" s="1203"/>
      <c r="AR232" s="1203"/>
      <c r="AS232" s="1203"/>
    </row>
    <row r="233" spans="1:45" ht="15.75" customHeight="1">
      <c r="A233" s="1203"/>
      <c r="B233" s="1203"/>
      <c r="C233" s="1203"/>
      <c r="D233" s="1203"/>
      <c r="E233" s="1203"/>
      <c r="F233" s="1203"/>
      <c r="G233" s="1203"/>
      <c r="H233" s="1203"/>
      <c r="I233" s="1203"/>
      <c r="J233" s="1203"/>
      <c r="K233" s="1203"/>
      <c r="L233" s="1203"/>
      <c r="M233" s="1203"/>
      <c r="N233" s="1203"/>
      <c r="O233" s="1203"/>
      <c r="P233" s="1203"/>
      <c r="Q233" s="1203"/>
      <c r="R233" s="1203"/>
      <c r="S233" s="1203"/>
      <c r="T233" s="1203"/>
      <c r="U233" s="1203"/>
      <c r="V233" s="1203"/>
      <c r="W233" s="1203"/>
      <c r="X233" s="1203"/>
      <c r="Y233" s="1203"/>
      <c r="Z233" s="1203"/>
      <c r="AA233" s="1203"/>
      <c r="AB233" s="1203"/>
      <c r="AC233" s="1203"/>
      <c r="AD233" s="1203"/>
      <c r="AE233" s="1203"/>
      <c r="AF233" s="1203"/>
      <c r="AG233" s="1203"/>
      <c r="AH233" s="1203"/>
      <c r="AI233" s="1203"/>
      <c r="AJ233" s="1203"/>
      <c r="AK233" s="1203"/>
      <c r="AL233" s="1203"/>
      <c r="AM233" s="1203"/>
      <c r="AN233" s="1203"/>
      <c r="AO233" s="1203"/>
      <c r="AP233" s="1203"/>
      <c r="AQ233" s="1203"/>
      <c r="AR233" s="1203"/>
      <c r="AS233" s="1203"/>
    </row>
    <row r="234" spans="1:45" ht="15.75" customHeight="1">
      <c r="A234" s="1203"/>
      <c r="B234" s="1203" t="s">
        <v>196</v>
      </c>
      <c r="C234" s="1203"/>
      <c r="D234" s="1203"/>
      <c r="E234" s="1203"/>
      <c r="F234" s="1203"/>
      <c r="G234" s="1203"/>
      <c r="H234" s="1305">
        <f>-H219/H217</f>
        <v>0.3775100401606426</v>
      </c>
      <c r="I234" s="1305">
        <f>-I219/I217</f>
        <v>0.38095238095238093</v>
      </c>
      <c r="J234" s="1674">
        <f>I234</f>
        <v>0.38095238095238093</v>
      </c>
      <c r="K234" s="1674">
        <f t="shared" ref="K234:P234" si="120">J234</f>
        <v>0.38095238095238093</v>
      </c>
      <c r="L234" s="1674">
        <f t="shared" si="120"/>
        <v>0.38095238095238093</v>
      </c>
      <c r="M234" s="1674">
        <f t="shared" si="120"/>
        <v>0.38095238095238093</v>
      </c>
      <c r="N234" s="1674">
        <f t="shared" si="120"/>
        <v>0.38095238095238093</v>
      </c>
      <c r="O234" s="1674">
        <f t="shared" si="120"/>
        <v>0.38095238095238093</v>
      </c>
      <c r="P234" s="1674">
        <f t="shared" si="120"/>
        <v>0.38095238095238093</v>
      </c>
      <c r="Q234" s="1203"/>
      <c r="R234" s="1203"/>
      <c r="S234" s="1203"/>
      <c r="T234" s="1203"/>
      <c r="U234" s="1203"/>
      <c r="V234" s="1203"/>
      <c r="W234" s="1203"/>
      <c r="X234" s="1203"/>
      <c r="Y234" s="1203"/>
      <c r="Z234" s="1203"/>
      <c r="AA234" s="1203"/>
      <c r="AB234" s="1203"/>
      <c r="AC234" s="1203"/>
      <c r="AD234" s="1203"/>
      <c r="AE234" s="1203"/>
      <c r="AF234" s="1203"/>
      <c r="AG234" s="1203"/>
      <c r="AH234" s="1203"/>
      <c r="AI234" s="1203"/>
      <c r="AJ234" s="1203"/>
      <c r="AK234" s="1203"/>
      <c r="AL234" s="1203"/>
      <c r="AM234" s="1203"/>
      <c r="AN234" s="1203"/>
      <c r="AO234" s="1203"/>
      <c r="AP234" s="1203"/>
      <c r="AQ234" s="1203"/>
      <c r="AR234" s="1203"/>
      <c r="AS234" s="1203"/>
    </row>
    <row r="235" spans="1:45" ht="15.75" customHeight="1">
      <c r="A235" s="1203"/>
      <c r="B235" s="1203" t="s">
        <v>195</v>
      </c>
      <c r="C235" s="1203"/>
      <c r="D235" s="1203"/>
      <c r="E235" s="1203"/>
      <c r="F235" s="1203"/>
      <c r="G235" s="1203"/>
      <c r="H235" s="1203"/>
      <c r="I235" s="1203"/>
      <c r="J235" s="1203"/>
      <c r="K235" s="1203"/>
      <c r="L235" s="1203"/>
      <c r="M235" s="1203"/>
      <c r="N235" s="1203"/>
      <c r="O235" s="1203"/>
      <c r="P235" s="1203"/>
      <c r="Q235" s="1203"/>
      <c r="R235" s="1203"/>
      <c r="S235" s="1203"/>
      <c r="T235" s="1203"/>
      <c r="U235" s="1203"/>
      <c r="V235" s="1203"/>
      <c r="W235" s="1203"/>
      <c r="X235" s="1203"/>
      <c r="Y235" s="1203"/>
      <c r="Z235" s="1203"/>
      <c r="AA235" s="1203"/>
      <c r="AB235" s="1203"/>
      <c r="AC235" s="1203"/>
      <c r="AD235" s="1203"/>
      <c r="AE235" s="1203"/>
      <c r="AF235" s="1203"/>
      <c r="AG235" s="1203"/>
      <c r="AH235" s="1203"/>
      <c r="AI235" s="1203"/>
      <c r="AJ235" s="1203"/>
      <c r="AK235" s="1203"/>
      <c r="AL235" s="1203"/>
      <c r="AM235" s="1203"/>
      <c r="AN235" s="1203"/>
      <c r="AO235" s="1203"/>
      <c r="AP235" s="1203"/>
      <c r="AQ235" s="1203"/>
      <c r="AR235" s="1203"/>
      <c r="AS235" s="1203"/>
    </row>
    <row r="236" spans="1:45" ht="15.75" customHeight="1">
      <c r="A236" s="1203"/>
      <c r="B236" s="1203"/>
      <c r="C236" s="1203"/>
      <c r="D236" s="1203"/>
      <c r="E236" s="1203"/>
      <c r="F236" s="1203"/>
      <c r="G236" s="1203"/>
      <c r="H236" s="1203"/>
      <c r="I236" s="1203"/>
      <c r="J236" s="1203"/>
      <c r="K236" s="1203"/>
      <c r="L236" s="1203"/>
      <c r="M236" s="1203"/>
      <c r="N236" s="1203"/>
      <c r="O236" s="1203"/>
      <c r="P236" s="1203"/>
      <c r="Q236" s="1203"/>
      <c r="R236" s="1203"/>
      <c r="S236" s="1203"/>
      <c r="T236" s="1203"/>
      <c r="U236" s="1203"/>
      <c r="V236" s="1203"/>
      <c r="W236" s="1203"/>
      <c r="X236" s="1203"/>
      <c r="Y236" s="1203"/>
      <c r="Z236" s="1203"/>
      <c r="AA236" s="1203"/>
      <c r="AB236" s="1203"/>
      <c r="AC236" s="1203"/>
      <c r="AD236" s="1203"/>
      <c r="AE236" s="1203"/>
      <c r="AF236" s="1203"/>
      <c r="AG236" s="1203"/>
      <c r="AH236" s="1203"/>
      <c r="AI236" s="1203"/>
      <c r="AJ236" s="1203"/>
      <c r="AK236" s="1203"/>
      <c r="AL236" s="1203"/>
      <c r="AM236" s="1203"/>
      <c r="AN236" s="1203"/>
      <c r="AO236" s="1203"/>
      <c r="AP236" s="1203"/>
      <c r="AQ236" s="1203"/>
      <c r="AR236" s="1203"/>
      <c r="AS236" s="1203"/>
    </row>
    <row r="237" spans="1:45" ht="15.75" customHeight="1">
      <c r="A237" s="1203"/>
      <c r="B237" s="1203"/>
      <c r="C237" s="1203"/>
      <c r="D237" s="1203"/>
      <c r="E237" s="1203"/>
      <c r="F237" s="1203"/>
      <c r="G237" s="1203"/>
      <c r="H237" s="1203"/>
      <c r="I237" s="1203"/>
      <c r="J237" s="1203"/>
      <c r="K237" s="1203"/>
      <c r="L237" s="1203"/>
      <c r="M237" s="1203"/>
      <c r="N237" s="1203"/>
      <c r="O237" s="1203"/>
      <c r="P237" s="1203"/>
      <c r="Q237" s="1203"/>
      <c r="R237" s="1203"/>
      <c r="S237" s="1203"/>
      <c r="T237" s="1203"/>
      <c r="U237" s="1203"/>
      <c r="V237" s="1203"/>
      <c r="W237" s="1203"/>
      <c r="X237" s="1203"/>
      <c r="Y237" s="1203"/>
      <c r="Z237" s="1203"/>
      <c r="AA237" s="1203"/>
      <c r="AB237" s="1203"/>
      <c r="AC237" s="1203"/>
      <c r="AD237" s="1203"/>
      <c r="AE237" s="1203"/>
      <c r="AF237" s="1203"/>
      <c r="AG237" s="1203"/>
      <c r="AH237" s="1203"/>
      <c r="AI237" s="1203"/>
      <c r="AJ237" s="1203"/>
      <c r="AK237" s="1203"/>
      <c r="AL237" s="1203"/>
      <c r="AM237" s="1203"/>
      <c r="AN237" s="1203"/>
      <c r="AO237" s="1203"/>
      <c r="AP237" s="1203"/>
      <c r="AQ237" s="1203"/>
      <c r="AR237" s="1203"/>
      <c r="AS237" s="1203"/>
    </row>
    <row r="238" spans="1:45" ht="15.75" customHeight="1">
      <c r="A238" s="1203"/>
      <c r="B238" s="1203"/>
      <c r="C238" s="1203"/>
      <c r="D238" s="1203"/>
      <c r="E238" s="1203"/>
      <c r="F238" s="1203"/>
      <c r="G238" s="1203"/>
      <c r="H238" s="1203"/>
      <c r="I238" s="1203"/>
      <c r="J238" s="1203"/>
      <c r="K238" s="1203"/>
      <c r="L238" s="1203"/>
      <c r="M238" s="1203"/>
      <c r="N238" s="1203"/>
      <c r="O238" s="1203"/>
      <c r="P238" s="1203"/>
      <c r="Q238" s="1203"/>
      <c r="R238" s="1203"/>
      <c r="S238" s="1203"/>
      <c r="T238" s="1203"/>
      <c r="U238" s="1203"/>
      <c r="V238" s="1203"/>
      <c r="W238" s="1203"/>
      <c r="X238" s="1203"/>
      <c r="Y238" s="1203"/>
      <c r="Z238" s="1203"/>
      <c r="AA238" s="1203"/>
      <c r="AB238" s="1203"/>
      <c r="AC238" s="1203"/>
      <c r="AD238" s="1203"/>
      <c r="AE238" s="1203"/>
      <c r="AF238" s="1203"/>
      <c r="AG238" s="1203"/>
      <c r="AH238" s="1203"/>
      <c r="AI238" s="1203"/>
      <c r="AJ238" s="1203"/>
      <c r="AK238" s="1203"/>
      <c r="AL238" s="1203"/>
      <c r="AM238" s="1203"/>
      <c r="AN238" s="1203"/>
      <c r="AO238" s="1203"/>
      <c r="AP238" s="1203"/>
      <c r="AQ238" s="1203"/>
      <c r="AR238" s="1203"/>
      <c r="AS238" s="1203"/>
    </row>
    <row r="239" spans="1:45" ht="15.75" customHeight="1">
      <c r="A239" s="1203"/>
      <c r="B239" s="1609" t="s">
        <v>6839</v>
      </c>
      <c r="C239" s="1609">
        <f>C$1</f>
        <v>2017</v>
      </c>
      <c r="D239" s="1609">
        <f t="shared" ref="D239:P239" si="121">D$1</f>
        <v>2018</v>
      </c>
      <c r="E239" s="1609">
        <f t="shared" si="121"/>
        <v>2019</v>
      </c>
      <c r="F239" s="1609">
        <f t="shared" si="121"/>
        <v>2020</v>
      </c>
      <c r="G239" s="1609">
        <f t="shared" si="121"/>
        <v>2021</v>
      </c>
      <c r="H239" s="1609">
        <f t="shared" si="121"/>
        <v>2022</v>
      </c>
      <c r="I239" s="1609">
        <f t="shared" si="121"/>
        <v>2023</v>
      </c>
      <c r="J239" s="1609">
        <f t="shared" si="121"/>
        <v>2024</v>
      </c>
      <c r="K239" s="1609">
        <f t="shared" si="121"/>
        <v>2025</v>
      </c>
      <c r="L239" s="1609">
        <f t="shared" si="121"/>
        <v>2026</v>
      </c>
      <c r="M239" s="1609">
        <f t="shared" si="121"/>
        <v>2027</v>
      </c>
      <c r="N239" s="1609">
        <f t="shared" si="121"/>
        <v>2028</v>
      </c>
      <c r="O239" s="1609">
        <f t="shared" si="121"/>
        <v>2029</v>
      </c>
      <c r="P239" s="1609">
        <f t="shared" si="121"/>
        <v>2030</v>
      </c>
      <c r="Q239" s="1609">
        <v>2031</v>
      </c>
      <c r="R239" s="1203"/>
      <c r="S239" s="1203"/>
      <c r="T239" s="1203"/>
      <c r="U239" s="1203"/>
      <c r="V239" s="1203"/>
      <c r="W239" s="1203"/>
      <c r="X239" s="1203"/>
      <c r="Y239" s="1203"/>
      <c r="Z239" s="1203"/>
      <c r="AA239" s="1203"/>
      <c r="AB239" s="1203"/>
      <c r="AC239" s="1203"/>
      <c r="AD239" s="1203"/>
      <c r="AE239" s="1203"/>
      <c r="AF239" s="1203"/>
      <c r="AG239" s="1203"/>
      <c r="AH239" s="1203"/>
      <c r="AI239" s="1203"/>
      <c r="AJ239" s="1203"/>
      <c r="AK239" s="1203"/>
      <c r="AL239" s="1203"/>
      <c r="AM239" s="1203"/>
      <c r="AN239" s="1203"/>
      <c r="AO239" s="1203"/>
      <c r="AP239" s="1203"/>
      <c r="AQ239" s="1203"/>
      <c r="AR239" s="1203"/>
      <c r="AS239" s="1203"/>
    </row>
    <row r="240" spans="1:45" ht="15.75" customHeight="1">
      <c r="A240" s="1203"/>
      <c r="B240" s="1203" t="s">
        <v>3411</v>
      </c>
      <c r="C240" s="1203"/>
      <c r="D240" s="1203"/>
      <c r="E240" s="1203"/>
      <c r="F240" s="1203"/>
      <c r="G240" s="1203"/>
      <c r="H240" s="1203"/>
      <c r="I240" s="1203"/>
      <c r="J240" s="1672">
        <v>0.3</v>
      </c>
      <c r="K240" s="1203"/>
      <c r="L240" s="1203"/>
      <c r="M240" s="1203"/>
      <c r="N240" s="1203"/>
      <c r="P240" s="1203"/>
      <c r="Q240" s="1672">
        <v>227.9</v>
      </c>
      <c r="R240" s="1203"/>
      <c r="S240" s="1203"/>
      <c r="T240" s="1203"/>
      <c r="U240" s="1203"/>
      <c r="V240" s="1203"/>
      <c r="W240" s="1203"/>
      <c r="X240" s="1203"/>
      <c r="Y240" s="1203"/>
      <c r="Z240" s="1203"/>
      <c r="AA240" s="1203"/>
      <c r="AB240" s="1203"/>
      <c r="AC240" s="1203"/>
      <c r="AD240" s="1203"/>
      <c r="AE240" s="1203"/>
      <c r="AF240" s="1203"/>
      <c r="AG240" s="1203"/>
      <c r="AH240" s="1203"/>
      <c r="AI240" s="1203"/>
      <c r="AJ240" s="1203"/>
      <c r="AK240" s="1203"/>
      <c r="AL240" s="1203"/>
      <c r="AM240" s="1203"/>
      <c r="AN240" s="1203"/>
      <c r="AO240" s="1203"/>
      <c r="AP240" s="1203"/>
      <c r="AQ240" s="1203"/>
      <c r="AR240" s="1203"/>
      <c r="AS240" s="1203"/>
    </row>
    <row r="241" spans="1:45" ht="15.75" customHeight="1">
      <c r="A241" s="1203"/>
      <c r="B241" s="1203"/>
      <c r="C241" s="1203"/>
      <c r="D241" s="1203"/>
      <c r="E241" s="1203"/>
      <c r="F241" s="1203"/>
      <c r="G241" s="1203"/>
      <c r="H241" s="1203"/>
      <c r="I241" s="1203"/>
      <c r="J241" s="1203"/>
      <c r="K241" s="1203"/>
      <c r="L241" s="1203"/>
      <c r="M241" s="1203"/>
      <c r="N241" s="1203"/>
      <c r="O241" s="1203"/>
      <c r="P241" s="1203"/>
      <c r="Q241" s="1203"/>
      <c r="R241" s="1203"/>
      <c r="S241" s="1203"/>
      <c r="T241" s="1203"/>
      <c r="U241" s="1203"/>
      <c r="V241" s="1203"/>
      <c r="W241" s="1203"/>
      <c r="X241" s="1203"/>
      <c r="Y241" s="1203"/>
      <c r="Z241" s="1203"/>
      <c r="AA241" s="1203"/>
      <c r="AB241" s="1203"/>
      <c r="AC241" s="1203"/>
      <c r="AD241" s="1203"/>
      <c r="AE241" s="1203"/>
      <c r="AF241" s="1203"/>
      <c r="AG241" s="1203"/>
      <c r="AH241" s="1203"/>
      <c r="AI241" s="1203"/>
      <c r="AJ241" s="1203"/>
      <c r="AK241" s="1203"/>
      <c r="AL241" s="1203"/>
      <c r="AM241" s="1203"/>
      <c r="AN241" s="1203"/>
      <c r="AO241" s="1203"/>
      <c r="AP241" s="1203"/>
      <c r="AQ241" s="1203"/>
      <c r="AR241" s="1203"/>
      <c r="AS241" s="1203"/>
    </row>
    <row r="242" spans="1:45" ht="15.75" customHeight="1">
      <c r="A242" s="1203"/>
      <c r="B242" s="1203"/>
      <c r="C242" s="1203"/>
      <c r="D242" s="1203"/>
      <c r="E242" s="1203"/>
      <c r="F242" s="1203"/>
      <c r="G242" s="1203"/>
      <c r="H242" s="1203"/>
      <c r="I242" s="1203"/>
      <c r="J242" s="1203"/>
      <c r="K242" s="1203"/>
      <c r="L242" s="1203"/>
      <c r="M242" s="1203"/>
      <c r="N242" s="1203"/>
      <c r="O242" s="1203"/>
      <c r="P242" s="1203"/>
      <c r="Q242" s="1203"/>
      <c r="R242" s="1203"/>
      <c r="S242" s="1203"/>
      <c r="T242" s="1203"/>
      <c r="U242" s="1203"/>
      <c r="V242" s="1203"/>
      <c r="W242" s="1203"/>
      <c r="X242" s="1203"/>
      <c r="Y242" s="1203"/>
      <c r="Z242" s="1203"/>
      <c r="AA242" s="1203"/>
      <c r="AB242" s="1203"/>
      <c r="AC242" s="1203"/>
      <c r="AD242" s="1203"/>
      <c r="AE242" s="1203"/>
      <c r="AF242" s="1203"/>
      <c r="AG242" s="1203"/>
      <c r="AH242" s="1203"/>
      <c r="AI242" s="1203"/>
      <c r="AJ242" s="1203"/>
      <c r="AK242" s="1203"/>
      <c r="AL242" s="1203"/>
      <c r="AM242" s="1203"/>
      <c r="AN242" s="1203"/>
      <c r="AO242" s="1203"/>
      <c r="AP242" s="1203"/>
      <c r="AQ242" s="1203"/>
      <c r="AR242" s="1203"/>
      <c r="AS242" s="1203"/>
    </row>
    <row r="243" spans="1:45" ht="15.75" customHeight="1">
      <c r="A243" s="1203"/>
      <c r="B243" s="1203"/>
      <c r="C243" s="1203"/>
      <c r="D243" s="1203"/>
      <c r="E243" s="1203"/>
      <c r="F243" s="1203"/>
      <c r="G243" s="1203"/>
      <c r="H243" s="1203"/>
      <c r="I243" s="1203"/>
      <c r="J243" s="1203"/>
      <c r="K243" s="1203"/>
      <c r="L243" s="1203"/>
      <c r="M243" s="1203"/>
      <c r="N243" s="1203"/>
      <c r="O243" s="1203"/>
      <c r="P243" s="1203"/>
      <c r="Q243" s="1203"/>
      <c r="R243" s="1203"/>
      <c r="S243" s="1203"/>
      <c r="T243" s="1203"/>
      <c r="U243" s="1203"/>
      <c r="V243" s="1203"/>
      <c r="W243" s="1203"/>
      <c r="X243" s="1203"/>
      <c r="Y243" s="1203"/>
      <c r="Z243" s="1203"/>
      <c r="AA243" s="1203"/>
      <c r="AB243" s="1203"/>
      <c r="AC243" s="1203"/>
      <c r="AD243" s="1203"/>
      <c r="AE243" s="1203"/>
      <c r="AF243" s="1203"/>
      <c r="AG243" s="1203"/>
      <c r="AH243" s="1203"/>
      <c r="AI243" s="1203"/>
      <c r="AJ243" s="1203"/>
      <c r="AK243" s="1203"/>
      <c r="AL243" s="1203"/>
      <c r="AM243" s="1203"/>
      <c r="AN243" s="1203"/>
      <c r="AO243" s="1203"/>
      <c r="AP243" s="1203"/>
      <c r="AQ243" s="1203"/>
      <c r="AR243" s="1203"/>
      <c r="AS243" s="1203"/>
    </row>
    <row r="244" spans="1:45" ht="15.75" customHeight="1">
      <c r="A244" s="1203"/>
      <c r="B244" s="1203"/>
      <c r="C244" s="1203"/>
      <c r="D244" s="1203"/>
      <c r="E244" s="1203"/>
      <c r="F244" s="1203"/>
      <c r="G244" s="1203"/>
      <c r="H244" s="1203"/>
      <c r="I244" s="1203"/>
      <c r="J244" s="1203"/>
      <c r="K244" s="1203"/>
      <c r="L244" s="1203"/>
      <c r="M244" s="1203"/>
      <c r="N244" s="1203"/>
      <c r="O244" s="1203"/>
      <c r="P244" s="1203"/>
      <c r="Q244" s="1203"/>
      <c r="R244" s="1203"/>
      <c r="S244" s="1203"/>
      <c r="T244" s="1203"/>
      <c r="U244" s="1203"/>
      <c r="V244" s="1203"/>
      <c r="W244" s="1203"/>
      <c r="X244" s="1203"/>
      <c r="Y244" s="1203"/>
      <c r="Z244" s="1203"/>
      <c r="AA244" s="1203"/>
      <c r="AB244" s="1203"/>
      <c r="AC244" s="1203"/>
      <c r="AD244" s="1203"/>
      <c r="AE244" s="1203"/>
      <c r="AF244" s="1203"/>
      <c r="AG244" s="1203"/>
      <c r="AH244" s="1203"/>
      <c r="AI244" s="1203"/>
      <c r="AJ244" s="1203"/>
      <c r="AK244" s="1203"/>
      <c r="AL244" s="1203"/>
      <c r="AM244" s="1203"/>
      <c r="AN244" s="1203"/>
      <c r="AO244" s="1203"/>
      <c r="AP244" s="1203"/>
      <c r="AQ244" s="1203"/>
      <c r="AR244" s="1203"/>
      <c r="AS244" s="1203"/>
    </row>
    <row r="245" spans="1:45">
      <c r="A245" s="1203"/>
      <c r="B245" s="1203"/>
      <c r="C245" s="1203"/>
      <c r="D245" s="1203"/>
      <c r="E245" s="1203"/>
      <c r="F245" s="1203"/>
      <c r="G245" s="1203"/>
      <c r="H245" s="1203"/>
      <c r="I245" s="1203"/>
      <c r="J245" s="1203"/>
      <c r="K245" s="1203"/>
      <c r="L245" s="1203"/>
      <c r="M245" s="1203"/>
      <c r="N245" s="1203"/>
      <c r="O245" s="1203"/>
      <c r="P245" s="1203"/>
      <c r="Q245" s="1203"/>
      <c r="R245" s="1203"/>
      <c r="S245" s="1203"/>
      <c r="T245" s="1203"/>
      <c r="U245" s="1203"/>
      <c r="V245" s="1203"/>
      <c r="W245" s="1203"/>
      <c r="X245" s="1203"/>
      <c r="Y245" s="1203"/>
      <c r="Z245" s="1203"/>
      <c r="AA245" s="1203"/>
      <c r="AB245" s="1203"/>
      <c r="AC245" s="1203"/>
      <c r="AD245" s="1203"/>
      <c r="AE245" s="1203"/>
      <c r="AF245" s="1203"/>
      <c r="AG245" s="1203"/>
      <c r="AH245" s="1203"/>
      <c r="AI245" s="1203"/>
      <c r="AJ245" s="1203"/>
      <c r="AK245" s="1203"/>
      <c r="AL245" s="1203"/>
      <c r="AM245" s="1203"/>
      <c r="AN245" s="1203"/>
      <c r="AO245" s="1203"/>
      <c r="AP245" s="1203"/>
      <c r="AQ245" s="1203"/>
      <c r="AR245" s="1203"/>
      <c r="AS245" s="1203"/>
    </row>
    <row r="246" spans="1:45" ht="15.75" customHeight="1">
      <c r="A246" s="1203"/>
      <c r="B246" s="1609" t="s">
        <v>44</v>
      </c>
      <c r="C246" s="1609">
        <f>C$1</f>
        <v>2017</v>
      </c>
      <c r="D246" s="1609">
        <f t="shared" ref="D246:P246" si="122">D$1</f>
        <v>2018</v>
      </c>
      <c r="E246" s="1609">
        <f t="shared" si="122"/>
        <v>2019</v>
      </c>
      <c r="F246" s="1609">
        <f t="shared" si="122"/>
        <v>2020</v>
      </c>
      <c r="G246" s="1609">
        <f t="shared" si="122"/>
        <v>2021</v>
      </c>
      <c r="H246" s="1609">
        <f t="shared" si="122"/>
        <v>2022</v>
      </c>
      <c r="I246" s="1609">
        <f t="shared" si="122"/>
        <v>2023</v>
      </c>
      <c r="J246" s="1609">
        <f t="shared" si="122"/>
        <v>2024</v>
      </c>
      <c r="K246" s="1609">
        <f t="shared" si="122"/>
        <v>2025</v>
      </c>
      <c r="L246" s="1609">
        <f t="shared" si="122"/>
        <v>2026</v>
      </c>
      <c r="M246" s="1609">
        <f t="shared" si="122"/>
        <v>2027</v>
      </c>
      <c r="N246" s="1609">
        <f t="shared" si="122"/>
        <v>2028</v>
      </c>
      <c r="O246" s="1609">
        <f t="shared" si="122"/>
        <v>2029</v>
      </c>
      <c r="P246" s="1609">
        <f t="shared" si="122"/>
        <v>2030</v>
      </c>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row>
    <row r="247" spans="1:45" ht="15.75" customHeight="1">
      <c r="A247" s="1203"/>
      <c r="B247" s="1203" t="s">
        <v>15</v>
      </c>
      <c r="C247" s="1203"/>
      <c r="D247" s="1203"/>
      <c r="E247" s="1203"/>
      <c r="F247" s="1203"/>
      <c r="G247" s="1341">
        <f t="shared" ref="G247:P247" si="123">G123/G29*1000</f>
        <v>260.28938906752416</v>
      </c>
      <c r="H247" s="1341">
        <f t="shared" si="123"/>
        <v>440.95826893353933</v>
      </c>
      <c r="I247" s="1341">
        <f t="shared" si="123"/>
        <v>544.05850091407683</v>
      </c>
      <c r="J247" s="1341">
        <f t="shared" si="123"/>
        <v>587.03287333112166</v>
      </c>
      <c r="K247" s="1341">
        <f t="shared" si="123"/>
        <v>597.57661798413017</v>
      </c>
      <c r="L247" s="1341">
        <f t="shared" si="123"/>
        <v>611.63713247800251</v>
      </c>
      <c r="M247" s="1341">
        <f t="shared" si="123"/>
        <v>626.61292781178599</v>
      </c>
      <c r="N247" s="1341">
        <f t="shared" si="123"/>
        <v>641.07562651355624</v>
      </c>
      <c r="O247" s="1341">
        <f t="shared" si="123"/>
        <v>655.76816740197523</v>
      </c>
      <c r="P247" s="1341">
        <f t="shared" si="123"/>
        <v>670.78008956278836</v>
      </c>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row>
    <row r="248" spans="1:45" ht="15.75" customHeight="1">
      <c r="A248" s="1203"/>
      <c r="B248" s="1203" t="s">
        <v>8</v>
      </c>
      <c r="C248" s="1203"/>
      <c r="D248" s="1203"/>
      <c r="E248" s="1203"/>
      <c r="F248" s="1203"/>
      <c r="G248" s="1341">
        <f t="shared" ref="G248:P248" si="124">G151/G29*1000</f>
        <v>118.9710610932476</v>
      </c>
      <c r="H248" s="1341">
        <f t="shared" si="124"/>
        <v>134.46676970633695</v>
      </c>
      <c r="I248" s="1341">
        <f t="shared" si="124"/>
        <v>201.09689213893967</v>
      </c>
      <c r="J248" s="1341">
        <f t="shared" si="124"/>
        <v>217.20216313251501</v>
      </c>
      <c r="K248" s="1341">
        <f t="shared" si="124"/>
        <v>221.10334865412818</v>
      </c>
      <c r="L248" s="1341">
        <f t="shared" si="124"/>
        <v>232.42211034164094</v>
      </c>
      <c r="M248" s="1341">
        <f t="shared" si="124"/>
        <v>238.11291256847872</v>
      </c>
      <c r="N248" s="1341">
        <f t="shared" si="124"/>
        <v>243.60873807515136</v>
      </c>
      <c r="O248" s="1341">
        <f t="shared" si="124"/>
        <v>249.19190361275054</v>
      </c>
      <c r="P248" s="1341">
        <f t="shared" si="124"/>
        <v>254.89643403385958</v>
      </c>
      <c r="Q248" s="1203"/>
      <c r="R248" s="1203"/>
      <c r="S248" s="1203"/>
      <c r="T248" s="1203"/>
      <c r="U248" s="1203"/>
      <c r="V248" s="1203"/>
      <c r="W248" s="1203"/>
      <c r="X248" s="1203"/>
      <c r="Y248" s="1203"/>
      <c r="Z248" s="1203"/>
      <c r="AA248" s="1203"/>
      <c r="AB248" s="1203"/>
      <c r="AC248" s="1203"/>
      <c r="AD248" s="1203"/>
      <c r="AE248" s="1203"/>
      <c r="AF248" s="1203"/>
      <c r="AG248" s="1203"/>
      <c r="AH248" s="1203"/>
      <c r="AI248" s="1203"/>
      <c r="AJ248" s="1203"/>
      <c r="AK248" s="1203"/>
      <c r="AL248" s="1203"/>
      <c r="AM248" s="1203"/>
      <c r="AN248" s="1203"/>
      <c r="AO248" s="1203"/>
      <c r="AP248" s="1203"/>
      <c r="AQ248" s="1203"/>
      <c r="AR248" s="1203"/>
      <c r="AS248" s="1203"/>
    </row>
    <row r="249" spans="1:45" ht="15.75" customHeight="1">
      <c r="A249" s="1203"/>
      <c r="B249" s="1203" t="s">
        <v>19</v>
      </c>
      <c r="C249" s="1203"/>
      <c r="D249" s="1203"/>
      <c r="E249" s="1203"/>
      <c r="F249" s="1203"/>
      <c r="G249" s="1341">
        <f t="shared" ref="G249:P249" si="125">G154/G29*1000</f>
        <v>67.84565916398715</v>
      </c>
      <c r="H249" s="1341">
        <f t="shared" si="125"/>
        <v>65.224111282843907</v>
      </c>
      <c r="I249" s="1341">
        <f t="shared" si="125"/>
        <v>74.405850091407686</v>
      </c>
      <c r="J249" s="1341">
        <f t="shared" si="125"/>
        <v>84.790169140145139</v>
      </c>
      <c r="K249" s="1341">
        <f t="shared" si="125"/>
        <v>83.66072651777823</v>
      </c>
      <c r="L249" s="1341">
        <f t="shared" si="125"/>
        <v>97.86194119648043</v>
      </c>
      <c r="M249" s="1341">
        <f t="shared" si="125"/>
        <v>100.25806844988577</v>
      </c>
      <c r="N249" s="1341">
        <f t="shared" si="125"/>
        <v>102.57210024216899</v>
      </c>
      <c r="O249" s="1341">
        <f t="shared" si="125"/>
        <v>104.92290678431603</v>
      </c>
      <c r="P249" s="1341">
        <f t="shared" si="125"/>
        <v>107.32481433004614</v>
      </c>
      <c r="Q249" s="1203"/>
      <c r="R249" s="1203"/>
      <c r="S249" s="1203"/>
      <c r="T249" s="1203"/>
      <c r="U249" s="1203"/>
      <c r="V249" s="1203"/>
      <c r="W249" s="1203"/>
      <c r="X249" s="1203"/>
      <c r="Y249" s="1203"/>
      <c r="Z249" s="1203"/>
      <c r="AA249" s="1203"/>
      <c r="AB249" s="1203"/>
      <c r="AC249" s="1203"/>
      <c r="AD249" s="1203"/>
      <c r="AE249" s="1203"/>
      <c r="AF249" s="1203"/>
      <c r="AG249" s="1203"/>
      <c r="AH249" s="1203"/>
      <c r="AI249" s="1203"/>
      <c r="AJ249" s="1203"/>
      <c r="AK249" s="1203"/>
      <c r="AL249" s="1203"/>
      <c r="AM249" s="1203"/>
      <c r="AN249" s="1203"/>
      <c r="AO249" s="1203"/>
      <c r="AP249" s="1203"/>
      <c r="AQ249" s="1203"/>
      <c r="AR249" s="1203"/>
      <c r="AS249" s="1203"/>
    </row>
    <row r="250" spans="1:45" ht="15.75" customHeight="1">
      <c r="A250" s="1203"/>
      <c r="B250" s="1203" t="s">
        <v>27</v>
      </c>
      <c r="C250" s="1203"/>
      <c r="D250" s="1203"/>
      <c r="E250" s="1203"/>
      <c r="F250" s="1203"/>
      <c r="G250" s="1341">
        <f t="shared" ref="G250:H250" si="126">G248-G249</f>
        <v>51.125401929260448</v>
      </c>
      <c r="H250" s="1341">
        <f t="shared" si="126"/>
        <v>69.24265842349304</v>
      </c>
      <c r="I250" s="1341">
        <f>I248-I249</f>
        <v>126.69104204753198</v>
      </c>
      <c r="J250" s="1341">
        <f t="shared" ref="J250:P250" si="127">J248-J249</f>
        <v>132.41199399236987</v>
      </c>
      <c r="K250" s="1341">
        <f t="shared" si="127"/>
        <v>137.44262213634994</v>
      </c>
      <c r="L250" s="1341">
        <f t="shared" si="127"/>
        <v>134.5601691451605</v>
      </c>
      <c r="M250" s="1341">
        <f t="shared" si="127"/>
        <v>137.85484411859295</v>
      </c>
      <c r="N250" s="1341">
        <f t="shared" si="127"/>
        <v>141.03663783298236</v>
      </c>
      <c r="O250" s="1341">
        <f t="shared" si="127"/>
        <v>144.26899682843452</v>
      </c>
      <c r="P250" s="1341">
        <f t="shared" si="127"/>
        <v>147.57161970381344</v>
      </c>
      <c r="Q250" s="1203"/>
      <c r="R250" s="1203"/>
      <c r="S250" s="1203"/>
      <c r="T250" s="1203"/>
      <c r="U250" s="1203"/>
      <c r="V250" s="1203"/>
      <c r="W250" s="1203"/>
      <c r="X250" s="1203"/>
      <c r="Y250" s="1203"/>
      <c r="Z250" s="1203"/>
      <c r="AA250" s="1203"/>
      <c r="AB250" s="1203"/>
      <c r="AC250" s="1203"/>
      <c r="AD250" s="1203"/>
      <c r="AE250" s="1203"/>
      <c r="AF250" s="1203"/>
      <c r="AG250" s="1203"/>
      <c r="AH250" s="1203"/>
      <c r="AI250" s="1203"/>
      <c r="AJ250" s="1203"/>
      <c r="AK250" s="1203"/>
      <c r="AL250" s="1203"/>
      <c r="AM250" s="1203"/>
      <c r="AN250" s="1203"/>
      <c r="AO250" s="1203"/>
      <c r="AP250" s="1203"/>
      <c r="AQ250" s="1203"/>
      <c r="AR250" s="1203"/>
      <c r="AS250" s="1203"/>
    </row>
    <row r="251" spans="1:45" ht="15.75" customHeight="1">
      <c r="A251" s="1203"/>
      <c r="B251" s="1203" t="s">
        <v>392</v>
      </c>
      <c r="C251" s="1203"/>
      <c r="D251" s="1203"/>
      <c r="E251" s="1203"/>
      <c r="F251" s="1203"/>
      <c r="G251" s="1305">
        <f t="shared" ref="G251:P251" si="128">G160</f>
        <v>0.28000000000000003</v>
      </c>
      <c r="H251" s="1305">
        <f t="shared" si="128"/>
        <v>0.28000000000000003</v>
      </c>
      <c r="I251" s="1305">
        <f t="shared" si="128"/>
        <v>0.28000000000000003</v>
      </c>
      <c r="J251" s="1305">
        <f t="shared" si="128"/>
        <v>0.28000000000000003</v>
      </c>
      <c r="K251" s="1305">
        <f t="shared" si="128"/>
        <v>0.28000000000000003</v>
      </c>
      <c r="L251" s="1305">
        <f t="shared" si="128"/>
        <v>0.28000000000000003</v>
      </c>
      <c r="M251" s="1305">
        <f t="shared" si="128"/>
        <v>0.28000000000000003</v>
      </c>
      <c r="N251" s="1305">
        <f t="shared" si="128"/>
        <v>0.28000000000000003</v>
      </c>
      <c r="O251" s="1305">
        <f t="shared" si="128"/>
        <v>0.28000000000000003</v>
      </c>
      <c r="P251" s="1305">
        <f t="shared" si="128"/>
        <v>0.28000000000000003</v>
      </c>
      <c r="Q251" s="1203"/>
      <c r="R251" s="1203"/>
      <c r="S251" s="1203"/>
      <c r="T251" s="1203"/>
      <c r="U251" s="1203"/>
      <c r="V251" s="1203"/>
      <c r="W251" s="1203"/>
      <c r="X251" s="1203"/>
      <c r="Y251" s="1203"/>
      <c r="Z251" s="1203"/>
      <c r="AA251" s="1203"/>
      <c r="AB251" s="1203"/>
      <c r="AC251" s="1203"/>
      <c r="AD251" s="1203"/>
      <c r="AE251" s="1203"/>
      <c r="AF251" s="1203"/>
      <c r="AG251" s="1203"/>
      <c r="AH251" s="1203"/>
      <c r="AI251" s="1203"/>
      <c r="AJ251" s="1203"/>
      <c r="AK251" s="1203"/>
      <c r="AL251" s="1203"/>
      <c r="AM251" s="1203"/>
      <c r="AN251" s="1203"/>
      <c r="AO251" s="1203"/>
      <c r="AP251" s="1203"/>
      <c r="AQ251" s="1203"/>
      <c r="AR251" s="1203"/>
      <c r="AS251" s="1203"/>
    </row>
    <row r="252" spans="1:45" ht="15.75" customHeight="1">
      <c r="A252" s="1203"/>
      <c r="B252" s="1203" t="s">
        <v>377</v>
      </c>
      <c r="C252" s="1203"/>
      <c r="D252" s="1203"/>
      <c r="E252" s="1203"/>
      <c r="F252" s="1203"/>
      <c r="G252" s="1341">
        <f>G250*(1-G251)</f>
        <v>36.81028938906752</v>
      </c>
      <c r="H252" s="1341">
        <f t="shared" ref="H252:P252" si="129">H250*(1-H251)</f>
        <v>49.854714064914987</v>
      </c>
      <c r="I252" s="1341">
        <f t="shared" si="129"/>
        <v>91.217550274223015</v>
      </c>
      <c r="J252" s="1341">
        <f t="shared" si="129"/>
        <v>95.336635674506311</v>
      </c>
      <c r="K252" s="1341">
        <f t="shared" si="129"/>
        <v>98.958687938171948</v>
      </c>
      <c r="L252" s="1341">
        <f t="shared" si="129"/>
        <v>96.883321784515559</v>
      </c>
      <c r="M252" s="1341">
        <f t="shared" si="129"/>
        <v>99.255487765386917</v>
      </c>
      <c r="N252" s="1341">
        <f t="shared" si="129"/>
        <v>101.5463792397473</v>
      </c>
      <c r="O252" s="1341">
        <f t="shared" si="129"/>
        <v>103.87367771647286</v>
      </c>
      <c r="P252" s="1341">
        <f t="shared" si="129"/>
        <v>106.25156618674568</v>
      </c>
      <c r="Q252" s="1203"/>
      <c r="R252" s="1203"/>
      <c r="S252" s="1203"/>
      <c r="T252" s="1203"/>
      <c r="U252" s="1203"/>
      <c r="V252" s="1203"/>
      <c r="W252" s="1203"/>
      <c r="X252" s="1203"/>
      <c r="Y252" s="1203"/>
      <c r="Z252" s="1203"/>
      <c r="AA252" s="1203"/>
      <c r="AB252" s="1203"/>
      <c r="AC252" s="1203"/>
      <c r="AD252" s="1203"/>
      <c r="AE252" s="1203"/>
      <c r="AF252" s="1203"/>
      <c r="AG252" s="1203"/>
      <c r="AH252" s="1203"/>
      <c r="AI252" s="1203"/>
      <c r="AJ252" s="1203"/>
      <c r="AK252" s="1203"/>
      <c r="AL252" s="1203"/>
      <c r="AM252" s="1203"/>
      <c r="AN252" s="1203"/>
      <c r="AO252" s="1203"/>
      <c r="AP252" s="1203"/>
      <c r="AQ252" s="1203"/>
      <c r="AR252" s="1203"/>
      <c r="AS252" s="1203"/>
    </row>
    <row r="253" spans="1:45" ht="15.75" customHeight="1">
      <c r="A253" s="1203"/>
      <c r="B253" s="1203" t="s">
        <v>164</v>
      </c>
      <c r="C253" s="1203"/>
      <c r="D253" s="1203"/>
      <c r="E253" s="1203"/>
      <c r="F253" s="1203"/>
      <c r="G253" s="1341"/>
      <c r="H253" s="1341"/>
      <c r="I253" s="1341">
        <f t="shared" ref="I253:P253" si="130">I168/I29*1000</f>
        <v>417.18464351005485</v>
      </c>
      <c r="J253" s="1341">
        <f t="shared" si="130"/>
        <v>439.14173001058407</v>
      </c>
      <c r="K253" s="1341">
        <f t="shared" si="130"/>
        <v>430.53110785351379</v>
      </c>
      <c r="L253" s="1341">
        <f t="shared" si="130"/>
        <v>422.08932142501357</v>
      </c>
      <c r="M253" s="1341">
        <f t="shared" si="130"/>
        <v>413.81306022060147</v>
      </c>
      <c r="N253" s="1341">
        <f t="shared" si="130"/>
        <v>405.69907864764855</v>
      </c>
      <c r="O253" s="1341">
        <f t="shared" si="130"/>
        <v>397.74419475259657</v>
      </c>
      <c r="P253" s="1341">
        <f t="shared" si="130"/>
        <v>389.94528897313393</v>
      </c>
      <c r="Q253" s="1203"/>
      <c r="R253" s="1203"/>
      <c r="S253" s="1203"/>
      <c r="T253" s="1203"/>
      <c r="U253" s="1203"/>
      <c r="V253" s="1203"/>
      <c r="W253" s="1203"/>
      <c r="X253" s="1203"/>
      <c r="Y253" s="1203"/>
      <c r="Z253" s="1203"/>
      <c r="AA253" s="1203"/>
      <c r="AB253" s="1203"/>
      <c r="AC253" s="1203"/>
      <c r="AD253" s="1203"/>
      <c r="AE253" s="1203"/>
      <c r="AF253" s="1203"/>
      <c r="AG253" s="1203"/>
      <c r="AH253" s="1203"/>
      <c r="AI253" s="1203"/>
      <c r="AJ253" s="1203"/>
      <c r="AK253" s="1203"/>
      <c r="AL253" s="1203"/>
      <c r="AM253" s="1203"/>
      <c r="AN253" s="1203"/>
      <c r="AO253" s="1203"/>
      <c r="AP253" s="1203"/>
      <c r="AQ253" s="1203"/>
      <c r="AR253" s="1203"/>
      <c r="AS253" s="1203"/>
    </row>
    <row r="254" spans="1:45" ht="15.75" customHeight="1">
      <c r="A254" s="1203"/>
      <c r="B254" s="1203" t="s">
        <v>707</v>
      </c>
      <c r="C254" s="1203"/>
      <c r="D254" s="1203"/>
      <c r="E254" s="1203"/>
      <c r="F254" s="1203"/>
      <c r="G254" s="1341"/>
      <c r="H254" s="1341"/>
      <c r="I254" s="1341">
        <f t="shared" ref="I254:P254" si="131">I169/I29*1000</f>
        <v>29.067641681901279</v>
      </c>
      <c r="J254" s="1341">
        <f t="shared" ca="1" si="131"/>
        <v>68.133905586166563</v>
      </c>
      <c r="K254" s="1341">
        <f t="shared" ca="1" si="131"/>
        <v>103.0874834369362</v>
      </c>
      <c r="L254" s="1341">
        <f t="shared" ca="1" si="131"/>
        <v>135.59268058976349</v>
      </c>
      <c r="M254" s="1341">
        <f t="shared" ca="1" si="131"/>
        <v>163.00904623483908</v>
      </c>
      <c r="N254" s="1341">
        <f t="shared" ca="1" si="131"/>
        <v>184.81546333522573</v>
      </c>
      <c r="O254" s="1341">
        <f t="shared" ca="1" si="131"/>
        <v>206.83529090333332</v>
      </c>
      <c r="P254" s="1341">
        <f t="shared" ca="1" si="131"/>
        <v>229.07698239997586</v>
      </c>
      <c r="Q254" s="1203"/>
      <c r="R254" s="1203"/>
      <c r="S254" s="1203"/>
      <c r="T254" s="1203"/>
      <c r="U254" s="1203"/>
      <c r="V254" s="1203"/>
      <c r="W254" s="1203"/>
      <c r="X254" s="1203"/>
      <c r="Y254" s="1203"/>
      <c r="Z254" s="1203"/>
      <c r="AA254" s="1203"/>
      <c r="AB254" s="1203"/>
      <c r="AC254" s="1203"/>
      <c r="AD254" s="1203"/>
      <c r="AE254" s="1203"/>
      <c r="AF254" s="1203"/>
      <c r="AG254" s="1203"/>
      <c r="AH254" s="1203"/>
      <c r="AI254" s="1203"/>
      <c r="AJ254" s="1203"/>
      <c r="AK254" s="1203"/>
      <c r="AL254" s="1203"/>
      <c r="AM254" s="1203"/>
      <c r="AN254" s="1203"/>
      <c r="AO254" s="1203"/>
      <c r="AP254" s="1203"/>
      <c r="AQ254" s="1203"/>
      <c r="AR254" s="1203"/>
      <c r="AS254" s="1203"/>
    </row>
    <row r="255" spans="1:45" ht="15.75" customHeight="1">
      <c r="A255" s="1203"/>
      <c r="B255" s="1203" t="s">
        <v>115</v>
      </c>
      <c r="C255" s="1203"/>
      <c r="D255" s="1203"/>
      <c r="E255" s="1203"/>
      <c r="F255" s="1203"/>
      <c r="G255" s="1203"/>
      <c r="H255" s="1203"/>
      <c r="I255" s="1341">
        <f>I253-I254</f>
        <v>388.11700182815355</v>
      </c>
      <c r="J255" s="1341">
        <f t="shared" ref="J255:P255" ca="1" si="132">J253-J254</f>
        <v>371.00782442441749</v>
      </c>
      <c r="K255" s="1341">
        <f t="shared" ca="1" si="132"/>
        <v>327.44362441657756</v>
      </c>
      <c r="L255" s="1341">
        <f t="shared" ca="1" si="132"/>
        <v>286.4966408352501</v>
      </c>
      <c r="M255" s="1341">
        <f t="shared" ca="1" si="132"/>
        <v>250.8040139857624</v>
      </c>
      <c r="N255" s="1341">
        <f t="shared" ca="1" si="132"/>
        <v>220.88361531242282</v>
      </c>
      <c r="O255" s="1341">
        <f t="shared" ca="1" si="132"/>
        <v>190.90890384926325</v>
      </c>
      <c r="P255" s="1341">
        <f t="shared" ca="1" si="132"/>
        <v>160.86830657315807</v>
      </c>
      <c r="Q255" s="1203"/>
      <c r="R255" s="1203"/>
      <c r="S255" s="1203"/>
      <c r="T255" s="1203"/>
      <c r="U255" s="1203"/>
      <c r="V255" s="1203"/>
      <c r="W255" s="1203"/>
      <c r="X255" s="1203"/>
      <c r="Y255" s="1203"/>
      <c r="Z255" s="1203"/>
      <c r="AA255" s="1203"/>
      <c r="AB255" s="1203"/>
      <c r="AC255" s="1203"/>
      <c r="AD255" s="1203"/>
      <c r="AE255" s="1203"/>
      <c r="AF255" s="1203"/>
      <c r="AG255" s="1203"/>
      <c r="AH255" s="1203"/>
      <c r="AI255" s="1203"/>
      <c r="AJ255" s="1203"/>
      <c r="AK255" s="1203"/>
      <c r="AL255" s="1203"/>
      <c r="AM255" s="1203"/>
      <c r="AN255" s="1203"/>
      <c r="AO255" s="1203"/>
      <c r="AP255" s="1203"/>
      <c r="AQ255" s="1203"/>
      <c r="AR255" s="1203"/>
      <c r="AS255" s="1203"/>
    </row>
    <row r="256" spans="1:45" ht="15.75" customHeight="1">
      <c r="A256" s="1203"/>
      <c r="B256" s="1203"/>
      <c r="C256" s="1203"/>
      <c r="D256" s="1203"/>
      <c r="E256" s="1203"/>
      <c r="F256" s="1203"/>
      <c r="G256" s="1203"/>
      <c r="H256" s="1203"/>
      <c r="I256" s="1203"/>
      <c r="J256" s="1203"/>
      <c r="K256" s="1203"/>
      <c r="L256" s="1203"/>
      <c r="M256" s="1203"/>
      <c r="N256" s="1203"/>
      <c r="O256" s="1203"/>
      <c r="P256" s="1203"/>
      <c r="Q256" s="1203"/>
      <c r="R256" s="1203"/>
      <c r="S256" s="1203"/>
      <c r="T256" s="1203"/>
      <c r="U256" s="1203"/>
      <c r="V256" s="1203"/>
      <c r="W256" s="1203"/>
      <c r="X256" s="1203"/>
      <c r="Y256" s="1203"/>
      <c r="Z256" s="1203"/>
      <c r="AA256" s="1203"/>
      <c r="AB256" s="1203"/>
      <c r="AC256" s="1203"/>
      <c r="AD256" s="1203"/>
      <c r="AE256" s="1203"/>
      <c r="AF256" s="1203"/>
      <c r="AG256" s="1203"/>
      <c r="AH256" s="1203"/>
      <c r="AI256" s="1203"/>
      <c r="AJ256" s="1203"/>
      <c r="AK256" s="1203"/>
      <c r="AL256" s="1203"/>
      <c r="AM256" s="1203"/>
      <c r="AN256" s="1203"/>
      <c r="AO256" s="1203"/>
      <c r="AP256" s="1203"/>
      <c r="AQ256" s="1203"/>
      <c r="AR256" s="1203"/>
      <c r="AS256" s="1203"/>
    </row>
    <row r="257" spans="1:45" ht="15.75" customHeight="1">
      <c r="A257" s="1203"/>
      <c r="B257" s="1203"/>
      <c r="C257" s="1203"/>
      <c r="D257" s="1203"/>
      <c r="E257" s="1203"/>
      <c r="F257" s="1203"/>
      <c r="G257" s="1203"/>
      <c r="H257" s="1203"/>
      <c r="I257" s="1341"/>
      <c r="J257" s="1203"/>
      <c r="K257" s="1203"/>
      <c r="L257" s="1203"/>
      <c r="M257" s="1203"/>
      <c r="N257" s="1203"/>
      <c r="O257" s="1203"/>
      <c r="P257" s="1203"/>
      <c r="Q257" s="1203"/>
      <c r="R257" s="1203"/>
      <c r="S257" s="1203"/>
      <c r="T257" s="1203"/>
      <c r="U257" s="1203"/>
      <c r="V257" s="1203"/>
      <c r="W257" s="1203"/>
      <c r="X257" s="1203"/>
      <c r="Y257" s="1203"/>
      <c r="Z257" s="1203"/>
      <c r="AA257" s="1203"/>
      <c r="AB257" s="1203"/>
      <c r="AC257" s="1203"/>
      <c r="AD257" s="1203"/>
      <c r="AE257" s="1203"/>
      <c r="AF257" s="1203"/>
      <c r="AG257" s="1203"/>
      <c r="AH257" s="1203"/>
      <c r="AI257" s="1203"/>
      <c r="AJ257" s="1203"/>
      <c r="AK257" s="1203"/>
      <c r="AL257" s="1203"/>
      <c r="AM257" s="1203"/>
      <c r="AN257" s="1203"/>
      <c r="AO257" s="1203"/>
      <c r="AP257" s="1203"/>
      <c r="AQ257" s="1203"/>
      <c r="AR257" s="1203"/>
      <c r="AS257" s="1203"/>
    </row>
    <row r="258" spans="1:45" ht="15.75" customHeight="1">
      <c r="A258" s="1203"/>
      <c r="B258" s="1203"/>
      <c r="C258" s="1203"/>
      <c r="D258" s="1203"/>
      <c r="E258" s="1203"/>
      <c r="F258" s="1203"/>
      <c r="G258" s="1203"/>
      <c r="H258" s="1203"/>
      <c r="I258" s="1203"/>
      <c r="J258" s="1203"/>
      <c r="K258" s="1203"/>
      <c r="L258" s="1203"/>
      <c r="M258" s="1203"/>
      <c r="N258" s="1203"/>
      <c r="O258" s="1203"/>
      <c r="P258" s="1203"/>
      <c r="Q258" s="1203"/>
      <c r="R258" s="1203"/>
      <c r="S258" s="1203"/>
      <c r="T258" s="1203"/>
      <c r="U258" s="1203"/>
      <c r="V258" s="1203"/>
      <c r="W258" s="1203"/>
      <c r="X258" s="1203"/>
      <c r="Y258" s="1203"/>
      <c r="Z258" s="1203"/>
      <c r="AA258" s="1203"/>
      <c r="AB258" s="1203"/>
      <c r="AC258" s="1203"/>
      <c r="AD258" s="1203"/>
      <c r="AE258" s="1203"/>
      <c r="AF258" s="1203"/>
      <c r="AG258" s="1203"/>
      <c r="AH258" s="1203"/>
      <c r="AI258" s="1203"/>
      <c r="AJ258" s="1203"/>
      <c r="AK258" s="1203"/>
      <c r="AL258" s="1203"/>
      <c r="AM258" s="1203"/>
      <c r="AN258" s="1203"/>
      <c r="AO258" s="1203"/>
      <c r="AP258" s="1203"/>
      <c r="AQ258" s="1203"/>
      <c r="AR258" s="1203"/>
      <c r="AS258" s="1203"/>
    </row>
    <row r="259" spans="1:45" ht="15.75" customHeight="1">
      <c r="A259" s="1203"/>
      <c r="B259" s="1203"/>
      <c r="C259" s="1203"/>
      <c r="D259" s="1203"/>
      <c r="E259" s="1203"/>
      <c r="F259" s="1203"/>
      <c r="G259" s="1203"/>
      <c r="H259" s="1203"/>
      <c r="I259" s="1203"/>
      <c r="J259" s="1203"/>
      <c r="K259" s="1203"/>
      <c r="L259" s="1203"/>
      <c r="M259" s="1203"/>
      <c r="N259" s="1203"/>
      <c r="O259" s="1203"/>
      <c r="P259" s="1203"/>
      <c r="Q259" s="1203"/>
      <c r="R259" s="1203"/>
      <c r="S259" s="1203"/>
      <c r="T259" s="1203"/>
      <c r="U259" s="1203"/>
      <c r="V259" s="1203"/>
      <c r="W259" s="1203"/>
      <c r="X259" s="1203"/>
      <c r="Y259" s="1203"/>
      <c r="Z259" s="1203"/>
      <c r="AA259" s="1203"/>
      <c r="AB259" s="1203"/>
      <c r="AC259" s="1203"/>
      <c r="AD259" s="1203"/>
      <c r="AE259" s="1203"/>
      <c r="AF259" s="1203"/>
      <c r="AG259" s="1203"/>
      <c r="AH259" s="1203"/>
      <c r="AI259" s="1203"/>
      <c r="AJ259" s="1203"/>
      <c r="AK259" s="1203"/>
      <c r="AL259" s="1203"/>
      <c r="AM259" s="1203"/>
      <c r="AN259" s="1203"/>
      <c r="AO259" s="1203"/>
      <c r="AP259" s="1203"/>
      <c r="AQ259" s="1203"/>
      <c r="AR259" s="1203"/>
      <c r="AS259" s="1203"/>
    </row>
    <row r="260" spans="1:45" ht="15.75">
      <c r="A260" s="1203"/>
      <c r="B260" s="1167" t="s">
        <v>7772</v>
      </c>
      <c r="C260" s="1203"/>
      <c r="D260" s="1203"/>
      <c r="E260" s="1203"/>
      <c r="F260" s="1203"/>
      <c r="G260" s="1203"/>
      <c r="H260" s="1203"/>
      <c r="I260" s="1203"/>
      <c r="J260" s="1203"/>
      <c r="K260" s="1203"/>
      <c r="L260" s="1203"/>
      <c r="M260" s="1203"/>
      <c r="N260" s="1203"/>
      <c r="O260" s="1203"/>
      <c r="P260" s="1203"/>
      <c r="Q260" s="1203"/>
      <c r="R260" s="1203"/>
      <c r="S260" s="1203"/>
      <c r="T260" s="1203"/>
      <c r="U260" s="1203"/>
      <c r="V260" s="1203"/>
      <c r="W260" s="1203"/>
      <c r="X260" s="1203"/>
      <c r="Y260" s="1203"/>
      <c r="Z260" s="1203"/>
      <c r="AA260" s="1203"/>
      <c r="AB260" s="1203"/>
      <c r="AC260" s="1203"/>
      <c r="AD260" s="1203"/>
      <c r="AE260" s="1203"/>
      <c r="AF260" s="1203"/>
      <c r="AG260" s="1203"/>
      <c r="AH260" s="1203"/>
      <c r="AI260" s="1203"/>
      <c r="AJ260" s="1203"/>
      <c r="AK260" s="1203"/>
      <c r="AL260" s="1203"/>
      <c r="AM260" s="1203"/>
      <c r="AN260" s="1203"/>
      <c r="AO260" s="1203"/>
      <c r="AP260" s="1203"/>
      <c r="AQ260" s="1203"/>
      <c r="AR260" s="1203"/>
      <c r="AS260" s="1203"/>
    </row>
    <row r="261" spans="1:45">
      <c r="A261" s="1203"/>
      <c r="B261" s="1203"/>
      <c r="C261" s="1203"/>
      <c r="D261" s="1203"/>
      <c r="E261" s="1203"/>
      <c r="F261" s="1203"/>
      <c r="G261" s="1203"/>
      <c r="H261" s="1203"/>
      <c r="I261" s="1203"/>
      <c r="J261" s="1203"/>
      <c r="K261" s="1203"/>
      <c r="L261" s="1203"/>
      <c r="M261" s="1203"/>
      <c r="N261" s="1203"/>
      <c r="O261" s="1203"/>
      <c r="P261" s="1203"/>
      <c r="Q261" s="1203"/>
      <c r="R261" s="1203"/>
      <c r="S261" s="1203"/>
      <c r="T261" s="1203"/>
      <c r="U261" s="1203"/>
      <c r="V261" s="1203"/>
      <c r="W261" s="1203"/>
      <c r="X261" s="1203"/>
      <c r="Y261" s="1203"/>
      <c r="Z261" s="1203"/>
      <c r="AA261" s="1203"/>
      <c r="AB261" s="1203"/>
      <c r="AC261" s="1203"/>
      <c r="AD261" s="1203"/>
      <c r="AE261" s="1203"/>
      <c r="AF261" s="1203"/>
      <c r="AG261" s="1203"/>
      <c r="AH261" s="1203"/>
      <c r="AI261" s="1203"/>
      <c r="AJ261" s="1203"/>
      <c r="AK261" s="1203"/>
      <c r="AL261" s="1203"/>
      <c r="AM261" s="1203"/>
      <c r="AN261" s="1203"/>
      <c r="AO261" s="1203"/>
      <c r="AP261" s="1203"/>
      <c r="AQ261" s="1203"/>
      <c r="AR261" s="1203"/>
      <c r="AS261" s="1203"/>
    </row>
    <row r="262" spans="1:45">
      <c r="A262" s="1203"/>
      <c r="B262" s="1609" t="s">
        <v>7745</v>
      </c>
      <c r="C262" s="1609">
        <f>C$1</f>
        <v>2017</v>
      </c>
      <c r="D262" s="1609">
        <f t="shared" ref="D262:P262" si="133">D$1</f>
        <v>2018</v>
      </c>
      <c r="E262" s="1609">
        <f t="shared" si="133"/>
        <v>2019</v>
      </c>
      <c r="F262" s="1609">
        <f t="shared" si="133"/>
        <v>2020</v>
      </c>
      <c r="G262" s="1609">
        <f t="shared" si="133"/>
        <v>2021</v>
      </c>
      <c r="H262" s="1609">
        <f t="shared" si="133"/>
        <v>2022</v>
      </c>
      <c r="I262" s="1609">
        <f t="shared" si="133"/>
        <v>2023</v>
      </c>
      <c r="J262" s="1609">
        <f t="shared" si="133"/>
        <v>2024</v>
      </c>
      <c r="K262" s="1609">
        <f t="shared" si="133"/>
        <v>2025</v>
      </c>
      <c r="L262" s="1609">
        <f t="shared" si="133"/>
        <v>2026</v>
      </c>
      <c r="M262" s="1609">
        <f t="shared" si="133"/>
        <v>2027</v>
      </c>
      <c r="N262" s="1609">
        <f t="shared" si="133"/>
        <v>2028</v>
      </c>
      <c r="O262" s="1609">
        <f t="shared" si="133"/>
        <v>2029</v>
      </c>
      <c r="P262" s="1609">
        <f t="shared" si="133"/>
        <v>2030</v>
      </c>
      <c r="Q262" s="1203"/>
      <c r="R262" s="1203"/>
      <c r="S262" s="1203"/>
      <c r="T262" s="1203"/>
      <c r="U262" s="1203"/>
      <c r="V262" s="1203"/>
      <c r="W262" s="1203"/>
      <c r="X262" s="1203"/>
      <c r="Y262" s="1203"/>
      <c r="Z262" s="1203"/>
      <c r="AA262" s="1203"/>
      <c r="AB262" s="1203"/>
      <c r="AC262" s="1203"/>
      <c r="AD262" s="1203"/>
      <c r="AE262" s="1203"/>
      <c r="AF262" s="1203"/>
      <c r="AG262" s="1203"/>
      <c r="AH262" s="1203"/>
      <c r="AI262" s="1203"/>
      <c r="AJ262" s="1203"/>
      <c r="AK262" s="1203"/>
      <c r="AL262" s="1203"/>
      <c r="AM262" s="1203"/>
      <c r="AN262" s="1203"/>
      <c r="AO262" s="1203"/>
      <c r="AP262" s="1203"/>
      <c r="AQ262" s="1203"/>
      <c r="AR262" s="1203"/>
      <c r="AS262" s="1203"/>
    </row>
    <row r="263" spans="1:45">
      <c r="A263" s="1203"/>
      <c r="B263" s="1203" t="s">
        <v>7773</v>
      </c>
      <c r="C263" s="1203"/>
      <c r="D263" s="1203"/>
      <c r="E263" s="1203"/>
      <c r="F263" s="1672">
        <v>239</v>
      </c>
      <c r="G263" s="1672">
        <v>249</v>
      </c>
      <c r="H263" s="1672">
        <v>247</v>
      </c>
      <c r="I263" s="1672">
        <v>234</v>
      </c>
      <c r="J263" s="1203">
        <f>I263+J277</f>
        <v>235</v>
      </c>
      <c r="K263" s="1203">
        <f t="shared" ref="K263:P263" si="134">J263+K277</f>
        <v>236</v>
      </c>
      <c r="L263" s="1203">
        <f t="shared" si="134"/>
        <v>237</v>
      </c>
      <c r="M263" s="1203">
        <f t="shared" si="134"/>
        <v>238</v>
      </c>
      <c r="N263" s="1203">
        <f t="shared" si="134"/>
        <v>239</v>
      </c>
      <c r="O263" s="1203">
        <f t="shared" si="134"/>
        <v>240</v>
      </c>
      <c r="P263" s="1203">
        <f t="shared" si="134"/>
        <v>241</v>
      </c>
      <c r="Q263" s="1203"/>
      <c r="R263" s="1203"/>
      <c r="S263" s="1203"/>
      <c r="T263" s="1203"/>
      <c r="U263" s="1203"/>
      <c r="V263" s="1203"/>
      <c r="W263" s="1203"/>
      <c r="X263" s="1203"/>
      <c r="Y263" s="1203"/>
      <c r="Z263" s="1203"/>
      <c r="AA263" s="1203"/>
      <c r="AB263" s="1203"/>
      <c r="AC263" s="1203"/>
      <c r="AD263" s="1203"/>
      <c r="AE263" s="1203"/>
      <c r="AF263" s="1203"/>
      <c r="AG263" s="1203"/>
      <c r="AH263" s="1203"/>
      <c r="AI263" s="1203"/>
      <c r="AJ263" s="1203"/>
      <c r="AK263" s="1203"/>
      <c r="AL263" s="1203"/>
      <c r="AM263" s="1203"/>
      <c r="AN263" s="1203"/>
      <c r="AO263" s="1203"/>
      <c r="AP263" s="1203"/>
      <c r="AQ263" s="1203"/>
      <c r="AR263" s="1203"/>
      <c r="AS263" s="1203"/>
    </row>
    <row r="264" spans="1:45">
      <c r="A264" s="1203"/>
      <c r="B264" s="1203" t="s">
        <v>15</v>
      </c>
      <c r="C264" s="1203"/>
      <c r="D264" s="1203"/>
      <c r="E264" s="1203"/>
      <c r="F264" s="1500">
        <v>82506.320999999996</v>
      </c>
      <c r="G264" s="1500">
        <v>88235.266000000003</v>
      </c>
      <c r="H264" s="1500">
        <v>89597.004000000001</v>
      </c>
      <c r="I264" s="1500">
        <v>86682.538</v>
      </c>
      <c r="J264" s="1306">
        <f>J265+J280</f>
        <v>83677.103738066537</v>
      </c>
      <c r="K264" s="1306">
        <f t="shared" ref="K264:P264" si="135">K265+K280</f>
        <v>82774.149915937945</v>
      </c>
      <c r="L264" s="1306">
        <f t="shared" si="135"/>
        <v>81464.180521982766</v>
      </c>
      <c r="M264" s="1306">
        <f t="shared" si="135"/>
        <v>80582.233969551118</v>
      </c>
      <c r="N264" s="1306">
        <f t="shared" si="135"/>
        <v>80112.702833749747</v>
      </c>
      <c r="O264" s="1306">
        <f t="shared" si="135"/>
        <v>79644.510793967434</v>
      </c>
      <c r="P264" s="1306">
        <f t="shared" si="135"/>
        <v>79177.678021397398</v>
      </c>
      <c r="Q264" s="1203"/>
      <c r="R264" s="1203"/>
      <c r="S264" s="1203"/>
      <c r="T264" s="1203"/>
      <c r="U264" s="1203"/>
      <c r="V264" s="1203"/>
      <c r="W264" s="1203"/>
      <c r="X264" s="1203"/>
      <c r="Y264" s="1203"/>
      <c r="Z264" s="1203"/>
      <c r="AA264" s="1203"/>
      <c r="AB264" s="1203"/>
      <c r="AC264" s="1203"/>
      <c r="AD264" s="1203"/>
      <c r="AE264" s="1203"/>
      <c r="AF264" s="1203"/>
      <c r="AG264" s="1203"/>
      <c r="AH264" s="1203"/>
      <c r="AI264" s="1203"/>
      <c r="AJ264" s="1203"/>
      <c r="AK264" s="1203"/>
      <c r="AL264" s="1203"/>
      <c r="AM264" s="1203"/>
      <c r="AN264" s="1203"/>
      <c r="AO264" s="1203"/>
      <c r="AP264" s="1203"/>
      <c r="AQ264" s="1203"/>
      <c r="AR264" s="1203"/>
      <c r="AS264" s="1203"/>
    </row>
    <row r="265" spans="1:45">
      <c r="A265" s="1203"/>
      <c r="B265" s="1203" t="s">
        <v>2108</v>
      </c>
      <c r="C265" s="1203"/>
      <c r="D265" s="1203"/>
      <c r="E265" s="1203"/>
      <c r="F265" s="1500">
        <v>81884.831999999995</v>
      </c>
      <c r="G265" s="1500">
        <v>86964.861999999994</v>
      </c>
      <c r="H265" s="1500">
        <v>89397.531000000003</v>
      </c>
      <c r="I265" s="1500">
        <v>86615.570999999996</v>
      </c>
      <c r="J265" s="1306">
        <f>J278*AVERAGE(I263,J263)*12/1000</f>
        <v>83610.136738066532</v>
      </c>
      <c r="K265" s="1306">
        <f t="shared" ref="K265:P265" si="136">K278*AVERAGE(J263,K263)*12/1000</f>
        <v>82707.182915937941</v>
      </c>
      <c r="L265" s="1306">
        <f t="shared" si="136"/>
        <v>81397.213521982761</v>
      </c>
      <c r="M265" s="1306">
        <f t="shared" si="136"/>
        <v>80515.266969551114</v>
      </c>
      <c r="N265" s="1306">
        <f t="shared" si="136"/>
        <v>80045.735833749743</v>
      </c>
      <c r="O265" s="1306">
        <f t="shared" si="136"/>
        <v>79577.54379396743</v>
      </c>
      <c r="P265" s="1306">
        <f t="shared" si="136"/>
        <v>79110.711021397394</v>
      </c>
      <c r="Q265" s="1203"/>
      <c r="R265" s="1203"/>
      <c r="S265" s="1203"/>
      <c r="T265" s="1203"/>
      <c r="U265" s="1203"/>
      <c r="V265" s="1203"/>
      <c r="W265" s="1203"/>
      <c r="X265" s="1203"/>
      <c r="Y265" s="1203"/>
      <c r="Z265" s="1203"/>
      <c r="AA265" s="1203"/>
      <c r="AB265" s="1203"/>
      <c r="AC265" s="1203"/>
      <c r="AD265" s="1203"/>
      <c r="AE265" s="1203"/>
      <c r="AF265" s="1203"/>
      <c r="AG265" s="1203"/>
      <c r="AH265" s="1203"/>
      <c r="AI265" s="1203"/>
      <c r="AJ265" s="1203"/>
      <c r="AK265" s="1203"/>
      <c r="AL265" s="1203"/>
      <c r="AM265" s="1203"/>
      <c r="AN265" s="1203"/>
      <c r="AO265" s="1203"/>
      <c r="AP265" s="1203"/>
      <c r="AQ265" s="1203"/>
      <c r="AR265" s="1203"/>
      <c r="AS265" s="1203"/>
    </row>
    <row r="266" spans="1:45">
      <c r="A266" s="1203"/>
      <c r="B266" s="1203" t="s">
        <v>7775</v>
      </c>
      <c r="C266" s="1203"/>
      <c r="D266" s="1203"/>
      <c r="E266" s="1203"/>
      <c r="F266" s="1672"/>
      <c r="G266" s="1825">
        <v>6.2000000000000006E-2</v>
      </c>
      <c r="H266" s="1825">
        <v>2.7999999999999997E-2</v>
      </c>
      <c r="I266" s="1825">
        <v>-3.1000000000000003E-2</v>
      </c>
      <c r="J266" s="1307">
        <f>J265/I265-1</f>
        <v>-3.4698544698544609E-2</v>
      </c>
      <c r="K266" s="1307">
        <f t="shared" ref="K266:P266" si="137">K265/J265-1</f>
        <v>-1.0799573560767661E-2</v>
      </c>
      <c r="L266" s="1307">
        <f t="shared" si="137"/>
        <v>-1.5838641188959501E-2</v>
      </c>
      <c r="M266" s="1307">
        <f t="shared" si="137"/>
        <v>-1.0835095137420869E-2</v>
      </c>
      <c r="N266" s="1307">
        <f t="shared" si="137"/>
        <v>-5.8315789473682988E-3</v>
      </c>
      <c r="O266" s="1307">
        <f t="shared" si="137"/>
        <v>-5.8490566037736613E-3</v>
      </c>
      <c r="P266" s="1307">
        <f t="shared" si="137"/>
        <v>-5.8663883089770108E-3</v>
      </c>
      <c r="Q266" s="1203"/>
      <c r="R266" s="1203"/>
      <c r="S266" s="1203"/>
      <c r="T266" s="1203"/>
      <c r="U266" s="1203"/>
      <c r="V266" s="1203"/>
      <c r="W266" s="1203"/>
      <c r="X266" s="1203"/>
      <c r="Y266" s="1203"/>
      <c r="Z266" s="1203"/>
      <c r="AA266" s="1203"/>
      <c r="AB266" s="1203"/>
      <c r="AC266" s="1203"/>
      <c r="AD266" s="1203"/>
      <c r="AE266" s="1203"/>
      <c r="AF266" s="1203"/>
      <c r="AG266" s="1203"/>
      <c r="AH266" s="1203"/>
      <c r="AI266" s="1203"/>
      <c r="AJ266" s="1203"/>
      <c r="AK266" s="1203"/>
      <c r="AL266" s="1203"/>
      <c r="AM266" s="1203"/>
      <c r="AN266" s="1203"/>
      <c r="AO266" s="1203"/>
      <c r="AP266" s="1203"/>
      <c r="AQ266" s="1203"/>
      <c r="AR266" s="1203"/>
      <c r="AS266" s="1203"/>
    </row>
    <row r="267" spans="1:45">
      <c r="A267" s="1203"/>
      <c r="B267" s="1203" t="s">
        <v>8</v>
      </c>
      <c r="C267" s="1203"/>
      <c r="D267" s="1203"/>
      <c r="E267" s="1203"/>
      <c r="F267" s="1500">
        <v>21270.444</v>
      </c>
      <c r="G267" s="1500">
        <v>27195.901000000002</v>
      </c>
      <c r="H267" s="1500">
        <v>29185.073</v>
      </c>
      <c r="I267" s="1500">
        <v>30957.29</v>
      </c>
      <c r="J267" s="1306">
        <f>J281*J264</f>
        <v>30302.33246518387</v>
      </c>
      <c r="K267" s="1306">
        <f t="shared" ref="K267:P267" si="138">K281*K264</f>
        <v>30389.212847069921</v>
      </c>
      <c r="L267" s="1306">
        <f t="shared" si="138"/>
        <v>30315.599318139561</v>
      </c>
      <c r="M267" s="1306">
        <f t="shared" si="138"/>
        <v>30390.308103427422</v>
      </c>
      <c r="N267" s="1306">
        <f t="shared" si="138"/>
        <v>30613.795416326451</v>
      </c>
      <c r="O267" s="1306">
        <f t="shared" si="138"/>
        <v>30833.105827596617</v>
      </c>
      <c r="P267" s="1306">
        <f t="shared" si="138"/>
        <v>31048.267333490858</v>
      </c>
      <c r="Q267" s="1203"/>
      <c r="R267" s="1203"/>
      <c r="S267" s="1203"/>
      <c r="T267" s="1203"/>
      <c r="U267" s="1203"/>
      <c r="V267" s="1203"/>
      <c r="W267" s="1203"/>
      <c r="X267" s="1203"/>
      <c r="Y267" s="1203"/>
      <c r="Z267" s="1203"/>
      <c r="AA267" s="1203"/>
      <c r="AB267" s="1203"/>
      <c r="AC267" s="1203"/>
      <c r="AD267" s="1203"/>
      <c r="AE267" s="1203"/>
      <c r="AF267" s="1203"/>
      <c r="AG267" s="1203"/>
      <c r="AH267" s="1203"/>
      <c r="AI267" s="1203"/>
      <c r="AJ267" s="1203"/>
      <c r="AK267" s="1203"/>
      <c r="AL267" s="1203"/>
      <c r="AM267" s="1203"/>
      <c r="AN267" s="1203"/>
      <c r="AO267" s="1203"/>
      <c r="AP267" s="1203"/>
      <c r="AQ267" s="1203"/>
      <c r="AR267" s="1203"/>
      <c r="AS267" s="1203"/>
    </row>
    <row r="268" spans="1:45">
      <c r="A268" s="1203"/>
      <c r="B268" s="1203" t="s">
        <v>7775</v>
      </c>
      <c r="C268" s="1203"/>
      <c r="D268" s="1203"/>
      <c r="E268" s="1203"/>
      <c r="F268" s="1672"/>
      <c r="G268" s="1825">
        <v>0.27899999999999997</v>
      </c>
      <c r="H268" s="1825">
        <v>7.2999999999999995E-2</v>
      </c>
      <c r="I268" s="1825">
        <v>6.0999999999999999E-2</v>
      </c>
      <c r="J268" s="1307">
        <f>J267/I267-1</f>
        <v>-2.1156811039213408E-2</v>
      </c>
      <c r="K268" s="1307">
        <f t="shared" ref="K268:P268" si="139">K267/J267-1</f>
        <v>2.8671186281079564E-3</v>
      </c>
      <c r="L268" s="1307">
        <f t="shared" si="139"/>
        <v>-2.4223572127652915E-3</v>
      </c>
      <c r="M268" s="1307">
        <f t="shared" si="139"/>
        <v>2.4643677502083072E-3</v>
      </c>
      <c r="N268" s="1307">
        <f t="shared" si="139"/>
        <v>7.3539008600516098E-3</v>
      </c>
      <c r="O268" s="1307">
        <f t="shared" si="139"/>
        <v>7.16377725426387E-3</v>
      </c>
      <c r="P268" s="1307">
        <f t="shared" si="139"/>
        <v>6.9782624915348812E-3</v>
      </c>
      <c r="Q268" s="1203"/>
      <c r="R268" s="1203"/>
      <c r="S268" s="1203"/>
      <c r="T268" s="1203"/>
      <c r="U268" s="1203"/>
      <c r="V268" s="1203"/>
      <c r="W268" s="1203"/>
      <c r="X268" s="1203"/>
      <c r="Y268" s="1203"/>
      <c r="Z268" s="1203"/>
      <c r="AA268" s="1203"/>
      <c r="AB268" s="1203"/>
      <c r="AC268" s="1203"/>
      <c r="AD268" s="1203"/>
      <c r="AE268" s="1203"/>
      <c r="AF268" s="1203"/>
      <c r="AG268" s="1203"/>
      <c r="AH268" s="1203"/>
      <c r="AI268" s="1203"/>
      <c r="AJ268" s="1203"/>
      <c r="AK268" s="1203"/>
      <c r="AL268" s="1203"/>
      <c r="AM268" s="1203"/>
      <c r="AN268" s="1203"/>
      <c r="AO268" s="1203"/>
      <c r="AP268" s="1203"/>
      <c r="AQ268" s="1203"/>
      <c r="AR268" s="1203"/>
      <c r="AS268" s="1203"/>
    </row>
    <row r="269" spans="1:45">
      <c r="A269" s="1203"/>
      <c r="B269" s="1203" t="s">
        <v>7779</v>
      </c>
      <c r="C269" s="1203"/>
      <c r="D269" s="1203"/>
      <c r="E269" s="1203"/>
      <c r="F269" s="1306">
        <f>F282*F264</f>
        <v>11963.416544999998</v>
      </c>
      <c r="G269" s="1306">
        <f t="shared" ref="G269:P269" si="140">G282*G264</f>
        <v>12794.11357</v>
      </c>
      <c r="H269" s="1306">
        <f t="shared" si="140"/>
        <v>12991.565579999999</v>
      </c>
      <c r="I269" s="1306">
        <f t="shared" si="140"/>
        <v>12568.968009999999</v>
      </c>
      <c r="J269" s="1306">
        <f t="shared" si="140"/>
        <v>12086.198408016806</v>
      </c>
      <c r="K269" s="1306">
        <f t="shared" si="140"/>
        <v>11698.541754905784</v>
      </c>
      <c r="L269" s="1306">
        <f t="shared" si="140"/>
        <v>11531.097114528033</v>
      </c>
      <c r="M269" s="1306">
        <f t="shared" si="140"/>
        <v>11423.382562323892</v>
      </c>
      <c r="N269" s="1306">
        <f t="shared" si="140"/>
        <v>11373.478237986339</v>
      </c>
      <c r="O269" s="1306">
        <f t="shared" si="140"/>
        <v>11323.214490913291</v>
      </c>
      <c r="P269" s="1306">
        <f t="shared" si="140"/>
        <v>11272.610952177536</v>
      </c>
      <c r="Q269" s="1203"/>
      <c r="R269" s="1203"/>
      <c r="S269" s="1203"/>
      <c r="T269" s="1203"/>
      <c r="U269" s="1203"/>
      <c r="V269" s="1203"/>
      <c r="W269" s="1203"/>
      <c r="X269" s="1203"/>
      <c r="Y269" s="1203"/>
      <c r="Z269" s="1203"/>
      <c r="AA269" s="1203"/>
      <c r="AB269" s="1203"/>
      <c r="AC269" s="1203"/>
      <c r="AD269" s="1203"/>
      <c r="AE269" s="1203"/>
      <c r="AF269" s="1203"/>
      <c r="AG269" s="1203"/>
      <c r="AH269" s="1203"/>
      <c r="AI269" s="1203"/>
      <c r="AJ269" s="1203"/>
      <c r="AK269" s="1203"/>
      <c r="AL269" s="1203"/>
      <c r="AM269" s="1203"/>
      <c r="AN269" s="1203"/>
      <c r="AO269" s="1203"/>
      <c r="AP269" s="1203"/>
      <c r="AQ269" s="1203"/>
      <c r="AR269" s="1203"/>
      <c r="AS269" s="1203"/>
    </row>
    <row r="270" spans="1:45">
      <c r="A270" s="1203"/>
      <c r="B270" s="1203" t="s">
        <v>27</v>
      </c>
      <c r="C270" s="1203"/>
      <c r="D270" s="1203"/>
      <c r="E270" s="1203"/>
      <c r="F270" s="1306">
        <f>F264-F269</f>
        <v>70542.904454999996</v>
      </c>
      <c r="G270" s="1306">
        <f t="shared" ref="G270:P270" si="141">G264-G269</f>
        <v>75441.152430000002</v>
      </c>
      <c r="H270" s="1306">
        <f t="shared" si="141"/>
        <v>76605.438420000006</v>
      </c>
      <c r="I270" s="1306">
        <f t="shared" si="141"/>
        <v>74113.569990000004</v>
      </c>
      <c r="J270" s="1306">
        <f t="shared" si="141"/>
        <v>71590.905330049733</v>
      </c>
      <c r="K270" s="1306">
        <f t="shared" si="141"/>
        <v>71075.608161032156</v>
      </c>
      <c r="L270" s="1306">
        <f t="shared" si="141"/>
        <v>69933.083407454731</v>
      </c>
      <c r="M270" s="1306">
        <f t="shared" si="141"/>
        <v>69158.851407227223</v>
      </c>
      <c r="N270" s="1306">
        <f t="shared" si="141"/>
        <v>68739.2245957634</v>
      </c>
      <c r="O270" s="1306">
        <f t="shared" si="141"/>
        <v>68321.296303054143</v>
      </c>
      <c r="P270" s="1306">
        <f t="shared" si="141"/>
        <v>67905.067069219862</v>
      </c>
      <c r="Q270" s="1203"/>
      <c r="R270" s="1203"/>
      <c r="S270" s="1203"/>
      <c r="T270" s="1203"/>
      <c r="U270" s="1203"/>
      <c r="V270" s="1203"/>
      <c r="W270" s="1203"/>
      <c r="X270" s="1203"/>
      <c r="Y270" s="1203"/>
      <c r="Z270" s="1203"/>
      <c r="AA270" s="1203"/>
      <c r="AB270" s="1203"/>
      <c r="AC270" s="1203"/>
      <c r="AD270" s="1203"/>
      <c r="AE270" s="1203"/>
      <c r="AF270" s="1203"/>
      <c r="AG270" s="1203"/>
      <c r="AH270" s="1203"/>
      <c r="AI270" s="1203"/>
      <c r="AJ270" s="1203"/>
      <c r="AK270" s="1203"/>
      <c r="AL270" s="1203"/>
      <c r="AM270" s="1203"/>
      <c r="AN270" s="1203"/>
      <c r="AO270" s="1203"/>
      <c r="AP270" s="1203"/>
      <c r="AQ270" s="1203"/>
      <c r="AR270" s="1203"/>
      <c r="AS270" s="1203"/>
    </row>
    <row r="271" spans="1:45">
      <c r="A271" s="1203"/>
      <c r="B271" s="1203" t="s">
        <v>7780</v>
      </c>
      <c r="C271" s="1203"/>
      <c r="D271" s="1203"/>
      <c r="E271" s="1203"/>
      <c r="F271" s="1203"/>
      <c r="G271" s="1500">
        <f>124*625</f>
        <v>77500</v>
      </c>
      <c r="H271" s="1500">
        <f>132*651</f>
        <v>85932</v>
      </c>
      <c r="I271" s="1500">
        <f>142*548</f>
        <v>77816</v>
      </c>
      <c r="J271" s="1354">
        <f>I271</f>
        <v>77816</v>
      </c>
      <c r="K271" s="1354">
        <f t="shared" ref="K271:P271" si="142">J271</f>
        <v>77816</v>
      </c>
      <c r="L271" s="1354">
        <f t="shared" si="142"/>
        <v>77816</v>
      </c>
      <c r="M271" s="1354">
        <f t="shared" si="142"/>
        <v>77816</v>
      </c>
      <c r="N271" s="1354">
        <f t="shared" si="142"/>
        <v>77816</v>
      </c>
      <c r="O271" s="1354">
        <f t="shared" si="142"/>
        <v>77816</v>
      </c>
      <c r="P271" s="1354">
        <f t="shared" si="142"/>
        <v>77816</v>
      </c>
      <c r="Q271" s="1203"/>
      <c r="R271" s="1203"/>
      <c r="S271" s="1203"/>
      <c r="T271" s="1203"/>
      <c r="U271" s="1203"/>
      <c r="V271" s="1203"/>
      <c r="W271" s="1203"/>
      <c r="X271" s="1203"/>
      <c r="Y271" s="1203"/>
      <c r="Z271" s="1203"/>
      <c r="AA271" s="1203"/>
      <c r="AB271" s="1203"/>
      <c r="AC271" s="1203"/>
      <c r="AD271" s="1203"/>
      <c r="AE271" s="1203"/>
      <c r="AF271" s="1203"/>
      <c r="AG271" s="1203"/>
      <c r="AH271" s="1203"/>
      <c r="AI271" s="1203"/>
      <c r="AJ271" s="1203"/>
      <c r="AK271" s="1203"/>
      <c r="AL271" s="1203"/>
      <c r="AM271" s="1203"/>
      <c r="AN271" s="1203"/>
      <c r="AO271" s="1203"/>
      <c r="AP271" s="1203"/>
      <c r="AQ271" s="1203"/>
      <c r="AR271" s="1203"/>
      <c r="AS271" s="1203"/>
    </row>
    <row r="272" spans="1:45">
      <c r="A272" s="1203"/>
      <c r="B272" s="1203" t="s">
        <v>707</v>
      </c>
      <c r="C272" s="1203"/>
      <c r="D272" s="1203"/>
      <c r="E272" s="1203"/>
      <c r="F272" s="1500"/>
      <c r="G272" s="1500">
        <f>(124-118)*625</f>
        <v>3750</v>
      </c>
      <c r="H272" s="1500">
        <f>(132-127)*651</f>
        <v>3255</v>
      </c>
      <c r="I272" s="1500">
        <f>(142-133)*548</f>
        <v>4932</v>
      </c>
      <c r="J272" s="1354">
        <f>I272</f>
        <v>4932</v>
      </c>
      <c r="K272" s="1354">
        <f t="shared" ref="K272:P272" si="143">J272</f>
        <v>4932</v>
      </c>
      <c r="L272" s="1354">
        <f t="shared" si="143"/>
        <v>4932</v>
      </c>
      <c r="M272" s="1354">
        <f t="shared" si="143"/>
        <v>4932</v>
      </c>
      <c r="N272" s="1354">
        <f t="shared" si="143"/>
        <v>4932</v>
      </c>
      <c r="O272" s="1354">
        <f t="shared" si="143"/>
        <v>4932</v>
      </c>
      <c r="P272" s="1354">
        <f t="shared" si="143"/>
        <v>4932</v>
      </c>
      <c r="Q272" s="1203"/>
      <c r="R272" s="1203"/>
      <c r="S272" s="1203"/>
      <c r="T272" s="1203"/>
      <c r="U272" s="1203"/>
      <c r="V272" s="1203"/>
      <c r="W272" s="1203"/>
      <c r="X272" s="1203"/>
      <c r="Y272" s="1203"/>
      <c r="Z272" s="1203"/>
      <c r="AA272" s="1203"/>
      <c r="AB272" s="1203"/>
      <c r="AC272" s="1203"/>
      <c r="AD272" s="1203"/>
      <c r="AE272" s="1203"/>
      <c r="AF272" s="1203"/>
      <c r="AG272" s="1203"/>
      <c r="AH272" s="1203"/>
      <c r="AI272" s="1203"/>
      <c r="AJ272" s="1203"/>
      <c r="AK272" s="1203"/>
      <c r="AL272" s="1203"/>
      <c r="AM272" s="1203"/>
      <c r="AN272" s="1203"/>
      <c r="AO272" s="1203"/>
      <c r="AP272" s="1203"/>
      <c r="AQ272" s="1203"/>
      <c r="AR272" s="1203"/>
      <c r="AS272" s="1203"/>
    </row>
    <row r="273" spans="1:45">
      <c r="A273" s="1203"/>
      <c r="B273" s="1203" t="s">
        <v>115</v>
      </c>
      <c r="C273" s="1203"/>
      <c r="D273" s="1203"/>
      <c r="E273" s="1203"/>
      <c r="F273" s="1500">
        <f>120*589</f>
        <v>70680</v>
      </c>
      <c r="G273" s="1306">
        <f t="shared" ref="G273:H273" si="144">G271-G272</f>
        <v>73750</v>
      </c>
      <c r="H273" s="1306">
        <f t="shared" si="144"/>
        <v>82677</v>
      </c>
      <c r="I273" s="1306">
        <f>I271-I272</f>
        <v>72884</v>
      </c>
      <c r="J273" s="1306">
        <f t="shared" ref="J273:P273" si="145">J271-J272</f>
        <v>72884</v>
      </c>
      <c r="K273" s="1306">
        <f t="shared" si="145"/>
        <v>72884</v>
      </c>
      <c r="L273" s="1306">
        <f t="shared" si="145"/>
        <v>72884</v>
      </c>
      <c r="M273" s="1306">
        <f t="shared" si="145"/>
        <v>72884</v>
      </c>
      <c r="N273" s="1306">
        <f t="shared" si="145"/>
        <v>72884</v>
      </c>
      <c r="O273" s="1306">
        <f t="shared" si="145"/>
        <v>72884</v>
      </c>
      <c r="P273" s="1306">
        <f t="shared" si="145"/>
        <v>72884</v>
      </c>
      <c r="Q273" s="1203"/>
      <c r="R273" s="1203"/>
      <c r="S273" s="1203"/>
      <c r="T273" s="1203"/>
      <c r="U273" s="1203"/>
      <c r="V273" s="1203"/>
      <c r="W273" s="1203"/>
      <c r="X273" s="1203"/>
      <c r="Y273" s="1203"/>
      <c r="Z273" s="1203"/>
      <c r="AA273" s="1203"/>
      <c r="AB273" s="1203"/>
      <c r="AC273" s="1203"/>
      <c r="AD273" s="1203"/>
      <c r="AE273" s="1203"/>
      <c r="AF273" s="1203"/>
      <c r="AG273" s="1203"/>
      <c r="AH273" s="1203"/>
      <c r="AI273" s="1203"/>
      <c r="AJ273" s="1203"/>
      <c r="AK273" s="1203"/>
      <c r="AL273" s="1203"/>
      <c r="AM273" s="1203"/>
      <c r="AN273" s="1203"/>
      <c r="AO273" s="1203"/>
      <c r="AP273" s="1203"/>
      <c r="AQ273" s="1203"/>
      <c r="AR273" s="1203"/>
      <c r="AS273" s="1203"/>
    </row>
    <row r="274" spans="1:45">
      <c r="A274" s="1203"/>
      <c r="B274" s="1203" t="s">
        <v>6838</v>
      </c>
      <c r="C274" s="1203"/>
      <c r="D274" s="1203"/>
      <c r="E274" s="1203"/>
      <c r="F274" s="1217">
        <f t="shared" ref="F274:H274" si="146">F273/F267</f>
        <v>3.3229207627259685</v>
      </c>
      <c r="G274" s="1217">
        <f t="shared" si="146"/>
        <v>2.7118057239581801</v>
      </c>
      <c r="H274" s="1217">
        <f t="shared" si="146"/>
        <v>2.832852259783623</v>
      </c>
      <c r="I274" s="1217">
        <f>I273/I267</f>
        <v>2.3543404477588314</v>
      </c>
      <c r="J274" s="1217">
        <f t="shared" ref="J274:P274" si="147">J273/J267</f>
        <v>2.405227389137147</v>
      </c>
      <c r="K274" s="1217">
        <f t="shared" si="147"/>
        <v>2.3983510322159383</v>
      </c>
      <c r="L274" s="1217">
        <f t="shared" si="147"/>
        <v>2.4041748023892544</v>
      </c>
      <c r="M274" s="1217">
        <f t="shared" si="147"/>
        <v>2.398264596461269</v>
      </c>
      <c r="N274" s="1217">
        <f t="shared" si="147"/>
        <v>2.3807567473692166</v>
      </c>
      <c r="O274" s="1217">
        <f t="shared" si="147"/>
        <v>2.363822847024593</v>
      </c>
      <c r="P274" s="1217">
        <f t="shared" si="147"/>
        <v>2.3474417820856033</v>
      </c>
      <c r="Q274" s="1203"/>
      <c r="R274" s="1203"/>
      <c r="S274" s="1203"/>
      <c r="T274" s="1203"/>
      <c r="U274" s="1203"/>
      <c r="V274" s="1203"/>
      <c r="W274" s="1203"/>
      <c r="X274" s="1203"/>
      <c r="Y274" s="1203"/>
      <c r="Z274" s="1203"/>
      <c r="AA274" s="1203"/>
      <c r="AB274" s="1203"/>
      <c r="AC274" s="1203"/>
      <c r="AD274" s="1203"/>
      <c r="AE274" s="1203"/>
      <c r="AF274" s="1203"/>
      <c r="AG274" s="1203"/>
      <c r="AH274" s="1203"/>
      <c r="AI274" s="1203"/>
      <c r="AJ274" s="1203"/>
      <c r="AK274" s="1203"/>
      <c r="AL274" s="1203"/>
      <c r="AM274" s="1203"/>
      <c r="AN274" s="1203"/>
      <c r="AO274" s="1203"/>
      <c r="AP274" s="1203"/>
      <c r="AQ274" s="1203"/>
      <c r="AR274" s="1203"/>
      <c r="AS274" s="1203"/>
    </row>
    <row r="275" spans="1:45">
      <c r="A275" s="1203"/>
      <c r="B275" s="1203"/>
      <c r="C275" s="1203"/>
      <c r="D275" s="1203"/>
      <c r="E275" s="1203"/>
      <c r="F275" s="1203"/>
      <c r="G275" s="1203"/>
      <c r="H275" s="1203"/>
      <c r="I275" s="1203"/>
      <c r="J275" s="1203"/>
      <c r="K275" s="1203"/>
      <c r="L275" s="1203"/>
      <c r="M275" s="1203"/>
      <c r="N275" s="1203"/>
      <c r="O275" s="1203"/>
      <c r="P275" s="1203"/>
      <c r="Q275" s="1203"/>
      <c r="R275" s="1203"/>
      <c r="S275" s="1203"/>
      <c r="T275" s="1203"/>
      <c r="U275" s="1203"/>
      <c r="V275" s="1203"/>
      <c r="W275" s="1203"/>
      <c r="X275" s="1203"/>
      <c r="Y275" s="1203"/>
      <c r="Z275" s="1203"/>
      <c r="AA275" s="1203"/>
      <c r="AB275" s="1203"/>
      <c r="AC275" s="1203"/>
      <c r="AD275" s="1203"/>
      <c r="AE275" s="1203"/>
      <c r="AF275" s="1203"/>
      <c r="AG275" s="1203"/>
      <c r="AH275" s="1203"/>
      <c r="AI275" s="1203"/>
      <c r="AJ275" s="1203"/>
      <c r="AK275" s="1203"/>
      <c r="AL275" s="1203"/>
      <c r="AM275" s="1203"/>
      <c r="AN275" s="1203"/>
      <c r="AO275" s="1203"/>
      <c r="AP275" s="1203"/>
      <c r="AQ275" s="1203"/>
      <c r="AR275" s="1203"/>
      <c r="AS275" s="1203"/>
    </row>
    <row r="276" spans="1:45">
      <c r="A276" s="1203"/>
      <c r="B276" s="1203"/>
      <c r="C276" s="1203"/>
      <c r="D276" s="1203"/>
      <c r="E276" s="1203"/>
      <c r="F276" s="1203"/>
      <c r="G276" s="1203"/>
      <c r="H276" s="1203"/>
      <c r="I276" s="1203"/>
      <c r="J276" s="1203"/>
      <c r="K276" s="1203"/>
      <c r="L276" s="1203"/>
      <c r="M276" s="1203"/>
      <c r="N276" s="1203"/>
      <c r="O276" s="1203"/>
      <c r="P276" s="1203"/>
      <c r="Q276" s="1203"/>
      <c r="R276" s="1203"/>
      <c r="S276" s="1203"/>
      <c r="T276" s="1203"/>
      <c r="U276" s="1203"/>
      <c r="V276" s="1203"/>
      <c r="W276" s="1203"/>
      <c r="X276" s="1203"/>
      <c r="Y276" s="1203"/>
      <c r="Z276" s="1203"/>
      <c r="AA276" s="1203"/>
      <c r="AB276" s="1203"/>
      <c r="AC276" s="1203"/>
      <c r="AD276" s="1203"/>
      <c r="AE276" s="1203"/>
      <c r="AF276" s="1203"/>
      <c r="AG276" s="1203"/>
      <c r="AH276" s="1203"/>
      <c r="AI276" s="1203"/>
      <c r="AJ276" s="1203"/>
      <c r="AK276" s="1203"/>
      <c r="AL276" s="1203"/>
      <c r="AM276" s="1203"/>
      <c r="AN276" s="1203"/>
      <c r="AO276" s="1203"/>
      <c r="AP276" s="1203"/>
      <c r="AQ276" s="1203"/>
      <c r="AR276" s="1203"/>
      <c r="AS276" s="1203"/>
    </row>
    <row r="277" spans="1:45">
      <c r="A277" s="1203"/>
      <c r="B277" s="1203" t="s">
        <v>7776</v>
      </c>
      <c r="C277" s="1203"/>
      <c r="D277" s="1203"/>
      <c r="E277" s="1203"/>
      <c r="F277" s="1203">
        <f t="shared" ref="F277:H277" si="148">F263-E263</f>
        <v>239</v>
      </c>
      <c r="G277" s="1203">
        <f t="shared" si="148"/>
        <v>10</v>
      </c>
      <c r="H277" s="1203">
        <f t="shared" si="148"/>
        <v>-2</v>
      </c>
      <c r="I277" s="1203">
        <f>I263-H263</f>
        <v>-13</v>
      </c>
      <c r="J277" s="1358">
        <v>1</v>
      </c>
      <c r="K277" s="1358">
        <v>1</v>
      </c>
      <c r="L277" s="1358">
        <v>1</v>
      </c>
      <c r="M277" s="1358">
        <v>1</v>
      </c>
      <c r="N277" s="1358">
        <v>1</v>
      </c>
      <c r="O277" s="1358">
        <v>1</v>
      </c>
      <c r="P277" s="1358">
        <v>1</v>
      </c>
      <c r="Q277" s="1203"/>
      <c r="R277" s="1203"/>
      <c r="S277" s="1203"/>
      <c r="T277" s="1203"/>
      <c r="U277" s="1203"/>
      <c r="V277" s="1203"/>
      <c r="W277" s="1203"/>
      <c r="X277" s="1203"/>
      <c r="Y277" s="1203"/>
      <c r="Z277" s="1203"/>
      <c r="AA277" s="1203"/>
      <c r="AB277" s="1203"/>
      <c r="AC277" s="1203"/>
      <c r="AD277" s="1203"/>
      <c r="AE277" s="1203"/>
      <c r="AF277" s="1203"/>
      <c r="AG277" s="1203"/>
      <c r="AH277" s="1203"/>
      <c r="AI277" s="1203"/>
      <c r="AJ277" s="1203"/>
      <c r="AK277" s="1203"/>
      <c r="AL277" s="1203"/>
      <c r="AM277" s="1203"/>
      <c r="AN277" s="1203"/>
      <c r="AO277" s="1203"/>
      <c r="AP277" s="1203"/>
      <c r="AQ277" s="1203"/>
      <c r="AR277" s="1203"/>
      <c r="AS277" s="1203"/>
    </row>
    <row r="278" spans="1:45">
      <c r="A278" s="1203"/>
      <c r="B278" s="1203" t="s">
        <v>904</v>
      </c>
      <c r="C278" s="1203"/>
      <c r="D278" s="1203"/>
      <c r="E278" s="1203"/>
      <c r="F278" s="1306">
        <f t="shared" ref="F278:H278" si="149">F265/AVERAGE(E263,F263)/12*1000</f>
        <v>28551.196652719664</v>
      </c>
      <c r="G278" s="1306">
        <f t="shared" si="149"/>
        <v>29701.114071038246</v>
      </c>
      <c r="H278" s="1306">
        <f t="shared" si="149"/>
        <v>30039.492943548386</v>
      </c>
      <c r="I278" s="1306">
        <f>I265/AVERAGE(H263,I263)/12*1000</f>
        <v>30012.325363825366</v>
      </c>
      <c r="J278" s="1306">
        <f>I278*(1+J279)</f>
        <v>29712.202110187114</v>
      </c>
      <c r="K278" s="1306">
        <f t="shared" ref="K278:P278" si="150">J278*(1+K279)</f>
        <v>29266.519078534307</v>
      </c>
      <c r="L278" s="1306">
        <f t="shared" si="150"/>
        <v>28681.188696963622</v>
      </c>
      <c r="M278" s="1306">
        <f t="shared" si="150"/>
        <v>28250.970866509168</v>
      </c>
      <c r="N278" s="1306">
        <f t="shared" si="150"/>
        <v>27968.461157844074</v>
      </c>
      <c r="O278" s="1306">
        <f t="shared" si="150"/>
        <v>27688.776546265635</v>
      </c>
      <c r="P278" s="1306">
        <f t="shared" si="150"/>
        <v>27411.888780802979</v>
      </c>
      <c r="Q278" s="1203"/>
      <c r="R278" s="1203"/>
      <c r="S278" s="1203"/>
      <c r="T278" s="1203"/>
      <c r="U278" s="1203"/>
      <c r="V278" s="1203"/>
      <c r="W278" s="1203"/>
      <c r="X278" s="1203"/>
      <c r="Y278" s="1203"/>
      <c r="Z278" s="1203"/>
      <c r="AA278" s="1203"/>
      <c r="AB278" s="1203"/>
      <c r="AC278" s="1203"/>
      <c r="AD278" s="1203"/>
      <c r="AE278" s="1203"/>
      <c r="AF278" s="1203"/>
      <c r="AG278" s="1203"/>
      <c r="AH278" s="1203"/>
      <c r="AI278" s="1203"/>
      <c r="AJ278" s="1203"/>
      <c r="AK278" s="1203"/>
      <c r="AL278" s="1203"/>
      <c r="AM278" s="1203"/>
      <c r="AN278" s="1203"/>
      <c r="AO278" s="1203"/>
      <c r="AP278" s="1203"/>
      <c r="AQ278" s="1203"/>
      <c r="AR278" s="1203"/>
      <c r="AS278" s="1203"/>
    </row>
    <row r="279" spans="1:45">
      <c r="A279" s="1203"/>
      <c r="B279" s="1203" t="s">
        <v>648</v>
      </c>
      <c r="C279" s="1203"/>
      <c r="D279" s="1203"/>
      <c r="E279" s="1203"/>
      <c r="F279" s="1203"/>
      <c r="G279" s="1305">
        <f t="shared" ref="G279:H279" si="151">G278/F278-1</f>
        <v>4.0275629505323929E-2</v>
      </c>
      <c r="H279" s="1305">
        <f t="shared" si="151"/>
        <v>1.1392800677470172E-2</v>
      </c>
      <c r="I279" s="1305">
        <f>I278/H278-1</f>
        <v>-9.0439541619680153E-4</v>
      </c>
      <c r="J279" s="1674">
        <v>-0.01</v>
      </c>
      <c r="K279" s="1674">
        <v>-1.4999999999999999E-2</v>
      </c>
      <c r="L279" s="1674">
        <v>-0.02</v>
      </c>
      <c r="M279" s="1674">
        <v>-1.4999999999999999E-2</v>
      </c>
      <c r="N279" s="1674">
        <v>-0.01</v>
      </c>
      <c r="O279" s="1674">
        <v>-0.01</v>
      </c>
      <c r="P279" s="1674">
        <v>-0.01</v>
      </c>
      <c r="Q279" s="1203"/>
      <c r="R279" s="1203"/>
      <c r="S279" s="1203"/>
      <c r="T279" s="1203"/>
      <c r="U279" s="1203"/>
      <c r="V279" s="1203"/>
      <c r="W279" s="1203"/>
      <c r="X279" s="1203"/>
      <c r="Y279" s="1203"/>
      <c r="Z279" s="1203"/>
      <c r="AA279" s="1203"/>
      <c r="AB279" s="1203"/>
      <c r="AC279" s="1203"/>
      <c r="AD279" s="1203"/>
      <c r="AE279" s="1203"/>
      <c r="AF279" s="1203"/>
      <c r="AG279" s="1203"/>
      <c r="AH279" s="1203"/>
      <c r="AI279" s="1203"/>
      <c r="AJ279" s="1203"/>
      <c r="AK279" s="1203"/>
      <c r="AL279" s="1203"/>
      <c r="AM279" s="1203"/>
      <c r="AN279" s="1203"/>
      <c r="AO279" s="1203"/>
      <c r="AP279" s="1203"/>
      <c r="AQ279" s="1203"/>
      <c r="AR279" s="1203"/>
      <c r="AS279" s="1203"/>
    </row>
    <row r="280" spans="1:45">
      <c r="A280" s="1203"/>
      <c r="B280" s="1203" t="s">
        <v>7777</v>
      </c>
      <c r="C280" s="1203"/>
      <c r="D280" s="1203"/>
      <c r="E280" s="1203"/>
      <c r="F280" s="1306">
        <f t="shared" ref="F280:H280" si="152">F264-F265</f>
        <v>621.4890000000014</v>
      </c>
      <c r="G280" s="1306">
        <f t="shared" si="152"/>
        <v>1270.4040000000095</v>
      </c>
      <c r="H280" s="1306">
        <f t="shared" si="152"/>
        <v>199.47299999999814</v>
      </c>
      <c r="I280" s="1306">
        <f>I264-I265</f>
        <v>66.967000000004191</v>
      </c>
      <c r="J280" s="1354">
        <f>I280</f>
        <v>66.967000000004191</v>
      </c>
      <c r="K280" s="1354">
        <f t="shared" ref="K280:P280" si="153">J280</f>
        <v>66.967000000004191</v>
      </c>
      <c r="L280" s="1354">
        <f t="shared" si="153"/>
        <v>66.967000000004191</v>
      </c>
      <c r="M280" s="1354">
        <f t="shared" si="153"/>
        <v>66.967000000004191</v>
      </c>
      <c r="N280" s="1354">
        <f t="shared" si="153"/>
        <v>66.967000000004191</v>
      </c>
      <c r="O280" s="1354">
        <f t="shared" si="153"/>
        <v>66.967000000004191</v>
      </c>
      <c r="P280" s="1354">
        <f t="shared" si="153"/>
        <v>66.967000000004191</v>
      </c>
      <c r="Q280" s="1203"/>
      <c r="R280" s="1203"/>
      <c r="S280" s="1203"/>
      <c r="T280" s="1203"/>
      <c r="U280" s="1203"/>
      <c r="V280" s="1203"/>
      <c r="W280" s="1203"/>
      <c r="X280" s="1203"/>
      <c r="Y280" s="1203"/>
      <c r="Z280" s="1203"/>
      <c r="AA280" s="1203"/>
      <c r="AB280" s="1203"/>
      <c r="AC280" s="1203"/>
      <c r="AD280" s="1203"/>
      <c r="AE280" s="1203"/>
      <c r="AF280" s="1203"/>
      <c r="AG280" s="1203"/>
      <c r="AH280" s="1203"/>
      <c r="AI280" s="1203"/>
      <c r="AJ280" s="1203"/>
      <c r="AK280" s="1203"/>
      <c r="AL280" s="1203"/>
      <c r="AM280" s="1203"/>
      <c r="AN280" s="1203"/>
      <c r="AO280" s="1203"/>
      <c r="AP280" s="1203"/>
      <c r="AQ280" s="1203"/>
      <c r="AR280" s="1203"/>
      <c r="AS280" s="1203"/>
    </row>
    <row r="281" spans="1:45">
      <c r="A281" s="1203"/>
      <c r="B281" s="1203" t="s">
        <v>18</v>
      </c>
      <c r="C281" s="1203"/>
      <c r="D281" s="1203"/>
      <c r="E281" s="1203"/>
      <c r="F281" s="1305">
        <f t="shared" ref="F281:H281" si="154">F267/F264</f>
        <v>0.25780381117708545</v>
      </c>
      <c r="G281" s="1305">
        <f t="shared" si="154"/>
        <v>0.308220309552872</v>
      </c>
      <c r="H281" s="1305">
        <f t="shared" si="154"/>
        <v>0.32573715299676764</v>
      </c>
      <c r="I281" s="1305">
        <f>I267/I264</f>
        <v>0.35713409775795907</v>
      </c>
      <c r="J281" s="1674">
        <f>I281+0.5%</f>
        <v>0.36213409775795907</v>
      </c>
      <c r="K281" s="1674">
        <f t="shared" ref="K281:P281" si="155">J281+0.5%</f>
        <v>0.36713409775795908</v>
      </c>
      <c r="L281" s="1674">
        <f t="shared" si="155"/>
        <v>0.37213409775795908</v>
      </c>
      <c r="M281" s="1674">
        <f t="shared" si="155"/>
        <v>0.37713409775795909</v>
      </c>
      <c r="N281" s="1674">
        <f t="shared" si="155"/>
        <v>0.38213409775795909</v>
      </c>
      <c r="O281" s="1674">
        <f t="shared" si="155"/>
        <v>0.38713409775795909</v>
      </c>
      <c r="P281" s="1674">
        <f t="shared" si="155"/>
        <v>0.3921340977579591</v>
      </c>
      <c r="Q281" s="1203"/>
      <c r="R281" s="1203"/>
      <c r="S281" s="1203"/>
      <c r="T281" s="1203"/>
      <c r="U281" s="1203"/>
      <c r="V281" s="1203"/>
      <c r="W281" s="1203"/>
      <c r="X281" s="1203"/>
      <c r="Y281" s="1203"/>
      <c r="Z281" s="1203"/>
      <c r="AA281" s="1203"/>
      <c r="AB281" s="1203"/>
      <c r="AC281" s="1203"/>
      <c r="AD281" s="1203"/>
      <c r="AE281" s="1203"/>
      <c r="AF281" s="1203"/>
      <c r="AG281" s="1203"/>
      <c r="AH281" s="1203"/>
      <c r="AI281" s="1203"/>
      <c r="AJ281" s="1203"/>
      <c r="AK281" s="1203"/>
      <c r="AL281" s="1203"/>
      <c r="AM281" s="1203"/>
      <c r="AN281" s="1203"/>
      <c r="AO281" s="1203"/>
      <c r="AP281" s="1203"/>
      <c r="AQ281" s="1203"/>
      <c r="AR281" s="1203"/>
      <c r="AS281" s="1203"/>
    </row>
    <row r="282" spans="1:45">
      <c r="A282" s="1203"/>
      <c r="B282" s="1203" t="s">
        <v>7778</v>
      </c>
      <c r="C282" s="1203"/>
      <c r="D282" s="1203"/>
      <c r="E282" s="1203"/>
      <c r="F282" s="1674">
        <v>0.14499999999999999</v>
      </c>
      <c r="G282" s="1674">
        <v>0.14499999999999999</v>
      </c>
      <c r="H282" s="1674">
        <v>0.14499999999999999</v>
      </c>
      <c r="I282" s="1674">
        <v>0.14499999999999999</v>
      </c>
      <c r="J282" s="1674">
        <v>0.14443853656610883</v>
      </c>
      <c r="K282" s="1674">
        <v>0.1413308595350885</v>
      </c>
      <c r="L282" s="1674">
        <v>0.1415480649365449</v>
      </c>
      <c r="M282" s="1674">
        <v>0.14176055936399506</v>
      </c>
      <c r="N282" s="1674">
        <v>0.14196847485708519</v>
      </c>
      <c r="O282" s="1674">
        <v>0.14217193850565973</v>
      </c>
      <c r="P282" s="1674">
        <v>0.14237107267948884</v>
      </c>
      <c r="Q282" s="1203"/>
      <c r="R282" s="1203"/>
      <c r="S282" s="1203"/>
      <c r="T282" s="1203"/>
      <c r="U282" s="1203"/>
      <c r="V282" s="1203"/>
      <c r="W282" s="1203"/>
      <c r="X282" s="1203"/>
      <c r="Y282" s="1203"/>
      <c r="Z282" s="1203"/>
      <c r="AA282" s="1203"/>
      <c r="AB282" s="1203"/>
      <c r="AC282" s="1203"/>
      <c r="AD282" s="1203"/>
      <c r="AE282" s="1203"/>
      <c r="AF282" s="1203"/>
      <c r="AG282" s="1203"/>
      <c r="AH282" s="1203"/>
      <c r="AI282" s="1203"/>
      <c r="AJ282" s="1203"/>
      <c r="AK282" s="1203"/>
      <c r="AL282" s="1203"/>
      <c r="AM282" s="1203"/>
      <c r="AN282" s="1203"/>
      <c r="AO282" s="1203"/>
      <c r="AP282" s="1203"/>
      <c r="AQ282" s="1203"/>
      <c r="AR282" s="1203"/>
      <c r="AS282" s="1203"/>
    </row>
    <row r="283" spans="1:45">
      <c r="A283" s="1203"/>
      <c r="B283" s="1203"/>
      <c r="C283" s="1203"/>
      <c r="D283" s="1203"/>
      <c r="E283" s="1203"/>
      <c r="F283" s="1203"/>
      <c r="G283" s="1203"/>
      <c r="H283" s="1203"/>
      <c r="I283" s="1203"/>
      <c r="J283" s="1203"/>
      <c r="K283" s="1203"/>
      <c r="L283" s="1203"/>
      <c r="M283" s="1203"/>
      <c r="N283" s="1203"/>
      <c r="O283" s="1203"/>
      <c r="P283" s="1203"/>
      <c r="Q283" s="1203"/>
      <c r="R283" s="1203"/>
      <c r="S283" s="1203"/>
      <c r="T283" s="1203"/>
      <c r="U283" s="1203"/>
      <c r="V283" s="1203"/>
      <c r="W283" s="1203"/>
      <c r="X283" s="1203"/>
      <c r="Y283" s="1203"/>
      <c r="Z283" s="1203"/>
      <c r="AA283" s="1203"/>
      <c r="AB283" s="1203"/>
      <c r="AC283" s="1203"/>
      <c r="AD283" s="1203"/>
      <c r="AE283" s="1203"/>
      <c r="AF283" s="1203"/>
      <c r="AG283" s="1203"/>
      <c r="AH283" s="1203"/>
      <c r="AI283" s="1203"/>
      <c r="AJ283" s="1203"/>
      <c r="AK283" s="1203"/>
      <c r="AL283" s="1203"/>
      <c r="AM283" s="1203"/>
      <c r="AN283" s="1203"/>
      <c r="AO283" s="1203"/>
      <c r="AP283" s="1203"/>
      <c r="AQ283" s="1203"/>
      <c r="AR283" s="1203"/>
      <c r="AS283" s="1203"/>
    </row>
    <row r="284" spans="1:45">
      <c r="A284" s="1203"/>
      <c r="B284" s="1203"/>
      <c r="C284" s="1203"/>
      <c r="D284" s="1203"/>
      <c r="E284" s="1203"/>
      <c r="F284" s="1203"/>
      <c r="G284" s="1203"/>
      <c r="H284" s="1203"/>
      <c r="I284" s="1203"/>
      <c r="J284" s="1203"/>
      <c r="K284" s="1203"/>
      <c r="L284" s="1203"/>
      <c r="M284" s="1203"/>
      <c r="N284" s="1203"/>
      <c r="O284" s="1203"/>
      <c r="P284" s="1203"/>
      <c r="Q284" s="1203"/>
      <c r="R284" s="1203"/>
      <c r="S284" s="1203"/>
      <c r="T284" s="1203"/>
      <c r="U284" s="1203"/>
      <c r="V284" s="1203"/>
      <c r="W284" s="1203"/>
      <c r="X284" s="1203"/>
      <c r="Y284" s="1203"/>
      <c r="Z284" s="1203"/>
      <c r="AA284" s="1203"/>
      <c r="AB284" s="1203"/>
      <c r="AC284" s="1203"/>
      <c r="AD284" s="1203"/>
      <c r="AE284" s="1203"/>
      <c r="AF284" s="1203"/>
      <c r="AG284" s="1203"/>
      <c r="AH284" s="1203"/>
      <c r="AI284" s="1203"/>
      <c r="AJ284" s="1203"/>
      <c r="AK284" s="1203"/>
      <c r="AL284" s="1203"/>
      <c r="AM284" s="1203"/>
      <c r="AN284" s="1203"/>
      <c r="AO284" s="1203"/>
      <c r="AP284" s="1203"/>
      <c r="AQ284" s="1203"/>
      <c r="AR284" s="1203"/>
      <c r="AS284" s="1203"/>
    </row>
    <row r="285" spans="1:45">
      <c r="A285" s="1203"/>
      <c r="B285" s="1203"/>
      <c r="C285" s="1203"/>
      <c r="D285" s="1203"/>
      <c r="E285" s="1203"/>
      <c r="F285" s="1203"/>
      <c r="G285" s="1203"/>
      <c r="H285" s="1203"/>
      <c r="I285" s="1203"/>
      <c r="J285" s="1203"/>
      <c r="K285" s="1203"/>
      <c r="L285" s="1203"/>
      <c r="M285" s="1203"/>
      <c r="N285" s="1203"/>
      <c r="O285" s="1203"/>
      <c r="P285" s="1203"/>
      <c r="Q285" s="1203"/>
      <c r="R285" s="1203"/>
      <c r="S285" s="1203"/>
      <c r="T285" s="1203"/>
      <c r="U285" s="1203"/>
      <c r="V285" s="1203"/>
      <c r="W285" s="1203"/>
      <c r="X285" s="1203"/>
      <c r="Y285" s="1203"/>
      <c r="Z285" s="1203"/>
      <c r="AA285" s="1203"/>
      <c r="AB285" s="1203"/>
      <c r="AC285" s="1203"/>
      <c r="AD285" s="1203"/>
      <c r="AE285" s="1203"/>
      <c r="AF285" s="1203"/>
      <c r="AG285" s="1203"/>
      <c r="AH285" s="1203"/>
      <c r="AI285" s="1203"/>
      <c r="AJ285" s="1203"/>
      <c r="AK285" s="1203"/>
      <c r="AL285" s="1203"/>
      <c r="AM285" s="1203"/>
      <c r="AN285" s="1203"/>
      <c r="AO285" s="1203"/>
      <c r="AP285" s="1203"/>
      <c r="AQ285" s="1203"/>
      <c r="AR285" s="1203"/>
      <c r="AS285" s="1203"/>
    </row>
    <row r="286" spans="1:45">
      <c r="A286" s="1203"/>
      <c r="B286" s="1609" t="s">
        <v>44</v>
      </c>
      <c r="C286" s="1609">
        <f>C$1</f>
        <v>2017</v>
      </c>
      <c r="D286" s="1609">
        <f t="shared" ref="D286:P286" si="156">D$1</f>
        <v>2018</v>
      </c>
      <c r="E286" s="1609">
        <f t="shared" si="156"/>
        <v>2019</v>
      </c>
      <c r="F286" s="1609">
        <f t="shared" si="156"/>
        <v>2020</v>
      </c>
      <c r="G286" s="1609">
        <f t="shared" si="156"/>
        <v>2021</v>
      </c>
      <c r="H286" s="1609">
        <f t="shared" si="156"/>
        <v>2022</v>
      </c>
      <c r="I286" s="1609">
        <f t="shared" si="156"/>
        <v>2023</v>
      </c>
      <c r="J286" s="1609">
        <f t="shared" si="156"/>
        <v>2024</v>
      </c>
      <c r="K286" s="1609">
        <f t="shared" si="156"/>
        <v>2025</v>
      </c>
      <c r="L286" s="1609">
        <f t="shared" si="156"/>
        <v>2026</v>
      </c>
      <c r="M286" s="1609">
        <f t="shared" si="156"/>
        <v>2027</v>
      </c>
      <c r="N286" s="1609">
        <f t="shared" si="156"/>
        <v>2028</v>
      </c>
      <c r="O286" s="1609">
        <f t="shared" si="156"/>
        <v>2029</v>
      </c>
      <c r="P286" s="1609">
        <f t="shared" si="156"/>
        <v>2030</v>
      </c>
      <c r="Q286" s="1203"/>
      <c r="R286" s="1203"/>
      <c r="S286" s="1203"/>
      <c r="T286" s="1203"/>
      <c r="U286" s="1203"/>
      <c r="V286" s="1203"/>
      <c r="W286" s="1203"/>
      <c r="X286" s="1203"/>
      <c r="Y286" s="1203"/>
      <c r="Z286" s="1203"/>
      <c r="AA286" s="1203"/>
      <c r="AB286" s="1203"/>
      <c r="AC286" s="1203"/>
      <c r="AD286" s="1203"/>
      <c r="AE286" s="1203"/>
      <c r="AF286" s="1203"/>
      <c r="AG286" s="1203"/>
      <c r="AH286" s="1203"/>
      <c r="AI286" s="1203"/>
      <c r="AJ286" s="1203"/>
      <c r="AK286" s="1203"/>
      <c r="AL286" s="1203"/>
      <c r="AM286" s="1203"/>
      <c r="AN286" s="1203"/>
      <c r="AO286" s="1203"/>
      <c r="AP286" s="1203"/>
      <c r="AQ286" s="1203"/>
      <c r="AR286" s="1203"/>
      <c r="AS286" s="1203"/>
    </row>
    <row r="287" spans="1:45">
      <c r="A287" s="1203"/>
      <c r="B287" s="1203" t="s">
        <v>7773</v>
      </c>
      <c r="C287" s="1203"/>
      <c r="D287" s="1203"/>
      <c r="E287" s="1203"/>
      <c r="F287" s="1672">
        <v>239</v>
      </c>
      <c r="G287" s="1672">
        <v>249</v>
      </c>
      <c r="H287" s="1672">
        <v>247</v>
      </c>
      <c r="I287" s="1672">
        <v>234</v>
      </c>
      <c r="J287" s="1306"/>
      <c r="K287" s="1306"/>
      <c r="L287" s="1306"/>
      <c r="M287" s="1306"/>
      <c r="N287" s="1306"/>
      <c r="O287" s="1306"/>
      <c r="P287" s="1306"/>
      <c r="Q287" s="1203"/>
      <c r="R287" s="1203"/>
      <c r="S287" s="1203"/>
      <c r="T287" s="1203"/>
      <c r="U287" s="1203"/>
      <c r="V287" s="1203"/>
      <c r="W287" s="1203"/>
      <c r="X287" s="1203"/>
      <c r="Y287" s="1203"/>
      <c r="Z287" s="1203"/>
      <c r="AA287" s="1203"/>
      <c r="AB287" s="1203"/>
      <c r="AC287" s="1203"/>
      <c r="AD287" s="1203"/>
      <c r="AE287" s="1203"/>
      <c r="AF287" s="1203"/>
      <c r="AG287" s="1203"/>
      <c r="AH287" s="1203"/>
      <c r="AI287" s="1203"/>
      <c r="AJ287" s="1203"/>
      <c r="AK287" s="1203"/>
      <c r="AL287" s="1203"/>
      <c r="AM287" s="1203"/>
      <c r="AN287" s="1203"/>
      <c r="AO287" s="1203"/>
      <c r="AP287" s="1203"/>
      <c r="AQ287" s="1203"/>
      <c r="AR287" s="1203"/>
      <c r="AS287" s="1203"/>
    </row>
    <row r="288" spans="1:45">
      <c r="A288" s="1203"/>
      <c r="B288" s="1203" t="s">
        <v>15</v>
      </c>
      <c r="C288" s="1203"/>
      <c r="D288" s="1203"/>
      <c r="E288" s="1203"/>
      <c r="F288" s="1500">
        <v>140.054</v>
      </c>
      <c r="G288" s="1500">
        <v>141.27699999999999</v>
      </c>
      <c r="H288" s="1500">
        <v>137.654</v>
      </c>
      <c r="I288" s="1500">
        <v>158.07900000000001</v>
      </c>
      <c r="J288" s="1306">
        <f t="shared" ref="J288:P288" si="157">J264/J29</f>
        <v>161.02588999916586</v>
      </c>
      <c r="K288" s="1306">
        <f t="shared" si="157"/>
        <v>156.16497136258369</v>
      </c>
      <c r="L288" s="1306">
        <f t="shared" si="157"/>
        <v>150.67993285262273</v>
      </c>
      <c r="M288" s="1306">
        <f t="shared" si="157"/>
        <v>146.12612111460322</v>
      </c>
      <c r="N288" s="1306">
        <f t="shared" si="157"/>
        <v>142.42616006847121</v>
      </c>
      <c r="O288" s="1306">
        <f t="shared" si="157"/>
        <v>138.81744878269529</v>
      </c>
      <c r="P288" s="1306">
        <f t="shared" si="157"/>
        <v>135.297820053793</v>
      </c>
      <c r="Q288" s="1203"/>
      <c r="R288" s="1203"/>
      <c r="S288" s="1203"/>
      <c r="T288" s="1203"/>
      <c r="U288" s="1203"/>
      <c r="V288" s="1203"/>
      <c r="W288" s="1203"/>
      <c r="X288" s="1203"/>
      <c r="Y288" s="1203"/>
      <c r="Z288" s="1203"/>
      <c r="AA288" s="1203"/>
      <c r="AB288" s="1203"/>
      <c r="AC288" s="1203"/>
      <c r="AD288" s="1203"/>
      <c r="AE288" s="1203"/>
      <c r="AF288" s="1203"/>
      <c r="AG288" s="1203"/>
      <c r="AH288" s="1203"/>
      <c r="AI288" s="1203"/>
      <c r="AJ288" s="1203"/>
      <c r="AK288" s="1203"/>
      <c r="AL288" s="1203"/>
      <c r="AM288" s="1203"/>
      <c r="AN288" s="1203"/>
      <c r="AO288" s="1203"/>
      <c r="AP288" s="1203"/>
      <c r="AQ288" s="1203"/>
      <c r="AR288" s="1203"/>
      <c r="AS288" s="1203"/>
    </row>
    <row r="289" spans="1:45">
      <c r="A289" s="1203"/>
      <c r="B289" s="1203" t="s">
        <v>2108</v>
      </c>
      <c r="C289" s="1203"/>
      <c r="D289" s="1203"/>
      <c r="E289" s="1203"/>
      <c r="F289" s="1500">
        <v>138.99700000000001</v>
      </c>
      <c r="G289" s="1500">
        <v>139.238</v>
      </c>
      <c r="H289" s="1500">
        <v>137.351</v>
      </c>
      <c r="I289" s="1500">
        <v>157.95699999999999</v>
      </c>
      <c r="J289" s="1306">
        <f t="shared" ref="J289:P289" si="158">J265/J29</f>
        <v>160.89702056781783</v>
      </c>
      <c r="K289" s="1306">
        <f t="shared" si="158"/>
        <v>156.03862878283073</v>
      </c>
      <c r="L289" s="1306">
        <f t="shared" si="158"/>
        <v>150.55606757835511</v>
      </c>
      <c r="M289" s="1306">
        <f t="shared" si="158"/>
        <v>146.0046845712036</v>
      </c>
      <c r="N289" s="1306">
        <f t="shared" si="158"/>
        <v>142.3071046337657</v>
      </c>
      <c r="O289" s="1306">
        <f t="shared" si="158"/>
        <v>138.70072776827811</v>
      </c>
      <c r="P289" s="1306">
        <f t="shared" si="158"/>
        <v>135.18338768671734</v>
      </c>
      <c r="Q289" s="1203"/>
      <c r="R289" s="1203"/>
      <c r="S289" s="1203"/>
      <c r="T289" s="1203"/>
      <c r="U289" s="1203"/>
      <c r="V289" s="1203"/>
      <c r="W289" s="1203"/>
      <c r="X289" s="1203"/>
      <c r="Y289" s="1203"/>
      <c r="Z289" s="1203"/>
      <c r="AA289" s="1203"/>
      <c r="AB289" s="1203"/>
      <c r="AC289" s="1203"/>
      <c r="AD289" s="1203"/>
      <c r="AE289" s="1203"/>
      <c r="AF289" s="1203"/>
      <c r="AG289" s="1203"/>
      <c r="AH289" s="1203"/>
      <c r="AI289" s="1203"/>
      <c r="AJ289" s="1203"/>
      <c r="AK289" s="1203"/>
      <c r="AL289" s="1203"/>
      <c r="AM289" s="1203"/>
      <c r="AN289" s="1203"/>
      <c r="AO289" s="1203"/>
      <c r="AP289" s="1203"/>
      <c r="AQ289" s="1203"/>
      <c r="AR289" s="1203"/>
      <c r="AS289" s="1203"/>
    </row>
    <row r="290" spans="1:45">
      <c r="A290" s="1203"/>
      <c r="B290" s="1203" t="s">
        <v>7774</v>
      </c>
      <c r="C290" s="1203"/>
      <c r="D290" s="1203"/>
      <c r="E290" s="1203"/>
      <c r="F290" s="1672"/>
      <c r="G290" s="1825">
        <v>6.2000000000000006E-2</v>
      </c>
      <c r="H290" s="1825">
        <v>2.7999999999999997E-2</v>
      </c>
      <c r="I290" s="1825">
        <v>-3.1000000000000003E-2</v>
      </c>
      <c r="J290" s="1307"/>
      <c r="K290" s="1307"/>
      <c r="L290" s="1307"/>
      <c r="M290" s="1307"/>
      <c r="N290" s="1307"/>
      <c r="O290" s="1307"/>
      <c r="P290" s="1307"/>
      <c r="Q290" s="1203"/>
      <c r="R290" s="1203"/>
      <c r="S290" s="1203"/>
      <c r="T290" s="1203"/>
      <c r="U290" s="1203"/>
      <c r="V290" s="1203"/>
      <c r="W290" s="1203"/>
      <c r="X290" s="1203"/>
      <c r="Y290" s="1203"/>
      <c r="Z290" s="1203"/>
      <c r="AA290" s="1203"/>
      <c r="AB290" s="1203"/>
      <c r="AC290" s="1203"/>
      <c r="AD290" s="1203"/>
      <c r="AE290" s="1203"/>
      <c r="AF290" s="1203"/>
      <c r="AG290" s="1203"/>
      <c r="AH290" s="1203"/>
      <c r="AI290" s="1203"/>
      <c r="AJ290" s="1203"/>
      <c r="AK290" s="1203"/>
      <c r="AL290" s="1203"/>
      <c r="AM290" s="1203"/>
      <c r="AN290" s="1203"/>
      <c r="AO290" s="1203"/>
      <c r="AP290" s="1203"/>
      <c r="AQ290" s="1203"/>
      <c r="AR290" s="1203"/>
      <c r="AS290" s="1203"/>
    </row>
    <row r="291" spans="1:45">
      <c r="A291" s="1203"/>
      <c r="B291" s="1203" t="s">
        <v>8</v>
      </c>
      <c r="C291" s="1203"/>
      <c r="D291" s="1203"/>
      <c r="E291" s="1203"/>
      <c r="F291" s="1500">
        <v>36.331000000000003</v>
      </c>
      <c r="G291" s="1500">
        <v>43.526000000000003</v>
      </c>
      <c r="H291" s="1500">
        <v>44.859000000000002</v>
      </c>
      <c r="I291" s="1500">
        <v>56.527999999999999</v>
      </c>
      <c r="J291" s="1306">
        <f t="shared" ref="J291:P291" si="159">J267/J29</f>
        <v>58.312965390520297</v>
      </c>
      <c r="K291" s="1306">
        <f t="shared" si="159"/>
        <v>57.33348586259968</v>
      </c>
      <c r="L291" s="1306">
        <f t="shared" si="159"/>
        <v>56.073140862340615</v>
      </c>
      <c r="M291" s="1306">
        <f t="shared" si="159"/>
        <v>55.109142845426135</v>
      </c>
      <c r="N291" s="1306">
        <f t="shared" si="159"/>
        <v>54.425892174895907</v>
      </c>
      <c r="O291" s="1306">
        <f t="shared" si="159"/>
        <v>53.740967787550431</v>
      </c>
      <c r="P291" s="1306">
        <f t="shared" si="159"/>
        <v>53.05488859541282</v>
      </c>
      <c r="Q291" s="1203"/>
      <c r="R291" s="1203"/>
      <c r="S291" s="1203"/>
      <c r="T291" s="1203"/>
      <c r="U291" s="1203"/>
      <c r="V291" s="1203"/>
      <c r="W291" s="1203"/>
      <c r="X291" s="1203"/>
      <c r="Y291" s="1203"/>
      <c r="Z291" s="1203"/>
      <c r="AA291" s="1203"/>
      <c r="AB291" s="1203"/>
      <c r="AC291" s="1203"/>
      <c r="AD291" s="1203"/>
      <c r="AE291" s="1203"/>
      <c r="AF291" s="1203"/>
      <c r="AG291" s="1203"/>
      <c r="AH291" s="1203"/>
      <c r="AI291" s="1203"/>
      <c r="AJ291" s="1203"/>
      <c r="AK291" s="1203"/>
      <c r="AL291" s="1203"/>
      <c r="AM291" s="1203"/>
      <c r="AN291" s="1203"/>
      <c r="AO291" s="1203"/>
      <c r="AP291" s="1203"/>
      <c r="AQ291" s="1203"/>
      <c r="AR291" s="1203"/>
      <c r="AS291" s="1203"/>
    </row>
    <row r="292" spans="1:45">
      <c r="A292" s="1203"/>
      <c r="B292" s="1203" t="s">
        <v>7774</v>
      </c>
      <c r="C292" s="1203"/>
      <c r="D292" s="1203"/>
      <c r="E292" s="1203"/>
      <c r="F292" s="1672"/>
      <c r="G292" s="1825">
        <v>0.27899999999999997</v>
      </c>
      <c r="H292" s="1825">
        <v>7.2999999999999995E-2</v>
      </c>
      <c r="I292" s="1825">
        <v>6.0999999999999999E-2</v>
      </c>
      <c r="J292" s="1307"/>
      <c r="K292" s="1307"/>
      <c r="L292" s="1307"/>
      <c r="M292" s="1307"/>
      <c r="N292" s="1307"/>
      <c r="O292" s="1307"/>
      <c r="P292" s="1307"/>
      <c r="Q292" s="1203"/>
      <c r="R292" s="1203"/>
      <c r="S292" s="1203"/>
      <c r="T292" s="1203"/>
      <c r="U292" s="1203"/>
      <c r="V292" s="1203"/>
      <c r="W292" s="1203"/>
      <c r="X292" s="1203"/>
      <c r="Y292" s="1203"/>
      <c r="Z292" s="1203"/>
      <c r="AA292" s="1203"/>
      <c r="AB292" s="1203"/>
      <c r="AC292" s="1203"/>
      <c r="AD292" s="1203"/>
      <c r="AE292" s="1203"/>
      <c r="AF292" s="1203"/>
      <c r="AG292" s="1203"/>
      <c r="AH292" s="1203"/>
      <c r="AI292" s="1203"/>
      <c r="AJ292" s="1203"/>
      <c r="AK292" s="1203"/>
      <c r="AL292" s="1203"/>
      <c r="AM292" s="1203"/>
      <c r="AN292" s="1203"/>
      <c r="AO292" s="1203"/>
      <c r="AP292" s="1203"/>
      <c r="AQ292" s="1203"/>
      <c r="AR292" s="1203"/>
      <c r="AS292" s="1203"/>
    </row>
    <row r="293" spans="1:45">
      <c r="A293" s="1203"/>
      <c r="B293" s="1203" t="s">
        <v>7779</v>
      </c>
      <c r="C293" s="1203"/>
      <c r="D293" s="1203"/>
      <c r="E293" s="1203"/>
      <c r="F293" s="1306">
        <f>F269/F299</f>
        <v>20.307829999999999</v>
      </c>
      <c r="G293" s="1306">
        <f>G269/G299</f>
        <v>20.485164999999995</v>
      </c>
      <c r="H293" s="1306">
        <f>H269/H299</f>
        <v>19.959829999999997</v>
      </c>
      <c r="I293" s="1306">
        <f>I269/I299</f>
        <v>22.921455000000002</v>
      </c>
      <c r="J293" s="1306">
        <f t="shared" ref="J293:P293" si="160">J269/J29</f>
        <v>23.258343900734737</v>
      </c>
      <c r="K293" s="1306">
        <f t="shared" si="160"/>
        <v>22.070929631946434</v>
      </c>
      <c r="L293" s="1306">
        <f t="shared" si="160"/>
        <v>21.328452920057266</v>
      </c>
      <c r="M293" s="1306">
        <f t="shared" si="160"/>
        <v>20.714920666897044</v>
      </c>
      <c r="N293" s="1306">
        <f t="shared" si="160"/>
        <v>20.220024724671948</v>
      </c>
      <c r="O293" s="1306">
        <f t="shared" si="160"/>
        <v>19.735945791845925</v>
      </c>
      <c r="P293" s="1306">
        <f t="shared" si="160"/>
        <v>19.262495772254965</v>
      </c>
      <c r="Q293" s="1203"/>
      <c r="R293" s="1203"/>
      <c r="S293" s="1203"/>
      <c r="T293" s="1203"/>
      <c r="U293" s="1203"/>
      <c r="V293" s="1203"/>
      <c r="W293" s="1203"/>
      <c r="X293" s="1203"/>
      <c r="Y293" s="1203"/>
      <c r="Z293" s="1203"/>
      <c r="AA293" s="1203"/>
      <c r="AB293" s="1203"/>
      <c r="AC293" s="1203"/>
      <c r="AD293" s="1203"/>
      <c r="AE293" s="1203"/>
      <c r="AF293" s="1203"/>
      <c r="AG293" s="1203"/>
      <c r="AH293" s="1203"/>
      <c r="AI293" s="1203"/>
      <c r="AJ293" s="1203"/>
      <c r="AK293" s="1203"/>
      <c r="AL293" s="1203"/>
      <c r="AM293" s="1203"/>
      <c r="AN293" s="1203"/>
      <c r="AO293" s="1203"/>
      <c r="AP293" s="1203"/>
      <c r="AQ293" s="1203"/>
      <c r="AR293" s="1203"/>
      <c r="AS293" s="1203"/>
    </row>
    <row r="294" spans="1:45">
      <c r="A294" s="1203"/>
      <c r="B294" s="1203" t="s">
        <v>27</v>
      </c>
      <c r="C294" s="1203"/>
      <c r="D294" s="1203"/>
      <c r="E294" s="1203"/>
      <c r="F294" s="1306">
        <f t="shared" ref="F294:H294" si="161">F291-F293</f>
        <v>16.023170000000004</v>
      </c>
      <c r="G294" s="1306">
        <f t="shared" si="161"/>
        <v>23.040835000000008</v>
      </c>
      <c r="H294" s="1306">
        <f t="shared" si="161"/>
        <v>24.899170000000005</v>
      </c>
      <c r="I294" s="1306">
        <f>I291-I293</f>
        <v>33.606544999999997</v>
      </c>
      <c r="J294" s="1306">
        <f t="shared" ref="J294" si="162">J291-J293</f>
        <v>35.054621489785561</v>
      </c>
      <c r="K294" s="1306">
        <f t="shared" ref="K294" si="163">K291-K293</f>
        <v>35.262556230653246</v>
      </c>
      <c r="L294" s="1306">
        <f t="shared" ref="L294" si="164">L291-L293</f>
        <v>34.744687942283349</v>
      </c>
      <c r="M294" s="1306">
        <f t="shared" ref="M294" si="165">M291-M293</f>
        <v>34.394222178529091</v>
      </c>
      <c r="N294" s="1306">
        <f t="shared" ref="N294" si="166">N291-N293</f>
        <v>34.205867450223963</v>
      </c>
      <c r="O294" s="1306">
        <f t="shared" ref="O294" si="167">O291-O293</f>
        <v>34.00502199570451</v>
      </c>
      <c r="P294" s="1306">
        <f t="shared" ref="P294" si="168">P291-P293</f>
        <v>33.792392823157854</v>
      </c>
      <c r="Q294" s="1203"/>
      <c r="R294" s="1203"/>
      <c r="S294" s="1203"/>
      <c r="T294" s="1203"/>
      <c r="U294" s="1203"/>
      <c r="V294" s="1203"/>
      <c r="W294" s="1203"/>
      <c r="X294" s="1203"/>
      <c r="Y294" s="1203"/>
      <c r="Z294" s="1203"/>
      <c r="AA294" s="1203"/>
      <c r="AB294" s="1203"/>
      <c r="AC294" s="1203"/>
      <c r="AD294" s="1203"/>
      <c r="AE294" s="1203"/>
      <c r="AF294" s="1203"/>
      <c r="AG294" s="1203"/>
      <c r="AH294" s="1203"/>
      <c r="AI294" s="1203"/>
      <c r="AJ294" s="1203"/>
      <c r="AK294" s="1203"/>
      <c r="AL294" s="1203"/>
      <c r="AM294" s="1203"/>
      <c r="AN294" s="1203"/>
      <c r="AO294" s="1203"/>
      <c r="AP294" s="1203"/>
      <c r="AQ294" s="1203"/>
      <c r="AR294" s="1203"/>
      <c r="AS294" s="1203"/>
    </row>
    <row r="295" spans="1:45">
      <c r="A295" s="1203"/>
      <c r="B295" s="1203" t="s">
        <v>7780</v>
      </c>
      <c r="C295" s="1203"/>
      <c r="D295" s="1203"/>
      <c r="E295" s="1203"/>
      <c r="F295" s="1203">
        <f>F271/F299</f>
        <v>0</v>
      </c>
      <c r="G295" s="1500">
        <f>G271/G299</f>
        <v>124.08833787615032</v>
      </c>
      <c r="H295" s="1500">
        <f>H271/H299</f>
        <v>132.02320390088042</v>
      </c>
      <c r="I295" s="1500">
        <f>I271/I299</f>
        <v>141.9094981275237</v>
      </c>
      <c r="J295" s="1306">
        <f t="shared" ref="J295:P295" si="169">J271/J29</f>
        <v>149.74694505917446</v>
      </c>
      <c r="K295" s="1306">
        <f t="shared" si="169"/>
        <v>146.81073045017104</v>
      </c>
      <c r="L295" s="1306">
        <f t="shared" si="169"/>
        <v>143.93208867663824</v>
      </c>
      <c r="M295" s="1306">
        <f t="shared" si="169"/>
        <v>141.10989085944928</v>
      </c>
      <c r="N295" s="1306">
        <f t="shared" si="169"/>
        <v>138.34303025436202</v>
      </c>
      <c r="O295" s="1306">
        <f t="shared" si="169"/>
        <v>135.63042181800199</v>
      </c>
      <c r="P295" s="1306">
        <f t="shared" si="169"/>
        <v>132.9710017823549</v>
      </c>
      <c r="Q295" s="1203"/>
      <c r="R295" s="1203"/>
      <c r="S295" s="1203"/>
      <c r="T295" s="1203"/>
      <c r="U295" s="1203"/>
      <c r="V295" s="1203"/>
      <c r="W295" s="1203"/>
      <c r="X295" s="1203"/>
      <c r="Y295" s="1203"/>
      <c r="Z295" s="1203"/>
      <c r="AA295" s="1203"/>
      <c r="AB295" s="1203"/>
      <c r="AC295" s="1203"/>
      <c r="AD295" s="1203"/>
      <c r="AE295" s="1203"/>
      <c r="AF295" s="1203"/>
      <c r="AG295" s="1203"/>
      <c r="AH295" s="1203"/>
      <c r="AI295" s="1203"/>
      <c r="AJ295" s="1203"/>
      <c r="AK295" s="1203"/>
      <c r="AL295" s="1203"/>
      <c r="AM295" s="1203"/>
      <c r="AN295" s="1203"/>
      <c r="AO295" s="1203"/>
      <c r="AP295" s="1203"/>
      <c r="AQ295" s="1203"/>
      <c r="AR295" s="1203"/>
      <c r="AS295" s="1203"/>
    </row>
    <row r="296" spans="1:45">
      <c r="A296" s="1203"/>
      <c r="B296" s="1203" t="s">
        <v>707</v>
      </c>
      <c r="C296" s="1203"/>
      <c r="D296" s="1203"/>
      <c r="E296" s="1203"/>
      <c r="F296" s="1500">
        <f>F272/F299</f>
        <v>0</v>
      </c>
      <c r="G296" s="1500">
        <f>G272/G299</f>
        <v>6.0042744133621122</v>
      </c>
      <c r="H296" s="1500">
        <f>H272/H299</f>
        <v>5.0008789356394097</v>
      </c>
      <c r="I296" s="1500">
        <f>I272/I299</f>
        <v>8.9942639658289671</v>
      </c>
      <c r="J296" s="1306">
        <f t="shared" ref="J296:P296" si="170">J272/J29</f>
        <v>9.4910035600885223</v>
      </c>
      <c r="K296" s="1306">
        <f t="shared" si="170"/>
        <v>9.304905451067178</v>
      </c>
      <c r="L296" s="1306">
        <f t="shared" si="170"/>
        <v>9.1224563245756638</v>
      </c>
      <c r="M296" s="1306">
        <f t="shared" si="170"/>
        <v>8.9435846319369254</v>
      </c>
      <c r="N296" s="1306">
        <f t="shared" si="170"/>
        <v>8.7682202273891434</v>
      </c>
      <c r="O296" s="1306">
        <f t="shared" si="170"/>
        <v>8.5962943405775913</v>
      </c>
      <c r="P296" s="1306">
        <f t="shared" si="170"/>
        <v>8.4277395495858727</v>
      </c>
      <c r="Q296" s="1203"/>
      <c r="R296" s="1203"/>
      <c r="S296" s="1203"/>
      <c r="T296" s="1203"/>
      <c r="U296" s="1203"/>
      <c r="V296" s="1203"/>
      <c r="W296" s="1203"/>
      <c r="X296" s="1203"/>
      <c r="Y296" s="1203"/>
      <c r="Z296" s="1203"/>
      <c r="AA296" s="1203"/>
      <c r="AB296" s="1203"/>
      <c r="AC296" s="1203"/>
      <c r="AD296" s="1203"/>
      <c r="AE296" s="1203"/>
      <c r="AF296" s="1203"/>
      <c r="AG296" s="1203"/>
      <c r="AH296" s="1203"/>
      <c r="AI296" s="1203"/>
      <c r="AJ296" s="1203"/>
      <c r="AK296" s="1203"/>
      <c r="AL296" s="1203"/>
      <c r="AM296" s="1203"/>
      <c r="AN296" s="1203"/>
      <c r="AO296" s="1203"/>
      <c r="AP296" s="1203"/>
      <c r="AQ296" s="1203"/>
      <c r="AR296" s="1203"/>
      <c r="AS296" s="1203"/>
    </row>
    <row r="297" spans="1:45">
      <c r="A297" s="1203"/>
      <c r="B297" s="1203" t="s">
        <v>115</v>
      </c>
      <c r="C297" s="1203"/>
      <c r="D297" s="1203"/>
      <c r="E297" s="1203"/>
      <c r="F297" s="1500">
        <f t="shared" ref="F297:H297" si="171">F295-F296</f>
        <v>0</v>
      </c>
      <c r="G297" s="1306">
        <f t="shared" si="171"/>
        <v>118.08406346278821</v>
      </c>
      <c r="H297" s="1306">
        <f t="shared" si="171"/>
        <v>127.02232496524101</v>
      </c>
      <c r="I297" s="1306">
        <f>I295-I296</f>
        <v>132.91523416169474</v>
      </c>
      <c r="J297" s="1306">
        <f t="shared" ref="J297" si="172">J295-J296</f>
        <v>140.25594149908594</v>
      </c>
      <c r="K297" s="1306">
        <f t="shared" ref="K297" si="173">K295-K296</f>
        <v>137.50582499910385</v>
      </c>
      <c r="L297" s="1306">
        <f t="shared" ref="L297" si="174">L295-L296</f>
        <v>134.80963235206258</v>
      </c>
      <c r="M297" s="1306">
        <f t="shared" ref="M297" si="175">M295-M296</f>
        <v>132.16630622751237</v>
      </c>
      <c r="N297" s="1306">
        <f t="shared" ref="N297" si="176">N295-N296</f>
        <v>129.57481002697287</v>
      </c>
      <c r="O297" s="1306">
        <f t="shared" ref="O297" si="177">O295-O296</f>
        <v>127.03412747742441</v>
      </c>
      <c r="P297" s="1306">
        <f t="shared" ref="P297" si="178">P295-P296</f>
        <v>124.54326223276902</v>
      </c>
      <c r="Q297" s="1203"/>
      <c r="R297" s="1203"/>
      <c r="S297" s="1203"/>
      <c r="T297" s="1203"/>
      <c r="U297" s="1203"/>
      <c r="V297" s="1203"/>
      <c r="W297" s="1203"/>
      <c r="X297" s="1203"/>
      <c r="Y297" s="1203"/>
      <c r="Z297" s="1203"/>
      <c r="AA297" s="1203"/>
      <c r="AB297" s="1203"/>
      <c r="AC297" s="1203"/>
      <c r="AD297" s="1203"/>
      <c r="AE297" s="1203"/>
      <c r="AF297" s="1203"/>
      <c r="AG297" s="1203"/>
      <c r="AH297" s="1203"/>
      <c r="AI297" s="1203"/>
      <c r="AJ297" s="1203"/>
      <c r="AK297" s="1203"/>
      <c r="AL297" s="1203"/>
      <c r="AM297" s="1203"/>
      <c r="AN297" s="1203"/>
      <c r="AO297" s="1203"/>
      <c r="AP297" s="1203"/>
      <c r="AQ297" s="1203"/>
      <c r="AR297" s="1203"/>
      <c r="AS297" s="1203"/>
    </row>
    <row r="298" spans="1:45">
      <c r="A298" s="1203"/>
      <c r="B298" s="1203" t="s">
        <v>6838</v>
      </c>
      <c r="C298" s="1203"/>
      <c r="D298" s="1203"/>
      <c r="E298" s="1203"/>
      <c r="F298" s="1217">
        <f t="shared" ref="F298:H298" si="179">F297/F291</f>
        <v>0</v>
      </c>
      <c r="G298" s="1217">
        <f t="shared" si="179"/>
        <v>2.7129546354543996</v>
      </c>
      <c r="H298" s="1217">
        <f t="shared" si="179"/>
        <v>2.831590649930694</v>
      </c>
      <c r="I298" s="1217">
        <f>I297/I291</f>
        <v>2.3513167662343397</v>
      </c>
      <c r="J298" s="1217"/>
      <c r="K298" s="1217"/>
      <c r="L298" s="1217"/>
      <c r="M298" s="1217"/>
      <c r="N298" s="1217"/>
      <c r="O298" s="1217"/>
      <c r="P298" s="1217"/>
      <c r="Q298" s="1203"/>
      <c r="R298" s="1203"/>
      <c r="S298" s="1203"/>
      <c r="T298" s="1203"/>
      <c r="U298" s="1203"/>
      <c r="V298" s="1203"/>
      <c r="W298" s="1203"/>
      <c r="X298" s="1203"/>
      <c r="Y298" s="1203"/>
      <c r="Z298" s="1203"/>
      <c r="AA298" s="1203"/>
      <c r="AB298" s="1203"/>
      <c r="AC298" s="1203"/>
      <c r="AD298" s="1203"/>
      <c r="AE298" s="1203"/>
      <c r="AF298" s="1203"/>
      <c r="AG298" s="1203"/>
      <c r="AH298" s="1203"/>
      <c r="AI298" s="1203"/>
      <c r="AJ298" s="1203"/>
      <c r="AK298" s="1203"/>
      <c r="AL298" s="1203"/>
      <c r="AM298" s="1203"/>
      <c r="AN298" s="1203"/>
      <c r="AO298" s="1203"/>
      <c r="AP298" s="1203"/>
      <c r="AQ298" s="1203"/>
      <c r="AR298" s="1203"/>
      <c r="AS298" s="1203"/>
    </row>
    <row r="299" spans="1:45">
      <c r="A299" s="1203"/>
      <c r="B299" s="1203" t="s">
        <v>7781</v>
      </c>
      <c r="C299" s="1203"/>
      <c r="D299" s="1203"/>
      <c r="E299" s="1203"/>
      <c r="F299" s="1341">
        <f>F264/F288</f>
        <v>589.10363859654126</v>
      </c>
      <c r="G299" s="1341">
        <f>G264/G288</f>
        <v>624.55506558038473</v>
      </c>
      <c r="H299" s="1341">
        <f>H264/H288</f>
        <v>650.88558269283863</v>
      </c>
      <c r="I299" s="1341">
        <f>I264/I288</f>
        <v>548.34948348610499</v>
      </c>
      <c r="J299" s="1203"/>
      <c r="K299" s="1203"/>
      <c r="L299" s="1203"/>
      <c r="M299" s="1203"/>
      <c r="N299" s="1203"/>
      <c r="O299" s="1203"/>
      <c r="P299" s="1203"/>
      <c r="Q299" s="1203"/>
      <c r="R299" s="1203"/>
      <c r="S299" s="1203"/>
      <c r="T299" s="1203"/>
      <c r="U299" s="1203"/>
      <c r="V299" s="1203"/>
      <c r="W299" s="1203"/>
      <c r="X299" s="1203"/>
      <c r="Y299" s="1203"/>
      <c r="Z299" s="1203"/>
      <c r="AA299" s="1203"/>
      <c r="AB299" s="1203"/>
      <c r="AC299" s="1203"/>
      <c r="AD299" s="1203"/>
      <c r="AE299" s="1203"/>
      <c r="AF299" s="1203"/>
      <c r="AG299" s="1203"/>
      <c r="AH299" s="1203"/>
      <c r="AI299" s="1203"/>
      <c r="AJ299" s="1203"/>
      <c r="AK299" s="1203"/>
      <c r="AL299" s="1203"/>
      <c r="AM299" s="1203"/>
      <c r="AN299" s="1203"/>
      <c r="AO299" s="1203"/>
      <c r="AP299" s="1203"/>
      <c r="AQ299" s="1203"/>
      <c r="AR299" s="1203"/>
      <c r="AS299" s="1203"/>
    </row>
    <row r="300" spans="1:45">
      <c r="A300" s="1203"/>
      <c r="B300" s="1203"/>
      <c r="C300" s="1203"/>
      <c r="D300" s="1203"/>
      <c r="E300" s="1203"/>
      <c r="F300" s="1341"/>
      <c r="G300" s="1341"/>
      <c r="H300" s="1341"/>
      <c r="I300" s="1341"/>
      <c r="J300" s="1203"/>
      <c r="K300" s="1203"/>
      <c r="L300" s="1203"/>
      <c r="M300" s="1203"/>
      <c r="N300" s="1203"/>
      <c r="O300" s="1203"/>
      <c r="P300" s="1203"/>
      <c r="Q300" s="1203"/>
      <c r="R300" s="1203"/>
      <c r="S300" s="1203"/>
      <c r="T300" s="1203"/>
      <c r="U300" s="1203"/>
      <c r="V300" s="1203"/>
      <c r="W300" s="1203"/>
      <c r="X300" s="1203"/>
      <c r="Y300" s="1203"/>
      <c r="Z300" s="1203"/>
      <c r="AA300" s="1203"/>
      <c r="AB300" s="1203"/>
      <c r="AC300" s="1203"/>
      <c r="AD300" s="1203"/>
      <c r="AE300" s="1203"/>
      <c r="AF300" s="1203"/>
      <c r="AG300" s="1203"/>
      <c r="AH300" s="1203"/>
      <c r="AI300" s="1203"/>
      <c r="AJ300" s="1203"/>
      <c r="AK300" s="1203"/>
      <c r="AL300" s="1203"/>
      <c r="AM300" s="1203"/>
      <c r="AN300" s="1203"/>
      <c r="AO300" s="1203"/>
      <c r="AP300" s="1203"/>
      <c r="AQ300" s="1203"/>
      <c r="AR300" s="1203"/>
      <c r="AS300" s="1203"/>
    </row>
    <row r="301" spans="1:45">
      <c r="A301" s="1203"/>
      <c r="B301" s="1203"/>
      <c r="C301" s="1203"/>
      <c r="D301" s="1203"/>
      <c r="E301" s="1203"/>
      <c r="F301" s="1203"/>
      <c r="G301" s="1203"/>
      <c r="H301" s="1203"/>
      <c r="I301" s="1203"/>
      <c r="J301" s="1203"/>
      <c r="K301" s="1203"/>
      <c r="L301" s="1203"/>
      <c r="M301" s="1203"/>
      <c r="N301" s="1203"/>
      <c r="O301" s="1203"/>
      <c r="P301" s="1203"/>
      <c r="Q301" s="1203"/>
      <c r="R301" s="1203"/>
      <c r="S301" s="1203"/>
      <c r="T301" s="1203"/>
      <c r="U301" s="1203"/>
      <c r="V301" s="1203"/>
      <c r="W301" s="1203"/>
      <c r="X301" s="1203"/>
      <c r="Y301" s="1203"/>
      <c r="Z301" s="1203"/>
      <c r="AA301" s="1203"/>
      <c r="AB301" s="1203"/>
      <c r="AC301" s="1203"/>
      <c r="AD301" s="1203"/>
      <c r="AE301" s="1203"/>
      <c r="AF301" s="1203"/>
      <c r="AG301" s="1203"/>
      <c r="AH301" s="1203"/>
      <c r="AI301" s="1203"/>
      <c r="AJ301" s="1203"/>
      <c r="AK301" s="1203"/>
      <c r="AL301" s="1203"/>
      <c r="AM301" s="1203"/>
      <c r="AN301" s="1203"/>
      <c r="AO301" s="1203"/>
      <c r="AP301" s="1203"/>
      <c r="AQ301" s="1203"/>
      <c r="AR301" s="1203"/>
      <c r="AS301" s="1203"/>
    </row>
    <row r="303" spans="1:45" ht="15.75">
      <c r="B303" s="1167" t="s">
        <v>7782</v>
      </c>
    </row>
    <row r="305" spans="2:16">
      <c r="B305" s="12" t="s">
        <v>3471</v>
      </c>
    </row>
    <row r="306" spans="2:16">
      <c r="B306" s="12"/>
    </row>
    <row r="307" spans="2:16">
      <c r="B307" t="s">
        <v>7783</v>
      </c>
      <c r="G307">
        <f t="shared" ref="G307:P307" si="180">G123</f>
        <v>161.9</v>
      </c>
      <c r="H307">
        <f t="shared" si="180"/>
        <v>285.29999999999995</v>
      </c>
      <c r="I307">
        <f t="shared" si="180"/>
        <v>297.60000000000002</v>
      </c>
      <c r="J307" s="62">
        <f t="shared" si="180"/>
        <v>305.05163262651735</v>
      </c>
      <c r="K307" s="62">
        <f t="shared" si="180"/>
        <v>316.74130332616232</v>
      </c>
      <c r="L307" s="62">
        <f t="shared" si="180"/>
        <v>330.67786022223868</v>
      </c>
      <c r="M307" s="62">
        <f t="shared" si="180"/>
        <v>345.54992065842669</v>
      </c>
      <c r="N307" s="62">
        <f t="shared" si="180"/>
        <v>360.59598276152377</v>
      </c>
      <c r="O307" s="62">
        <f t="shared" si="180"/>
        <v>376.23753602290333</v>
      </c>
      <c r="P307" s="62">
        <f t="shared" si="180"/>
        <v>392.54741823223958</v>
      </c>
    </row>
    <row r="308" spans="2:16">
      <c r="B308" t="s">
        <v>7772</v>
      </c>
      <c r="G308" s="62">
        <f>G264/1000</f>
        <v>88.23526600000001</v>
      </c>
      <c r="H308" s="62">
        <f>H264/1000</f>
        <v>89.597003999999998</v>
      </c>
      <c r="I308" s="62">
        <f>I264/1000</f>
        <v>86.682537999999994</v>
      </c>
      <c r="J308" s="62">
        <f t="shared" ref="J308:P308" si="181">J264/1000</f>
        <v>83.677103738066535</v>
      </c>
      <c r="K308" s="62">
        <f t="shared" si="181"/>
        <v>82.77414991593794</v>
      </c>
      <c r="L308" s="62">
        <f t="shared" si="181"/>
        <v>81.464180521982769</v>
      </c>
      <c r="M308" s="62">
        <f t="shared" si="181"/>
        <v>80.582233969551112</v>
      </c>
      <c r="N308" s="62">
        <f t="shared" si="181"/>
        <v>80.112702833749751</v>
      </c>
      <c r="O308" s="62">
        <f t="shared" si="181"/>
        <v>79.644510793967441</v>
      </c>
      <c r="P308" s="62">
        <f t="shared" si="181"/>
        <v>79.177678021397398</v>
      </c>
    </row>
    <row r="309" spans="2:16">
      <c r="B309" s="1429" t="s">
        <v>17</v>
      </c>
      <c r="C309" s="1429"/>
      <c r="D309" s="1429"/>
      <c r="E309" s="1429"/>
      <c r="F309" s="1429"/>
      <c r="G309" s="1826">
        <f>G307+G308</f>
        <v>250.135266</v>
      </c>
      <c r="H309" s="1826">
        <f>H307+H308</f>
        <v>374.89700399999992</v>
      </c>
      <c r="I309" s="1826">
        <f>I307+I308</f>
        <v>384.28253800000005</v>
      </c>
      <c r="J309" s="1826">
        <f t="shared" ref="J309:P309" si="182">J307+J308</f>
        <v>388.72873636458388</v>
      </c>
      <c r="K309" s="1826">
        <f t="shared" si="182"/>
        <v>399.51545324210025</v>
      </c>
      <c r="L309" s="1826">
        <f t="shared" si="182"/>
        <v>412.14204074422145</v>
      </c>
      <c r="M309" s="1826">
        <f t="shared" si="182"/>
        <v>426.1321546279778</v>
      </c>
      <c r="N309" s="1826">
        <f t="shared" si="182"/>
        <v>440.70868559527355</v>
      </c>
      <c r="O309" s="1826">
        <f t="shared" si="182"/>
        <v>455.8820468168708</v>
      </c>
      <c r="P309" s="1826">
        <f t="shared" si="182"/>
        <v>471.72509625363699</v>
      </c>
    </row>
    <row r="311" spans="2:16">
      <c r="B311" t="s">
        <v>7783</v>
      </c>
      <c r="G311" s="558">
        <f t="shared" ref="G311:P311" si="183">G151</f>
        <v>74</v>
      </c>
      <c r="H311" s="558">
        <f t="shared" si="183"/>
        <v>87</v>
      </c>
      <c r="I311" s="558">
        <f t="shared" si="183"/>
        <v>110</v>
      </c>
      <c r="J311" s="558">
        <f t="shared" si="183"/>
        <v>112.86910407181142</v>
      </c>
      <c r="K311" s="558">
        <f t="shared" si="183"/>
        <v>117.19428223068006</v>
      </c>
      <c r="L311" s="558">
        <f t="shared" si="183"/>
        <v>125.65758688445069</v>
      </c>
      <c r="M311" s="558">
        <f t="shared" si="183"/>
        <v>131.30896985020215</v>
      </c>
      <c r="N311" s="558">
        <f t="shared" si="183"/>
        <v>137.02647344937904</v>
      </c>
      <c r="O311" s="558">
        <f t="shared" si="183"/>
        <v>142.97026368870326</v>
      </c>
      <c r="P311" s="558">
        <f t="shared" si="183"/>
        <v>149.16801892825103</v>
      </c>
    </row>
    <row r="312" spans="2:16">
      <c r="B312" t="s">
        <v>7772</v>
      </c>
      <c r="G312" s="62">
        <f>G267/1000</f>
        <v>27.195901000000003</v>
      </c>
      <c r="H312" s="62">
        <f>H267/1000</f>
        <v>29.185072999999999</v>
      </c>
      <c r="I312" s="62">
        <f>I267/1000</f>
        <v>30.95729</v>
      </c>
      <c r="J312" s="62">
        <f t="shared" ref="J312:P312" si="184">J267/1000</f>
        <v>30.30233246518387</v>
      </c>
      <c r="K312" s="62">
        <f t="shared" si="184"/>
        <v>30.389212847069921</v>
      </c>
      <c r="L312" s="62">
        <f t="shared" si="184"/>
        <v>30.315599318139562</v>
      </c>
      <c r="M312" s="62">
        <f t="shared" si="184"/>
        <v>30.390308103427422</v>
      </c>
      <c r="N312" s="62">
        <f t="shared" si="184"/>
        <v>30.61379541632645</v>
      </c>
      <c r="O312" s="62">
        <f t="shared" si="184"/>
        <v>30.833105827596619</v>
      </c>
      <c r="P312" s="62">
        <f t="shared" si="184"/>
        <v>31.048267333490859</v>
      </c>
    </row>
    <row r="313" spans="2:16">
      <c r="B313" s="1429" t="s">
        <v>1091</v>
      </c>
      <c r="C313" s="1429"/>
      <c r="D313" s="1429"/>
      <c r="E313" s="1429"/>
      <c r="F313" s="1429"/>
      <c r="G313" s="1826">
        <f>G311+G312</f>
        <v>101.19590100000001</v>
      </c>
      <c r="H313" s="1826">
        <f>H311+H312</f>
        <v>116.185073</v>
      </c>
      <c r="I313" s="1826">
        <f>I311+I312</f>
        <v>140.95729</v>
      </c>
      <c r="J313" s="1826">
        <f t="shared" ref="J313:P313" si="185">J311+J312</f>
        <v>143.17143653699529</v>
      </c>
      <c r="K313" s="1826">
        <f t="shared" si="185"/>
        <v>147.58349507774997</v>
      </c>
      <c r="L313" s="1826">
        <f t="shared" si="185"/>
        <v>155.97318620259026</v>
      </c>
      <c r="M313" s="1826">
        <f t="shared" si="185"/>
        <v>161.69927795362958</v>
      </c>
      <c r="N313" s="1826">
        <f t="shared" si="185"/>
        <v>167.64026886570548</v>
      </c>
      <c r="O313" s="1826">
        <f t="shared" si="185"/>
        <v>173.80336951629988</v>
      </c>
      <c r="P313" s="1826">
        <f t="shared" si="185"/>
        <v>180.21628626174189</v>
      </c>
    </row>
    <row r="314" spans="2:16">
      <c r="B314" t="s">
        <v>18</v>
      </c>
      <c r="G314" s="5">
        <f>G313/G309</f>
        <v>0.40456470860050581</v>
      </c>
      <c r="H314" s="5">
        <f>H313/H309</f>
        <v>0.30991198051825464</v>
      </c>
      <c r="I314" s="5">
        <f>I313/I309</f>
        <v>0.36680638868893906</v>
      </c>
      <c r="J314" s="5">
        <f t="shared" ref="J314:P314" si="186">J313/J309</f>
        <v>0.3683067989157266</v>
      </c>
      <c r="K314" s="5">
        <f t="shared" si="186"/>
        <v>0.36940622416504282</v>
      </c>
      <c r="L314" s="5">
        <f t="shared" si="186"/>
        <v>0.37844522223683663</v>
      </c>
      <c r="M314" s="5">
        <f t="shared" si="186"/>
        <v>0.37945805355804796</v>
      </c>
      <c r="N314" s="5">
        <f t="shared" si="186"/>
        <v>0.38038793957344091</v>
      </c>
      <c r="O314" s="5">
        <f t="shared" si="186"/>
        <v>0.38124635688081226</v>
      </c>
      <c r="P314" s="5">
        <f t="shared" si="186"/>
        <v>0.38203667282701292</v>
      </c>
    </row>
    <row r="316" spans="2:16">
      <c r="B316" t="s">
        <v>7783</v>
      </c>
      <c r="G316" s="558">
        <f t="shared" ref="G316:I317" si="187">G307-G311</f>
        <v>87.9</v>
      </c>
      <c r="H316" s="558">
        <f t="shared" si="187"/>
        <v>198.29999999999995</v>
      </c>
      <c r="I316" s="558">
        <f t="shared" si="187"/>
        <v>187.60000000000002</v>
      </c>
      <c r="J316" s="558">
        <f t="shared" ref="J316:P316" si="188">J307-J311</f>
        <v>192.18252855470593</v>
      </c>
      <c r="K316" s="558">
        <f t="shared" si="188"/>
        <v>199.54702109548225</v>
      </c>
      <c r="L316" s="558">
        <f t="shared" si="188"/>
        <v>205.02027333778798</v>
      </c>
      <c r="M316" s="558">
        <f t="shared" si="188"/>
        <v>214.24095080822454</v>
      </c>
      <c r="N316" s="558">
        <f t="shared" si="188"/>
        <v>223.56950931214473</v>
      </c>
      <c r="O316" s="558">
        <f t="shared" si="188"/>
        <v>233.26727233420007</v>
      </c>
      <c r="P316" s="558">
        <f t="shared" si="188"/>
        <v>243.37939930398855</v>
      </c>
    </row>
    <row r="317" spans="2:16">
      <c r="B317" t="s">
        <v>7772</v>
      </c>
      <c r="G317" s="558">
        <f t="shared" si="187"/>
        <v>61.039365000000004</v>
      </c>
      <c r="H317" s="558">
        <f t="shared" si="187"/>
        <v>60.411930999999996</v>
      </c>
      <c r="I317" s="558">
        <f t="shared" si="187"/>
        <v>55.725247999999993</v>
      </c>
      <c r="J317" s="558">
        <f t="shared" ref="J317:P317" si="189">J308-J312</f>
        <v>53.374771272882668</v>
      </c>
      <c r="K317" s="558">
        <f t="shared" si="189"/>
        <v>52.38493706886802</v>
      </c>
      <c r="L317" s="558">
        <f t="shared" si="189"/>
        <v>51.148581203843207</v>
      </c>
      <c r="M317" s="558">
        <f t="shared" si="189"/>
        <v>50.19192586612369</v>
      </c>
      <c r="N317" s="558">
        <f t="shared" si="189"/>
        <v>49.498907417423297</v>
      </c>
      <c r="O317" s="558">
        <f t="shared" si="189"/>
        <v>48.811404966370823</v>
      </c>
      <c r="P317" s="558">
        <f t="shared" si="189"/>
        <v>48.129410687906542</v>
      </c>
    </row>
    <row r="318" spans="2:16">
      <c r="B318" s="1429" t="s">
        <v>7784</v>
      </c>
      <c r="C318" s="1429"/>
      <c r="D318" s="1429"/>
      <c r="E318" s="1429"/>
      <c r="F318" s="1429"/>
      <c r="G318" s="1826">
        <f>G316+G317</f>
        <v>148.93936500000001</v>
      </c>
      <c r="H318" s="1826">
        <f>H316+H317</f>
        <v>258.71193099999994</v>
      </c>
      <c r="I318" s="1826">
        <f>I316+I317</f>
        <v>243.32524800000002</v>
      </c>
      <c r="J318" s="1826">
        <f t="shared" ref="J318:P318" si="190">J316+J317</f>
        <v>245.55729982758859</v>
      </c>
      <c r="K318" s="1826">
        <f t="shared" si="190"/>
        <v>251.93195816435028</v>
      </c>
      <c r="L318" s="1826">
        <f t="shared" si="190"/>
        <v>256.16885454163116</v>
      </c>
      <c r="M318" s="1826">
        <f t="shared" si="190"/>
        <v>264.43287667434822</v>
      </c>
      <c r="N318" s="1826">
        <f t="shared" si="190"/>
        <v>273.06841672956801</v>
      </c>
      <c r="O318" s="1826">
        <f t="shared" si="190"/>
        <v>282.07867730057092</v>
      </c>
      <c r="P318" s="1826">
        <f t="shared" si="190"/>
        <v>291.50880999189508</v>
      </c>
    </row>
    <row r="320" spans="2:16">
      <c r="B320" t="s">
        <v>7783</v>
      </c>
      <c r="G320" s="558">
        <f t="shared" ref="G320:P320" si="191">G154</f>
        <v>42.2</v>
      </c>
      <c r="H320" s="558">
        <f t="shared" si="191"/>
        <v>42.2</v>
      </c>
      <c r="I320" s="558">
        <f t="shared" si="191"/>
        <v>40.700000000000003</v>
      </c>
      <c r="J320" s="558">
        <f t="shared" si="191"/>
        <v>44.061211393676423</v>
      </c>
      <c r="K320" s="558">
        <f t="shared" si="191"/>
        <v>44.343782465662727</v>
      </c>
      <c r="L320" s="558">
        <f t="shared" si="191"/>
        <v>52.908457635558193</v>
      </c>
      <c r="M320" s="558">
        <f t="shared" si="191"/>
        <v>55.287987305348274</v>
      </c>
      <c r="N320" s="558">
        <f t="shared" si="191"/>
        <v>57.695357241843801</v>
      </c>
      <c r="O320" s="558">
        <f t="shared" si="191"/>
        <v>60.198005763664533</v>
      </c>
      <c r="P320" s="558">
        <f t="shared" si="191"/>
        <v>62.807586917158332</v>
      </c>
    </row>
    <row r="321" spans="2:16">
      <c r="B321" t="s">
        <v>7772</v>
      </c>
      <c r="G321" s="558">
        <f>G269/1000</f>
        <v>12.79411357</v>
      </c>
      <c r="H321" s="558">
        <f>H269/1000</f>
        <v>12.991565579999998</v>
      </c>
      <c r="I321" s="558">
        <f>I269/1000</f>
        <v>12.568968009999999</v>
      </c>
      <c r="J321" s="558">
        <f t="shared" ref="J321:P321" si="192">J269/1000</f>
        <v>12.086198408016806</v>
      </c>
      <c r="K321" s="558">
        <f t="shared" si="192"/>
        <v>11.698541754905785</v>
      </c>
      <c r="L321" s="558">
        <f t="shared" si="192"/>
        <v>11.531097114528032</v>
      </c>
      <c r="M321" s="558">
        <f t="shared" si="192"/>
        <v>11.423382562323892</v>
      </c>
      <c r="N321" s="558">
        <f t="shared" si="192"/>
        <v>11.373478237986339</v>
      </c>
      <c r="O321" s="558">
        <f t="shared" si="192"/>
        <v>11.323214490913291</v>
      </c>
      <c r="P321" s="558">
        <f t="shared" si="192"/>
        <v>11.272610952177535</v>
      </c>
    </row>
    <row r="322" spans="2:16">
      <c r="B322" s="1429" t="s">
        <v>7785</v>
      </c>
      <c r="C322" s="1429"/>
      <c r="D322" s="1429"/>
      <c r="E322" s="1429"/>
      <c r="F322" s="1429"/>
      <c r="G322" s="1826">
        <f>G320+G321</f>
        <v>54.994113570000003</v>
      </c>
      <c r="H322" s="1826">
        <f>H320+H321</f>
        <v>55.191565580000002</v>
      </c>
      <c r="I322" s="1826">
        <f>I320+I321</f>
        <v>53.268968010000002</v>
      </c>
      <c r="J322" s="1826">
        <f t="shared" ref="J322:P322" si="193">J320+J321</f>
        <v>56.147409801693229</v>
      </c>
      <c r="K322" s="1826">
        <f t="shared" si="193"/>
        <v>56.04232422056851</v>
      </c>
      <c r="L322" s="1826">
        <f t="shared" si="193"/>
        <v>64.439554750086231</v>
      </c>
      <c r="M322" s="1826">
        <f t="shared" si="193"/>
        <v>66.711369867672161</v>
      </c>
      <c r="N322" s="1826">
        <f t="shared" si="193"/>
        <v>69.068835479830142</v>
      </c>
      <c r="O322" s="1826">
        <f t="shared" si="193"/>
        <v>71.521220254577827</v>
      </c>
      <c r="P322" s="1826">
        <f t="shared" si="193"/>
        <v>74.080197869335862</v>
      </c>
    </row>
    <row r="323" spans="2:16">
      <c r="B323" t="s">
        <v>4064</v>
      </c>
      <c r="G323" s="5">
        <f>G322/G309</f>
        <v>0.21985749730307921</v>
      </c>
      <c r="H323" s="5">
        <f>H322/H309</f>
        <v>0.14721794250454989</v>
      </c>
      <c r="I323" s="5">
        <f>I322/I309</f>
        <v>0.13861927811562438</v>
      </c>
      <c r="J323" s="5">
        <f t="shared" ref="J323:P323" si="194">J322/J309</f>
        <v>0.14443853656610883</v>
      </c>
      <c r="K323" s="5">
        <f t="shared" si="194"/>
        <v>0.14027573593406842</v>
      </c>
      <c r="L323" s="5">
        <f t="shared" si="194"/>
        <v>0.15635278224401747</v>
      </c>
      <c r="M323" s="5">
        <f t="shared" si="194"/>
        <v>0.15655089423118648</v>
      </c>
      <c r="N323" s="5">
        <f t="shared" si="194"/>
        <v>0.15672220162064099</v>
      </c>
      <c r="O323" s="5">
        <f t="shared" si="194"/>
        <v>0.15688536268090442</v>
      </c>
      <c r="P323" s="5">
        <f t="shared" si="194"/>
        <v>0.15704103609850015</v>
      </c>
    </row>
    <row r="325" spans="2:16">
      <c r="B325" t="s">
        <v>7783</v>
      </c>
      <c r="G325" s="558">
        <f t="shared" ref="G325:I326" si="195">G311-G320</f>
        <v>31.799999999999997</v>
      </c>
      <c r="H325" s="558">
        <f t="shared" si="195"/>
        <v>44.8</v>
      </c>
      <c r="I325" s="558">
        <f t="shared" si="195"/>
        <v>69.3</v>
      </c>
      <c r="J325" s="558">
        <f t="shared" ref="J325:P325" si="196">J311-J320</f>
        <v>68.807892678135005</v>
      </c>
      <c r="K325" s="558">
        <f t="shared" si="196"/>
        <v>72.850499765017332</v>
      </c>
      <c r="L325" s="558">
        <f t="shared" si="196"/>
        <v>72.749129248892501</v>
      </c>
      <c r="M325" s="558">
        <f t="shared" si="196"/>
        <v>76.020982544853865</v>
      </c>
      <c r="N325" s="558">
        <f t="shared" si="196"/>
        <v>79.331116207535246</v>
      </c>
      <c r="O325" s="558">
        <f t="shared" si="196"/>
        <v>82.77225792503873</v>
      </c>
      <c r="P325" s="558">
        <f t="shared" si="196"/>
        <v>86.360432011092698</v>
      </c>
    </row>
    <row r="326" spans="2:16">
      <c r="B326" t="s">
        <v>7772</v>
      </c>
      <c r="G326" s="558">
        <f t="shared" si="195"/>
        <v>14.401787430000002</v>
      </c>
      <c r="H326" s="558">
        <f t="shared" si="195"/>
        <v>16.193507420000003</v>
      </c>
      <c r="I326" s="558">
        <f t="shared" si="195"/>
        <v>18.388321990000001</v>
      </c>
      <c r="J326" s="558">
        <f t="shared" ref="J326:P326" si="197">J312-J321</f>
        <v>18.216134057167064</v>
      </c>
      <c r="K326" s="558">
        <f t="shared" si="197"/>
        <v>18.690671092164138</v>
      </c>
      <c r="L326" s="558">
        <f t="shared" si="197"/>
        <v>18.784502203611531</v>
      </c>
      <c r="M326" s="558">
        <f t="shared" si="197"/>
        <v>18.966925541103528</v>
      </c>
      <c r="N326" s="558">
        <f t="shared" si="197"/>
        <v>19.240317178340113</v>
      </c>
      <c r="O326" s="558">
        <f t="shared" si="197"/>
        <v>19.509891336683328</v>
      </c>
      <c r="P326" s="558">
        <f t="shared" si="197"/>
        <v>19.775656381313325</v>
      </c>
    </row>
    <row r="327" spans="2:16">
      <c r="B327" s="1429" t="s">
        <v>1111</v>
      </c>
      <c r="C327" s="1429"/>
      <c r="D327" s="1429"/>
      <c r="E327" s="1429"/>
      <c r="F327" s="1429"/>
      <c r="G327" s="1826">
        <f>G325+G326</f>
        <v>46.201787429999996</v>
      </c>
      <c r="H327" s="1826">
        <f>H325+H326</f>
        <v>60.99350742</v>
      </c>
      <c r="I327" s="1826">
        <f>I325+I326</f>
        <v>87.688321989999992</v>
      </c>
      <c r="J327" s="1826">
        <f t="shared" ref="J327:P327" si="198">J325+J326</f>
        <v>87.024026735302073</v>
      </c>
      <c r="K327" s="1826">
        <f t="shared" si="198"/>
        <v>91.54117085718147</v>
      </c>
      <c r="L327" s="1826">
        <f t="shared" si="198"/>
        <v>91.533631452504039</v>
      </c>
      <c r="M327" s="1826">
        <f t="shared" si="198"/>
        <v>94.9879080859574</v>
      </c>
      <c r="N327" s="1826">
        <f t="shared" si="198"/>
        <v>98.571433385875366</v>
      </c>
      <c r="O327" s="1826">
        <f t="shared" si="198"/>
        <v>102.28214926172205</v>
      </c>
      <c r="P327" s="1826">
        <f t="shared" si="198"/>
        <v>106.13608839240602</v>
      </c>
    </row>
    <row r="328" spans="2:16">
      <c r="B328" t="s">
        <v>4395</v>
      </c>
      <c r="G328" s="5">
        <f>G327/G309</f>
        <v>0.18470721129742657</v>
      </c>
      <c r="H328" s="5">
        <f>H327/H309</f>
        <v>0.16269403801370472</v>
      </c>
      <c r="I328" s="5">
        <f>I327/I309</f>
        <v>0.22818711057331462</v>
      </c>
      <c r="J328" s="5">
        <f t="shared" ref="J328:P328" si="199">J327/J309</f>
        <v>0.22386826234961779</v>
      </c>
      <c r="K328" s="5">
        <f t="shared" si="199"/>
        <v>0.22913048823097443</v>
      </c>
      <c r="L328" s="5">
        <f t="shared" si="199"/>
        <v>0.22209243999281919</v>
      </c>
      <c r="M328" s="5">
        <f t="shared" si="199"/>
        <v>0.22290715932686145</v>
      </c>
      <c r="N328" s="5">
        <f t="shared" si="199"/>
        <v>0.22366573795279998</v>
      </c>
      <c r="O328" s="5">
        <f t="shared" si="199"/>
        <v>0.22436099419990782</v>
      </c>
      <c r="P328" s="5">
        <f t="shared" si="199"/>
        <v>0.22499563672851275</v>
      </c>
    </row>
    <row r="331" spans="2:16">
      <c r="B331" s="13" t="s">
        <v>399</v>
      </c>
    </row>
    <row r="332" spans="2:16">
      <c r="B332" s="1827" t="s">
        <v>7786</v>
      </c>
      <c r="G332" s="62"/>
      <c r="H332" s="62"/>
      <c r="I332" s="62"/>
      <c r="J332" s="62">
        <f t="shared" ref="J332:P332" si="200">J318+J322</f>
        <v>301.70470962928181</v>
      </c>
      <c r="K332" s="62">
        <f t="shared" si="200"/>
        <v>307.97428238491881</v>
      </c>
      <c r="L332" s="62">
        <f t="shared" si="200"/>
        <v>320.60840929171741</v>
      </c>
      <c r="M332" s="62">
        <f t="shared" si="200"/>
        <v>331.14424654202037</v>
      </c>
      <c r="N332" s="62">
        <f t="shared" si="200"/>
        <v>342.13725220939818</v>
      </c>
      <c r="O332" s="62">
        <f t="shared" si="200"/>
        <v>353.59989755514874</v>
      </c>
      <c r="P332" s="62">
        <f t="shared" si="200"/>
        <v>365.58900786123093</v>
      </c>
    </row>
    <row r="333" spans="2:16">
      <c r="B333" t="s">
        <v>7787</v>
      </c>
      <c r="L333" s="34">
        <v>7.0000000000000007E-2</v>
      </c>
    </row>
    <row r="334" spans="2:16">
      <c r="B334" s="1827" t="s">
        <v>1976</v>
      </c>
      <c r="L334" s="62">
        <f>L333*L332</f>
        <v>22.44258865042022</v>
      </c>
      <c r="M334" s="1069">
        <f>L334</f>
        <v>22.44258865042022</v>
      </c>
      <c r="N334" s="1069">
        <f t="shared" ref="N334:P334" si="201">M334</f>
        <v>22.44258865042022</v>
      </c>
      <c r="O334" s="1069">
        <f t="shared" si="201"/>
        <v>22.44258865042022</v>
      </c>
      <c r="P334" s="1069">
        <f t="shared" si="201"/>
        <v>22.44258865042022</v>
      </c>
    </row>
    <row r="335" spans="2:16">
      <c r="B335" s="1827" t="s">
        <v>5397</v>
      </c>
      <c r="L335" s="62">
        <f>-L334</f>
        <v>-22.44258865042022</v>
      </c>
    </row>
    <row r="336" spans="2:16">
      <c r="B336" s="1828" t="s">
        <v>399</v>
      </c>
      <c r="C336" s="12"/>
      <c r="D336" s="12"/>
      <c r="E336" s="12"/>
      <c r="F336" s="12"/>
      <c r="G336" s="12"/>
      <c r="H336" s="12"/>
      <c r="I336" s="12"/>
      <c r="J336" s="1422">
        <f t="shared" ref="J336:K336" si="202">J334+J335</f>
        <v>0</v>
      </c>
      <c r="K336" s="1422">
        <f t="shared" si="202"/>
        <v>0</v>
      </c>
      <c r="L336" s="1422">
        <f>L334+L335</f>
        <v>0</v>
      </c>
      <c r="M336" s="1422">
        <f t="shared" ref="M336:P336" si="203">M334+M335</f>
        <v>22.44258865042022</v>
      </c>
      <c r="N336" s="1422">
        <f t="shared" si="203"/>
        <v>22.44258865042022</v>
      </c>
      <c r="O336" s="1422">
        <f t="shared" si="203"/>
        <v>22.44258865042022</v>
      </c>
      <c r="P336" s="1422">
        <f t="shared" si="203"/>
        <v>22.44258865042022</v>
      </c>
    </row>
    <row r="338" spans="2:16">
      <c r="B338" s="1827" t="s">
        <v>7788</v>
      </c>
      <c r="J338" s="62">
        <f t="shared" ref="J338:K338" si="204">J318/J332*J336</f>
        <v>0</v>
      </c>
      <c r="K338" s="62">
        <f t="shared" si="204"/>
        <v>0</v>
      </c>
      <c r="L338" s="62">
        <f>L318/L332*L336</f>
        <v>0</v>
      </c>
      <c r="M338" s="62">
        <f t="shared" ref="M338:P338" si="205">M318/M332*M336</f>
        <v>17.921369127869276</v>
      </c>
      <c r="N338" s="62">
        <f t="shared" si="205"/>
        <v>17.911999089571463</v>
      </c>
      <c r="O338" s="62">
        <f t="shared" si="205"/>
        <v>17.903217069580744</v>
      </c>
      <c r="P338" s="62">
        <f t="shared" si="205"/>
        <v>17.894991834942914</v>
      </c>
    </row>
    <row r="339" spans="2:16">
      <c r="B339" s="1827" t="s">
        <v>7789</v>
      </c>
      <c r="J339" s="62">
        <f t="shared" ref="J339:K339" si="206">J336-J338</f>
        <v>0</v>
      </c>
      <c r="K339" s="62">
        <f t="shared" si="206"/>
        <v>0</v>
      </c>
      <c r="L339" s="62">
        <f>L336-L338</f>
        <v>0</v>
      </c>
      <c r="M339" s="62">
        <f t="shared" ref="M339:P339" si="207">M336-M338</f>
        <v>4.5212195225509433</v>
      </c>
      <c r="N339" s="62">
        <f t="shared" si="207"/>
        <v>4.5305895608487567</v>
      </c>
      <c r="O339" s="62">
        <f t="shared" si="207"/>
        <v>4.5393715808394752</v>
      </c>
      <c r="P339" s="62">
        <f t="shared" si="207"/>
        <v>4.5475968154773057</v>
      </c>
    </row>
    <row r="342" spans="2:16">
      <c r="B342" s="13" t="s">
        <v>7790</v>
      </c>
    </row>
    <row r="343" spans="2:16">
      <c r="B343" t="s">
        <v>4398</v>
      </c>
      <c r="J343" s="62">
        <f t="shared" ref="J343:K343" si="208">J336*(1-30%)</f>
        <v>0</v>
      </c>
      <c r="K343" s="62">
        <f t="shared" si="208"/>
        <v>0</v>
      </c>
      <c r="L343" s="62">
        <f>L336*(1-30%)</f>
        <v>0</v>
      </c>
      <c r="M343" s="62">
        <f t="shared" ref="M343:P343" si="209">M336*(1-30%)</f>
        <v>15.709812055294153</v>
      </c>
      <c r="N343" s="62">
        <f t="shared" si="209"/>
        <v>15.709812055294153</v>
      </c>
      <c r="O343" s="62">
        <f t="shared" si="209"/>
        <v>15.709812055294153</v>
      </c>
      <c r="P343" s="62">
        <f t="shared" si="209"/>
        <v>15.709812055294153</v>
      </c>
    </row>
    <row r="344" spans="2:16">
      <c r="B344" t="s">
        <v>204</v>
      </c>
      <c r="C344" s="62">
        <f>NPV('New Format'!L310,K343:P343)</f>
        <v>44.327202901182083</v>
      </c>
    </row>
    <row r="345" spans="2:16">
      <c r="B345" t="s">
        <v>7791</v>
      </c>
      <c r="C345" s="62">
        <f>1/('New Format'!L310-0%)</f>
        <v>12.260912211868565</v>
      </c>
    </row>
    <row r="346" spans="2:16">
      <c r="B346" t="s">
        <v>6285</v>
      </c>
      <c r="C346" s="62">
        <f>C345*P343</f>
        <v>192.61662647491607</v>
      </c>
    </row>
    <row r="347" spans="2:16">
      <c r="B347" t="s">
        <v>7792</v>
      </c>
      <c r="C347" s="62">
        <f>C346/(1+'New Format'!L310)^6</f>
        <v>120.3344755646075</v>
      </c>
    </row>
    <row r="348" spans="2:16">
      <c r="B348" s="1429" t="s">
        <v>7793</v>
      </c>
      <c r="C348" s="1826">
        <f>C344+C347</f>
        <v>164.66167846578958</v>
      </c>
    </row>
    <row r="349" spans="2:16">
      <c r="B349" t="s">
        <v>7322</v>
      </c>
      <c r="C349" s="63">
        <v>515.79999999999995</v>
      </c>
    </row>
    <row r="350" spans="2:16">
      <c r="B350" t="s">
        <v>7794</v>
      </c>
      <c r="C350" s="62">
        <f>C348*1000/C349</f>
        <v>319.23551466806828</v>
      </c>
    </row>
    <row r="351" spans="2:16">
      <c r="B351" t="s">
        <v>7798</v>
      </c>
      <c r="C351" s="34">
        <v>0.86</v>
      </c>
    </row>
    <row r="352" spans="2:16">
      <c r="B352" t="s">
        <v>306</v>
      </c>
      <c r="C352">
        <f>SOP!G35</f>
        <v>169.7</v>
      </c>
    </row>
    <row r="353" spans="2:16">
      <c r="B353" t="s">
        <v>7795</v>
      </c>
      <c r="C353" s="62">
        <f>(C350*C351)/C352</f>
        <v>1.6178110937804286</v>
      </c>
    </row>
    <row r="357" spans="2:16">
      <c r="B357" s="1609" t="s">
        <v>44</v>
      </c>
      <c r="C357" s="1609">
        <f>C$1</f>
        <v>2017</v>
      </c>
      <c r="D357" s="1609">
        <f t="shared" ref="D357:P357" si="210">D$1</f>
        <v>2018</v>
      </c>
      <c r="E357" s="1609">
        <f t="shared" si="210"/>
        <v>2019</v>
      </c>
      <c r="F357" s="1609">
        <f t="shared" si="210"/>
        <v>2020</v>
      </c>
      <c r="G357" s="1609">
        <f t="shared" si="210"/>
        <v>2021</v>
      </c>
      <c r="H357" s="1609">
        <f t="shared" si="210"/>
        <v>2022</v>
      </c>
      <c r="I357" s="1609">
        <f t="shared" si="210"/>
        <v>2023</v>
      </c>
      <c r="J357" s="1609">
        <f t="shared" si="210"/>
        <v>2024</v>
      </c>
      <c r="K357" s="1609">
        <f t="shared" si="210"/>
        <v>2025</v>
      </c>
      <c r="L357" s="1609">
        <f t="shared" si="210"/>
        <v>2026</v>
      </c>
      <c r="M357" s="1609">
        <f t="shared" si="210"/>
        <v>2027</v>
      </c>
      <c r="N357" s="1609">
        <f t="shared" si="210"/>
        <v>2028</v>
      </c>
      <c r="O357" s="1609">
        <f t="shared" si="210"/>
        <v>2029</v>
      </c>
      <c r="P357" s="1609">
        <f t="shared" si="210"/>
        <v>2030</v>
      </c>
    </row>
    <row r="358" spans="2:16">
      <c r="B358" s="1203" t="s">
        <v>15</v>
      </c>
      <c r="C358" s="1203"/>
      <c r="D358" s="1203"/>
      <c r="E358" s="1203"/>
      <c r="F358" s="1203"/>
      <c r="G358" s="1341"/>
      <c r="H358" s="1341"/>
      <c r="I358" s="1341">
        <f t="shared" ref="I358:P358" si="211">I247+I288</f>
        <v>702.13750091407678</v>
      </c>
      <c r="J358" s="1341">
        <f t="shared" si="211"/>
        <v>748.05876333028755</v>
      </c>
      <c r="K358" s="1341">
        <f t="shared" si="211"/>
        <v>753.74158934671391</v>
      </c>
      <c r="L358" s="1341">
        <f t="shared" si="211"/>
        <v>762.31706533062527</v>
      </c>
      <c r="M358" s="1341">
        <f t="shared" si="211"/>
        <v>772.73904892638916</v>
      </c>
      <c r="N358" s="1341">
        <f t="shared" si="211"/>
        <v>783.50178658202742</v>
      </c>
      <c r="O358" s="1341">
        <f t="shared" si="211"/>
        <v>794.58561618467047</v>
      </c>
      <c r="P358" s="1341">
        <f t="shared" si="211"/>
        <v>806.07790961658134</v>
      </c>
    </row>
    <row r="359" spans="2:16">
      <c r="B359" s="1203" t="s">
        <v>8</v>
      </c>
      <c r="C359" s="1203"/>
      <c r="D359" s="1203"/>
      <c r="E359" s="1203"/>
      <c r="F359" s="1203"/>
      <c r="G359" s="1341"/>
      <c r="H359" s="1341"/>
      <c r="I359" s="1829">
        <v>255</v>
      </c>
      <c r="J359" s="1341">
        <f t="shared" ref="J359:P359" si="212">J248+J291</f>
        <v>275.51512852303529</v>
      </c>
      <c r="K359" s="1341">
        <f t="shared" si="212"/>
        <v>278.43683451672786</v>
      </c>
      <c r="L359" s="1341">
        <f t="shared" si="212"/>
        <v>288.49525120398158</v>
      </c>
      <c r="M359" s="1341">
        <f t="shared" si="212"/>
        <v>293.22205541390485</v>
      </c>
      <c r="N359" s="1341">
        <f t="shared" si="212"/>
        <v>298.03463025004726</v>
      </c>
      <c r="O359" s="1341">
        <f t="shared" si="212"/>
        <v>302.932871400301</v>
      </c>
      <c r="P359" s="1341">
        <f t="shared" si="212"/>
        <v>307.9513226292724</v>
      </c>
    </row>
    <row r="360" spans="2:16">
      <c r="B360" s="1203" t="s">
        <v>19</v>
      </c>
      <c r="C360" s="1203"/>
      <c r="D360" s="1203"/>
      <c r="E360" s="1203"/>
      <c r="F360" s="1203"/>
      <c r="G360" s="1341"/>
      <c r="H360" s="1341"/>
      <c r="I360" s="1341">
        <f t="shared" ref="I360:P360" si="213">I249+I293</f>
        <v>97.32730509140768</v>
      </c>
      <c r="J360" s="1341">
        <f t="shared" si="213"/>
        <v>108.04851304087987</v>
      </c>
      <c r="K360" s="1341">
        <f t="shared" si="213"/>
        <v>105.73165614972467</v>
      </c>
      <c r="L360" s="1341">
        <f t="shared" si="213"/>
        <v>119.1903941165377</v>
      </c>
      <c r="M360" s="1341">
        <f t="shared" si="213"/>
        <v>120.97298911678281</v>
      </c>
      <c r="N360" s="1341">
        <f t="shared" si="213"/>
        <v>122.79212496684093</v>
      </c>
      <c r="O360" s="1341">
        <f t="shared" si="213"/>
        <v>124.65885257616195</v>
      </c>
      <c r="P360" s="1341">
        <f t="shared" si="213"/>
        <v>126.5873101023011</v>
      </c>
    </row>
    <row r="361" spans="2:16">
      <c r="B361" s="1203" t="s">
        <v>27</v>
      </c>
      <c r="C361" s="1203"/>
      <c r="D361" s="1203"/>
      <c r="E361" s="1203"/>
      <c r="F361" s="1203"/>
      <c r="G361" s="1341"/>
      <c r="H361" s="1341"/>
      <c r="I361" s="1341">
        <f>I359-I360</f>
        <v>157.67269490859232</v>
      </c>
      <c r="J361" s="1341">
        <f t="shared" ref="J361:P361" si="214">J359-J360</f>
        <v>167.46661548215542</v>
      </c>
      <c r="K361" s="1341">
        <f t="shared" si="214"/>
        <v>172.70517836700319</v>
      </c>
      <c r="L361" s="1341">
        <f t="shared" si="214"/>
        <v>169.30485708744388</v>
      </c>
      <c r="M361" s="1341">
        <f t="shared" si="214"/>
        <v>172.24906629712206</v>
      </c>
      <c r="N361" s="1341">
        <f t="shared" si="214"/>
        <v>175.24250528320633</v>
      </c>
      <c r="O361" s="1341">
        <f t="shared" si="214"/>
        <v>178.27401882413903</v>
      </c>
      <c r="P361" s="1341">
        <f t="shared" si="214"/>
        <v>181.36401252697129</v>
      </c>
    </row>
    <row r="362" spans="2:16">
      <c r="B362" s="1203" t="s">
        <v>392</v>
      </c>
      <c r="C362" s="1203"/>
      <c r="D362" s="1203"/>
      <c r="E362" s="1203"/>
      <c r="F362" s="1203"/>
      <c r="G362" s="1305"/>
      <c r="H362" s="1305"/>
      <c r="I362" s="1305">
        <v>0.3</v>
      </c>
      <c r="J362" s="1305">
        <v>0.3</v>
      </c>
      <c r="K362" s="1305">
        <v>0.3</v>
      </c>
      <c r="L362" s="1305">
        <v>0.3</v>
      </c>
      <c r="M362" s="1305">
        <v>0.3</v>
      </c>
      <c r="N362" s="1305">
        <v>0.3</v>
      </c>
      <c r="O362" s="1305">
        <v>0.3</v>
      </c>
      <c r="P362" s="1305">
        <v>0.3</v>
      </c>
    </row>
    <row r="363" spans="2:16">
      <c r="B363" s="1203" t="s">
        <v>377</v>
      </c>
      <c r="C363" s="1203"/>
      <c r="D363" s="1203"/>
      <c r="E363" s="1203"/>
      <c r="F363" s="1203"/>
      <c r="G363" s="1341"/>
      <c r="H363" s="1341"/>
      <c r="I363" s="1341">
        <f>(1-I362)*I361</f>
        <v>110.37088643601462</v>
      </c>
      <c r="J363" s="1341">
        <f t="shared" ref="J363:P363" si="215">(1-J362)*J361</f>
        <v>117.22663083750878</v>
      </c>
      <c r="K363" s="1341">
        <f t="shared" si="215"/>
        <v>120.89362485690222</v>
      </c>
      <c r="L363" s="1341">
        <f t="shared" si="215"/>
        <v>118.51339996121071</v>
      </c>
      <c r="M363" s="1341">
        <f t="shared" si="215"/>
        <v>120.57434640798543</v>
      </c>
      <c r="N363" s="1341">
        <f t="shared" si="215"/>
        <v>122.66975369824442</v>
      </c>
      <c r="O363" s="1341">
        <f t="shared" si="215"/>
        <v>124.79181317689732</v>
      </c>
      <c r="P363" s="1341">
        <f t="shared" si="215"/>
        <v>126.9548087688799</v>
      </c>
    </row>
    <row r="364" spans="2:16">
      <c r="B364" s="1203" t="s">
        <v>164</v>
      </c>
      <c r="C364" s="1203"/>
      <c r="D364" s="1203"/>
      <c r="E364" s="1203"/>
      <c r="F364" s="1203"/>
      <c r="G364" s="1341"/>
      <c r="H364" s="1341"/>
      <c r="I364" s="1341"/>
      <c r="J364" s="1341">
        <f t="shared" ref="J364:P366" si="216">J253+J295</f>
        <v>588.88867506975851</v>
      </c>
      <c r="K364" s="1341">
        <f t="shared" si="216"/>
        <v>577.34183830368488</v>
      </c>
      <c r="L364" s="1341">
        <f t="shared" si="216"/>
        <v>566.02141010165178</v>
      </c>
      <c r="M364" s="1341">
        <f t="shared" si="216"/>
        <v>554.92295108005078</v>
      </c>
      <c r="N364" s="1341">
        <f t="shared" si="216"/>
        <v>544.04210890201057</v>
      </c>
      <c r="O364" s="1341">
        <f t="shared" si="216"/>
        <v>533.37461657059862</v>
      </c>
      <c r="P364" s="1341">
        <f t="shared" si="216"/>
        <v>522.91629075548883</v>
      </c>
    </row>
    <row r="365" spans="2:16">
      <c r="B365" s="1203" t="s">
        <v>707</v>
      </c>
      <c r="C365" s="1203"/>
      <c r="D365" s="1203"/>
      <c r="E365" s="1203"/>
      <c r="F365" s="1203"/>
      <c r="G365" s="1341"/>
      <c r="H365" s="1341"/>
      <c r="I365" s="1341"/>
      <c r="J365" s="1341">
        <f t="shared" ca="1" si="216"/>
        <v>77.624909146255078</v>
      </c>
      <c r="K365" s="1341">
        <f t="shared" ca="1" si="216"/>
        <v>112.39238888800338</v>
      </c>
      <c r="L365" s="1341">
        <f t="shared" ca="1" si="216"/>
        <v>144.71513691433915</v>
      </c>
      <c r="M365" s="1341">
        <f t="shared" ca="1" si="216"/>
        <v>171.95263086677599</v>
      </c>
      <c r="N365" s="1341">
        <f t="shared" ca="1" si="216"/>
        <v>193.58368356261488</v>
      </c>
      <c r="O365" s="1341">
        <f t="shared" ca="1" si="216"/>
        <v>215.43158524391092</v>
      </c>
      <c r="P365" s="1341">
        <f t="shared" ca="1" si="216"/>
        <v>237.50472194956174</v>
      </c>
    </row>
    <row r="366" spans="2:16">
      <c r="B366" s="1203" t="s">
        <v>115</v>
      </c>
      <c r="C366" s="1203"/>
      <c r="D366" s="1203"/>
      <c r="E366" s="1203"/>
      <c r="F366" s="1203"/>
      <c r="G366" s="1203"/>
      <c r="H366" s="1203"/>
      <c r="I366" s="1829">
        <v>533</v>
      </c>
      <c r="J366" s="1341">
        <f t="shared" ca="1" si="216"/>
        <v>511.26376592350346</v>
      </c>
      <c r="K366" s="1341">
        <f t="shared" ca="1" si="216"/>
        <v>464.94944941568144</v>
      </c>
      <c r="L366" s="1341">
        <f t="shared" ca="1" si="216"/>
        <v>421.30627318731268</v>
      </c>
      <c r="M366" s="1341">
        <f t="shared" ca="1" si="216"/>
        <v>382.97032021327476</v>
      </c>
      <c r="N366" s="1341">
        <f t="shared" ca="1" si="216"/>
        <v>350.45842533939572</v>
      </c>
      <c r="O366" s="1341">
        <f t="shared" ca="1" si="216"/>
        <v>317.94303132668767</v>
      </c>
      <c r="P366" s="1341">
        <f t="shared" ca="1" si="216"/>
        <v>285.41156880592712</v>
      </c>
    </row>
    <row r="367" spans="2:16">
      <c r="B367" s="1203" t="s">
        <v>6838</v>
      </c>
      <c r="I367" s="62">
        <f>I366/I359</f>
        <v>2.0901960784313727</v>
      </c>
      <c r="J367" s="62">
        <f t="shared" ref="J367:P367" ca="1" si="217">J366/J359</f>
        <v>1.8556649453852321</v>
      </c>
      <c r="K367" s="62">
        <f t="shared" ca="1" si="217"/>
        <v>1.6698561101754958</v>
      </c>
      <c r="L367" s="62">
        <f t="shared" ca="1" si="217"/>
        <v>1.4603577404795014</v>
      </c>
      <c r="M367" s="62">
        <f t="shared" ca="1" si="217"/>
        <v>1.3060761056076888</v>
      </c>
      <c r="N367" s="62">
        <f t="shared" ca="1" si="217"/>
        <v>1.1758983345169169</v>
      </c>
      <c r="O367" s="62">
        <f t="shared" ca="1" si="217"/>
        <v>1.0495494591161485</v>
      </c>
      <c r="P367" s="62">
        <f t="shared" ca="1" si="217"/>
        <v>0.92680741348696916</v>
      </c>
    </row>
    <row r="368" spans="2:16">
      <c r="B368" s="1203" t="s">
        <v>7796</v>
      </c>
      <c r="C368" s="1341"/>
      <c r="D368" s="1341"/>
      <c r="E368" s="1341"/>
      <c r="F368" s="1341"/>
      <c r="G368" s="1341"/>
      <c r="H368" s="1341"/>
      <c r="I368" s="1829">
        <v>440</v>
      </c>
      <c r="J368" s="1341"/>
      <c r="K368" s="1341"/>
      <c r="L368" s="1341"/>
      <c r="M368" s="1341"/>
      <c r="N368" s="1341"/>
      <c r="O368" s="1341"/>
      <c r="P368" s="1341"/>
    </row>
  </sheetData>
  <pageMargins left="0.7" right="0.7" top="0.75" bottom="0.75" header="0.3" footer="0.3"/>
  <pageSetup paperSize="9" orientation="portrait" r:id="rId1"/>
  <ignoredErrors>
    <ignoredError sqref="J267:P267 J291:P291" 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T366"/>
  <sheetViews>
    <sheetView zoomScale="70" zoomScaleNormal="70" workbookViewId="0">
      <selection activeCell="C368" sqref="C368"/>
    </sheetView>
  </sheetViews>
  <sheetFormatPr defaultRowHeight="15"/>
  <cols>
    <col min="8" max="8" width="9.7109375" bestFit="1" customWidth="1"/>
    <col min="11" max="13" width="10.42578125" customWidth="1"/>
  </cols>
  <sheetData>
    <row r="2" spans="2:19">
      <c r="B2" s="68" t="s">
        <v>250</v>
      </c>
      <c r="C2" s="68"/>
      <c r="D2" s="69">
        <v>40238</v>
      </c>
      <c r="E2" s="69">
        <v>40603</v>
      </c>
      <c r="F2" s="69">
        <v>40969</v>
      </c>
      <c r="G2" s="69">
        <v>41334</v>
      </c>
      <c r="H2" s="69">
        <v>41699</v>
      </c>
      <c r="I2" s="69">
        <v>42064</v>
      </c>
      <c r="J2" s="69">
        <v>42430</v>
      </c>
      <c r="K2" s="69">
        <v>42705</v>
      </c>
      <c r="L2" s="69">
        <v>43070</v>
      </c>
      <c r="M2" s="69">
        <v>43435</v>
      </c>
      <c r="N2" s="69">
        <v>43800</v>
      </c>
      <c r="O2" s="69">
        <v>44166</v>
      </c>
      <c r="P2" s="69">
        <v>44531</v>
      </c>
      <c r="Q2" s="69">
        <v>44896</v>
      </c>
      <c r="R2" s="69">
        <v>45261</v>
      </c>
      <c r="S2" s="69">
        <v>45627</v>
      </c>
    </row>
    <row r="4" spans="2:19">
      <c r="B4" t="s">
        <v>370</v>
      </c>
      <c r="I4" s="16">
        <f>I32*AVERAGE(H23,I23)*12/1000</f>
        <v>337.60320000000002</v>
      </c>
      <c r="J4" s="16">
        <f>J32*AVERAGE(I23,J23)*12/1000</f>
        <v>342.00421799999998</v>
      </c>
      <c r="K4" s="16">
        <f t="shared" ref="K4:S4" si="0">K32*AVERAGE(J23,K23)*12/1000</f>
        <v>343.61627327999997</v>
      </c>
      <c r="L4" s="16">
        <f t="shared" si="0"/>
        <v>290.54308066559997</v>
      </c>
      <c r="M4" s="16">
        <f t="shared" si="0"/>
        <v>267.69588632064</v>
      </c>
      <c r="N4" s="16">
        <f t="shared" si="0"/>
        <v>261.86345655459837</v>
      </c>
      <c r="O4" s="16">
        <f t="shared" si="0"/>
        <v>266.1971504984063</v>
      </c>
      <c r="P4" s="16">
        <f t="shared" si="0"/>
        <v>270.53084444221435</v>
      </c>
      <c r="Q4" s="16">
        <f t="shared" si="0"/>
        <v>274.86453838602233</v>
      </c>
      <c r="R4" s="16">
        <f t="shared" si="0"/>
        <v>279.19823232983038</v>
      </c>
      <c r="S4" s="16">
        <f t="shared" si="0"/>
        <v>283.53192627363831</v>
      </c>
    </row>
    <row r="5" spans="2:19">
      <c r="B5" s="3" t="s">
        <v>4</v>
      </c>
      <c r="C5" s="3"/>
      <c r="D5" s="3"/>
      <c r="E5" s="3"/>
      <c r="F5" s="3"/>
      <c r="G5" s="3"/>
      <c r="H5" s="3"/>
      <c r="I5" s="64">
        <f>I6-I4</f>
        <v>13.396799999999985</v>
      </c>
      <c r="J5" s="65">
        <f>I5</f>
        <v>13.396799999999985</v>
      </c>
      <c r="K5" s="65">
        <f t="shared" ref="K5:S5" si="1">J5</f>
        <v>13.396799999999985</v>
      </c>
      <c r="L5" s="65">
        <f t="shared" si="1"/>
        <v>13.396799999999985</v>
      </c>
      <c r="M5" s="65">
        <f t="shared" si="1"/>
        <v>13.396799999999985</v>
      </c>
      <c r="N5" s="65">
        <f t="shared" si="1"/>
        <v>13.396799999999985</v>
      </c>
      <c r="O5" s="65">
        <f t="shared" si="1"/>
        <v>13.396799999999985</v>
      </c>
      <c r="P5" s="65">
        <f t="shared" si="1"/>
        <v>13.396799999999985</v>
      </c>
      <c r="Q5" s="65">
        <f t="shared" si="1"/>
        <v>13.396799999999985</v>
      </c>
      <c r="R5" s="65">
        <f t="shared" si="1"/>
        <v>13.396799999999985</v>
      </c>
      <c r="S5" s="65">
        <f t="shared" si="1"/>
        <v>13.396799999999985</v>
      </c>
    </row>
    <row r="6" spans="2:19">
      <c r="B6" t="s">
        <v>5</v>
      </c>
      <c r="F6">
        <f>SUM(Quarts!F6:G6)</f>
        <v>315</v>
      </c>
      <c r="G6">
        <f>SUM(Quarts!H6:J6)</f>
        <v>323</v>
      </c>
      <c r="H6">
        <f>SUM(Quarts!K6:L6)</f>
        <v>336</v>
      </c>
      <c r="I6">
        <f>SUM(Quarts!V6:W6)</f>
        <v>351</v>
      </c>
      <c r="J6" s="16">
        <f>J4+J5</f>
        <v>355.40101799999997</v>
      </c>
      <c r="K6" s="16">
        <f t="shared" ref="K6:S6" si="2">K4+K5</f>
        <v>357.01307327999996</v>
      </c>
      <c r="L6" s="16">
        <f t="shared" si="2"/>
        <v>303.93988066559996</v>
      </c>
      <c r="M6" s="16">
        <f t="shared" si="2"/>
        <v>281.09268632063998</v>
      </c>
      <c r="N6" s="16">
        <f t="shared" si="2"/>
        <v>275.26025655459836</v>
      </c>
      <c r="O6" s="16">
        <f t="shared" si="2"/>
        <v>279.59395049840629</v>
      </c>
      <c r="P6" s="16">
        <f t="shared" si="2"/>
        <v>283.92764444221433</v>
      </c>
      <c r="Q6" s="16">
        <f t="shared" si="2"/>
        <v>288.26133838602232</v>
      </c>
      <c r="R6" s="16">
        <f t="shared" si="2"/>
        <v>292.59503232983036</v>
      </c>
      <c r="S6" s="16">
        <f t="shared" si="2"/>
        <v>296.92872627363829</v>
      </c>
    </row>
    <row r="7" spans="2:19">
      <c r="B7" t="s">
        <v>78</v>
      </c>
      <c r="G7" s="6">
        <f>G6/F6-1</f>
        <v>2.5396825396825307E-2</v>
      </c>
      <c r="H7" s="6">
        <f>H6/G6-1</f>
        <v>4.0247678018575872E-2</v>
      </c>
      <c r="I7" s="6">
        <f>I6/H6-1</f>
        <v>4.4642857142857206E-2</v>
      </c>
      <c r="J7" s="6">
        <f t="shared" ref="J7:S7" si="3">J6/I6-1</f>
        <v>1.2538512820512659E-2</v>
      </c>
      <c r="K7" s="6">
        <f t="shared" si="3"/>
        <v>4.5358769343761818E-3</v>
      </c>
      <c r="L7" s="6">
        <f t="shared" si="3"/>
        <v>-0.14865896121617794</v>
      </c>
      <c r="M7" s="6">
        <f t="shared" si="3"/>
        <v>-7.5170110269592638E-2</v>
      </c>
      <c r="N7" s="6">
        <f t="shared" si="3"/>
        <v>-2.074913382623067E-2</v>
      </c>
      <c r="O7" s="6">
        <f t="shared" si="3"/>
        <v>1.5743987156199957E-2</v>
      </c>
      <c r="P7" s="6">
        <f t="shared" si="3"/>
        <v>1.5499956047270613E-2</v>
      </c>
      <c r="Q7" s="6">
        <f t="shared" si="3"/>
        <v>1.5263374414709263E-2</v>
      </c>
      <c r="R7" s="6">
        <f t="shared" si="3"/>
        <v>1.5033906274328768E-2</v>
      </c>
      <c r="S7" s="6">
        <f t="shared" si="3"/>
        <v>1.4811235547303347E-2</v>
      </c>
    </row>
    <row r="8" spans="2:19">
      <c r="G8" s="6"/>
      <c r="H8" s="6"/>
      <c r="I8" s="6"/>
      <c r="J8" s="6"/>
      <c r="K8" s="6"/>
      <c r="L8" s="6"/>
      <c r="M8" s="6"/>
      <c r="N8" s="6"/>
      <c r="O8" s="6"/>
      <c r="P8" s="6"/>
      <c r="Q8" s="6"/>
      <c r="R8" s="6"/>
      <c r="S8" s="6"/>
    </row>
    <row r="9" spans="2:19">
      <c r="B9" t="s">
        <v>368</v>
      </c>
      <c r="G9" s="6"/>
      <c r="H9" s="6"/>
      <c r="I9" s="16">
        <f>I34*AVERAGE(H25,I25)*12/1000</f>
        <v>46.077599999999997</v>
      </c>
      <c r="J9" s="16">
        <f t="shared" ref="J9:S9" si="4">J34*AVERAGE(I25,J25)*12/1000</f>
        <v>47.524751999999992</v>
      </c>
      <c r="K9" s="16">
        <f t="shared" si="4"/>
        <v>49.463900639999991</v>
      </c>
      <c r="L9" s="16">
        <f t="shared" si="4"/>
        <v>51.98756903999999</v>
      </c>
      <c r="M9" s="16">
        <f t="shared" si="4"/>
        <v>54.206714786399999</v>
      </c>
      <c r="N9" s="16">
        <f t="shared" si="4"/>
        <v>56.465044690823994</v>
      </c>
      <c r="O9" s="16">
        <f t="shared" si="4"/>
        <v>57.017681298436308</v>
      </c>
      <c r="P9" s="16">
        <f t="shared" si="4"/>
        <v>57.525626423867799</v>
      </c>
      <c r="Q9" s="16">
        <f t="shared" si="4"/>
        <v>57.990446671762662</v>
      </c>
      <c r="R9" s="16">
        <f t="shared" si="4"/>
        <v>58.413663859172182</v>
      </c>
      <c r="S9" s="16">
        <f t="shared" si="4"/>
        <v>58.796756180416615</v>
      </c>
    </row>
    <row r="10" spans="2:19">
      <c r="B10" t="s">
        <v>369</v>
      </c>
      <c r="G10" s="6"/>
      <c r="H10" s="6"/>
      <c r="I10" s="16">
        <f>I36*AVERAGE(H27,I27)*12/1000</f>
        <v>20.017800000000001</v>
      </c>
      <c r="J10" s="16">
        <f t="shared" ref="J10:S10" si="5">J36*AVERAGE(I27,J27)*12/1000</f>
        <v>22.947678</v>
      </c>
      <c r="K10" s="16">
        <f t="shared" si="5"/>
        <v>24.41083764</v>
      </c>
      <c r="L10" s="16">
        <f t="shared" si="5"/>
        <v>25.806291823200002</v>
      </c>
      <c r="M10" s="16">
        <f t="shared" si="5"/>
        <v>27.136163504015997</v>
      </c>
      <c r="N10" s="16">
        <f t="shared" si="5"/>
        <v>28.402517800870076</v>
      </c>
      <c r="O10" s="16">
        <f t="shared" si="5"/>
        <v>29.60736346044839</v>
      </c>
      <c r="P10" s="16">
        <f t="shared" si="5"/>
        <v>30.75265428652321</v>
      </c>
      <c r="Q10" s="16">
        <f t="shared" si="5"/>
        <v>31.840290534170876</v>
      </c>
      <c r="R10" s="16">
        <f t="shared" si="5"/>
        <v>32.872120270198018</v>
      </c>
      <c r="S10" s="16">
        <f t="shared" si="5"/>
        <v>33.849940700570407</v>
      </c>
    </row>
    <row r="11" spans="2:19">
      <c r="B11" s="3" t="s">
        <v>4</v>
      </c>
      <c r="C11" s="3"/>
      <c r="D11" s="3"/>
      <c r="E11" s="3"/>
      <c r="F11" s="3"/>
      <c r="G11" s="7"/>
      <c r="H11" s="7"/>
      <c r="I11" s="64">
        <f>I12-I9-I10</f>
        <v>2.9046000000000021</v>
      </c>
      <c r="J11" s="65">
        <f>I11</f>
        <v>2.9046000000000021</v>
      </c>
      <c r="K11" s="65">
        <f t="shared" ref="K11:S11" si="6">J11</f>
        <v>2.9046000000000021</v>
      </c>
      <c r="L11" s="65">
        <f t="shared" si="6"/>
        <v>2.9046000000000021</v>
      </c>
      <c r="M11" s="65">
        <f t="shared" si="6"/>
        <v>2.9046000000000021</v>
      </c>
      <c r="N11" s="65">
        <f t="shared" si="6"/>
        <v>2.9046000000000021</v>
      </c>
      <c r="O11" s="65">
        <f t="shared" si="6"/>
        <v>2.9046000000000021</v>
      </c>
      <c r="P11" s="65">
        <f t="shared" si="6"/>
        <v>2.9046000000000021</v>
      </c>
      <c r="Q11" s="65">
        <f t="shared" si="6"/>
        <v>2.9046000000000021</v>
      </c>
      <c r="R11" s="65">
        <f t="shared" si="6"/>
        <v>2.9046000000000021</v>
      </c>
      <c r="S11" s="65">
        <f t="shared" si="6"/>
        <v>2.9046000000000021</v>
      </c>
    </row>
    <row r="12" spans="2:19">
      <c r="B12" t="s">
        <v>6</v>
      </c>
      <c r="F12">
        <f>SUM(Quarts!F7:G7)</f>
        <v>60</v>
      </c>
      <c r="G12">
        <f>SUM(Quarts!H7:J7)</f>
        <v>60</v>
      </c>
      <c r="H12">
        <f>SUM(Quarts!K7:L7)</f>
        <v>64</v>
      </c>
      <c r="I12">
        <f>SUM(Quarts!V7:W7)</f>
        <v>69</v>
      </c>
      <c r="J12" s="16">
        <f>J9+J10+J11</f>
        <v>73.377029999999991</v>
      </c>
      <c r="K12" s="16">
        <f t="shared" ref="K12:S12" si="7">K9+K10+K11</f>
        <v>76.77933827999999</v>
      </c>
      <c r="L12" s="16">
        <f t="shared" si="7"/>
        <v>80.698460863199998</v>
      </c>
      <c r="M12" s="16">
        <f t="shared" si="7"/>
        <v>84.247478290415998</v>
      </c>
      <c r="N12" s="16">
        <f t="shared" si="7"/>
        <v>87.772162491694075</v>
      </c>
      <c r="O12" s="16">
        <f t="shared" si="7"/>
        <v>89.5296447588847</v>
      </c>
      <c r="P12" s="16">
        <f t="shared" si="7"/>
        <v>91.182880710391018</v>
      </c>
      <c r="Q12" s="16">
        <f t="shared" si="7"/>
        <v>92.735337205933533</v>
      </c>
      <c r="R12" s="16">
        <f t="shared" si="7"/>
        <v>94.190384129370202</v>
      </c>
      <c r="S12" s="16">
        <f t="shared" si="7"/>
        <v>95.551296880987024</v>
      </c>
    </row>
    <row r="13" spans="2:19">
      <c r="B13" t="s">
        <v>78</v>
      </c>
      <c r="G13" s="6">
        <f>G12/F12-1</f>
        <v>0</v>
      </c>
      <c r="H13" s="6">
        <f>H12/G12-1</f>
        <v>6.6666666666666652E-2</v>
      </c>
      <c r="I13" s="6">
        <f>I12/H12-1</f>
        <v>7.8125E-2</v>
      </c>
      <c r="J13" s="6">
        <f t="shared" ref="J13:S13" si="8">J12/I12-1</f>
        <v>6.3435217391304199E-2</v>
      </c>
      <c r="K13" s="6">
        <f t="shared" si="8"/>
        <v>4.6367484211339738E-2</v>
      </c>
      <c r="L13" s="6">
        <f t="shared" si="8"/>
        <v>5.1043974472763765E-2</v>
      </c>
      <c r="M13" s="6">
        <f t="shared" si="8"/>
        <v>4.3978749895023261E-2</v>
      </c>
      <c r="N13" s="6">
        <f t="shared" si="8"/>
        <v>4.1837266501056236E-2</v>
      </c>
      <c r="O13" s="6">
        <f t="shared" si="8"/>
        <v>2.0023230797770797E-2</v>
      </c>
      <c r="P13" s="6">
        <f t="shared" si="8"/>
        <v>1.8465793715128687E-2</v>
      </c>
      <c r="Q13" s="6">
        <f t="shared" si="8"/>
        <v>1.7025745221554534E-2</v>
      </c>
      <c r="R13" s="6">
        <f t="shared" si="8"/>
        <v>1.56903179227732E-2</v>
      </c>
      <c r="S13" s="6">
        <f t="shared" si="8"/>
        <v>1.4448531707309087E-2</v>
      </c>
    </row>
    <row r="14" spans="2:19">
      <c r="G14" s="6"/>
      <c r="H14" s="6"/>
      <c r="I14" s="6"/>
      <c r="J14" s="6"/>
      <c r="K14" s="6"/>
      <c r="L14" s="6"/>
      <c r="M14" s="6"/>
      <c r="N14" s="6"/>
      <c r="O14" s="6"/>
      <c r="P14" s="6"/>
      <c r="Q14" s="6"/>
      <c r="R14" s="6"/>
      <c r="S14" s="6"/>
    </row>
    <row r="15" spans="2:19">
      <c r="B15" t="s">
        <v>7</v>
      </c>
      <c r="F15">
        <f>SUM(Quarts!F8:G8)</f>
        <v>136</v>
      </c>
      <c r="G15">
        <f>SUM(Quarts!H8:J8)</f>
        <v>122</v>
      </c>
      <c r="H15">
        <f>SUM(Quarts!K8:L8)</f>
        <v>113</v>
      </c>
      <c r="I15">
        <f>SUM(Quarts!V8:W8)</f>
        <v>106</v>
      </c>
      <c r="J15" s="16">
        <f>J38*AVERAGE(I29,J29)*12/1000</f>
        <v>94.611779999999996</v>
      </c>
      <c r="K15" s="16">
        <f t="shared" ref="K15:S15" si="9">K38*AVERAGE(J29,K29)*12/1000</f>
        <v>85.486363200000014</v>
      </c>
      <c r="L15" s="16">
        <f t="shared" si="9"/>
        <v>81.063581328000012</v>
      </c>
      <c r="M15" s="16">
        <f t="shared" si="9"/>
        <v>76.829228641439997</v>
      </c>
      <c r="N15" s="16">
        <f t="shared" si="9"/>
        <v>72.775979892878397</v>
      </c>
      <c r="O15" s="16">
        <f t="shared" si="9"/>
        <v>68.89677976345321</v>
      </c>
      <c r="P15" s="16">
        <f t="shared" si="9"/>
        <v>65.184833259889913</v>
      </c>
      <c r="Q15" s="16">
        <f t="shared" si="9"/>
        <v>61.633596444753316</v>
      </c>
      <c r="R15" s="16">
        <f t="shared" si="9"/>
        <v>58.23676748859102</v>
      </c>
      <c r="S15" s="16">
        <f t="shared" si="9"/>
        <v>54.988278032998195</v>
      </c>
    </row>
    <row r="16" spans="2:19">
      <c r="B16" t="s">
        <v>78</v>
      </c>
      <c r="G16" s="6">
        <f t="shared" ref="G16:S16" si="10">G15/F15-1</f>
        <v>-0.1029411764705882</v>
      </c>
      <c r="H16" s="6">
        <f t="shared" si="10"/>
        <v>-7.3770491803278659E-2</v>
      </c>
      <c r="I16" s="6">
        <f t="shared" si="10"/>
        <v>-6.1946902654867242E-2</v>
      </c>
      <c r="J16" s="6">
        <f t="shared" si="10"/>
        <v>-0.10743603773584909</v>
      </c>
      <c r="K16" s="6">
        <f t="shared" si="10"/>
        <v>-9.6451169188445429E-2</v>
      </c>
      <c r="L16" s="6">
        <f t="shared" si="10"/>
        <v>-5.173669467787112E-2</v>
      </c>
      <c r="M16" s="6">
        <f t="shared" si="10"/>
        <v>-5.2234957020057537E-2</v>
      </c>
      <c r="N16" s="6">
        <f t="shared" si="10"/>
        <v>-5.2756598240469188E-2</v>
      </c>
      <c r="O16" s="6">
        <f t="shared" si="10"/>
        <v>-5.3303303303303129E-2</v>
      </c>
      <c r="P16" s="6">
        <f t="shared" si="10"/>
        <v>-5.3876923076923378E-2</v>
      </c>
      <c r="Q16" s="6">
        <f t="shared" si="10"/>
        <v>-5.4479495268138889E-2</v>
      </c>
      <c r="R16" s="6">
        <f t="shared" si="10"/>
        <v>-5.5113268608414256E-2</v>
      </c>
      <c r="S16" s="6">
        <f t="shared" si="10"/>
        <v>-5.5780730897009856E-2</v>
      </c>
    </row>
    <row r="17" spans="2:19">
      <c r="G17" s="6"/>
      <c r="H17" s="6"/>
      <c r="I17" s="6"/>
      <c r="J17" s="6"/>
      <c r="K17" s="6"/>
      <c r="L17" s="6"/>
      <c r="M17" s="6"/>
      <c r="N17" s="6"/>
      <c r="O17" s="6"/>
      <c r="P17" s="6"/>
      <c r="Q17" s="6"/>
      <c r="R17" s="6"/>
      <c r="S17" s="6"/>
    </row>
    <row r="18" spans="2:19">
      <c r="B18" t="s">
        <v>4</v>
      </c>
      <c r="F18">
        <f>SUM(Quarts!F9:G9)</f>
        <v>90</v>
      </c>
      <c r="G18">
        <f>SUM(Quarts!H9:J9)</f>
        <v>81</v>
      </c>
      <c r="H18">
        <f>SUM(Quarts!K9:L9)</f>
        <v>63</v>
      </c>
      <c r="I18">
        <f>SUM(Quarts!V9:W9)</f>
        <v>110</v>
      </c>
      <c r="J18" s="16">
        <f>J20-J15-J12-J6</f>
        <v>125.61017200000009</v>
      </c>
      <c r="K18" s="16">
        <f>K20-K15-K12-K6</f>
        <v>125.20827523999998</v>
      </c>
      <c r="L18" s="16">
        <f>L20-L15-L12-L6</f>
        <v>159.09807714319993</v>
      </c>
      <c r="M18" s="16">
        <f>M20-M15-M12-M6</f>
        <v>154.83060674750408</v>
      </c>
      <c r="N18" s="16">
        <f t="shared" ref="N18:S18" si="11">(1+N19)*M18</f>
        <v>162.5721370848793</v>
      </c>
      <c r="O18" s="16">
        <f t="shared" si="11"/>
        <v>170.70074393912327</v>
      </c>
      <c r="P18" s="16">
        <f t="shared" si="11"/>
        <v>179.23578113607945</v>
      </c>
      <c r="Q18" s="16">
        <f t="shared" si="11"/>
        <v>188.19757019288343</v>
      </c>
      <c r="R18" s="16">
        <f t="shared" si="11"/>
        <v>197.60744870252762</v>
      </c>
      <c r="S18" s="16">
        <f t="shared" si="11"/>
        <v>207.48782113765401</v>
      </c>
    </row>
    <row r="19" spans="2:19">
      <c r="B19" t="s">
        <v>78</v>
      </c>
      <c r="G19" s="6">
        <f t="shared" ref="G19:M19" si="12">G18/F18-1</f>
        <v>-9.9999999999999978E-2</v>
      </c>
      <c r="H19" s="6">
        <f t="shared" si="12"/>
        <v>-0.22222222222222221</v>
      </c>
      <c r="I19" s="6">
        <f t="shared" si="12"/>
        <v>0.74603174603174605</v>
      </c>
      <c r="J19" s="5">
        <f t="shared" si="12"/>
        <v>0.14191065454545537</v>
      </c>
      <c r="K19" s="5">
        <f t="shared" si="12"/>
        <v>-3.1995558448889572E-3</v>
      </c>
      <c r="L19" s="5">
        <f t="shared" si="12"/>
        <v>0.27066742863632443</v>
      </c>
      <c r="M19" s="5">
        <f t="shared" si="12"/>
        <v>-2.6822891089090972E-2</v>
      </c>
      <c r="N19" s="34">
        <v>0.05</v>
      </c>
      <c r="O19" s="34">
        <v>0.05</v>
      </c>
      <c r="P19" s="34">
        <v>0.05</v>
      </c>
      <c r="Q19" s="34">
        <v>0.05</v>
      </c>
      <c r="R19" s="34">
        <v>0.05</v>
      </c>
      <c r="S19" s="34">
        <v>0.05</v>
      </c>
    </row>
    <row r="20" spans="2:19" ht="15.75" thickBot="1">
      <c r="B20" s="66" t="s">
        <v>16</v>
      </c>
      <c r="C20" s="66"/>
      <c r="D20" s="66"/>
      <c r="E20" s="66"/>
      <c r="F20" s="66">
        <f>SUM(Quarts!F10:G10)</f>
        <v>601</v>
      </c>
      <c r="G20" s="66">
        <f>SUM(Quarts!H10:J10)</f>
        <v>586</v>
      </c>
      <c r="H20" s="66">
        <f>SUM(Quarts!K10:L10)</f>
        <v>576</v>
      </c>
      <c r="I20" s="66">
        <f>SUM(Quarts!V10:W10)</f>
        <v>636</v>
      </c>
      <c r="J20" s="598">
        <v>649</v>
      </c>
      <c r="K20" s="598">
        <f>SUM('New quarts'!K70:N70)</f>
        <v>644.48704999999995</v>
      </c>
      <c r="L20" s="598">
        <f>SUM('New quarts'!O70:R70)</f>
        <v>624.79999999999995</v>
      </c>
      <c r="M20" s="598">
        <v>597</v>
      </c>
      <c r="N20" s="67">
        <f t="shared" ref="N20:S20" si="13">N6+N12+N15+N18</f>
        <v>598.38053602405012</v>
      </c>
      <c r="O20" s="67">
        <f t="shared" si="13"/>
        <v>608.72111895986745</v>
      </c>
      <c r="P20" s="67">
        <f t="shared" si="13"/>
        <v>619.53113954857474</v>
      </c>
      <c r="Q20" s="67">
        <f t="shared" si="13"/>
        <v>630.82784222959265</v>
      </c>
      <c r="R20" s="67">
        <f t="shared" si="13"/>
        <v>642.62963265031919</v>
      </c>
      <c r="S20" s="67">
        <f t="shared" si="13"/>
        <v>654.95612232527753</v>
      </c>
    </row>
    <row r="21" spans="2:19" ht="15.75" thickTop="1">
      <c r="B21" t="s">
        <v>78</v>
      </c>
      <c r="G21" s="6">
        <f>G20/F20-1</f>
        <v>-2.4958402662229595E-2</v>
      </c>
      <c r="H21" s="6">
        <f>H20/G20-1</f>
        <v>-1.7064846416382284E-2</v>
      </c>
      <c r="I21" s="6">
        <f>(I20-44)/H20-1</f>
        <v>2.7777777777777679E-2</v>
      </c>
      <c r="J21" s="6">
        <f t="shared" ref="J21:S21" si="14">J20/I20-1</f>
        <v>2.0440251572326984E-2</v>
      </c>
      <c r="K21" s="6">
        <f t="shared" si="14"/>
        <v>-6.9536979969183621E-3</v>
      </c>
      <c r="L21" s="6">
        <f t="shared" si="14"/>
        <v>-3.0546851174123701E-2</v>
      </c>
      <c r="M21" s="6">
        <f t="shared" si="14"/>
        <v>-4.4494238156209898E-2</v>
      </c>
      <c r="N21" s="6">
        <f t="shared" si="14"/>
        <v>2.3124556516751493E-3</v>
      </c>
      <c r="O21" s="6">
        <f t="shared" si="14"/>
        <v>1.7280948014328112E-2</v>
      </c>
      <c r="P21" s="6">
        <f t="shared" si="14"/>
        <v>1.7758576550093386E-2</v>
      </c>
      <c r="Q21" s="6">
        <f t="shared" si="14"/>
        <v>1.8234277439628466E-2</v>
      </c>
      <c r="R21" s="6">
        <f t="shared" si="14"/>
        <v>1.8708417147560219E-2</v>
      </c>
      <c r="S21" s="6">
        <f t="shared" si="14"/>
        <v>1.9181327857729968E-2</v>
      </c>
    </row>
    <row r="22" spans="2:19">
      <c r="I22" s="6"/>
    </row>
    <row r="23" spans="2:19">
      <c r="B23" t="s">
        <v>360</v>
      </c>
      <c r="H23" s="36">
        <v>1961</v>
      </c>
      <c r="I23" s="36">
        <v>2087</v>
      </c>
      <c r="J23">
        <f t="shared" ref="J23:S23" si="15">(I23+J24)</f>
        <v>2207</v>
      </c>
      <c r="K23">
        <f t="shared" si="15"/>
        <v>2287</v>
      </c>
      <c r="L23">
        <f t="shared" si="15"/>
        <v>2347</v>
      </c>
      <c r="M23">
        <f t="shared" si="15"/>
        <v>2397</v>
      </c>
      <c r="N23">
        <f t="shared" si="15"/>
        <v>2437</v>
      </c>
      <c r="O23">
        <f t="shared" si="15"/>
        <v>2477</v>
      </c>
      <c r="P23">
        <f t="shared" si="15"/>
        <v>2517</v>
      </c>
      <c r="Q23">
        <f t="shared" si="15"/>
        <v>2557</v>
      </c>
      <c r="R23">
        <f t="shared" si="15"/>
        <v>2597</v>
      </c>
      <c r="S23">
        <f t="shared" si="15"/>
        <v>2637</v>
      </c>
    </row>
    <row r="24" spans="2:19">
      <c r="B24" t="s">
        <v>363</v>
      </c>
      <c r="I24">
        <f>I23-H23</f>
        <v>126</v>
      </c>
      <c r="J24" s="36">
        <v>120</v>
      </c>
      <c r="K24" s="36">
        <v>80</v>
      </c>
      <c r="L24" s="36">
        <v>60</v>
      </c>
      <c r="M24" s="36">
        <v>50</v>
      </c>
      <c r="N24" s="36">
        <v>40</v>
      </c>
      <c r="O24" s="36">
        <v>40</v>
      </c>
      <c r="P24" s="36">
        <v>40</v>
      </c>
      <c r="Q24" s="36">
        <v>40</v>
      </c>
      <c r="R24" s="36">
        <v>40</v>
      </c>
      <c r="S24" s="36">
        <v>40</v>
      </c>
    </row>
    <row r="25" spans="2:19">
      <c r="B25" t="s">
        <v>361</v>
      </c>
      <c r="H25" s="36">
        <v>131</v>
      </c>
      <c r="I25" s="36">
        <v>132</v>
      </c>
      <c r="J25">
        <f t="shared" ref="J25:S25" si="16">(I25+J26)</f>
        <v>142</v>
      </c>
      <c r="K25">
        <f t="shared" si="16"/>
        <v>152</v>
      </c>
      <c r="L25">
        <f t="shared" si="16"/>
        <v>157</v>
      </c>
      <c r="M25">
        <f t="shared" si="16"/>
        <v>162</v>
      </c>
      <c r="N25">
        <f t="shared" si="16"/>
        <v>167</v>
      </c>
      <c r="O25">
        <f t="shared" si="16"/>
        <v>172</v>
      </c>
      <c r="P25">
        <f t="shared" si="16"/>
        <v>177</v>
      </c>
      <c r="Q25">
        <f t="shared" si="16"/>
        <v>182</v>
      </c>
      <c r="R25">
        <f t="shared" si="16"/>
        <v>187</v>
      </c>
      <c r="S25">
        <f t="shared" si="16"/>
        <v>192</v>
      </c>
    </row>
    <row r="26" spans="2:19">
      <c r="B26" t="s">
        <v>363</v>
      </c>
      <c r="I26">
        <f>I25-H25</f>
        <v>1</v>
      </c>
      <c r="J26" s="36">
        <v>10</v>
      </c>
      <c r="K26" s="36">
        <v>10</v>
      </c>
      <c r="L26" s="36">
        <v>5</v>
      </c>
      <c r="M26" s="36">
        <v>5</v>
      </c>
      <c r="N26" s="36">
        <v>5</v>
      </c>
      <c r="O26" s="36">
        <v>5</v>
      </c>
      <c r="P26" s="36">
        <v>5</v>
      </c>
      <c r="Q26" s="36">
        <v>5</v>
      </c>
      <c r="R26" s="36">
        <v>5</v>
      </c>
      <c r="S26" s="36">
        <v>5</v>
      </c>
    </row>
    <row r="27" spans="2:19">
      <c r="B27" t="s">
        <v>362</v>
      </c>
      <c r="H27" s="36">
        <v>43</v>
      </c>
      <c r="I27" s="36">
        <v>56</v>
      </c>
      <c r="J27">
        <f t="shared" ref="J27:S27" si="17">(I27+J28)</f>
        <v>61</v>
      </c>
      <c r="K27">
        <f t="shared" si="17"/>
        <v>66</v>
      </c>
      <c r="L27">
        <f t="shared" si="17"/>
        <v>71</v>
      </c>
      <c r="M27">
        <f t="shared" si="17"/>
        <v>76</v>
      </c>
      <c r="N27">
        <f t="shared" si="17"/>
        <v>81</v>
      </c>
      <c r="O27">
        <f t="shared" si="17"/>
        <v>86</v>
      </c>
      <c r="P27">
        <f t="shared" si="17"/>
        <v>91</v>
      </c>
      <c r="Q27">
        <f t="shared" si="17"/>
        <v>96</v>
      </c>
      <c r="R27">
        <f t="shared" si="17"/>
        <v>101</v>
      </c>
      <c r="S27">
        <f t="shared" si="17"/>
        <v>106</v>
      </c>
    </row>
    <row r="28" spans="2:19">
      <c r="B28" t="s">
        <v>363</v>
      </c>
      <c r="I28">
        <f>I27-H27</f>
        <v>13</v>
      </c>
      <c r="J28" s="36">
        <v>5</v>
      </c>
      <c r="K28" s="36">
        <v>5</v>
      </c>
      <c r="L28" s="36">
        <v>5</v>
      </c>
      <c r="M28" s="36">
        <v>5</v>
      </c>
      <c r="N28" s="36">
        <v>5</v>
      </c>
      <c r="O28" s="36">
        <v>5</v>
      </c>
      <c r="P28" s="36">
        <v>5</v>
      </c>
      <c r="Q28" s="36">
        <v>5</v>
      </c>
      <c r="R28" s="36">
        <v>5</v>
      </c>
      <c r="S28" s="36">
        <v>5</v>
      </c>
    </row>
    <row r="29" spans="2:19">
      <c r="B29" t="s">
        <v>7</v>
      </c>
      <c r="H29" s="36">
        <v>372</v>
      </c>
      <c r="I29" s="36">
        <v>366</v>
      </c>
      <c r="J29">
        <f t="shared" ref="J29:S29" si="18">(I29+J30)</f>
        <v>361</v>
      </c>
      <c r="K29">
        <f t="shared" si="18"/>
        <v>353</v>
      </c>
      <c r="L29">
        <f t="shared" si="18"/>
        <v>345</v>
      </c>
      <c r="M29">
        <f t="shared" si="18"/>
        <v>337</v>
      </c>
      <c r="N29">
        <f t="shared" si="18"/>
        <v>329</v>
      </c>
      <c r="O29">
        <f t="shared" si="18"/>
        <v>321</v>
      </c>
      <c r="P29">
        <f t="shared" si="18"/>
        <v>313</v>
      </c>
      <c r="Q29">
        <f t="shared" si="18"/>
        <v>305</v>
      </c>
      <c r="R29">
        <f t="shared" si="18"/>
        <v>297</v>
      </c>
      <c r="S29">
        <f t="shared" si="18"/>
        <v>289</v>
      </c>
    </row>
    <row r="30" spans="2:19">
      <c r="B30" t="s">
        <v>363</v>
      </c>
      <c r="I30">
        <f>I29-H29</f>
        <v>-6</v>
      </c>
      <c r="J30" s="36">
        <v>-5</v>
      </c>
      <c r="K30" s="36">
        <v>-8</v>
      </c>
      <c r="L30" s="36">
        <v>-8</v>
      </c>
      <c r="M30" s="36">
        <v>-8</v>
      </c>
      <c r="N30" s="36">
        <v>-8</v>
      </c>
      <c r="O30" s="36">
        <v>-8</v>
      </c>
      <c r="P30" s="36">
        <v>-8</v>
      </c>
      <c r="Q30" s="36">
        <v>-8</v>
      </c>
      <c r="R30" s="36">
        <v>-8</v>
      </c>
      <c r="S30" s="36">
        <v>-8</v>
      </c>
    </row>
    <row r="31" spans="2:19">
      <c r="I31" s="6"/>
    </row>
    <row r="32" spans="2:19">
      <c r="B32" t="s">
        <v>364</v>
      </c>
      <c r="H32" s="36">
        <v>14.7</v>
      </c>
      <c r="I32" s="36">
        <v>13.9</v>
      </c>
      <c r="J32" s="62">
        <f t="shared" ref="J32:S32" si="19">(1+J33)*I32</f>
        <v>13.2745</v>
      </c>
      <c r="K32" s="62">
        <f t="shared" si="19"/>
        <v>12.743519999999998</v>
      </c>
      <c r="L32" s="62">
        <f t="shared" si="19"/>
        <v>10.449686399999999</v>
      </c>
      <c r="M32" s="62">
        <f t="shared" si="19"/>
        <v>9.4047177599999987</v>
      </c>
      <c r="N32" s="62">
        <f t="shared" si="19"/>
        <v>9.0285290495999977</v>
      </c>
      <c r="O32" s="62">
        <f t="shared" si="19"/>
        <v>9.0285290495999977</v>
      </c>
      <c r="P32" s="62">
        <f t="shared" si="19"/>
        <v>9.0285290495999977</v>
      </c>
      <c r="Q32" s="62">
        <f t="shared" si="19"/>
        <v>9.0285290495999977</v>
      </c>
      <c r="R32" s="62">
        <f t="shared" si="19"/>
        <v>9.0285290495999977</v>
      </c>
      <c r="S32" s="62">
        <f t="shared" si="19"/>
        <v>9.0285290495999977</v>
      </c>
    </row>
    <row r="33" spans="2:19">
      <c r="B33" t="s">
        <v>78</v>
      </c>
      <c r="I33" s="6">
        <f>I32/H32-1</f>
        <v>-5.4421768707482943E-2</v>
      </c>
      <c r="J33" s="34">
        <v>-4.4999999999999998E-2</v>
      </c>
      <c r="K33" s="34">
        <v>-0.04</v>
      </c>
      <c r="L33" s="34">
        <v>-0.18</v>
      </c>
      <c r="M33" s="34">
        <v>-0.1</v>
      </c>
      <c r="N33" s="34">
        <v>-0.04</v>
      </c>
      <c r="O33" s="34">
        <v>0</v>
      </c>
      <c r="P33" s="34">
        <v>0</v>
      </c>
      <c r="Q33" s="34">
        <v>0</v>
      </c>
      <c r="R33" s="34">
        <v>0</v>
      </c>
      <c r="S33" s="34">
        <v>0</v>
      </c>
    </row>
    <row r="34" spans="2:19">
      <c r="B34" t="s">
        <v>365</v>
      </c>
      <c r="H34" s="36">
        <v>28.8</v>
      </c>
      <c r="I34" s="36">
        <v>29.2</v>
      </c>
      <c r="J34" s="62">
        <f t="shared" ref="J34:S34" si="20">(1+J35)*I34</f>
        <v>28.907999999999998</v>
      </c>
      <c r="K34" s="62">
        <f t="shared" si="20"/>
        <v>28.040759999999995</v>
      </c>
      <c r="L34" s="62">
        <f t="shared" si="20"/>
        <v>28.040759999999995</v>
      </c>
      <c r="M34" s="62">
        <f t="shared" si="20"/>
        <v>28.321167599999995</v>
      </c>
      <c r="N34" s="62">
        <f t="shared" si="20"/>
        <v>28.604379275999996</v>
      </c>
      <c r="O34" s="62">
        <f t="shared" si="20"/>
        <v>28.032291690479994</v>
      </c>
      <c r="P34" s="62">
        <f t="shared" si="20"/>
        <v>27.471645856670392</v>
      </c>
      <c r="Q34" s="62">
        <f t="shared" si="20"/>
        <v>26.922212939536983</v>
      </c>
      <c r="R34" s="62">
        <f t="shared" si="20"/>
        <v>26.383768680746243</v>
      </c>
      <c r="S34" s="62">
        <f t="shared" si="20"/>
        <v>25.856093307131317</v>
      </c>
    </row>
    <row r="35" spans="2:19">
      <c r="B35" t="s">
        <v>78</v>
      </c>
      <c r="I35" s="6">
        <f>I34/H34-1</f>
        <v>1.388888888888884E-2</v>
      </c>
      <c r="J35" s="34">
        <v>-0.01</v>
      </c>
      <c r="K35" s="34">
        <v>-0.03</v>
      </c>
      <c r="L35" s="34">
        <v>0</v>
      </c>
      <c r="M35" s="34">
        <v>0.01</v>
      </c>
      <c r="N35" s="34">
        <v>0.01</v>
      </c>
      <c r="O35" s="34">
        <v>-0.02</v>
      </c>
      <c r="P35" s="34">
        <v>-0.02</v>
      </c>
      <c r="Q35" s="34">
        <v>-0.02</v>
      </c>
      <c r="R35" s="34">
        <v>-0.02</v>
      </c>
      <c r="S35" s="34">
        <v>-0.02</v>
      </c>
    </row>
    <row r="36" spans="2:19">
      <c r="B36" t="s">
        <v>366</v>
      </c>
      <c r="H36" s="36">
        <v>33.6</v>
      </c>
      <c r="I36" s="36">
        <v>33.700000000000003</v>
      </c>
      <c r="J36" s="62">
        <f t="shared" ref="J36:S36" si="21">(1+J37)*I36</f>
        <v>32.689</v>
      </c>
      <c r="K36" s="62">
        <f t="shared" si="21"/>
        <v>32.035220000000002</v>
      </c>
      <c r="L36" s="62">
        <f t="shared" si="21"/>
        <v>31.394515600000002</v>
      </c>
      <c r="M36" s="62">
        <f t="shared" si="21"/>
        <v>30.766625288</v>
      </c>
      <c r="N36" s="62">
        <f t="shared" si="21"/>
        <v>30.151292782239999</v>
      </c>
      <c r="O36" s="62">
        <f t="shared" si="21"/>
        <v>29.548266926595197</v>
      </c>
      <c r="P36" s="62">
        <f t="shared" si="21"/>
        <v>28.957301588063292</v>
      </c>
      <c r="Q36" s="62">
        <f t="shared" si="21"/>
        <v>28.378155556302026</v>
      </c>
      <c r="R36" s="62">
        <f t="shared" si="21"/>
        <v>27.810592445175985</v>
      </c>
      <c r="S36" s="62">
        <f t="shared" si="21"/>
        <v>27.254380596272465</v>
      </c>
    </row>
    <row r="37" spans="2:19">
      <c r="B37" t="s">
        <v>78</v>
      </c>
      <c r="I37" s="6">
        <f>I36/H36-1</f>
        <v>2.9761904761904656E-3</v>
      </c>
      <c r="J37" s="34">
        <v>-0.03</v>
      </c>
      <c r="K37" s="34">
        <v>-0.02</v>
      </c>
      <c r="L37" s="34">
        <v>-0.02</v>
      </c>
      <c r="M37" s="34">
        <v>-0.02</v>
      </c>
      <c r="N37" s="34">
        <v>-0.02</v>
      </c>
      <c r="O37" s="34">
        <v>-0.02</v>
      </c>
      <c r="P37" s="34">
        <v>-0.02</v>
      </c>
      <c r="Q37" s="34">
        <v>-0.02</v>
      </c>
      <c r="R37" s="34">
        <v>-0.02</v>
      </c>
      <c r="S37" s="34">
        <v>-0.02</v>
      </c>
    </row>
    <row r="38" spans="2:19">
      <c r="B38" t="s">
        <v>367</v>
      </c>
      <c r="H38" s="36">
        <v>25.2</v>
      </c>
      <c r="I38" s="36">
        <v>24.1</v>
      </c>
      <c r="J38" s="62">
        <f t="shared" ref="J38:S38" si="22">(1+J39)*I38</f>
        <v>21.69</v>
      </c>
      <c r="K38" s="62">
        <f t="shared" si="22"/>
        <v>19.954800000000002</v>
      </c>
      <c r="L38" s="62">
        <f t="shared" si="22"/>
        <v>19.356156000000002</v>
      </c>
      <c r="M38" s="62">
        <f t="shared" si="22"/>
        <v>18.775471320000001</v>
      </c>
      <c r="N38" s="62">
        <f t="shared" si="22"/>
        <v>18.2122071804</v>
      </c>
      <c r="O38" s="62">
        <f t="shared" si="22"/>
        <v>17.665840964988</v>
      </c>
      <c r="P38" s="62">
        <f t="shared" si="22"/>
        <v>17.135865736038358</v>
      </c>
      <c r="Q38" s="62">
        <f t="shared" si="22"/>
        <v>16.621789763957207</v>
      </c>
      <c r="R38" s="62">
        <f t="shared" si="22"/>
        <v>16.123136071038491</v>
      </c>
      <c r="S38" s="62">
        <f t="shared" si="22"/>
        <v>15.639441988907336</v>
      </c>
    </row>
    <row r="39" spans="2:19">
      <c r="B39" t="s">
        <v>78</v>
      </c>
      <c r="I39" s="6">
        <f>I38/H38-1</f>
        <v>-4.3650793650793607E-2</v>
      </c>
      <c r="J39" s="34">
        <v>-0.1</v>
      </c>
      <c r="K39" s="34">
        <v>-0.08</v>
      </c>
      <c r="L39" s="34">
        <v>-0.03</v>
      </c>
      <c r="M39" s="34">
        <v>-0.03</v>
      </c>
      <c r="N39" s="34">
        <v>-0.03</v>
      </c>
      <c r="O39" s="34">
        <v>-0.03</v>
      </c>
      <c r="P39" s="34">
        <v>-0.03</v>
      </c>
      <c r="Q39" s="34">
        <v>-0.03</v>
      </c>
      <c r="R39" s="34">
        <v>-0.03</v>
      </c>
      <c r="S39" s="34">
        <v>-0.03</v>
      </c>
    </row>
    <row r="40" spans="2:19">
      <c r="I40" s="6"/>
    </row>
    <row r="41" spans="2:19">
      <c r="B41" t="s">
        <v>8</v>
      </c>
      <c r="H41">
        <f>SUM(Quarts!K72:L72)</f>
        <v>239</v>
      </c>
      <c r="I41">
        <f>SUM(Quarts!V72:W72)</f>
        <v>241</v>
      </c>
      <c r="J41" s="63">
        <v>251</v>
      </c>
      <c r="K41" s="16">
        <f t="shared" ref="K41:S41" si="23">K42*K20</f>
        <v>244.90507899999997</v>
      </c>
      <c r="L41" s="16">
        <f t="shared" si="23"/>
        <v>237.42399999999998</v>
      </c>
      <c r="M41" s="16">
        <f t="shared" si="23"/>
        <v>229.845</v>
      </c>
      <c r="N41" s="16">
        <f t="shared" si="23"/>
        <v>230.37650636925929</v>
      </c>
      <c r="O41" s="16">
        <f t="shared" si="23"/>
        <v>234.35763079954899</v>
      </c>
      <c r="P41" s="16">
        <f t="shared" si="23"/>
        <v>238.51948872620127</v>
      </c>
      <c r="Q41" s="16">
        <f t="shared" si="23"/>
        <v>242.86871925839318</v>
      </c>
      <c r="R41" s="16">
        <f t="shared" si="23"/>
        <v>247.41240857037289</v>
      </c>
      <c r="S41" s="16">
        <f t="shared" si="23"/>
        <v>252.15810709523186</v>
      </c>
    </row>
    <row r="42" spans="2:19">
      <c r="B42" t="s">
        <v>251</v>
      </c>
      <c r="F42" s="6"/>
      <c r="G42" s="6"/>
      <c r="H42" s="6">
        <f>H41/H20</f>
        <v>0.41493055555555558</v>
      </c>
      <c r="I42" s="6">
        <f>I41/I20</f>
        <v>0.37893081761006292</v>
      </c>
      <c r="J42" s="6">
        <f>J41/J20</f>
        <v>0.38674884437596302</v>
      </c>
      <c r="K42" s="35">
        <v>0.38</v>
      </c>
      <c r="L42" s="35">
        <v>0.38</v>
      </c>
      <c r="M42" s="35">
        <v>0.38500000000000001</v>
      </c>
      <c r="N42" s="35">
        <v>0.38500000000000001</v>
      </c>
      <c r="O42" s="35">
        <v>0.38500000000000001</v>
      </c>
      <c r="P42" s="35">
        <v>0.38500000000000001</v>
      </c>
      <c r="Q42" s="35">
        <v>0.38500000000000001</v>
      </c>
      <c r="R42" s="35">
        <v>0.38500000000000001</v>
      </c>
      <c r="S42" s="35">
        <v>0.38500000000000001</v>
      </c>
    </row>
    <row r="43" spans="2:19">
      <c r="F43" s="6"/>
      <c r="G43" s="6"/>
      <c r="H43" s="6"/>
      <c r="I43" s="6"/>
    </row>
    <row r="44" spans="2:19">
      <c r="B44" t="s">
        <v>19</v>
      </c>
      <c r="F44" s="6"/>
      <c r="G44" s="6"/>
      <c r="H44">
        <f>SUM(Quarts!K115:L115)</f>
        <v>79</v>
      </c>
      <c r="I44">
        <f>SUM(Quarts!V115:W115)</f>
        <v>126</v>
      </c>
      <c r="J44" s="63">
        <f>SUM(Quarts!H469:L469)</f>
        <v>103</v>
      </c>
      <c r="K44" s="16">
        <f t="shared" ref="K44:S44" si="24">K45*K20</f>
        <v>122.45253949999999</v>
      </c>
      <c r="L44" s="16">
        <f t="shared" si="24"/>
        <v>112.46399999999998</v>
      </c>
      <c r="M44" s="16">
        <f t="shared" si="24"/>
        <v>101.49000000000001</v>
      </c>
      <c r="N44" s="16">
        <f t="shared" si="24"/>
        <v>101.72469112408852</v>
      </c>
      <c r="O44" s="16">
        <f t="shared" si="24"/>
        <v>97.395379033578791</v>
      </c>
      <c r="P44" s="16">
        <f t="shared" si="24"/>
        <v>92.929670932286214</v>
      </c>
      <c r="Q44" s="16">
        <f t="shared" si="24"/>
        <v>94.6241763344389</v>
      </c>
      <c r="R44" s="16">
        <f t="shared" si="24"/>
        <v>96.394444897547871</v>
      </c>
      <c r="S44" s="16">
        <f t="shared" si="24"/>
        <v>98.243418348791621</v>
      </c>
    </row>
    <row r="45" spans="2:19">
      <c r="B45" t="s">
        <v>20</v>
      </c>
      <c r="F45" s="6"/>
      <c r="G45" s="6"/>
      <c r="H45" s="6">
        <f>H44/H20</f>
        <v>0.13715277777777779</v>
      </c>
      <c r="I45" s="6">
        <f>I44/I20</f>
        <v>0.19811320754716982</v>
      </c>
      <c r="J45" s="6">
        <f>J44/J20</f>
        <v>0.15870570107858242</v>
      </c>
      <c r="K45" s="35">
        <v>0.19</v>
      </c>
      <c r="L45" s="35">
        <v>0.18</v>
      </c>
      <c r="M45" s="35">
        <v>0.17</v>
      </c>
      <c r="N45" s="35">
        <v>0.17</v>
      </c>
      <c r="O45" s="35">
        <v>0.16</v>
      </c>
      <c r="P45" s="35">
        <v>0.15</v>
      </c>
      <c r="Q45" s="35">
        <v>0.15</v>
      </c>
      <c r="R45" s="35">
        <v>0.15</v>
      </c>
      <c r="S45" s="35">
        <v>0.15</v>
      </c>
    </row>
    <row r="46" spans="2:19">
      <c r="F46" s="6"/>
      <c r="G46" s="6"/>
      <c r="H46" s="6"/>
      <c r="I46" s="6"/>
      <c r="J46" s="6"/>
      <c r="K46" s="6"/>
      <c r="L46" s="6"/>
      <c r="M46" s="6"/>
      <c r="N46" s="6"/>
      <c r="O46" s="6"/>
      <c r="P46" s="6"/>
      <c r="Q46" s="6"/>
      <c r="R46" s="6"/>
      <c r="S46" s="6"/>
    </row>
    <row r="47" spans="2:19">
      <c r="B47" t="s">
        <v>27</v>
      </c>
      <c r="F47" s="6"/>
      <c r="G47" s="6"/>
      <c r="H47" s="16">
        <f>H41-H44</f>
        <v>160</v>
      </c>
      <c r="I47" s="16">
        <f t="shared" ref="I47:S47" si="25">I41-I44</f>
        <v>115</v>
      </c>
      <c r="J47" s="16">
        <f t="shared" si="25"/>
        <v>148</v>
      </c>
      <c r="K47" s="16">
        <f t="shared" si="25"/>
        <v>122.45253949999999</v>
      </c>
      <c r="L47" s="16">
        <f t="shared" si="25"/>
        <v>124.96</v>
      </c>
      <c r="M47" s="16">
        <f t="shared" si="25"/>
        <v>128.35499999999999</v>
      </c>
      <c r="N47" s="16">
        <f t="shared" si="25"/>
        <v>128.65181524517078</v>
      </c>
      <c r="O47" s="16">
        <f t="shared" si="25"/>
        <v>136.96225176597019</v>
      </c>
      <c r="P47" s="16">
        <f t="shared" si="25"/>
        <v>145.58981779391507</v>
      </c>
      <c r="Q47" s="16">
        <f t="shared" si="25"/>
        <v>148.24454292395427</v>
      </c>
      <c r="R47" s="16">
        <f t="shared" si="25"/>
        <v>151.01796367282503</v>
      </c>
      <c r="S47" s="16">
        <f t="shared" si="25"/>
        <v>153.91468874644022</v>
      </c>
    </row>
    <row r="48" spans="2:19">
      <c r="B48" t="s">
        <v>392</v>
      </c>
      <c r="F48" s="6"/>
      <c r="G48" s="6"/>
      <c r="H48" s="34">
        <v>0.25</v>
      </c>
      <c r="I48" s="34">
        <v>0.25</v>
      </c>
      <c r="J48" s="34">
        <v>0.25</v>
      </c>
      <c r="K48" s="34">
        <v>0.25</v>
      </c>
      <c r="L48" s="34">
        <v>0.25</v>
      </c>
      <c r="M48" s="34">
        <v>0.25</v>
      </c>
      <c r="N48" s="34">
        <v>0.25</v>
      </c>
      <c r="O48" s="34">
        <v>0.25</v>
      </c>
      <c r="P48" s="34">
        <v>0.25</v>
      </c>
      <c r="Q48" s="34">
        <v>0.25</v>
      </c>
      <c r="R48" s="34">
        <v>0.25</v>
      </c>
      <c r="S48" s="34">
        <v>0.25</v>
      </c>
    </row>
    <row r="49" spans="2:19">
      <c r="B49" t="s">
        <v>377</v>
      </c>
      <c r="F49" s="6"/>
      <c r="G49" s="6"/>
      <c r="H49" s="16">
        <f>(1-H48)*H47</f>
        <v>120</v>
      </c>
      <c r="I49" s="16">
        <f t="shared" ref="I49:S49" si="26">(1-I48)*I47</f>
        <v>86.25</v>
      </c>
      <c r="J49" s="16">
        <f t="shared" si="26"/>
        <v>111</v>
      </c>
      <c r="K49" s="16">
        <f t="shared" si="26"/>
        <v>91.839404624999986</v>
      </c>
      <c r="L49" s="16">
        <f t="shared" si="26"/>
        <v>93.72</v>
      </c>
      <c r="M49" s="16">
        <f t="shared" si="26"/>
        <v>96.266249999999985</v>
      </c>
      <c r="N49" s="16">
        <f t="shared" si="26"/>
        <v>96.488861433878085</v>
      </c>
      <c r="O49" s="16">
        <f t="shared" si="26"/>
        <v>102.72168882447764</v>
      </c>
      <c r="P49" s="16">
        <f t="shared" si="26"/>
        <v>109.19236334543631</v>
      </c>
      <c r="Q49" s="16">
        <f t="shared" si="26"/>
        <v>111.1834071929657</v>
      </c>
      <c r="R49" s="16">
        <f t="shared" si="26"/>
        <v>113.26347275461877</v>
      </c>
      <c r="S49" s="16">
        <f t="shared" si="26"/>
        <v>115.43601655983016</v>
      </c>
    </row>
    <row r="51" spans="2:19">
      <c r="B51" s="68" t="s">
        <v>252</v>
      </c>
      <c r="C51" s="68"/>
      <c r="D51" s="69">
        <v>40238</v>
      </c>
      <c r="E51" s="69">
        <v>40603</v>
      </c>
      <c r="F51" s="69">
        <v>40969</v>
      </c>
      <c r="G51" s="69">
        <v>41334</v>
      </c>
      <c r="H51" s="69">
        <v>41699</v>
      </c>
      <c r="I51" s="69">
        <v>42064</v>
      </c>
      <c r="J51" s="69">
        <v>42430</v>
      </c>
      <c r="K51" s="69">
        <v>42795</v>
      </c>
      <c r="L51" s="69">
        <v>43160</v>
      </c>
      <c r="M51" s="69">
        <v>43525</v>
      </c>
      <c r="N51" s="69">
        <v>43891</v>
      </c>
      <c r="O51" s="69">
        <v>44256</v>
      </c>
      <c r="P51" s="69">
        <v>44621</v>
      </c>
      <c r="Q51" s="69">
        <v>44986</v>
      </c>
      <c r="R51" s="69">
        <v>45352</v>
      </c>
      <c r="S51" s="69">
        <v>45717</v>
      </c>
    </row>
    <row r="53" spans="2:19">
      <c r="B53" t="s">
        <v>370</v>
      </c>
      <c r="I53" s="16">
        <f>I80*AVERAGE(H71,I71)*12/1000</f>
        <v>295.54199999999997</v>
      </c>
      <c r="J53" s="16">
        <f t="shared" ref="J53:S53" si="27">J80*AVERAGE(I71,J71)*12/1000</f>
        <v>325.17576000000003</v>
      </c>
      <c r="K53" s="16">
        <f t="shared" si="27"/>
        <v>360.85336559999996</v>
      </c>
      <c r="L53" s="16">
        <f t="shared" si="27"/>
        <v>385.51553913599997</v>
      </c>
      <c r="M53" s="16">
        <f t="shared" si="27"/>
        <v>405.90949829975995</v>
      </c>
      <c r="N53" s="16">
        <f t="shared" si="27"/>
        <v>423.09331541928344</v>
      </c>
      <c r="O53" s="16">
        <f t="shared" si="27"/>
        <v>435.02488099794346</v>
      </c>
      <c r="P53" s="16">
        <f t="shared" si="27"/>
        <v>446.95644657660347</v>
      </c>
      <c r="Q53" s="16">
        <f t="shared" si="27"/>
        <v>458.88801215526343</v>
      </c>
      <c r="R53" s="16">
        <f t="shared" si="27"/>
        <v>470.81957773392344</v>
      </c>
      <c r="S53" s="16">
        <f t="shared" si="27"/>
        <v>482.75114331258345</v>
      </c>
    </row>
    <row r="54" spans="2:19">
      <c r="B54" s="3" t="s">
        <v>4</v>
      </c>
      <c r="C54" s="3"/>
      <c r="D54" s="3"/>
      <c r="E54" s="3"/>
      <c r="F54" s="3"/>
      <c r="G54" s="3"/>
      <c r="H54" s="3"/>
      <c r="I54" s="64">
        <f>I55-I53</f>
        <v>3.4580000000000268</v>
      </c>
      <c r="J54" s="65">
        <f>I54</f>
        <v>3.4580000000000268</v>
      </c>
      <c r="K54" s="65">
        <f t="shared" ref="K54:S54" si="28">J54</f>
        <v>3.4580000000000268</v>
      </c>
      <c r="L54" s="65">
        <f t="shared" si="28"/>
        <v>3.4580000000000268</v>
      </c>
      <c r="M54" s="65">
        <f t="shared" si="28"/>
        <v>3.4580000000000268</v>
      </c>
      <c r="N54" s="65">
        <f t="shared" si="28"/>
        <v>3.4580000000000268</v>
      </c>
      <c r="O54" s="65">
        <f t="shared" si="28"/>
        <v>3.4580000000000268</v>
      </c>
      <c r="P54" s="65">
        <f t="shared" si="28"/>
        <v>3.4580000000000268</v>
      </c>
      <c r="Q54" s="65">
        <f t="shared" si="28"/>
        <v>3.4580000000000268</v>
      </c>
      <c r="R54" s="65">
        <f t="shared" si="28"/>
        <v>3.4580000000000268</v>
      </c>
      <c r="S54" s="65">
        <f t="shared" si="28"/>
        <v>3.4580000000000268</v>
      </c>
    </row>
    <row r="55" spans="2:19">
      <c r="B55" t="s">
        <v>5</v>
      </c>
      <c r="H55">
        <f>SUM(Quarts!K12:L12)</f>
        <v>273</v>
      </c>
      <c r="I55">
        <f>SUM(Quarts!V12:W12)</f>
        <v>299</v>
      </c>
      <c r="J55" s="16">
        <f>J53+J54</f>
        <v>328.63376000000005</v>
      </c>
      <c r="K55" s="16">
        <f t="shared" ref="K55:S55" si="29">K53+K54</f>
        <v>364.31136559999999</v>
      </c>
      <c r="L55" s="16">
        <f t="shared" si="29"/>
        <v>388.973539136</v>
      </c>
      <c r="M55" s="16">
        <f t="shared" si="29"/>
        <v>409.36749829975997</v>
      </c>
      <c r="N55" s="16">
        <f t="shared" si="29"/>
        <v>426.55131541928347</v>
      </c>
      <c r="O55" s="16">
        <f t="shared" si="29"/>
        <v>438.48288099794348</v>
      </c>
      <c r="P55" s="16">
        <f t="shared" si="29"/>
        <v>450.4144465766035</v>
      </c>
      <c r="Q55" s="16">
        <f t="shared" si="29"/>
        <v>462.34601215526345</v>
      </c>
      <c r="R55" s="16">
        <f t="shared" si="29"/>
        <v>474.27757773392347</v>
      </c>
      <c r="S55" s="16">
        <f t="shared" si="29"/>
        <v>486.20914331258348</v>
      </c>
    </row>
    <row r="56" spans="2:19">
      <c r="B56" t="s">
        <v>78</v>
      </c>
      <c r="G56" s="6"/>
      <c r="H56" s="6"/>
      <c r="I56" s="6">
        <f>I55/H55-1</f>
        <v>9.5238095238095344E-2</v>
      </c>
      <c r="J56" s="6">
        <f t="shared" ref="J56:S56" si="30">J55/I55-1</f>
        <v>9.9109565217391449E-2</v>
      </c>
      <c r="K56" s="6">
        <f t="shared" si="30"/>
        <v>0.10856342209029268</v>
      </c>
      <c r="L56" s="6">
        <f t="shared" si="30"/>
        <v>6.7695317425474189E-2</v>
      </c>
      <c r="M56" s="6">
        <f t="shared" si="30"/>
        <v>5.2430196689110753E-2</v>
      </c>
      <c r="N56" s="6">
        <f t="shared" si="30"/>
        <v>4.1976505684729881E-2</v>
      </c>
      <c r="O56" s="6">
        <f t="shared" si="30"/>
        <v>2.797216922641943E-2</v>
      </c>
      <c r="P56" s="6">
        <f t="shared" si="30"/>
        <v>2.7211018025390166E-2</v>
      </c>
      <c r="Q56" s="6">
        <f t="shared" si="30"/>
        <v>2.6490192908656507E-2</v>
      </c>
      <c r="R56" s="6">
        <f t="shared" si="30"/>
        <v>2.5806571842244441E-2</v>
      </c>
      <c r="S56" s="6">
        <f t="shared" si="30"/>
        <v>2.5157346960546834E-2</v>
      </c>
    </row>
    <row r="57" spans="2:19">
      <c r="G57" s="6"/>
      <c r="H57" s="6"/>
      <c r="I57" s="6"/>
      <c r="J57" s="6"/>
      <c r="K57" s="6"/>
      <c r="L57" s="6"/>
      <c r="M57" s="6"/>
      <c r="N57" s="6"/>
      <c r="O57" s="6"/>
      <c r="P57" s="6"/>
      <c r="Q57" s="6"/>
      <c r="R57" s="6"/>
      <c r="S57" s="6"/>
    </row>
    <row r="58" spans="2:19">
      <c r="B58" t="s">
        <v>368</v>
      </c>
      <c r="G58" s="6"/>
      <c r="H58" s="6"/>
      <c r="I58" s="16">
        <f>I82*AVERAGE(H73,I73)*12/1000</f>
        <v>94.676400000000015</v>
      </c>
      <c r="J58" s="16">
        <f t="shared" ref="J58:S58" si="31">J82*AVERAGE(I73,J73)*12/1000</f>
        <v>94.121622000000002</v>
      </c>
      <c r="K58" s="16">
        <f t="shared" si="31"/>
        <v>96.199362000000022</v>
      </c>
      <c r="L58" s="16">
        <f t="shared" si="31"/>
        <v>98.277102000000014</v>
      </c>
      <c r="M58" s="16">
        <f t="shared" si="31"/>
        <v>100.354842</v>
      </c>
      <c r="N58" s="16">
        <f t="shared" si="31"/>
        <v>102.43258200000001</v>
      </c>
      <c r="O58" s="16">
        <f t="shared" si="31"/>
        <v>104.51032200000002</v>
      </c>
      <c r="P58" s="16">
        <f t="shared" si="31"/>
        <v>106.58806200000002</v>
      </c>
      <c r="Q58" s="16">
        <f t="shared" si="31"/>
        <v>108.66580200000003</v>
      </c>
      <c r="R58" s="16">
        <f t="shared" si="31"/>
        <v>110.74354200000002</v>
      </c>
      <c r="S58" s="16">
        <f t="shared" si="31"/>
        <v>112.82128200000001</v>
      </c>
    </row>
    <row r="59" spans="2:19">
      <c r="B59" s="3" t="s">
        <v>369</v>
      </c>
      <c r="C59" s="3"/>
      <c r="D59" s="3"/>
      <c r="E59" s="3"/>
      <c r="F59" s="3"/>
      <c r="G59" s="7"/>
      <c r="H59" s="7"/>
      <c r="I59" s="64">
        <f>I84*AVERAGE(H75,I75)*12/1000</f>
        <v>7.3133999999999997</v>
      </c>
      <c r="J59" s="64">
        <f t="shared" ref="J59:S59" si="32">J84*AVERAGE(I75,J75)*12/1000</f>
        <v>8.2067819999999987</v>
      </c>
      <c r="K59" s="64">
        <f t="shared" si="32"/>
        <v>9.405806759999999</v>
      </c>
      <c r="L59" s="64">
        <f t="shared" si="32"/>
        <v>10.661277488399998</v>
      </c>
      <c r="M59" s="64">
        <f t="shared" si="32"/>
        <v>12.010806284399997</v>
      </c>
      <c r="N59" s="64">
        <f t="shared" si="32"/>
        <v>13.360335080399997</v>
      </c>
      <c r="O59" s="64">
        <f t="shared" si="32"/>
        <v>14.709863876399995</v>
      </c>
      <c r="P59" s="64">
        <f t="shared" si="32"/>
        <v>16.059392672399994</v>
      </c>
      <c r="Q59" s="64">
        <f t="shared" si="32"/>
        <v>17.408921468399996</v>
      </c>
      <c r="R59" s="64">
        <f t="shared" si="32"/>
        <v>18.758450264399993</v>
      </c>
      <c r="S59" s="64">
        <f t="shared" si="32"/>
        <v>20.107979060399998</v>
      </c>
    </row>
    <row r="60" spans="2:19">
      <c r="B60" t="s">
        <v>6</v>
      </c>
      <c r="H60">
        <f>SUM(Quarts!K13:L13)</f>
        <v>105</v>
      </c>
      <c r="I60">
        <f>SUM(Quarts!V13:W13)</f>
        <v>242</v>
      </c>
      <c r="J60" s="16">
        <f>J58+J59</f>
        <v>102.32840400000001</v>
      </c>
      <c r="K60" s="16">
        <f t="shared" ref="K60:S60" si="33">K58+K59</f>
        <v>105.60516876000003</v>
      </c>
      <c r="L60" s="16">
        <f t="shared" si="33"/>
        <v>108.93837948840002</v>
      </c>
      <c r="M60" s="16">
        <f t="shared" si="33"/>
        <v>112.36564828440001</v>
      </c>
      <c r="N60" s="16">
        <f t="shared" si="33"/>
        <v>115.7929170804</v>
      </c>
      <c r="O60" s="16">
        <f t="shared" si="33"/>
        <v>119.22018587640001</v>
      </c>
      <c r="P60" s="16">
        <f t="shared" si="33"/>
        <v>122.64745467240002</v>
      </c>
      <c r="Q60" s="16">
        <f t="shared" si="33"/>
        <v>126.07472346840002</v>
      </c>
      <c r="R60" s="16">
        <f t="shared" si="33"/>
        <v>129.5019922644</v>
      </c>
      <c r="S60" s="16">
        <f t="shared" si="33"/>
        <v>132.92926106039999</v>
      </c>
    </row>
    <row r="61" spans="2:19">
      <c r="B61" t="s">
        <v>78</v>
      </c>
      <c r="G61" s="6"/>
      <c r="H61" s="6"/>
      <c r="I61" s="6">
        <f>I60/H60-1</f>
        <v>1.3047619047619046</v>
      </c>
      <c r="J61" s="6">
        <f t="shared" ref="J61:S61" si="34">J60/I60-1</f>
        <v>-0.57715535537190088</v>
      </c>
      <c r="K61" s="6">
        <f t="shared" si="34"/>
        <v>3.2022045022807255E-2</v>
      </c>
      <c r="L61" s="6">
        <f t="shared" si="34"/>
        <v>3.1562950635258158E-2</v>
      </c>
      <c r="M61" s="6">
        <f t="shared" si="34"/>
        <v>3.1460618489968839E-2</v>
      </c>
      <c r="N61" s="6">
        <f t="shared" si="34"/>
        <v>3.0501037001321674E-2</v>
      </c>
      <c r="O61" s="6">
        <f t="shared" si="34"/>
        <v>2.9598259396300675E-2</v>
      </c>
      <c r="P61" s="6">
        <f t="shared" si="34"/>
        <v>2.8747386785264561E-2</v>
      </c>
      <c r="Q61" s="6">
        <f t="shared" si="34"/>
        <v>2.7944067858191479E-2</v>
      </c>
      <c r="R61" s="6">
        <f t="shared" si="34"/>
        <v>2.7184424456493161E-2</v>
      </c>
      <c r="S61" s="6">
        <f t="shared" si="34"/>
        <v>2.646498896327909E-2</v>
      </c>
    </row>
    <row r="62" spans="2:19">
      <c r="G62" s="6"/>
      <c r="H62" s="6"/>
      <c r="I62" s="6"/>
      <c r="J62" s="6"/>
      <c r="K62" s="6"/>
      <c r="L62" s="6"/>
      <c r="M62" s="6"/>
      <c r="N62" s="6"/>
      <c r="O62" s="6"/>
      <c r="P62" s="6"/>
      <c r="Q62" s="6"/>
      <c r="R62" s="6"/>
      <c r="S62" s="6"/>
    </row>
    <row r="63" spans="2:19">
      <c r="B63" t="s">
        <v>7</v>
      </c>
      <c r="H63">
        <f>SUM(Quarts!K14:L14)</f>
        <v>207</v>
      </c>
      <c r="I63">
        <f>SUM(Quarts!V14:W14)</f>
        <v>196</v>
      </c>
      <c r="J63" s="16">
        <f>J86*AVERAGE(I77,J77)*12/1000</f>
        <v>186.32387999999997</v>
      </c>
      <c r="K63" s="16">
        <f t="shared" ref="K63:S63" si="35">K86*AVERAGE(J77,K77)*12/1000</f>
        <v>176.02345559999998</v>
      </c>
      <c r="L63" s="16">
        <f t="shared" si="35"/>
        <v>167.38715759999997</v>
      </c>
      <c r="M63" s="16">
        <f t="shared" si="35"/>
        <v>157.96574159999997</v>
      </c>
      <c r="N63" s="16">
        <f t="shared" si="35"/>
        <v>150.02976885599998</v>
      </c>
      <c r="O63" s="16">
        <f t="shared" si="35"/>
        <v>143.32442146992</v>
      </c>
      <c r="P63" s="16">
        <f t="shared" si="35"/>
        <v>136.29084828085442</v>
      </c>
      <c r="Q63" s="16">
        <f t="shared" si="35"/>
        <v>128.91860239563817</v>
      </c>
      <c r="R63" s="16">
        <f t="shared" si="35"/>
        <v>121.19695033570102</v>
      </c>
      <c r="S63" s="16">
        <f t="shared" si="35"/>
        <v>113.11486475240808</v>
      </c>
    </row>
    <row r="64" spans="2:19">
      <c r="B64" t="s">
        <v>78</v>
      </c>
      <c r="G64" s="6"/>
      <c r="H64" s="6"/>
      <c r="I64" s="6">
        <f>I63/H63-1</f>
        <v>-5.3140096618357502E-2</v>
      </c>
      <c r="J64" s="6">
        <f t="shared" ref="J64:S64" si="36">J63/I63-1</f>
        <v>-4.9367959183673649E-2</v>
      </c>
      <c r="K64" s="6">
        <f t="shared" si="36"/>
        <v>-5.5282363162467374E-2</v>
      </c>
      <c r="L64" s="6">
        <f t="shared" si="36"/>
        <v>-4.9063336306868988E-2</v>
      </c>
      <c r="M64" s="6">
        <f t="shared" si="36"/>
        <v>-5.628517823639767E-2</v>
      </c>
      <c r="N64" s="6">
        <f t="shared" si="36"/>
        <v>-5.0238568588469201E-2</v>
      </c>
      <c r="O64" s="6">
        <f t="shared" si="36"/>
        <v>-4.4693446088794775E-2</v>
      </c>
      <c r="P64" s="6">
        <f t="shared" si="36"/>
        <v>-4.9074492099322686E-2</v>
      </c>
      <c r="Q64" s="6">
        <f t="shared" si="36"/>
        <v>-5.4092009685230424E-2</v>
      </c>
      <c r="R64" s="6">
        <f t="shared" si="36"/>
        <v>-5.9895561357702132E-2</v>
      </c>
      <c r="S64" s="6">
        <f t="shared" si="36"/>
        <v>-6.6685552407932169E-2</v>
      </c>
    </row>
    <row r="65" spans="2:19">
      <c r="G65" s="6"/>
      <c r="H65" s="6"/>
      <c r="I65" s="6"/>
      <c r="J65" s="6"/>
      <c r="K65" s="6"/>
      <c r="L65" s="6"/>
      <c r="M65" s="6"/>
      <c r="N65" s="6"/>
      <c r="O65" s="6"/>
      <c r="P65" s="6"/>
      <c r="Q65" s="6"/>
      <c r="R65" s="6"/>
      <c r="S65" s="6"/>
    </row>
    <row r="66" spans="2:19">
      <c r="B66" t="s">
        <v>4</v>
      </c>
      <c r="H66">
        <f>SUM(Quarts!K15:L15)</f>
        <v>106</v>
      </c>
      <c r="I66">
        <f>SUM(Quarts!V15:W15)</f>
        <v>144</v>
      </c>
      <c r="J66" s="16">
        <f t="shared" ref="J66:S66" si="37">(1+J67)*I66</f>
        <v>149.76</v>
      </c>
      <c r="K66" s="16">
        <f t="shared" si="37"/>
        <v>154.25280000000001</v>
      </c>
      <c r="L66" s="16">
        <f t="shared" si="37"/>
        <v>158.88038400000002</v>
      </c>
      <c r="M66" s="16">
        <f t="shared" si="37"/>
        <v>163.64679552000001</v>
      </c>
      <c r="N66" s="16">
        <f t="shared" si="37"/>
        <v>168.55619938560002</v>
      </c>
      <c r="O66" s="16">
        <f t="shared" si="37"/>
        <v>173.61288536716802</v>
      </c>
      <c r="P66" s="16">
        <f t="shared" si="37"/>
        <v>178.82127192818305</v>
      </c>
      <c r="Q66" s="16">
        <f t="shared" si="37"/>
        <v>184.18591008602854</v>
      </c>
      <c r="R66" s="16">
        <f t="shared" si="37"/>
        <v>189.71148738860941</v>
      </c>
      <c r="S66" s="16">
        <f t="shared" si="37"/>
        <v>195.4028320102677</v>
      </c>
    </row>
    <row r="67" spans="2:19">
      <c r="B67" t="s">
        <v>78</v>
      </c>
      <c r="G67" s="6"/>
      <c r="H67" s="6"/>
      <c r="I67" s="6">
        <f>I66/H66-1</f>
        <v>0.35849056603773577</v>
      </c>
      <c r="J67" s="34">
        <v>0.04</v>
      </c>
      <c r="K67" s="34">
        <v>0.03</v>
      </c>
      <c r="L67" s="34">
        <v>0.03</v>
      </c>
      <c r="M67" s="34">
        <v>0.03</v>
      </c>
      <c r="N67" s="34">
        <v>0.03</v>
      </c>
      <c r="O67" s="34">
        <v>0.03</v>
      </c>
      <c r="P67" s="34">
        <v>0.03</v>
      </c>
      <c r="Q67" s="34">
        <v>0.03</v>
      </c>
      <c r="R67" s="34">
        <v>0.03</v>
      </c>
      <c r="S67" s="34">
        <v>0.03</v>
      </c>
    </row>
    <row r="68" spans="2:19" ht="15.75" thickBot="1">
      <c r="B68" s="66" t="s">
        <v>17</v>
      </c>
      <c r="C68" s="66"/>
      <c r="D68" s="66"/>
      <c r="E68" s="66"/>
      <c r="F68" s="66"/>
      <c r="G68" s="66"/>
      <c r="H68" s="66">
        <f>SUM(Quarts!K16:L16)</f>
        <v>691</v>
      </c>
      <c r="I68" s="66">
        <f>SUM(Quarts!V16:W16)</f>
        <v>881</v>
      </c>
      <c r="J68" s="67">
        <f>J55+J60+J63+J66</f>
        <v>767.04604399999994</v>
      </c>
      <c r="K68" s="67">
        <f t="shared" ref="K68:S68" si="38">K55+K60+K63+K66</f>
        <v>800.19278996000003</v>
      </c>
      <c r="L68" s="67">
        <f t="shared" si="38"/>
        <v>824.17946022440003</v>
      </c>
      <c r="M68" s="67">
        <f t="shared" si="38"/>
        <v>843.34568370415991</v>
      </c>
      <c r="N68" s="67">
        <f t="shared" si="38"/>
        <v>860.93020074128356</v>
      </c>
      <c r="O68" s="67">
        <f t="shared" si="38"/>
        <v>874.64037371143149</v>
      </c>
      <c r="P68" s="67">
        <f t="shared" si="38"/>
        <v>888.17402145804101</v>
      </c>
      <c r="Q68" s="67">
        <f t="shared" si="38"/>
        <v>901.52524810533032</v>
      </c>
      <c r="R68" s="67">
        <f t="shared" si="38"/>
        <v>914.68800772263387</v>
      </c>
      <c r="S68" s="67">
        <f t="shared" si="38"/>
        <v>927.65610113565924</v>
      </c>
    </row>
    <row r="69" spans="2:19" ht="15.75" thickTop="1">
      <c r="B69" t="s">
        <v>78</v>
      </c>
      <c r="G69" s="6"/>
      <c r="H69" s="6"/>
      <c r="I69" s="6">
        <f t="shared" ref="I69:S69" si="39">I68/H68-1</f>
        <v>0.27496382054992763</v>
      </c>
      <c r="J69" s="6">
        <f t="shared" si="39"/>
        <v>-0.1293461475595914</v>
      </c>
      <c r="K69" s="6">
        <f t="shared" si="39"/>
        <v>4.3213502265321724E-2</v>
      </c>
      <c r="L69" s="6">
        <f t="shared" si="39"/>
        <v>2.9976113963235074E-2</v>
      </c>
      <c r="M69" s="6">
        <f t="shared" si="39"/>
        <v>2.3254915227493678E-2</v>
      </c>
      <c r="N69" s="6">
        <f t="shared" si="39"/>
        <v>2.0850900617512602E-2</v>
      </c>
      <c r="O69" s="6">
        <f t="shared" si="39"/>
        <v>1.592483683153767E-2</v>
      </c>
      <c r="P69" s="6">
        <f t="shared" si="39"/>
        <v>1.5473385580385468E-2</v>
      </c>
      <c r="Q69" s="6">
        <f t="shared" si="39"/>
        <v>1.5032219277672398E-2</v>
      </c>
      <c r="R69" s="6">
        <f t="shared" si="39"/>
        <v>1.460054462697169E-2</v>
      </c>
      <c r="S69" s="6">
        <f t="shared" si="39"/>
        <v>1.4177613900627106E-2</v>
      </c>
    </row>
    <row r="70" spans="2:19">
      <c r="I70" s="6"/>
    </row>
    <row r="71" spans="2:19">
      <c r="B71" t="s">
        <v>360</v>
      </c>
      <c r="H71" s="36">
        <v>1198</v>
      </c>
      <c r="I71" s="36">
        <v>1328</v>
      </c>
      <c r="J71">
        <f t="shared" ref="J71:S71" si="40">(I71+J72)</f>
        <v>1508</v>
      </c>
      <c r="K71">
        <f t="shared" si="40"/>
        <v>1608</v>
      </c>
      <c r="L71">
        <f t="shared" si="40"/>
        <v>1688</v>
      </c>
      <c r="M71">
        <f t="shared" si="40"/>
        <v>1748</v>
      </c>
      <c r="N71">
        <f t="shared" si="40"/>
        <v>1798</v>
      </c>
      <c r="O71">
        <f t="shared" si="40"/>
        <v>1848</v>
      </c>
      <c r="P71">
        <f t="shared" si="40"/>
        <v>1898</v>
      </c>
      <c r="Q71">
        <f t="shared" si="40"/>
        <v>1948</v>
      </c>
      <c r="R71">
        <f t="shared" si="40"/>
        <v>1998</v>
      </c>
      <c r="S71">
        <f t="shared" si="40"/>
        <v>2048</v>
      </c>
    </row>
    <row r="72" spans="2:19">
      <c r="B72" t="s">
        <v>363</v>
      </c>
      <c r="I72">
        <f>I71-H71</f>
        <v>130</v>
      </c>
      <c r="J72" s="36">
        <v>180</v>
      </c>
      <c r="K72" s="36">
        <v>100</v>
      </c>
      <c r="L72" s="36">
        <v>80</v>
      </c>
      <c r="M72" s="36">
        <v>60</v>
      </c>
      <c r="N72" s="36">
        <v>50</v>
      </c>
      <c r="O72" s="36">
        <v>50</v>
      </c>
      <c r="P72" s="36">
        <v>50</v>
      </c>
      <c r="Q72" s="36">
        <v>50</v>
      </c>
      <c r="R72" s="36">
        <v>50</v>
      </c>
      <c r="S72" s="36">
        <v>50</v>
      </c>
    </row>
    <row r="73" spans="2:19">
      <c r="B73" t="s">
        <v>361</v>
      </c>
      <c r="H73" s="36">
        <v>218</v>
      </c>
      <c r="I73" s="36">
        <v>224</v>
      </c>
      <c r="J73">
        <f t="shared" ref="J73:S73" si="41">(I73+J74)</f>
        <v>229</v>
      </c>
      <c r="K73">
        <f t="shared" si="41"/>
        <v>234</v>
      </c>
      <c r="L73">
        <f t="shared" si="41"/>
        <v>239</v>
      </c>
      <c r="M73">
        <f t="shared" si="41"/>
        <v>244</v>
      </c>
      <c r="N73">
        <f t="shared" si="41"/>
        <v>249</v>
      </c>
      <c r="O73">
        <f t="shared" si="41"/>
        <v>254</v>
      </c>
      <c r="P73">
        <f t="shared" si="41"/>
        <v>259</v>
      </c>
      <c r="Q73">
        <f t="shared" si="41"/>
        <v>264</v>
      </c>
      <c r="R73">
        <f t="shared" si="41"/>
        <v>269</v>
      </c>
      <c r="S73">
        <f t="shared" si="41"/>
        <v>274</v>
      </c>
    </row>
    <row r="74" spans="2:19">
      <c r="B74" t="s">
        <v>363</v>
      </c>
      <c r="I74">
        <f>I73-H73</f>
        <v>6</v>
      </c>
      <c r="J74" s="36">
        <v>5</v>
      </c>
      <c r="K74" s="36">
        <v>5</v>
      </c>
      <c r="L74" s="36">
        <v>5</v>
      </c>
      <c r="M74" s="36">
        <v>5</v>
      </c>
      <c r="N74" s="36">
        <v>5</v>
      </c>
      <c r="O74" s="36">
        <v>5</v>
      </c>
      <c r="P74" s="36">
        <v>5</v>
      </c>
      <c r="Q74" s="36">
        <v>5</v>
      </c>
      <c r="R74" s="36">
        <v>5</v>
      </c>
      <c r="S74" s="36">
        <v>5</v>
      </c>
    </row>
    <row r="75" spans="2:19">
      <c r="B75" t="s">
        <v>362</v>
      </c>
      <c r="H75" s="36">
        <v>24</v>
      </c>
      <c r="I75" s="36">
        <v>27</v>
      </c>
      <c r="J75">
        <f t="shared" ref="J75:S75" si="42">(I75+J76)</f>
        <v>32</v>
      </c>
      <c r="K75">
        <f t="shared" si="42"/>
        <v>37</v>
      </c>
      <c r="L75">
        <f t="shared" si="42"/>
        <v>42</v>
      </c>
      <c r="M75">
        <f t="shared" si="42"/>
        <v>47</v>
      </c>
      <c r="N75">
        <f t="shared" si="42"/>
        <v>52</v>
      </c>
      <c r="O75">
        <f t="shared" si="42"/>
        <v>57</v>
      </c>
      <c r="P75">
        <f t="shared" si="42"/>
        <v>62</v>
      </c>
      <c r="Q75">
        <f t="shared" si="42"/>
        <v>67</v>
      </c>
      <c r="R75">
        <f t="shared" si="42"/>
        <v>72</v>
      </c>
      <c r="S75">
        <f t="shared" si="42"/>
        <v>77</v>
      </c>
    </row>
    <row r="76" spans="2:19">
      <c r="B76" t="s">
        <v>363</v>
      </c>
      <c r="I76">
        <f>I75-H75</f>
        <v>3</v>
      </c>
      <c r="J76" s="36">
        <v>5</v>
      </c>
      <c r="K76" s="36">
        <v>5</v>
      </c>
      <c r="L76" s="36">
        <v>5</v>
      </c>
      <c r="M76" s="36">
        <v>5</v>
      </c>
      <c r="N76" s="36">
        <v>5</v>
      </c>
      <c r="O76" s="36">
        <v>5</v>
      </c>
      <c r="P76" s="36">
        <v>5</v>
      </c>
      <c r="Q76" s="36">
        <v>5</v>
      </c>
      <c r="R76" s="36">
        <v>5</v>
      </c>
      <c r="S76" s="36">
        <v>5</v>
      </c>
    </row>
    <row r="77" spans="2:19">
      <c r="B77" t="s">
        <v>7</v>
      </c>
      <c r="H77" s="36">
        <v>580</v>
      </c>
      <c r="I77" s="36">
        <v>578</v>
      </c>
      <c r="J77">
        <f t="shared" ref="J77:S77" si="43">(I77+J78)</f>
        <v>573</v>
      </c>
      <c r="K77">
        <f t="shared" si="43"/>
        <v>548</v>
      </c>
      <c r="L77">
        <f t="shared" si="43"/>
        <v>518</v>
      </c>
      <c r="M77">
        <f t="shared" si="43"/>
        <v>488</v>
      </c>
      <c r="N77">
        <f t="shared" si="43"/>
        <v>458</v>
      </c>
      <c r="O77">
        <f t="shared" si="43"/>
        <v>428</v>
      </c>
      <c r="P77">
        <f t="shared" si="43"/>
        <v>398</v>
      </c>
      <c r="Q77">
        <f t="shared" si="43"/>
        <v>368</v>
      </c>
      <c r="R77">
        <f t="shared" si="43"/>
        <v>338</v>
      </c>
      <c r="S77">
        <f t="shared" si="43"/>
        <v>308</v>
      </c>
    </row>
    <row r="78" spans="2:19">
      <c r="B78" t="s">
        <v>363</v>
      </c>
      <c r="I78">
        <f>I77-H77</f>
        <v>-2</v>
      </c>
      <c r="J78" s="36">
        <v>-5</v>
      </c>
      <c r="K78" s="36">
        <v>-25</v>
      </c>
      <c r="L78" s="36">
        <v>-30</v>
      </c>
      <c r="M78" s="36">
        <v>-30</v>
      </c>
      <c r="N78" s="36">
        <v>-30</v>
      </c>
      <c r="O78" s="36">
        <v>-30</v>
      </c>
      <c r="P78" s="36">
        <v>-30</v>
      </c>
      <c r="Q78" s="36">
        <v>-30</v>
      </c>
      <c r="R78" s="36">
        <v>-30</v>
      </c>
      <c r="S78" s="36">
        <v>-30</v>
      </c>
    </row>
    <row r="79" spans="2:19">
      <c r="I79" s="6"/>
    </row>
    <row r="80" spans="2:19">
      <c r="B80" t="s">
        <v>364</v>
      </c>
      <c r="H80" s="36">
        <v>20.7</v>
      </c>
      <c r="I80" s="36">
        <v>19.5</v>
      </c>
      <c r="J80" s="62">
        <f>(1+J81)*I80</f>
        <v>19.11</v>
      </c>
      <c r="K80" s="62">
        <f t="shared" ref="K80:S80" si="44">(1+K81)*J80</f>
        <v>19.301099999999998</v>
      </c>
      <c r="L80" s="62">
        <f t="shared" si="44"/>
        <v>19.494110999999997</v>
      </c>
      <c r="M80" s="62">
        <f t="shared" si="44"/>
        <v>19.689052109999995</v>
      </c>
      <c r="N80" s="62">
        <f t="shared" si="44"/>
        <v>19.885942631099994</v>
      </c>
      <c r="O80" s="62">
        <f t="shared" si="44"/>
        <v>19.885942631099994</v>
      </c>
      <c r="P80" s="62">
        <f t="shared" si="44"/>
        <v>19.885942631099994</v>
      </c>
      <c r="Q80" s="62">
        <f t="shared" si="44"/>
        <v>19.885942631099994</v>
      </c>
      <c r="R80" s="62">
        <f t="shared" si="44"/>
        <v>19.885942631099994</v>
      </c>
      <c r="S80" s="62">
        <f t="shared" si="44"/>
        <v>19.885942631099994</v>
      </c>
    </row>
    <row r="81" spans="2:19">
      <c r="B81" t="s">
        <v>78</v>
      </c>
      <c r="I81" s="6">
        <f>I80/H80-1</f>
        <v>-5.7971014492753548E-2</v>
      </c>
      <c r="J81" s="34">
        <v>-0.02</v>
      </c>
      <c r="K81" s="34">
        <v>0.01</v>
      </c>
      <c r="L81" s="34">
        <v>0.01</v>
      </c>
      <c r="M81" s="34">
        <v>0.01</v>
      </c>
      <c r="N81" s="34">
        <v>0.01</v>
      </c>
      <c r="O81" s="34">
        <v>0</v>
      </c>
      <c r="P81" s="34">
        <v>0</v>
      </c>
      <c r="Q81" s="34">
        <v>0</v>
      </c>
      <c r="R81" s="34">
        <v>0</v>
      </c>
      <c r="S81" s="34">
        <v>0</v>
      </c>
    </row>
    <row r="82" spans="2:19">
      <c r="B82" t="s">
        <v>365</v>
      </c>
      <c r="H82" s="36">
        <v>37.4</v>
      </c>
      <c r="I82" s="36">
        <v>35.700000000000003</v>
      </c>
      <c r="J82" s="62">
        <f t="shared" ref="J82:S82" si="45">(1+J83)*I82</f>
        <v>34.629000000000005</v>
      </c>
      <c r="K82" s="62">
        <f t="shared" si="45"/>
        <v>34.629000000000005</v>
      </c>
      <c r="L82" s="62">
        <f t="shared" si="45"/>
        <v>34.629000000000005</v>
      </c>
      <c r="M82" s="62">
        <f t="shared" si="45"/>
        <v>34.629000000000005</v>
      </c>
      <c r="N82" s="62">
        <f t="shared" si="45"/>
        <v>34.629000000000005</v>
      </c>
      <c r="O82" s="62">
        <f t="shared" si="45"/>
        <v>34.629000000000005</v>
      </c>
      <c r="P82" s="62">
        <f t="shared" si="45"/>
        <v>34.629000000000005</v>
      </c>
      <c r="Q82" s="62">
        <f t="shared" si="45"/>
        <v>34.629000000000005</v>
      </c>
      <c r="R82" s="62">
        <f t="shared" si="45"/>
        <v>34.629000000000005</v>
      </c>
      <c r="S82" s="62">
        <f t="shared" si="45"/>
        <v>34.629000000000005</v>
      </c>
    </row>
    <row r="83" spans="2:19">
      <c r="B83" t="s">
        <v>78</v>
      </c>
      <c r="I83" s="6">
        <f>I82/H82-1</f>
        <v>-4.5454545454545303E-2</v>
      </c>
      <c r="J83" s="34">
        <v>-0.03</v>
      </c>
      <c r="K83" s="34">
        <v>0</v>
      </c>
      <c r="L83" s="34">
        <v>0</v>
      </c>
      <c r="M83" s="34">
        <v>0</v>
      </c>
      <c r="N83" s="34">
        <v>0</v>
      </c>
      <c r="O83" s="34">
        <v>0</v>
      </c>
      <c r="P83" s="34">
        <v>0</v>
      </c>
      <c r="Q83" s="34">
        <v>0</v>
      </c>
      <c r="R83" s="34">
        <v>0</v>
      </c>
      <c r="S83" s="34">
        <v>0</v>
      </c>
    </row>
    <row r="84" spans="2:19">
      <c r="B84" t="s">
        <v>366</v>
      </c>
      <c r="H84" s="36">
        <v>24.7</v>
      </c>
      <c r="I84" s="36">
        <v>23.9</v>
      </c>
      <c r="J84" s="62">
        <f t="shared" ref="J84:S84" si="46">(1+J85)*I84</f>
        <v>23.182999999999996</v>
      </c>
      <c r="K84" s="62">
        <f t="shared" si="46"/>
        <v>22.719339999999995</v>
      </c>
      <c r="L84" s="62">
        <f t="shared" si="46"/>
        <v>22.492146599999995</v>
      </c>
      <c r="M84" s="62">
        <f t="shared" si="46"/>
        <v>22.492146599999995</v>
      </c>
      <c r="N84" s="62">
        <f t="shared" si="46"/>
        <v>22.492146599999995</v>
      </c>
      <c r="O84" s="62">
        <f t="shared" si="46"/>
        <v>22.492146599999995</v>
      </c>
      <c r="P84" s="62">
        <f t="shared" si="46"/>
        <v>22.492146599999995</v>
      </c>
      <c r="Q84" s="62">
        <f t="shared" si="46"/>
        <v>22.492146599999995</v>
      </c>
      <c r="R84" s="62">
        <f t="shared" si="46"/>
        <v>22.492146599999995</v>
      </c>
      <c r="S84" s="62">
        <f t="shared" si="46"/>
        <v>22.492146599999995</v>
      </c>
    </row>
    <row r="85" spans="2:19">
      <c r="B85" t="s">
        <v>78</v>
      </c>
      <c r="I85" s="6">
        <f>I84/H84-1</f>
        <v>-3.238866396761142E-2</v>
      </c>
      <c r="J85" s="34">
        <v>-0.03</v>
      </c>
      <c r="K85" s="34">
        <v>-0.02</v>
      </c>
      <c r="L85" s="34">
        <v>-0.01</v>
      </c>
      <c r="M85" s="34">
        <v>0</v>
      </c>
      <c r="N85" s="34">
        <v>0</v>
      </c>
      <c r="O85" s="34">
        <v>0</v>
      </c>
      <c r="P85" s="34">
        <v>0</v>
      </c>
      <c r="Q85" s="34">
        <v>0</v>
      </c>
      <c r="R85" s="34">
        <v>0</v>
      </c>
      <c r="S85" s="34">
        <v>0</v>
      </c>
    </row>
    <row r="86" spans="2:19">
      <c r="B86" t="s">
        <v>367</v>
      </c>
      <c r="H86" s="36">
        <v>29.6</v>
      </c>
      <c r="I86" s="36">
        <v>28.4</v>
      </c>
      <c r="J86" s="62">
        <f t="shared" ref="J86:S86" si="47">(1+J87)*I86</f>
        <v>26.979999999999997</v>
      </c>
      <c r="K86" s="62">
        <f t="shared" si="47"/>
        <v>26.170599999999997</v>
      </c>
      <c r="L86" s="62">
        <f t="shared" si="47"/>
        <v>26.170599999999997</v>
      </c>
      <c r="M86" s="62">
        <f t="shared" si="47"/>
        <v>26.170599999999997</v>
      </c>
      <c r="N86" s="62">
        <f t="shared" si="47"/>
        <v>26.432305999999997</v>
      </c>
      <c r="O86" s="62">
        <f t="shared" si="47"/>
        <v>26.960952119999998</v>
      </c>
      <c r="P86" s="62">
        <f t="shared" si="47"/>
        <v>27.500171162399997</v>
      </c>
      <c r="Q86" s="62">
        <f t="shared" si="47"/>
        <v>28.050174585647998</v>
      </c>
      <c r="R86" s="62">
        <f t="shared" si="47"/>
        <v>28.611178077360957</v>
      </c>
      <c r="S86" s="62">
        <f t="shared" si="47"/>
        <v>29.183401638908176</v>
      </c>
    </row>
    <row r="87" spans="2:19">
      <c r="B87" t="s">
        <v>78</v>
      </c>
      <c r="I87" s="6">
        <f>I86/H86-1</f>
        <v>-4.0540540540540682E-2</v>
      </c>
      <c r="J87" s="34">
        <v>-0.05</v>
      </c>
      <c r="K87" s="34">
        <v>-0.03</v>
      </c>
      <c r="L87" s="34">
        <v>0</v>
      </c>
      <c r="M87" s="34">
        <v>0</v>
      </c>
      <c r="N87" s="34">
        <v>0.01</v>
      </c>
      <c r="O87" s="34">
        <v>0.02</v>
      </c>
      <c r="P87" s="34">
        <v>0.02</v>
      </c>
      <c r="Q87" s="34">
        <v>0.02</v>
      </c>
      <c r="R87" s="34">
        <v>0.02</v>
      </c>
      <c r="S87" s="34">
        <v>0.02</v>
      </c>
    </row>
    <row r="88" spans="2:19">
      <c r="I88" s="6"/>
    </row>
    <row r="89" spans="2:19">
      <c r="B89" t="s">
        <v>8</v>
      </c>
      <c r="F89" s="12"/>
      <c r="H89">
        <f>SUM(Quarts!K73:L73)</f>
        <v>170</v>
      </c>
      <c r="I89">
        <f>SUM(Quarts!V73:W73)</f>
        <v>238</v>
      </c>
      <c r="J89" s="16">
        <f t="shared" ref="J89:S89" si="48">J90*J68</f>
        <v>279.97180605999995</v>
      </c>
      <c r="K89" s="16">
        <f t="shared" si="48"/>
        <v>294.07085031029999</v>
      </c>
      <c r="L89" s="16">
        <f t="shared" si="48"/>
        <v>304.94640028302803</v>
      </c>
      <c r="M89" s="16">
        <f t="shared" si="48"/>
        <v>320.47135980758077</v>
      </c>
      <c r="N89" s="16">
        <f t="shared" si="48"/>
        <v>335.76277828910059</v>
      </c>
      <c r="O89" s="16">
        <f t="shared" si="48"/>
        <v>341.10974574745831</v>
      </c>
      <c r="P89" s="16">
        <f t="shared" si="48"/>
        <v>346.38786836863602</v>
      </c>
      <c r="Q89" s="16">
        <f t="shared" si="48"/>
        <v>351.59484676107883</v>
      </c>
      <c r="R89" s="16">
        <f t="shared" si="48"/>
        <v>356.72832301182723</v>
      </c>
      <c r="S89" s="16">
        <f t="shared" si="48"/>
        <v>361.78587944290712</v>
      </c>
    </row>
    <row r="90" spans="2:19">
      <c r="B90" t="s">
        <v>251</v>
      </c>
      <c r="F90" s="6"/>
      <c r="G90" s="6"/>
      <c r="H90" s="6">
        <f>H89/H68</f>
        <v>0.24602026049204051</v>
      </c>
      <c r="I90" s="6">
        <f>I89/I68</f>
        <v>0.27014755959137343</v>
      </c>
      <c r="J90" s="35">
        <v>0.36499999999999999</v>
      </c>
      <c r="K90" s="35">
        <f>J90+0.25%</f>
        <v>0.36749999999999999</v>
      </c>
      <c r="L90" s="35">
        <f>K90+0.25%</f>
        <v>0.37</v>
      </c>
      <c r="M90" s="35">
        <v>0.38</v>
      </c>
      <c r="N90" s="35">
        <v>0.39</v>
      </c>
      <c r="O90" s="35">
        <v>0.39</v>
      </c>
      <c r="P90" s="35">
        <v>0.39</v>
      </c>
      <c r="Q90" s="35">
        <v>0.39</v>
      </c>
      <c r="R90" s="35">
        <v>0.39</v>
      </c>
      <c r="S90" s="35">
        <v>0.39</v>
      </c>
    </row>
    <row r="91" spans="2:19">
      <c r="F91" s="6"/>
      <c r="G91" s="6"/>
      <c r="H91" s="6"/>
      <c r="I91" s="6"/>
    </row>
    <row r="92" spans="2:19">
      <c r="B92" t="s">
        <v>19</v>
      </c>
      <c r="F92" s="6"/>
      <c r="G92" s="6"/>
      <c r="H92">
        <f>SUM(Quarts!K116:L116)</f>
        <v>102</v>
      </c>
      <c r="I92">
        <f>SUM(Quarts!V116:W116)</f>
        <v>195</v>
      </c>
      <c r="J92" s="16">
        <f t="shared" ref="J92:S92" si="49">J93*J68</f>
        <v>145.73874835999999</v>
      </c>
      <c r="K92" s="16">
        <f t="shared" si="49"/>
        <v>136.03277429320002</v>
      </c>
      <c r="L92" s="16">
        <f t="shared" si="49"/>
        <v>131.86871363590402</v>
      </c>
      <c r="M92" s="16">
        <f t="shared" si="49"/>
        <v>134.9353093926656</v>
      </c>
      <c r="N92" s="16">
        <f t="shared" si="49"/>
        <v>129.13953011119253</v>
      </c>
      <c r="O92" s="16">
        <f t="shared" si="49"/>
        <v>131.19605605671472</v>
      </c>
      <c r="P92" s="16">
        <f t="shared" si="49"/>
        <v>133.22610321870616</v>
      </c>
      <c r="Q92" s="16">
        <f t="shared" si="49"/>
        <v>135.22878721579954</v>
      </c>
      <c r="R92" s="16">
        <f t="shared" si="49"/>
        <v>137.20320115839507</v>
      </c>
      <c r="S92" s="16">
        <f t="shared" si="49"/>
        <v>139.14841517034887</v>
      </c>
    </row>
    <row r="93" spans="2:19">
      <c r="B93" t="s">
        <v>20</v>
      </c>
      <c r="F93" s="6"/>
      <c r="G93" s="6"/>
      <c r="H93" s="6">
        <f>H92/H68</f>
        <v>0.14761215629522431</v>
      </c>
      <c r="I93" s="6">
        <f>I92/I68</f>
        <v>0.2213393870601589</v>
      </c>
      <c r="J93" s="35">
        <v>0.19</v>
      </c>
      <c r="K93" s="35">
        <v>0.17</v>
      </c>
      <c r="L93" s="35">
        <v>0.16</v>
      </c>
      <c r="M93" s="35">
        <v>0.16</v>
      </c>
      <c r="N93" s="35">
        <v>0.15</v>
      </c>
      <c r="O93" s="35">
        <v>0.15</v>
      </c>
      <c r="P93" s="35">
        <v>0.15</v>
      </c>
      <c r="Q93" s="35">
        <v>0.15</v>
      </c>
      <c r="R93" s="35">
        <v>0.15</v>
      </c>
      <c r="S93" s="35">
        <v>0.15</v>
      </c>
    </row>
    <row r="94" spans="2:19">
      <c r="F94" s="6"/>
      <c r="G94" s="6"/>
      <c r="H94" s="6"/>
      <c r="I94" s="6"/>
      <c r="J94" s="6"/>
      <c r="K94" s="6"/>
      <c r="L94" s="6"/>
      <c r="M94" s="6"/>
      <c r="N94" s="6"/>
      <c r="O94" s="6"/>
      <c r="P94" s="6"/>
      <c r="Q94" s="6"/>
      <c r="R94" s="6"/>
      <c r="S94" s="6"/>
    </row>
    <row r="95" spans="2:19">
      <c r="B95" t="s">
        <v>27</v>
      </c>
      <c r="F95" s="6"/>
      <c r="G95" s="6"/>
      <c r="H95" s="16">
        <f>H89-H92</f>
        <v>68</v>
      </c>
      <c r="I95" s="16">
        <f t="shared" ref="I95:S95" si="50">I89-I92</f>
        <v>43</v>
      </c>
      <c r="J95" s="16">
        <f t="shared" si="50"/>
        <v>134.23305769999996</v>
      </c>
      <c r="K95" s="16">
        <f t="shared" si="50"/>
        <v>158.03807601709997</v>
      </c>
      <c r="L95" s="16">
        <f t="shared" si="50"/>
        <v>173.07768664712401</v>
      </c>
      <c r="M95" s="16">
        <f t="shared" si="50"/>
        <v>185.53605041491517</v>
      </c>
      <c r="N95" s="16">
        <f t="shared" si="50"/>
        <v>206.62324817790807</v>
      </c>
      <c r="O95" s="16">
        <f t="shared" si="50"/>
        <v>209.91368969074358</v>
      </c>
      <c r="P95" s="16">
        <f t="shared" si="50"/>
        <v>213.16176514992986</v>
      </c>
      <c r="Q95" s="16">
        <f t="shared" si="50"/>
        <v>216.36605954527928</v>
      </c>
      <c r="R95" s="16">
        <f t="shared" si="50"/>
        <v>219.52512185343215</v>
      </c>
      <c r="S95" s="16">
        <f t="shared" si="50"/>
        <v>222.63746427255825</v>
      </c>
    </row>
    <row r="96" spans="2:19">
      <c r="B96" t="s">
        <v>392</v>
      </c>
      <c r="F96" s="6"/>
      <c r="G96" s="6"/>
      <c r="H96" s="34">
        <v>0.3</v>
      </c>
      <c r="I96" s="34">
        <v>0.3</v>
      </c>
      <c r="J96" s="34">
        <v>0.3</v>
      </c>
      <c r="K96" s="34">
        <v>0.3</v>
      </c>
      <c r="L96" s="34">
        <v>0.3</v>
      </c>
      <c r="M96" s="34">
        <v>0.3</v>
      </c>
      <c r="N96" s="34">
        <v>0.3</v>
      </c>
      <c r="O96" s="34">
        <v>0.3</v>
      </c>
      <c r="P96" s="34">
        <v>0.3</v>
      </c>
      <c r="Q96" s="34">
        <v>0.3</v>
      </c>
      <c r="R96" s="34">
        <v>0.3</v>
      </c>
      <c r="S96" s="34">
        <v>0.3</v>
      </c>
    </row>
    <row r="97" spans="2:20">
      <c r="B97" t="s">
        <v>377</v>
      </c>
      <c r="F97" s="6"/>
      <c r="G97" s="6"/>
      <c r="H97" s="16">
        <f t="shared" ref="H97:S97" si="51">(1-H96)*H95</f>
        <v>47.599999999999994</v>
      </c>
      <c r="I97" s="16">
        <f t="shared" si="51"/>
        <v>30.099999999999998</v>
      </c>
      <c r="J97" s="16">
        <f t="shared" si="51"/>
        <v>93.963140389999964</v>
      </c>
      <c r="K97" s="16">
        <f t="shared" si="51"/>
        <v>110.62665321196997</v>
      </c>
      <c r="L97" s="16">
        <f t="shared" si="51"/>
        <v>121.1543806529868</v>
      </c>
      <c r="M97" s="16">
        <f t="shared" si="51"/>
        <v>129.8752352904406</v>
      </c>
      <c r="N97" s="16">
        <f t="shared" si="51"/>
        <v>144.63627372453564</v>
      </c>
      <c r="O97" s="16">
        <f t="shared" si="51"/>
        <v>146.93958278352051</v>
      </c>
      <c r="P97" s="16">
        <f t="shared" si="51"/>
        <v>149.21323560495088</v>
      </c>
      <c r="Q97" s="16">
        <f t="shared" si="51"/>
        <v>151.4562416816955</v>
      </c>
      <c r="R97" s="16">
        <f t="shared" si="51"/>
        <v>153.6675852974025</v>
      </c>
      <c r="S97" s="16">
        <f t="shared" si="51"/>
        <v>155.84622499079077</v>
      </c>
    </row>
    <row r="99" spans="2:20">
      <c r="B99" s="68" t="s">
        <v>253</v>
      </c>
      <c r="C99" s="68"/>
      <c r="D99" s="69">
        <v>40238</v>
      </c>
      <c r="E99" s="69">
        <v>40603</v>
      </c>
      <c r="F99" s="69">
        <v>40969</v>
      </c>
      <c r="G99" s="69">
        <v>41334</v>
      </c>
      <c r="H99" s="69">
        <v>41699</v>
      </c>
      <c r="I99" s="69">
        <v>42064</v>
      </c>
      <c r="J99" s="69">
        <v>42430</v>
      </c>
      <c r="K99" s="69">
        <v>42795</v>
      </c>
      <c r="L99" s="69">
        <v>43160</v>
      </c>
      <c r="M99" s="69">
        <v>43525</v>
      </c>
      <c r="N99" s="69">
        <v>43891</v>
      </c>
      <c r="O99" s="69">
        <v>44256</v>
      </c>
      <c r="P99" s="69">
        <v>44621</v>
      </c>
      <c r="Q99" s="69">
        <v>44986</v>
      </c>
      <c r="R99" s="69">
        <v>45352</v>
      </c>
      <c r="S99" s="69">
        <v>45717</v>
      </c>
      <c r="T99" t="s">
        <v>72</v>
      </c>
    </row>
    <row r="101" spans="2:20">
      <c r="B101" t="s">
        <v>370</v>
      </c>
      <c r="I101" s="16">
        <f>I133*AVERAGE(H124,I124)*12/1000</f>
        <v>230.24279999999999</v>
      </c>
      <c r="J101" s="16">
        <f>J133*AVERAGE(I124,J124)*12/1000</f>
        <v>209.08694400000002</v>
      </c>
      <c r="K101" s="16">
        <f t="shared" ref="K101:S101" si="52">K133*AVERAGE(J124,K124)*12/1000</f>
        <v>181.07058815999997</v>
      </c>
      <c r="L101" s="16">
        <f t="shared" si="52"/>
        <v>135.80294111999999</v>
      </c>
      <c r="M101" s="16">
        <f>M133*AVERAGE(L124,M124)*12/1000</f>
        <v>105.37981977599999</v>
      </c>
      <c r="N101" s="16">
        <f>N133*AVERAGE(M124,N124)*12/1000</f>
        <v>86.799693657600002</v>
      </c>
      <c r="O101" s="16">
        <f t="shared" si="52"/>
        <v>81.142461227519988</v>
      </c>
      <c r="P101" s="16">
        <f t="shared" si="52"/>
        <v>81.142461227519988</v>
      </c>
      <c r="Q101" s="16">
        <f t="shared" si="52"/>
        <v>81.142461227519988</v>
      </c>
      <c r="R101" s="16">
        <f t="shared" si="52"/>
        <v>81.142461227519988</v>
      </c>
      <c r="S101" s="16">
        <f t="shared" si="52"/>
        <v>81.142461227519988</v>
      </c>
    </row>
    <row r="102" spans="2:20">
      <c r="B102" s="3" t="s">
        <v>4</v>
      </c>
      <c r="C102" s="3"/>
      <c r="D102" s="3"/>
      <c r="E102" s="3"/>
      <c r="F102" s="3"/>
      <c r="G102" s="3"/>
      <c r="H102" s="3"/>
      <c r="I102" s="64">
        <f>I103-I101</f>
        <v>19.757200000000012</v>
      </c>
      <c r="J102" s="65">
        <v>20</v>
      </c>
      <c r="K102" s="65">
        <f t="shared" ref="K102:S102" si="53">J102</f>
        <v>20</v>
      </c>
      <c r="L102" s="65">
        <f t="shared" si="53"/>
        <v>20</v>
      </c>
      <c r="M102" s="65">
        <f t="shared" si="53"/>
        <v>20</v>
      </c>
      <c r="N102" s="65">
        <f t="shared" si="53"/>
        <v>20</v>
      </c>
      <c r="O102" s="65">
        <f t="shared" si="53"/>
        <v>20</v>
      </c>
      <c r="P102" s="65">
        <f t="shared" si="53"/>
        <v>20</v>
      </c>
      <c r="Q102" s="65">
        <f t="shared" si="53"/>
        <v>20</v>
      </c>
      <c r="R102" s="65">
        <f t="shared" si="53"/>
        <v>20</v>
      </c>
      <c r="S102" s="65">
        <f t="shared" si="53"/>
        <v>20</v>
      </c>
    </row>
    <row r="103" spans="2:20">
      <c r="B103" t="s">
        <v>5</v>
      </c>
      <c r="G103" s="6"/>
      <c r="H103">
        <f>SUM(Quarts!K24:L24)</f>
        <v>258</v>
      </c>
      <c r="I103">
        <f>SUM(Quarts!V24:W24)</f>
        <v>250</v>
      </c>
      <c r="J103" s="16">
        <f>J101+J102</f>
        <v>229.08694400000002</v>
      </c>
      <c r="K103" s="16">
        <f t="shared" ref="K103:S103" si="54">K101+K102</f>
        <v>201.07058815999997</v>
      </c>
      <c r="L103" s="16">
        <f t="shared" si="54"/>
        <v>155.80294111999999</v>
      </c>
      <c r="M103" s="16">
        <f t="shared" si="54"/>
        <v>125.37981977599999</v>
      </c>
      <c r="N103" s="16">
        <f t="shared" si="54"/>
        <v>106.7996936576</v>
      </c>
      <c r="O103" s="16">
        <f t="shared" si="54"/>
        <v>101.14246122751999</v>
      </c>
      <c r="P103" s="16">
        <f t="shared" si="54"/>
        <v>101.14246122751999</v>
      </c>
      <c r="Q103" s="16">
        <f t="shared" si="54"/>
        <v>101.14246122751999</v>
      </c>
      <c r="R103" s="16">
        <f t="shared" si="54"/>
        <v>101.14246122751999</v>
      </c>
      <c r="S103" s="16">
        <f t="shared" si="54"/>
        <v>101.14246122751999</v>
      </c>
      <c r="T103" s="6">
        <f>(O103/J103)^(1/5)-1</f>
        <v>-0.15084565578002063</v>
      </c>
    </row>
    <row r="104" spans="2:20">
      <c r="B104" t="s">
        <v>78</v>
      </c>
      <c r="H104" s="6"/>
      <c r="I104" s="6">
        <f>I103/H103-1</f>
        <v>-3.1007751937984551E-2</v>
      </c>
      <c r="J104" s="6">
        <f t="shared" ref="J104:S104" si="55">J103/I103-1</f>
        <v>-8.3652223999999942E-2</v>
      </c>
      <c r="K104" s="6">
        <f t="shared" si="55"/>
        <v>-0.12229573344869471</v>
      </c>
      <c r="L104" s="6">
        <f t="shared" si="55"/>
        <v>-0.22513311098477862</v>
      </c>
      <c r="M104" s="6">
        <f t="shared" si="55"/>
        <v>-0.19526666907120838</v>
      </c>
      <c r="N104" s="6">
        <f t="shared" si="55"/>
        <v>-0.14819072281005596</v>
      </c>
      <c r="O104" s="6">
        <f t="shared" si="55"/>
        <v>-5.2970493044831257E-2</v>
      </c>
      <c r="P104" s="6">
        <f t="shared" si="55"/>
        <v>0</v>
      </c>
      <c r="Q104" s="6">
        <f t="shared" si="55"/>
        <v>0</v>
      </c>
      <c r="R104" s="6">
        <f t="shared" si="55"/>
        <v>0</v>
      </c>
      <c r="S104" s="6">
        <f t="shared" si="55"/>
        <v>0</v>
      </c>
    </row>
    <row r="105" spans="2:20">
      <c r="I105" s="6"/>
      <c r="J105" s="6"/>
      <c r="K105" s="6"/>
      <c r="L105" s="6"/>
      <c r="M105" s="6"/>
      <c r="N105" s="6"/>
      <c r="O105" s="6"/>
      <c r="P105" s="6"/>
      <c r="Q105" s="6"/>
      <c r="R105" s="6"/>
      <c r="S105" s="6"/>
    </row>
    <row r="106" spans="2:20">
      <c r="B106" t="s">
        <v>1404</v>
      </c>
      <c r="I106" s="34">
        <v>1</v>
      </c>
      <c r="J106" s="34">
        <f t="shared" ref="J106:O106" si="56">I106-5%</f>
        <v>0.95</v>
      </c>
      <c r="K106" s="34">
        <f t="shared" si="56"/>
        <v>0.89999999999999991</v>
      </c>
      <c r="L106" s="34">
        <f t="shared" si="56"/>
        <v>0.84999999999999987</v>
      </c>
      <c r="M106" s="34">
        <f t="shared" si="56"/>
        <v>0.79999999999999982</v>
      </c>
      <c r="N106" s="34">
        <f t="shared" si="56"/>
        <v>0.74999999999999978</v>
      </c>
      <c r="O106" s="34">
        <f t="shared" si="56"/>
        <v>0.69999999999999973</v>
      </c>
      <c r="P106" s="34">
        <f>O106</f>
        <v>0.69999999999999973</v>
      </c>
      <c r="Q106" s="34">
        <f>P106</f>
        <v>0.69999999999999973</v>
      </c>
      <c r="R106" s="34">
        <f>Q106</f>
        <v>0.69999999999999973</v>
      </c>
      <c r="S106" s="34">
        <f>R106</f>
        <v>0.69999999999999973</v>
      </c>
    </row>
    <row r="107" spans="2:20">
      <c r="B107" t="s">
        <v>1405</v>
      </c>
      <c r="I107" s="16">
        <f>I103/I106</f>
        <v>250</v>
      </c>
      <c r="J107" s="16">
        <f t="shared" ref="J107:S107" si="57">J103/J106</f>
        <v>241.1441515789474</v>
      </c>
      <c r="K107" s="16">
        <f t="shared" si="57"/>
        <v>223.41176462222222</v>
      </c>
      <c r="L107" s="16">
        <f t="shared" si="57"/>
        <v>183.29757778823532</v>
      </c>
      <c r="M107" s="16">
        <f t="shared" si="57"/>
        <v>156.72477472000003</v>
      </c>
      <c r="N107" s="16">
        <f t="shared" si="57"/>
        <v>142.3995915434667</v>
      </c>
      <c r="O107" s="16">
        <f t="shared" si="57"/>
        <v>144.48923032502861</v>
      </c>
      <c r="P107" s="16">
        <f t="shared" si="57"/>
        <v>144.48923032502861</v>
      </c>
      <c r="Q107" s="16">
        <f t="shared" si="57"/>
        <v>144.48923032502861</v>
      </c>
      <c r="R107" s="16">
        <f t="shared" si="57"/>
        <v>144.48923032502861</v>
      </c>
      <c r="S107" s="16">
        <f t="shared" si="57"/>
        <v>144.48923032502861</v>
      </c>
      <c r="T107" s="6">
        <f>(O107/J107)^(1/5)-1</f>
        <v>-9.7365874198866775E-2</v>
      </c>
    </row>
    <row r="108" spans="2:20">
      <c r="B108" t="s">
        <v>1406</v>
      </c>
      <c r="I108" s="6"/>
      <c r="J108" s="6">
        <f>J107/I107-1</f>
        <v>-3.5423393684210436E-2</v>
      </c>
      <c r="K108" s="6">
        <f t="shared" ref="K108:S108" si="58">K107/J107-1</f>
        <v>-7.3534385306955441E-2</v>
      </c>
      <c r="L108" s="6">
        <f t="shared" si="58"/>
        <v>-0.17955270574858906</v>
      </c>
      <c r="M108" s="6">
        <f t="shared" si="58"/>
        <v>-0.14497083588815884</v>
      </c>
      <c r="N108" s="6">
        <f t="shared" si="58"/>
        <v>-9.1403437664059783E-2</v>
      </c>
      <c r="O108" s="6">
        <f t="shared" si="58"/>
        <v>1.4674471737680994E-2</v>
      </c>
      <c r="P108" s="6">
        <f t="shared" si="58"/>
        <v>0</v>
      </c>
      <c r="Q108" s="6">
        <f t="shared" si="58"/>
        <v>0</v>
      </c>
      <c r="R108" s="6">
        <f t="shared" si="58"/>
        <v>0</v>
      </c>
      <c r="S108" s="6">
        <f t="shared" si="58"/>
        <v>0</v>
      </c>
    </row>
    <row r="109" spans="2:20">
      <c r="I109" s="6"/>
      <c r="J109" s="6"/>
      <c r="K109" s="6"/>
      <c r="L109" s="6"/>
      <c r="M109" s="6"/>
      <c r="N109" s="6"/>
      <c r="O109" s="6"/>
      <c r="P109" s="6"/>
      <c r="Q109" s="6"/>
      <c r="R109" s="6"/>
      <c r="S109" s="6"/>
    </row>
    <row r="110" spans="2:20">
      <c r="B110" t="s">
        <v>368</v>
      </c>
      <c r="G110" s="6"/>
      <c r="H110" s="6"/>
      <c r="I110" s="16">
        <f>I135*AVERAGE(H126,I126)*12/1000</f>
        <v>14.774399999999998</v>
      </c>
      <c r="J110" s="16">
        <f t="shared" ref="J110:S110" si="59">J135*AVERAGE(I126,J126)*12/1000</f>
        <v>14.084928</v>
      </c>
      <c r="K110" s="16">
        <f t="shared" si="59"/>
        <v>15.181927199999997</v>
      </c>
      <c r="L110" s="16">
        <f t="shared" si="59"/>
        <v>18.660904415999994</v>
      </c>
      <c r="M110" s="16">
        <f t="shared" si="59"/>
        <v>23.230304254079993</v>
      </c>
      <c r="N110" s="16">
        <f t="shared" si="59"/>
        <v>26.129149667913591</v>
      </c>
      <c r="O110" s="16">
        <f t="shared" si="59"/>
        <v>27.670529781351068</v>
      </c>
      <c r="P110" s="16">
        <f t="shared" si="59"/>
        <v>29.095910853281165</v>
      </c>
      <c r="Q110" s="16">
        <f t="shared" si="59"/>
        <v>30.410865584092242</v>
      </c>
      <c r="R110" s="16">
        <f t="shared" si="59"/>
        <v>31.6207367112867</v>
      </c>
      <c r="S110" s="16">
        <f t="shared" si="59"/>
        <v>32.730645791823811</v>
      </c>
    </row>
    <row r="111" spans="2:20">
      <c r="B111" t="s">
        <v>369</v>
      </c>
      <c r="G111" s="6"/>
      <c r="H111" s="6"/>
      <c r="I111" s="16">
        <f>I137*AVERAGE(H128,I128)*12/1000</f>
        <v>0</v>
      </c>
      <c r="J111" s="16">
        <f t="shared" ref="J111:S111" si="60">J137*AVERAGE(I128,J128)*12/1000</f>
        <v>0</v>
      </c>
      <c r="K111" s="16">
        <f t="shared" si="60"/>
        <v>0</v>
      </c>
      <c r="L111" s="16">
        <f t="shared" si="60"/>
        <v>0</v>
      </c>
      <c r="M111" s="16">
        <f t="shared" si="60"/>
        <v>0</v>
      </c>
      <c r="N111" s="16">
        <f t="shared" si="60"/>
        <v>0</v>
      </c>
      <c r="O111" s="16">
        <f t="shared" si="60"/>
        <v>0</v>
      </c>
      <c r="P111" s="16">
        <f t="shared" si="60"/>
        <v>0</v>
      </c>
      <c r="Q111" s="16">
        <f t="shared" si="60"/>
        <v>0</v>
      </c>
      <c r="R111" s="16">
        <f t="shared" si="60"/>
        <v>0</v>
      </c>
      <c r="S111" s="16">
        <f t="shared" si="60"/>
        <v>0</v>
      </c>
    </row>
    <row r="112" spans="2:20">
      <c r="B112" s="3" t="s">
        <v>4</v>
      </c>
      <c r="C112" s="3"/>
      <c r="D112" s="3"/>
      <c r="E112" s="3"/>
      <c r="F112" s="3"/>
      <c r="G112" s="7"/>
      <c r="H112" s="7"/>
      <c r="I112" s="64">
        <f>I113-I110-I111</f>
        <v>0.2256000000000018</v>
      </c>
      <c r="J112" s="65">
        <f>I112</f>
        <v>0.2256000000000018</v>
      </c>
      <c r="K112" s="65">
        <f t="shared" ref="K112:S112" si="61">J112</f>
        <v>0.2256000000000018</v>
      </c>
      <c r="L112" s="65">
        <f t="shared" si="61"/>
        <v>0.2256000000000018</v>
      </c>
      <c r="M112" s="65">
        <f t="shared" si="61"/>
        <v>0.2256000000000018</v>
      </c>
      <c r="N112" s="65">
        <f t="shared" si="61"/>
        <v>0.2256000000000018</v>
      </c>
      <c r="O112" s="65">
        <f t="shared" si="61"/>
        <v>0.2256000000000018</v>
      </c>
      <c r="P112" s="65">
        <f t="shared" si="61"/>
        <v>0.2256000000000018</v>
      </c>
      <c r="Q112" s="65">
        <f t="shared" si="61"/>
        <v>0.2256000000000018</v>
      </c>
      <c r="R112" s="65">
        <f t="shared" si="61"/>
        <v>0.2256000000000018</v>
      </c>
      <c r="S112" s="65">
        <f t="shared" si="61"/>
        <v>0.2256000000000018</v>
      </c>
    </row>
    <row r="113" spans="2:20">
      <c r="B113" t="s">
        <v>6</v>
      </c>
      <c r="G113" s="6"/>
      <c r="H113">
        <f>SUM(Quarts!K25:L25)</f>
        <v>15</v>
      </c>
      <c r="I113">
        <f>SUM(Quarts!V25:W25)</f>
        <v>15</v>
      </c>
      <c r="J113" s="16">
        <f>J110+J111+J112</f>
        <v>14.310528000000001</v>
      </c>
      <c r="K113" s="16">
        <f t="shared" ref="K113:S113" si="62">K110+K111+K112</f>
        <v>15.407527199999999</v>
      </c>
      <c r="L113" s="16">
        <f t="shared" si="62"/>
        <v>18.886504415999994</v>
      </c>
      <c r="M113" s="16">
        <f t="shared" si="62"/>
        <v>23.455904254079996</v>
      </c>
      <c r="N113" s="16">
        <f t="shared" si="62"/>
        <v>26.354749667913595</v>
      </c>
      <c r="O113" s="16">
        <f t="shared" si="62"/>
        <v>27.896129781351071</v>
      </c>
      <c r="P113" s="16">
        <f t="shared" si="62"/>
        <v>29.321510853281168</v>
      </c>
      <c r="Q113" s="16">
        <f t="shared" si="62"/>
        <v>30.636465584092242</v>
      </c>
      <c r="R113" s="16">
        <f t="shared" si="62"/>
        <v>31.846336711286703</v>
      </c>
      <c r="S113" s="16">
        <f t="shared" si="62"/>
        <v>32.956245791823811</v>
      </c>
    </row>
    <row r="114" spans="2:20">
      <c r="B114" t="s">
        <v>78</v>
      </c>
      <c r="I114" s="6">
        <f>I113/H113-1</f>
        <v>0</v>
      </c>
      <c r="J114" s="6">
        <f t="shared" ref="J114:S114" si="63">J113/I113-1</f>
        <v>-4.5964799999999917E-2</v>
      </c>
      <c r="K114" s="6">
        <f t="shared" si="63"/>
        <v>7.6656794214720492E-2</v>
      </c>
      <c r="L114" s="6">
        <f t="shared" si="63"/>
        <v>0.22579724642640864</v>
      </c>
      <c r="M114" s="6">
        <f t="shared" si="63"/>
        <v>0.24193994491690929</v>
      </c>
      <c r="N114" s="6">
        <f t="shared" si="63"/>
        <v>0.12358702450490111</v>
      </c>
      <c r="O114" s="6">
        <f t="shared" si="63"/>
        <v>5.8485856737773512E-2</v>
      </c>
      <c r="P114" s="6">
        <f t="shared" si="63"/>
        <v>5.10960152215445E-2</v>
      </c>
      <c r="Q114" s="6">
        <f t="shared" si="63"/>
        <v>4.4846076908889199E-2</v>
      </c>
      <c r="R114" s="6">
        <f t="shared" si="63"/>
        <v>3.9491211016935202E-2</v>
      </c>
      <c r="S114" s="6">
        <f t="shared" si="63"/>
        <v>3.4852017379560785E-2</v>
      </c>
    </row>
    <row r="115" spans="2:20">
      <c r="I115" s="6"/>
      <c r="J115" s="6"/>
      <c r="K115" s="6"/>
      <c r="L115" s="6"/>
      <c r="M115" s="6"/>
      <c r="N115" s="6"/>
      <c r="O115" s="6"/>
      <c r="P115" s="6"/>
      <c r="Q115" s="6"/>
      <c r="R115" s="6"/>
      <c r="S115" s="6"/>
    </row>
    <row r="116" spans="2:20">
      <c r="B116" t="s">
        <v>7</v>
      </c>
      <c r="G116" s="6"/>
      <c r="H116">
        <f>SUM(Quarts!K26:L26)</f>
        <v>45</v>
      </c>
      <c r="I116">
        <f>SUM(Quarts!V26:W26)</f>
        <v>49</v>
      </c>
      <c r="J116" s="16">
        <f>J139*AVERAGE(I130,J130)*12/1000</f>
        <v>47.275200000000005</v>
      </c>
      <c r="K116" s="16">
        <f t="shared" ref="K116:S116" si="64">K139*AVERAGE(J130,K130)*12/1000</f>
        <v>46.310400000000001</v>
      </c>
      <c r="L116" s="16">
        <f t="shared" si="64"/>
        <v>45.345600000000005</v>
      </c>
      <c r="M116" s="16">
        <f t="shared" si="64"/>
        <v>44.380800000000001</v>
      </c>
      <c r="N116" s="16">
        <f t="shared" si="64"/>
        <v>43.416000000000004</v>
      </c>
      <c r="O116" s="16">
        <f t="shared" si="64"/>
        <v>42.451200000000007</v>
      </c>
      <c r="P116" s="16">
        <f t="shared" si="64"/>
        <v>41.486400000000003</v>
      </c>
      <c r="Q116" s="16">
        <f t="shared" si="64"/>
        <v>40.521600000000007</v>
      </c>
      <c r="R116" s="16">
        <f t="shared" si="64"/>
        <v>39.556800000000003</v>
      </c>
      <c r="S116" s="16">
        <f t="shared" si="64"/>
        <v>38.591999999999999</v>
      </c>
    </row>
    <row r="117" spans="2:20">
      <c r="B117" t="s">
        <v>78</v>
      </c>
      <c r="I117" s="6">
        <f>I116/H116-1</f>
        <v>8.8888888888888795E-2</v>
      </c>
      <c r="J117" s="6">
        <f t="shared" ref="J117:S117" si="65">J116/I116-1</f>
        <v>-3.5199999999999898E-2</v>
      </c>
      <c r="K117" s="6">
        <f t="shared" si="65"/>
        <v>-2.0408163265306256E-2</v>
      </c>
      <c r="L117" s="6">
        <f t="shared" si="65"/>
        <v>-2.0833333333333259E-2</v>
      </c>
      <c r="M117" s="6">
        <f t="shared" si="65"/>
        <v>-2.1276595744680882E-2</v>
      </c>
      <c r="N117" s="6">
        <f t="shared" si="65"/>
        <v>-2.1739130434782483E-2</v>
      </c>
      <c r="O117" s="6">
        <f t="shared" si="65"/>
        <v>-2.2222222222222143E-2</v>
      </c>
      <c r="P117" s="6">
        <f t="shared" si="65"/>
        <v>-2.2727272727272818E-2</v>
      </c>
      <c r="Q117" s="6">
        <f t="shared" si="65"/>
        <v>-2.3255813953488302E-2</v>
      </c>
      <c r="R117" s="6">
        <f t="shared" si="65"/>
        <v>-2.3809523809523947E-2</v>
      </c>
      <c r="S117" s="6">
        <f t="shared" si="65"/>
        <v>-2.4390243902439157E-2</v>
      </c>
    </row>
    <row r="118" spans="2:20">
      <c r="I118" s="6"/>
      <c r="J118" s="6"/>
      <c r="K118" s="6"/>
      <c r="L118" s="6"/>
      <c r="M118" s="6"/>
      <c r="N118" s="6"/>
      <c r="O118" s="6"/>
      <c r="P118" s="6"/>
      <c r="Q118" s="6"/>
      <c r="R118" s="6"/>
      <c r="S118" s="6"/>
    </row>
    <row r="119" spans="2:20">
      <c r="B119" t="s">
        <v>4</v>
      </c>
      <c r="G119" s="6"/>
      <c r="H119">
        <f>SUM(Quarts!K27:L27)</f>
        <v>36</v>
      </c>
      <c r="I119">
        <f>SUM(Quarts!V27:W27)</f>
        <v>34</v>
      </c>
      <c r="J119" s="16">
        <f>J121-J116-J113-J103</f>
        <v>38.327328000000023</v>
      </c>
      <c r="K119" s="16">
        <f>K121-K116-K113-K103</f>
        <v>41.611484640000043</v>
      </c>
      <c r="L119" s="16">
        <f>L121-L116-L113-L103</f>
        <v>41.264954464000056</v>
      </c>
      <c r="M119" s="16">
        <f>M121-M116-M113-M103</f>
        <v>35.783475969920019</v>
      </c>
      <c r="N119" s="16">
        <f t="shared" ref="N119:S119" si="66">(1+N120)*M119</f>
        <v>35.783475969920019</v>
      </c>
      <c r="O119" s="16">
        <f t="shared" si="66"/>
        <v>40.077493086310426</v>
      </c>
      <c r="P119" s="16">
        <f t="shared" si="66"/>
        <v>42.08136774062595</v>
      </c>
      <c r="Q119" s="16">
        <f t="shared" si="66"/>
        <v>44.185436127657248</v>
      </c>
      <c r="R119" s="16">
        <f t="shared" si="66"/>
        <v>46.394707934040113</v>
      </c>
      <c r="S119" s="16">
        <f t="shared" si="66"/>
        <v>48.714443330742121</v>
      </c>
    </row>
    <row r="120" spans="2:20">
      <c r="B120" t="s">
        <v>78</v>
      </c>
      <c r="I120" s="6">
        <f>I119/H119-1</f>
        <v>-5.555555555555558E-2</v>
      </c>
      <c r="J120" s="6">
        <f>J119/I119-1</f>
        <v>0.12727435294117706</v>
      </c>
      <c r="K120" s="6">
        <f>K119/J119-1</f>
        <v>8.5687075289986758E-2</v>
      </c>
      <c r="L120" s="6">
        <f>L119/K119-1</f>
        <v>-8.3277532392314058E-3</v>
      </c>
      <c r="M120" s="6">
        <f>M119/L119-1</f>
        <v>-0.13283616970575196</v>
      </c>
      <c r="N120" s="34">
        <v>0</v>
      </c>
      <c r="O120" s="34">
        <v>0.12</v>
      </c>
      <c r="P120" s="34">
        <v>0.05</v>
      </c>
      <c r="Q120" s="34">
        <v>0.05</v>
      </c>
      <c r="R120" s="34">
        <v>0.05</v>
      </c>
      <c r="S120" s="34">
        <v>0.05</v>
      </c>
    </row>
    <row r="121" spans="2:20" ht="15.75" thickBot="1">
      <c r="B121" s="66" t="s">
        <v>16</v>
      </c>
      <c r="C121" s="66"/>
      <c r="D121" s="66"/>
      <c r="E121" s="66"/>
      <c r="F121" s="66"/>
      <c r="G121" s="66"/>
      <c r="H121" s="66">
        <f>SUM(Quarts!K28:L28)</f>
        <v>354</v>
      </c>
      <c r="I121" s="66">
        <f>SUM(Quarts!V28:W28)</f>
        <v>348</v>
      </c>
      <c r="J121" s="598">
        <v>329</v>
      </c>
      <c r="K121" s="598">
        <f>SUM('New quarts'!K71:N71)</f>
        <v>304.40000000000003</v>
      </c>
      <c r="L121" s="598">
        <f>SUM('New quarts'!O71:R71)</f>
        <v>261.3</v>
      </c>
      <c r="M121" s="598">
        <v>229</v>
      </c>
      <c r="N121" s="67">
        <f t="shared" ref="N121:S121" si="67">N103+N113+N116+N119</f>
        <v>212.35391929543363</v>
      </c>
      <c r="O121" s="67">
        <f t="shared" si="67"/>
        <v>211.56728409518149</v>
      </c>
      <c r="P121" s="67">
        <f t="shared" si="67"/>
        <v>214.03173982142712</v>
      </c>
      <c r="Q121" s="67">
        <f t="shared" si="67"/>
        <v>216.48596293926948</v>
      </c>
      <c r="R121" s="67">
        <f t="shared" si="67"/>
        <v>218.94030587284681</v>
      </c>
      <c r="S121" s="67">
        <f t="shared" si="67"/>
        <v>221.4051503500859</v>
      </c>
      <c r="T121" s="6">
        <f>(O121/J121)^(1/5)-1</f>
        <v>-8.4516497238918631E-2</v>
      </c>
    </row>
    <row r="122" spans="2:20" ht="15.75" thickTop="1">
      <c r="B122" t="s">
        <v>78</v>
      </c>
      <c r="I122" s="6">
        <f t="shared" ref="I122:S122" si="68">I121/H121-1</f>
        <v>-1.6949152542372836E-2</v>
      </c>
      <c r="J122" s="6">
        <f t="shared" si="68"/>
        <v>-5.4597701149425304E-2</v>
      </c>
      <c r="K122" s="6">
        <f t="shared" si="68"/>
        <v>-7.4772036474164083E-2</v>
      </c>
      <c r="L122" s="6">
        <f t="shared" si="68"/>
        <v>-0.14159001314060449</v>
      </c>
      <c r="M122" s="6">
        <f t="shared" si="68"/>
        <v>-0.12361270570225802</v>
      </c>
      <c r="N122" s="6">
        <f t="shared" si="68"/>
        <v>-7.2690308753564969E-2</v>
      </c>
      <c r="O122" s="6">
        <f t="shared" si="68"/>
        <v>-3.7043592266254866E-3</v>
      </c>
      <c r="P122" s="6">
        <f t="shared" si="68"/>
        <v>1.1648567200668536E-2</v>
      </c>
      <c r="Q122" s="6">
        <f t="shared" si="68"/>
        <v>1.1466631630850488E-2</v>
      </c>
      <c r="R122" s="6">
        <f t="shared" si="68"/>
        <v>1.1337192029701404E-2</v>
      </c>
      <c r="S122" s="6">
        <f t="shared" si="68"/>
        <v>1.1258066290775082E-2</v>
      </c>
    </row>
    <row r="123" spans="2:20">
      <c r="F123" s="12"/>
    </row>
    <row r="124" spans="2:20">
      <c r="B124" t="s">
        <v>360</v>
      </c>
      <c r="H124" s="36">
        <v>308</v>
      </c>
      <c r="I124" s="36">
        <v>318</v>
      </c>
      <c r="J124">
        <f t="shared" ref="J124:S124" si="69">(I124+J125)</f>
        <v>328</v>
      </c>
      <c r="K124">
        <f t="shared" si="69"/>
        <v>338</v>
      </c>
      <c r="L124">
        <f t="shared" si="69"/>
        <v>328</v>
      </c>
      <c r="M124">
        <f t="shared" si="69"/>
        <v>318</v>
      </c>
      <c r="N124">
        <f t="shared" si="69"/>
        <v>308</v>
      </c>
      <c r="O124">
        <f t="shared" si="69"/>
        <v>308</v>
      </c>
      <c r="P124">
        <f t="shared" si="69"/>
        <v>308</v>
      </c>
      <c r="Q124">
        <f t="shared" si="69"/>
        <v>308</v>
      </c>
      <c r="R124">
        <f t="shared" si="69"/>
        <v>308</v>
      </c>
      <c r="S124">
        <f t="shared" si="69"/>
        <v>308</v>
      </c>
    </row>
    <row r="125" spans="2:20">
      <c r="B125" t="s">
        <v>363</v>
      </c>
      <c r="I125">
        <f>I124-H124</f>
        <v>10</v>
      </c>
      <c r="J125" s="36">
        <v>10</v>
      </c>
      <c r="K125" s="36">
        <v>10</v>
      </c>
      <c r="L125" s="36">
        <v>-10</v>
      </c>
      <c r="M125" s="36">
        <v>-10</v>
      </c>
      <c r="N125" s="36">
        <v>-10</v>
      </c>
      <c r="O125" s="36">
        <v>0</v>
      </c>
      <c r="P125" s="36">
        <v>0</v>
      </c>
      <c r="Q125" s="36">
        <v>0</v>
      </c>
      <c r="R125" s="36">
        <v>0</v>
      </c>
      <c r="S125" s="36">
        <v>0</v>
      </c>
    </row>
    <row r="126" spans="2:20">
      <c r="B126" t="s">
        <v>361</v>
      </c>
      <c r="H126" s="36">
        <v>23</v>
      </c>
      <c r="I126" s="36">
        <v>25</v>
      </c>
      <c r="J126">
        <f t="shared" ref="J126:S126" si="70">(I126+J127)</f>
        <v>27</v>
      </c>
      <c r="K126">
        <f t="shared" si="70"/>
        <v>32</v>
      </c>
      <c r="L126">
        <f t="shared" si="70"/>
        <v>42</v>
      </c>
      <c r="M126">
        <f t="shared" si="70"/>
        <v>52</v>
      </c>
      <c r="N126">
        <f t="shared" si="70"/>
        <v>57</v>
      </c>
      <c r="O126">
        <f t="shared" si="70"/>
        <v>62</v>
      </c>
      <c r="P126">
        <f t="shared" si="70"/>
        <v>67</v>
      </c>
      <c r="Q126">
        <f t="shared" si="70"/>
        <v>72</v>
      </c>
      <c r="R126">
        <f t="shared" si="70"/>
        <v>77</v>
      </c>
      <c r="S126">
        <f t="shared" si="70"/>
        <v>82</v>
      </c>
    </row>
    <row r="127" spans="2:20">
      <c r="B127" t="s">
        <v>363</v>
      </c>
      <c r="I127">
        <f>I126-H126</f>
        <v>2</v>
      </c>
      <c r="J127" s="36">
        <v>2</v>
      </c>
      <c r="K127" s="36">
        <v>5</v>
      </c>
      <c r="L127" s="36">
        <v>10</v>
      </c>
      <c r="M127" s="36">
        <v>10</v>
      </c>
      <c r="N127" s="36">
        <v>5</v>
      </c>
      <c r="O127" s="36">
        <v>5</v>
      </c>
      <c r="P127" s="36">
        <v>5</v>
      </c>
      <c r="Q127" s="36">
        <v>5</v>
      </c>
      <c r="R127" s="36">
        <v>5</v>
      </c>
      <c r="S127" s="36">
        <v>5</v>
      </c>
    </row>
    <row r="128" spans="2:20">
      <c r="B128" t="s">
        <v>362</v>
      </c>
      <c r="H128" s="36">
        <v>0</v>
      </c>
      <c r="I128" s="36">
        <v>0</v>
      </c>
      <c r="J128">
        <f t="shared" ref="J128:S128" si="71">(I128+J129)</f>
        <v>0</v>
      </c>
      <c r="K128">
        <f t="shared" si="71"/>
        <v>0</v>
      </c>
      <c r="L128">
        <f t="shared" si="71"/>
        <v>0</v>
      </c>
      <c r="M128">
        <f t="shared" si="71"/>
        <v>0</v>
      </c>
      <c r="N128">
        <f t="shared" si="71"/>
        <v>0</v>
      </c>
      <c r="O128">
        <f t="shared" si="71"/>
        <v>0</v>
      </c>
      <c r="P128">
        <f t="shared" si="71"/>
        <v>0</v>
      </c>
      <c r="Q128">
        <f t="shared" si="71"/>
        <v>0</v>
      </c>
      <c r="R128">
        <f t="shared" si="71"/>
        <v>0</v>
      </c>
      <c r="S128">
        <f t="shared" si="71"/>
        <v>0</v>
      </c>
    </row>
    <row r="129" spans="2:19">
      <c r="B129" t="s">
        <v>363</v>
      </c>
      <c r="I129">
        <f>I128-H128</f>
        <v>0</v>
      </c>
      <c r="J129" s="36"/>
      <c r="K129" s="36"/>
      <c r="L129" s="36"/>
      <c r="M129" s="36"/>
      <c r="N129" s="36"/>
      <c r="O129" s="36"/>
      <c r="P129" s="36"/>
      <c r="Q129" s="36"/>
      <c r="R129" s="36"/>
      <c r="S129" s="36"/>
    </row>
    <row r="130" spans="2:19">
      <c r="B130" t="s">
        <v>7</v>
      </c>
      <c r="H130" s="36">
        <v>103</v>
      </c>
      <c r="I130" s="36">
        <v>99</v>
      </c>
      <c r="J130">
        <f t="shared" ref="J130:S130" si="72">(I130+J131)</f>
        <v>97</v>
      </c>
      <c r="K130">
        <f t="shared" si="72"/>
        <v>95</v>
      </c>
      <c r="L130">
        <f t="shared" si="72"/>
        <v>93</v>
      </c>
      <c r="M130">
        <f t="shared" si="72"/>
        <v>91</v>
      </c>
      <c r="N130">
        <f t="shared" si="72"/>
        <v>89</v>
      </c>
      <c r="O130">
        <f t="shared" si="72"/>
        <v>87</v>
      </c>
      <c r="P130">
        <f t="shared" si="72"/>
        <v>85</v>
      </c>
      <c r="Q130">
        <f t="shared" si="72"/>
        <v>83</v>
      </c>
      <c r="R130">
        <f t="shared" si="72"/>
        <v>81</v>
      </c>
      <c r="S130">
        <f t="shared" si="72"/>
        <v>79</v>
      </c>
    </row>
    <row r="131" spans="2:19">
      <c r="B131" t="s">
        <v>363</v>
      </c>
      <c r="I131">
        <f>I130-H130</f>
        <v>-4</v>
      </c>
      <c r="J131" s="36">
        <v>-2</v>
      </c>
      <c r="K131" s="36">
        <v>-2</v>
      </c>
      <c r="L131" s="36">
        <v>-2</v>
      </c>
      <c r="M131" s="36">
        <v>-2</v>
      </c>
      <c r="N131" s="36">
        <v>-2</v>
      </c>
      <c r="O131" s="36">
        <v>-2</v>
      </c>
      <c r="P131" s="36">
        <v>-2</v>
      </c>
      <c r="Q131" s="36">
        <v>-2</v>
      </c>
      <c r="R131" s="36">
        <v>-2</v>
      </c>
      <c r="S131" s="36">
        <v>-2</v>
      </c>
    </row>
    <row r="132" spans="2:19">
      <c r="I132" s="6"/>
    </row>
    <row r="133" spans="2:19">
      <c r="B133" t="s">
        <v>364</v>
      </c>
      <c r="H133" s="36">
        <v>66.099999999999994</v>
      </c>
      <c r="I133" s="36">
        <v>61.3</v>
      </c>
      <c r="J133" s="62">
        <f t="shared" ref="J133:S133" si="73">(1+J134)*I133</f>
        <v>53.943999999999996</v>
      </c>
      <c r="K133" s="62">
        <f t="shared" si="73"/>
        <v>45.312959999999997</v>
      </c>
      <c r="L133" s="62">
        <f t="shared" si="73"/>
        <v>33.984719999999996</v>
      </c>
      <c r="M133" s="62">
        <f t="shared" si="73"/>
        <v>27.187775999999999</v>
      </c>
      <c r="N133" s="62">
        <f t="shared" si="73"/>
        <v>23.109609599999999</v>
      </c>
      <c r="O133" s="62">
        <f t="shared" si="73"/>
        <v>21.954129119999997</v>
      </c>
      <c r="P133" s="62">
        <f t="shared" si="73"/>
        <v>21.954129119999997</v>
      </c>
      <c r="Q133" s="62">
        <f t="shared" si="73"/>
        <v>21.954129119999997</v>
      </c>
      <c r="R133" s="62">
        <f t="shared" si="73"/>
        <v>21.954129119999997</v>
      </c>
      <c r="S133" s="62">
        <f t="shared" si="73"/>
        <v>21.954129119999997</v>
      </c>
    </row>
    <row r="134" spans="2:19">
      <c r="B134" t="s">
        <v>78</v>
      </c>
      <c r="I134" s="6">
        <f>I133/H133-1</f>
        <v>-7.2617246596066498E-2</v>
      </c>
      <c r="J134" s="34">
        <v>-0.12</v>
      </c>
      <c r="K134" s="34">
        <v>-0.16</v>
      </c>
      <c r="L134" s="34">
        <v>-0.25</v>
      </c>
      <c r="M134" s="34">
        <v>-0.2</v>
      </c>
      <c r="N134" s="34">
        <v>-0.15</v>
      </c>
      <c r="O134" s="34">
        <v>-0.05</v>
      </c>
      <c r="P134" s="34">
        <v>0</v>
      </c>
      <c r="Q134" s="34">
        <v>0</v>
      </c>
      <c r="R134" s="34">
        <v>0</v>
      </c>
      <c r="S134" s="34">
        <v>0</v>
      </c>
    </row>
    <row r="135" spans="2:19">
      <c r="B135" t="s">
        <v>365</v>
      </c>
      <c r="H135" s="36">
        <v>64.3</v>
      </c>
      <c r="I135" s="36">
        <v>51.3</v>
      </c>
      <c r="J135" s="62">
        <f t="shared" ref="J135:S135" si="74">(1+J136)*I135</f>
        <v>45.143999999999998</v>
      </c>
      <c r="K135" s="62">
        <f t="shared" si="74"/>
        <v>42.886799999999994</v>
      </c>
      <c r="L135" s="62">
        <f t="shared" si="74"/>
        <v>42.029063999999991</v>
      </c>
      <c r="M135" s="62">
        <f t="shared" si="74"/>
        <v>41.188482719999989</v>
      </c>
      <c r="N135" s="62">
        <f t="shared" si="74"/>
        <v>39.952828238399988</v>
      </c>
      <c r="O135" s="62">
        <f t="shared" si="74"/>
        <v>38.754243391247989</v>
      </c>
      <c r="P135" s="62">
        <f t="shared" si="74"/>
        <v>37.591616089510552</v>
      </c>
      <c r="Q135" s="62">
        <f t="shared" si="74"/>
        <v>36.463867606825232</v>
      </c>
      <c r="R135" s="62">
        <f t="shared" si="74"/>
        <v>35.369951578620473</v>
      </c>
      <c r="S135" s="62">
        <f t="shared" si="74"/>
        <v>34.308853031261854</v>
      </c>
    </row>
    <row r="136" spans="2:19">
      <c r="B136" t="s">
        <v>78</v>
      </c>
      <c r="I136" s="6">
        <f>I135/H135-1</f>
        <v>-0.2021772939346812</v>
      </c>
      <c r="J136" s="34">
        <v>-0.12</v>
      </c>
      <c r="K136" s="34">
        <v>-0.05</v>
      </c>
      <c r="L136" s="34">
        <v>-0.02</v>
      </c>
      <c r="M136" s="34">
        <v>-0.02</v>
      </c>
      <c r="N136" s="34">
        <v>-0.03</v>
      </c>
      <c r="O136" s="34">
        <v>-0.03</v>
      </c>
      <c r="P136" s="34">
        <v>-0.03</v>
      </c>
      <c r="Q136" s="34">
        <v>-0.03</v>
      </c>
      <c r="R136" s="34">
        <v>-0.03</v>
      </c>
      <c r="S136" s="34">
        <v>-0.03</v>
      </c>
    </row>
    <row r="137" spans="2:19">
      <c r="B137" t="s">
        <v>366</v>
      </c>
      <c r="H137" s="36">
        <v>0</v>
      </c>
      <c r="I137" s="36">
        <v>0</v>
      </c>
      <c r="J137" s="62">
        <f t="shared" ref="J137:S137" si="75">(1+J138)*I137</f>
        <v>0</v>
      </c>
      <c r="K137" s="62">
        <f t="shared" si="75"/>
        <v>0</v>
      </c>
      <c r="L137" s="62">
        <f t="shared" si="75"/>
        <v>0</v>
      </c>
      <c r="M137" s="62">
        <f t="shared" si="75"/>
        <v>0</v>
      </c>
      <c r="N137" s="62">
        <f t="shared" si="75"/>
        <v>0</v>
      </c>
      <c r="O137" s="62">
        <f t="shared" si="75"/>
        <v>0</v>
      </c>
      <c r="P137" s="62">
        <f t="shared" si="75"/>
        <v>0</v>
      </c>
      <c r="Q137" s="62">
        <f t="shared" si="75"/>
        <v>0</v>
      </c>
      <c r="R137" s="62">
        <f t="shared" si="75"/>
        <v>0</v>
      </c>
      <c r="S137" s="62">
        <f t="shared" si="75"/>
        <v>0</v>
      </c>
    </row>
    <row r="138" spans="2:19">
      <c r="B138" t="s">
        <v>78</v>
      </c>
      <c r="I138" s="6"/>
      <c r="J138" s="34"/>
      <c r="K138" s="34"/>
      <c r="L138" s="34"/>
      <c r="M138" s="34"/>
      <c r="N138" s="34"/>
      <c r="O138" s="34"/>
      <c r="P138" s="34"/>
      <c r="Q138" s="34"/>
      <c r="R138" s="34"/>
      <c r="S138" s="34"/>
    </row>
    <row r="139" spans="2:19">
      <c r="B139" t="s">
        <v>367</v>
      </c>
      <c r="H139" s="36">
        <v>34.700000000000003</v>
      </c>
      <c r="I139" s="36">
        <v>40.200000000000003</v>
      </c>
      <c r="J139" s="62">
        <f t="shared" ref="J139:S139" si="76">(1+J140)*I139</f>
        <v>40.200000000000003</v>
      </c>
      <c r="K139" s="62">
        <f t="shared" si="76"/>
        <v>40.200000000000003</v>
      </c>
      <c r="L139" s="62">
        <f t="shared" si="76"/>
        <v>40.200000000000003</v>
      </c>
      <c r="M139" s="62">
        <f t="shared" si="76"/>
        <v>40.200000000000003</v>
      </c>
      <c r="N139" s="62">
        <f t="shared" si="76"/>
        <v>40.200000000000003</v>
      </c>
      <c r="O139" s="62">
        <f t="shared" si="76"/>
        <v>40.200000000000003</v>
      </c>
      <c r="P139" s="62">
        <f t="shared" si="76"/>
        <v>40.200000000000003</v>
      </c>
      <c r="Q139" s="62">
        <f t="shared" si="76"/>
        <v>40.200000000000003</v>
      </c>
      <c r="R139" s="62">
        <f t="shared" si="76"/>
        <v>40.200000000000003</v>
      </c>
      <c r="S139" s="62">
        <f t="shared" si="76"/>
        <v>40.200000000000003</v>
      </c>
    </row>
    <row r="140" spans="2:19">
      <c r="B140" t="s">
        <v>78</v>
      </c>
      <c r="I140" s="6">
        <f>I139/H139-1</f>
        <v>0.1585014409221901</v>
      </c>
      <c r="J140" s="34">
        <v>0</v>
      </c>
      <c r="K140" s="34">
        <v>0</v>
      </c>
      <c r="L140" s="34">
        <v>0</v>
      </c>
      <c r="M140" s="34">
        <v>0</v>
      </c>
      <c r="N140" s="34">
        <v>0</v>
      </c>
      <c r="O140" s="34">
        <v>0</v>
      </c>
      <c r="P140" s="34">
        <v>0</v>
      </c>
      <c r="Q140" s="34">
        <v>0</v>
      </c>
      <c r="R140" s="34">
        <v>0</v>
      </c>
      <c r="S140" s="34">
        <v>0</v>
      </c>
    </row>
    <row r="141" spans="2:19">
      <c r="I141" s="6"/>
    </row>
    <row r="142" spans="2:19">
      <c r="B142" t="s">
        <v>8</v>
      </c>
      <c r="F142" s="6"/>
      <c r="G142" s="6"/>
      <c r="H142">
        <f>SUM(Quarts!K74:L74)</f>
        <v>128</v>
      </c>
      <c r="I142">
        <f>SUM(Quarts!V74:W74)</f>
        <v>122</v>
      </c>
      <c r="J142" s="63">
        <v>121</v>
      </c>
      <c r="K142" s="16">
        <f t="shared" ref="K142:S142" si="77">K143*K121</f>
        <v>115.67200000000001</v>
      </c>
      <c r="L142" s="16">
        <f t="shared" si="77"/>
        <v>94.067999999999998</v>
      </c>
      <c r="M142" s="16">
        <f t="shared" si="77"/>
        <v>80.149999999999991</v>
      </c>
      <c r="N142" s="16">
        <f t="shared" si="77"/>
        <v>72.200332560447436</v>
      </c>
      <c r="O142" s="16">
        <f t="shared" si="77"/>
        <v>71.932876592361708</v>
      </c>
      <c r="P142" s="16">
        <f t="shared" si="77"/>
        <v>72.770791539285227</v>
      </c>
      <c r="Q142" s="16">
        <f t="shared" si="77"/>
        <v>73.605227399351634</v>
      </c>
      <c r="R142" s="16">
        <f t="shared" si="77"/>
        <v>74.439703996767918</v>
      </c>
      <c r="S142" s="16">
        <f t="shared" si="77"/>
        <v>75.277751119029219</v>
      </c>
    </row>
    <row r="143" spans="2:19">
      <c r="B143" t="s">
        <v>251</v>
      </c>
      <c r="F143" s="6"/>
      <c r="G143" s="6"/>
      <c r="H143" s="6">
        <f>H142/H121</f>
        <v>0.3615819209039548</v>
      </c>
      <c r="I143" s="6">
        <f>I142/I121</f>
        <v>0.35057471264367818</v>
      </c>
      <c r="J143" s="6">
        <f>J142/J121</f>
        <v>0.36778115501519759</v>
      </c>
      <c r="K143" s="35">
        <v>0.38</v>
      </c>
      <c r="L143" s="35">
        <v>0.36</v>
      </c>
      <c r="M143" s="35">
        <v>0.35</v>
      </c>
      <c r="N143" s="35">
        <v>0.34</v>
      </c>
      <c r="O143" s="35">
        <v>0.34</v>
      </c>
      <c r="P143" s="35">
        <v>0.34</v>
      </c>
      <c r="Q143" s="35">
        <v>0.34</v>
      </c>
      <c r="R143" s="35">
        <v>0.34</v>
      </c>
      <c r="S143" s="35">
        <v>0.34</v>
      </c>
    </row>
    <row r="144" spans="2:19">
      <c r="F144" s="6"/>
      <c r="G144" s="6"/>
      <c r="H144" s="6"/>
      <c r="I144" s="6"/>
    </row>
    <row r="145" spans="2:19">
      <c r="B145" t="s">
        <v>19</v>
      </c>
      <c r="F145" s="6"/>
      <c r="G145" s="6"/>
      <c r="H145">
        <f>SUM(Quarts!K117:L117)</f>
        <v>51</v>
      </c>
      <c r="I145">
        <f>SUM(Quarts!V117:W117)</f>
        <v>75</v>
      </c>
      <c r="J145" s="63">
        <f>SUM(Quarts!H470:L470)</f>
        <v>70</v>
      </c>
      <c r="K145" s="16">
        <f t="shared" ref="K145:S145" si="78">K146*K121</f>
        <v>66.968000000000004</v>
      </c>
      <c r="L145" s="16">
        <f t="shared" si="78"/>
        <v>47.033999999999999</v>
      </c>
      <c r="M145" s="16">
        <f t="shared" si="78"/>
        <v>41.22</v>
      </c>
      <c r="N145" s="16">
        <f t="shared" si="78"/>
        <v>38.22370547317805</v>
      </c>
      <c r="O145" s="16">
        <f t="shared" si="78"/>
        <v>35.966438296180854</v>
      </c>
      <c r="P145" s="16">
        <f t="shared" si="78"/>
        <v>32.10476097321407</v>
      </c>
      <c r="Q145" s="16">
        <f t="shared" si="78"/>
        <v>32.472894440890421</v>
      </c>
      <c r="R145" s="16">
        <f t="shared" si="78"/>
        <v>32.84104588092702</v>
      </c>
      <c r="S145" s="16">
        <f t="shared" si="78"/>
        <v>33.210772552512886</v>
      </c>
    </row>
    <row r="146" spans="2:19">
      <c r="B146" t="s">
        <v>20</v>
      </c>
      <c r="F146" s="6"/>
      <c r="G146" s="6"/>
      <c r="H146" s="6">
        <f>H145/H121</f>
        <v>0.1440677966101695</v>
      </c>
      <c r="I146" s="6">
        <f>I145/I121</f>
        <v>0.21551724137931033</v>
      </c>
      <c r="J146" s="6">
        <f>J145/J121</f>
        <v>0.21276595744680851</v>
      </c>
      <c r="K146" s="35">
        <v>0.22</v>
      </c>
      <c r="L146" s="35">
        <v>0.18</v>
      </c>
      <c r="M146" s="35">
        <v>0.18</v>
      </c>
      <c r="N146" s="35">
        <v>0.18</v>
      </c>
      <c r="O146" s="35">
        <v>0.17</v>
      </c>
      <c r="P146" s="35">
        <v>0.15</v>
      </c>
      <c r="Q146" s="35">
        <v>0.15</v>
      </c>
      <c r="R146" s="35">
        <v>0.15</v>
      </c>
      <c r="S146" s="35">
        <v>0.15</v>
      </c>
    </row>
    <row r="147" spans="2:19">
      <c r="F147" s="6"/>
      <c r="G147" s="6"/>
      <c r="H147" s="6"/>
      <c r="I147" s="6"/>
      <c r="J147" s="6"/>
      <c r="K147" s="6"/>
      <c r="L147" s="6"/>
      <c r="M147" s="6"/>
      <c r="N147" s="6"/>
      <c r="O147" s="6"/>
      <c r="P147" s="6"/>
      <c r="Q147" s="6"/>
      <c r="R147" s="6"/>
      <c r="S147" s="6"/>
    </row>
    <row r="148" spans="2:19">
      <c r="B148" t="s">
        <v>27</v>
      </c>
      <c r="F148" s="6"/>
      <c r="G148" s="6"/>
      <c r="H148" s="16">
        <f>H142-H145</f>
        <v>77</v>
      </c>
      <c r="I148" s="16">
        <f t="shared" ref="I148:S148" si="79">I142-I145</f>
        <v>47</v>
      </c>
      <c r="J148" s="16">
        <f t="shared" si="79"/>
        <v>51</v>
      </c>
      <c r="K148" s="16">
        <f t="shared" si="79"/>
        <v>48.704000000000008</v>
      </c>
      <c r="L148" s="16">
        <f t="shared" si="79"/>
        <v>47.033999999999999</v>
      </c>
      <c r="M148" s="16">
        <f t="shared" si="79"/>
        <v>38.929999999999993</v>
      </c>
      <c r="N148" s="16">
        <f t="shared" si="79"/>
        <v>33.976627087269385</v>
      </c>
      <c r="O148" s="16">
        <f t="shared" si="79"/>
        <v>35.966438296180854</v>
      </c>
      <c r="P148" s="16">
        <f t="shared" si="79"/>
        <v>40.666030566071157</v>
      </c>
      <c r="Q148" s="16">
        <f t="shared" si="79"/>
        <v>41.132332958461213</v>
      </c>
      <c r="R148" s="16">
        <f t="shared" si="79"/>
        <v>41.598658115840898</v>
      </c>
      <c r="S148" s="16">
        <f t="shared" si="79"/>
        <v>42.066978566516333</v>
      </c>
    </row>
    <row r="149" spans="2:19">
      <c r="B149" t="s">
        <v>392</v>
      </c>
      <c r="F149" s="6"/>
      <c r="G149" s="6"/>
      <c r="H149" s="34">
        <v>0.1</v>
      </c>
      <c r="I149" s="34">
        <v>0.1</v>
      </c>
      <c r="J149" s="34">
        <v>0.1</v>
      </c>
      <c r="K149" s="34">
        <v>0.1</v>
      </c>
      <c r="L149" s="34">
        <v>0.1</v>
      </c>
      <c r="M149" s="34">
        <v>0.1</v>
      </c>
      <c r="N149" s="34">
        <v>0.1</v>
      </c>
      <c r="O149" s="34">
        <v>0.1</v>
      </c>
      <c r="P149" s="34">
        <v>0.1</v>
      </c>
      <c r="Q149" s="34">
        <v>0.1</v>
      </c>
      <c r="R149" s="34">
        <v>0.1</v>
      </c>
      <c r="S149" s="34">
        <v>0.1</v>
      </c>
    </row>
    <row r="150" spans="2:19">
      <c r="B150" t="s">
        <v>377</v>
      </c>
      <c r="F150" s="6"/>
      <c r="G150" s="6"/>
      <c r="H150" s="16">
        <f t="shared" ref="H150:S150" si="80">(1-H149)*H148</f>
        <v>69.3</v>
      </c>
      <c r="I150" s="16">
        <f t="shared" si="80"/>
        <v>42.300000000000004</v>
      </c>
      <c r="J150" s="16">
        <f t="shared" si="80"/>
        <v>45.9</v>
      </c>
      <c r="K150" s="16">
        <f t="shared" si="80"/>
        <v>43.833600000000011</v>
      </c>
      <c r="L150" s="16">
        <f t="shared" si="80"/>
        <v>42.330599999999997</v>
      </c>
      <c r="M150" s="16">
        <f t="shared" si="80"/>
        <v>35.036999999999992</v>
      </c>
      <c r="N150" s="16">
        <f t="shared" si="80"/>
        <v>30.578964378542448</v>
      </c>
      <c r="O150" s="16">
        <f t="shared" si="80"/>
        <v>32.369794466562773</v>
      </c>
      <c r="P150" s="16">
        <f t="shared" si="80"/>
        <v>36.599427509464043</v>
      </c>
      <c r="Q150" s="16">
        <f t="shared" si="80"/>
        <v>37.019099662615091</v>
      </c>
      <c r="R150" s="16">
        <f t="shared" si="80"/>
        <v>37.438792304256808</v>
      </c>
      <c r="S150" s="16">
        <f t="shared" si="80"/>
        <v>37.860280709864703</v>
      </c>
    </row>
    <row r="152" spans="2:19">
      <c r="B152" s="68" t="s">
        <v>254</v>
      </c>
      <c r="C152" s="68"/>
      <c r="D152" s="69">
        <v>40238</v>
      </c>
      <c r="E152" s="69">
        <v>40603</v>
      </c>
      <c r="F152" s="69">
        <v>40969</v>
      </c>
      <c r="G152" s="69">
        <v>41334</v>
      </c>
      <c r="H152" s="69">
        <v>41699</v>
      </c>
      <c r="I152" s="69">
        <v>42064</v>
      </c>
      <c r="J152" s="69">
        <v>42430</v>
      </c>
      <c r="K152" s="69">
        <v>42795</v>
      </c>
      <c r="L152" s="69">
        <v>43160</v>
      </c>
      <c r="M152" s="69">
        <v>43525</v>
      </c>
      <c r="N152" s="69">
        <v>43891</v>
      </c>
      <c r="O152" s="69">
        <v>44256</v>
      </c>
      <c r="P152" s="69">
        <v>44621</v>
      </c>
      <c r="Q152" s="69">
        <v>44986</v>
      </c>
      <c r="R152" s="69">
        <v>45352</v>
      </c>
      <c r="S152" s="69">
        <v>45717</v>
      </c>
    </row>
    <row r="154" spans="2:19">
      <c r="B154" t="s">
        <v>5</v>
      </c>
      <c r="G154" s="6"/>
      <c r="H154">
        <f>SUM(Quarts!K30:L30)</f>
        <v>31</v>
      </c>
      <c r="I154">
        <f>SUM(Quarts!V30:W30)</f>
        <v>29</v>
      </c>
      <c r="J154" s="16">
        <f t="shared" ref="J154:S154" si="81">(1+J155)*I154</f>
        <v>30.450000000000003</v>
      </c>
      <c r="K154" s="16">
        <f t="shared" si="81"/>
        <v>30.450000000000003</v>
      </c>
      <c r="L154" s="16">
        <f t="shared" si="81"/>
        <v>31.972500000000004</v>
      </c>
      <c r="M154" s="16">
        <f t="shared" si="81"/>
        <v>32.292225000000002</v>
      </c>
      <c r="N154" s="16">
        <f t="shared" si="81"/>
        <v>32.61514725</v>
      </c>
      <c r="O154" s="16">
        <f t="shared" si="81"/>
        <v>32.941298722500001</v>
      </c>
      <c r="P154" s="16">
        <f t="shared" si="81"/>
        <v>33.270711709724999</v>
      </c>
      <c r="Q154" s="16">
        <f t="shared" si="81"/>
        <v>33.603418826822249</v>
      </c>
      <c r="R154" s="16">
        <f t="shared" si="81"/>
        <v>33.939453015090471</v>
      </c>
      <c r="S154" s="16">
        <f t="shared" si="81"/>
        <v>34.278847545241376</v>
      </c>
    </row>
    <row r="155" spans="2:19">
      <c r="B155" t="s">
        <v>78</v>
      </c>
      <c r="I155" s="6">
        <f>I154/H154-1</f>
        <v>-6.4516129032258118E-2</v>
      </c>
      <c r="J155" s="34">
        <v>0.05</v>
      </c>
      <c r="K155" s="34">
        <v>0</v>
      </c>
      <c r="L155" s="34">
        <v>0.05</v>
      </c>
      <c r="M155" s="34">
        <v>0.01</v>
      </c>
      <c r="N155" s="34">
        <v>0.01</v>
      </c>
      <c r="O155" s="34">
        <v>0.01</v>
      </c>
      <c r="P155" s="34">
        <v>0.01</v>
      </c>
      <c r="Q155" s="34">
        <v>0.01</v>
      </c>
      <c r="R155" s="34">
        <v>0.01</v>
      </c>
      <c r="S155" s="34">
        <v>0.01</v>
      </c>
    </row>
    <row r="156" spans="2:19">
      <c r="B156" t="s">
        <v>6</v>
      </c>
      <c r="G156" s="6"/>
      <c r="H156">
        <f>SUM(Quarts!K31:L31)</f>
        <v>10</v>
      </c>
      <c r="I156">
        <f>SUM(Quarts!V31:W31)</f>
        <v>11</v>
      </c>
      <c r="J156" s="16">
        <f t="shared" ref="J156:S156" si="82">(1+J157)*I156</f>
        <v>11.55</v>
      </c>
      <c r="K156" s="16">
        <f t="shared" si="82"/>
        <v>12.012</v>
      </c>
      <c r="L156" s="16">
        <f t="shared" si="82"/>
        <v>12.37236</v>
      </c>
      <c r="M156" s="16">
        <f t="shared" si="82"/>
        <v>12.6198072</v>
      </c>
      <c r="N156" s="16">
        <f t="shared" si="82"/>
        <v>12.872203344000001</v>
      </c>
      <c r="O156" s="16">
        <f t="shared" si="82"/>
        <v>13.129647410880001</v>
      </c>
      <c r="P156" s="16">
        <f t="shared" si="82"/>
        <v>13.392240359097601</v>
      </c>
      <c r="Q156" s="16">
        <f t="shared" si="82"/>
        <v>13.660085166279552</v>
      </c>
      <c r="R156" s="16">
        <f t="shared" si="82"/>
        <v>13.933286869605144</v>
      </c>
      <c r="S156" s="16">
        <f t="shared" si="82"/>
        <v>14.211952606997247</v>
      </c>
    </row>
    <row r="157" spans="2:19">
      <c r="B157" t="s">
        <v>78</v>
      </c>
      <c r="I157" s="6">
        <f>I156/H156-1</f>
        <v>0.10000000000000009</v>
      </c>
      <c r="J157" s="34">
        <v>0.05</v>
      </c>
      <c r="K157" s="34">
        <v>0.04</v>
      </c>
      <c r="L157" s="34">
        <v>0.03</v>
      </c>
      <c r="M157" s="34">
        <v>0.02</v>
      </c>
      <c r="N157" s="34">
        <v>0.02</v>
      </c>
      <c r="O157" s="34">
        <v>0.02</v>
      </c>
      <c r="P157" s="34">
        <v>0.02</v>
      </c>
      <c r="Q157" s="34">
        <v>0.02</v>
      </c>
      <c r="R157" s="34">
        <v>0.02</v>
      </c>
      <c r="S157" s="34">
        <v>0.02</v>
      </c>
    </row>
    <row r="158" spans="2:19">
      <c r="B158" t="s">
        <v>7</v>
      </c>
      <c r="G158" s="6"/>
      <c r="H158">
        <f>SUM(Quarts!K32:L32)</f>
        <v>9</v>
      </c>
      <c r="I158">
        <f>SUM(Quarts!V32:W32)</f>
        <v>8</v>
      </c>
      <c r="J158" s="16">
        <f t="shared" ref="J158:S158" si="83">(1+J159)*I158</f>
        <v>7.6</v>
      </c>
      <c r="K158" s="16">
        <f t="shared" si="83"/>
        <v>7.22</v>
      </c>
      <c r="L158" s="16">
        <f t="shared" si="83"/>
        <v>6.8589999999999991</v>
      </c>
      <c r="M158" s="16">
        <f t="shared" si="83"/>
        <v>6.516049999999999</v>
      </c>
      <c r="N158" s="16">
        <f t="shared" si="83"/>
        <v>6.190247499999999</v>
      </c>
      <c r="O158" s="16">
        <f t="shared" si="83"/>
        <v>5.8807351249999984</v>
      </c>
      <c r="P158" s="16">
        <f t="shared" si="83"/>
        <v>5.5866983687499978</v>
      </c>
      <c r="Q158" s="16">
        <f t="shared" si="83"/>
        <v>5.307363450312498</v>
      </c>
      <c r="R158" s="16">
        <f t="shared" si="83"/>
        <v>5.0419952777968726</v>
      </c>
      <c r="S158" s="16">
        <f t="shared" si="83"/>
        <v>4.7898955139070285</v>
      </c>
    </row>
    <row r="159" spans="2:19">
      <c r="B159" t="s">
        <v>78</v>
      </c>
      <c r="I159" s="6">
        <f>I158/H158-1</f>
        <v>-0.11111111111111116</v>
      </c>
      <c r="J159" s="34">
        <v>-0.05</v>
      </c>
      <c r="K159" s="34">
        <v>-0.05</v>
      </c>
      <c r="L159" s="34">
        <v>-0.05</v>
      </c>
      <c r="M159" s="34">
        <v>-0.05</v>
      </c>
      <c r="N159" s="34">
        <v>-0.05</v>
      </c>
      <c r="O159" s="34">
        <v>-0.05</v>
      </c>
      <c r="P159" s="34">
        <v>-0.05</v>
      </c>
      <c r="Q159" s="34">
        <v>-0.05</v>
      </c>
      <c r="R159" s="34">
        <v>-0.05</v>
      </c>
      <c r="S159" s="34">
        <v>-0.05</v>
      </c>
    </row>
    <row r="160" spans="2:19">
      <c r="B160" t="s">
        <v>4</v>
      </c>
      <c r="G160" s="6"/>
      <c r="H160">
        <f>SUM(Quarts!K33:L33)</f>
        <v>3</v>
      </c>
      <c r="I160">
        <f>SUM(Quarts!V33:W33)</f>
        <v>4</v>
      </c>
      <c r="J160" s="16">
        <f>J162-J158-J156-J154</f>
        <v>6.3999999999999915</v>
      </c>
      <c r="K160" s="16">
        <f>K162-K158-K156-K154</f>
        <v>9.6957000000000022</v>
      </c>
      <c r="L160" s="16">
        <f>L162-L158-L156-L154</f>
        <v>9.3961399999999955</v>
      </c>
      <c r="M160" s="16">
        <f t="shared" ref="M160:S160" si="84">(1+M161)*L160</f>
        <v>9.3961399999999955</v>
      </c>
      <c r="N160" s="16">
        <f t="shared" si="84"/>
        <v>9.3961399999999955</v>
      </c>
      <c r="O160" s="16">
        <f t="shared" si="84"/>
        <v>9.3961399999999955</v>
      </c>
      <c r="P160" s="16">
        <f t="shared" si="84"/>
        <v>9.3961399999999955</v>
      </c>
      <c r="Q160" s="16">
        <f t="shared" si="84"/>
        <v>9.3961399999999955</v>
      </c>
      <c r="R160" s="16">
        <f t="shared" si="84"/>
        <v>9.3961399999999955</v>
      </c>
      <c r="S160" s="16">
        <f t="shared" si="84"/>
        <v>9.3961399999999955</v>
      </c>
    </row>
    <row r="161" spans="2:20">
      <c r="B161" s="3" t="s">
        <v>78</v>
      </c>
      <c r="C161" s="3"/>
      <c r="D161" s="3"/>
      <c r="E161" s="3"/>
      <c r="F161" s="3"/>
      <c r="G161" s="3"/>
      <c r="H161" s="3"/>
      <c r="I161" s="7">
        <f>I160/H160-1</f>
        <v>0.33333333333333326</v>
      </c>
      <c r="J161" s="7">
        <f>J160/I160-1</f>
        <v>0.59999999999999787</v>
      </c>
      <c r="K161" s="7">
        <f>K160/J160-1</f>
        <v>0.51495312500000234</v>
      </c>
      <c r="L161" s="7">
        <f>L160/K160-1</f>
        <v>-3.0896170467321293E-2</v>
      </c>
      <c r="M161" s="687">
        <v>0</v>
      </c>
      <c r="N161" s="687">
        <v>0</v>
      </c>
      <c r="O161" s="687">
        <v>0</v>
      </c>
      <c r="P161" s="687">
        <v>0</v>
      </c>
      <c r="Q161" s="687">
        <v>0</v>
      </c>
      <c r="R161" s="687">
        <v>0</v>
      </c>
      <c r="S161" s="687">
        <v>0</v>
      </c>
    </row>
    <row r="162" spans="2:20">
      <c r="B162" t="s">
        <v>16</v>
      </c>
      <c r="G162" s="6"/>
      <c r="H162">
        <f>SUM(Quarts!K34:L34)</f>
        <v>53</v>
      </c>
      <c r="I162">
        <f>SUM(Quarts!V34:W34)</f>
        <v>52</v>
      </c>
      <c r="J162" s="63">
        <v>56</v>
      </c>
      <c r="K162" s="63">
        <f>SUM('New quarts'!K73:N73)</f>
        <v>59.377700000000004</v>
      </c>
      <c r="L162" s="63">
        <f>SUM('New quarts'!O73:R73)</f>
        <v>60.6</v>
      </c>
      <c r="M162" s="16">
        <f t="shared" ref="M162:S162" si="85">M154+M156+M158+M160</f>
        <v>60.824222199999994</v>
      </c>
      <c r="N162" s="16">
        <f t="shared" si="85"/>
        <v>61.073738093999992</v>
      </c>
      <c r="O162" s="16">
        <f t="shared" si="85"/>
        <v>61.347821258380002</v>
      </c>
      <c r="P162" s="16">
        <f t="shared" si="85"/>
        <v>61.645790437572593</v>
      </c>
      <c r="Q162" s="16">
        <f t="shared" si="85"/>
        <v>61.967007443414296</v>
      </c>
      <c r="R162" s="16">
        <f t="shared" si="85"/>
        <v>62.310875162492486</v>
      </c>
      <c r="S162" s="16">
        <f t="shared" si="85"/>
        <v>62.676835666145642</v>
      </c>
    </row>
    <row r="163" spans="2:20">
      <c r="B163" t="s">
        <v>78</v>
      </c>
      <c r="I163" s="6">
        <f t="shared" ref="I163:S163" si="86">I162/H162-1</f>
        <v>-1.8867924528301883E-2</v>
      </c>
      <c r="J163" s="6">
        <f t="shared" si="86"/>
        <v>7.6923076923076872E-2</v>
      </c>
      <c r="K163" s="6">
        <f t="shared" si="86"/>
        <v>6.0316071428571538E-2</v>
      </c>
      <c r="L163" s="6">
        <f t="shared" si="86"/>
        <v>2.0585169179675233E-2</v>
      </c>
      <c r="M163" s="6">
        <f t="shared" si="86"/>
        <v>3.7000363036301387E-3</v>
      </c>
      <c r="N163" s="6">
        <f t="shared" si="86"/>
        <v>4.1022455359898125E-3</v>
      </c>
      <c r="O163" s="6">
        <f t="shared" si="86"/>
        <v>4.487741751751928E-3</v>
      </c>
      <c r="P163" s="6">
        <f t="shared" si="86"/>
        <v>4.8570458262506833E-3</v>
      </c>
      <c r="Q163" s="6">
        <f t="shared" si="86"/>
        <v>5.2106884113520824E-3</v>
      </c>
      <c r="R163" s="6">
        <f t="shared" si="86"/>
        <v>5.5492064772080241E-3</v>
      </c>
      <c r="S163" s="6">
        <f t="shared" si="86"/>
        <v>5.8731401653213666E-3</v>
      </c>
    </row>
    <row r="164" spans="2:20">
      <c r="F164" s="12"/>
    </row>
    <row r="165" spans="2:20">
      <c r="B165" t="s">
        <v>8</v>
      </c>
      <c r="F165" s="6"/>
      <c r="G165" s="6"/>
      <c r="H165">
        <f>SUM(Quarts!K75:L75)</f>
        <v>20</v>
      </c>
      <c r="I165">
        <f>SUM(Quarts!V75:W75)</f>
        <v>19</v>
      </c>
      <c r="J165" s="63">
        <v>22</v>
      </c>
      <c r="K165" s="16">
        <f t="shared" ref="K165:S165" si="87">K166*K162</f>
        <v>23.326953571428572</v>
      </c>
      <c r="L165" s="16">
        <f t="shared" si="87"/>
        <v>23.807142857142857</v>
      </c>
      <c r="M165" s="16">
        <f t="shared" si="87"/>
        <v>23.895230149999996</v>
      </c>
      <c r="N165" s="16">
        <f t="shared" si="87"/>
        <v>23.993254251214282</v>
      </c>
      <c r="O165" s="16">
        <f t="shared" si="87"/>
        <v>24.100929780077859</v>
      </c>
      <c r="P165" s="16">
        <f t="shared" si="87"/>
        <v>24.217989100474949</v>
      </c>
      <c r="Q165" s="16">
        <f t="shared" si="87"/>
        <v>24.344181495627044</v>
      </c>
      <c r="R165" s="16">
        <f t="shared" si="87"/>
        <v>24.479272385264906</v>
      </c>
      <c r="S165" s="16">
        <f t="shared" si="87"/>
        <v>24.623042583128644</v>
      </c>
    </row>
    <row r="166" spans="2:20">
      <c r="B166" t="s">
        <v>251</v>
      </c>
      <c r="F166" s="6"/>
      <c r="G166" s="6"/>
      <c r="H166" s="6">
        <f>H165/H162</f>
        <v>0.37735849056603776</v>
      </c>
      <c r="I166" s="6">
        <f>I165/I162</f>
        <v>0.36538461538461536</v>
      </c>
      <c r="J166" s="6">
        <f>J165/J162</f>
        <v>0.39285714285714285</v>
      </c>
      <c r="K166" s="35">
        <f t="shared" ref="K166:S166" si="88">J166</f>
        <v>0.39285714285714285</v>
      </c>
      <c r="L166" s="35">
        <f t="shared" si="88"/>
        <v>0.39285714285714285</v>
      </c>
      <c r="M166" s="35">
        <f t="shared" si="88"/>
        <v>0.39285714285714285</v>
      </c>
      <c r="N166" s="35">
        <f t="shared" si="88"/>
        <v>0.39285714285714285</v>
      </c>
      <c r="O166" s="35">
        <f t="shared" si="88"/>
        <v>0.39285714285714285</v>
      </c>
      <c r="P166" s="35">
        <f t="shared" si="88"/>
        <v>0.39285714285714285</v>
      </c>
      <c r="Q166" s="35">
        <f t="shared" si="88"/>
        <v>0.39285714285714285</v>
      </c>
      <c r="R166" s="35">
        <f t="shared" si="88"/>
        <v>0.39285714285714285</v>
      </c>
      <c r="S166" s="35">
        <f t="shared" si="88"/>
        <v>0.39285714285714285</v>
      </c>
    </row>
    <row r="167" spans="2:20">
      <c r="F167" s="6"/>
      <c r="G167" s="6"/>
      <c r="H167" s="6"/>
      <c r="I167" s="6"/>
    </row>
    <row r="168" spans="2:20">
      <c r="B168" t="s">
        <v>19</v>
      </c>
      <c r="F168" s="6"/>
      <c r="G168" s="6"/>
      <c r="H168">
        <f>SUM(Quarts!K118:L118)</f>
        <v>10</v>
      </c>
      <c r="I168">
        <f>SUM(Quarts!V118:W118)</f>
        <v>12</v>
      </c>
      <c r="J168" s="63">
        <f>SUM(Quarts!H472:L472)</f>
        <v>12</v>
      </c>
      <c r="K168" s="16">
        <f t="shared" ref="K168:S168" si="89">K169*K162</f>
        <v>13.063094000000001</v>
      </c>
      <c r="L168" s="16">
        <f t="shared" si="89"/>
        <v>10.302000000000001</v>
      </c>
      <c r="M168" s="16">
        <f t="shared" si="89"/>
        <v>8.5153911079999993</v>
      </c>
      <c r="N168" s="16">
        <f t="shared" si="89"/>
        <v>8.5503233331599997</v>
      </c>
      <c r="O168" s="16">
        <f t="shared" si="89"/>
        <v>8.5886949761732012</v>
      </c>
      <c r="P168" s="16">
        <f t="shared" si="89"/>
        <v>8.6304106612601643</v>
      </c>
      <c r="Q168" s="16">
        <f t="shared" si="89"/>
        <v>8.6753810420780031</v>
      </c>
      <c r="R168" s="16">
        <f t="shared" si="89"/>
        <v>8.723522522748949</v>
      </c>
      <c r="S168" s="16">
        <f t="shared" si="89"/>
        <v>8.7747569932603913</v>
      </c>
    </row>
    <row r="169" spans="2:20">
      <c r="B169" t="s">
        <v>20</v>
      </c>
      <c r="F169" s="6"/>
      <c r="G169" s="6"/>
      <c r="H169" s="6">
        <f>H168/H162</f>
        <v>0.18867924528301888</v>
      </c>
      <c r="I169" s="6">
        <f>I168/I162</f>
        <v>0.23076923076923078</v>
      </c>
      <c r="J169" s="6">
        <f>J168/J162</f>
        <v>0.21428571428571427</v>
      </c>
      <c r="K169" s="35">
        <v>0.22</v>
      </c>
      <c r="L169" s="35">
        <v>0.17</v>
      </c>
      <c r="M169" s="35">
        <v>0.14000000000000001</v>
      </c>
      <c r="N169" s="35">
        <v>0.14000000000000001</v>
      </c>
      <c r="O169" s="35">
        <v>0.14000000000000001</v>
      </c>
      <c r="P169" s="35">
        <v>0.14000000000000001</v>
      </c>
      <c r="Q169" s="35">
        <v>0.14000000000000001</v>
      </c>
      <c r="R169" s="35">
        <v>0.14000000000000001</v>
      </c>
      <c r="S169" s="35">
        <v>0.14000000000000001</v>
      </c>
    </row>
    <row r="170" spans="2:20">
      <c r="F170" s="6"/>
      <c r="G170" s="6"/>
      <c r="H170" s="6"/>
      <c r="I170" s="6"/>
      <c r="J170" s="6"/>
      <c r="K170" s="6"/>
      <c r="L170" s="6"/>
      <c r="M170" s="6"/>
      <c r="N170" s="6"/>
      <c r="O170" s="6"/>
      <c r="P170" s="6"/>
      <c r="Q170" s="6"/>
      <c r="R170" s="6"/>
      <c r="S170" s="6"/>
    </row>
    <row r="171" spans="2:20">
      <c r="B171" t="s">
        <v>27</v>
      </c>
      <c r="F171" s="6"/>
      <c r="G171" s="6"/>
      <c r="H171" s="16">
        <f>H165-H168</f>
        <v>10</v>
      </c>
      <c r="I171" s="16">
        <f t="shared" ref="I171:S171" si="90">I165-I168</f>
        <v>7</v>
      </c>
      <c r="J171" s="16">
        <f t="shared" si="90"/>
        <v>10</v>
      </c>
      <c r="K171" s="16">
        <f t="shared" si="90"/>
        <v>10.26385957142857</v>
      </c>
      <c r="L171" s="16">
        <f t="shared" si="90"/>
        <v>13.505142857142856</v>
      </c>
      <c r="M171" s="16">
        <f t="shared" si="90"/>
        <v>15.379839041999997</v>
      </c>
      <c r="N171" s="16">
        <f t="shared" si="90"/>
        <v>15.442930918054282</v>
      </c>
      <c r="O171" s="16">
        <f t="shared" si="90"/>
        <v>15.512234803904658</v>
      </c>
      <c r="P171" s="16">
        <f t="shared" si="90"/>
        <v>15.587578439214784</v>
      </c>
      <c r="Q171" s="16">
        <f t="shared" si="90"/>
        <v>15.668800453549041</v>
      </c>
      <c r="R171" s="16">
        <f t="shared" si="90"/>
        <v>15.755749862515957</v>
      </c>
      <c r="S171" s="16">
        <f t="shared" si="90"/>
        <v>15.848285589868253</v>
      </c>
    </row>
    <row r="172" spans="2:20">
      <c r="B172" t="s">
        <v>392</v>
      </c>
      <c r="F172" s="6"/>
      <c r="G172" s="6"/>
      <c r="H172" s="34">
        <v>0.33</v>
      </c>
      <c r="I172" s="34">
        <v>0.33</v>
      </c>
      <c r="J172" s="34">
        <v>0.33</v>
      </c>
      <c r="K172" s="34">
        <v>0.33</v>
      </c>
      <c r="L172" s="34">
        <v>0.33</v>
      </c>
      <c r="M172" s="34">
        <v>0.33</v>
      </c>
      <c r="N172" s="34">
        <v>0.33</v>
      </c>
      <c r="O172" s="34">
        <v>0.33</v>
      </c>
      <c r="P172" s="34">
        <v>0.33</v>
      </c>
      <c r="Q172" s="34">
        <v>0.33</v>
      </c>
      <c r="R172" s="34">
        <v>0.33</v>
      </c>
      <c r="S172" s="34">
        <v>0.33</v>
      </c>
    </row>
    <row r="173" spans="2:20">
      <c r="B173" t="s">
        <v>377</v>
      </c>
      <c r="F173" s="6"/>
      <c r="G173" s="6"/>
      <c r="H173" s="16">
        <f t="shared" ref="H173:S173" si="91">(1-H172)*H171</f>
        <v>6.6999999999999993</v>
      </c>
      <c r="I173" s="16">
        <f t="shared" si="91"/>
        <v>4.6899999999999995</v>
      </c>
      <c r="J173" s="16">
        <f t="shared" si="91"/>
        <v>6.6999999999999993</v>
      </c>
      <c r="K173" s="16">
        <f t="shared" si="91"/>
        <v>6.8767859128571418</v>
      </c>
      <c r="L173" s="16">
        <f t="shared" si="91"/>
        <v>9.0484457142857124</v>
      </c>
      <c r="M173" s="16">
        <f t="shared" si="91"/>
        <v>10.304492158139997</v>
      </c>
      <c r="N173" s="16">
        <f t="shared" si="91"/>
        <v>10.346763715096367</v>
      </c>
      <c r="O173" s="16">
        <f t="shared" si="91"/>
        <v>10.393197318616119</v>
      </c>
      <c r="P173" s="16">
        <f t="shared" si="91"/>
        <v>10.443677554273904</v>
      </c>
      <c r="Q173" s="16">
        <f t="shared" si="91"/>
        <v>10.498096303877857</v>
      </c>
      <c r="R173" s="16">
        <f t="shared" si="91"/>
        <v>10.55635240788569</v>
      </c>
      <c r="S173" s="16">
        <f t="shared" si="91"/>
        <v>10.618351345211728</v>
      </c>
    </row>
    <row r="175" spans="2:20">
      <c r="B175" s="68" t="s">
        <v>1491</v>
      </c>
      <c r="C175" s="68"/>
      <c r="D175" s="69">
        <v>40238</v>
      </c>
      <c r="E175" s="69">
        <v>40603</v>
      </c>
      <c r="F175" s="69">
        <v>40969</v>
      </c>
      <c r="G175" s="69">
        <v>41334</v>
      </c>
      <c r="H175" s="69">
        <v>41699</v>
      </c>
      <c r="I175" s="69">
        <v>42064</v>
      </c>
      <c r="J175" s="69">
        <v>42430</v>
      </c>
      <c r="K175" s="69">
        <v>42795</v>
      </c>
      <c r="L175" s="69">
        <v>43160</v>
      </c>
      <c r="M175" s="69">
        <v>43525</v>
      </c>
      <c r="N175" s="69">
        <v>43891</v>
      </c>
      <c r="O175" s="69">
        <v>44256</v>
      </c>
      <c r="P175" s="69">
        <v>44621</v>
      </c>
      <c r="Q175" s="69">
        <v>44986</v>
      </c>
      <c r="R175" s="69">
        <v>45352</v>
      </c>
      <c r="S175" s="69">
        <v>45717</v>
      </c>
      <c r="T175" t="s">
        <v>72</v>
      </c>
    </row>
    <row r="177" spans="2:19">
      <c r="B177" t="s">
        <v>15</v>
      </c>
      <c r="E177" s="36">
        <v>20788</v>
      </c>
      <c r="F177" s="36">
        <v>20438</v>
      </c>
      <c r="G177" s="36">
        <v>19075</v>
      </c>
      <c r="H177" s="36">
        <v>18443</v>
      </c>
      <c r="I177" s="36">
        <v>21592</v>
      </c>
      <c r="J177" s="36">
        <f>J209*J201</f>
        <v>35919</v>
      </c>
      <c r="K177" s="16">
        <f>K180+K183+K186+K187</f>
        <v>38349.51</v>
      </c>
      <c r="L177" s="16">
        <f>L180+L183+L186+L187</f>
        <v>40746.938049999997</v>
      </c>
      <c r="M177" s="16">
        <f t="shared" ref="M177:S177" si="92">M180+M183+M186+M187</f>
        <v>42845.917462875012</v>
      </c>
      <c r="N177" s="16">
        <f t="shared" si="92"/>
        <v>44473.398342890636</v>
      </c>
      <c r="O177" s="16">
        <f t="shared" si="92"/>
        <v>46059.525532564461</v>
      </c>
      <c r="P177" s="16">
        <f t="shared" ca="1" si="92"/>
        <v>47748.542291237558</v>
      </c>
      <c r="Q177" s="16">
        <f t="shared" ca="1" si="92"/>
        <v>49544.206588712666</v>
      </c>
      <c r="R177" s="16">
        <f t="shared" ca="1" si="92"/>
        <v>51450.52843501071</v>
      </c>
      <c r="S177" s="16">
        <f t="shared" ca="1" si="92"/>
        <v>53471.779145702771</v>
      </c>
    </row>
    <row r="178" spans="2:19">
      <c r="B178" t="s">
        <v>1092</v>
      </c>
      <c r="F178" s="5">
        <f t="shared" ref="F178:S178" si="93">F177/E177-1</f>
        <v>-1.6836636521069814E-2</v>
      </c>
      <c r="G178" s="5">
        <f t="shared" si="93"/>
        <v>-6.668949995107154E-2</v>
      </c>
      <c r="H178" s="5">
        <f t="shared" si="93"/>
        <v>-3.313237221494103E-2</v>
      </c>
      <c r="I178" s="5">
        <f t="shared" si="93"/>
        <v>0.17074228704657601</v>
      </c>
      <c r="J178" s="5">
        <f t="shared" si="93"/>
        <v>0.66353278992219344</v>
      </c>
      <c r="K178" s="5">
        <f t="shared" si="93"/>
        <v>6.7666416102898141E-2</v>
      </c>
      <c r="L178" s="5">
        <f t="shared" si="93"/>
        <v>6.2515219881557726E-2</v>
      </c>
      <c r="M178" s="5">
        <f t="shared" si="93"/>
        <v>5.151256789649783E-2</v>
      </c>
      <c r="N178" s="5">
        <f t="shared" si="93"/>
        <v>3.7984502990881186E-2</v>
      </c>
      <c r="O178" s="5">
        <f t="shared" si="93"/>
        <v>3.5664627592538745E-2</v>
      </c>
      <c r="P178" s="5">
        <f t="shared" ca="1" si="93"/>
        <v>3.6670303029477491E-2</v>
      </c>
      <c r="Q178" s="5">
        <f t="shared" ca="1" si="93"/>
        <v>3.7606683079927983E-2</v>
      </c>
      <c r="R178" s="5">
        <f t="shared" ca="1" si="93"/>
        <v>3.8477189918959098E-2</v>
      </c>
      <c r="S178" s="5">
        <f t="shared" ca="1" si="93"/>
        <v>3.9285324605464078E-2</v>
      </c>
    </row>
    <row r="179" spans="2:19">
      <c r="J179" s="16"/>
      <c r="K179" s="16"/>
      <c r="L179" s="16"/>
      <c r="M179" s="16"/>
      <c r="N179" s="16"/>
      <c r="O179" s="16"/>
      <c r="P179" s="16"/>
      <c r="Q179" s="16"/>
      <c r="R179" s="16"/>
      <c r="S179" s="16"/>
    </row>
    <row r="180" spans="2:19">
      <c r="B180" s="488" t="s">
        <v>1506</v>
      </c>
      <c r="H180" s="36">
        <v>6674</v>
      </c>
      <c r="I180" s="36">
        <v>8698</v>
      </c>
      <c r="J180" s="16">
        <f>(1+J181)*I180</f>
        <v>11307.4</v>
      </c>
      <c r="K180" s="16">
        <f t="shared" ref="K180:S180" si="94">(1+K181)*J180</f>
        <v>12438.140000000001</v>
      </c>
      <c r="L180" s="16">
        <f t="shared" si="94"/>
        <v>13681.954000000003</v>
      </c>
      <c r="M180" s="16">
        <f t="shared" si="94"/>
        <v>14776.510320000005</v>
      </c>
      <c r="N180" s="16">
        <f t="shared" si="94"/>
        <v>15663.100939200005</v>
      </c>
      <c r="O180" s="16">
        <f t="shared" si="94"/>
        <v>16446.255986160006</v>
      </c>
      <c r="P180" s="16">
        <f t="shared" ca="1" si="94"/>
        <v>17268.568785468007</v>
      </c>
      <c r="Q180" s="16">
        <f t="shared" ca="1" si="94"/>
        <v>18131.997224741408</v>
      </c>
      <c r="R180" s="16">
        <f t="shared" ca="1" si="94"/>
        <v>19038.597085978479</v>
      </c>
      <c r="S180" s="16">
        <f t="shared" ca="1" si="94"/>
        <v>19990.526940277403</v>
      </c>
    </row>
    <row r="181" spans="2:19">
      <c r="B181" s="488" t="s">
        <v>1092</v>
      </c>
      <c r="I181" s="5">
        <f>I180/H180-1</f>
        <v>0.30326640695235252</v>
      </c>
      <c r="J181" s="34">
        <v>0.3</v>
      </c>
      <c r="K181" s="34">
        <v>0.1</v>
      </c>
      <c r="L181" s="34">
        <v>0.1</v>
      </c>
      <c r="M181" s="34">
        <v>0.08</v>
      </c>
      <c r="N181" s="34">
        <v>0.06</v>
      </c>
      <c r="O181" s="34">
        <v>0.05</v>
      </c>
      <c r="P181" s="34">
        <f ca="1">P180/O180-1</f>
        <v>5.0000000000000044E-2</v>
      </c>
      <c r="Q181" s="34">
        <f ca="1">Q180/P180-1</f>
        <v>5.0000000000000044E-2</v>
      </c>
      <c r="R181" s="34">
        <f ca="1">R180/Q180-1</f>
        <v>5.0000000000000044E-2</v>
      </c>
      <c r="S181" s="34">
        <f ca="1">S180/R180-1</f>
        <v>5.0000000000000044E-2</v>
      </c>
    </row>
    <row r="182" spans="2:19">
      <c r="B182" s="488"/>
      <c r="J182" s="16"/>
      <c r="K182" s="16"/>
      <c r="L182" s="16"/>
      <c r="M182" s="16"/>
      <c r="N182" s="16"/>
      <c r="O182" s="16"/>
      <c r="P182" s="16"/>
      <c r="Q182" s="16"/>
      <c r="R182" s="16"/>
      <c r="S182" s="16"/>
    </row>
    <row r="183" spans="2:19">
      <c r="B183" s="488" t="s">
        <v>1507</v>
      </c>
      <c r="H183" s="36">
        <v>2336</v>
      </c>
      <c r="I183" s="36">
        <v>2722</v>
      </c>
      <c r="J183" s="16">
        <f>J177-J180-J186-J187</f>
        <v>14323.099999999997</v>
      </c>
      <c r="K183" s="16">
        <f t="shared" ref="K183:S183" si="95">(1+K184)*J183</f>
        <v>15755.409999999998</v>
      </c>
      <c r="L183" s="16">
        <f t="shared" si="95"/>
        <v>17015.842799999999</v>
      </c>
      <c r="M183" s="16">
        <f t="shared" si="95"/>
        <v>18206.951796000001</v>
      </c>
      <c r="N183" s="16">
        <f t="shared" si="95"/>
        <v>19117.299385800001</v>
      </c>
      <c r="O183" s="16">
        <f t="shared" si="95"/>
        <v>20073.164355090001</v>
      </c>
      <c r="P183" s="16">
        <f t="shared" ca="1" si="95"/>
        <v>21076.822572844503</v>
      </c>
      <c r="Q183" s="16">
        <f t="shared" ca="1" si="95"/>
        <v>22130.66370148673</v>
      </c>
      <c r="R183" s="16">
        <f t="shared" ca="1" si="95"/>
        <v>23237.196886561069</v>
      </c>
      <c r="S183" s="16">
        <f t="shared" ca="1" si="95"/>
        <v>24399.056730889122</v>
      </c>
    </row>
    <row r="184" spans="2:19">
      <c r="B184" s="488"/>
      <c r="I184" s="5">
        <f>I183/H183-1</f>
        <v>0.16523972602739723</v>
      </c>
      <c r="J184" s="5">
        <f>J183/I183-1</f>
        <v>4.2619764878765602</v>
      </c>
      <c r="K184" s="34">
        <v>0.1</v>
      </c>
      <c r="L184" s="34">
        <v>0.08</v>
      </c>
      <c r="M184" s="34">
        <v>7.0000000000000007E-2</v>
      </c>
      <c r="N184" s="34">
        <v>0.05</v>
      </c>
      <c r="O184" s="34">
        <v>0.05</v>
      </c>
      <c r="P184" s="34">
        <f ca="1">P183/O183-1</f>
        <v>5.0000000000000044E-2</v>
      </c>
      <c r="Q184" s="34">
        <f ca="1">Q183/P183-1</f>
        <v>5.0000000000000044E-2</v>
      </c>
      <c r="R184" s="34">
        <f ca="1">R183/Q183-1</f>
        <v>5.0000000000000044E-2</v>
      </c>
      <c r="S184" s="34">
        <f ca="1">S183/R183-1</f>
        <v>5.0000000000000044E-2</v>
      </c>
    </row>
    <row r="185" spans="2:19">
      <c r="B185" s="488"/>
      <c r="I185" s="5"/>
      <c r="J185" s="16"/>
      <c r="K185" s="16"/>
      <c r="L185" s="16"/>
      <c r="M185" s="16"/>
      <c r="N185" s="16"/>
      <c r="O185" s="16"/>
      <c r="P185" s="16"/>
      <c r="Q185" s="16"/>
      <c r="R185" s="16"/>
      <c r="S185" s="16"/>
    </row>
    <row r="186" spans="2:19">
      <c r="B186" s="488" t="s">
        <v>1508</v>
      </c>
      <c r="H186" s="36">
        <v>6483</v>
      </c>
      <c r="I186" s="36">
        <v>6535</v>
      </c>
      <c r="J186" s="63">
        <f>I186*0.99</f>
        <v>6469.65</v>
      </c>
      <c r="K186" s="63">
        <f>J186*0.95</f>
        <v>6146.1674999999996</v>
      </c>
      <c r="L186" s="63">
        <f t="shared" ref="L186:S186" si="96">K186*0.95</f>
        <v>5838.859124999999</v>
      </c>
      <c r="M186" s="63">
        <f t="shared" si="96"/>
        <v>5546.9161687499991</v>
      </c>
      <c r="N186" s="63">
        <f t="shared" si="96"/>
        <v>5269.5703603124985</v>
      </c>
      <c r="O186" s="63">
        <f t="shared" si="96"/>
        <v>5006.0918422968734</v>
      </c>
      <c r="P186" s="63">
        <f t="shared" si="96"/>
        <v>4755.7872501820293</v>
      </c>
      <c r="Q186" s="63">
        <f t="shared" si="96"/>
        <v>4517.9978876729274</v>
      </c>
      <c r="R186" s="63">
        <f t="shared" si="96"/>
        <v>4292.0979932892806</v>
      </c>
      <c r="S186" s="63">
        <f t="shared" si="96"/>
        <v>4077.4930936248165</v>
      </c>
    </row>
    <row r="187" spans="2:19">
      <c r="B187" s="488" t="s">
        <v>1509</v>
      </c>
      <c r="H187">
        <f>H177-H180-H183-H186</f>
        <v>2950</v>
      </c>
      <c r="I187">
        <f>I177-I180-I183-I186</f>
        <v>3637</v>
      </c>
      <c r="J187" s="63">
        <f>I187*1.05</f>
        <v>3818.8500000000004</v>
      </c>
      <c r="K187" s="63">
        <f>J187*1.05</f>
        <v>4009.7925000000005</v>
      </c>
      <c r="L187" s="63">
        <f>K187*1.05</f>
        <v>4210.2821250000006</v>
      </c>
      <c r="M187" s="63">
        <f>L187*1.025</f>
        <v>4315.539178125</v>
      </c>
      <c r="N187" s="63">
        <f t="shared" ref="N187:S187" si="97">M187*1.025</f>
        <v>4423.427657578125</v>
      </c>
      <c r="O187" s="63">
        <f t="shared" si="97"/>
        <v>4534.0133490175776</v>
      </c>
      <c r="P187" s="63">
        <f t="shared" si="97"/>
        <v>4647.3636827430164</v>
      </c>
      <c r="Q187" s="63">
        <f t="shared" si="97"/>
        <v>4763.5477748115918</v>
      </c>
      <c r="R187" s="63">
        <f t="shared" si="97"/>
        <v>4882.6364691818808</v>
      </c>
      <c r="S187" s="63">
        <f t="shared" si="97"/>
        <v>5004.7023809114271</v>
      </c>
    </row>
    <row r="188" spans="2:19">
      <c r="B188" s="488"/>
      <c r="J188" s="16"/>
      <c r="K188" s="16"/>
      <c r="L188" s="16"/>
      <c r="M188" s="16"/>
      <c r="N188" s="16"/>
      <c r="O188" s="16"/>
      <c r="P188" s="16"/>
      <c r="Q188" s="16"/>
      <c r="R188" s="16"/>
      <c r="S188" s="16"/>
    </row>
    <row r="189" spans="2:19">
      <c r="B189" t="s">
        <v>8</v>
      </c>
      <c r="E189" s="36">
        <v>1644</v>
      </c>
      <c r="F189" s="36">
        <v>2270</v>
      </c>
      <c r="G189" s="36">
        <v>1950</v>
      </c>
      <c r="H189" s="36">
        <v>2780</v>
      </c>
      <c r="I189" s="36">
        <v>4192</v>
      </c>
      <c r="J189" s="16">
        <f t="shared" ref="J189:S189" si="98">J190*J177</f>
        <v>10775.699999999999</v>
      </c>
      <c r="K189" s="16">
        <f t="shared" si="98"/>
        <v>12655.338300000001</v>
      </c>
      <c r="L189" s="16">
        <f t="shared" si="98"/>
        <v>13853.958936999999</v>
      </c>
      <c r="M189" s="16">
        <f t="shared" si="98"/>
        <v>14567.611937377505</v>
      </c>
      <c r="N189" s="16">
        <f t="shared" si="98"/>
        <v>15120.955436582817</v>
      </c>
      <c r="O189" s="16">
        <f t="shared" si="98"/>
        <v>15660.238681071918</v>
      </c>
      <c r="P189" s="16">
        <f t="shared" ca="1" si="98"/>
        <v>16234.504379020771</v>
      </c>
      <c r="Q189" s="16">
        <f t="shared" ca="1" si="98"/>
        <v>16845.030240162308</v>
      </c>
      <c r="R189" s="16">
        <f t="shared" ca="1" si="98"/>
        <v>17493.179667903642</v>
      </c>
      <c r="S189" s="16">
        <f t="shared" ca="1" si="98"/>
        <v>18180.404909538942</v>
      </c>
    </row>
    <row r="190" spans="2:19">
      <c r="B190" t="s">
        <v>251</v>
      </c>
      <c r="E190" s="6">
        <f>E189/E177</f>
        <v>7.9084086973253795E-2</v>
      </c>
      <c r="F190" s="6">
        <f>F189/F177</f>
        <v>0.11106761914081613</v>
      </c>
      <c r="G190" s="6">
        <f>G189/G177</f>
        <v>0.10222804718217562</v>
      </c>
      <c r="H190" s="6">
        <f>H189/H177</f>
        <v>0.1507346960906577</v>
      </c>
      <c r="I190" s="6">
        <f>I189/I177</f>
        <v>0.19414597999258984</v>
      </c>
      <c r="J190" s="34">
        <v>0.3</v>
      </c>
      <c r="K190" s="34">
        <v>0.33</v>
      </c>
      <c r="L190" s="34">
        <v>0.34</v>
      </c>
      <c r="M190" s="34">
        <v>0.34</v>
      </c>
      <c r="N190" s="34">
        <v>0.34</v>
      </c>
      <c r="O190" s="34">
        <v>0.34</v>
      </c>
      <c r="P190" s="34">
        <v>0.34</v>
      </c>
      <c r="Q190" s="34">
        <v>0.34</v>
      </c>
      <c r="R190" s="34">
        <v>0.34</v>
      </c>
      <c r="S190" s="34">
        <v>0.34</v>
      </c>
    </row>
    <row r="192" spans="2:19">
      <c r="B192" s="8" t="s">
        <v>1493</v>
      </c>
      <c r="G192" s="521">
        <v>0.43276283618581907</v>
      </c>
      <c r="H192" s="521">
        <v>0.41227868475511614</v>
      </c>
      <c r="I192" s="521">
        <v>0.38349492817291692</v>
      </c>
    </row>
    <row r="194" spans="2:19">
      <c r="B194" s="15" t="s">
        <v>1511</v>
      </c>
      <c r="I194" s="6"/>
      <c r="J194" s="6"/>
      <c r="K194" s="6"/>
      <c r="L194" s="6"/>
      <c r="M194" s="6"/>
      <c r="N194" s="6"/>
      <c r="O194" s="6"/>
      <c r="P194" s="6"/>
      <c r="Q194" s="6"/>
      <c r="R194" s="6"/>
      <c r="S194" s="6"/>
    </row>
    <row r="195" spans="2:19">
      <c r="B195" s="488" t="s">
        <v>1404</v>
      </c>
      <c r="G195" s="5"/>
      <c r="H195" s="5">
        <f>H180/H196</f>
        <v>0.13304361693644845</v>
      </c>
      <c r="I195" s="5">
        <f>I180/I196</f>
        <v>0.15663630616970872</v>
      </c>
      <c r="J195" s="34">
        <v>0.19</v>
      </c>
      <c r="K195" s="34">
        <v>0.22</v>
      </c>
      <c r="L195" s="34">
        <v>0.23</v>
      </c>
      <c r="M195" s="34">
        <v>0.24</v>
      </c>
      <c r="N195" s="34">
        <v>0.25</v>
      </c>
      <c r="O195" s="34">
        <v>0.25</v>
      </c>
      <c r="P195" s="34">
        <v>0.25</v>
      </c>
      <c r="Q195" s="34">
        <v>0.25</v>
      </c>
      <c r="R195" s="34">
        <v>0.25</v>
      </c>
      <c r="S195" s="34">
        <v>0.25</v>
      </c>
    </row>
    <row r="196" spans="2:19">
      <c r="B196" s="488" t="s">
        <v>1510</v>
      </c>
      <c r="G196" s="16"/>
      <c r="H196" s="16">
        <f>H207*H201</f>
        <v>50164</v>
      </c>
      <c r="I196" s="16">
        <f>I207*I201</f>
        <v>55529.910099999994</v>
      </c>
      <c r="J196" s="16">
        <f t="shared" ref="J196:S196" si="99">J180/J195</f>
        <v>59512.631578947367</v>
      </c>
      <c r="K196" s="16">
        <f t="shared" si="99"/>
        <v>56537.000000000007</v>
      </c>
      <c r="L196" s="16">
        <f t="shared" si="99"/>
        <v>59486.756521739146</v>
      </c>
      <c r="M196" s="16">
        <f t="shared" si="99"/>
        <v>61568.79300000002</v>
      </c>
      <c r="N196" s="16">
        <f t="shared" si="99"/>
        <v>62652.40375680002</v>
      </c>
      <c r="O196" s="16">
        <f t="shared" si="99"/>
        <v>65785.023944640023</v>
      </c>
      <c r="P196" s="16">
        <f t="shared" ca="1" si="99"/>
        <v>69074.275141872029</v>
      </c>
      <c r="Q196" s="16">
        <f t="shared" ca="1" si="99"/>
        <v>72527.988898965632</v>
      </c>
      <c r="R196" s="16">
        <f t="shared" ca="1" si="99"/>
        <v>76154.388343913917</v>
      </c>
      <c r="S196" s="16">
        <f t="shared" ca="1" si="99"/>
        <v>79962.107761109612</v>
      </c>
    </row>
    <row r="197" spans="2:19">
      <c r="B197" s="488" t="s">
        <v>1092</v>
      </c>
      <c r="I197" s="5">
        <f>I196/H196-1</f>
        <v>0.1069673490949683</v>
      </c>
      <c r="J197" s="5">
        <f>J196/I196-1</f>
        <v>7.1722094845375395E-2</v>
      </c>
      <c r="K197" s="5">
        <f t="shared" ref="K197:S197" si="100">K196/J196-1</f>
        <v>-4.9999999999999822E-2</v>
      </c>
      <c r="L197" s="5">
        <f t="shared" si="100"/>
        <v>5.2173913043478404E-2</v>
      </c>
      <c r="M197" s="5">
        <f t="shared" si="100"/>
        <v>3.5000000000000142E-2</v>
      </c>
      <c r="N197" s="5">
        <f t="shared" si="100"/>
        <v>1.760000000000006E-2</v>
      </c>
      <c r="O197" s="5">
        <f t="shared" si="100"/>
        <v>5.0000000000000044E-2</v>
      </c>
      <c r="P197" s="5">
        <f t="shared" ca="1" si="100"/>
        <v>5.0000000000000044E-2</v>
      </c>
      <c r="Q197" s="5">
        <f t="shared" ca="1" si="100"/>
        <v>5.0000000000000044E-2</v>
      </c>
      <c r="R197" s="5">
        <f t="shared" ca="1" si="100"/>
        <v>5.0000000000000044E-2</v>
      </c>
      <c r="S197" s="5">
        <f t="shared" ca="1" si="100"/>
        <v>5.0000000000000044E-2</v>
      </c>
    </row>
    <row r="199" spans="2:19">
      <c r="B199" s="604" t="s">
        <v>2088</v>
      </c>
      <c r="C199" s="604"/>
      <c r="D199" s="604"/>
      <c r="E199" s="604"/>
      <c r="F199" s="604"/>
      <c r="G199" s="604"/>
      <c r="H199" s="604"/>
      <c r="I199" s="604"/>
      <c r="J199" s="604"/>
      <c r="K199" s="604"/>
      <c r="L199" s="604"/>
      <c r="M199" s="604"/>
      <c r="N199" s="604"/>
      <c r="O199" s="604"/>
      <c r="P199" s="604"/>
      <c r="Q199" s="604"/>
      <c r="R199" s="604"/>
      <c r="S199" s="604"/>
    </row>
    <row r="201" spans="2:19">
      <c r="B201" t="s">
        <v>1492</v>
      </c>
      <c r="E201" s="36">
        <v>87</v>
      </c>
      <c r="F201" s="36">
        <v>86</v>
      </c>
      <c r="G201" s="36">
        <v>89</v>
      </c>
      <c r="H201" s="36">
        <v>100</v>
      </c>
      <c r="I201" s="36">
        <v>111</v>
      </c>
      <c r="J201" s="36">
        <v>117</v>
      </c>
      <c r="K201" s="36">
        <v>124</v>
      </c>
      <c r="L201" s="16">
        <f t="shared" ref="L201:S201" si="101">K201*1.025</f>
        <v>127.1</v>
      </c>
      <c r="M201" s="16">
        <f t="shared" si="101"/>
        <v>130.27749999999997</v>
      </c>
      <c r="N201" s="16">
        <f t="shared" si="101"/>
        <v>133.53443749999997</v>
      </c>
      <c r="O201" s="16">
        <f t="shared" si="101"/>
        <v>136.87279843749997</v>
      </c>
      <c r="P201" s="16">
        <f t="shared" si="101"/>
        <v>140.29461839843745</v>
      </c>
      <c r="Q201" s="16">
        <f t="shared" si="101"/>
        <v>143.80198385839839</v>
      </c>
      <c r="R201" s="16">
        <f t="shared" si="101"/>
        <v>147.39703345485833</v>
      </c>
      <c r="S201" s="16">
        <f t="shared" si="101"/>
        <v>151.08195929122977</v>
      </c>
    </row>
    <row r="203" spans="2:19">
      <c r="B203" s="13" t="s">
        <v>32</v>
      </c>
    </row>
    <row r="204" spans="2:19">
      <c r="B204" t="s">
        <v>1512</v>
      </c>
      <c r="E204" s="16"/>
      <c r="F204" s="16"/>
      <c r="G204" s="16"/>
      <c r="H204" s="16">
        <f t="shared" ref="H204:S204" si="102">H180/H$201</f>
        <v>66.739999999999995</v>
      </c>
      <c r="I204" s="16">
        <f t="shared" si="102"/>
        <v>78.36036036036036</v>
      </c>
      <c r="J204" s="16">
        <f t="shared" si="102"/>
        <v>96.644444444444446</v>
      </c>
      <c r="K204" s="16">
        <f t="shared" si="102"/>
        <v>100.30758064516129</v>
      </c>
      <c r="L204" s="16">
        <f t="shared" si="102"/>
        <v>107.64715971675849</v>
      </c>
      <c r="M204" s="16">
        <f t="shared" si="102"/>
        <v>113.42334877473093</v>
      </c>
      <c r="N204" s="16">
        <f t="shared" si="102"/>
        <v>117.29634117191686</v>
      </c>
      <c r="O204" s="16">
        <f t="shared" si="102"/>
        <v>120.15722754196362</v>
      </c>
      <c r="P204" s="16">
        <f t="shared" ca="1" si="102"/>
        <v>123.08789162835299</v>
      </c>
      <c r="Q204" s="16">
        <f t="shared" ca="1" si="102"/>
        <v>126.09003532660552</v>
      </c>
      <c r="R204" s="16">
        <f t="shared" ca="1" si="102"/>
        <v>129.1654020418886</v>
      </c>
      <c r="S204" s="16">
        <f t="shared" ca="1" si="102"/>
        <v>132.31577770144688</v>
      </c>
    </row>
    <row r="205" spans="2:19">
      <c r="E205" s="16"/>
      <c r="F205" s="16"/>
      <c r="G205" s="16"/>
      <c r="H205" s="16"/>
      <c r="I205" s="16"/>
      <c r="J205" s="16"/>
      <c r="K205" s="16"/>
      <c r="L205" s="16"/>
      <c r="M205" s="16"/>
      <c r="N205" s="16"/>
      <c r="O205" s="16"/>
      <c r="P205" s="16"/>
      <c r="Q205" s="16"/>
      <c r="R205" s="16"/>
      <c r="S205" s="16"/>
    </row>
    <row r="206" spans="2:19">
      <c r="B206" s="3" t="s">
        <v>1504</v>
      </c>
      <c r="C206" s="3"/>
      <c r="D206" s="3"/>
      <c r="E206" s="64"/>
      <c r="F206" s="64"/>
      <c r="G206" s="65">
        <v>490.8</v>
      </c>
      <c r="H206" s="65">
        <v>434.9</v>
      </c>
      <c r="I206" s="65">
        <v>421.90909999999997</v>
      </c>
      <c r="J206" s="64">
        <f>J207-J204</f>
        <v>412.01052631578943</v>
      </c>
      <c r="K206" s="64">
        <f t="shared" ref="K206:S206" si="103">K207-K204</f>
        <v>355.63596774193553</v>
      </c>
      <c r="L206" s="64">
        <f t="shared" si="103"/>
        <v>360.38396948653929</v>
      </c>
      <c r="M206" s="64">
        <f t="shared" si="103"/>
        <v>359.17393778664791</v>
      </c>
      <c r="N206" s="64">
        <f t="shared" si="103"/>
        <v>351.88902351575058</v>
      </c>
      <c r="O206" s="64">
        <f t="shared" si="103"/>
        <v>360.47168262589088</v>
      </c>
      <c r="P206" s="64">
        <f t="shared" ca="1" si="103"/>
        <v>369.263674885059</v>
      </c>
      <c r="Q206" s="64">
        <f t="shared" ca="1" si="103"/>
        <v>378.27010597981655</v>
      </c>
      <c r="R206" s="64">
        <f t="shared" ca="1" si="103"/>
        <v>387.49620612566582</v>
      </c>
      <c r="S206" s="64">
        <f t="shared" ca="1" si="103"/>
        <v>396.9473331043406</v>
      </c>
    </row>
    <row r="207" spans="2:19">
      <c r="B207" t="s">
        <v>1505</v>
      </c>
      <c r="E207" s="16"/>
      <c r="F207" s="16"/>
      <c r="G207" s="16"/>
      <c r="H207" s="16">
        <f>H204+H206</f>
        <v>501.64</v>
      </c>
      <c r="I207" s="16">
        <f>I204+I206</f>
        <v>500.26946036036031</v>
      </c>
      <c r="J207" s="16">
        <f t="shared" ref="J207:S207" si="104">J196/J201</f>
        <v>508.65497076023388</v>
      </c>
      <c r="K207" s="16">
        <f t="shared" si="104"/>
        <v>455.94354838709683</v>
      </c>
      <c r="L207" s="16">
        <f t="shared" si="104"/>
        <v>468.03112920329778</v>
      </c>
      <c r="M207" s="16">
        <f t="shared" si="104"/>
        <v>472.59728656137884</v>
      </c>
      <c r="N207" s="16">
        <f t="shared" si="104"/>
        <v>469.18536468766746</v>
      </c>
      <c r="O207" s="16">
        <f t="shared" si="104"/>
        <v>480.62891016785449</v>
      </c>
      <c r="P207" s="16">
        <f t="shared" ca="1" si="104"/>
        <v>492.35156651341197</v>
      </c>
      <c r="Q207" s="16">
        <f t="shared" ca="1" si="104"/>
        <v>504.36014130642207</v>
      </c>
      <c r="R207" s="16">
        <f t="shared" ca="1" si="104"/>
        <v>516.66160816755439</v>
      </c>
      <c r="S207" s="16">
        <f t="shared" ca="1" si="104"/>
        <v>529.26311080578751</v>
      </c>
    </row>
    <row r="208" spans="2:19">
      <c r="E208" s="16"/>
      <c r="F208" s="16"/>
      <c r="G208" s="16"/>
      <c r="H208" s="16"/>
      <c r="I208" s="16"/>
      <c r="J208" s="16"/>
      <c r="K208" s="16"/>
      <c r="L208" s="16"/>
      <c r="M208" s="16"/>
      <c r="N208" s="16"/>
      <c r="O208" s="16"/>
      <c r="P208" s="16"/>
      <c r="Q208" s="16"/>
      <c r="R208" s="16"/>
      <c r="S208" s="16"/>
    </row>
    <row r="209" spans="2:19">
      <c r="B209" t="s">
        <v>2090</v>
      </c>
      <c r="E209" s="16"/>
      <c r="F209" s="16"/>
      <c r="G209" s="16"/>
      <c r="H209" s="16"/>
      <c r="I209" s="16"/>
      <c r="J209" s="63">
        <v>307</v>
      </c>
      <c r="K209" s="16">
        <f t="shared" ref="K209:S209" si="105">K177/K$201</f>
        <v>309.27024193548391</v>
      </c>
      <c r="L209" s="16">
        <f t="shared" si="105"/>
        <v>320.5895991345397</v>
      </c>
      <c r="M209" s="16">
        <f t="shared" si="105"/>
        <v>328.88194402621343</v>
      </c>
      <c r="N209" s="16">
        <f t="shared" si="105"/>
        <v>333.04815728070633</v>
      </c>
      <c r="O209" s="16">
        <f t="shared" si="105"/>
        <v>336.51336173707705</v>
      </c>
      <c r="P209" s="16">
        <f t="shared" ca="1" si="105"/>
        <v>340.34478896140871</v>
      </c>
      <c r="Q209" s="16">
        <f t="shared" ca="1" si="105"/>
        <v>344.53075861247351</v>
      </c>
      <c r="R209" s="16">
        <f t="shared" ca="1" si="105"/>
        <v>349.06081370197927</v>
      </c>
      <c r="S209" s="16">
        <f t="shared" ca="1" si="105"/>
        <v>353.92564007347227</v>
      </c>
    </row>
    <row r="210" spans="2:19">
      <c r="B210" t="s">
        <v>1519</v>
      </c>
      <c r="E210" s="16"/>
      <c r="F210" s="16"/>
      <c r="G210" s="16"/>
      <c r="H210" s="5"/>
      <c r="I210" s="5"/>
      <c r="J210" s="5" t="e">
        <f>J209*0.88/Master!#REF!</f>
        <v>#REF!</v>
      </c>
      <c r="K210" s="5" t="e">
        <f>K209*0.88/Master!#REF!</f>
        <v>#REF!</v>
      </c>
      <c r="L210" s="5" t="e">
        <f>L209*0.88/Master!#REF!</f>
        <v>#REF!</v>
      </c>
      <c r="M210" s="5" t="e">
        <f>M209*0.88/Master!#REF!</f>
        <v>#REF!</v>
      </c>
      <c r="N210" s="5" t="e">
        <f>N209*0.88/Master!#REF!</f>
        <v>#REF!</v>
      </c>
      <c r="O210" s="5" t="e">
        <f>O209*0.88/Master!#REF!</f>
        <v>#REF!</v>
      </c>
      <c r="P210" s="5" t="e">
        <f ca="1">P209*0.88/Master!#REF!</f>
        <v>#REF!</v>
      </c>
      <c r="Q210" s="5" t="e">
        <f ca="1">Q209*0.88/Master!#REF!</f>
        <v>#REF!</v>
      </c>
      <c r="R210" s="5" t="e">
        <f ca="1">R209*0.88/Master!#REF!</f>
        <v>#REF!</v>
      </c>
      <c r="S210" s="5" t="e">
        <f ca="1">S209*0.88/Master!#REF!</f>
        <v>#REF!</v>
      </c>
    </row>
    <row r="211" spans="2:19">
      <c r="E211" s="16"/>
      <c r="F211" s="16"/>
      <c r="G211" s="16"/>
      <c r="H211" s="16"/>
      <c r="I211" s="16"/>
      <c r="J211" s="16"/>
      <c r="K211" s="16"/>
      <c r="L211" s="16"/>
      <c r="M211" s="16"/>
      <c r="N211" s="16"/>
      <c r="O211" s="16"/>
      <c r="P211" s="16"/>
      <c r="Q211" s="16"/>
      <c r="R211" s="16"/>
      <c r="S211" s="16"/>
    </row>
    <row r="212" spans="2:19">
      <c r="B212" t="s">
        <v>8</v>
      </c>
      <c r="E212" s="16"/>
      <c r="F212" s="16"/>
      <c r="G212" s="16">
        <f t="shared" ref="G212:S212" si="106">G189/G201</f>
        <v>21.910112359550563</v>
      </c>
      <c r="H212" s="16">
        <f t="shared" si="106"/>
        <v>27.8</v>
      </c>
      <c r="I212" s="16">
        <f t="shared" si="106"/>
        <v>37.765765765765764</v>
      </c>
      <c r="J212" s="16">
        <f t="shared" si="106"/>
        <v>92.1</v>
      </c>
      <c r="K212" s="16">
        <f t="shared" si="106"/>
        <v>102.05917983870968</v>
      </c>
      <c r="L212" s="16">
        <f t="shared" si="106"/>
        <v>109.00046370574351</v>
      </c>
      <c r="M212" s="16">
        <f t="shared" si="106"/>
        <v>111.81986096891258</v>
      </c>
      <c r="N212" s="16">
        <f t="shared" si="106"/>
        <v>113.23637347544015</v>
      </c>
      <c r="O212" s="16">
        <f t="shared" si="106"/>
        <v>114.41454299060621</v>
      </c>
      <c r="P212" s="16">
        <f t="shared" ca="1" si="106"/>
        <v>115.71722824687896</v>
      </c>
      <c r="Q212" s="16">
        <f t="shared" ca="1" si="106"/>
        <v>117.14045792824101</v>
      </c>
      <c r="R212" s="16">
        <f t="shared" ca="1" si="106"/>
        <v>118.68067665867295</v>
      </c>
      <c r="S212" s="16">
        <f t="shared" ca="1" si="106"/>
        <v>120.33471762498056</v>
      </c>
    </row>
    <row r="214" spans="2:19">
      <c r="B214" s="13" t="s">
        <v>2089</v>
      </c>
      <c r="E214" s="16"/>
      <c r="F214" s="16"/>
      <c r="G214" s="16"/>
    </row>
    <row r="215" spans="2:19">
      <c r="B215" t="s">
        <v>15</v>
      </c>
      <c r="H215" s="16"/>
      <c r="I215" s="16"/>
      <c r="J215" s="16">
        <f t="shared" ref="J215:S215" si="107">J279-J209</f>
        <v>796</v>
      </c>
      <c r="K215" s="16">
        <f t="shared" si="107"/>
        <v>767.89650806451596</v>
      </c>
      <c r="L215" s="16">
        <f t="shared" si="107"/>
        <v>753.31040086546045</v>
      </c>
      <c r="M215" s="16">
        <f t="shared" si="107"/>
        <v>789.37580309304644</v>
      </c>
      <c r="N215" s="16">
        <f t="shared" si="107"/>
        <v>823.83258897773317</v>
      </c>
      <c r="O215" s="16">
        <f t="shared" si="107"/>
        <v>860.95268472434213</v>
      </c>
      <c r="P215" s="16">
        <f t="shared" ca="1" si="107"/>
        <v>898.95159177356277</v>
      </c>
      <c r="Q215" s="16">
        <f t="shared" ca="1" si="107"/>
        <v>934.15163262730027</v>
      </c>
      <c r="R215" s="16">
        <f t="shared" ca="1" si="107"/>
        <v>967.42760620443778</v>
      </c>
      <c r="S215" s="16">
        <f t="shared" ca="1" si="107"/>
        <v>1000.7761291689478</v>
      </c>
    </row>
    <row r="216" spans="2:19">
      <c r="B216" t="s">
        <v>78</v>
      </c>
      <c r="I216" s="6"/>
      <c r="J216" s="6"/>
      <c r="K216" s="6">
        <f t="shared" ref="K216:S216" si="108">K215/J215-1</f>
        <v>-3.5305894391311599E-2</v>
      </c>
      <c r="L216" s="6">
        <f t="shared" si="108"/>
        <v>-1.8994886740427819E-2</v>
      </c>
      <c r="M216" s="6">
        <f t="shared" si="108"/>
        <v>4.787588514130614E-2</v>
      </c>
      <c r="N216" s="6">
        <f t="shared" si="108"/>
        <v>4.3650674051159299E-2</v>
      </c>
      <c r="O216" s="6">
        <f t="shared" si="108"/>
        <v>4.5057814224938708E-2</v>
      </c>
      <c r="P216" s="6">
        <f t="shared" ca="1" si="108"/>
        <v>4.4135883101853679E-2</v>
      </c>
      <c r="Q216" s="6">
        <f t="shared" ca="1" si="108"/>
        <v>3.915677014853558E-2</v>
      </c>
      <c r="R216" s="6">
        <f t="shared" ca="1" si="108"/>
        <v>3.5621597623876955E-2</v>
      </c>
      <c r="S216" s="6">
        <f t="shared" ca="1" si="108"/>
        <v>3.447133692550719E-2</v>
      </c>
    </row>
    <row r="218" spans="2:19">
      <c r="B218" t="s">
        <v>8</v>
      </c>
      <c r="H218" s="16"/>
      <c r="I218" s="16"/>
      <c r="J218" s="16">
        <f t="shared" ref="J218:S218" si="109">J300-J212</f>
        <v>371.9</v>
      </c>
      <c r="K218" s="16">
        <f t="shared" si="109"/>
        <v>350.35085516129027</v>
      </c>
      <c r="L218" s="16">
        <f t="shared" si="109"/>
        <v>342.03753629425648</v>
      </c>
      <c r="M218" s="16">
        <f t="shared" si="109"/>
        <v>357.84839282117656</v>
      </c>
      <c r="N218" s="16">
        <f t="shared" si="109"/>
        <v>378.43794368439666</v>
      </c>
      <c r="O218" s="16">
        <f t="shared" si="109"/>
        <v>400.49585698780407</v>
      </c>
      <c r="P218" s="16">
        <f t="shared" ca="1" si="109"/>
        <v>429.57317927650848</v>
      </c>
      <c r="Q218" s="16">
        <f t="shared" ca="1" si="109"/>
        <v>458.26661812965716</v>
      </c>
      <c r="R218" s="16">
        <f t="shared" ca="1" si="109"/>
        <v>473.73911229921475</v>
      </c>
      <c r="S218" s="16">
        <f t="shared" ca="1" si="109"/>
        <v>489.28107853410853</v>
      </c>
    </row>
    <row r="219" spans="2:19">
      <c r="B219" t="s">
        <v>78</v>
      </c>
      <c r="I219" s="6"/>
      <c r="J219" s="6"/>
      <c r="K219" s="6">
        <f t="shared" ref="K219:S219" si="110">K218/J218-1</f>
        <v>-5.794338488494144E-2</v>
      </c>
      <c r="L219" s="6">
        <f t="shared" si="110"/>
        <v>-2.3728553090605731E-2</v>
      </c>
      <c r="M219" s="6">
        <f t="shared" si="110"/>
        <v>4.6225501148850379E-2</v>
      </c>
      <c r="N219" s="6">
        <f t="shared" si="110"/>
        <v>5.7537077925368996E-2</v>
      </c>
      <c r="O219" s="6">
        <f t="shared" si="110"/>
        <v>5.8286738080901568E-2</v>
      </c>
      <c r="P219" s="6">
        <f t="shared" ca="1" si="110"/>
        <v>7.2603303583212542E-2</v>
      </c>
      <c r="Q219" s="6">
        <f t="shared" ca="1" si="110"/>
        <v>6.6795228932761797E-2</v>
      </c>
      <c r="R219" s="6">
        <f t="shared" ca="1" si="110"/>
        <v>3.3763083666678906E-2</v>
      </c>
      <c r="S219" s="6">
        <f t="shared" ca="1" si="110"/>
        <v>3.2807015151152363E-2</v>
      </c>
    </row>
    <row r="220" spans="2:19">
      <c r="B220" t="s">
        <v>251</v>
      </c>
      <c r="H220" s="6"/>
      <c r="I220" s="6"/>
      <c r="J220" s="6">
        <f t="shared" ref="J220:S220" si="111">J218/J215</f>
        <v>0.4672110552763819</v>
      </c>
      <c r="K220" s="6">
        <f t="shared" si="111"/>
        <v>0.45624749101197243</v>
      </c>
      <c r="L220" s="6">
        <f t="shared" si="111"/>
        <v>0.45404594958638256</v>
      </c>
      <c r="M220" s="6">
        <f t="shared" si="111"/>
        <v>0.45333083611000391</v>
      </c>
      <c r="N220" s="6">
        <f t="shared" si="111"/>
        <v>0.45936267725702362</v>
      </c>
      <c r="O220" s="6">
        <f t="shared" si="111"/>
        <v>0.46517754586715054</v>
      </c>
      <c r="P220" s="6">
        <f t="shared" ca="1" si="111"/>
        <v>0.47786019092417809</v>
      </c>
      <c r="Q220" s="6">
        <f t="shared" ca="1" si="111"/>
        <v>0.49056984125883596</v>
      </c>
      <c r="R220" s="6">
        <f t="shared" ca="1" si="111"/>
        <v>0.48968947057223394</v>
      </c>
      <c r="S220" s="6">
        <f t="shared" ca="1" si="111"/>
        <v>0.48890162772008888</v>
      </c>
    </row>
    <row r="222" spans="2:19">
      <c r="B222" s="68" t="s">
        <v>256</v>
      </c>
      <c r="C222" s="68"/>
      <c r="D222" s="69">
        <v>40238</v>
      </c>
      <c r="E222" s="69">
        <v>40603</v>
      </c>
      <c r="F222" s="69">
        <v>40969</v>
      </c>
      <c r="G222" s="69">
        <v>41334</v>
      </c>
      <c r="H222" s="69">
        <v>41699</v>
      </c>
      <c r="I222" s="69">
        <v>42064</v>
      </c>
      <c r="J222" s="69">
        <v>42430</v>
      </c>
      <c r="K222" s="69">
        <v>42795</v>
      </c>
      <c r="L222" s="69">
        <v>43160</v>
      </c>
      <c r="M222" s="69">
        <v>43525</v>
      </c>
      <c r="N222" s="69">
        <v>43891</v>
      </c>
      <c r="O222" s="69">
        <v>44256</v>
      </c>
      <c r="P222" s="69">
        <v>44621</v>
      </c>
      <c r="Q222" s="69">
        <v>44986</v>
      </c>
      <c r="R222" s="69">
        <v>45352</v>
      </c>
      <c r="S222" s="69">
        <v>45717</v>
      </c>
    </row>
    <row r="223" spans="2:19">
      <c r="B223" t="s">
        <v>15</v>
      </c>
      <c r="H223">
        <f>SUM(Quarts!K43:L43)</f>
        <v>15</v>
      </c>
      <c r="I223" s="36">
        <v>8</v>
      </c>
      <c r="J223" s="36">
        <v>-15</v>
      </c>
      <c r="K223" s="36">
        <f t="shared" ref="K223:S224" si="112">J223</f>
        <v>-15</v>
      </c>
      <c r="L223" s="36">
        <f t="shared" si="112"/>
        <v>-15</v>
      </c>
      <c r="M223" s="36">
        <f t="shared" si="112"/>
        <v>-15</v>
      </c>
      <c r="N223" s="36">
        <f t="shared" si="112"/>
        <v>-15</v>
      </c>
      <c r="O223" s="36">
        <f t="shared" si="112"/>
        <v>-15</v>
      </c>
      <c r="P223" s="36">
        <f t="shared" si="112"/>
        <v>-15</v>
      </c>
      <c r="Q223" s="36">
        <f t="shared" si="112"/>
        <v>-15</v>
      </c>
      <c r="R223" s="36">
        <f t="shared" si="112"/>
        <v>-15</v>
      </c>
      <c r="S223" s="36">
        <f t="shared" si="112"/>
        <v>-15</v>
      </c>
    </row>
    <row r="224" spans="2:19">
      <c r="B224" t="s">
        <v>8</v>
      </c>
      <c r="H224">
        <f>SUM(Quarts!K76:L76)</f>
        <v>-11</v>
      </c>
      <c r="I224">
        <f>SUM(Quarts!V76:W76)</f>
        <v>-35</v>
      </c>
      <c r="J224" s="63">
        <v>-25</v>
      </c>
      <c r="K224" s="63">
        <v>-10</v>
      </c>
      <c r="L224" s="63">
        <f>K224</f>
        <v>-10</v>
      </c>
      <c r="M224" s="63">
        <f>L224+2</f>
        <v>-8</v>
      </c>
      <c r="N224" s="63">
        <f>M224+2</f>
        <v>-6</v>
      </c>
      <c r="O224" s="63">
        <f>N224</f>
        <v>-6</v>
      </c>
      <c r="P224" s="63">
        <f t="shared" si="112"/>
        <v>-6</v>
      </c>
      <c r="Q224" s="63">
        <f t="shared" si="112"/>
        <v>-6</v>
      </c>
      <c r="R224" s="63">
        <f t="shared" si="112"/>
        <v>-6</v>
      </c>
      <c r="S224" s="63">
        <f t="shared" si="112"/>
        <v>-6</v>
      </c>
    </row>
    <row r="225" spans="2:19">
      <c r="B225" t="s">
        <v>19</v>
      </c>
      <c r="H225">
        <f>SUM(Quarts!K119:L119)</f>
        <v>9</v>
      </c>
      <c r="I225">
        <f>SUM(Quarts!V119:W119)</f>
        <v>34</v>
      </c>
      <c r="J225" s="36">
        <v>20</v>
      </c>
      <c r="K225" s="36">
        <v>17</v>
      </c>
      <c r="L225" s="36">
        <v>15</v>
      </c>
      <c r="M225" s="36">
        <v>5</v>
      </c>
      <c r="N225" s="36">
        <v>5</v>
      </c>
      <c r="O225" s="36">
        <v>5</v>
      </c>
      <c r="P225" s="36">
        <v>5</v>
      </c>
      <c r="Q225" s="36">
        <v>5</v>
      </c>
      <c r="R225" s="36">
        <v>5</v>
      </c>
      <c r="S225" s="36">
        <v>5</v>
      </c>
    </row>
    <row r="226" spans="2:19">
      <c r="B226" t="s">
        <v>27</v>
      </c>
      <c r="H226">
        <f>H224-H225</f>
        <v>-20</v>
      </c>
      <c r="I226">
        <f>I224-I225</f>
        <v>-69</v>
      </c>
      <c r="J226" s="16">
        <f t="shared" ref="J226:S226" si="113">J224-J225</f>
        <v>-45</v>
      </c>
      <c r="K226" s="16">
        <f t="shared" si="113"/>
        <v>-27</v>
      </c>
      <c r="L226" s="16">
        <f t="shared" si="113"/>
        <v>-25</v>
      </c>
      <c r="M226" s="16">
        <f t="shared" si="113"/>
        <v>-13</v>
      </c>
      <c r="N226" s="16">
        <f t="shared" si="113"/>
        <v>-11</v>
      </c>
      <c r="O226" s="16">
        <f t="shared" si="113"/>
        <v>-11</v>
      </c>
      <c r="P226" s="16">
        <f t="shared" si="113"/>
        <v>-11</v>
      </c>
      <c r="Q226" s="16">
        <f t="shared" si="113"/>
        <v>-11</v>
      </c>
      <c r="R226" s="16">
        <f t="shared" si="113"/>
        <v>-11</v>
      </c>
      <c r="S226" s="16">
        <f t="shared" si="113"/>
        <v>-11</v>
      </c>
    </row>
    <row r="227" spans="2:19">
      <c r="B227" t="s">
        <v>67</v>
      </c>
      <c r="H227" s="34">
        <v>0.2</v>
      </c>
      <c r="I227" s="34">
        <v>0.2</v>
      </c>
      <c r="J227" s="34">
        <v>0.2</v>
      </c>
      <c r="K227" s="34">
        <v>0.2</v>
      </c>
      <c r="L227" s="34">
        <v>0.2</v>
      </c>
      <c r="M227" s="34">
        <v>0.2</v>
      </c>
      <c r="N227" s="34">
        <v>0.2</v>
      </c>
      <c r="O227" s="34">
        <v>0.2</v>
      </c>
      <c r="P227" s="34">
        <v>0.2</v>
      </c>
      <c r="Q227" s="34">
        <v>0.2</v>
      </c>
      <c r="R227" s="34">
        <v>0.2</v>
      </c>
      <c r="S227" s="34">
        <v>0.2</v>
      </c>
    </row>
    <row r="228" spans="2:19">
      <c r="B228" t="s">
        <v>377</v>
      </c>
      <c r="H228">
        <f>(1-H227)*H226</f>
        <v>-16</v>
      </c>
      <c r="I228" s="16">
        <f t="shared" ref="I228:S228" si="114">(1-I227)*I226</f>
        <v>-55.2</v>
      </c>
      <c r="J228" s="16">
        <f t="shared" si="114"/>
        <v>-36</v>
      </c>
      <c r="K228" s="16">
        <f t="shared" si="114"/>
        <v>-21.6</v>
      </c>
      <c r="L228" s="16">
        <f t="shared" si="114"/>
        <v>-20</v>
      </c>
      <c r="M228" s="16">
        <f t="shared" si="114"/>
        <v>-10.4</v>
      </c>
      <c r="N228" s="16">
        <f t="shared" si="114"/>
        <v>-8.8000000000000007</v>
      </c>
      <c r="O228" s="16">
        <f t="shared" si="114"/>
        <v>-8.8000000000000007</v>
      </c>
      <c r="P228" s="16">
        <f t="shared" si="114"/>
        <v>-8.8000000000000007</v>
      </c>
      <c r="Q228" s="16">
        <f t="shared" si="114"/>
        <v>-8.8000000000000007</v>
      </c>
      <c r="R228" s="16">
        <f t="shared" si="114"/>
        <v>-8.8000000000000007</v>
      </c>
      <c r="S228" s="16">
        <f t="shared" si="114"/>
        <v>-8.8000000000000007</v>
      </c>
    </row>
    <row r="230" spans="2:19">
      <c r="B230" s="68" t="s">
        <v>257</v>
      </c>
      <c r="C230" s="68"/>
      <c r="D230" s="69">
        <v>40148</v>
      </c>
      <c r="E230" s="69">
        <v>40513</v>
      </c>
      <c r="F230" s="69">
        <v>40878</v>
      </c>
      <c r="G230" s="69">
        <v>41244</v>
      </c>
      <c r="H230" s="69">
        <v>41609</v>
      </c>
      <c r="I230" s="69">
        <v>41974</v>
      </c>
      <c r="J230" s="69">
        <v>42339</v>
      </c>
      <c r="K230" s="69">
        <v>42705</v>
      </c>
      <c r="L230" s="69">
        <v>43070</v>
      </c>
      <c r="M230" s="69">
        <v>43435</v>
      </c>
      <c r="N230" s="69">
        <v>43800</v>
      </c>
      <c r="O230" s="69">
        <v>44166</v>
      </c>
      <c r="P230" s="69">
        <v>44531</v>
      </c>
      <c r="Q230" s="69">
        <v>44896</v>
      </c>
      <c r="R230" s="69">
        <v>45261</v>
      </c>
      <c r="S230" s="69">
        <v>45627</v>
      </c>
    </row>
    <row r="231" spans="2:19">
      <c r="B231" t="s">
        <v>15</v>
      </c>
      <c r="F231">
        <v>364</v>
      </c>
      <c r="G231">
        <v>427</v>
      </c>
      <c r="H231">
        <v>505</v>
      </c>
      <c r="I231">
        <v>598</v>
      </c>
      <c r="J231" s="16">
        <f>(1+J232)*I231</f>
        <v>598</v>
      </c>
      <c r="K231" s="16">
        <f t="shared" ref="K231:S231" si="115">(1+K232)*J231</f>
        <v>669.7600000000001</v>
      </c>
      <c r="L231" s="16">
        <f t="shared" si="115"/>
        <v>770.22400000000005</v>
      </c>
      <c r="M231" s="16">
        <f t="shared" si="115"/>
        <v>870.35311999999999</v>
      </c>
      <c r="N231" s="16">
        <f t="shared" si="115"/>
        <v>974.79549440000005</v>
      </c>
      <c r="O231" s="16">
        <f t="shared" si="115"/>
        <v>1072.2750438400001</v>
      </c>
      <c r="P231" s="16">
        <f t="shared" si="115"/>
        <v>1158.0570473472001</v>
      </c>
      <c r="Q231" s="16">
        <f t="shared" si="115"/>
        <v>1250.7016111349762</v>
      </c>
      <c r="R231" s="16">
        <f t="shared" si="115"/>
        <v>1350.7577400257744</v>
      </c>
      <c r="S231" s="16">
        <f t="shared" si="115"/>
        <v>1458.8183592278365</v>
      </c>
    </row>
    <row r="232" spans="2:19">
      <c r="B232" t="s">
        <v>260</v>
      </c>
      <c r="G232" s="5">
        <f>G231/F231-1</f>
        <v>0.17307692307692313</v>
      </c>
      <c r="H232" s="5">
        <f>H231/G231-1</f>
        <v>0.18266978922716626</v>
      </c>
      <c r="I232" s="5">
        <f>I231/H231-1</f>
        <v>0.1841584158415841</v>
      </c>
      <c r="J232" s="34">
        <v>0</v>
      </c>
      <c r="K232" s="34">
        <v>0.12</v>
      </c>
      <c r="L232" s="34">
        <v>0.15</v>
      </c>
      <c r="M232" s="34">
        <v>0.13</v>
      </c>
      <c r="N232" s="34">
        <v>0.12</v>
      </c>
      <c r="O232" s="34">
        <v>0.1</v>
      </c>
      <c r="P232" s="34">
        <v>0.08</v>
      </c>
      <c r="Q232" s="34">
        <v>0.08</v>
      </c>
      <c r="R232" s="34">
        <v>0.08</v>
      </c>
      <c r="S232" s="34">
        <v>0.08</v>
      </c>
    </row>
    <row r="233" spans="2:19">
      <c r="G233" s="5"/>
      <c r="H233" s="5"/>
      <c r="I233" s="5"/>
    </row>
    <row r="234" spans="2:19">
      <c r="B234" t="s">
        <v>258</v>
      </c>
      <c r="F234">
        <v>202</v>
      </c>
      <c r="G234">
        <v>242</v>
      </c>
      <c r="H234">
        <v>289</v>
      </c>
      <c r="I234">
        <f>I231-I236</f>
        <v>343</v>
      </c>
      <c r="J234" s="16">
        <f>J231-J236</f>
        <v>352.82000000000005</v>
      </c>
      <c r="K234" s="16">
        <f t="shared" ref="K234:S234" si="116">K231-K236</f>
        <v>391.8096000000001</v>
      </c>
      <c r="L234" s="16">
        <f t="shared" si="116"/>
        <v>450.58104000000003</v>
      </c>
      <c r="M234" s="16">
        <f t="shared" si="116"/>
        <v>513.50834080000004</v>
      </c>
      <c r="N234" s="16">
        <f t="shared" si="116"/>
        <v>575.12934169599998</v>
      </c>
      <c r="O234" s="16">
        <f t="shared" si="116"/>
        <v>632.64227586560014</v>
      </c>
      <c r="P234" s="16">
        <f t="shared" si="116"/>
        <v>683.25365793484809</v>
      </c>
      <c r="Q234" s="16">
        <f t="shared" si="116"/>
        <v>737.91395056963597</v>
      </c>
      <c r="R234" s="16">
        <f t="shared" si="116"/>
        <v>796.94706661520695</v>
      </c>
      <c r="S234" s="16">
        <f t="shared" si="116"/>
        <v>860.70283194442356</v>
      </c>
    </row>
    <row r="236" spans="2:19">
      <c r="B236" t="s">
        <v>259</v>
      </c>
      <c r="F236">
        <f>F231-F234</f>
        <v>162</v>
      </c>
      <c r="G236">
        <f>G231-G234</f>
        <v>185</v>
      </c>
      <c r="H236">
        <f>H231-H234</f>
        <v>216</v>
      </c>
      <c r="I236">
        <v>255</v>
      </c>
      <c r="J236" s="16">
        <f>J237*J231</f>
        <v>245.17999999999998</v>
      </c>
      <c r="K236" s="16">
        <f t="shared" ref="K236:S236" si="117">K237*K231</f>
        <v>277.9504</v>
      </c>
      <c r="L236" s="16">
        <f t="shared" si="117"/>
        <v>319.64296000000002</v>
      </c>
      <c r="M236" s="16">
        <f t="shared" si="117"/>
        <v>356.84477919999995</v>
      </c>
      <c r="N236" s="16">
        <f t="shared" si="117"/>
        <v>399.66615270400001</v>
      </c>
      <c r="O236" s="16">
        <f t="shared" si="117"/>
        <v>439.6327679744</v>
      </c>
      <c r="P236" s="16">
        <f t="shared" si="117"/>
        <v>474.80338941235198</v>
      </c>
      <c r="Q236" s="16">
        <f t="shared" si="117"/>
        <v>512.78766056534027</v>
      </c>
      <c r="R236" s="16">
        <f t="shared" si="117"/>
        <v>553.81067341056746</v>
      </c>
      <c r="S236" s="16">
        <f t="shared" si="117"/>
        <v>598.11552728341292</v>
      </c>
    </row>
    <row r="237" spans="2:19">
      <c r="B237" t="s">
        <v>251</v>
      </c>
      <c r="F237" s="6">
        <f>F236/F231</f>
        <v>0.44505494505494503</v>
      </c>
      <c r="G237" s="6">
        <f>G236/G231</f>
        <v>0.43325526932084307</v>
      </c>
      <c r="H237" s="6">
        <f>H236/H231</f>
        <v>0.42772277227722771</v>
      </c>
      <c r="I237" s="6">
        <f>I236/I231</f>
        <v>0.42642140468227424</v>
      </c>
      <c r="J237" s="35">
        <v>0.41</v>
      </c>
      <c r="K237" s="35">
        <v>0.41499999999999998</v>
      </c>
      <c r="L237" s="35">
        <v>0.41499999999999998</v>
      </c>
      <c r="M237" s="35">
        <v>0.41</v>
      </c>
      <c r="N237" s="35">
        <f t="shared" ref="N237:S237" si="118">M237</f>
        <v>0.41</v>
      </c>
      <c r="O237" s="35">
        <f t="shared" si="118"/>
        <v>0.41</v>
      </c>
      <c r="P237" s="35">
        <f t="shared" si="118"/>
        <v>0.41</v>
      </c>
      <c r="Q237" s="35">
        <f t="shared" si="118"/>
        <v>0.41</v>
      </c>
      <c r="R237" s="35">
        <f t="shared" si="118"/>
        <v>0.41</v>
      </c>
      <c r="S237" s="35">
        <f t="shared" si="118"/>
        <v>0.41</v>
      </c>
    </row>
    <row r="238" spans="2:19">
      <c r="B238" t="s">
        <v>78</v>
      </c>
      <c r="F238" s="6"/>
      <c r="G238" s="6">
        <f>G236/F236-1</f>
        <v>0.14197530864197527</v>
      </c>
      <c r="H238" s="6">
        <f t="shared" ref="H238:S238" si="119">H236/G236-1</f>
        <v>0.16756756756756763</v>
      </c>
      <c r="I238" s="6">
        <f t="shared" si="119"/>
        <v>0.18055555555555558</v>
      </c>
      <c r="J238" s="6">
        <f t="shared" si="119"/>
        <v>-3.8509803921568664E-2</v>
      </c>
      <c r="K238" s="6">
        <f t="shared" si="119"/>
        <v>0.13365853658536597</v>
      </c>
      <c r="L238" s="6">
        <f t="shared" si="119"/>
        <v>0.15000000000000013</v>
      </c>
      <c r="M238" s="6">
        <f t="shared" si="119"/>
        <v>0.11638554216867458</v>
      </c>
      <c r="N238" s="6">
        <f t="shared" si="119"/>
        <v>0.12000000000000011</v>
      </c>
      <c r="O238" s="6">
        <f t="shared" si="119"/>
        <v>9.9999999999999867E-2</v>
      </c>
      <c r="P238" s="6">
        <f t="shared" si="119"/>
        <v>7.9999999999999849E-2</v>
      </c>
      <c r="Q238" s="6">
        <f t="shared" si="119"/>
        <v>8.0000000000000293E-2</v>
      </c>
      <c r="R238" s="6">
        <f t="shared" si="119"/>
        <v>7.9999999999999849E-2</v>
      </c>
      <c r="S238" s="6">
        <f t="shared" si="119"/>
        <v>8.0000000000000071E-2</v>
      </c>
    </row>
    <row r="239" spans="2:19">
      <c r="I239" s="6"/>
    </row>
    <row r="240" spans="2:19">
      <c r="B240" t="s">
        <v>19</v>
      </c>
      <c r="I240">
        <v>191</v>
      </c>
      <c r="J240" s="16">
        <f>J241*J231</f>
        <v>149.5</v>
      </c>
      <c r="K240" s="16">
        <f t="shared" ref="K240:S240" si="120">K241*K231</f>
        <v>133.95200000000003</v>
      </c>
      <c r="L240" s="16">
        <f t="shared" si="120"/>
        <v>138.64032</v>
      </c>
      <c r="M240" s="16">
        <f t="shared" si="120"/>
        <v>156.66356159999998</v>
      </c>
      <c r="N240" s="16">
        <f t="shared" si="120"/>
        <v>175.463188992</v>
      </c>
      <c r="O240" s="16">
        <f t="shared" si="120"/>
        <v>193.0095078912</v>
      </c>
      <c r="P240" s="16">
        <f t="shared" si="120"/>
        <v>208.450268522496</v>
      </c>
      <c r="Q240" s="16">
        <f t="shared" si="120"/>
        <v>225.12629000429573</v>
      </c>
      <c r="R240" s="16">
        <f t="shared" si="120"/>
        <v>243.13639320463938</v>
      </c>
      <c r="S240" s="16">
        <f t="shared" si="120"/>
        <v>262.58730466101053</v>
      </c>
    </row>
    <row r="241" spans="2:19">
      <c r="B241" t="s">
        <v>91</v>
      </c>
      <c r="I241" s="5">
        <f>I240/I231</f>
        <v>0.3193979933110368</v>
      </c>
      <c r="J241" s="35">
        <v>0.25</v>
      </c>
      <c r="K241" s="35">
        <v>0.2</v>
      </c>
      <c r="L241" s="35">
        <v>0.18</v>
      </c>
      <c r="M241" s="35">
        <v>0.18</v>
      </c>
      <c r="N241" s="35">
        <v>0.18</v>
      </c>
      <c r="O241" s="35">
        <v>0.18</v>
      </c>
      <c r="P241" s="35">
        <v>0.18</v>
      </c>
      <c r="Q241" s="35">
        <v>0.18</v>
      </c>
      <c r="R241" s="35">
        <v>0.18</v>
      </c>
      <c r="S241" s="35">
        <v>0.18</v>
      </c>
    </row>
    <row r="242" spans="2:19">
      <c r="I242" s="5"/>
    </row>
    <row r="243" spans="2:19">
      <c r="B243" t="s">
        <v>27</v>
      </c>
      <c r="I243" s="16">
        <f>I236-I240</f>
        <v>64</v>
      </c>
      <c r="J243" s="16">
        <f t="shared" ref="J243:S243" si="121">J236-J240</f>
        <v>95.679999999999978</v>
      </c>
      <c r="K243" s="16">
        <f t="shared" si="121"/>
        <v>143.99839999999998</v>
      </c>
      <c r="L243" s="16">
        <f t="shared" si="121"/>
        <v>181.00264000000001</v>
      </c>
      <c r="M243" s="16">
        <f t="shared" si="121"/>
        <v>200.18121759999997</v>
      </c>
      <c r="N243" s="16">
        <f t="shared" si="121"/>
        <v>224.20296371200001</v>
      </c>
      <c r="O243" s="16">
        <f t="shared" si="121"/>
        <v>246.62326008319999</v>
      </c>
      <c r="P243" s="16">
        <f t="shared" si="121"/>
        <v>266.35312088985597</v>
      </c>
      <c r="Q243" s="16">
        <f t="shared" si="121"/>
        <v>287.66137056104458</v>
      </c>
      <c r="R243" s="16">
        <f t="shared" si="121"/>
        <v>310.67428020592808</v>
      </c>
      <c r="S243" s="16">
        <f t="shared" si="121"/>
        <v>335.52822262240238</v>
      </c>
    </row>
    <row r="244" spans="2:19">
      <c r="B244" t="s">
        <v>67</v>
      </c>
      <c r="I244" s="34">
        <v>0.28000000000000003</v>
      </c>
      <c r="J244" s="34">
        <v>0.28000000000000003</v>
      </c>
      <c r="K244" s="34">
        <v>0.28000000000000003</v>
      </c>
      <c r="L244" s="34">
        <v>0.28000000000000003</v>
      </c>
      <c r="M244" s="34">
        <v>0.28000000000000003</v>
      </c>
      <c r="N244" s="34">
        <v>0.28000000000000003</v>
      </c>
      <c r="O244" s="34">
        <v>0.28000000000000003</v>
      </c>
      <c r="P244" s="34">
        <v>0.28000000000000003</v>
      </c>
      <c r="Q244" s="34">
        <v>0.28000000000000003</v>
      </c>
      <c r="R244" s="34">
        <v>0.28000000000000003</v>
      </c>
      <c r="S244" s="34">
        <v>0.28000000000000003</v>
      </c>
    </row>
    <row r="245" spans="2:19">
      <c r="B245" t="s">
        <v>377</v>
      </c>
      <c r="I245" s="16">
        <f>(1-I244)*I243</f>
        <v>46.08</v>
      </c>
      <c r="J245" s="16">
        <f t="shared" ref="J245:S245" si="122">(1-J244)*J243</f>
        <v>68.889599999999987</v>
      </c>
      <c r="K245" s="16">
        <f t="shared" si="122"/>
        <v>103.67884799999997</v>
      </c>
      <c r="L245" s="16">
        <f t="shared" si="122"/>
        <v>130.32190080000001</v>
      </c>
      <c r="M245" s="16">
        <f t="shared" si="122"/>
        <v>144.13047667199996</v>
      </c>
      <c r="N245" s="16">
        <f t="shared" si="122"/>
        <v>161.42613387264001</v>
      </c>
      <c r="O245" s="16">
        <f t="shared" si="122"/>
        <v>177.568747259904</v>
      </c>
      <c r="P245" s="16">
        <f t="shared" si="122"/>
        <v>191.77424704069628</v>
      </c>
      <c r="Q245" s="16">
        <f t="shared" si="122"/>
        <v>207.11618680395208</v>
      </c>
      <c r="R245" s="16">
        <f t="shared" si="122"/>
        <v>223.68548174826822</v>
      </c>
      <c r="S245" s="16">
        <f t="shared" si="122"/>
        <v>241.58032028812971</v>
      </c>
    </row>
    <row r="247" spans="2:19">
      <c r="B247" s="574" t="s">
        <v>52</v>
      </c>
      <c r="C247" s="574"/>
      <c r="D247" s="575">
        <f t="shared" ref="D247:S247" si="123">D2</f>
        <v>40238</v>
      </c>
      <c r="E247" s="575">
        <f t="shared" si="123"/>
        <v>40603</v>
      </c>
      <c r="F247" s="575">
        <f t="shared" si="123"/>
        <v>40969</v>
      </c>
      <c r="G247" s="575">
        <f t="shared" si="123"/>
        <v>41334</v>
      </c>
      <c r="H247" s="575">
        <f t="shared" si="123"/>
        <v>41699</v>
      </c>
      <c r="I247" s="575">
        <f t="shared" si="123"/>
        <v>42064</v>
      </c>
      <c r="J247" s="575">
        <f t="shared" si="123"/>
        <v>42430</v>
      </c>
      <c r="K247" s="575">
        <f t="shared" si="123"/>
        <v>42705</v>
      </c>
      <c r="L247" s="575">
        <f t="shared" si="123"/>
        <v>43070</v>
      </c>
      <c r="M247" s="575">
        <f t="shared" si="123"/>
        <v>43435</v>
      </c>
      <c r="N247" s="575">
        <f t="shared" si="123"/>
        <v>43800</v>
      </c>
      <c r="O247" s="575">
        <f t="shared" si="123"/>
        <v>44166</v>
      </c>
      <c r="P247" s="575">
        <f t="shared" si="123"/>
        <v>44531</v>
      </c>
      <c r="Q247" s="575">
        <f t="shared" si="123"/>
        <v>44896</v>
      </c>
      <c r="R247" s="575">
        <f t="shared" si="123"/>
        <v>45261</v>
      </c>
      <c r="S247" s="575">
        <f t="shared" si="123"/>
        <v>45627</v>
      </c>
    </row>
    <row r="249" spans="2:19">
      <c r="B249" t="s">
        <v>15</v>
      </c>
      <c r="I249" s="63">
        <f>SUM(Quarts!D446:G446)</f>
        <v>253</v>
      </c>
      <c r="J249" s="63">
        <f>SUM(Quarts!H446:L446)</f>
        <v>263</v>
      </c>
      <c r="K249" s="63">
        <f>SUM('New quarts'!K72:N72)</f>
        <v>286.89999999999998</v>
      </c>
      <c r="L249" s="63">
        <f>SUM('New quarts'!O72:R72)</f>
        <v>343.6</v>
      </c>
      <c r="M249" s="63">
        <v>350</v>
      </c>
      <c r="N249" s="16">
        <f t="shared" ref="N249:S249" si="124">(1+N250)*M249</f>
        <v>371</v>
      </c>
      <c r="O249" s="16">
        <f t="shared" si="124"/>
        <v>393.26000000000005</v>
      </c>
      <c r="P249" s="16">
        <f t="shared" si="124"/>
        <v>416.85560000000009</v>
      </c>
      <c r="Q249" s="16">
        <f t="shared" si="124"/>
        <v>441.86693600000012</v>
      </c>
      <c r="R249" s="16">
        <f t="shared" si="124"/>
        <v>468.37895216000015</v>
      </c>
      <c r="S249" s="16">
        <f t="shared" si="124"/>
        <v>496.48168928960018</v>
      </c>
    </row>
    <row r="250" spans="2:19">
      <c r="B250" t="s">
        <v>78</v>
      </c>
      <c r="K250" s="5">
        <f>K249/J249-1</f>
        <v>9.0874524714828819E-2</v>
      </c>
      <c r="L250" s="5">
        <f>L249/K249-1</f>
        <v>0.19762983617985386</v>
      </c>
      <c r="M250" s="5">
        <f>M249/L249-1</f>
        <v>1.8626309662397977E-2</v>
      </c>
      <c r="N250" s="34">
        <v>0.06</v>
      </c>
      <c r="O250" s="34">
        <v>0.06</v>
      </c>
      <c r="P250" s="34">
        <v>0.06</v>
      </c>
      <c r="Q250" s="34">
        <v>0.06</v>
      </c>
      <c r="R250" s="34">
        <v>0.06</v>
      </c>
      <c r="S250" s="34">
        <v>0.06</v>
      </c>
    </row>
    <row r="252" spans="2:19">
      <c r="B252" t="s">
        <v>8</v>
      </c>
      <c r="I252" s="63">
        <f>SUM(Quarts!D455:G455)</f>
        <v>113</v>
      </c>
      <c r="J252" s="63">
        <f>SUM(Quarts!H455:L455)</f>
        <v>125</v>
      </c>
      <c r="K252" s="16">
        <f>K253*K249</f>
        <v>131.97399999999999</v>
      </c>
      <c r="L252" s="16">
        <f t="shared" ref="L252:S252" si="125">L253*L249</f>
        <v>140.876</v>
      </c>
      <c r="M252" s="16">
        <f t="shared" si="125"/>
        <v>150.5</v>
      </c>
      <c r="N252" s="16">
        <f t="shared" si="125"/>
        <v>166.95000000000002</v>
      </c>
      <c r="O252" s="16">
        <f t="shared" si="125"/>
        <v>180.89960000000002</v>
      </c>
      <c r="P252" s="16">
        <f t="shared" si="125"/>
        <v>191.75357600000004</v>
      </c>
      <c r="Q252" s="16">
        <f t="shared" si="125"/>
        <v>203.25879056000008</v>
      </c>
      <c r="R252" s="16">
        <f t="shared" si="125"/>
        <v>215.45431799360009</v>
      </c>
      <c r="S252" s="16">
        <f t="shared" si="125"/>
        <v>228.38157707321611</v>
      </c>
    </row>
    <row r="253" spans="2:19">
      <c r="B253" t="s">
        <v>251</v>
      </c>
      <c r="I253" s="5">
        <f>I252/I249</f>
        <v>0.44664031620553357</v>
      </c>
      <c r="J253" s="5">
        <f>J252/J249</f>
        <v>0.47528517110266161</v>
      </c>
      <c r="K253" s="34">
        <v>0.46</v>
      </c>
      <c r="L253" s="34">
        <v>0.41</v>
      </c>
      <c r="M253" s="34">
        <v>0.43</v>
      </c>
      <c r="N253" s="34">
        <v>0.45</v>
      </c>
      <c r="O253" s="34">
        <v>0.46</v>
      </c>
      <c r="P253" s="34">
        <v>0.46</v>
      </c>
      <c r="Q253" s="34">
        <v>0.46</v>
      </c>
      <c r="R253" s="34">
        <v>0.46</v>
      </c>
      <c r="S253" s="34">
        <v>0.46</v>
      </c>
    </row>
    <row r="255" spans="2:19">
      <c r="B255" t="s">
        <v>19</v>
      </c>
      <c r="I255" s="63">
        <f>SUM(Quarts!D473:G473)</f>
        <v>91</v>
      </c>
      <c r="J255" s="63">
        <f>SUM(Quarts!H473:L473)</f>
        <v>69</v>
      </c>
      <c r="K255" s="16">
        <f>K256*K249</f>
        <v>63.117999999999995</v>
      </c>
      <c r="L255" s="16">
        <f t="shared" ref="L255:S255" si="126">L256*L249</f>
        <v>61.847999999999999</v>
      </c>
      <c r="M255" s="16">
        <f t="shared" si="126"/>
        <v>56</v>
      </c>
      <c r="N255" s="16">
        <f t="shared" si="126"/>
        <v>59.36</v>
      </c>
      <c r="O255" s="16">
        <f t="shared" si="126"/>
        <v>58.989000000000004</v>
      </c>
      <c r="P255" s="16">
        <f t="shared" si="126"/>
        <v>62.528340000000014</v>
      </c>
      <c r="Q255" s="16">
        <f t="shared" si="126"/>
        <v>66.280040400000019</v>
      </c>
      <c r="R255" s="16">
        <f t="shared" si="126"/>
        <v>70.256842824000017</v>
      </c>
      <c r="S255" s="16">
        <f t="shared" si="126"/>
        <v>74.472253393440027</v>
      </c>
    </row>
    <row r="256" spans="2:19">
      <c r="B256" t="s">
        <v>91</v>
      </c>
      <c r="I256" s="5">
        <f>I255/I249</f>
        <v>0.35968379446640314</v>
      </c>
      <c r="J256" s="5">
        <f>J255/J249</f>
        <v>0.26235741444866922</v>
      </c>
      <c r="K256" s="34">
        <v>0.22</v>
      </c>
      <c r="L256" s="34">
        <v>0.18</v>
      </c>
      <c r="M256" s="34">
        <v>0.16</v>
      </c>
      <c r="N256" s="34">
        <v>0.16</v>
      </c>
      <c r="O256" s="34">
        <v>0.15</v>
      </c>
      <c r="P256" s="34">
        <v>0.15</v>
      </c>
      <c r="Q256" s="34">
        <v>0.15</v>
      </c>
      <c r="R256" s="34">
        <v>0.15</v>
      </c>
      <c r="S256" s="34">
        <v>0.15</v>
      </c>
    </row>
    <row r="257" spans="2:19">
      <c r="I257" s="5"/>
      <c r="J257" s="5"/>
      <c r="K257" s="5"/>
      <c r="L257" s="5"/>
      <c r="M257" s="5"/>
      <c r="N257" s="5"/>
      <c r="O257" s="5"/>
      <c r="P257" s="5"/>
      <c r="Q257" s="5"/>
      <c r="R257" s="5"/>
      <c r="S257" s="5"/>
    </row>
    <row r="258" spans="2:19">
      <c r="B258" t="s">
        <v>27</v>
      </c>
      <c r="I258" s="16">
        <f>I252-I255</f>
        <v>22</v>
      </c>
      <c r="J258" s="16">
        <f t="shared" ref="J258:S258" si="127">J252-J255</f>
        <v>56</v>
      </c>
      <c r="K258" s="16">
        <f t="shared" si="127"/>
        <v>68.855999999999995</v>
      </c>
      <c r="L258" s="16">
        <f t="shared" si="127"/>
        <v>79.028000000000006</v>
      </c>
      <c r="M258" s="16">
        <f t="shared" si="127"/>
        <v>94.5</v>
      </c>
      <c r="N258" s="16">
        <f t="shared" si="127"/>
        <v>107.59000000000002</v>
      </c>
      <c r="O258" s="16">
        <f t="shared" si="127"/>
        <v>121.91060000000002</v>
      </c>
      <c r="P258" s="16">
        <f t="shared" si="127"/>
        <v>129.22523600000002</v>
      </c>
      <c r="Q258" s="16">
        <f t="shared" si="127"/>
        <v>136.97875016000006</v>
      </c>
      <c r="R258" s="16">
        <f t="shared" si="127"/>
        <v>145.19747516960007</v>
      </c>
      <c r="S258" s="16">
        <f t="shared" si="127"/>
        <v>153.90932367977609</v>
      </c>
    </row>
    <row r="259" spans="2:19">
      <c r="B259" t="s">
        <v>392</v>
      </c>
      <c r="I259" s="34">
        <v>0.28000000000000003</v>
      </c>
      <c r="J259" s="34">
        <v>0.28000000000000003</v>
      </c>
      <c r="K259" s="34">
        <v>0.28000000000000003</v>
      </c>
      <c r="L259" s="34">
        <v>0.28000000000000003</v>
      </c>
      <c r="M259" s="34">
        <v>0.28000000000000003</v>
      </c>
      <c r="N259" s="34">
        <v>0.28000000000000003</v>
      </c>
      <c r="O259" s="34">
        <v>0.28000000000000003</v>
      </c>
      <c r="P259" s="34">
        <v>0.28000000000000003</v>
      </c>
      <c r="Q259" s="34">
        <v>0.28000000000000003</v>
      </c>
      <c r="R259" s="34">
        <v>0.28000000000000003</v>
      </c>
      <c r="S259" s="34">
        <v>0.28000000000000003</v>
      </c>
    </row>
    <row r="260" spans="2:19">
      <c r="B260" t="s">
        <v>377</v>
      </c>
      <c r="I260" s="16">
        <f>(1-I259)*I258</f>
        <v>15.84</v>
      </c>
      <c r="J260" s="16">
        <f t="shared" ref="J260:S260" si="128">(1-J259)*J258</f>
        <v>40.32</v>
      </c>
      <c r="K260" s="16">
        <f t="shared" si="128"/>
        <v>49.576319999999996</v>
      </c>
      <c r="L260" s="16">
        <f t="shared" si="128"/>
        <v>56.90016</v>
      </c>
      <c r="M260" s="16">
        <f t="shared" si="128"/>
        <v>68.039999999999992</v>
      </c>
      <c r="N260" s="16">
        <f t="shared" si="128"/>
        <v>77.464800000000011</v>
      </c>
      <c r="O260" s="16">
        <f t="shared" si="128"/>
        <v>87.775632000000002</v>
      </c>
      <c r="P260" s="16">
        <f t="shared" si="128"/>
        <v>93.042169920000021</v>
      </c>
      <c r="Q260" s="16">
        <f t="shared" si="128"/>
        <v>98.624700115200042</v>
      </c>
      <c r="R260" s="16">
        <f t="shared" si="128"/>
        <v>104.54218212211204</v>
      </c>
      <c r="S260" s="16">
        <f t="shared" si="128"/>
        <v>110.81471304943878</v>
      </c>
    </row>
    <row r="262" spans="2:19">
      <c r="B262" s="574" t="s">
        <v>1837</v>
      </c>
      <c r="C262" s="574"/>
      <c r="D262" s="575">
        <f>D247</f>
        <v>40238</v>
      </c>
      <c r="E262" s="575">
        <f t="shared" ref="E262:S262" si="129">E247</f>
        <v>40603</v>
      </c>
      <c r="F262" s="575">
        <f t="shared" si="129"/>
        <v>40969</v>
      </c>
      <c r="G262" s="575">
        <f t="shared" si="129"/>
        <v>41334</v>
      </c>
      <c r="H262" s="575">
        <f t="shared" si="129"/>
        <v>41699</v>
      </c>
      <c r="I262" s="575">
        <f t="shared" si="129"/>
        <v>42064</v>
      </c>
      <c r="J262" s="575">
        <f t="shared" si="129"/>
        <v>42430</v>
      </c>
      <c r="K262" s="575">
        <f t="shared" si="129"/>
        <v>42705</v>
      </c>
      <c r="L262" s="575">
        <f t="shared" si="129"/>
        <v>43070</v>
      </c>
      <c r="M262" s="575">
        <f t="shared" si="129"/>
        <v>43435</v>
      </c>
      <c r="N262" s="575">
        <f t="shared" si="129"/>
        <v>43800</v>
      </c>
      <c r="O262" s="575">
        <f t="shared" si="129"/>
        <v>44166</v>
      </c>
      <c r="P262" s="575">
        <f t="shared" si="129"/>
        <v>44531</v>
      </c>
      <c r="Q262" s="575">
        <f t="shared" si="129"/>
        <v>44896</v>
      </c>
      <c r="R262" s="575">
        <f t="shared" si="129"/>
        <v>45261</v>
      </c>
      <c r="S262" s="575">
        <f t="shared" si="129"/>
        <v>45627</v>
      </c>
    </row>
    <row r="264" spans="2:19">
      <c r="B264" t="s">
        <v>370</v>
      </c>
      <c r="I264" s="16">
        <f t="shared" ref="I264:S264" si="130">I291*AVERAGE(H282,I282)*12/1000</f>
        <v>295.54199999999997</v>
      </c>
      <c r="J264" s="16">
        <f t="shared" si="130"/>
        <v>325.17576000000003</v>
      </c>
      <c r="K264" s="16">
        <f t="shared" si="130"/>
        <v>328.69811520000002</v>
      </c>
      <c r="L264" s="16">
        <f t="shared" si="130"/>
        <v>340.73209497599998</v>
      </c>
      <c r="M264" s="16">
        <f>M291*AVERAGE(L282,M282)*12/1000</f>
        <v>348.10084003967989</v>
      </c>
      <c r="N264" s="16">
        <f t="shared" si="130"/>
        <v>355.6524804985151</v>
      </c>
      <c r="O264" s="16">
        <f t="shared" si="130"/>
        <v>362.02533966683876</v>
      </c>
      <c r="P264" s="16">
        <f t="shared" si="130"/>
        <v>371.95472364014756</v>
      </c>
      <c r="Q264" s="16">
        <f t="shared" si="130"/>
        <v>381.88410761345631</v>
      </c>
      <c r="R264" s="16">
        <f t="shared" si="130"/>
        <v>391.81349158676517</v>
      </c>
      <c r="S264" s="16">
        <f t="shared" si="130"/>
        <v>401.74287556007391</v>
      </c>
    </row>
    <row r="265" spans="2:19">
      <c r="B265" s="3" t="s">
        <v>4</v>
      </c>
      <c r="C265" s="3"/>
      <c r="D265" s="3"/>
      <c r="E265" s="3"/>
      <c r="F265" s="3"/>
      <c r="G265" s="3"/>
      <c r="H265" s="3"/>
      <c r="I265" s="64">
        <f>I266-I264</f>
        <v>3.4580000000000268</v>
      </c>
      <c r="J265" s="65">
        <f t="shared" ref="J265:S265" si="131">I265</f>
        <v>3.4580000000000268</v>
      </c>
      <c r="K265" s="65">
        <f t="shared" si="131"/>
        <v>3.4580000000000268</v>
      </c>
      <c r="L265" s="65">
        <f t="shared" si="131"/>
        <v>3.4580000000000268</v>
      </c>
      <c r="M265" s="65">
        <f t="shared" si="131"/>
        <v>3.4580000000000268</v>
      </c>
      <c r="N265" s="65">
        <f t="shared" si="131"/>
        <v>3.4580000000000268</v>
      </c>
      <c r="O265" s="65">
        <f t="shared" si="131"/>
        <v>3.4580000000000268</v>
      </c>
      <c r="P265" s="65">
        <f t="shared" si="131"/>
        <v>3.4580000000000268</v>
      </c>
      <c r="Q265" s="65">
        <f t="shared" si="131"/>
        <v>3.4580000000000268</v>
      </c>
      <c r="R265" s="65">
        <f t="shared" si="131"/>
        <v>3.4580000000000268</v>
      </c>
      <c r="S265" s="65">
        <f t="shared" si="131"/>
        <v>3.4580000000000268</v>
      </c>
    </row>
    <row r="266" spans="2:19">
      <c r="B266" t="s">
        <v>5</v>
      </c>
      <c r="I266">
        <f>I55</f>
        <v>299</v>
      </c>
      <c r="J266" s="16">
        <f>J264+J265</f>
        <v>328.63376000000005</v>
      </c>
      <c r="K266" s="16">
        <f t="shared" ref="K266:S266" si="132">K264+K265</f>
        <v>332.15611520000004</v>
      </c>
      <c r="L266" s="16">
        <f t="shared" si="132"/>
        <v>344.19009497600001</v>
      </c>
      <c r="M266" s="16">
        <f t="shared" si="132"/>
        <v>351.55884003967992</v>
      </c>
      <c r="N266" s="16">
        <f t="shared" si="132"/>
        <v>359.11048049851513</v>
      </c>
      <c r="O266" s="16">
        <f t="shared" si="132"/>
        <v>365.48333966683879</v>
      </c>
      <c r="P266" s="16">
        <f t="shared" si="132"/>
        <v>375.41272364014759</v>
      </c>
      <c r="Q266" s="16">
        <f t="shared" si="132"/>
        <v>385.34210761345634</v>
      </c>
      <c r="R266" s="16">
        <f t="shared" si="132"/>
        <v>395.27149158676519</v>
      </c>
      <c r="S266" s="16">
        <f t="shared" si="132"/>
        <v>405.20087556007394</v>
      </c>
    </row>
    <row r="267" spans="2:19">
      <c r="B267" t="s">
        <v>78</v>
      </c>
      <c r="G267" s="6"/>
      <c r="H267" s="6"/>
      <c r="I267" s="6"/>
      <c r="J267" s="6">
        <f t="shared" ref="J267:S267" si="133">J266/I266-1</f>
        <v>9.9109565217391449E-2</v>
      </c>
      <c r="K267" s="6">
        <f t="shared" si="133"/>
        <v>1.0718178193256822E-2</v>
      </c>
      <c r="L267" s="6">
        <f t="shared" si="133"/>
        <v>3.6229890781188878E-2</v>
      </c>
      <c r="M267" s="6">
        <f t="shared" si="133"/>
        <v>2.1408939917907155E-2</v>
      </c>
      <c r="N267" s="6">
        <f t="shared" si="133"/>
        <v>2.148044537290783E-2</v>
      </c>
      <c r="O267" s="6">
        <f t="shared" si="133"/>
        <v>1.7746235530293974E-2</v>
      </c>
      <c r="P267" s="6">
        <f t="shared" si="133"/>
        <v>2.7167815590062316E-2</v>
      </c>
      <c r="Q267" s="6">
        <f t="shared" si="133"/>
        <v>2.6449247316472357E-2</v>
      </c>
      <c r="R267" s="6">
        <f t="shared" si="133"/>
        <v>2.5767710761755547E-2</v>
      </c>
      <c r="S267" s="6">
        <f t="shared" si="133"/>
        <v>2.5120415169453736E-2</v>
      </c>
    </row>
    <row r="268" spans="2:19">
      <c r="G268" s="6"/>
      <c r="H268" s="6"/>
      <c r="I268" s="6"/>
      <c r="J268" s="6"/>
    </row>
    <row r="269" spans="2:19">
      <c r="B269" t="s">
        <v>368</v>
      </c>
      <c r="G269" s="6"/>
      <c r="H269" s="6"/>
      <c r="I269" s="16"/>
      <c r="J269" s="16">
        <f t="shared" ref="J269:S269" si="134">J293*AVERAGE(I284,J284)*12/1000</f>
        <v>207.06</v>
      </c>
      <c r="K269" s="16">
        <f>K293*AVERAGE(J284,K284)*12/1000</f>
        <v>215.11799999999999</v>
      </c>
      <c r="L269" s="16">
        <f>L293*AVERAGE(K284,L284)*12/1000</f>
        <v>218.60639999999995</v>
      </c>
      <c r="M269" s="16">
        <f t="shared" si="134"/>
        <v>234.12745439999998</v>
      </c>
      <c r="N269" s="16">
        <f>N293*AVERAGE(M284,N284)*12/1000</f>
        <v>250.18190841599997</v>
      </c>
      <c r="O269" s="16">
        <f t="shared" si="134"/>
        <v>266.78488961087993</v>
      </c>
      <c r="P269" s="16">
        <f t="shared" si="134"/>
        <v>281.98002897567352</v>
      </c>
      <c r="Q269" s="16">
        <f t="shared" si="134"/>
        <v>293.65360779760357</v>
      </c>
      <c r="R269" s="16">
        <f t="shared" si="134"/>
        <v>302.60400885718803</v>
      </c>
      <c r="S269" s="16">
        <f t="shared" si="134"/>
        <v>310.74867268880189</v>
      </c>
    </row>
    <row r="270" spans="2:19">
      <c r="B270" s="3" t="s">
        <v>369</v>
      </c>
      <c r="C270" s="3"/>
      <c r="D270" s="3"/>
      <c r="E270" s="3"/>
      <c r="F270" s="3"/>
      <c r="G270" s="7"/>
      <c r="H270" s="7"/>
      <c r="I270" s="64"/>
      <c r="J270" s="64">
        <f t="shared" ref="J270:S270" si="135">J295*AVERAGE(I286,J286)*12/1000</f>
        <v>176.4</v>
      </c>
      <c r="K270" s="64">
        <f>K295*AVERAGE(J286,K286)*12/1000</f>
        <v>170.20394999999999</v>
      </c>
      <c r="L270" s="64">
        <f t="shared" si="135"/>
        <v>178.85769299999998</v>
      </c>
      <c r="M270" s="64">
        <f t="shared" si="135"/>
        <v>198.55213559999999</v>
      </c>
      <c r="N270" s="64">
        <f t="shared" si="135"/>
        <v>219.45236039999995</v>
      </c>
      <c r="O270" s="64">
        <f t="shared" si="135"/>
        <v>237.33772777259995</v>
      </c>
      <c r="P270" s="64">
        <f t="shared" si="135"/>
        <v>254.04353870804997</v>
      </c>
      <c r="Q270" s="64">
        <f t="shared" si="135"/>
        <v>271.82658641761344</v>
      </c>
      <c r="R270" s="64">
        <f t="shared" si="135"/>
        <v>290.75283005136322</v>
      </c>
      <c r="S270" s="64">
        <f t="shared" si="135"/>
        <v>310.89213158244388</v>
      </c>
    </row>
    <row r="271" spans="2:19">
      <c r="B271" t="s">
        <v>6</v>
      </c>
      <c r="J271" s="16">
        <f>J269+J270</f>
        <v>383.46000000000004</v>
      </c>
      <c r="K271" s="16">
        <f t="shared" ref="K271:S271" si="136">K269+K270</f>
        <v>385.32195000000002</v>
      </c>
      <c r="L271" s="16">
        <f t="shared" si="136"/>
        <v>397.46409299999993</v>
      </c>
      <c r="M271" s="16">
        <f t="shared" si="136"/>
        <v>432.67958999999996</v>
      </c>
      <c r="N271" s="16">
        <f t="shared" si="136"/>
        <v>469.63426881599992</v>
      </c>
      <c r="O271" s="16">
        <f t="shared" si="136"/>
        <v>504.12261738347991</v>
      </c>
      <c r="P271" s="16">
        <f t="shared" si="136"/>
        <v>536.02356768372351</v>
      </c>
      <c r="Q271" s="16">
        <f t="shared" si="136"/>
        <v>565.48019421521701</v>
      </c>
      <c r="R271" s="16">
        <f t="shared" si="136"/>
        <v>593.35683890855125</v>
      </c>
      <c r="S271" s="16">
        <f t="shared" si="136"/>
        <v>621.64080427124577</v>
      </c>
    </row>
    <row r="272" spans="2:19">
      <c r="B272" t="s">
        <v>78</v>
      </c>
      <c r="G272" s="6"/>
      <c r="H272" s="6"/>
      <c r="I272" s="6"/>
      <c r="J272" s="6"/>
      <c r="K272" s="6">
        <f t="shared" ref="K272:S272" si="137">K271/J271-1</f>
        <v>4.8556563918009665E-3</v>
      </c>
      <c r="L272" s="6">
        <f t="shared" si="137"/>
        <v>3.1511682633184934E-2</v>
      </c>
      <c r="M272" s="6">
        <f t="shared" si="137"/>
        <v>8.8600448745441929E-2</v>
      </c>
      <c r="N272" s="6">
        <f t="shared" si="137"/>
        <v>8.5408879156976036E-2</v>
      </c>
      <c r="O272" s="6">
        <f t="shared" si="137"/>
        <v>7.3436609842013834E-2</v>
      </c>
      <c r="P272" s="6">
        <f t="shared" si="137"/>
        <v>6.3280140982004296E-2</v>
      </c>
      <c r="Q272" s="6">
        <f t="shared" si="137"/>
        <v>5.4953976480515809E-2</v>
      </c>
      <c r="R272" s="6">
        <f t="shared" si="137"/>
        <v>4.9297296312953875E-2</v>
      </c>
      <c r="S272" s="6">
        <f t="shared" si="137"/>
        <v>4.7667716133046323E-2</v>
      </c>
    </row>
    <row r="273" spans="2:19">
      <c r="G273" s="6"/>
      <c r="H273" s="6"/>
      <c r="I273" s="6"/>
      <c r="J273" s="6"/>
    </row>
    <row r="274" spans="2:19">
      <c r="B274" t="s">
        <v>7</v>
      </c>
      <c r="J274" s="16">
        <f>J297*AVERAGE(I288,J288)*12/1000</f>
        <v>209.87010000000004</v>
      </c>
      <c r="K274" s="16">
        <f t="shared" ref="K274:S274" si="138">K297*AVERAGE(J288,K288)*12/1000</f>
        <v>192.33211800000001</v>
      </c>
      <c r="L274" s="16">
        <f t="shared" si="138"/>
        <v>181.29360150000002</v>
      </c>
      <c r="M274" s="16">
        <f t="shared" si="138"/>
        <v>176.27425708200002</v>
      </c>
      <c r="N274" s="16">
        <f t="shared" si="138"/>
        <v>173.54583814629601</v>
      </c>
      <c r="O274" s="16">
        <f t="shared" si="138"/>
        <v>173.26993061347201</v>
      </c>
      <c r="P274" s="16">
        <f t="shared" si="138"/>
        <v>173.26993061347201</v>
      </c>
      <c r="Q274" s="16">
        <f t="shared" si="138"/>
        <v>173.26993061347201</v>
      </c>
      <c r="R274" s="16">
        <f t="shared" si="138"/>
        <v>173.26993061347201</v>
      </c>
      <c r="S274" s="16">
        <f t="shared" si="138"/>
        <v>173.26993061347201</v>
      </c>
    </row>
    <row r="275" spans="2:19">
      <c r="B275" t="s">
        <v>78</v>
      </c>
      <c r="G275" s="6"/>
      <c r="H275" s="6"/>
      <c r="I275" s="6"/>
      <c r="J275" s="6"/>
      <c r="K275" s="6">
        <f t="shared" ref="K275:S275" si="139">K274/J274-1</f>
        <v>-8.3565891472868303E-2</v>
      </c>
      <c r="L275" s="6">
        <f t="shared" si="139"/>
        <v>-5.7392996108949323E-2</v>
      </c>
      <c r="M275" s="6">
        <f t="shared" si="139"/>
        <v>-2.7686274509803988E-2</v>
      </c>
      <c r="N275" s="6">
        <f t="shared" si="139"/>
        <v>-1.5478260869565275E-2</v>
      </c>
      <c r="O275" s="6">
        <f t="shared" si="139"/>
        <v>-1.5898251192368873E-3</v>
      </c>
      <c r="P275" s="6">
        <f t="shared" si="139"/>
        <v>0</v>
      </c>
      <c r="Q275" s="6">
        <f t="shared" si="139"/>
        <v>0</v>
      </c>
      <c r="R275" s="6">
        <f t="shared" si="139"/>
        <v>0</v>
      </c>
      <c r="S275" s="6">
        <f t="shared" si="139"/>
        <v>0</v>
      </c>
    </row>
    <row r="276" spans="2:19">
      <c r="G276" s="6"/>
      <c r="H276" s="6"/>
      <c r="I276" s="6"/>
      <c r="J276" s="6"/>
    </row>
    <row r="277" spans="2:19">
      <c r="B277" t="s">
        <v>4</v>
      </c>
      <c r="J277" s="16">
        <f>J279-J274-J271-J266</f>
        <v>181.03613999999982</v>
      </c>
      <c r="K277" s="16">
        <f>K279-K274-K271-K266</f>
        <v>167.35656679999977</v>
      </c>
      <c r="L277" s="16">
        <f>L279-L274-L271-L266</f>
        <v>150.95221052400012</v>
      </c>
      <c r="M277" s="16">
        <f t="shared" ref="M277:S277" si="140">(1+M278)*L277</f>
        <v>157.74505999758011</v>
      </c>
      <c r="N277" s="16">
        <f t="shared" si="140"/>
        <v>154.5901587976285</v>
      </c>
      <c r="O277" s="16">
        <f t="shared" si="140"/>
        <v>154.5901587976285</v>
      </c>
      <c r="P277" s="16">
        <f t="shared" si="140"/>
        <v>154.5901587976285</v>
      </c>
      <c r="Q277" s="16">
        <f t="shared" si="140"/>
        <v>154.5901587976285</v>
      </c>
      <c r="R277" s="16">
        <f t="shared" si="140"/>
        <v>154.5901587976285</v>
      </c>
      <c r="S277" s="16">
        <f t="shared" si="140"/>
        <v>154.5901587976285</v>
      </c>
    </row>
    <row r="278" spans="2:19">
      <c r="B278" t="s">
        <v>78</v>
      </c>
      <c r="G278" s="6"/>
      <c r="H278" s="6"/>
      <c r="I278" s="6"/>
      <c r="J278" s="34">
        <v>0.04</v>
      </c>
      <c r="K278" s="5">
        <f>K277/J277-1</f>
        <v>-7.556266500158515E-2</v>
      </c>
      <c r="L278" s="5">
        <f>L277/K277-1</f>
        <v>-9.8020391967073239E-2</v>
      </c>
      <c r="M278" s="34">
        <v>4.4999999999999998E-2</v>
      </c>
      <c r="N278" s="34">
        <v>-0.02</v>
      </c>
      <c r="O278" s="34">
        <v>0</v>
      </c>
      <c r="P278" s="34">
        <v>0</v>
      </c>
      <c r="Q278" s="34">
        <v>0</v>
      </c>
      <c r="R278" s="34">
        <v>0</v>
      </c>
      <c r="S278" s="34">
        <v>0</v>
      </c>
    </row>
    <row r="279" spans="2:19" ht="15.75" thickBot="1">
      <c r="B279" s="66" t="s">
        <v>17</v>
      </c>
      <c r="C279" s="66"/>
      <c r="D279" s="66"/>
      <c r="E279" s="66"/>
      <c r="F279" s="66"/>
      <c r="G279" s="66"/>
      <c r="H279" s="66"/>
      <c r="I279" s="598">
        <f>SUM(Quarts!D444:G444)</f>
        <v>1051</v>
      </c>
      <c r="J279" s="598">
        <f>SUM(Quarts!H444:L444)</f>
        <v>1103</v>
      </c>
      <c r="K279" s="598">
        <f>SUM('New quarts'!K69:N69)</f>
        <v>1077.1667499999999</v>
      </c>
      <c r="L279" s="598">
        <f>SUM('New quarts'!O69:R69)</f>
        <v>1073.9000000000001</v>
      </c>
      <c r="M279" s="67">
        <f t="shared" ref="M279:S279" si="141">M266+M271+M274+M277</f>
        <v>1118.2577471192599</v>
      </c>
      <c r="N279" s="67">
        <f>N266+N271+N274+N277</f>
        <v>1156.8807462584396</v>
      </c>
      <c r="O279" s="67">
        <f t="shared" si="141"/>
        <v>1197.4660464614192</v>
      </c>
      <c r="P279" s="67">
        <f t="shared" si="141"/>
        <v>1239.2963807349715</v>
      </c>
      <c r="Q279" s="67">
        <f t="shared" si="141"/>
        <v>1278.6823912397738</v>
      </c>
      <c r="R279" s="67">
        <f t="shared" si="141"/>
        <v>1316.488419906417</v>
      </c>
      <c r="S279" s="67">
        <f t="shared" si="141"/>
        <v>1354.7017692424201</v>
      </c>
    </row>
    <row r="280" spans="2:19" ht="15.75" thickTop="1">
      <c r="B280" t="s">
        <v>78</v>
      </c>
      <c r="G280" s="6"/>
      <c r="H280" s="6"/>
      <c r="I280" s="6"/>
      <c r="J280" s="6"/>
      <c r="K280" s="5">
        <f>K279/J279-1</f>
        <v>-2.3420897552130726E-2</v>
      </c>
      <c r="L280" s="5">
        <f>L279/K279-1</f>
        <v>-3.0327245062101715E-3</v>
      </c>
      <c r="M280" s="5">
        <f t="shared" ref="M280:S280" si="142">M279/L279-1</f>
        <v>4.1305286450563194E-2</v>
      </c>
      <c r="N280" s="5">
        <f t="shared" si="142"/>
        <v>3.4538548236018318E-2</v>
      </c>
      <c r="O280" s="5">
        <f t="shared" si="142"/>
        <v>3.5081662767955768E-2</v>
      </c>
      <c r="P280" s="5">
        <f t="shared" si="142"/>
        <v>3.4932376076268312E-2</v>
      </c>
      <c r="Q280" s="5">
        <f t="shared" si="142"/>
        <v>3.1780945314666464E-2</v>
      </c>
      <c r="R280" s="5">
        <f t="shared" si="142"/>
        <v>2.9566395006024537E-2</v>
      </c>
      <c r="S280" s="5">
        <f t="shared" si="142"/>
        <v>2.9026726523518898E-2</v>
      </c>
    </row>
    <row r="281" spans="2:19">
      <c r="I281" s="6"/>
    </row>
    <row r="282" spans="2:19">
      <c r="B282" t="s">
        <v>360</v>
      </c>
      <c r="H282" s="36">
        <v>1198</v>
      </c>
      <c r="I282" s="36">
        <v>1328</v>
      </c>
      <c r="J282">
        <f>(I282+J283)</f>
        <v>1508</v>
      </c>
      <c r="K282">
        <f t="shared" ref="K282:S282" si="143">(J282+K283)</f>
        <v>1608</v>
      </c>
      <c r="L282">
        <f t="shared" si="143"/>
        <v>1688</v>
      </c>
      <c r="M282">
        <f t="shared" si="143"/>
        <v>1748</v>
      </c>
      <c r="N282">
        <f t="shared" si="143"/>
        <v>1798</v>
      </c>
      <c r="O282">
        <f t="shared" si="143"/>
        <v>1848</v>
      </c>
      <c r="P282">
        <f t="shared" si="143"/>
        <v>1898</v>
      </c>
      <c r="Q282">
        <f t="shared" si="143"/>
        <v>1948</v>
      </c>
      <c r="R282">
        <f t="shared" si="143"/>
        <v>1998</v>
      </c>
      <c r="S282">
        <f t="shared" si="143"/>
        <v>2048</v>
      </c>
    </row>
    <row r="283" spans="2:19">
      <c r="B283" t="s">
        <v>363</v>
      </c>
      <c r="I283">
        <f>I282-H282</f>
        <v>130</v>
      </c>
      <c r="J283" s="36">
        <v>180</v>
      </c>
      <c r="K283">
        <f t="shared" ref="K283:S283" si="144">K72</f>
        <v>100</v>
      </c>
      <c r="L283">
        <f t="shared" si="144"/>
        <v>80</v>
      </c>
      <c r="M283">
        <f t="shared" si="144"/>
        <v>60</v>
      </c>
      <c r="N283">
        <f t="shared" si="144"/>
        <v>50</v>
      </c>
      <c r="O283">
        <f t="shared" si="144"/>
        <v>50</v>
      </c>
      <c r="P283">
        <f t="shared" si="144"/>
        <v>50</v>
      </c>
      <c r="Q283">
        <f t="shared" si="144"/>
        <v>50</v>
      </c>
      <c r="R283">
        <f t="shared" si="144"/>
        <v>50</v>
      </c>
      <c r="S283">
        <f t="shared" si="144"/>
        <v>50</v>
      </c>
    </row>
    <row r="284" spans="2:19">
      <c r="B284" t="s">
        <v>361</v>
      </c>
      <c r="H284" s="36"/>
      <c r="I284" s="576">
        <v>490</v>
      </c>
      <c r="J284">
        <f>I284+J285</f>
        <v>525</v>
      </c>
      <c r="K284">
        <f>J284+K285</f>
        <v>585</v>
      </c>
      <c r="L284">
        <f t="shared" ref="L284:S284" si="145">K284+L285</f>
        <v>615</v>
      </c>
      <c r="M284">
        <f t="shared" si="145"/>
        <v>645</v>
      </c>
      <c r="N284">
        <f t="shared" si="145"/>
        <v>675</v>
      </c>
      <c r="O284">
        <f t="shared" si="145"/>
        <v>705</v>
      </c>
      <c r="P284">
        <f t="shared" si="145"/>
        <v>725</v>
      </c>
      <c r="Q284">
        <f t="shared" si="145"/>
        <v>735</v>
      </c>
      <c r="R284">
        <f t="shared" si="145"/>
        <v>740</v>
      </c>
      <c r="S284">
        <f t="shared" si="145"/>
        <v>745</v>
      </c>
    </row>
    <row r="285" spans="2:19">
      <c r="B285" t="s">
        <v>363</v>
      </c>
      <c r="I285">
        <f>I284-H284</f>
        <v>490</v>
      </c>
      <c r="J285" s="36">
        <v>35</v>
      </c>
      <c r="K285" s="36">
        <v>60</v>
      </c>
      <c r="L285" s="36">
        <v>30</v>
      </c>
      <c r="M285" s="36">
        <v>30</v>
      </c>
      <c r="N285" s="36">
        <v>30</v>
      </c>
      <c r="O285" s="36">
        <v>30</v>
      </c>
      <c r="P285" s="36">
        <v>20</v>
      </c>
      <c r="Q285" s="36">
        <v>10</v>
      </c>
      <c r="R285" s="36">
        <v>5</v>
      </c>
      <c r="S285" s="36">
        <v>5</v>
      </c>
    </row>
    <row r="286" spans="2:19">
      <c r="B286" t="s">
        <v>362</v>
      </c>
      <c r="H286" s="36"/>
      <c r="I286" s="576">
        <v>400</v>
      </c>
      <c r="J286">
        <f>(I286+J287)</f>
        <v>400</v>
      </c>
      <c r="K286">
        <f t="shared" ref="K286:S286" si="146">J286+K287</f>
        <v>430</v>
      </c>
      <c r="L286">
        <f t="shared" si="146"/>
        <v>460</v>
      </c>
      <c r="M286">
        <f t="shared" si="146"/>
        <v>490</v>
      </c>
      <c r="N286">
        <f t="shared" si="146"/>
        <v>510</v>
      </c>
      <c r="O286">
        <f t="shared" si="146"/>
        <v>520</v>
      </c>
      <c r="P286">
        <f t="shared" si="146"/>
        <v>530</v>
      </c>
      <c r="Q286">
        <f t="shared" si="146"/>
        <v>540</v>
      </c>
      <c r="R286">
        <f t="shared" si="146"/>
        <v>550</v>
      </c>
      <c r="S286">
        <f t="shared" si="146"/>
        <v>560</v>
      </c>
    </row>
    <row r="287" spans="2:19">
      <c r="B287" t="s">
        <v>363</v>
      </c>
      <c r="I287">
        <f>I286-H286</f>
        <v>400</v>
      </c>
      <c r="J287" s="36">
        <v>0</v>
      </c>
      <c r="K287" s="36">
        <v>30</v>
      </c>
      <c r="L287" s="36">
        <v>30</v>
      </c>
      <c r="M287" s="36">
        <v>30</v>
      </c>
      <c r="N287" s="36">
        <v>20</v>
      </c>
      <c r="O287" s="36">
        <v>10</v>
      </c>
      <c r="P287" s="36">
        <v>10</v>
      </c>
      <c r="Q287" s="36">
        <v>10</v>
      </c>
      <c r="R287" s="36">
        <v>10</v>
      </c>
      <c r="S287" s="36">
        <v>10</v>
      </c>
    </row>
    <row r="288" spans="2:19">
      <c r="B288" t="s">
        <v>7</v>
      </c>
      <c r="H288" s="36"/>
      <c r="I288" s="576">
        <v>645</v>
      </c>
      <c r="J288">
        <f>(I288+J289)</f>
        <v>645</v>
      </c>
      <c r="K288">
        <f t="shared" ref="K288:S288" si="147">J288+K289</f>
        <v>640</v>
      </c>
      <c r="L288">
        <f t="shared" si="147"/>
        <v>635</v>
      </c>
      <c r="M288">
        <f t="shared" si="147"/>
        <v>630</v>
      </c>
      <c r="N288">
        <f t="shared" si="147"/>
        <v>628</v>
      </c>
      <c r="O288">
        <f t="shared" si="147"/>
        <v>628</v>
      </c>
      <c r="P288">
        <f t="shared" si="147"/>
        <v>628</v>
      </c>
      <c r="Q288">
        <f t="shared" si="147"/>
        <v>628</v>
      </c>
      <c r="R288">
        <f t="shared" si="147"/>
        <v>628</v>
      </c>
      <c r="S288">
        <f t="shared" si="147"/>
        <v>628</v>
      </c>
    </row>
    <row r="289" spans="2:19">
      <c r="B289" t="s">
        <v>363</v>
      </c>
      <c r="I289">
        <f>I288-H288</f>
        <v>645</v>
      </c>
      <c r="J289" s="36">
        <v>0</v>
      </c>
      <c r="K289" s="36">
        <v>-5</v>
      </c>
      <c r="L289" s="36">
        <v>-5</v>
      </c>
      <c r="M289" s="36">
        <v>-5</v>
      </c>
      <c r="N289" s="36">
        <v>-2</v>
      </c>
      <c r="O289" s="36">
        <v>0</v>
      </c>
      <c r="P289" s="36">
        <v>0</v>
      </c>
      <c r="Q289" s="36">
        <v>0</v>
      </c>
      <c r="R289" s="36">
        <v>0</v>
      </c>
      <c r="S289" s="36">
        <v>0</v>
      </c>
    </row>
    <row r="290" spans="2:19">
      <c r="I290" s="6"/>
    </row>
    <row r="291" spans="2:19">
      <c r="B291" t="s">
        <v>364</v>
      </c>
      <c r="H291" s="36">
        <v>20.7</v>
      </c>
      <c r="I291" s="36">
        <v>19.5</v>
      </c>
      <c r="J291" s="62">
        <f>(1+J292)*I291</f>
        <v>19.11</v>
      </c>
      <c r="K291" s="62">
        <f t="shared" ref="K291:S291" si="148">(1+K292)*J291</f>
        <v>17.581199999999999</v>
      </c>
      <c r="L291" s="62">
        <f t="shared" si="148"/>
        <v>17.229575999999998</v>
      </c>
      <c r="M291" s="62">
        <f t="shared" si="148"/>
        <v>16.884984479999996</v>
      </c>
      <c r="N291" s="62">
        <f t="shared" si="148"/>
        <v>16.716134635199996</v>
      </c>
      <c r="O291" s="62">
        <f t="shared" si="148"/>
        <v>16.548973288847996</v>
      </c>
      <c r="P291" s="62">
        <f t="shared" si="148"/>
        <v>16.548973288847996</v>
      </c>
      <c r="Q291" s="62">
        <f t="shared" si="148"/>
        <v>16.548973288847996</v>
      </c>
      <c r="R291" s="62">
        <f t="shared" si="148"/>
        <v>16.548973288847996</v>
      </c>
      <c r="S291" s="62">
        <f t="shared" si="148"/>
        <v>16.548973288847996</v>
      </c>
    </row>
    <row r="292" spans="2:19">
      <c r="B292" t="s">
        <v>78</v>
      </c>
      <c r="I292" s="6">
        <f>I291/H291-1</f>
        <v>-5.7971014492753548E-2</v>
      </c>
      <c r="J292" s="34">
        <v>-0.02</v>
      </c>
      <c r="K292" s="34">
        <v>-0.08</v>
      </c>
      <c r="L292" s="34">
        <v>-0.02</v>
      </c>
      <c r="M292" s="34">
        <v>-0.02</v>
      </c>
      <c r="N292" s="34">
        <v>-0.01</v>
      </c>
      <c r="O292" s="34">
        <v>-0.01</v>
      </c>
      <c r="P292" s="34">
        <v>0</v>
      </c>
      <c r="Q292" s="34">
        <v>0</v>
      </c>
      <c r="R292" s="34">
        <v>0</v>
      </c>
      <c r="S292" s="34">
        <v>0</v>
      </c>
    </row>
    <row r="293" spans="2:19">
      <c r="B293" t="s">
        <v>365</v>
      </c>
      <c r="H293" s="36"/>
      <c r="I293" s="36">
        <v>34</v>
      </c>
      <c r="J293" s="62">
        <f t="shared" ref="J293:S293" si="149">(1+J294)*I293</f>
        <v>34</v>
      </c>
      <c r="K293" s="62">
        <f t="shared" si="149"/>
        <v>32.299999999999997</v>
      </c>
      <c r="L293" s="62">
        <f t="shared" si="149"/>
        <v>30.361999999999995</v>
      </c>
      <c r="M293" s="62">
        <f t="shared" si="149"/>
        <v>30.969239999999996</v>
      </c>
      <c r="N293" s="62">
        <f t="shared" si="149"/>
        <v>31.588624799999995</v>
      </c>
      <c r="O293" s="62">
        <f t="shared" si="149"/>
        <v>32.220397295999994</v>
      </c>
      <c r="P293" s="62">
        <f t="shared" si="149"/>
        <v>32.864805241919996</v>
      </c>
      <c r="Q293" s="62">
        <f t="shared" si="149"/>
        <v>33.522101346758397</v>
      </c>
      <c r="R293" s="62">
        <f t="shared" si="149"/>
        <v>34.192543373693567</v>
      </c>
      <c r="S293" s="62">
        <f t="shared" si="149"/>
        <v>34.876394241167439</v>
      </c>
    </row>
    <row r="294" spans="2:19">
      <c r="B294" t="s">
        <v>78</v>
      </c>
      <c r="I294" s="6"/>
      <c r="J294" s="34">
        <v>0</v>
      </c>
      <c r="K294" s="34">
        <v>-0.05</v>
      </c>
      <c r="L294" s="34">
        <v>-0.06</v>
      </c>
      <c r="M294" s="34">
        <v>0.02</v>
      </c>
      <c r="N294" s="34">
        <v>0.02</v>
      </c>
      <c r="O294" s="34">
        <v>0.02</v>
      </c>
      <c r="P294" s="34">
        <v>0.02</v>
      </c>
      <c r="Q294" s="34">
        <v>0.02</v>
      </c>
      <c r="R294" s="34">
        <v>0.02</v>
      </c>
      <c r="S294" s="34">
        <v>0.02</v>
      </c>
    </row>
    <row r="295" spans="2:19">
      <c r="B295" t="s">
        <v>366</v>
      </c>
      <c r="H295" s="36"/>
      <c r="I295" s="36">
        <v>35</v>
      </c>
      <c r="J295" s="62">
        <f t="shared" ref="J295:S295" si="150">(1+J296)*I295</f>
        <v>36.75</v>
      </c>
      <c r="K295" s="62">
        <f t="shared" si="150"/>
        <v>34.177499999999995</v>
      </c>
      <c r="L295" s="62">
        <f t="shared" si="150"/>
        <v>33.493949999999991</v>
      </c>
      <c r="M295" s="62">
        <f t="shared" si="150"/>
        <v>34.833707999999994</v>
      </c>
      <c r="N295" s="62">
        <f t="shared" si="150"/>
        <v>36.575393399999996</v>
      </c>
      <c r="O295" s="62">
        <f t="shared" si="150"/>
        <v>38.404163069999996</v>
      </c>
      <c r="P295" s="62">
        <f t="shared" si="150"/>
        <v>40.324371223499995</v>
      </c>
      <c r="Q295" s="62">
        <f t="shared" si="150"/>
        <v>42.340589784674997</v>
      </c>
      <c r="R295" s="62">
        <f t="shared" si="150"/>
        <v>44.457619273908747</v>
      </c>
      <c r="S295" s="62">
        <f t="shared" si="150"/>
        <v>46.680500237604186</v>
      </c>
    </row>
    <row r="296" spans="2:19">
      <c r="B296" t="s">
        <v>78</v>
      </c>
      <c r="I296" s="6"/>
      <c r="J296" s="34">
        <v>0.05</v>
      </c>
      <c r="K296" s="34">
        <v>-7.0000000000000007E-2</v>
      </c>
      <c r="L296" s="34">
        <v>-0.02</v>
      </c>
      <c r="M296" s="34">
        <v>0.04</v>
      </c>
      <c r="N296" s="34">
        <v>0.05</v>
      </c>
      <c r="O296" s="34">
        <v>0.05</v>
      </c>
      <c r="P296" s="34">
        <v>0.05</v>
      </c>
      <c r="Q296" s="34">
        <v>0.05</v>
      </c>
      <c r="R296" s="34">
        <v>0.05</v>
      </c>
      <c r="S296" s="34">
        <v>0.05</v>
      </c>
    </row>
    <row r="297" spans="2:19">
      <c r="B297" t="s">
        <v>367</v>
      </c>
      <c r="H297" s="36"/>
      <c r="I297" s="36">
        <v>29</v>
      </c>
      <c r="J297" s="62">
        <f t="shared" ref="J297:S297" si="151">(1+J298)*I297</f>
        <v>27.115000000000002</v>
      </c>
      <c r="K297" s="62">
        <f t="shared" si="151"/>
        <v>24.945800000000002</v>
      </c>
      <c r="L297" s="62">
        <f t="shared" si="151"/>
        <v>23.698510000000002</v>
      </c>
      <c r="M297" s="62">
        <f t="shared" si="151"/>
        <v>23.224539800000002</v>
      </c>
      <c r="N297" s="62">
        <f t="shared" si="151"/>
        <v>22.992294402000002</v>
      </c>
      <c r="O297" s="62">
        <f t="shared" si="151"/>
        <v>22.992294402000002</v>
      </c>
      <c r="P297" s="62">
        <f t="shared" si="151"/>
        <v>22.992294402000002</v>
      </c>
      <c r="Q297" s="62">
        <f t="shared" si="151"/>
        <v>22.992294402000002</v>
      </c>
      <c r="R297" s="62">
        <f t="shared" si="151"/>
        <v>22.992294402000002</v>
      </c>
      <c r="S297" s="62">
        <f t="shared" si="151"/>
        <v>22.992294402000002</v>
      </c>
    </row>
    <row r="298" spans="2:19">
      <c r="B298" t="s">
        <v>78</v>
      </c>
      <c r="I298" s="6"/>
      <c r="J298" s="34">
        <v>-6.5000000000000002E-2</v>
      </c>
      <c r="K298" s="34">
        <v>-0.08</v>
      </c>
      <c r="L298" s="34">
        <v>-0.05</v>
      </c>
      <c r="M298" s="34">
        <v>-0.02</v>
      </c>
      <c r="N298" s="34">
        <v>-0.01</v>
      </c>
      <c r="O298" s="34">
        <v>0</v>
      </c>
      <c r="P298" s="34">
        <v>0</v>
      </c>
      <c r="Q298" s="34">
        <v>0</v>
      </c>
      <c r="R298" s="34">
        <v>0</v>
      </c>
      <c r="S298" s="34">
        <v>0</v>
      </c>
    </row>
    <row r="299" spans="2:19">
      <c r="I299" s="6"/>
    </row>
    <row r="300" spans="2:19">
      <c r="B300" t="s">
        <v>8</v>
      </c>
      <c r="F300" s="12"/>
      <c r="I300" s="63">
        <f>SUM(Quarts!D453:G453)</f>
        <v>386.66666666666669</v>
      </c>
      <c r="J300" s="63">
        <f>SUM(Quarts!H453:L453)</f>
        <v>464</v>
      </c>
      <c r="K300" s="16">
        <f>K301*K279</f>
        <v>452.41003499999994</v>
      </c>
      <c r="L300" s="16">
        <f t="shared" ref="L300:S300" si="152">L301*L279</f>
        <v>451.03800000000001</v>
      </c>
      <c r="M300" s="16">
        <f t="shared" si="152"/>
        <v>469.66825379008912</v>
      </c>
      <c r="N300" s="16">
        <f t="shared" si="152"/>
        <v>491.67431715983679</v>
      </c>
      <c r="O300" s="16">
        <f t="shared" si="152"/>
        <v>514.91039997841028</v>
      </c>
      <c r="P300" s="16">
        <f t="shared" si="152"/>
        <v>545.29040752338744</v>
      </c>
      <c r="Q300" s="16">
        <f t="shared" si="152"/>
        <v>575.40707605789817</v>
      </c>
      <c r="R300" s="16">
        <f t="shared" si="152"/>
        <v>592.4197889578877</v>
      </c>
      <c r="S300" s="16">
        <f t="shared" si="152"/>
        <v>609.61579615908909</v>
      </c>
    </row>
    <row r="301" spans="2:19">
      <c r="B301" t="s">
        <v>251</v>
      </c>
      <c r="F301" s="6"/>
      <c r="G301" s="6"/>
      <c r="H301" s="6"/>
      <c r="I301" s="5">
        <f>I300/I279</f>
        <v>0.36790358388836031</v>
      </c>
      <c r="J301" s="5">
        <f>J300/J279</f>
        <v>0.42067089755213055</v>
      </c>
      <c r="K301" s="34">
        <v>0.42</v>
      </c>
      <c r="L301" s="34">
        <v>0.42</v>
      </c>
      <c r="M301" s="34">
        <v>0.42</v>
      </c>
      <c r="N301" s="34">
        <v>0.42499999999999999</v>
      </c>
      <c r="O301" s="34">
        <v>0.43</v>
      </c>
      <c r="P301" s="34">
        <v>0.44</v>
      </c>
      <c r="Q301" s="34">
        <v>0.45</v>
      </c>
      <c r="R301" s="34">
        <v>0.45</v>
      </c>
      <c r="S301" s="34">
        <v>0.45</v>
      </c>
    </row>
    <row r="302" spans="2:19">
      <c r="F302" s="6"/>
      <c r="G302" s="6"/>
      <c r="H302" s="6"/>
      <c r="I302" s="6"/>
      <c r="K302">
        <v>4</v>
      </c>
    </row>
    <row r="303" spans="2:19">
      <c r="B303" t="s">
        <v>19</v>
      </c>
      <c r="F303" s="6"/>
      <c r="G303" s="6"/>
      <c r="I303" s="63">
        <f>SUM(Quarts!D471:G471)</f>
        <v>314</v>
      </c>
      <c r="J303" s="63">
        <f>SUM(Quarts!H471:L471)</f>
        <v>268</v>
      </c>
      <c r="K303" s="16">
        <f>K304*K279</f>
        <v>204.66168249999998</v>
      </c>
      <c r="L303" s="16">
        <f t="shared" ref="L303:S303" si="153">L304*L279</f>
        <v>190.61725000000001</v>
      </c>
      <c r="M303" s="16">
        <f t="shared" si="153"/>
        <v>178.9212395390816</v>
      </c>
      <c r="N303" s="16">
        <f t="shared" si="153"/>
        <v>185.10091940135032</v>
      </c>
      <c r="O303" s="16">
        <f t="shared" si="153"/>
        <v>191.59456743382708</v>
      </c>
      <c r="P303" s="16">
        <f t="shared" si="153"/>
        <v>198.28742091759545</v>
      </c>
      <c r="Q303" s="16">
        <f t="shared" si="153"/>
        <v>204.58918259836381</v>
      </c>
      <c r="R303" s="16">
        <f t="shared" si="153"/>
        <v>210.63814718502672</v>
      </c>
      <c r="S303" s="16">
        <f t="shared" si="153"/>
        <v>216.75228307878723</v>
      </c>
    </row>
    <row r="304" spans="2:19">
      <c r="B304" t="s">
        <v>20</v>
      </c>
      <c r="F304" s="6"/>
      <c r="G304" s="6"/>
      <c r="H304" s="6"/>
      <c r="I304" s="5">
        <f>I303/I279</f>
        <v>0.29876308277830638</v>
      </c>
      <c r="J304" s="5">
        <f>J303/J279</f>
        <v>0.242973708068903</v>
      </c>
      <c r="K304" s="34">
        <v>0.19</v>
      </c>
      <c r="L304" s="34">
        <v>0.17749999999999999</v>
      </c>
      <c r="M304" s="34">
        <v>0.16</v>
      </c>
      <c r="N304" s="34">
        <v>0.16</v>
      </c>
      <c r="O304" s="34">
        <v>0.16</v>
      </c>
      <c r="P304" s="34">
        <v>0.16</v>
      </c>
      <c r="Q304" s="34">
        <v>0.16</v>
      </c>
      <c r="R304" s="34">
        <v>0.16</v>
      </c>
      <c r="S304" s="34">
        <v>0.16</v>
      </c>
    </row>
    <row r="305" spans="2:19">
      <c r="F305" s="6"/>
      <c r="G305" s="6"/>
      <c r="H305" s="6"/>
      <c r="I305" s="6"/>
      <c r="J305" s="6"/>
    </row>
    <row r="306" spans="2:19">
      <c r="B306" t="s">
        <v>27</v>
      </c>
      <c r="F306" s="6"/>
      <c r="G306" s="6"/>
      <c r="H306" s="16"/>
      <c r="I306" s="16">
        <f>I300-I303</f>
        <v>72.666666666666686</v>
      </c>
      <c r="J306" s="16">
        <f t="shared" ref="J306:S306" si="154">J300-J303</f>
        <v>196</v>
      </c>
      <c r="K306" s="16">
        <f t="shared" si="154"/>
        <v>247.74835249999995</v>
      </c>
      <c r="L306" s="16">
        <f t="shared" si="154"/>
        <v>260.42075</v>
      </c>
      <c r="M306" s="16">
        <f t="shared" si="154"/>
        <v>290.7470142510075</v>
      </c>
      <c r="N306" s="16">
        <f t="shared" si="154"/>
        <v>306.57339775848646</v>
      </c>
      <c r="O306" s="16">
        <f t="shared" si="154"/>
        <v>323.3158325445832</v>
      </c>
      <c r="P306" s="16">
        <f t="shared" si="154"/>
        <v>347.00298660579199</v>
      </c>
      <c r="Q306" s="16">
        <f t="shared" si="154"/>
        <v>370.81789345953439</v>
      </c>
      <c r="R306" s="16">
        <f t="shared" si="154"/>
        <v>381.78164177286101</v>
      </c>
      <c r="S306" s="16">
        <f t="shared" si="154"/>
        <v>392.86351308030186</v>
      </c>
    </row>
    <row r="307" spans="2:19">
      <c r="B307" t="s">
        <v>392</v>
      </c>
      <c r="F307" s="6"/>
      <c r="G307" s="6"/>
      <c r="H307" s="6"/>
      <c r="I307" s="34">
        <v>0.28000000000000003</v>
      </c>
      <c r="J307" s="34">
        <v>0.28000000000000003</v>
      </c>
      <c r="K307" s="34">
        <v>0.28000000000000003</v>
      </c>
      <c r="L307" s="34">
        <v>0.28000000000000003</v>
      </c>
      <c r="M307" s="34">
        <v>0.28000000000000003</v>
      </c>
      <c r="N307" s="34">
        <v>0.28000000000000003</v>
      </c>
      <c r="O307" s="34">
        <v>0.28000000000000003</v>
      </c>
      <c r="P307" s="34">
        <v>0.28000000000000003</v>
      </c>
      <c r="Q307" s="34">
        <v>0.28000000000000003</v>
      </c>
      <c r="R307" s="34">
        <v>0.28000000000000003</v>
      </c>
      <c r="S307" s="34">
        <v>0.28000000000000003</v>
      </c>
    </row>
    <row r="308" spans="2:19">
      <c r="B308" t="s">
        <v>377</v>
      </c>
      <c r="F308" s="6"/>
      <c r="G308" s="6"/>
      <c r="H308" s="16"/>
      <c r="I308" s="16">
        <f>(1-I307)*I306</f>
        <v>52.320000000000014</v>
      </c>
      <c r="J308" s="16">
        <f t="shared" ref="J308:S308" si="155">(1-J307)*J306</f>
        <v>141.12</v>
      </c>
      <c r="K308" s="16">
        <f t="shared" si="155"/>
        <v>178.37881379999996</v>
      </c>
      <c r="L308" s="16">
        <f t="shared" si="155"/>
        <v>187.50294</v>
      </c>
      <c r="M308" s="16">
        <f t="shared" si="155"/>
        <v>209.33785026072539</v>
      </c>
      <c r="N308" s="16">
        <f t="shared" si="155"/>
        <v>220.73284638611025</v>
      </c>
      <c r="O308" s="16">
        <f t="shared" si="155"/>
        <v>232.7873994320999</v>
      </c>
      <c r="P308" s="16">
        <f t="shared" si="155"/>
        <v>249.84215035617024</v>
      </c>
      <c r="Q308" s="16">
        <f t="shared" si="155"/>
        <v>266.98888329086475</v>
      </c>
      <c r="R308" s="16">
        <f t="shared" si="155"/>
        <v>274.88278207645993</v>
      </c>
      <c r="S308" s="16">
        <f t="shared" si="155"/>
        <v>282.86172941781734</v>
      </c>
    </row>
    <row r="309" spans="2:19">
      <c r="F309" s="6"/>
      <c r="G309" s="6"/>
      <c r="H309" s="16"/>
      <c r="I309" s="16"/>
      <c r="J309" s="16"/>
    </row>
    <row r="310" spans="2:19">
      <c r="B310" s="574" t="s">
        <v>4</v>
      </c>
      <c r="C310" s="574"/>
      <c r="D310" s="575">
        <f>D262</f>
        <v>40238</v>
      </c>
      <c r="E310" s="575">
        <f t="shared" ref="E310:S310" si="156">E262</f>
        <v>40603</v>
      </c>
      <c r="F310" s="575">
        <f t="shared" si="156"/>
        <v>40969</v>
      </c>
      <c r="G310" s="575">
        <f t="shared" si="156"/>
        <v>41334</v>
      </c>
      <c r="H310" s="575">
        <f t="shared" si="156"/>
        <v>41699</v>
      </c>
      <c r="I310" s="575">
        <f t="shared" si="156"/>
        <v>42064</v>
      </c>
      <c r="J310" s="575">
        <f t="shared" si="156"/>
        <v>42430</v>
      </c>
      <c r="K310" s="575">
        <f t="shared" si="156"/>
        <v>42705</v>
      </c>
      <c r="L310" s="575">
        <f t="shared" si="156"/>
        <v>43070</v>
      </c>
      <c r="M310" s="575">
        <f t="shared" si="156"/>
        <v>43435</v>
      </c>
      <c r="N310" s="575">
        <f t="shared" si="156"/>
        <v>43800</v>
      </c>
      <c r="O310" s="575">
        <f t="shared" si="156"/>
        <v>44166</v>
      </c>
      <c r="P310" s="575">
        <f t="shared" si="156"/>
        <v>44531</v>
      </c>
      <c r="Q310" s="575">
        <f t="shared" si="156"/>
        <v>44896</v>
      </c>
      <c r="R310" s="575">
        <f t="shared" si="156"/>
        <v>45261</v>
      </c>
      <c r="S310" s="575">
        <f t="shared" si="156"/>
        <v>45627</v>
      </c>
    </row>
    <row r="312" spans="2:19">
      <c r="B312" t="s">
        <v>15</v>
      </c>
      <c r="I312" s="63">
        <f>SUM(Quarts!D447:G447)</f>
        <v>-9.9314397649359307</v>
      </c>
      <c r="J312" s="63">
        <f>SUM(Quarts!H447:L447)</f>
        <v>-21</v>
      </c>
      <c r="K312" s="63">
        <f>SUM('New quarts'!K74:N74)</f>
        <v>-31.831500000000005</v>
      </c>
      <c r="L312" s="63">
        <f>SUM('New quarts'!O74:R74)</f>
        <v>-41.500000000000092</v>
      </c>
      <c r="M312" s="568">
        <f t="shared" ref="M312:S312" si="157">L312</f>
        <v>-41.500000000000092</v>
      </c>
      <c r="N312" s="568">
        <f t="shared" si="157"/>
        <v>-41.500000000000092</v>
      </c>
      <c r="O312" s="568">
        <f t="shared" si="157"/>
        <v>-41.500000000000092</v>
      </c>
      <c r="P312" s="568">
        <f t="shared" si="157"/>
        <v>-41.500000000000092</v>
      </c>
      <c r="Q312" s="568">
        <f t="shared" si="157"/>
        <v>-41.500000000000092</v>
      </c>
      <c r="R312" s="568">
        <f t="shared" si="157"/>
        <v>-41.500000000000092</v>
      </c>
      <c r="S312" s="568">
        <f t="shared" si="157"/>
        <v>-41.500000000000092</v>
      </c>
    </row>
    <row r="313" spans="2:19">
      <c r="B313" t="s">
        <v>78</v>
      </c>
      <c r="K313" s="5">
        <f>K312/J312-1</f>
        <v>0.51578571428571451</v>
      </c>
      <c r="L313" s="5">
        <f t="shared" ref="L313:S313" si="158">L312/K312-1</f>
        <v>0.3037400059689328</v>
      </c>
      <c r="M313" s="5">
        <f t="shared" si="158"/>
        <v>0</v>
      </c>
      <c r="N313" s="5">
        <f t="shared" si="158"/>
        <v>0</v>
      </c>
      <c r="O313" s="5">
        <f t="shared" si="158"/>
        <v>0</v>
      </c>
      <c r="P313" s="5">
        <f t="shared" si="158"/>
        <v>0</v>
      </c>
      <c r="Q313" s="5">
        <f t="shared" si="158"/>
        <v>0</v>
      </c>
      <c r="R313" s="5">
        <f t="shared" si="158"/>
        <v>0</v>
      </c>
      <c r="S313" s="5">
        <f t="shared" si="158"/>
        <v>0</v>
      </c>
    </row>
    <row r="315" spans="2:19">
      <c r="B315" t="s">
        <v>8</v>
      </c>
      <c r="I315" s="63">
        <f>SUM(Quarts!D456:G456)</f>
        <v>-25.810810810810864</v>
      </c>
      <c r="J315" s="63">
        <f>SUM(Quarts!H456:L456)</f>
        <v>-33</v>
      </c>
      <c r="K315" s="16">
        <f>Master!H68</f>
        <v>101.395</v>
      </c>
      <c r="L315" s="16">
        <f>Master!I68</f>
        <v>119.38500000000001</v>
      </c>
      <c r="M315" s="819">
        <f>L315*0.8</f>
        <v>95.50800000000001</v>
      </c>
      <c r="N315" s="819">
        <f t="shared" ref="N315:S315" si="159">M315*0.8</f>
        <v>76.406400000000005</v>
      </c>
      <c r="O315" s="819">
        <f t="shared" si="159"/>
        <v>61.12512000000001</v>
      </c>
      <c r="P315" s="819">
        <f t="shared" si="159"/>
        <v>48.900096000000012</v>
      </c>
      <c r="Q315" s="819">
        <f t="shared" si="159"/>
        <v>39.120076800000014</v>
      </c>
      <c r="R315" s="819">
        <f t="shared" si="159"/>
        <v>31.296061440000013</v>
      </c>
      <c r="S315" s="819">
        <f t="shared" si="159"/>
        <v>25.036849152000013</v>
      </c>
    </row>
    <row r="316" spans="2:19">
      <c r="B316" t="s">
        <v>251</v>
      </c>
      <c r="I316" s="5">
        <f>I315/I312</f>
        <v>2.598899195053153</v>
      </c>
      <c r="J316" s="5">
        <f>J315/J312</f>
        <v>1.5714285714285714</v>
      </c>
      <c r="K316" s="5">
        <f>K315/K312</f>
        <v>-3.1853666965113168</v>
      </c>
      <c r="L316" s="5">
        <f>L315/L312</f>
        <v>-2.8767469879518011</v>
      </c>
      <c r="M316" s="5">
        <f t="shared" ref="M316:S316" si="160">M315/M312</f>
        <v>-2.3013975903614408</v>
      </c>
      <c r="N316" s="5">
        <f t="shared" si="160"/>
        <v>-1.8411180722891527</v>
      </c>
      <c r="O316" s="5">
        <f t="shared" si="160"/>
        <v>-1.4728944578313223</v>
      </c>
      <c r="P316" s="5">
        <f t="shared" si="160"/>
        <v>-1.178315566265058</v>
      </c>
      <c r="Q316" s="5">
        <f t="shared" si="160"/>
        <v>-0.94265245301204648</v>
      </c>
      <c r="R316" s="5">
        <f t="shared" si="160"/>
        <v>-0.75412196240963725</v>
      </c>
      <c r="S316" s="5">
        <f t="shared" si="160"/>
        <v>-0.60329756992770978</v>
      </c>
    </row>
    <row r="317" spans="2:19">
      <c r="I317" s="5"/>
      <c r="J317" s="5"/>
      <c r="K317" s="5"/>
      <c r="L317" s="5"/>
      <c r="M317" s="5"/>
      <c r="N317" s="5"/>
      <c r="O317" s="5"/>
      <c r="P317" s="5"/>
      <c r="Q317" s="5"/>
      <c r="R317" s="5"/>
      <c r="S317" s="5"/>
    </row>
    <row r="318" spans="2:19">
      <c r="B318" t="s">
        <v>19</v>
      </c>
      <c r="I318" s="63">
        <f>SUM(Quarts!D474:G474)</f>
        <v>29.000000000000028</v>
      </c>
      <c r="J318" s="63">
        <f>SUM(Quarts!H474:L474)</f>
        <v>6</v>
      </c>
      <c r="K318" s="16">
        <f>Master!H115</f>
        <v>0</v>
      </c>
      <c r="L318" s="16">
        <f>Master!I115</f>
        <v>57.987000000000009</v>
      </c>
      <c r="M318" s="63">
        <f t="shared" ref="M318:S318" si="161">L318</f>
        <v>57.987000000000009</v>
      </c>
      <c r="N318" s="63">
        <f t="shared" si="161"/>
        <v>57.987000000000009</v>
      </c>
      <c r="O318" s="63">
        <f t="shared" si="161"/>
        <v>57.987000000000009</v>
      </c>
      <c r="P318" s="63">
        <f t="shared" si="161"/>
        <v>57.987000000000009</v>
      </c>
      <c r="Q318" s="63">
        <f t="shared" si="161"/>
        <v>57.987000000000009</v>
      </c>
      <c r="R318" s="63">
        <f t="shared" si="161"/>
        <v>57.987000000000009</v>
      </c>
      <c r="S318" s="63">
        <f t="shared" si="161"/>
        <v>57.987000000000009</v>
      </c>
    </row>
    <row r="319" spans="2:19">
      <c r="B319" t="s">
        <v>27</v>
      </c>
      <c r="I319" s="16">
        <f>I315-I318</f>
        <v>-54.810810810810892</v>
      </c>
      <c r="J319" s="16">
        <f>J315-J318</f>
        <v>-39</v>
      </c>
      <c r="K319" s="16">
        <f>K315-K318</f>
        <v>101.395</v>
      </c>
      <c r="L319" s="16">
        <f t="shared" ref="L319:S319" si="162">L315-L318</f>
        <v>61.397999999999996</v>
      </c>
      <c r="M319" s="16">
        <f t="shared" si="162"/>
        <v>37.521000000000001</v>
      </c>
      <c r="N319" s="16">
        <f t="shared" si="162"/>
        <v>18.419399999999996</v>
      </c>
      <c r="O319" s="16">
        <f t="shared" si="162"/>
        <v>3.1381200000000007</v>
      </c>
      <c r="P319" s="16">
        <f t="shared" si="162"/>
        <v>-9.086903999999997</v>
      </c>
      <c r="Q319" s="16">
        <f t="shared" si="162"/>
        <v>-18.866923199999995</v>
      </c>
      <c r="R319" s="16">
        <f t="shared" si="162"/>
        <v>-26.690938559999996</v>
      </c>
      <c r="S319" s="16">
        <f t="shared" si="162"/>
        <v>-32.950150847999993</v>
      </c>
    </row>
    <row r="320" spans="2:19">
      <c r="B320" t="s">
        <v>392</v>
      </c>
      <c r="I320" s="34">
        <v>0.28000000000000003</v>
      </c>
      <c r="J320" s="34">
        <v>0.28000000000000003</v>
      </c>
      <c r="K320" s="34">
        <v>0.28000000000000003</v>
      </c>
      <c r="L320" s="34">
        <v>0.28000000000000003</v>
      </c>
      <c r="M320" s="34">
        <v>0.28000000000000003</v>
      </c>
      <c r="N320" s="34">
        <v>0.28000000000000003</v>
      </c>
      <c r="O320" s="34">
        <v>0.28000000000000003</v>
      </c>
      <c r="P320" s="34">
        <v>0.28000000000000003</v>
      </c>
      <c r="Q320" s="34">
        <v>0.28000000000000003</v>
      </c>
      <c r="R320" s="34">
        <v>0.28000000000000003</v>
      </c>
      <c r="S320" s="34">
        <v>0.28000000000000003</v>
      </c>
    </row>
    <row r="321" spans="2:19">
      <c r="B321" t="s">
        <v>377</v>
      </c>
      <c r="I321" s="16">
        <f t="shared" ref="I321:S321" si="163">(1-I320)*I319</f>
        <v>-39.463783783783839</v>
      </c>
      <c r="J321" s="16">
        <f t="shared" si="163"/>
        <v>-28.08</v>
      </c>
      <c r="K321" s="16">
        <f t="shared" si="163"/>
        <v>73.00439999999999</v>
      </c>
      <c r="L321" s="16">
        <f t="shared" si="163"/>
        <v>44.206559999999996</v>
      </c>
      <c r="M321" s="16">
        <f t="shared" si="163"/>
        <v>27.01512</v>
      </c>
      <c r="N321" s="16">
        <f t="shared" si="163"/>
        <v>13.261967999999996</v>
      </c>
      <c r="O321" s="16">
        <f t="shared" si="163"/>
        <v>2.2594464000000003</v>
      </c>
      <c r="P321" s="16">
        <f t="shared" si="163"/>
        <v>-6.5425708799999978</v>
      </c>
      <c r="Q321" s="16">
        <f t="shared" si="163"/>
        <v>-13.584184703999997</v>
      </c>
      <c r="R321" s="16">
        <f t="shared" si="163"/>
        <v>-19.217475763199996</v>
      </c>
      <c r="S321" s="16">
        <f t="shared" si="163"/>
        <v>-23.724108610559995</v>
      </c>
    </row>
    <row r="322" spans="2:19">
      <c r="I322" s="5"/>
      <c r="J322" s="5"/>
      <c r="K322" s="5"/>
      <c r="L322" s="5"/>
      <c r="M322" s="5"/>
      <c r="N322" s="5"/>
      <c r="O322" s="5"/>
      <c r="P322" s="5"/>
      <c r="Q322" s="5"/>
      <c r="R322" s="5"/>
      <c r="S322" s="5"/>
    </row>
    <row r="323" spans="2:19">
      <c r="B323" s="574" t="s">
        <v>399</v>
      </c>
      <c r="C323" s="574"/>
      <c r="D323" s="575">
        <f>D310</f>
        <v>40238</v>
      </c>
      <c r="E323" s="575">
        <f t="shared" ref="E323:S323" si="164">E310</f>
        <v>40603</v>
      </c>
      <c r="F323" s="575">
        <f t="shared" si="164"/>
        <v>40969</v>
      </c>
      <c r="G323" s="575">
        <f t="shared" si="164"/>
        <v>41334</v>
      </c>
      <c r="H323" s="575">
        <f t="shared" si="164"/>
        <v>41699</v>
      </c>
      <c r="I323" s="575">
        <f t="shared" si="164"/>
        <v>42064</v>
      </c>
      <c r="J323" s="575">
        <f t="shared" si="164"/>
        <v>42430</v>
      </c>
      <c r="K323" s="575">
        <f t="shared" si="164"/>
        <v>42705</v>
      </c>
      <c r="L323" s="575">
        <f t="shared" si="164"/>
        <v>43070</v>
      </c>
      <c r="M323" s="575">
        <f t="shared" si="164"/>
        <v>43435</v>
      </c>
      <c r="N323" s="575">
        <f t="shared" si="164"/>
        <v>43800</v>
      </c>
      <c r="O323" s="575">
        <f t="shared" si="164"/>
        <v>44166</v>
      </c>
      <c r="P323" s="575">
        <f t="shared" si="164"/>
        <v>44531</v>
      </c>
      <c r="Q323" s="575">
        <f t="shared" si="164"/>
        <v>44896</v>
      </c>
      <c r="R323" s="575">
        <f t="shared" si="164"/>
        <v>45261</v>
      </c>
      <c r="S323" s="575">
        <f t="shared" si="164"/>
        <v>45627</v>
      </c>
    </row>
    <row r="324" spans="2:19">
      <c r="I324" s="5"/>
      <c r="J324" s="5"/>
      <c r="K324" s="5"/>
      <c r="L324" s="5"/>
      <c r="M324" s="5"/>
      <c r="N324" s="5"/>
      <c r="O324" s="5"/>
      <c r="P324" s="5"/>
      <c r="Q324" s="5"/>
      <c r="R324" s="5"/>
      <c r="S324" s="5"/>
    </row>
    <row r="325" spans="2:19">
      <c r="B325" t="s">
        <v>8</v>
      </c>
      <c r="I325" s="63">
        <v>0</v>
      </c>
      <c r="J325" s="63">
        <v>47</v>
      </c>
      <c r="K325" s="568">
        <v>115</v>
      </c>
      <c r="L325" s="568">
        <v>125</v>
      </c>
      <c r="M325" s="568">
        <v>125</v>
      </c>
      <c r="N325" s="568">
        <v>125</v>
      </c>
      <c r="O325" s="568">
        <v>125</v>
      </c>
      <c r="P325" s="568">
        <v>125</v>
      </c>
      <c r="Q325" s="568">
        <v>125</v>
      </c>
      <c r="R325" s="568">
        <v>125</v>
      </c>
      <c r="S325" s="568">
        <v>125</v>
      </c>
    </row>
    <row r="326" spans="2:19">
      <c r="K326" s="568"/>
      <c r="L326" s="568"/>
      <c r="M326" s="568"/>
      <c r="N326" s="568"/>
      <c r="O326" s="568"/>
      <c r="P326" s="568"/>
      <c r="Q326" s="568"/>
      <c r="R326" s="568"/>
      <c r="S326" s="568"/>
    </row>
    <row r="327" spans="2:19">
      <c r="B327" t="s">
        <v>2074</v>
      </c>
      <c r="I327" s="486">
        <f t="shared" ref="I327:S327" si="165">I20+I121+I162+I249+I279+I312</f>
        <v>2330.0685602350641</v>
      </c>
      <c r="J327" s="486">
        <f t="shared" si="165"/>
        <v>2379</v>
      </c>
      <c r="K327" s="486">
        <f t="shared" si="165"/>
        <v>2340.5</v>
      </c>
      <c r="L327" s="486">
        <f t="shared" si="165"/>
        <v>2322.6999999999998</v>
      </c>
      <c r="M327" s="486">
        <f t="shared" si="165"/>
        <v>2313.5819693192598</v>
      </c>
      <c r="N327" s="486">
        <f t="shared" si="165"/>
        <v>2358.1889396719234</v>
      </c>
      <c r="O327" s="486">
        <f t="shared" si="165"/>
        <v>2430.8622707748482</v>
      </c>
      <c r="P327" s="486">
        <f t="shared" si="165"/>
        <v>2509.860650542546</v>
      </c>
      <c r="Q327" s="486">
        <f t="shared" si="165"/>
        <v>2588.3301398520507</v>
      </c>
      <c r="R327" s="486">
        <f t="shared" si="165"/>
        <v>2667.2481857520756</v>
      </c>
      <c r="S327" s="486">
        <f t="shared" si="165"/>
        <v>2748.7215668735294</v>
      </c>
    </row>
    <row r="328" spans="2:19">
      <c r="B328" t="s">
        <v>2073</v>
      </c>
      <c r="I328" s="486">
        <f t="shared" ref="I328:S328" si="166">I41+I142+I165+I252+I300+I315</f>
        <v>855.85585585585591</v>
      </c>
      <c r="J328" s="486">
        <f t="shared" si="166"/>
        <v>950</v>
      </c>
      <c r="K328" s="486">
        <f t="shared" si="166"/>
        <v>1069.6830675714284</v>
      </c>
      <c r="L328" s="486">
        <f t="shared" si="166"/>
        <v>1066.5981428571429</v>
      </c>
      <c r="M328" s="486">
        <f t="shared" si="166"/>
        <v>1049.566483940089</v>
      </c>
      <c r="N328" s="486">
        <f t="shared" si="166"/>
        <v>1061.6008103407578</v>
      </c>
      <c r="O328" s="486">
        <f t="shared" si="166"/>
        <v>1087.3265571503987</v>
      </c>
      <c r="P328" s="486">
        <f t="shared" si="166"/>
        <v>1121.452348889349</v>
      </c>
      <c r="Q328" s="486">
        <f t="shared" si="166"/>
        <v>1158.6040715712702</v>
      </c>
      <c r="R328" s="486">
        <f t="shared" si="166"/>
        <v>1185.5015533438934</v>
      </c>
      <c r="S328" s="486">
        <f t="shared" si="166"/>
        <v>1215.0931231816951</v>
      </c>
    </row>
    <row r="329" spans="2:19">
      <c r="B329" t="s">
        <v>251</v>
      </c>
      <c r="I329" s="6">
        <f>I328/I327</f>
        <v>0.36730930173553122</v>
      </c>
      <c r="J329" s="6">
        <f t="shared" ref="J329:S329" si="167">J328/J327</f>
        <v>0.39932744850777635</v>
      </c>
      <c r="K329" s="6">
        <f t="shared" si="167"/>
        <v>0.45703185967589338</v>
      </c>
      <c r="L329" s="6">
        <f t="shared" si="167"/>
        <v>0.45920615785815772</v>
      </c>
      <c r="M329" s="6">
        <f t="shared" si="167"/>
        <v>0.45365433248466652</v>
      </c>
      <c r="N329" s="6">
        <f t="shared" si="167"/>
        <v>0.45017631644411416</v>
      </c>
      <c r="O329" s="6">
        <f t="shared" si="167"/>
        <v>0.44730076657276369</v>
      </c>
      <c r="P329" s="6">
        <f t="shared" si="167"/>
        <v>0.44681857084254034</v>
      </c>
      <c r="Q329" s="6">
        <f t="shared" si="167"/>
        <v>0.44762607896591433</v>
      </c>
      <c r="R329" s="6">
        <f t="shared" si="167"/>
        <v>0.44446615792134142</v>
      </c>
      <c r="S329" s="6">
        <f t="shared" si="167"/>
        <v>0.44205755061753127</v>
      </c>
    </row>
    <row r="330" spans="2:19">
      <c r="F330" s="6"/>
      <c r="G330" s="6"/>
      <c r="H330" s="16"/>
      <c r="I330" s="16"/>
      <c r="J330" s="16"/>
    </row>
    <row r="331" spans="2:19">
      <c r="B331" t="s">
        <v>2075</v>
      </c>
      <c r="F331" s="6"/>
      <c r="G331" s="6"/>
      <c r="H331" s="16"/>
      <c r="I331" s="486">
        <f>I328-I325</f>
        <v>855.85585585585591</v>
      </c>
      <c r="J331" s="486">
        <f t="shared" ref="J331:S331" si="168">J328-J325</f>
        <v>903</v>
      </c>
      <c r="K331" s="486">
        <f t="shared" si="168"/>
        <v>954.68306757142841</v>
      </c>
      <c r="L331" s="486">
        <f t="shared" si="168"/>
        <v>941.59814285714288</v>
      </c>
      <c r="M331" s="486">
        <f t="shared" si="168"/>
        <v>924.56648394008903</v>
      </c>
      <c r="N331" s="486">
        <f t="shared" si="168"/>
        <v>936.60081034075779</v>
      </c>
      <c r="O331" s="486">
        <f t="shared" si="168"/>
        <v>962.32655715039868</v>
      </c>
      <c r="P331" s="486">
        <f t="shared" si="168"/>
        <v>996.45234888934897</v>
      </c>
      <c r="Q331" s="486">
        <f t="shared" si="168"/>
        <v>1033.6040715712702</v>
      </c>
      <c r="R331" s="486">
        <f t="shared" si="168"/>
        <v>1060.5015533438934</v>
      </c>
      <c r="S331" s="486">
        <f t="shared" si="168"/>
        <v>1090.0931231816951</v>
      </c>
    </row>
    <row r="332" spans="2:19">
      <c r="B332" t="s">
        <v>251</v>
      </c>
      <c r="F332" s="6"/>
      <c r="G332" s="6"/>
      <c r="H332" s="16"/>
      <c r="I332" s="6">
        <f>I331/I327</f>
        <v>0.36730930173553122</v>
      </c>
      <c r="J332" s="6">
        <f t="shared" ref="J332:S332" si="169">J331/J327</f>
        <v>0.37957124842370743</v>
      </c>
      <c r="K332" s="6">
        <f t="shared" si="169"/>
        <v>0.40789705941953786</v>
      </c>
      <c r="L332" s="6">
        <f t="shared" si="169"/>
        <v>0.40538947899304384</v>
      </c>
      <c r="M332" s="6">
        <f t="shared" si="169"/>
        <v>0.39962555733961319</v>
      </c>
      <c r="N332" s="6">
        <f t="shared" si="169"/>
        <v>0.39716953742945627</v>
      </c>
      <c r="O332" s="6">
        <f t="shared" si="169"/>
        <v>0.39587868416899358</v>
      </c>
      <c r="P332" s="6">
        <f t="shared" si="169"/>
        <v>0.39701500904998455</v>
      </c>
      <c r="Q332" s="6">
        <f t="shared" si="169"/>
        <v>0.39933239413977967</v>
      </c>
      <c r="R332" s="6">
        <f t="shared" si="169"/>
        <v>0.39760137770788928</v>
      </c>
      <c r="S332" s="6">
        <f t="shared" si="169"/>
        <v>0.3965818642088208</v>
      </c>
    </row>
    <row r="333" spans="2:19">
      <c r="F333" s="6"/>
      <c r="G333" s="6"/>
      <c r="H333" s="16"/>
      <c r="I333" s="6"/>
      <c r="J333" s="6"/>
      <c r="K333" s="6"/>
      <c r="L333" s="6"/>
      <c r="M333" s="6"/>
      <c r="N333" s="6"/>
      <c r="O333" s="6"/>
      <c r="P333" s="6"/>
      <c r="Q333" s="6"/>
      <c r="R333" s="6"/>
      <c r="S333" s="6"/>
    </row>
    <row r="334" spans="2:19">
      <c r="F334" s="6"/>
      <c r="G334" s="6"/>
      <c r="H334" s="16"/>
      <c r="I334" s="16"/>
      <c r="J334" s="16"/>
      <c r="K334">
        <v>2016</v>
      </c>
      <c r="L334">
        <f>K334+1</f>
        <v>2017</v>
      </c>
      <c r="M334">
        <f>L334+1</f>
        <v>2018</v>
      </c>
    </row>
    <row r="335" spans="2:19">
      <c r="B335" s="68" t="s">
        <v>377</v>
      </c>
      <c r="C335" s="68"/>
      <c r="D335" s="69"/>
      <c r="E335" s="69"/>
      <c r="F335" s="69"/>
      <c r="G335" s="69"/>
      <c r="H335" s="69"/>
      <c r="I335" s="69"/>
      <c r="J335" s="69">
        <f t="shared" ref="J335:S335" si="170">J222</f>
        <v>42430</v>
      </c>
      <c r="K335" s="69">
        <f t="shared" si="170"/>
        <v>42795</v>
      </c>
      <c r="L335" s="69">
        <f t="shared" si="170"/>
        <v>43160</v>
      </c>
      <c r="M335" s="69">
        <f t="shared" si="170"/>
        <v>43525</v>
      </c>
      <c r="N335" s="69">
        <f t="shared" si="170"/>
        <v>43891</v>
      </c>
      <c r="O335" s="69">
        <f t="shared" si="170"/>
        <v>44256</v>
      </c>
      <c r="P335" s="69">
        <f t="shared" si="170"/>
        <v>44621</v>
      </c>
      <c r="Q335" s="69">
        <f t="shared" si="170"/>
        <v>44986</v>
      </c>
      <c r="R335" s="69">
        <f t="shared" si="170"/>
        <v>45352</v>
      </c>
      <c r="S335" s="69">
        <f t="shared" si="170"/>
        <v>45717</v>
      </c>
    </row>
    <row r="336" spans="2:19" ht="15.75">
      <c r="B336" s="53" t="s">
        <v>0</v>
      </c>
      <c r="J336" s="28">
        <f t="shared" ref="J336:S336" si="171">J49</f>
        <v>111</v>
      </c>
      <c r="K336" s="28">
        <f t="shared" si="171"/>
        <v>91.839404624999986</v>
      </c>
      <c r="L336" s="28">
        <f t="shared" si="171"/>
        <v>93.72</v>
      </c>
      <c r="M336" s="28">
        <f t="shared" si="171"/>
        <v>96.266249999999985</v>
      </c>
      <c r="N336" s="28">
        <f t="shared" si="171"/>
        <v>96.488861433878085</v>
      </c>
      <c r="O336" s="28">
        <f t="shared" si="171"/>
        <v>102.72168882447764</v>
      </c>
      <c r="P336" s="28">
        <f t="shared" si="171"/>
        <v>109.19236334543631</v>
      </c>
      <c r="Q336" s="28">
        <f t="shared" si="171"/>
        <v>111.1834071929657</v>
      </c>
      <c r="R336" s="28">
        <f t="shared" si="171"/>
        <v>113.26347275461877</v>
      </c>
      <c r="S336" s="28">
        <f t="shared" si="171"/>
        <v>115.43601655983016</v>
      </c>
    </row>
    <row r="337" spans="2:19" ht="15.75">
      <c r="B337" s="53" t="s">
        <v>1781</v>
      </c>
      <c r="J337" s="28">
        <f>J308</f>
        <v>141.12</v>
      </c>
      <c r="K337" s="28">
        <f t="shared" ref="K337:S337" si="172">K308</f>
        <v>178.37881379999996</v>
      </c>
      <c r="L337" s="28">
        <f t="shared" si="172"/>
        <v>187.50294</v>
      </c>
      <c r="M337" s="28">
        <f t="shared" si="172"/>
        <v>209.33785026072539</v>
      </c>
      <c r="N337" s="28">
        <f t="shared" si="172"/>
        <v>220.73284638611025</v>
      </c>
      <c r="O337" s="28">
        <f t="shared" si="172"/>
        <v>232.7873994320999</v>
      </c>
      <c r="P337" s="28">
        <f t="shared" si="172"/>
        <v>249.84215035617024</v>
      </c>
      <c r="Q337" s="28">
        <f t="shared" si="172"/>
        <v>266.98888329086475</v>
      </c>
      <c r="R337" s="28">
        <f t="shared" si="172"/>
        <v>274.88278207645993</v>
      </c>
      <c r="S337" s="28">
        <f t="shared" si="172"/>
        <v>282.86172941781734</v>
      </c>
    </row>
    <row r="338" spans="2:19" ht="15.75">
      <c r="B338" s="53" t="s">
        <v>2</v>
      </c>
      <c r="J338" s="28">
        <f t="shared" ref="J338:S338" si="173">J150</f>
        <v>45.9</v>
      </c>
      <c r="K338" s="28">
        <f t="shared" si="173"/>
        <v>43.833600000000011</v>
      </c>
      <c r="L338" s="28">
        <f t="shared" si="173"/>
        <v>42.330599999999997</v>
      </c>
      <c r="M338" s="28">
        <f t="shared" si="173"/>
        <v>35.036999999999992</v>
      </c>
      <c r="N338" s="28">
        <f t="shared" si="173"/>
        <v>30.578964378542448</v>
      </c>
      <c r="O338" s="28">
        <f t="shared" si="173"/>
        <v>32.369794466562773</v>
      </c>
      <c r="P338" s="28">
        <f t="shared" si="173"/>
        <v>36.599427509464043</v>
      </c>
      <c r="Q338" s="28">
        <f t="shared" si="173"/>
        <v>37.019099662615091</v>
      </c>
      <c r="R338" s="28">
        <f t="shared" si="173"/>
        <v>37.438792304256808</v>
      </c>
      <c r="S338" s="28">
        <f t="shared" si="173"/>
        <v>37.860280709864703</v>
      </c>
    </row>
    <row r="339" spans="2:19" ht="15.75">
      <c r="B339" s="53" t="s">
        <v>3</v>
      </c>
      <c r="J339" s="28">
        <f t="shared" ref="J339:S339" si="174">J173</f>
        <v>6.6999999999999993</v>
      </c>
      <c r="K339" s="28">
        <f t="shared" si="174"/>
        <v>6.8767859128571418</v>
      </c>
      <c r="L339" s="28">
        <f t="shared" si="174"/>
        <v>9.0484457142857124</v>
      </c>
      <c r="M339" s="28">
        <f t="shared" si="174"/>
        <v>10.304492158139997</v>
      </c>
      <c r="N339" s="28">
        <f t="shared" si="174"/>
        <v>10.346763715096367</v>
      </c>
      <c r="O339" s="28">
        <f t="shared" si="174"/>
        <v>10.393197318616119</v>
      </c>
      <c r="P339" s="28">
        <f t="shared" si="174"/>
        <v>10.443677554273904</v>
      </c>
      <c r="Q339" s="28">
        <f t="shared" si="174"/>
        <v>10.498096303877857</v>
      </c>
      <c r="R339" s="28">
        <f t="shared" si="174"/>
        <v>10.55635240788569</v>
      </c>
      <c r="S339" s="28">
        <f t="shared" si="174"/>
        <v>10.618351345211728</v>
      </c>
    </row>
    <row r="340" spans="2:19" ht="15.75">
      <c r="B340" s="53" t="s">
        <v>52</v>
      </c>
      <c r="J340" s="28">
        <f>J260</f>
        <v>40.32</v>
      </c>
      <c r="K340" s="28">
        <f t="shared" ref="K340:S340" si="175">K260</f>
        <v>49.576319999999996</v>
      </c>
      <c r="L340" s="28">
        <f t="shared" si="175"/>
        <v>56.90016</v>
      </c>
      <c r="M340" s="28">
        <f>M260</f>
        <v>68.039999999999992</v>
      </c>
      <c r="N340" s="28">
        <f t="shared" si="175"/>
        <v>77.464800000000011</v>
      </c>
      <c r="O340" s="28">
        <f t="shared" si="175"/>
        <v>87.775632000000002</v>
      </c>
      <c r="P340" s="28">
        <f t="shared" si="175"/>
        <v>93.042169920000021</v>
      </c>
      <c r="Q340" s="28">
        <f t="shared" si="175"/>
        <v>98.624700115200042</v>
      </c>
      <c r="R340" s="28">
        <f t="shared" si="175"/>
        <v>104.54218212211204</v>
      </c>
      <c r="S340" s="28">
        <f t="shared" si="175"/>
        <v>110.81471304943878</v>
      </c>
    </row>
    <row r="341" spans="2:19" ht="15.75">
      <c r="B341" s="53" t="s">
        <v>4</v>
      </c>
      <c r="J341" s="28">
        <f>J321</f>
        <v>-28.08</v>
      </c>
      <c r="K341" s="28">
        <f t="shared" ref="K341:S341" si="176">K321</f>
        <v>73.00439999999999</v>
      </c>
      <c r="L341" s="28">
        <f t="shared" si="176"/>
        <v>44.206559999999996</v>
      </c>
      <c r="M341" s="28">
        <f t="shared" si="176"/>
        <v>27.01512</v>
      </c>
      <c r="N341" s="28">
        <f t="shared" si="176"/>
        <v>13.261967999999996</v>
      </c>
      <c r="O341" s="28">
        <f t="shared" si="176"/>
        <v>2.2594464000000003</v>
      </c>
      <c r="P341" s="28">
        <f t="shared" si="176"/>
        <v>-6.5425708799999978</v>
      </c>
      <c r="Q341" s="28">
        <f t="shared" si="176"/>
        <v>-13.584184703999997</v>
      </c>
      <c r="R341" s="28">
        <f t="shared" si="176"/>
        <v>-19.217475763199996</v>
      </c>
      <c r="S341" s="28">
        <f t="shared" si="176"/>
        <v>-23.724108610559995</v>
      </c>
    </row>
    <row r="342" spans="2:19" ht="15.75">
      <c r="B342" s="53" t="s">
        <v>399</v>
      </c>
      <c r="I342" s="16"/>
      <c r="J342" s="16">
        <f t="shared" ref="J342:S342" si="177">(1-J320)*J325</f>
        <v>33.839999999999996</v>
      </c>
      <c r="K342" s="16">
        <f t="shared" si="177"/>
        <v>82.8</v>
      </c>
      <c r="L342" s="16">
        <f t="shared" si="177"/>
        <v>90</v>
      </c>
      <c r="M342" s="16">
        <f t="shared" si="177"/>
        <v>90</v>
      </c>
      <c r="N342" s="16">
        <f t="shared" si="177"/>
        <v>90</v>
      </c>
      <c r="O342" s="16">
        <f t="shared" si="177"/>
        <v>90</v>
      </c>
      <c r="P342" s="16">
        <f t="shared" si="177"/>
        <v>90</v>
      </c>
      <c r="Q342" s="16">
        <f t="shared" si="177"/>
        <v>90</v>
      </c>
      <c r="R342" s="16">
        <f t="shared" si="177"/>
        <v>90</v>
      </c>
      <c r="S342" s="16">
        <f t="shared" si="177"/>
        <v>90</v>
      </c>
    </row>
    <row r="343" spans="2:19" ht="15.75">
      <c r="B343" s="53"/>
      <c r="C343" s="28"/>
      <c r="D343" s="72"/>
      <c r="E343" s="28"/>
      <c r="F343" s="28"/>
      <c r="G343" s="73"/>
      <c r="H343" s="72"/>
      <c r="I343" s="72"/>
      <c r="J343" s="73"/>
      <c r="K343" s="74"/>
      <c r="L343" s="53"/>
    </row>
    <row r="344" spans="2:19" ht="15.75">
      <c r="B344" s="70" t="s">
        <v>378</v>
      </c>
      <c r="C344" s="71" t="s">
        <v>379</v>
      </c>
      <c r="D344" s="71" t="s">
        <v>380</v>
      </c>
      <c r="E344" s="71" t="s">
        <v>381</v>
      </c>
      <c r="F344" s="71" t="s">
        <v>67</v>
      </c>
      <c r="G344" s="71" t="s">
        <v>382</v>
      </c>
      <c r="H344" s="71" t="s">
        <v>383</v>
      </c>
      <c r="I344" s="71" t="s">
        <v>384</v>
      </c>
      <c r="J344" s="71" t="s">
        <v>385</v>
      </c>
      <c r="K344" s="71" t="s">
        <v>386</v>
      </c>
      <c r="L344" s="71" t="s">
        <v>378</v>
      </c>
    </row>
    <row r="345" spans="2:19" ht="15.75">
      <c r="B345" s="53" t="str">
        <f t="shared" ref="B345:B350" si="178">B336</f>
        <v>Panama</v>
      </c>
      <c r="C345" s="75">
        <v>0.05</v>
      </c>
      <c r="D345" s="75">
        <v>0.02</v>
      </c>
      <c r="E345" s="76">
        <f t="shared" ref="E345:E350" si="179">C345+D345</f>
        <v>7.0000000000000007E-2</v>
      </c>
      <c r="F345" s="75">
        <v>0.28000000000000003</v>
      </c>
      <c r="G345" s="48">
        <f t="shared" ref="G345:G350" si="180">E345*(1-F345)</f>
        <v>5.04E-2</v>
      </c>
      <c r="H345" s="72">
        <v>0.04</v>
      </c>
      <c r="I345" s="74">
        <v>1.2</v>
      </c>
      <c r="J345" s="76">
        <f t="shared" ref="J345:J350" si="181">C345+H345*I345</f>
        <v>9.8000000000000004E-2</v>
      </c>
      <c r="K345" s="72">
        <v>0.3</v>
      </c>
      <c r="L345" s="76">
        <f t="shared" ref="L345:L350" si="182">G345*K345+J345*(1-K345)</f>
        <v>8.3719999999999989E-2</v>
      </c>
    </row>
    <row r="346" spans="2:19" ht="15.75">
      <c r="B346" s="53" t="str">
        <f t="shared" si="178"/>
        <v>New Caribbean</v>
      </c>
      <c r="C346" s="75">
        <v>0.05</v>
      </c>
      <c r="D346" s="75">
        <v>0.01</v>
      </c>
      <c r="E346" s="76">
        <f t="shared" si="179"/>
        <v>6.0000000000000005E-2</v>
      </c>
      <c r="F346" s="75">
        <v>0.28000000000000003</v>
      </c>
      <c r="G346" s="48">
        <f t="shared" si="180"/>
        <v>4.3200000000000002E-2</v>
      </c>
      <c r="H346" s="72">
        <v>0.04</v>
      </c>
      <c r="I346" s="74">
        <v>1.2</v>
      </c>
      <c r="J346" s="76">
        <f t="shared" si="181"/>
        <v>9.8000000000000004E-2</v>
      </c>
      <c r="K346" s="72">
        <v>0.3</v>
      </c>
      <c r="L346" s="76">
        <f t="shared" si="182"/>
        <v>8.1559999999999994E-2</v>
      </c>
    </row>
    <row r="347" spans="2:19" ht="15.75">
      <c r="B347" s="53" t="str">
        <f t="shared" si="178"/>
        <v>BTC</v>
      </c>
      <c r="C347" s="75">
        <v>0.05</v>
      </c>
      <c r="D347" s="75">
        <v>0.01</v>
      </c>
      <c r="E347" s="76">
        <f t="shared" si="179"/>
        <v>6.0000000000000005E-2</v>
      </c>
      <c r="F347" s="75">
        <v>0.28000000000000003</v>
      </c>
      <c r="G347" s="48">
        <f t="shared" si="180"/>
        <v>4.3200000000000002E-2</v>
      </c>
      <c r="H347" s="72">
        <v>0.04</v>
      </c>
      <c r="I347" s="74">
        <v>1.2</v>
      </c>
      <c r="J347" s="76">
        <f t="shared" si="181"/>
        <v>9.8000000000000004E-2</v>
      </c>
      <c r="K347" s="72">
        <v>0.3</v>
      </c>
      <c r="L347" s="76">
        <f t="shared" si="182"/>
        <v>8.1559999999999994E-2</v>
      </c>
    </row>
    <row r="348" spans="2:19" ht="15.75">
      <c r="B348" s="53" t="str">
        <f t="shared" si="178"/>
        <v>Seychelles</v>
      </c>
      <c r="C348" s="75">
        <v>0.05</v>
      </c>
      <c r="D348" s="75">
        <v>0.01</v>
      </c>
      <c r="E348" s="76">
        <f t="shared" si="179"/>
        <v>6.0000000000000005E-2</v>
      </c>
      <c r="F348" s="75">
        <v>0.28000000000000003</v>
      </c>
      <c r="G348" s="48">
        <f t="shared" si="180"/>
        <v>4.3200000000000002E-2</v>
      </c>
      <c r="H348" s="72">
        <v>0.04</v>
      </c>
      <c r="I348" s="74">
        <v>1.2</v>
      </c>
      <c r="J348" s="76">
        <f t="shared" si="181"/>
        <v>9.8000000000000004E-2</v>
      </c>
      <c r="K348" s="72">
        <v>0.3</v>
      </c>
      <c r="L348" s="76">
        <f t="shared" si="182"/>
        <v>8.1559999999999994E-2</v>
      </c>
    </row>
    <row r="349" spans="2:19" ht="15.75">
      <c r="B349" s="53" t="str">
        <f t="shared" si="178"/>
        <v>Networks</v>
      </c>
      <c r="C349" s="75">
        <v>0.05</v>
      </c>
      <c r="D349" s="75">
        <v>0.02</v>
      </c>
      <c r="E349" s="76">
        <f t="shared" si="179"/>
        <v>7.0000000000000007E-2</v>
      </c>
      <c r="F349" s="75">
        <v>0.28000000000000003</v>
      </c>
      <c r="G349" s="48">
        <f t="shared" si="180"/>
        <v>5.04E-2</v>
      </c>
      <c r="H349" s="72">
        <v>0.04</v>
      </c>
      <c r="I349" s="74">
        <v>1.2</v>
      </c>
      <c r="J349" s="76">
        <f t="shared" si="181"/>
        <v>9.8000000000000004E-2</v>
      </c>
      <c r="K349" s="72">
        <v>0.3</v>
      </c>
      <c r="L349" s="76">
        <f t="shared" si="182"/>
        <v>8.3719999999999989E-2</v>
      </c>
    </row>
    <row r="350" spans="2:19" ht="15.75">
      <c r="B350" s="53" t="str">
        <f t="shared" si="178"/>
        <v>Other</v>
      </c>
      <c r="C350" s="75">
        <v>0.05</v>
      </c>
      <c r="D350" s="75">
        <v>0.02</v>
      </c>
      <c r="E350" s="76">
        <f t="shared" si="179"/>
        <v>7.0000000000000007E-2</v>
      </c>
      <c r="F350" s="75">
        <v>0.28000000000000003</v>
      </c>
      <c r="G350" s="48">
        <f t="shared" si="180"/>
        <v>5.04E-2</v>
      </c>
      <c r="H350" s="72">
        <v>0.04</v>
      </c>
      <c r="I350" s="74">
        <v>1.2</v>
      </c>
      <c r="J350" s="76">
        <f t="shared" si="181"/>
        <v>9.8000000000000004E-2</v>
      </c>
      <c r="K350" s="72">
        <v>0.3</v>
      </c>
      <c r="L350" s="76">
        <f t="shared" si="182"/>
        <v>8.3719999999999989E-2</v>
      </c>
    </row>
    <row r="351" spans="2:19" ht="15.75">
      <c r="B351" s="53"/>
      <c r="C351" s="53"/>
      <c r="D351" s="53"/>
      <c r="E351" s="53"/>
      <c r="F351" s="53"/>
      <c r="G351" s="53"/>
      <c r="H351" s="53"/>
      <c r="I351" s="53"/>
      <c r="J351" s="53"/>
      <c r="K351" s="53"/>
      <c r="L351" s="53"/>
      <c r="M351" s="53"/>
    </row>
    <row r="352" spans="2:19" ht="15.75">
      <c r="B352" s="53" t="str">
        <f>B342</f>
        <v>Synergies</v>
      </c>
      <c r="C352" s="75">
        <v>0.05</v>
      </c>
      <c r="D352" s="75">
        <v>0.01</v>
      </c>
      <c r="E352" s="76">
        <f>C352+D352</f>
        <v>6.0000000000000005E-2</v>
      </c>
      <c r="F352" s="75">
        <v>0.28000000000000003</v>
      </c>
      <c r="G352" s="48">
        <f>E352*(1-F352)</f>
        <v>4.3200000000000002E-2</v>
      </c>
      <c r="H352" s="72">
        <v>0.04</v>
      </c>
      <c r="I352" s="74">
        <v>1.2</v>
      </c>
      <c r="J352" s="76">
        <f>C352+H352*I352</f>
        <v>9.8000000000000004E-2</v>
      </c>
      <c r="K352" s="72">
        <v>0.3</v>
      </c>
      <c r="L352" s="76">
        <f>G352*K352+J352*(1-K352)</f>
        <v>8.1559999999999994E-2</v>
      </c>
    </row>
    <row r="353" spans="2:12" ht="15.75">
      <c r="B353" s="53"/>
      <c r="C353" s="76"/>
      <c r="D353" s="76"/>
      <c r="E353" s="76"/>
      <c r="F353" s="29"/>
      <c r="G353" s="72"/>
      <c r="H353" s="74"/>
      <c r="I353" s="76"/>
      <c r="J353" s="72"/>
      <c r="K353" s="76"/>
      <c r="L353" s="53"/>
    </row>
    <row r="354" spans="2:12" ht="15.75">
      <c r="B354" s="70" t="s">
        <v>331</v>
      </c>
      <c r="C354" s="71" t="s">
        <v>387</v>
      </c>
      <c r="D354" s="71" t="s">
        <v>388</v>
      </c>
      <c r="E354" s="71" t="s">
        <v>389</v>
      </c>
      <c r="F354" s="71" t="s">
        <v>390</v>
      </c>
      <c r="G354" s="71" t="s">
        <v>331</v>
      </c>
      <c r="H354" s="77"/>
      <c r="I354" s="77"/>
      <c r="J354" s="77"/>
      <c r="K354" s="74"/>
      <c r="L354" s="53"/>
    </row>
    <row r="355" spans="2:12" ht="15.75">
      <c r="B355" s="53" t="str">
        <f t="shared" ref="B355:B360" si="183">B345</f>
        <v>Panama</v>
      </c>
      <c r="C355" s="28">
        <f t="shared" ref="C355:C360" si="184">NPV($L345,O336:S336)</f>
        <v>434.45410056542033</v>
      </c>
      <c r="D355" s="75">
        <v>0.02</v>
      </c>
      <c r="E355" s="28">
        <f t="shared" ref="E355:E360" si="185">S336/(L345-D355)</f>
        <v>1811.6135681078185</v>
      </c>
      <c r="F355" s="28">
        <f t="shared" ref="F355:F360" si="186">E355/((1+L345)^5)</f>
        <v>1211.9372191212412</v>
      </c>
      <c r="G355" s="73">
        <f t="shared" ref="G355:G361" si="187">F355+C355</f>
        <v>1646.3913196866615</v>
      </c>
      <c r="H355" s="72"/>
      <c r="I355" s="72"/>
      <c r="J355" s="73"/>
      <c r="K355" s="74"/>
      <c r="L355" s="53"/>
    </row>
    <row r="356" spans="2:12" ht="15.75">
      <c r="B356" s="53" t="str">
        <f t="shared" si="183"/>
        <v>New Caribbean</v>
      </c>
      <c r="C356" s="28">
        <f t="shared" si="184"/>
        <v>1031.8539746640222</v>
      </c>
      <c r="D356" s="75">
        <v>0.01</v>
      </c>
      <c r="E356" s="28">
        <f t="shared" si="185"/>
        <v>3952.7910762691076</v>
      </c>
      <c r="F356" s="28">
        <f t="shared" si="186"/>
        <v>2670.8578530985906</v>
      </c>
      <c r="G356" s="73">
        <f t="shared" si="187"/>
        <v>3702.7118277626128</v>
      </c>
      <c r="H356" s="72"/>
      <c r="I356" s="72"/>
      <c r="J356" s="73"/>
      <c r="K356" s="74"/>
      <c r="L356" s="53"/>
    </row>
    <row r="357" spans="2:12" ht="15.75">
      <c r="B357" s="53" t="str">
        <f t="shared" si="183"/>
        <v>BTC</v>
      </c>
      <c r="C357" s="28">
        <f t="shared" si="184"/>
        <v>143.41842299718263</v>
      </c>
      <c r="D357" s="75">
        <v>0.01</v>
      </c>
      <c r="E357" s="28">
        <f t="shared" si="185"/>
        <v>529.07044032790247</v>
      </c>
      <c r="F357" s="28">
        <f t="shared" si="186"/>
        <v>357.48713077086114</v>
      </c>
      <c r="G357" s="73">
        <f t="shared" si="187"/>
        <v>500.90555376804377</v>
      </c>
      <c r="H357" s="72"/>
      <c r="I357" s="72"/>
      <c r="J357" s="73"/>
      <c r="K357" s="74"/>
      <c r="L357" s="53"/>
    </row>
    <row r="358" spans="2:12" ht="15.75">
      <c r="B358" s="53" t="str">
        <f t="shared" si="183"/>
        <v>Seychelles</v>
      </c>
      <c r="C358" s="28">
        <f t="shared" si="184"/>
        <v>41.724397524055419</v>
      </c>
      <c r="D358" s="75">
        <v>1.7500000000000002E-2</v>
      </c>
      <c r="E358" s="28">
        <f t="shared" si="185"/>
        <v>165.75634319718591</v>
      </c>
      <c r="F358" s="28">
        <f t="shared" si="186"/>
        <v>111.99975470167479</v>
      </c>
      <c r="G358" s="73">
        <f t="shared" si="187"/>
        <v>153.72415222573022</v>
      </c>
      <c r="H358" s="72"/>
      <c r="I358" s="72"/>
      <c r="J358" s="73"/>
      <c r="K358" s="74"/>
      <c r="L358" s="53"/>
    </row>
    <row r="359" spans="2:12" ht="15.75">
      <c r="B359" s="53" t="str">
        <f t="shared" si="183"/>
        <v>Networks</v>
      </c>
      <c r="C359" s="28">
        <f t="shared" si="184"/>
        <v>387.62976255109902</v>
      </c>
      <c r="D359" s="75">
        <v>0.02</v>
      </c>
      <c r="E359" s="28">
        <f t="shared" si="185"/>
        <v>1739.088403161312</v>
      </c>
      <c r="F359" s="28">
        <f t="shared" si="186"/>
        <v>1163.4191751691951</v>
      </c>
      <c r="G359" s="73">
        <f t="shared" si="187"/>
        <v>1551.0489377202941</v>
      </c>
    </row>
    <row r="360" spans="2:12" ht="15.75">
      <c r="B360" s="53" t="str">
        <f t="shared" si="183"/>
        <v>Other</v>
      </c>
      <c r="C360" s="28">
        <f t="shared" si="184"/>
        <v>-43.962227890033652</v>
      </c>
      <c r="D360" s="75">
        <v>0.01</v>
      </c>
      <c r="E360" s="28">
        <f t="shared" si="185"/>
        <v>-321.81373590016273</v>
      </c>
      <c r="F360" s="28">
        <f t="shared" si="186"/>
        <v>-215.28765903935246</v>
      </c>
      <c r="G360" s="73">
        <f t="shared" si="187"/>
        <v>-259.24988692938609</v>
      </c>
    </row>
    <row r="361" spans="2:12" ht="15.75">
      <c r="B361" s="53" t="str">
        <f>B352</f>
        <v>Synergies</v>
      </c>
      <c r="C361" s="28">
        <f>NPV($L352,O342:S342)</f>
        <v>357.87127036944378</v>
      </c>
      <c r="D361" s="75">
        <v>0</v>
      </c>
      <c r="E361" s="28">
        <f>S342/(L352-D361)</f>
        <v>1103.4820990681708</v>
      </c>
      <c r="F361" s="28">
        <f>E361/((1+L352)^5)</f>
        <v>745.61082869872655</v>
      </c>
      <c r="G361" s="73">
        <f t="shared" si="187"/>
        <v>1103.4820990681703</v>
      </c>
      <c r="H361" s="523"/>
    </row>
    <row r="363" spans="2:12">
      <c r="B363" t="s">
        <v>29</v>
      </c>
    </row>
    <row r="364" spans="2:12">
      <c r="B364" t="s">
        <v>5</v>
      </c>
    </row>
    <row r="365" spans="2:12">
      <c r="B365" t="s">
        <v>389</v>
      </c>
    </row>
    <row r="366" spans="2:12">
      <c r="B366" t="s">
        <v>1567</v>
      </c>
    </row>
  </sheetData>
  <pageMargins left="0.70866141732283472" right="0.70866141732283472" top="0.74803149606299213" bottom="0.74803149606299213" header="0.31496062992125984" footer="0.31496062992125984"/>
  <pageSetup paperSize="9" scale="27" fitToHeight="2"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4:H42"/>
  <sheetViews>
    <sheetView workbookViewId="0">
      <selection activeCell="J33" sqref="J33"/>
    </sheetView>
  </sheetViews>
  <sheetFormatPr defaultRowHeight="15"/>
  <cols>
    <col min="4" max="4" width="10.85546875" bestFit="1" customWidth="1"/>
    <col min="5" max="5" width="10.85546875" customWidth="1"/>
  </cols>
  <sheetData>
    <row r="4" spans="4:7">
      <c r="D4" s="3" t="s">
        <v>5</v>
      </c>
      <c r="E4" s="3"/>
      <c r="F4" s="32">
        <f>Master!E39</f>
        <v>41639</v>
      </c>
      <c r="G4" s="32">
        <f>Master!F39</f>
        <v>42004</v>
      </c>
    </row>
    <row r="5" spans="4:7">
      <c r="D5" t="s">
        <v>0</v>
      </c>
      <c r="F5">
        <f>SUM(Quarts!K6:L6)</f>
        <v>336</v>
      </c>
      <c r="G5">
        <f>SUM(Quarts!V6:W6)</f>
        <v>351</v>
      </c>
    </row>
    <row r="6" spans="4:7">
      <c r="D6" t="s">
        <v>1</v>
      </c>
      <c r="F6">
        <f>SUM(Quarts!K12:L12)</f>
        <v>273</v>
      </c>
      <c r="G6">
        <f>SUM(Quarts!V12:W12)</f>
        <v>299</v>
      </c>
    </row>
    <row r="7" spans="4:7">
      <c r="D7" t="s">
        <v>2</v>
      </c>
      <c r="F7">
        <f>SUM(Quarts!K24:L24)</f>
        <v>258</v>
      </c>
      <c r="G7">
        <f>SUM(Quarts!V24:W24)</f>
        <v>250</v>
      </c>
    </row>
    <row r="8" spans="4:7">
      <c r="D8" s="3" t="s">
        <v>3</v>
      </c>
      <c r="E8" s="3"/>
      <c r="F8" s="3">
        <f>SUM(Quarts!K30:L30)</f>
        <v>31</v>
      </c>
      <c r="G8" s="3">
        <f>SUM(Quarts!V30:W30)</f>
        <v>29</v>
      </c>
    </row>
    <row r="9" spans="4:7">
      <c r="D9" t="s">
        <v>16</v>
      </c>
      <c r="F9">
        <f>SUM(F5:F8)</f>
        <v>898</v>
      </c>
      <c r="G9">
        <f>SUM(G5:G8)</f>
        <v>929</v>
      </c>
    </row>
    <row r="10" spans="4:7">
      <c r="D10" s="8" t="s">
        <v>343</v>
      </c>
      <c r="E10" s="8"/>
      <c r="F10" s="61">
        <f>F9/F$38</f>
        <v>0.53167554766133807</v>
      </c>
      <c r="G10" s="61">
        <f>G9/G$38</f>
        <v>0.48461137193531562</v>
      </c>
    </row>
    <row r="12" spans="4:7">
      <c r="D12" s="3" t="s">
        <v>342</v>
      </c>
      <c r="E12" s="3"/>
      <c r="F12" s="32">
        <f>F4</f>
        <v>41639</v>
      </c>
      <c r="G12" s="32">
        <f>G4</f>
        <v>42004</v>
      </c>
    </row>
    <row r="13" spans="4:7">
      <c r="D13" t="str">
        <f>D5</f>
        <v>Panama</v>
      </c>
      <c r="F13">
        <f>SUM(Quarts!K7:L7)</f>
        <v>64</v>
      </c>
      <c r="G13">
        <f>SUM(Quarts!V7:W7)</f>
        <v>69</v>
      </c>
    </row>
    <row r="14" spans="4:7">
      <c r="D14" t="str">
        <f>D6</f>
        <v>LIME</v>
      </c>
      <c r="F14">
        <f>SUM(Quarts!K13:L13)</f>
        <v>105</v>
      </c>
      <c r="G14">
        <f>SUM(Quarts!V13:W13)</f>
        <v>242</v>
      </c>
    </row>
    <row r="15" spans="4:7">
      <c r="D15" t="str">
        <f>D7</f>
        <v>BTC</v>
      </c>
      <c r="F15">
        <f>SUM(Quarts!K25:L25)</f>
        <v>15</v>
      </c>
      <c r="G15">
        <f>SUM(Quarts!V25:W25)</f>
        <v>15</v>
      </c>
    </row>
    <row r="16" spans="4:7">
      <c r="D16" s="3" t="str">
        <f>D8</f>
        <v>Seychelles</v>
      </c>
      <c r="E16" s="3"/>
      <c r="F16" s="3">
        <f>SUM(Quarts!K31:L31)</f>
        <v>10</v>
      </c>
      <c r="G16" s="3">
        <f>SUM(Quarts!V31:W31)</f>
        <v>11</v>
      </c>
    </row>
    <row r="17" spans="4:7">
      <c r="D17" t="s">
        <v>16</v>
      </c>
      <c r="F17">
        <f>SUM(F13:F16)</f>
        <v>194</v>
      </c>
      <c r="G17">
        <f>SUM(G13:G16)</f>
        <v>337</v>
      </c>
    </row>
    <row r="18" spans="4:7">
      <c r="D18" s="8" t="s">
        <v>343</v>
      </c>
      <c r="E18" s="8"/>
      <c r="F18" s="61">
        <f>F17/F$38</f>
        <v>0.11486086441681469</v>
      </c>
      <c r="G18" s="61">
        <f>G17/G$38</f>
        <v>0.17579551382368283</v>
      </c>
    </row>
    <row r="19" spans="4:7">
      <c r="G19" t="s">
        <v>72</v>
      </c>
    </row>
    <row r="20" spans="4:7">
      <c r="D20" s="3" t="s">
        <v>7</v>
      </c>
      <c r="E20" s="3"/>
      <c r="F20" s="32">
        <f>F12</f>
        <v>41639</v>
      </c>
      <c r="G20" s="32">
        <f>G12</f>
        <v>42004</v>
      </c>
    </row>
    <row r="21" spans="4:7">
      <c r="D21" t="str">
        <f>D13</f>
        <v>Panama</v>
      </c>
      <c r="F21">
        <f>SUM(Quarts!K8:L8)</f>
        <v>113</v>
      </c>
      <c r="G21">
        <f>SUM(Quarts!V8:W8)</f>
        <v>106</v>
      </c>
    </row>
    <row r="22" spans="4:7">
      <c r="D22" t="str">
        <f>D14</f>
        <v>LIME</v>
      </c>
      <c r="F22">
        <f>SUM(Quarts!K14:L14)</f>
        <v>207</v>
      </c>
      <c r="G22">
        <f>SUM(Quarts!V14:W14)</f>
        <v>196</v>
      </c>
    </row>
    <row r="23" spans="4:7">
      <c r="D23" t="str">
        <f>D15</f>
        <v>BTC</v>
      </c>
      <c r="F23">
        <f>SUM(Quarts!K26:L26)</f>
        <v>45</v>
      </c>
      <c r="G23">
        <f>SUM(Quarts!V26:W26)</f>
        <v>49</v>
      </c>
    </row>
    <row r="24" spans="4:7">
      <c r="D24" s="3" t="str">
        <f>D16</f>
        <v>Seychelles</v>
      </c>
      <c r="E24" s="3"/>
      <c r="F24" s="3">
        <f>SUM(Quarts!K32:L32)</f>
        <v>9</v>
      </c>
      <c r="G24" s="3">
        <f>SUM(Quarts!V32:W32)</f>
        <v>8</v>
      </c>
    </row>
    <row r="25" spans="4:7">
      <c r="D25" t="s">
        <v>16</v>
      </c>
      <c r="F25">
        <f>SUM(F21:F24)</f>
        <v>374</v>
      </c>
      <c r="G25">
        <f>SUM(G21:G24)</f>
        <v>359</v>
      </c>
    </row>
    <row r="26" spans="4:7">
      <c r="D26" s="8" t="s">
        <v>343</v>
      </c>
      <c r="E26" s="8"/>
      <c r="F26" s="61">
        <f>F25/F$38</f>
        <v>0.22143280047365305</v>
      </c>
      <c r="G26" s="61">
        <f>G25/G$38</f>
        <v>0.1872717788210746</v>
      </c>
    </row>
    <row r="27" spans="4:7">
      <c r="D27" s="8"/>
      <c r="E27" s="8"/>
      <c r="F27" s="61"/>
      <c r="G27" s="61"/>
    </row>
    <row r="28" spans="4:7">
      <c r="D28" s="3" t="s">
        <v>4</v>
      </c>
      <c r="E28" s="3"/>
      <c r="F28" s="32">
        <f>F20</f>
        <v>41639</v>
      </c>
      <c r="G28" s="32">
        <f>G20</f>
        <v>42004</v>
      </c>
    </row>
    <row r="29" spans="4:7">
      <c r="D29" t="str">
        <f>D21</f>
        <v>Panama</v>
      </c>
      <c r="F29">
        <f>SUM(Quarts!K9:L9)</f>
        <v>63</v>
      </c>
      <c r="G29">
        <f>SUM(Quarts!V9:W9)</f>
        <v>110</v>
      </c>
    </row>
    <row r="30" spans="4:7">
      <c r="D30" t="str">
        <f>D22</f>
        <v>LIME</v>
      </c>
      <c r="F30">
        <f>SUM(Quarts!K15:L15)</f>
        <v>106</v>
      </c>
      <c r="G30">
        <f>SUM(Quarts!V15:W15)</f>
        <v>144</v>
      </c>
    </row>
    <row r="31" spans="4:7">
      <c r="D31" t="str">
        <f>D23</f>
        <v>BTC</v>
      </c>
      <c r="F31">
        <f>SUM(Quarts!K27:L27)</f>
        <v>36</v>
      </c>
      <c r="G31">
        <f>SUM(Quarts!V27:W27)</f>
        <v>34</v>
      </c>
    </row>
    <row r="32" spans="4:7">
      <c r="D32" s="3" t="str">
        <f>D24</f>
        <v>Seychelles</v>
      </c>
      <c r="E32" s="3"/>
      <c r="F32" s="3">
        <f>SUM(Quarts!K33:L33)</f>
        <v>3</v>
      </c>
      <c r="G32" s="3">
        <f>SUM(Quarts!V33:W33)</f>
        <v>4</v>
      </c>
    </row>
    <row r="33" spans="4:8">
      <c r="D33" t="s">
        <v>16</v>
      </c>
      <c r="F33">
        <f>SUM(F29:F32)</f>
        <v>208</v>
      </c>
      <c r="G33">
        <f>SUM(G29:G32)</f>
        <v>292</v>
      </c>
    </row>
    <row r="34" spans="4:8">
      <c r="D34" s="8" t="s">
        <v>343</v>
      </c>
      <c r="E34" s="8"/>
      <c r="F34" s="61">
        <f>F33/F$38</f>
        <v>0.123149792776791</v>
      </c>
      <c r="G34" s="61">
        <f>G33/G$38</f>
        <v>0.15232133541992696</v>
      </c>
    </row>
    <row r="35" spans="4:8">
      <c r="D35" s="8"/>
      <c r="E35" s="8"/>
      <c r="F35" s="61"/>
      <c r="G35" s="61"/>
    </row>
    <row r="36" spans="4:8">
      <c r="D36" t="s">
        <v>4</v>
      </c>
      <c r="F36">
        <f>SUM(Quarts!K43:L43)</f>
        <v>15</v>
      </c>
      <c r="G36">
        <f>SUM(Quarts!V43:W43)</f>
        <v>0</v>
      </c>
    </row>
    <row r="38" spans="4:8">
      <c r="D38" t="s">
        <v>16</v>
      </c>
      <c r="F38">
        <f>F9+F17+F25+F33+F36</f>
        <v>1689</v>
      </c>
      <c r="G38">
        <f>G9+G17+G25+G33+G36</f>
        <v>1917</v>
      </c>
    </row>
    <row r="40" spans="4:8">
      <c r="D40" t="s">
        <v>358</v>
      </c>
    </row>
    <row r="42" spans="4:8">
      <c r="D42" t="s">
        <v>32</v>
      </c>
      <c r="H42" t="s">
        <v>359</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11575-DB3A-462B-9D0A-4C79524C8EB7}">
  <dimension ref="A1:AJ263"/>
  <sheetViews>
    <sheetView showGridLines="0" topLeftCell="A7" zoomScale="72" zoomScaleNormal="72" workbookViewId="0"/>
  </sheetViews>
  <sheetFormatPr defaultRowHeight="15" outlineLevelRow="1" outlineLevelCol="1"/>
  <cols>
    <col min="1" max="1" width="3.7109375" customWidth="1"/>
    <col min="2" max="2" width="38.7109375" customWidth="1"/>
    <col min="3" max="3" width="9.140625" hidden="1" customWidth="1" outlineLevel="1"/>
    <col min="4" max="6" width="8.85546875" hidden="1" customWidth="1" outlineLevel="1"/>
    <col min="7" max="7" width="9.140625" hidden="1" customWidth="1" outlineLevel="1"/>
    <col min="8" max="8" width="8.85546875" hidden="1" customWidth="1" outlineLevel="1"/>
    <col min="9" max="9" width="8.85546875" collapsed="1"/>
  </cols>
  <sheetData>
    <row r="1" spans="2:20">
      <c r="B1" s="1207"/>
      <c r="C1" s="1207"/>
      <c r="D1" s="1207"/>
      <c r="E1" s="1207"/>
      <c r="F1" s="1207"/>
      <c r="G1" s="1207"/>
      <c r="H1" s="1207"/>
      <c r="I1" s="1207"/>
      <c r="J1" s="1207"/>
      <c r="K1" s="1207"/>
      <c r="L1" s="1207"/>
      <c r="M1" s="1207"/>
      <c r="N1" s="1207"/>
      <c r="O1" s="1207"/>
      <c r="P1" s="1207"/>
      <c r="Q1" s="1207"/>
      <c r="R1" s="1207"/>
      <c r="S1" s="1207"/>
      <c r="T1" s="1207"/>
    </row>
    <row r="2" spans="2:20">
      <c r="B2" s="1210" t="s">
        <v>4049</v>
      </c>
      <c r="C2" s="1210">
        <v>2015</v>
      </c>
      <c r="D2" s="1210">
        <v>2016</v>
      </c>
      <c r="E2" s="1210">
        <v>2017</v>
      </c>
      <c r="F2" s="1210">
        <f>E2+1</f>
        <v>2018</v>
      </c>
      <c r="G2" s="1210">
        <f>F2+1</f>
        <v>2019</v>
      </c>
      <c r="H2" s="1210">
        <f t="shared" ref="H2:P2" si="0">G2+1</f>
        <v>2020</v>
      </c>
      <c r="I2" s="1210">
        <f t="shared" si="0"/>
        <v>2021</v>
      </c>
      <c r="J2" s="1210">
        <f t="shared" si="0"/>
        <v>2022</v>
      </c>
      <c r="K2" s="1210">
        <f t="shared" si="0"/>
        <v>2023</v>
      </c>
      <c r="L2" s="1210">
        <f t="shared" si="0"/>
        <v>2024</v>
      </c>
      <c r="M2" s="1210">
        <f t="shared" si="0"/>
        <v>2025</v>
      </c>
      <c r="N2" s="1210">
        <f t="shared" si="0"/>
        <v>2026</v>
      </c>
      <c r="O2" s="1210">
        <f t="shared" si="0"/>
        <v>2027</v>
      </c>
      <c r="P2" s="1210">
        <f t="shared" si="0"/>
        <v>2028</v>
      </c>
      <c r="Q2" s="1210">
        <f>P2+1</f>
        <v>2029</v>
      </c>
      <c r="R2" s="1210">
        <f>Q2+1</f>
        <v>2030</v>
      </c>
    </row>
    <row r="3" spans="2:20">
      <c r="B3" s="1208" t="s">
        <v>468</v>
      </c>
      <c r="C3" s="1208"/>
      <c r="D3" s="1207"/>
      <c r="E3" s="1207"/>
      <c r="F3" s="1207"/>
      <c r="G3" s="1207"/>
      <c r="H3" s="1207"/>
      <c r="I3" s="1207"/>
      <c r="J3" s="1207"/>
      <c r="K3" s="1207"/>
      <c r="L3" s="1207"/>
      <c r="M3" s="1207"/>
      <c r="N3" s="1207"/>
      <c r="O3" s="1207"/>
      <c r="P3" s="1207"/>
      <c r="Q3" s="1207"/>
      <c r="R3" s="1207"/>
    </row>
    <row r="4" spans="2:20">
      <c r="B4" s="1207"/>
      <c r="C4" s="1207"/>
      <c r="D4" s="1207"/>
      <c r="E4" s="1207"/>
      <c r="F4" s="1207"/>
      <c r="G4" s="1207"/>
      <c r="H4" s="1207"/>
      <c r="I4" s="1207"/>
      <c r="J4" s="1207"/>
      <c r="K4" s="1207"/>
      <c r="L4" s="1207"/>
      <c r="M4" s="1207"/>
      <c r="N4" s="1207"/>
      <c r="O4" s="1207"/>
      <c r="P4" s="1207"/>
      <c r="Q4" s="1207"/>
      <c r="R4" s="1207"/>
    </row>
    <row r="5" spans="2:20">
      <c r="B5" s="1207" t="s">
        <v>557</v>
      </c>
      <c r="C5" s="1280">
        <v>3061.5</v>
      </c>
      <c r="D5" s="1280">
        <v>3216.6</v>
      </c>
      <c r="E5" s="1280">
        <v>3394.7</v>
      </c>
      <c r="F5" s="1280">
        <v>3517.7</v>
      </c>
      <c r="G5" s="1280">
        <v>3699</v>
      </c>
      <c r="H5" s="1280">
        <f>'LiLAC valuation'!AG224</f>
        <v>3848.6</v>
      </c>
      <c r="I5" s="1280">
        <f>'LiLAC valuation'!AK224</f>
        <v>4175.8999999999996</v>
      </c>
      <c r="J5" s="1271">
        <f>I5+J6</f>
        <v>4475.8999999999996</v>
      </c>
      <c r="K5" s="1271">
        <f t="shared" ref="K5:P5" si="1">J5+K6</f>
        <v>4650.8999999999996</v>
      </c>
      <c r="L5" s="1271">
        <f t="shared" si="1"/>
        <v>4700.8999999999996</v>
      </c>
      <c r="M5" s="1271">
        <f t="shared" si="1"/>
        <v>4710.8999999999996</v>
      </c>
      <c r="N5" s="1271">
        <f t="shared" si="1"/>
        <v>4720.8999999999996</v>
      </c>
      <c r="O5" s="1271">
        <f t="shared" si="1"/>
        <v>4730.8999999999996</v>
      </c>
      <c r="P5" s="1271">
        <f t="shared" si="1"/>
        <v>4740.8999999999996</v>
      </c>
      <c r="Q5" s="1271">
        <f>P5+Q6</f>
        <v>4750.8999999999996</v>
      </c>
      <c r="R5" s="1271">
        <f>Q5+R6</f>
        <v>4760.8999999999996</v>
      </c>
    </row>
    <row r="6" spans="2:20">
      <c r="B6" s="1207" t="s">
        <v>4047</v>
      </c>
      <c r="C6" s="1207"/>
      <c r="D6" s="1213">
        <f t="shared" ref="D6:I6" si="2">D5-C5</f>
        <v>155.09999999999991</v>
      </c>
      <c r="E6" s="1213">
        <f t="shared" si="2"/>
        <v>178.09999999999991</v>
      </c>
      <c r="F6" s="1213">
        <f t="shared" si="2"/>
        <v>123</v>
      </c>
      <c r="G6" s="1213">
        <f t="shared" si="2"/>
        <v>181.30000000000018</v>
      </c>
      <c r="H6" s="1213">
        <f t="shared" si="2"/>
        <v>149.59999999999991</v>
      </c>
      <c r="I6" s="1213">
        <f t="shared" si="2"/>
        <v>327.29999999999973</v>
      </c>
      <c r="J6" s="1281">
        <v>300</v>
      </c>
      <c r="K6" s="1281">
        <v>175</v>
      </c>
      <c r="L6" s="1281">
        <v>50</v>
      </c>
      <c r="M6" s="1281">
        <v>10</v>
      </c>
      <c r="N6" s="1281">
        <v>10</v>
      </c>
      <c r="O6" s="1281">
        <v>10</v>
      </c>
      <c r="P6" s="1281">
        <v>10</v>
      </c>
      <c r="Q6" s="1281">
        <v>10</v>
      </c>
      <c r="R6" s="1281">
        <v>10</v>
      </c>
    </row>
    <row r="7" spans="2:20">
      <c r="B7" s="1207"/>
      <c r="C7" s="1207"/>
      <c r="D7" s="1213"/>
      <c r="E7" s="1213"/>
      <c r="F7" s="1213"/>
      <c r="G7" s="1207"/>
      <c r="H7" s="1207"/>
      <c r="I7" s="1271"/>
      <c r="J7" s="1207"/>
      <c r="K7" s="1207"/>
      <c r="L7" s="1207"/>
      <c r="M7" s="1207"/>
      <c r="N7" s="1207"/>
      <c r="O7" s="1207"/>
      <c r="P7" s="1207"/>
      <c r="Q7" s="1207"/>
      <c r="R7" s="1207"/>
    </row>
    <row r="8" spans="2:20">
      <c r="B8" s="1207" t="s">
        <v>2302</v>
      </c>
      <c r="C8" s="1280">
        <v>2545.1</v>
      </c>
      <c r="D8" s="1280">
        <v>2710.5</v>
      </c>
      <c r="E8" s="1280">
        <v>2912.8</v>
      </c>
      <c r="F8" s="1280">
        <v>3062.7</v>
      </c>
      <c r="G8" s="1280">
        <v>3264.3</v>
      </c>
      <c r="H8" s="1280">
        <f>'LiLAC valuation'!AG225</f>
        <v>3424.7</v>
      </c>
      <c r="I8" s="1280">
        <f>'LiLAC valuation'!AK225</f>
        <v>3809.3</v>
      </c>
      <c r="J8" s="1271">
        <f t="shared" ref="J8:P8" si="3">J5-J9</f>
        <v>4129.3</v>
      </c>
      <c r="K8" s="1271">
        <f t="shared" si="3"/>
        <v>4324.3</v>
      </c>
      <c r="L8" s="1271">
        <f t="shared" si="3"/>
        <v>4394.3</v>
      </c>
      <c r="M8" s="1271">
        <f t="shared" si="3"/>
        <v>4424.3</v>
      </c>
      <c r="N8" s="1271">
        <f t="shared" si="3"/>
        <v>4454.3</v>
      </c>
      <c r="O8" s="1271">
        <f t="shared" si="3"/>
        <v>4484.3</v>
      </c>
      <c r="P8" s="1271">
        <f t="shared" si="3"/>
        <v>4514.3</v>
      </c>
      <c r="Q8" s="1271">
        <f>Q5-Q9</f>
        <v>4544.3</v>
      </c>
      <c r="R8" s="1271">
        <f>R5-R9</f>
        <v>4574.3</v>
      </c>
    </row>
    <row r="9" spans="2:20">
      <c r="B9" s="1207" t="s">
        <v>5275</v>
      </c>
      <c r="C9" s="1213">
        <f t="shared" ref="C9:I9" si="4">C5-C8</f>
        <v>516.40000000000009</v>
      </c>
      <c r="D9" s="1213">
        <f t="shared" si="4"/>
        <v>506.09999999999991</v>
      </c>
      <c r="E9" s="1213">
        <f t="shared" si="4"/>
        <v>481.89999999999964</v>
      </c>
      <c r="F9" s="1213">
        <f t="shared" si="4"/>
        <v>455</v>
      </c>
      <c r="G9" s="1213">
        <f t="shared" si="4"/>
        <v>434.69999999999982</v>
      </c>
      <c r="H9" s="1213">
        <f t="shared" si="4"/>
        <v>423.90000000000009</v>
      </c>
      <c r="I9" s="1213">
        <f t="shared" si="4"/>
        <v>366.59999999999945</v>
      </c>
      <c r="J9" s="1282">
        <f t="shared" ref="J9:P9" si="5">I9-20</f>
        <v>346.59999999999945</v>
      </c>
      <c r="K9" s="1282">
        <f t="shared" si="5"/>
        <v>326.59999999999945</v>
      </c>
      <c r="L9" s="1282">
        <f t="shared" si="5"/>
        <v>306.59999999999945</v>
      </c>
      <c r="M9" s="1282">
        <f t="shared" si="5"/>
        <v>286.59999999999945</v>
      </c>
      <c r="N9" s="1282">
        <f t="shared" si="5"/>
        <v>266.59999999999945</v>
      </c>
      <c r="O9" s="1282">
        <f t="shared" si="5"/>
        <v>246.59999999999945</v>
      </c>
      <c r="P9" s="1282">
        <f t="shared" si="5"/>
        <v>226.59999999999945</v>
      </c>
      <c r="Q9" s="1282">
        <f>P9-20</f>
        <v>206.59999999999945</v>
      </c>
      <c r="R9" s="1282">
        <f>Q9-20</f>
        <v>186.59999999999945</v>
      </c>
    </row>
    <row r="10" spans="2:20">
      <c r="B10" s="1207" t="s">
        <v>2303</v>
      </c>
      <c r="C10" s="1280">
        <v>1263.4000000000001</v>
      </c>
      <c r="D10" s="1280">
        <v>1328.9</v>
      </c>
      <c r="E10" s="1280">
        <v>1406.9</v>
      </c>
      <c r="F10" s="1280">
        <v>1468.5</v>
      </c>
      <c r="G10" s="1280">
        <v>1511.7</v>
      </c>
      <c r="H10" s="1280">
        <f>'LiLAC valuation'!AG226</f>
        <v>1465.8</v>
      </c>
      <c r="I10" s="1280">
        <f>'LiLAC valuation'!AK226</f>
        <v>1388.8</v>
      </c>
      <c r="J10" s="1271">
        <f t="shared" ref="J10:P10" si="6">J11*J5</f>
        <v>1497.5243041308461</v>
      </c>
      <c r="K10" s="1271">
        <f t="shared" si="6"/>
        <v>1565.3767315405062</v>
      </c>
      <c r="L10" s="1271">
        <f t="shared" si="6"/>
        <v>1591.6072822289805</v>
      </c>
      <c r="M10" s="1271">
        <f t="shared" si="6"/>
        <v>1604.4148323666755</v>
      </c>
      <c r="N10" s="1271">
        <f t="shared" si="6"/>
        <v>1617.2623825043704</v>
      </c>
      <c r="O10" s="1271">
        <f t="shared" si="6"/>
        <v>1630.1499326420651</v>
      </c>
      <c r="P10" s="1271">
        <f t="shared" si="6"/>
        <v>1643.07748277976</v>
      </c>
      <c r="Q10" s="1271">
        <f>Q11*Q5</f>
        <v>1656.045032917455</v>
      </c>
      <c r="R10" s="1271">
        <f>R11*R5</f>
        <v>1669.0525830551499</v>
      </c>
    </row>
    <row r="11" spans="2:20">
      <c r="B11" s="1207" t="s">
        <v>2193</v>
      </c>
      <c r="C11" s="1236">
        <f t="shared" ref="C11:I11" si="7">C10/C5</f>
        <v>0.41267352604932228</v>
      </c>
      <c r="D11" s="1236">
        <f t="shared" si="7"/>
        <v>0.41313809612634461</v>
      </c>
      <c r="E11" s="1236">
        <f t="shared" si="7"/>
        <v>0.4144401567148791</v>
      </c>
      <c r="F11" s="1236">
        <f t="shared" si="7"/>
        <v>0.41746027233703842</v>
      </c>
      <c r="G11" s="1236">
        <f t="shared" si="7"/>
        <v>0.4086780210867802</v>
      </c>
      <c r="H11" s="1236">
        <f t="shared" si="7"/>
        <v>0.38086576937068023</v>
      </c>
      <c r="I11" s="1236">
        <f t="shared" si="7"/>
        <v>0.33257501376948684</v>
      </c>
      <c r="J11" s="1279">
        <f t="shared" ref="J11:P11" si="8">I11+0.2%</f>
        <v>0.33457501376948684</v>
      </c>
      <c r="K11" s="1279">
        <f t="shared" si="8"/>
        <v>0.33657501376948684</v>
      </c>
      <c r="L11" s="1279">
        <f t="shared" si="8"/>
        <v>0.33857501376948684</v>
      </c>
      <c r="M11" s="1279">
        <f t="shared" si="8"/>
        <v>0.34057501376948685</v>
      </c>
      <c r="N11" s="1279">
        <f t="shared" si="8"/>
        <v>0.34257501376948685</v>
      </c>
      <c r="O11" s="1279">
        <f t="shared" si="8"/>
        <v>0.34457501376948685</v>
      </c>
      <c r="P11" s="1279">
        <f t="shared" si="8"/>
        <v>0.34657501376948685</v>
      </c>
      <c r="Q11" s="1279">
        <f>P11+0.2%</f>
        <v>0.34857501376948685</v>
      </c>
      <c r="R11" s="1279">
        <f>Q11+0.2%</f>
        <v>0.35057501376948685</v>
      </c>
    </row>
    <row r="12" spans="2:20">
      <c r="B12" s="1207" t="s">
        <v>5276</v>
      </c>
      <c r="C12" s="1236">
        <f>C10/C8</f>
        <v>0.49640485639071164</v>
      </c>
      <c r="D12" s="1236">
        <f t="shared" ref="D12:P12" si="9">D10/D8</f>
        <v>0.49027854639365437</v>
      </c>
      <c r="E12" s="1236">
        <f t="shared" si="9"/>
        <v>0.48300604229607252</v>
      </c>
      <c r="F12" s="1236">
        <f t="shared" si="9"/>
        <v>0.47947889117445397</v>
      </c>
      <c r="G12" s="1236">
        <f t="shared" si="9"/>
        <v>0.46310081793952762</v>
      </c>
      <c r="H12" s="1236">
        <f t="shared" si="9"/>
        <v>0.42800829269717056</v>
      </c>
      <c r="I12" s="1236">
        <f t="shared" si="9"/>
        <v>0.36458141915837555</v>
      </c>
      <c r="J12" s="1236">
        <f t="shared" si="9"/>
        <v>0.36265815129219142</v>
      </c>
      <c r="K12" s="1236">
        <f t="shared" si="9"/>
        <v>0.36199540539289737</v>
      </c>
      <c r="L12" s="1236">
        <f t="shared" si="9"/>
        <v>0.36219813900484271</v>
      </c>
      <c r="M12" s="1236">
        <f t="shared" si="9"/>
        <v>0.36263698943712575</v>
      </c>
      <c r="N12" s="1236">
        <f t="shared" si="9"/>
        <v>0.36307890858369896</v>
      </c>
      <c r="O12" s="1236">
        <f t="shared" si="9"/>
        <v>0.36352383485539885</v>
      </c>
      <c r="P12" s="1236">
        <f t="shared" si="9"/>
        <v>0.36397170830023701</v>
      </c>
      <c r="Q12" s="1236">
        <f>Q10/Q8</f>
        <v>0.36442247054935961</v>
      </c>
      <c r="R12" s="1236">
        <f>R10/R8</f>
        <v>0.3648760647651334</v>
      </c>
    </row>
    <row r="13" spans="2:20">
      <c r="B13" s="1207"/>
      <c r="C13" s="1207"/>
      <c r="D13" s="1207"/>
      <c r="E13" s="1207"/>
      <c r="F13" s="1207"/>
      <c r="G13" s="1207"/>
      <c r="H13" s="1207"/>
      <c r="I13" s="1207"/>
      <c r="J13" s="1207"/>
      <c r="K13" s="1207"/>
      <c r="L13" s="1207"/>
      <c r="M13" s="1207"/>
      <c r="N13" s="1207"/>
      <c r="O13" s="1207"/>
      <c r="P13" s="1207"/>
      <c r="Q13" s="1207"/>
      <c r="R13" s="1207"/>
    </row>
    <row r="14" spans="2:20">
      <c r="B14" s="1207" t="s">
        <v>4048</v>
      </c>
      <c r="C14" s="1207"/>
      <c r="D14" s="1283">
        <f>D23/D10</f>
        <v>2.103619534953721</v>
      </c>
      <c r="E14" s="1283">
        <f t="shared" ref="E14:P14" si="10">E23/E10</f>
        <v>2.0452057715544814</v>
      </c>
      <c r="F14" s="1283">
        <f t="shared" si="10"/>
        <v>1.9824991487912837</v>
      </c>
      <c r="G14" s="1283">
        <f t="shared" si="10"/>
        <v>1.9610372428391876</v>
      </c>
      <c r="H14" s="1283">
        <f t="shared" si="10"/>
        <v>1.9435120753172328</v>
      </c>
      <c r="I14" s="1283">
        <f t="shared" si="10"/>
        <v>2.0336261520737331</v>
      </c>
      <c r="J14" s="1283">
        <f t="shared" si="10"/>
        <v>1.7323925847772574</v>
      </c>
      <c r="K14" s="1283">
        <f t="shared" si="10"/>
        <v>1.6157771794083622</v>
      </c>
      <c r="L14" s="1283">
        <f t="shared" si="10"/>
        <v>1.5765823818585629</v>
      </c>
      <c r="M14" s="1283">
        <f t="shared" si="10"/>
        <v>1.5608806086053832</v>
      </c>
      <c r="N14" s="1283">
        <f t="shared" si="10"/>
        <v>1.5453893116154553</v>
      </c>
      <c r="O14" s="1283">
        <f t="shared" si="10"/>
        <v>1.5301046548260528</v>
      </c>
      <c r="P14" s="1283">
        <f t="shared" si="10"/>
        <v>1.5150228921575872</v>
      </c>
      <c r="Q14" s="1283">
        <f>Q23/Q10</f>
        <v>1.5001403649171352</v>
      </c>
      <c r="R14" s="1283">
        <f>R23/R10</f>
        <v>1.4854534992910273</v>
      </c>
    </row>
    <row r="15" spans="2:20">
      <c r="B15" s="1207"/>
      <c r="C15" s="1207"/>
      <c r="D15" s="1207"/>
      <c r="E15" s="1213"/>
      <c r="F15" s="1213"/>
      <c r="G15" s="1207"/>
      <c r="H15" s="1207"/>
      <c r="I15" s="1207"/>
      <c r="J15" s="1207"/>
      <c r="K15" s="1207"/>
      <c r="L15" s="1207"/>
      <c r="M15" s="1207"/>
      <c r="N15" s="1207"/>
      <c r="O15" s="1207"/>
      <c r="P15" s="1207"/>
      <c r="Q15" s="1207"/>
      <c r="R15" s="1207"/>
    </row>
    <row r="16" spans="2:20">
      <c r="B16" s="1208" t="s">
        <v>53</v>
      </c>
      <c r="C16" s="1208"/>
      <c r="D16" s="1207"/>
      <c r="E16" s="1213"/>
      <c r="F16" s="1213"/>
      <c r="G16" s="1207"/>
      <c r="H16" s="1207"/>
      <c r="I16" s="1207"/>
      <c r="J16" s="1207"/>
      <c r="K16" s="1207"/>
      <c r="L16" s="1207"/>
      <c r="M16" s="1207"/>
      <c r="N16" s="1207"/>
      <c r="O16" s="1207"/>
      <c r="P16" s="1207"/>
      <c r="Q16" s="1207"/>
      <c r="R16" s="1207"/>
    </row>
    <row r="17" spans="2:18">
      <c r="B17" s="1207" t="s">
        <v>1568</v>
      </c>
      <c r="C17" s="1281">
        <v>1026</v>
      </c>
      <c r="D17" s="1281">
        <v>1047.3</v>
      </c>
      <c r="E17" s="1281">
        <v>1067.4000000000001</v>
      </c>
      <c r="F17" s="1281">
        <v>1079.4000000000001</v>
      </c>
      <c r="G17" s="1281">
        <v>1099.7</v>
      </c>
      <c r="H17" s="1281">
        <f>'LiLAC valuation'!AG227</f>
        <v>1065.5</v>
      </c>
      <c r="I17" s="1281">
        <f>'LiLAC valuation'!AK227</f>
        <v>1060.5</v>
      </c>
      <c r="J17" s="1213">
        <f t="shared" ref="J17:P17" si="11">I17+J18</f>
        <v>960.5</v>
      </c>
      <c r="K17" s="1213">
        <f t="shared" si="11"/>
        <v>935.5</v>
      </c>
      <c r="L17" s="1213">
        <f t="shared" si="11"/>
        <v>920.5</v>
      </c>
      <c r="M17" s="1213">
        <f t="shared" si="11"/>
        <v>910.5</v>
      </c>
      <c r="N17" s="1213">
        <f t="shared" si="11"/>
        <v>900.5</v>
      </c>
      <c r="O17" s="1213">
        <f t="shared" si="11"/>
        <v>890.5</v>
      </c>
      <c r="P17" s="1213">
        <f t="shared" si="11"/>
        <v>880.5</v>
      </c>
      <c r="Q17" s="1213">
        <f>P17+Q18</f>
        <v>870.5</v>
      </c>
      <c r="R17" s="1213">
        <f>Q17+R18</f>
        <v>860.5</v>
      </c>
    </row>
    <row r="18" spans="2:18">
      <c r="B18" s="1207"/>
      <c r="C18" s="1207"/>
      <c r="D18" s="1213">
        <f t="shared" ref="D18:I18" si="12">D17-C17</f>
        <v>21.299999999999955</v>
      </c>
      <c r="E18" s="1213">
        <f t="shared" si="12"/>
        <v>20.100000000000136</v>
      </c>
      <c r="F18" s="1213">
        <f t="shared" si="12"/>
        <v>12</v>
      </c>
      <c r="G18" s="1213">
        <f t="shared" si="12"/>
        <v>20.299999999999955</v>
      </c>
      <c r="H18" s="1213">
        <f t="shared" si="12"/>
        <v>-34.200000000000045</v>
      </c>
      <c r="I18" s="1213">
        <f t="shared" si="12"/>
        <v>-5</v>
      </c>
      <c r="J18" s="1281">
        <v>-100</v>
      </c>
      <c r="K18" s="1281">
        <v>-25</v>
      </c>
      <c r="L18" s="1281">
        <v>-15</v>
      </c>
      <c r="M18" s="1281">
        <v>-10</v>
      </c>
      <c r="N18" s="1281">
        <v>-10</v>
      </c>
      <c r="O18" s="1281">
        <v>-10</v>
      </c>
      <c r="P18" s="1281">
        <v>-10</v>
      </c>
      <c r="Q18" s="1281">
        <v>-10</v>
      </c>
      <c r="R18" s="1281">
        <v>-10</v>
      </c>
    </row>
    <row r="19" spans="2:18">
      <c r="B19" s="1207" t="s">
        <v>1567</v>
      </c>
      <c r="C19" s="1281">
        <v>1003.1</v>
      </c>
      <c r="D19" s="1281">
        <v>1091.2</v>
      </c>
      <c r="E19" s="1281">
        <v>1181.5999999999999</v>
      </c>
      <c r="F19" s="1281">
        <v>1259</v>
      </c>
      <c r="G19" s="1281">
        <v>1317.1</v>
      </c>
      <c r="H19" s="1281">
        <f>'LiLAC valuation'!AG228</f>
        <v>1286.0999999999999</v>
      </c>
      <c r="I19" s="1281">
        <f>'LiLAC valuation'!AK228</f>
        <v>1218.9000000000001</v>
      </c>
      <c r="J19" s="1213">
        <f t="shared" ref="J19:P19" si="13">I19+J20</f>
        <v>1168.9000000000001</v>
      </c>
      <c r="K19" s="1213">
        <f t="shared" si="13"/>
        <v>1148.9000000000001</v>
      </c>
      <c r="L19" s="1213">
        <f t="shared" si="13"/>
        <v>1158.9000000000001</v>
      </c>
      <c r="M19" s="1213">
        <f t="shared" si="13"/>
        <v>1168.9000000000001</v>
      </c>
      <c r="N19" s="1213">
        <f t="shared" si="13"/>
        <v>1178.9000000000001</v>
      </c>
      <c r="O19" s="1213">
        <f t="shared" si="13"/>
        <v>1188.9000000000001</v>
      </c>
      <c r="P19" s="1213">
        <f t="shared" si="13"/>
        <v>1198.9000000000001</v>
      </c>
      <c r="Q19" s="1213">
        <f>P19+Q20</f>
        <v>1208.9000000000001</v>
      </c>
      <c r="R19" s="1213">
        <f>Q19+R20</f>
        <v>1218.9000000000001</v>
      </c>
    </row>
    <row r="20" spans="2:18">
      <c r="B20" s="1207"/>
      <c r="C20" s="1207"/>
      <c r="D20" s="1207">
        <v>90.399999999999864</v>
      </c>
      <c r="E20" s="1213">
        <f>E19-D19</f>
        <v>90.399999999999864</v>
      </c>
      <c r="F20" s="1213">
        <f>F19-E19</f>
        <v>77.400000000000091</v>
      </c>
      <c r="G20" s="1213">
        <f>G19-F19</f>
        <v>58.099999999999909</v>
      </c>
      <c r="H20" s="1213">
        <f>H19-G19</f>
        <v>-31</v>
      </c>
      <c r="I20" s="1213">
        <f>I19-H19</f>
        <v>-67.199999999999818</v>
      </c>
      <c r="J20" s="1281">
        <v>-50</v>
      </c>
      <c r="K20" s="1281">
        <v>-20</v>
      </c>
      <c r="L20" s="1281">
        <v>10</v>
      </c>
      <c r="M20" s="1281">
        <v>10</v>
      </c>
      <c r="N20" s="1281">
        <v>10</v>
      </c>
      <c r="O20" s="1281">
        <v>10</v>
      </c>
      <c r="P20" s="1281">
        <v>10</v>
      </c>
      <c r="Q20" s="1281">
        <v>10</v>
      </c>
      <c r="R20" s="1281">
        <v>10</v>
      </c>
    </row>
    <row r="21" spans="2:18">
      <c r="B21" s="1207" t="s">
        <v>565</v>
      </c>
      <c r="C21" s="1281">
        <v>689.9</v>
      </c>
      <c r="D21" s="1281">
        <v>657</v>
      </c>
      <c r="E21" s="1281">
        <v>628.4</v>
      </c>
      <c r="F21" s="1281">
        <v>572.9</v>
      </c>
      <c r="G21" s="1281">
        <v>547.70000000000005</v>
      </c>
      <c r="H21" s="1281">
        <f>'LiLAC valuation'!AG229</f>
        <v>497.2</v>
      </c>
      <c r="I21" s="1281">
        <f>'LiLAC valuation'!AK229</f>
        <v>544.9</v>
      </c>
      <c r="J21" s="1213">
        <f t="shared" ref="J21:P21" si="14">I21+J22</f>
        <v>464.9</v>
      </c>
      <c r="K21" s="1213">
        <f t="shared" si="14"/>
        <v>444.9</v>
      </c>
      <c r="L21" s="1213">
        <f t="shared" si="14"/>
        <v>429.9</v>
      </c>
      <c r="M21" s="1213">
        <f t="shared" si="14"/>
        <v>424.9</v>
      </c>
      <c r="N21" s="1213">
        <f t="shared" si="14"/>
        <v>419.9</v>
      </c>
      <c r="O21" s="1213">
        <f t="shared" si="14"/>
        <v>414.9</v>
      </c>
      <c r="P21" s="1213">
        <f t="shared" si="14"/>
        <v>409.9</v>
      </c>
      <c r="Q21" s="1213">
        <f>P21+Q22</f>
        <v>404.9</v>
      </c>
      <c r="R21" s="1213">
        <f>Q21+R22</f>
        <v>399.9</v>
      </c>
    </row>
    <row r="22" spans="2:18">
      <c r="B22" s="1211"/>
      <c r="C22" s="1211"/>
      <c r="D22" s="1284">
        <f t="shared" ref="D22:I22" si="15">D21-C21</f>
        <v>-32.899999999999977</v>
      </c>
      <c r="E22" s="1284">
        <f t="shared" si="15"/>
        <v>-28.600000000000023</v>
      </c>
      <c r="F22" s="1284">
        <f t="shared" si="15"/>
        <v>-55.5</v>
      </c>
      <c r="G22" s="1284">
        <f t="shared" si="15"/>
        <v>-25.199999999999932</v>
      </c>
      <c r="H22" s="1284">
        <f t="shared" si="15"/>
        <v>-50.500000000000057</v>
      </c>
      <c r="I22" s="1284">
        <f t="shared" si="15"/>
        <v>47.699999999999989</v>
      </c>
      <c r="J22" s="1285">
        <v>-80</v>
      </c>
      <c r="K22" s="1285">
        <v>-20</v>
      </c>
      <c r="L22" s="1285">
        <v>-15</v>
      </c>
      <c r="M22" s="1285">
        <v>-5</v>
      </c>
      <c r="N22" s="1285">
        <v>-5</v>
      </c>
      <c r="O22" s="1285">
        <v>-5</v>
      </c>
      <c r="P22" s="1285">
        <v>-5</v>
      </c>
      <c r="Q22" s="1285">
        <v>-5</v>
      </c>
      <c r="R22" s="1285">
        <v>-5</v>
      </c>
    </row>
    <row r="23" spans="2:18">
      <c r="B23" s="1207" t="s">
        <v>571</v>
      </c>
      <c r="C23" s="1207"/>
      <c r="D23" s="1286">
        <f>D17+D19+D21</f>
        <v>2795.5</v>
      </c>
      <c r="E23" s="1286">
        <f>E17+E19+E21</f>
        <v>2877.4</v>
      </c>
      <c r="F23" s="1286">
        <f>F17+F19+F21</f>
        <v>2911.3</v>
      </c>
      <c r="G23" s="1286">
        <f t="shared" ref="G23:P23" si="16">G17+G19+G21</f>
        <v>2964.5</v>
      </c>
      <c r="H23" s="1286">
        <f t="shared" si="16"/>
        <v>2848.7999999999997</v>
      </c>
      <c r="I23" s="1286">
        <f t="shared" si="16"/>
        <v>2824.3</v>
      </c>
      <c r="J23" s="1286">
        <f t="shared" si="16"/>
        <v>2594.3000000000002</v>
      </c>
      <c r="K23" s="1286">
        <f t="shared" si="16"/>
        <v>2529.3000000000002</v>
      </c>
      <c r="L23" s="1286">
        <f t="shared" si="16"/>
        <v>2509.3000000000002</v>
      </c>
      <c r="M23" s="1286">
        <f t="shared" si="16"/>
        <v>2504.3000000000002</v>
      </c>
      <c r="N23" s="1286">
        <f t="shared" si="16"/>
        <v>2499.3000000000002</v>
      </c>
      <c r="O23" s="1286">
        <f t="shared" si="16"/>
        <v>2494.3000000000002</v>
      </c>
      <c r="P23" s="1286">
        <f t="shared" si="16"/>
        <v>2489.3000000000002</v>
      </c>
      <c r="Q23" s="1286">
        <f>Q17+Q19+Q21</f>
        <v>2484.3000000000002</v>
      </c>
      <c r="R23" s="1286">
        <f>R17+R19+R21</f>
        <v>2479.3000000000002</v>
      </c>
    </row>
    <row r="24" spans="2:18">
      <c r="B24" s="1207"/>
      <c r="C24" s="1207"/>
      <c r="D24" s="1213"/>
      <c r="E24" s="1213">
        <f>E23-D23</f>
        <v>81.900000000000091</v>
      </c>
      <c r="F24" s="1213">
        <f>F23-E23</f>
        <v>33.900000000000091</v>
      </c>
      <c r="G24" s="1213">
        <f t="shared" ref="G24:P24" si="17">G23-F23</f>
        <v>53.199999999999818</v>
      </c>
      <c r="H24" s="1213">
        <f t="shared" si="17"/>
        <v>-115.70000000000027</v>
      </c>
      <c r="I24" s="1213">
        <f t="shared" si="17"/>
        <v>-24.499999999999545</v>
      </c>
      <c r="J24" s="1213">
        <f t="shared" si="17"/>
        <v>-230</v>
      </c>
      <c r="K24" s="1213">
        <f t="shared" si="17"/>
        <v>-65</v>
      </c>
      <c r="L24" s="1213">
        <f t="shared" si="17"/>
        <v>-20</v>
      </c>
      <c r="M24" s="1213">
        <f t="shared" si="17"/>
        <v>-5</v>
      </c>
      <c r="N24" s="1213">
        <f t="shared" si="17"/>
        <v>-5</v>
      </c>
      <c r="O24" s="1213">
        <f t="shared" si="17"/>
        <v>-5</v>
      </c>
      <c r="P24" s="1213">
        <f t="shared" si="17"/>
        <v>-5</v>
      </c>
      <c r="Q24" s="1213">
        <f>Q23-P23</f>
        <v>-5</v>
      </c>
      <c r="R24" s="1213">
        <f>R23-Q23</f>
        <v>-5</v>
      </c>
    </row>
    <row r="25" spans="2:18">
      <c r="B25" s="1207"/>
      <c r="C25" s="1207"/>
      <c r="D25" s="1207"/>
      <c r="E25" s="1213"/>
      <c r="F25" s="1213"/>
      <c r="G25" s="1207"/>
      <c r="H25" s="1207"/>
      <c r="I25" s="1207"/>
      <c r="J25" s="1207"/>
      <c r="K25" s="1207"/>
      <c r="L25" s="1207"/>
      <c r="M25" s="1207"/>
      <c r="N25" s="1207"/>
      <c r="O25" s="1207"/>
      <c r="P25" s="1207"/>
      <c r="Q25" s="1207"/>
      <c r="R25" s="1207"/>
    </row>
    <row r="26" spans="2:18">
      <c r="B26" s="1207" t="s">
        <v>5</v>
      </c>
      <c r="C26" s="1207"/>
      <c r="D26" s="1280">
        <v>165</v>
      </c>
      <c r="E26" s="1280">
        <v>214.9</v>
      </c>
      <c r="F26" s="1280">
        <v>256.3</v>
      </c>
      <c r="G26" s="1280">
        <v>300.8</v>
      </c>
      <c r="H26" s="1280">
        <f>'LiLAC valuation'!AG230</f>
        <v>280.3</v>
      </c>
      <c r="I26" s="1280">
        <f>'LiLAC valuation'!AK230</f>
        <v>252</v>
      </c>
      <c r="J26" s="1271">
        <f t="shared" ref="J26:P26" si="18">I26+J27</f>
        <v>257</v>
      </c>
      <c r="K26" s="1271">
        <f t="shared" si="18"/>
        <v>262</v>
      </c>
      <c r="L26" s="1271">
        <f t="shared" si="18"/>
        <v>267</v>
      </c>
      <c r="M26" s="1271">
        <f t="shared" si="18"/>
        <v>272</v>
      </c>
      <c r="N26" s="1271">
        <f t="shared" si="18"/>
        <v>277</v>
      </c>
      <c r="O26" s="1271">
        <f t="shared" si="18"/>
        <v>282</v>
      </c>
      <c r="P26" s="1271">
        <f t="shared" si="18"/>
        <v>287</v>
      </c>
      <c r="Q26" s="1271">
        <f>P26+Q27</f>
        <v>292</v>
      </c>
      <c r="R26" s="1271">
        <f>Q26+R27</f>
        <v>297</v>
      </c>
    </row>
    <row r="27" spans="2:18">
      <c r="B27" s="1207"/>
      <c r="C27" s="1207"/>
      <c r="D27" s="1207"/>
      <c r="E27" s="1213"/>
      <c r="F27" s="1213">
        <f>F26-E26</f>
        <v>41.400000000000006</v>
      </c>
      <c r="G27" s="1213">
        <f>G26-F26</f>
        <v>44.5</v>
      </c>
      <c r="H27" s="1213">
        <f>H26-G26</f>
        <v>-20.5</v>
      </c>
      <c r="I27" s="1213">
        <f>I26-H26</f>
        <v>-28.300000000000011</v>
      </c>
      <c r="J27" s="1281">
        <v>5</v>
      </c>
      <c r="K27" s="1281">
        <v>5</v>
      </c>
      <c r="L27" s="1281">
        <v>5</v>
      </c>
      <c r="M27" s="1281">
        <v>5</v>
      </c>
      <c r="N27" s="1281">
        <v>5</v>
      </c>
      <c r="O27" s="1281">
        <v>5</v>
      </c>
      <c r="P27" s="1281">
        <v>5</v>
      </c>
      <c r="Q27" s="1281">
        <v>5</v>
      </c>
      <c r="R27" s="1281">
        <v>5</v>
      </c>
    </row>
    <row r="28" spans="2:18">
      <c r="B28" s="1207" t="s">
        <v>573</v>
      </c>
      <c r="C28" s="1207"/>
      <c r="D28" s="1271">
        <f>D23+D26</f>
        <v>2960.5</v>
      </c>
      <c r="E28" s="1271">
        <f>E23+E26</f>
        <v>3092.3</v>
      </c>
      <c r="F28" s="1271">
        <f>F23+F26</f>
        <v>3167.6000000000004</v>
      </c>
      <c r="G28" s="1271">
        <f t="shared" ref="G28:P28" si="19">G23+G26</f>
        <v>3265.3</v>
      </c>
      <c r="H28" s="1271">
        <f t="shared" si="19"/>
        <v>3129.1</v>
      </c>
      <c r="I28" s="1271">
        <f t="shared" si="19"/>
        <v>3076.3</v>
      </c>
      <c r="J28" s="1271">
        <f t="shared" si="19"/>
        <v>2851.3</v>
      </c>
      <c r="K28" s="1271">
        <f t="shared" si="19"/>
        <v>2791.3</v>
      </c>
      <c r="L28" s="1271">
        <f t="shared" si="19"/>
        <v>2776.3</v>
      </c>
      <c r="M28" s="1271">
        <f t="shared" si="19"/>
        <v>2776.3</v>
      </c>
      <c r="N28" s="1271">
        <f t="shared" si="19"/>
        <v>2776.3</v>
      </c>
      <c r="O28" s="1271">
        <f t="shared" si="19"/>
        <v>2776.3</v>
      </c>
      <c r="P28" s="1271">
        <f t="shared" si="19"/>
        <v>2776.3</v>
      </c>
      <c r="Q28" s="1271">
        <f>Q23+Q26</f>
        <v>2776.3</v>
      </c>
      <c r="R28" s="1271">
        <f>R23+R26</f>
        <v>2776.3</v>
      </c>
    </row>
    <row r="29" spans="2:18">
      <c r="B29" s="1207"/>
      <c r="C29" s="1207"/>
      <c r="D29" s="1207"/>
      <c r="E29" s="1207"/>
      <c r="F29" s="1207"/>
      <c r="G29" s="1207"/>
      <c r="H29" s="1207"/>
      <c r="I29" s="1207"/>
      <c r="J29" s="1207"/>
      <c r="K29" s="1207"/>
      <c r="L29" s="1207"/>
      <c r="M29" s="1207"/>
      <c r="N29" s="1207"/>
      <c r="O29" s="1207"/>
      <c r="P29" s="1207"/>
      <c r="Q29" s="1207"/>
      <c r="R29" s="1207"/>
    </row>
    <row r="30" spans="2:18">
      <c r="B30" s="1208" t="s">
        <v>4045</v>
      </c>
      <c r="C30" s="1207"/>
      <c r="D30" s="1207"/>
      <c r="E30" s="1207"/>
      <c r="F30" s="1207"/>
      <c r="G30" s="1207"/>
      <c r="H30" s="1207"/>
      <c r="I30" s="1207"/>
      <c r="J30" s="1207"/>
      <c r="K30" s="1207"/>
      <c r="L30" s="1207"/>
      <c r="M30" s="1207"/>
      <c r="N30" s="1207"/>
      <c r="O30" s="1207"/>
      <c r="P30" s="1207"/>
      <c r="Q30" s="1207"/>
      <c r="R30" s="1207"/>
    </row>
    <row r="31" spans="2:18">
      <c r="B31" s="1207" t="s">
        <v>1568</v>
      </c>
      <c r="C31" s="1207"/>
      <c r="D31" s="1281">
        <f>SUM('New quarts'!K110:N110)</f>
        <v>219.69999999999996</v>
      </c>
      <c r="E31" s="1281">
        <f>SUM('New quarts'!O110:R110)</f>
        <v>234</v>
      </c>
      <c r="F31" s="1281">
        <f>SUM('New quarts'!S110:V110)</f>
        <v>245.90000000000003</v>
      </c>
      <c r="G31" s="1281">
        <f>SUM('New quarts'!X110:AA110)</f>
        <v>242.9</v>
      </c>
      <c r="H31" s="1281">
        <v>230.4</v>
      </c>
      <c r="I31" s="1281">
        <v>222.8</v>
      </c>
      <c r="J31" s="1213">
        <f t="shared" ref="J31:P31" si="20">J33*12*AVERAGE(I17,J17)/1000</f>
        <v>199.088462841016</v>
      </c>
      <c r="K31" s="1213">
        <f t="shared" si="20"/>
        <v>177.43599172154282</v>
      </c>
      <c r="L31" s="1213">
        <f t="shared" si="20"/>
        <v>178.90339485983068</v>
      </c>
      <c r="M31" s="1213">
        <f t="shared" si="20"/>
        <v>182.67087287065848</v>
      </c>
      <c r="N31" s="1213">
        <f t="shared" si="20"/>
        <v>186.99920483105913</v>
      </c>
      <c r="O31" s="1213">
        <f t="shared" si="20"/>
        <v>191.40674820942124</v>
      </c>
      <c r="P31" s="1213">
        <f t="shared" si="20"/>
        <v>195.89374559835059</v>
      </c>
      <c r="Q31" s="1213">
        <f>Q33*12*AVERAGE(P17,Q17)/1000</f>
        <v>200.46035953794848</v>
      </c>
      <c r="R31" s="1213">
        <f>R33*12*AVERAGE(Q17,R17)/1000</f>
        <v>205.10666661496026</v>
      </c>
    </row>
    <row r="32" spans="2:18">
      <c r="B32" s="1207" t="s">
        <v>78</v>
      </c>
      <c r="C32" s="1207"/>
      <c r="D32" s="1213"/>
      <c r="E32" s="1236">
        <f>E31/D31-1</f>
        <v>6.5088757396449815E-2</v>
      </c>
      <c r="F32" s="1236">
        <f>F31/E31-1</f>
        <v>5.0854700854700896E-2</v>
      </c>
      <c r="G32" s="1236">
        <f>G31/F31-1</f>
        <v>-1.2200081333875623E-2</v>
      </c>
      <c r="H32" s="1236">
        <f>H31/G31-1</f>
        <v>-5.1461506792918943E-2</v>
      </c>
      <c r="I32" s="1236">
        <f>I31/H31-1</f>
        <v>-3.2986111111111049E-2</v>
      </c>
      <c r="J32" s="1236">
        <f t="shared" ref="J32:P32" si="21">J31/I31-1</f>
        <v>-0.10642521166509877</v>
      </c>
      <c r="K32" s="1236">
        <f t="shared" si="21"/>
        <v>-0.1087580405739732</v>
      </c>
      <c r="L32" s="1236">
        <f t="shared" si="21"/>
        <v>8.2700421940928859E-3</v>
      </c>
      <c r="M32" s="1236">
        <f t="shared" si="21"/>
        <v>2.1058728448275721E-2</v>
      </c>
      <c r="N32" s="1236">
        <f t="shared" si="21"/>
        <v>2.369470234844373E-2</v>
      </c>
      <c r="O32" s="1236">
        <f t="shared" si="21"/>
        <v>2.3569850911098866E-2</v>
      </c>
      <c r="P32" s="1236">
        <f t="shared" si="21"/>
        <v>2.3442211055276108E-2</v>
      </c>
      <c r="Q32" s="1236">
        <f>Q31/P31-1</f>
        <v>2.3311688311688172E-2</v>
      </c>
      <c r="R32" s="1236">
        <f>R31/Q31-1</f>
        <v>2.3178183894917215E-2</v>
      </c>
    </row>
    <row r="33" spans="2:18">
      <c r="B33" s="1207" t="s">
        <v>4044</v>
      </c>
      <c r="C33" s="1207"/>
      <c r="D33" s="1213">
        <f t="shared" ref="D33:I33" si="22">D31/AVERAGE(C17,D17)/12*1000</f>
        <v>17.66105564398141</v>
      </c>
      <c r="E33" s="1213">
        <f t="shared" si="22"/>
        <v>18.442332245708613</v>
      </c>
      <c r="F33" s="1213">
        <f t="shared" si="22"/>
        <v>19.090429165890317</v>
      </c>
      <c r="G33" s="1213">
        <f t="shared" si="22"/>
        <v>18.578006210515042</v>
      </c>
      <c r="H33" s="1213">
        <f t="shared" si="22"/>
        <v>17.735082209495658</v>
      </c>
      <c r="I33" s="1213">
        <f t="shared" si="22"/>
        <v>17.466290373157733</v>
      </c>
      <c r="J33" s="1213">
        <f t="shared" ref="J33:P33" si="23">(1+J34)*I33</f>
        <v>16.418312950768268</v>
      </c>
      <c r="K33" s="1213">
        <f t="shared" si="23"/>
        <v>15.597397303229855</v>
      </c>
      <c r="L33" s="1213">
        <f t="shared" si="23"/>
        <v>16.06531922232675</v>
      </c>
      <c r="M33" s="1213">
        <f t="shared" si="23"/>
        <v>16.627605395108183</v>
      </c>
      <c r="N33" s="1213">
        <f t="shared" si="23"/>
        <v>17.20957158393697</v>
      </c>
      <c r="O33" s="1213">
        <f t="shared" si="23"/>
        <v>17.811906589374765</v>
      </c>
      <c r="P33" s="1213">
        <f t="shared" si="23"/>
        <v>18.43532332000288</v>
      </c>
      <c r="Q33" s="1213">
        <f>(1+Q34)*P33</f>
        <v>19.080559636202977</v>
      </c>
      <c r="R33" s="1213">
        <f>(1+R34)*Q33</f>
        <v>19.748379223470081</v>
      </c>
    </row>
    <row r="34" spans="2:18">
      <c r="B34" s="1207" t="s">
        <v>78</v>
      </c>
      <c r="C34" s="1207"/>
      <c r="D34" s="1213"/>
      <c r="E34" s="1278">
        <f>E33/D33-1</f>
        <v>4.4237253846909796E-2</v>
      </c>
      <c r="F34" s="1278">
        <f>F33/E33-1</f>
        <v>3.5141809156621795E-2</v>
      </c>
      <c r="G34" s="1278">
        <f>G33/F33-1</f>
        <v>-2.6841877200479258E-2</v>
      </c>
      <c r="H34" s="1278">
        <f>H33/G33-1</f>
        <v>-4.537214550732005E-2</v>
      </c>
      <c r="I34" s="1278">
        <f>I33/H33-1</f>
        <v>-1.5155939688512365E-2</v>
      </c>
      <c r="J34" s="1276">
        <v>-0.06</v>
      </c>
      <c r="K34" s="1276">
        <v>-0.05</v>
      </c>
      <c r="L34" s="1276">
        <v>0.03</v>
      </c>
      <c r="M34" s="1276">
        <v>3.5000000000000003E-2</v>
      </c>
      <c r="N34" s="1276">
        <v>3.5000000000000003E-2</v>
      </c>
      <c r="O34" s="1276">
        <v>3.5000000000000003E-2</v>
      </c>
      <c r="P34" s="1276">
        <v>3.5000000000000003E-2</v>
      </c>
      <c r="Q34" s="1276">
        <v>3.5000000000000003E-2</v>
      </c>
      <c r="R34" s="1276">
        <v>3.5000000000000003E-2</v>
      </c>
    </row>
    <row r="35" spans="2:18">
      <c r="B35" s="1207"/>
      <c r="C35" s="1207"/>
      <c r="D35" s="1207"/>
      <c r="E35" s="1207"/>
      <c r="F35" s="1207"/>
      <c r="G35" s="1207"/>
      <c r="H35" s="1207"/>
      <c r="I35" s="1207"/>
      <c r="J35" s="1207"/>
      <c r="K35" s="1207"/>
      <c r="L35" s="1207"/>
      <c r="M35" s="1207"/>
      <c r="N35" s="1207"/>
      <c r="O35" s="1207"/>
      <c r="P35" s="1207"/>
      <c r="Q35" s="1207"/>
      <c r="R35" s="1207"/>
    </row>
    <row r="36" spans="2:18">
      <c r="B36" s="1207" t="s">
        <v>564</v>
      </c>
      <c r="C36" s="1207"/>
      <c r="D36" s="1281">
        <f>SUM('New quarts'!K111:N111)</f>
        <v>208.7</v>
      </c>
      <c r="E36" s="1281">
        <f>SUM('New quarts'!O111:R111)</f>
        <v>223.2</v>
      </c>
      <c r="F36" s="1281">
        <f>SUM('New quarts'!S111:V111)</f>
        <v>241.39999999999998</v>
      </c>
      <c r="G36" s="1281">
        <f>SUM('New quarts'!X111:AA111)</f>
        <v>257.5</v>
      </c>
      <c r="H36" s="1281">
        <v>262</v>
      </c>
      <c r="I36" s="1281">
        <v>236.9</v>
      </c>
      <c r="J36" s="1213">
        <f t="shared" ref="J36:P36" si="24">J38*12*AVERAGE(I19,J19)/1000</f>
        <v>178.39487337325352</v>
      </c>
      <c r="K36" s="1213">
        <f t="shared" si="24"/>
        <v>155.84859441916174</v>
      </c>
      <c r="L36" s="1213">
        <f t="shared" si="24"/>
        <v>158.27971952910184</v>
      </c>
      <c r="M36" s="1213">
        <f t="shared" si="24"/>
        <v>162.84444134770783</v>
      </c>
      <c r="N36" s="1213">
        <f t="shared" si="24"/>
        <v>167.5284401512464</v>
      </c>
      <c r="O36" s="1213">
        <f t="shared" si="24"/>
        <v>172.33466113038747</v>
      </c>
      <c r="P36" s="1213">
        <f t="shared" si="24"/>
        <v>177.26611957263361</v>
      </c>
      <c r="Q36" s="1213">
        <f>Q38*12*AVERAGE(P19,Q19)/1000</f>
        <v>182.32590248811752</v>
      </c>
      <c r="R36" s="1213">
        <f>R38*12*AVERAGE(Q19,R19)/1000</f>
        <v>187.5171702723917</v>
      </c>
    </row>
    <row r="37" spans="2:18">
      <c r="B37" s="1207" t="s">
        <v>78</v>
      </c>
      <c r="C37" s="1207"/>
      <c r="D37" s="1213"/>
      <c r="E37" s="1236">
        <f t="shared" ref="E37:P37" si="25">E36/D36-1</f>
        <v>6.9477719214183109E-2</v>
      </c>
      <c r="F37" s="1236">
        <f t="shared" si="25"/>
        <v>8.1541218637992685E-2</v>
      </c>
      <c r="G37" s="1236">
        <f t="shared" si="25"/>
        <v>6.6694283347141781E-2</v>
      </c>
      <c r="H37" s="1236">
        <f t="shared" si="25"/>
        <v>1.7475728155339709E-2</v>
      </c>
      <c r="I37" s="1236">
        <f t="shared" si="25"/>
        <v>-9.5801526717557262E-2</v>
      </c>
      <c r="J37" s="1236">
        <f t="shared" si="25"/>
        <v>-0.24696127744510965</v>
      </c>
      <c r="K37" s="1236">
        <f t="shared" si="25"/>
        <v>-0.12638411927297066</v>
      </c>
      <c r="L37" s="1236">
        <f t="shared" si="25"/>
        <v>1.5599275174734473E-2</v>
      </c>
      <c r="M37" s="1236">
        <f t="shared" si="25"/>
        <v>2.8839587485917306E-2</v>
      </c>
      <c r="N37" s="1236">
        <f t="shared" si="25"/>
        <v>2.8763639487928483E-2</v>
      </c>
      <c r="O37" s="1236">
        <f t="shared" si="25"/>
        <v>2.8688985433171554E-2</v>
      </c>
      <c r="P37" s="1236">
        <f t="shared" si="25"/>
        <v>2.8615592533152823E-2</v>
      </c>
      <c r="Q37" s="1236">
        <f>Q36/P36-1</f>
        <v>2.8543429097914519E-2</v>
      </c>
      <c r="R37" s="1236">
        <f>R36/Q36-1</f>
        <v>2.8472464490406191E-2</v>
      </c>
    </row>
    <row r="38" spans="2:18">
      <c r="B38" s="1207" t="s">
        <v>365</v>
      </c>
      <c r="C38" s="1207"/>
      <c r="D38" s="1213">
        <f t="shared" ref="D38:I38" si="26">D36/AVERAGE(C19,D19)/12*1000</f>
        <v>16.608572474494263</v>
      </c>
      <c r="E38" s="1213">
        <f t="shared" si="26"/>
        <v>16.367476240760293</v>
      </c>
      <c r="F38" s="1213">
        <f t="shared" si="26"/>
        <v>16.485017345461497</v>
      </c>
      <c r="G38" s="1213">
        <f t="shared" si="26"/>
        <v>16.65954996571044</v>
      </c>
      <c r="H38" s="1213">
        <f t="shared" si="26"/>
        <v>16.77422659291129</v>
      </c>
      <c r="I38" s="1213">
        <f t="shared" si="26"/>
        <v>15.761809713905523</v>
      </c>
      <c r="J38" s="1213">
        <f t="shared" ref="J38:P38" si="27">(1+J39)*I38</f>
        <v>12.451829673985364</v>
      </c>
      <c r="K38" s="1213">
        <f t="shared" si="27"/>
        <v>11.206646706586827</v>
      </c>
      <c r="L38" s="1213">
        <f t="shared" si="27"/>
        <v>11.430779640718564</v>
      </c>
      <c r="M38" s="1213">
        <f t="shared" si="27"/>
        <v>11.659395233532935</v>
      </c>
      <c r="N38" s="1213">
        <f t="shared" si="27"/>
        <v>11.892583138203594</v>
      </c>
      <c r="O38" s="1213">
        <f t="shared" si="27"/>
        <v>12.130434800967667</v>
      </c>
      <c r="P38" s="1213">
        <f t="shared" si="27"/>
        <v>12.37304349698702</v>
      </c>
      <c r="Q38" s="1213">
        <f>(1+Q39)*P38</f>
        <v>12.62050436692676</v>
      </c>
      <c r="R38" s="1213">
        <f>(1+R39)*Q38</f>
        <v>12.872914454265295</v>
      </c>
    </row>
    <row r="39" spans="2:18">
      <c r="B39" s="1207" t="s">
        <v>78</v>
      </c>
      <c r="C39" s="1207"/>
      <c r="D39" s="1207"/>
      <c r="E39" s="1278">
        <f>E38/D38-1</f>
        <v>-1.4516373041946862E-2</v>
      </c>
      <c r="F39" s="1278">
        <f>F38/E38-1</f>
        <v>7.1813823323896298E-3</v>
      </c>
      <c r="G39" s="1278">
        <f>G38/F38-1</f>
        <v>1.0587348292781407E-2</v>
      </c>
      <c r="H39" s="1278">
        <f>H38/G38-1</f>
        <v>6.8835369164763627E-3</v>
      </c>
      <c r="I39" s="1278">
        <f>I38/H38-1</f>
        <v>-6.0355502734988131E-2</v>
      </c>
      <c r="J39" s="1276">
        <v>-0.21</v>
      </c>
      <c r="K39" s="1276">
        <v>-0.1</v>
      </c>
      <c r="L39" s="1276">
        <v>0.02</v>
      </c>
      <c r="M39" s="1276">
        <v>0.02</v>
      </c>
      <c r="N39" s="1276">
        <v>0.02</v>
      </c>
      <c r="O39" s="1276">
        <v>0.02</v>
      </c>
      <c r="P39" s="1276">
        <v>0.02</v>
      </c>
      <c r="Q39" s="1276">
        <v>0.02</v>
      </c>
      <c r="R39" s="1276">
        <v>0.02</v>
      </c>
    </row>
    <row r="40" spans="2:18">
      <c r="B40" s="1207"/>
      <c r="C40" s="1207"/>
      <c r="D40" s="1207"/>
      <c r="E40" s="1278"/>
      <c r="F40" s="1207"/>
      <c r="G40" s="1207"/>
      <c r="H40" s="1207"/>
      <c r="I40" s="1207"/>
      <c r="J40" s="1207"/>
      <c r="K40" s="1207"/>
      <c r="L40" s="1207"/>
      <c r="M40" s="1207"/>
      <c r="N40" s="1207"/>
      <c r="O40" s="1207"/>
      <c r="P40" s="1207"/>
      <c r="Q40" s="1207"/>
      <c r="R40" s="1207"/>
    </row>
    <row r="41" spans="2:18">
      <c r="B41" s="1207" t="s">
        <v>565</v>
      </c>
      <c r="C41" s="1207"/>
      <c r="D41" s="1281">
        <f>SUM('New quarts'!K112:N112)</f>
        <v>91.1</v>
      </c>
      <c r="E41" s="1281">
        <f>SUM('New quarts'!O112:R112)</f>
        <v>87.4</v>
      </c>
      <c r="F41" s="1281">
        <f>SUM('New quarts'!S112:V112)</f>
        <v>78.599999999999994</v>
      </c>
      <c r="G41" s="1281">
        <f>SUM('New quarts'!X112:AA112)</f>
        <v>68.8</v>
      </c>
      <c r="H41" s="1281">
        <v>58.1</v>
      </c>
      <c r="I41" s="1281">
        <v>58.6</v>
      </c>
      <c r="J41" s="1213">
        <f t="shared" ref="J41:P41" si="28">J43*12*AVERAGE(I21,J21)/1000</f>
        <v>55.648013050570967</v>
      </c>
      <c r="K41" s="1213">
        <f t="shared" si="28"/>
        <v>49.134473190672686</v>
      </c>
      <c r="L41" s="1213">
        <f t="shared" si="28"/>
        <v>47.244270331062282</v>
      </c>
      <c r="M41" s="1213">
        <f t="shared" si="28"/>
        <v>46.164154411284912</v>
      </c>
      <c r="N41" s="1213">
        <f t="shared" si="28"/>
        <v>45.624096451396227</v>
      </c>
      <c r="O41" s="1213">
        <f t="shared" si="28"/>
        <v>45.084038491507542</v>
      </c>
      <c r="P41" s="1213">
        <f t="shared" si="28"/>
        <v>44.54398053161885</v>
      </c>
      <c r="Q41" s="1213">
        <f>Q43*12*AVERAGE(P21,Q21)/1000</f>
        <v>44.003922571730165</v>
      </c>
      <c r="R41" s="1213">
        <f>R43*12*AVERAGE(Q21,R21)/1000</f>
        <v>43.463864611841487</v>
      </c>
    </row>
    <row r="42" spans="2:18">
      <c r="B42" s="1207" t="s">
        <v>78</v>
      </c>
      <c r="C42" s="1207"/>
      <c r="D42" s="1213"/>
      <c r="E42" s="1236">
        <f t="shared" ref="E42:P42" si="29">E41/D41-1</f>
        <v>-4.0614709110867064E-2</v>
      </c>
      <c r="F42" s="1236">
        <f t="shared" si="29"/>
        <v>-0.10068649885583536</v>
      </c>
      <c r="G42" s="1236">
        <f t="shared" si="29"/>
        <v>-0.12468193384223913</v>
      </c>
      <c r="H42" s="1236">
        <f t="shared" si="29"/>
        <v>-0.15552325581395343</v>
      </c>
      <c r="I42" s="1236">
        <f t="shared" si="29"/>
        <v>8.6058519793459354E-3</v>
      </c>
      <c r="J42" s="1236">
        <f t="shared" si="29"/>
        <v>-5.0375203915171252E-2</v>
      </c>
      <c r="K42" s="1236">
        <f t="shared" si="29"/>
        <v>-0.11704892057833227</v>
      </c>
      <c r="L42" s="1236">
        <f t="shared" si="29"/>
        <v>-3.846999340514401E-2</v>
      </c>
      <c r="M42" s="1236">
        <f t="shared" si="29"/>
        <v>-2.2862368541380795E-2</v>
      </c>
      <c r="N42" s="1236">
        <f t="shared" si="29"/>
        <v>-1.169864295741696E-2</v>
      </c>
      <c r="O42" s="1236">
        <f t="shared" si="29"/>
        <v>-1.1837121212121215E-2</v>
      </c>
      <c r="P42" s="1236">
        <f t="shared" si="29"/>
        <v>-1.1978917105893716E-2</v>
      </c>
      <c r="Q42" s="1236">
        <f>Q41/P41-1</f>
        <v>-1.212415130940836E-2</v>
      </c>
      <c r="R42" s="1236">
        <f>R41/Q41-1</f>
        <v>-1.227295041728016E-2</v>
      </c>
    </row>
    <row r="43" spans="2:18">
      <c r="B43" s="1207" t="s">
        <v>4046</v>
      </c>
      <c r="C43" s="1207"/>
      <c r="D43" s="1213">
        <f t="shared" ref="D43:I43" si="30">D41/AVERAGE(C21,D21)/12*1000</f>
        <v>11.272799267453657</v>
      </c>
      <c r="E43" s="1213">
        <f t="shared" si="30"/>
        <v>11.332399771796069</v>
      </c>
      <c r="F43" s="1213">
        <f t="shared" si="30"/>
        <v>10.904853075834511</v>
      </c>
      <c r="G43" s="1213">
        <f t="shared" si="30"/>
        <v>10.232613480873342</v>
      </c>
      <c r="H43" s="1213">
        <f t="shared" si="30"/>
        <v>9.2672345040992745</v>
      </c>
      <c r="I43" s="1213">
        <f t="shared" si="30"/>
        <v>9.3721012058983479</v>
      </c>
      <c r="J43" s="1213">
        <f t="shared" ref="J43:P43" si="31">(1+J44)*I43</f>
        <v>9.1846591817803809</v>
      </c>
      <c r="K43" s="1213">
        <f t="shared" si="31"/>
        <v>9.0009659981447729</v>
      </c>
      <c r="L43" s="1213">
        <f t="shared" si="31"/>
        <v>9.0009659981447729</v>
      </c>
      <c r="M43" s="1213">
        <f t="shared" si="31"/>
        <v>9.0009659981447729</v>
      </c>
      <c r="N43" s="1213">
        <f t="shared" si="31"/>
        <v>9.0009659981447729</v>
      </c>
      <c r="O43" s="1213">
        <f t="shared" si="31"/>
        <v>9.0009659981447729</v>
      </c>
      <c r="P43" s="1213">
        <f t="shared" si="31"/>
        <v>9.0009659981447729</v>
      </c>
      <c r="Q43" s="1213">
        <f>(1+Q44)*P43</f>
        <v>9.0009659981447729</v>
      </c>
      <c r="R43" s="1213">
        <f>(1+R44)*Q43</f>
        <v>9.0009659981447729</v>
      </c>
    </row>
    <row r="44" spans="2:18">
      <c r="B44" s="1207" t="s">
        <v>78</v>
      </c>
      <c r="C44" s="1207"/>
      <c r="D44" s="1207"/>
      <c r="E44" s="1278">
        <f>E43/D43-1</f>
        <v>5.287107747450781E-3</v>
      </c>
      <c r="F44" s="1278">
        <f>F43/E43-1</f>
        <v>-3.7727816223500188E-2</v>
      </c>
      <c r="G44" s="1278">
        <f>G43/F43-1</f>
        <v>-6.1645910337927656E-2</v>
      </c>
      <c r="H44" s="1278">
        <f>H43/G43-1</f>
        <v>-9.4343344305786614E-2</v>
      </c>
      <c r="I44" s="1278">
        <f>I43/H43-1</f>
        <v>1.1315857147316866E-2</v>
      </c>
      <c r="J44" s="1276">
        <v>-0.02</v>
      </c>
      <c r="K44" s="1276">
        <v>-0.02</v>
      </c>
      <c r="L44" s="1276">
        <v>0</v>
      </c>
      <c r="M44" s="1276">
        <v>0</v>
      </c>
      <c r="N44" s="1276">
        <v>0</v>
      </c>
      <c r="O44" s="1276">
        <v>0</v>
      </c>
      <c r="P44" s="1276">
        <v>0</v>
      </c>
      <c r="Q44" s="1276">
        <v>0</v>
      </c>
      <c r="R44" s="1276">
        <v>0</v>
      </c>
    </row>
    <row r="45" spans="2:18">
      <c r="B45" s="1207"/>
      <c r="C45" s="1207"/>
      <c r="D45" s="1207"/>
      <c r="E45" s="1278"/>
      <c r="F45" s="1207"/>
      <c r="G45" s="1207"/>
      <c r="H45" s="1207"/>
      <c r="I45" s="1207"/>
      <c r="J45" s="1207"/>
      <c r="K45" s="1207"/>
      <c r="L45" s="1207"/>
      <c r="M45" s="1207"/>
      <c r="N45" s="1207"/>
      <c r="O45" s="1207"/>
      <c r="P45" s="1207"/>
      <c r="Q45" s="1207"/>
      <c r="R45" s="1207"/>
    </row>
    <row r="46" spans="2:18">
      <c r="B46" s="1207" t="s">
        <v>3699</v>
      </c>
      <c r="C46" s="1207"/>
      <c r="D46" s="1281">
        <f>SUM('New quarts'!K113:N113)</f>
        <v>27.8</v>
      </c>
      <c r="E46" s="1281">
        <f>SUM('New quarts'!O113:R113)</f>
        <v>36.299999999999997</v>
      </c>
      <c r="F46" s="1281">
        <f>SUM('New quarts'!S113:V113)</f>
        <v>40.299999999999997</v>
      </c>
      <c r="G46" s="1281">
        <f>SUM('New quarts'!X113:AA113)</f>
        <v>44</v>
      </c>
      <c r="H46" s="1281">
        <v>44.1</v>
      </c>
      <c r="I46" s="1281">
        <v>36.200000000000003</v>
      </c>
      <c r="J46" s="1213">
        <f t="shared" ref="J46:P46" si="32">(1+J47)*I46</f>
        <v>33.304000000000002</v>
      </c>
      <c r="K46" s="1213">
        <f t="shared" si="32"/>
        <v>31.6388</v>
      </c>
      <c r="L46" s="1213">
        <f t="shared" si="32"/>
        <v>33.220739999999999</v>
      </c>
      <c r="M46" s="1213">
        <f t="shared" si="32"/>
        <v>34.881777</v>
      </c>
      <c r="N46" s="1213">
        <f t="shared" si="32"/>
        <v>36.625865850000004</v>
      </c>
      <c r="O46" s="1213">
        <f t="shared" si="32"/>
        <v>38.457159142500004</v>
      </c>
      <c r="P46" s="1213">
        <f t="shared" si="32"/>
        <v>40.380017099625007</v>
      </c>
      <c r="Q46" s="1213">
        <f>(1+Q47)*P46</f>
        <v>42.399017954606258</v>
      </c>
      <c r="R46" s="1213">
        <f>(1+R47)*Q46</f>
        <v>44.51896885233657</v>
      </c>
    </row>
    <row r="47" spans="2:18">
      <c r="B47" s="1207" t="s">
        <v>78</v>
      </c>
      <c r="C47" s="1207"/>
      <c r="D47" s="1207"/>
      <c r="E47" s="1278">
        <f>E46/D46-1</f>
        <v>0.30575539568345311</v>
      </c>
      <c r="F47" s="1278">
        <f>F46/E46-1</f>
        <v>0.11019283746556474</v>
      </c>
      <c r="G47" s="1278">
        <f>G46/F46-1</f>
        <v>9.1811414392059643E-2</v>
      </c>
      <c r="H47" s="1278">
        <f>H46/G46-1</f>
        <v>2.2727272727272041E-3</v>
      </c>
      <c r="I47" s="1278">
        <f>I46/H46-1</f>
        <v>-0.17913832199546487</v>
      </c>
      <c r="J47" s="1276">
        <v>-0.08</v>
      </c>
      <c r="K47" s="1276">
        <v>-0.05</v>
      </c>
      <c r="L47" s="1276">
        <v>0.05</v>
      </c>
      <c r="M47" s="1276">
        <v>0.05</v>
      </c>
      <c r="N47" s="1276">
        <v>0.05</v>
      </c>
      <c r="O47" s="1276">
        <v>0.05</v>
      </c>
      <c r="P47" s="1276">
        <v>0.05</v>
      </c>
      <c r="Q47" s="1276">
        <v>0.05</v>
      </c>
      <c r="R47" s="1276">
        <v>0.05</v>
      </c>
    </row>
    <row r="48" spans="2:18">
      <c r="B48" s="1207"/>
      <c r="C48" s="1207"/>
      <c r="D48" s="1207"/>
      <c r="E48" s="1207"/>
      <c r="F48" s="1207"/>
      <c r="G48" s="1207"/>
      <c r="H48" s="1207"/>
      <c r="I48" s="1207"/>
      <c r="J48" s="1207"/>
      <c r="K48" s="1207"/>
      <c r="L48" s="1207"/>
      <c r="M48" s="1207"/>
      <c r="N48" s="1207"/>
      <c r="O48" s="1207"/>
      <c r="P48" s="1207"/>
      <c r="Q48" s="1207"/>
      <c r="R48" s="1207"/>
    </row>
    <row r="49" spans="2:22">
      <c r="B49" s="1207" t="s">
        <v>4</v>
      </c>
      <c r="C49" s="1207"/>
      <c r="D49" s="1281">
        <f>SUM('New quarts'!K114:N114)+SUM('New quarts'!N115:Q115)</f>
        <v>29.300000000000029</v>
      </c>
      <c r="E49" s="1281">
        <f>SUM('New quarts'!O114:R114)+SUM('New quarts'!O115:R115)</f>
        <v>36.700000000000024</v>
      </c>
      <c r="F49" s="1281">
        <f>SUM('New quarts'!S114:V114)+SUM('New quarts'!S115:V115)</f>
        <v>41.599999999999966</v>
      </c>
      <c r="G49" s="1281">
        <f>SUM('New quarts'!X114:AA114)+SUM('New quarts'!X115:AA115)</f>
        <v>47.299999999999983</v>
      </c>
      <c r="H49" s="1281">
        <f>6.5+24+14.7</f>
        <v>45.2</v>
      </c>
      <c r="I49" s="1281">
        <f>I52-I31-I36-I41-I46</f>
        <v>41.359599999999986</v>
      </c>
      <c r="J49" s="1213">
        <f>J52-J31-J36-J41-J46</f>
        <v>32.364650735159529</v>
      </c>
      <c r="K49" s="1213">
        <f>K52-K31-K36-K41-K46</f>
        <v>21.342140668622758</v>
      </c>
      <c r="L49" s="1213">
        <f t="shared" ref="L49:P49" si="33">(1+L50)*K49</f>
        <v>22.409247702053896</v>
      </c>
      <c r="M49" s="1213">
        <f t="shared" si="33"/>
        <v>23.529710087156591</v>
      </c>
      <c r="N49" s="1213">
        <f t="shared" si="33"/>
        <v>24.706195591514422</v>
      </c>
      <c r="O49" s="1213">
        <f t="shared" si="33"/>
        <v>25.941505371090145</v>
      </c>
      <c r="P49" s="1213">
        <f t="shared" si="33"/>
        <v>27.238580639644653</v>
      </c>
      <c r="Q49" s="1213">
        <f>(1+Q50)*P49</f>
        <v>28.600509671626888</v>
      </c>
      <c r="R49" s="1213">
        <f>(1+R50)*Q49</f>
        <v>30.030535155208234</v>
      </c>
    </row>
    <row r="50" spans="2:22">
      <c r="B50" s="1207" t="s">
        <v>78</v>
      </c>
      <c r="C50" s="1207"/>
      <c r="D50" s="1207"/>
      <c r="E50" s="1278">
        <f t="shared" ref="E50:K50" si="34">E49/D49-1</f>
        <v>0.25255972696245688</v>
      </c>
      <c r="F50" s="1278">
        <f t="shared" si="34"/>
        <v>0.13351498637602011</v>
      </c>
      <c r="G50" s="1278">
        <f t="shared" si="34"/>
        <v>0.13701923076923128</v>
      </c>
      <c r="H50" s="1278">
        <f t="shared" si="34"/>
        <v>-4.4397463002113779E-2</v>
      </c>
      <c r="I50" s="1278">
        <f t="shared" si="34"/>
        <v>-8.4964601769911829E-2</v>
      </c>
      <c r="J50" s="1278">
        <f t="shared" si="34"/>
        <v>-0.21748153427113559</v>
      </c>
      <c r="K50" s="1278">
        <f t="shared" si="34"/>
        <v>-0.3405725016696195</v>
      </c>
      <c r="L50" s="1276">
        <v>0.05</v>
      </c>
      <c r="M50" s="1276">
        <v>0.05</v>
      </c>
      <c r="N50" s="1276">
        <v>0.05</v>
      </c>
      <c r="O50" s="1276">
        <v>0.05</v>
      </c>
      <c r="P50" s="1276">
        <v>0.05</v>
      </c>
      <c r="Q50" s="1276">
        <v>0.05</v>
      </c>
      <c r="R50" s="1276">
        <v>0.05</v>
      </c>
    </row>
    <row r="51" spans="2:22">
      <c r="B51" s="1207"/>
      <c r="C51" s="1207"/>
      <c r="D51" s="1207"/>
      <c r="E51" s="1207"/>
      <c r="F51" s="1207"/>
      <c r="G51" s="1207"/>
      <c r="H51" s="1207"/>
      <c r="I51" s="1207"/>
      <c r="J51" s="1207"/>
      <c r="K51" s="1207"/>
      <c r="L51" s="1207"/>
      <c r="M51" s="1207"/>
      <c r="N51" s="1207"/>
      <c r="O51" s="1207"/>
      <c r="P51" s="1207"/>
      <c r="Q51" s="1207"/>
      <c r="R51" s="1207"/>
    </row>
    <row r="52" spans="2:22">
      <c r="B52" s="1287" t="s">
        <v>4041</v>
      </c>
      <c r="C52" s="1287"/>
      <c r="D52" s="1288">
        <f>D31+D36+D41+D46+D49</f>
        <v>576.6</v>
      </c>
      <c r="E52" s="1288">
        <f>E31+E36+E41+E46+E49</f>
        <v>617.6</v>
      </c>
      <c r="F52" s="1289">
        <v>647.79999999999995</v>
      </c>
      <c r="G52" s="1289">
        <f>G31+G36+G41+G46+G49</f>
        <v>660.49999999999989</v>
      </c>
      <c r="H52" s="1289">
        <f t="shared" ref="H52:P52" si="35">H31+H36+H41+H46+H49</f>
        <v>639.80000000000007</v>
      </c>
      <c r="I52" s="1289">
        <f>'LiLAC valuation'!AH266+'LiLAC valuation'!AI266+'LiLAC valuation'!AJ266+'LiLAC valuation'!AK266</f>
        <v>595.8596</v>
      </c>
      <c r="J52" s="1289">
        <v>498.8</v>
      </c>
      <c r="K52" s="1289">
        <f>'LiLAC valuation'!AP247+'LiLAC valuation'!AQ247+'LiLAC valuation'!AR247+'LiLAC valuation'!AS247</f>
        <v>435.4</v>
      </c>
      <c r="L52" s="1288">
        <f t="shared" si="35"/>
        <v>440.05737242204867</v>
      </c>
      <c r="M52" s="1288">
        <f t="shared" si="35"/>
        <v>450.09095571680785</v>
      </c>
      <c r="N52" s="1288">
        <f t="shared" si="35"/>
        <v>461.48380287521621</v>
      </c>
      <c r="O52" s="1288">
        <f t="shared" si="35"/>
        <v>473.22411234490642</v>
      </c>
      <c r="P52" s="1288">
        <f t="shared" si="35"/>
        <v>485.32244344187268</v>
      </c>
      <c r="Q52" s="1288">
        <f>Q31+Q36+Q41+Q46+Q49</f>
        <v>497.7897122240293</v>
      </c>
      <c r="R52" s="1288">
        <f>R31+R36+R41+R46+R49</f>
        <v>510.63720550673821</v>
      </c>
    </row>
    <row r="53" spans="2:22">
      <c r="B53" s="1207" t="s">
        <v>78</v>
      </c>
      <c r="C53" s="1207"/>
      <c r="D53" s="1207"/>
      <c r="E53" s="1236">
        <f>E52/D52-1</f>
        <v>7.1106486298994076E-2</v>
      </c>
      <c r="F53" s="1236">
        <f>F52/E52-1</f>
        <v>4.88989637305699E-2</v>
      </c>
      <c r="G53" s="1236">
        <f t="shared" ref="G53:P53" si="36">G52/F52-1</f>
        <v>1.9604816301327377E-2</v>
      </c>
      <c r="H53" s="1236">
        <f t="shared" si="36"/>
        <v>-3.1339894019681735E-2</v>
      </c>
      <c r="I53" s="1236">
        <f t="shared" si="36"/>
        <v>-6.8678336980306454E-2</v>
      </c>
      <c r="J53" s="1236">
        <f t="shared" si="36"/>
        <v>-0.16289004993793843</v>
      </c>
      <c r="K53" s="1236">
        <f t="shared" si="36"/>
        <v>-0.12710505212510026</v>
      </c>
      <c r="L53" s="1236">
        <f t="shared" si="36"/>
        <v>1.0696767161342935E-2</v>
      </c>
      <c r="M53" s="1236">
        <f t="shared" si="36"/>
        <v>2.280062538103822E-2</v>
      </c>
      <c r="N53" s="1236">
        <f t="shared" si="36"/>
        <v>2.5312321906722834E-2</v>
      </c>
      <c r="O53" s="1236">
        <f t="shared" si="36"/>
        <v>2.544035001129763E-2</v>
      </c>
      <c r="P53" s="1236">
        <f t="shared" si="36"/>
        <v>2.5565753691241477E-2</v>
      </c>
      <c r="Q53" s="1236">
        <f>Q52/P52-1</f>
        <v>2.5688630209927288E-2</v>
      </c>
      <c r="R53" s="1236">
        <f>R52/Q52-1</f>
        <v>2.5809077542620962E-2</v>
      </c>
    </row>
    <row r="54" spans="2:22">
      <c r="B54" s="1207"/>
      <c r="C54" s="1207"/>
      <c r="D54" s="1207"/>
      <c r="E54" s="1207"/>
      <c r="F54" s="1207"/>
      <c r="G54" s="1207"/>
      <c r="H54" s="1207"/>
      <c r="I54" s="1207"/>
      <c r="J54" s="1207"/>
      <c r="K54" s="1207"/>
      <c r="L54" s="1207"/>
      <c r="M54" s="1207"/>
      <c r="N54" s="1207"/>
      <c r="O54" s="1207"/>
      <c r="P54" s="1207"/>
      <c r="Q54" s="1207"/>
      <c r="R54" s="1207"/>
    </row>
    <row r="55" spans="2:22">
      <c r="B55" s="1207" t="s">
        <v>5280</v>
      </c>
      <c r="C55" s="1207"/>
      <c r="D55" s="1207"/>
      <c r="E55" s="1207"/>
      <c r="F55" s="1207"/>
      <c r="G55" s="1213">
        <f>(G52-G49)*1000/12/(AVERAGE(F10,G10))</f>
        <v>34.293000469767129</v>
      </c>
      <c r="H55" s="1213">
        <f>(H52-H49)*1000/12/(AVERAGE(G10,H10))</f>
        <v>33.282955499580183</v>
      </c>
      <c r="I55" s="1213">
        <f t="shared" ref="I55:P55" si="37">(I52-I49)*1000/12/(AVERAGE(H10,I10))</f>
        <v>32.37464676895771</v>
      </c>
      <c r="J55" s="1213">
        <f t="shared" si="37"/>
        <v>26.933641783154684</v>
      </c>
      <c r="K55" s="1213">
        <f t="shared" si="37"/>
        <v>22.530810632858106</v>
      </c>
      <c r="L55" s="1213">
        <f t="shared" si="37"/>
        <v>22.048898722028301</v>
      </c>
      <c r="M55" s="1213">
        <f t="shared" si="37"/>
        <v>22.244383295598567</v>
      </c>
      <c r="N55" s="1213">
        <f t="shared" si="37"/>
        <v>22.59576705716956</v>
      </c>
      <c r="O55" s="1213">
        <f t="shared" si="37"/>
        <v>22.955847280187811</v>
      </c>
      <c r="P55" s="1213">
        <f t="shared" si="37"/>
        <v>23.324780339834419</v>
      </c>
      <c r="Q55" s="1213">
        <f>(Q52-Q49)*1000/12/(AVERAGE(P10,Q10))</f>
        <v>23.702727029182338</v>
      </c>
      <c r="R55" s="1213">
        <f>(R52-R49)*1000/12/(AVERAGE(Q10,R10))</f>
        <v>24.089852682964043</v>
      </c>
    </row>
    <row r="56" spans="2:22">
      <c r="B56" s="1207"/>
      <c r="C56" s="1207"/>
      <c r="D56" s="1207"/>
      <c r="E56" s="1207"/>
      <c r="F56" s="1207"/>
      <c r="G56" s="1207"/>
      <c r="H56" s="1207"/>
      <c r="I56" s="1207"/>
      <c r="J56" s="1207"/>
      <c r="K56" s="1207"/>
      <c r="L56" s="1207"/>
      <c r="M56" s="1207"/>
      <c r="N56" s="1207"/>
      <c r="O56" s="1207"/>
      <c r="P56" s="1207"/>
      <c r="Q56" s="1207"/>
      <c r="R56" s="1207"/>
    </row>
    <row r="57" spans="2:22">
      <c r="B57" s="1207" t="s">
        <v>4024</v>
      </c>
      <c r="C57" s="1207"/>
      <c r="D57" s="1207"/>
      <c r="E57" s="1213">
        <f>E52*1000/12/(AVERAGE(D28,E28))</f>
        <v>17.005903603841748</v>
      </c>
      <c r="F57" s="1213">
        <f>F52*1000/12/(AVERAGE(E28,F28))</f>
        <v>17.247346869225812</v>
      </c>
      <c r="G57" s="1213">
        <f>G52*1000/12/(AVERAGE(F28,G28))</f>
        <v>17.112551622648152</v>
      </c>
      <c r="H57" s="1213">
        <f>H52*1000/12/(AVERAGE(G28,H28))</f>
        <v>16.676049876975693</v>
      </c>
      <c r="I57" s="1213">
        <f t="shared" ref="I57:P57" si="38">I52*1000/12/(AVERAGE(H28,I28))</f>
        <v>16.003792395870263</v>
      </c>
      <c r="J57" s="1213">
        <f t="shared" si="38"/>
        <v>14.024787997390735</v>
      </c>
      <c r="K57" s="1213">
        <f t="shared" si="38"/>
        <v>12.860501659991257</v>
      </c>
      <c r="L57" s="1213">
        <f t="shared" si="38"/>
        <v>13.173161757970179</v>
      </c>
      <c r="M57" s="1213">
        <f t="shared" si="38"/>
        <v>13.509915946787926</v>
      </c>
      <c r="N57" s="1213">
        <f t="shared" si="38"/>
        <v>13.851883288165791</v>
      </c>
      <c r="O57" s="1213">
        <f t="shared" si="38"/>
        <v>14.204280047332373</v>
      </c>
      <c r="P57" s="1213">
        <f t="shared" si="38"/>
        <v>14.567423172383888</v>
      </c>
      <c r="Q57" s="1213">
        <f>Q52*1000/12/(AVERAGE(P28,Q28))</f>
        <v>14.941640319370782</v>
      </c>
      <c r="R57" s="1213">
        <f>R52*1000/12/(AVERAGE(Q28,R28))</f>
        <v>15.327270272987374</v>
      </c>
    </row>
    <row r="58" spans="2:22">
      <c r="B58" s="1207"/>
      <c r="C58" s="1207"/>
      <c r="D58" s="1207"/>
      <c r="E58" s="1207"/>
      <c r="F58" s="1278">
        <f>F57/E57-1</f>
        <v>1.4197614605407916E-2</v>
      </c>
      <c r="G58" s="1278">
        <f>G57/F57-1</f>
        <v>-7.815419240983279E-3</v>
      </c>
      <c r="H58" s="1278">
        <f>H57/G57-1</f>
        <v>-2.5507694895409827E-2</v>
      </c>
      <c r="I58" s="1278">
        <f t="shared" ref="I58:P58" si="39">I57/H57-1</f>
        <v>-4.0312753083906472E-2</v>
      </c>
      <c r="J58" s="1278">
        <f t="shared" si="39"/>
        <v>-0.12365846478927112</v>
      </c>
      <c r="K58" s="1278">
        <f t="shared" si="39"/>
        <v>-8.301632349922794E-2</v>
      </c>
      <c r="L58" s="1278">
        <f t="shared" si="39"/>
        <v>2.4311656438068985E-2</v>
      </c>
      <c r="M58" s="1278">
        <f t="shared" si="39"/>
        <v>2.5563657002389606E-2</v>
      </c>
      <c r="N58" s="1278">
        <f t="shared" si="39"/>
        <v>2.5312321906722834E-2</v>
      </c>
      <c r="O58" s="1278">
        <f t="shared" si="39"/>
        <v>2.544035001129763E-2</v>
      </c>
      <c r="P58" s="1278">
        <f t="shared" si="39"/>
        <v>2.5565753691241477E-2</v>
      </c>
      <c r="Q58" s="1278">
        <f>Q57/P57-1</f>
        <v>2.5688630209927066E-2</v>
      </c>
      <c r="R58" s="1278">
        <f>R57/Q57-1</f>
        <v>2.5809077542620962E-2</v>
      </c>
    </row>
    <row r="59" spans="2:22">
      <c r="B59" s="1207"/>
      <c r="C59" s="1207"/>
      <c r="D59" s="1207"/>
      <c r="E59" s="1207"/>
      <c r="F59" s="1207"/>
      <c r="G59" s="1207"/>
      <c r="H59" s="1207"/>
      <c r="I59" s="1207"/>
      <c r="J59" s="1207"/>
      <c r="K59" s="1207"/>
      <c r="L59" s="1207"/>
      <c r="M59" s="1207"/>
      <c r="N59" s="1207"/>
      <c r="O59" s="1207"/>
      <c r="P59" s="1207"/>
      <c r="Q59" s="1207"/>
      <c r="R59" s="1207"/>
    </row>
    <row r="60" spans="2:22">
      <c r="B60" s="1207" t="s">
        <v>4042</v>
      </c>
      <c r="C60" s="1207"/>
      <c r="D60" s="1281">
        <v>229.1</v>
      </c>
      <c r="E60" s="1281">
        <v>248.2</v>
      </c>
      <c r="F60" s="1281">
        <v>263.39999999999998</v>
      </c>
      <c r="G60" s="1281">
        <v>271.39999999999998</v>
      </c>
      <c r="H60" s="1281">
        <v>242.7</v>
      </c>
      <c r="I60" s="1281">
        <f>'LiLAC valuation'!AH272+'LiLAC valuation'!AI272+'LiLAC valuation'!AJ272+'LiLAC valuation'!AK272</f>
        <v>196.3331</v>
      </c>
      <c r="J60" s="1281">
        <f>-314+267.5+132.3+13.8+6</f>
        <v>105.60000000000001</v>
      </c>
      <c r="K60" s="1218">
        <f t="shared" ref="K60:P60" si="40">K62*K52</f>
        <v>100.142</v>
      </c>
      <c r="L60" s="1218">
        <f t="shared" si="40"/>
        <v>103.41348251918144</v>
      </c>
      <c r="M60" s="1218">
        <f t="shared" si="40"/>
        <v>108.02182937203389</v>
      </c>
      <c r="N60" s="1218">
        <f t="shared" si="40"/>
        <v>113.06353170442799</v>
      </c>
      <c r="O60" s="1218">
        <f t="shared" si="40"/>
        <v>118.3060280862266</v>
      </c>
      <c r="P60" s="1218">
        <f t="shared" si="40"/>
        <v>123.75722307767754</v>
      </c>
      <c r="Q60" s="1218">
        <f>Q62*Q52</f>
        <v>126.93637661712748</v>
      </c>
      <c r="R60" s="1218">
        <f>R62*R52</f>
        <v>130.21248740421825</v>
      </c>
    </row>
    <row r="61" spans="2:22">
      <c r="B61" s="1207" t="s">
        <v>78</v>
      </c>
      <c r="C61" s="1207"/>
      <c r="D61" s="1218"/>
      <c r="E61" s="1236">
        <f>E60/D60-1</f>
        <v>8.3369707551287586E-2</v>
      </c>
      <c r="F61" s="1236">
        <f t="shared" ref="F61:P61" si="41">F60/E60-1</f>
        <v>6.1240934730056429E-2</v>
      </c>
      <c r="G61" s="1236">
        <f t="shared" si="41"/>
        <v>3.0372057706909539E-2</v>
      </c>
      <c r="H61" s="1236">
        <f t="shared" si="41"/>
        <v>-0.1057479734708916</v>
      </c>
      <c r="I61" s="1236">
        <f t="shared" si="41"/>
        <v>-0.1910461475072105</v>
      </c>
      <c r="J61" s="1236">
        <f t="shared" si="41"/>
        <v>-0.46213857979118134</v>
      </c>
      <c r="K61" s="1236">
        <f t="shared" si="41"/>
        <v>-5.1685606060606126E-2</v>
      </c>
      <c r="L61" s="1236">
        <f t="shared" si="41"/>
        <v>3.2668436012676549E-2</v>
      </c>
      <c r="M61" s="1236">
        <f t="shared" si="41"/>
        <v>4.4562340814677359E-2</v>
      </c>
      <c r="N61" s="1236">
        <f t="shared" si="41"/>
        <v>4.6672995279779528E-2</v>
      </c>
      <c r="O61" s="1236">
        <f t="shared" si="41"/>
        <v>4.6367704093160711E-2</v>
      </c>
      <c r="P61" s="1236">
        <f t="shared" si="41"/>
        <v>4.6077068765066231E-2</v>
      </c>
      <c r="Q61" s="1236">
        <f>Q60/P60-1</f>
        <v>2.5688630209927288E-2</v>
      </c>
      <c r="R61" s="1236">
        <f>R60/Q60-1</f>
        <v>2.5809077542620962E-2</v>
      </c>
      <c r="V61" t="s">
        <v>72</v>
      </c>
    </row>
    <row r="62" spans="2:22">
      <c r="B62" s="1207" t="s">
        <v>251</v>
      </c>
      <c r="C62" s="1207"/>
      <c r="D62" s="1236">
        <f t="shared" ref="D62:J62" si="42">D60/D52</f>
        <v>0.39732917100242798</v>
      </c>
      <c r="E62" s="1236">
        <f t="shared" si="42"/>
        <v>0.4018782383419689</v>
      </c>
      <c r="F62" s="1236">
        <f t="shared" si="42"/>
        <v>0.40660697746217966</v>
      </c>
      <c r="G62" s="1236">
        <f t="shared" si="42"/>
        <v>0.41090083270249816</v>
      </c>
      <c r="H62" s="1236">
        <f t="shared" si="42"/>
        <v>0.37933729290403245</v>
      </c>
      <c r="I62" s="1236">
        <f t="shared" si="42"/>
        <v>0.32949557244693212</v>
      </c>
      <c r="J62" s="1236">
        <f t="shared" si="42"/>
        <v>0.21170809943865279</v>
      </c>
      <c r="K62" s="1290">
        <v>0.23</v>
      </c>
      <c r="L62" s="1290">
        <f>K62+0.5%</f>
        <v>0.23500000000000001</v>
      </c>
      <c r="M62" s="1290">
        <f>L62+0.5%</f>
        <v>0.24000000000000002</v>
      </c>
      <c r="N62" s="1290">
        <f>M62+0.5%</f>
        <v>0.24500000000000002</v>
      </c>
      <c r="O62" s="1290">
        <f>N62+0.5%</f>
        <v>0.25</v>
      </c>
      <c r="P62" s="1290">
        <f>O62+0.5%</f>
        <v>0.255</v>
      </c>
      <c r="Q62" s="1290">
        <f>P62</f>
        <v>0.255</v>
      </c>
      <c r="R62" s="1290">
        <f>Q62</f>
        <v>0.255</v>
      </c>
    </row>
    <row r="63" spans="2:22">
      <c r="B63" s="1207"/>
      <c r="C63" s="1207"/>
      <c r="D63" s="1207"/>
      <c r="E63" s="1207"/>
      <c r="F63" s="1207"/>
      <c r="G63" s="1207"/>
      <c r="H63" s="1207"/>
      <c r="I63" s="1207"/>
      <c r="J63" s="1207"/>
      <c r="K63" s="1207"/>
      <c r="L63" s="1207"/>
      <c r="M63" s="1207"/>
      <c r="N63" s="1207"/>
      <c r="O63" s="1207"/>
      <c r="P63" s="1207"/>
      <c r="Q63" s="1207"/>
      <c r="R63" s="1207"/>
    </row>
    <row r="64" spans="2:22">
      <c r="B64" s="1207" t="s">
        <v>4043</v>
      </c>
      <c r="C64" s="1207"/>
      <c r="D64" s="1291">
        <v>132</v>
      </c>
      <c r="E64" s="1291">
        <v>137.9</v>
      </c>
      <c r="F64" s="1291">
        <v>136.19999999999999</v>
      </c>
      <c r="G64" s="1291">
        <v>143</v>
      </c>
      <c r="H64" s="1291">
        <v>136.1</v>
      </c>
      <c r="I64" s="1291">
        <f>199.1*Forex!Q38/1000</f>
        <v>151.51510000000002</v>
      </c>
      <c r="J64" s="1291">
        <v>118.6</v>
      </c>
      <c r="K64" s="1291">
        <v>120.1</v>
      </c>
      <c r="L64" s="1218">
        <f t="shared" ref="L64:P64" si="43">L65*L52</f>
        <v>101.2131956570712</v>
      </c>
      <c r="M64" s="1218">
        <f t="shared" si="43"/>
        <v>99.020010257697734</v>
      </c>
      <c r="N64" s="1218">
        <f t="shared" si="43"/>
        <v>87.681922546291077</v>
      </c>
      <c r="O64" s="1218">
        <f t="shared" si="43"/>
        <v>80.448099098634103</v>
      </c>
      <c r="P64" s="1218">
        <f t="shared" si="43"/>
        <v>77.651590950699628</v>
      </c>
      <c r="Q64" s="1218">
        <f>Q65*Q52</f>
        <v>74.668456833604395</v>
      </c>
      <c r="R64" s="1218">
        <f>R65*R52</f>
        <v>76.595580826010732</v>
      </c>
    </row>
    <row r="65" spans="2:18">
      <c r="B65" s="1207" t="s">
        <v>91</v>
      </c>
      <c r="C65" s="1207"/>
      <c r="D65" s="1278">
        <f t="shared" ref="D65:K65" si="44">D64/D52</f>
        <v>0.22892819979188345</v>
      </c>
      <c r="E65" s="1278">
        <f t="shared" si="44"/>
        <v>0.22328367875647667</v>
      </c>
      <c r="F65" s="1278">
        <f t="shared" si="44"/>
        <v>0.21025007718431615</v>
      </c>
      <c r="G65" s="1278">
        <f t="shared" si="44"/>
        <v>0.21650264950794856</v>
      </c>
      <c r="H65" s="1278">
        <f t="shared" si="44"/>
        <v>0.21272272585182866</v>
      </c>
      <c r="I65" s="1278">
        <f t="shared" si="44"/>
        <v>0.25427986727074636</v>
      </c>
      <c r="J65" s="1278">
        <f t="shared" si="44"/>
        <v>0.23777064955894145</v>
      </c>
      <c r="K65" s="1278">
        <f t="shared" si="44"/>
        <v>0.27583830960036748</v>
      </c>
      <c r="L65" s="1292">
        <v>0.23</v>
      </c>
      <c r="M65" s="1292">
        <v>0.22</v>
      </c>
      <c r="N65" s="1292">
        <v>0.19</v>
      </c>
      <c r="O65" s="1292">
        <v>0.17</v>
      </c>
      <c r="P65" s="1292">
        <v>0.16</v>
      </c>
      <c r="Q65" s="1292">
        <v>0.15</v>
      </c>
      <c r="R65" s="1292">
        <v>0.15</v>
      </c>
    </row>
    <row r="66" spans="2:18">
      <c r="B66" s="1207"/>
      <c r="C66" s="1207"/>
      <c r="D66" s="1207"/>
      <c r="E66" s="1207"/>
      <c r="F66" s="1207"/>
      <c r="G66" s="1207"/>
      <c r="H66" s="1207"/>
      <c r="I66" s="1207"/>
      <c r="J66" s="1207"/>
      <c r="K66" s="1207"/>
      <c r="L66" s="1207"/>
      <c r="M66" s="1207"/>
      <c r="N66" s="1207"/>
      <c r="O66" s="1207"/>
      <c r="P66" s="1207"/>
      <c r="Q66" s="1207"/>
      <c r="R66" s="1207"/>
    </row>
    <row r="67" spans="2:18">
      <c r="B67" s="1207"/>
      <c r="C67" s="1207"/>
      <c r="D67" s="1207"/>
      <c r="E67" s="1207"/>
      <c r="F67" s="1207"/>
      <c r="G67" s="1207"/>
      <c r="H67" s="1207"/>
      <c r="I67" s="1207"/>
      <c r="J67" s="1207"/>
      <c r="K67" s="1207"/>
      <c r="L67" s="1207"/>
      <c r="M67" s="1207"/>
      <c r="N67" s="1207"/>
      <c r="O67" s="1207"/>
      <c r="P67" s="1207"/>
      <c r="Q67" s="1207"/>
      <c r="R67" s="1207"/>
    </row>
    <row r="68" spans="2:18">
      <c r="B68" s="1207" t="s">
        <v>81</v>
      </c>
      <c r="C68" s="1207"/>
      <c r="D68" s="1207"/>
      <c r="E68" s="1207"/>
      <c r="F68" s="1207"/>
      <c r="G68" s="1207"/>
      <c r="H68" s="1207"/>
      <c r="I68" s="1291">
        <v>133.5</v>
      </c>
      <c r="J68" s="1291">
        <v>132.30000000000001</v>
      </c>
      <c r="K68" s="1218">
        <f t="shared" ref="K68:P68" si="45">K69*K52</f>
        <v>111.13000160384924</v>
      </c>
      <c r="L68" s="1218">
        <f t="shared" si="45"/>
        <v>107.91815963142479</v>
      </c>
      <c r="M68" s="1218">
        <f t="shared" si="45"/>
        <v>105.8778516038239</v>
      </c>
      <c r="N68" s="1218">
        <f t="shared" si="45"/>
        <v>103.94302783765995</v>
      </c>
      <c r="O68" s="1218">
        <f t="shared" si="45"/>
        <v>97.122892600185963</v>
      </c>
      <c r="P68" s="1218">
        <f t="shared" si="45"/>
        <v>89.899463681345765</v>
      </c>
      <c r="Q68" s="1218">
        <f>Q69*Q52</f>
        <v>87.230960637686351</v>
      </c>
      <c r="R68" s="1218">
        <f>R69*R52</f>
        <v>84.375939209834314</v>
      </c>
    </row>
    <row r="69" spans="2:18">
      <c r="B69" s="1207" t="s">
        <v>91</v>
      </c>
      <c r="C69" s="1207"/>
      <c r="D69" s="1207"/>
      <c r="E69" s="1207"/>
      <c r="F69" s="1207"/>
      <c r="G69" s="1207"/>
      <c r="H69" s="1207"/>
      <c r="I69" s="1207"/>
      <c r="J69" s="1296">
        <f>J68/J52</f>
        <v>0.26523656776263033</v>
      </c>
      <c r="K69" s="1292">
        <f>J69-1%</f>
        <v>0.25523656776263032</v>
      </c>
      <c r="L69" s="1292">
        <f>K69-1%</f>
        <v>0.24523656776263031</v>
      </c>
      <c r="M69" s="1292">
        <f>L69-1%</f>
        <v>0.2352365677626303</v>
      </c>
      <c r="N69" s="1292">
        <f>M69-1%</f>
        <v>0.22523656776263029</v>
      </c>
      <c r="O69" s="1292">
        <f>N69-2%</f>
        <v>0.2052365677626303</v>
      </c>
      <c r="P69" s="1292">
        <f>O69-2%</f>
        <v>0.18523656776263031</v>
      </c>
      <c r="Q69" s="1292">
        <f>P69-1%</f>
        <v>0.1752365677626303</v>
      </c>
      <c r="R69" s="1292">
        <f>Q69-1%</f>
        <v>0.16523656776263029</v>
      </c>
    </row>
    <row r="70" spans="2:18">
      <c r="B70" s="1207" t="s">
        <v>83</v>
      </c>
      <c r="C70" s="1207"/>
      <c r="D70" s="1207"/>
      <c r="E70" s="1207"/>
      <c r="F70" s="1207"/>
      <c r="G70" s="1207"/>
      <c r="H70" s="1207"/>
      <c r="I70" s="1207"/>
      <c r="J70" s="1218">
        <f t="shared" ref="J70:P70" si="46">J60-J68</f>
        <v>-26.700000000000003</v>
      </c>
      <c r="K70" s="1218">
        <f t="shared" si="46"/>
        <v>-10.988001603849241</v>
      </c>
      <c r="L70" s="1218">
        <f t="shared" si="46"/>
        <v>-4.5046771122433427</v>
      </c>
      <c r="M70" s="1218">
        <f t="shared" si="46"/>
        <v>2.143977768209993</v>
      </c>
      <c r="N70" s="1218">
        <f t="shared" si="46"/>
        <v>9.1205038667680327</v>
      </c>
      <c r="O70" s="1218">
        <f t="shared" si="46"/>
        <v>21.183135486040641</v>
      </c>
      <c r="P70" s="1218">
        <f t="shared" si="46"/>
        <v>33.857759396331772</v>
      </c>
      <c r="Q70" s="1218">
        <f>Q60-Q68</f>
        <v>39.705415979441128</v>
      </c>
      <c r="R70" s="1218">
        <f>R60-R68</f>
        <v>45.836548194383937</v>
      </c>
    </row>
    <row r="71" spans="2:18">
      <c r="B71" s="1207" t="s">
        <v>929</v>
      </c>
      <c r="C71" s="1207"/>
      <c r="D71" s="1207"/>
      <c r="E71" s="1207"/>
      <c r="F71" s="1207"/>
      <c r="G71" s="1207"/>
      <c r="H71" s="1207"/>
      <c r="I71" s="1207"/>
      <c r="J71" s="1291">
        <f>78.6-5.8</f>
        <v>72.8</v>
      </c>
      <c r="K71" s="1218">
        <f t="shared" ref="K71:P71" si="47">K72*J82</f>
        <v>73.309927360774807</v>
      </c>
      <c r="L71" s="1218">
        <f t="shared" si="47"/>
        <v>79.497590605062427</v>
      </c>
      <c r="M71" s="1218">
        <f t="shared" si="47"/>
        <v>84.331483945372511</v>
      </c>
      <c r="N71" s="1218">
        <f t="shared" si="47"/>
        <v>88.941720234828864</v>
      </c>
      <c r="O71" s="1218">
        <f t="shared" si="47"/>
        <v>92.570705688353925</v>
      </c>
      <c r="P71" s="1218">
        <f t="shared" si="47"/>
        <v>95.45967409929915</v>
      </c>
      <c r="Q71" s="1218">
        <f>Q72*P82</f>
        <v>97.890285435426179</v>
      </c>
      <c r="R71" s="1218">
        <f>R72*Q82</f>
        <v>99.995564973496229</v>
      </c>
    </row>
    <row r="72" spans="2:18">
      <c r="B72" s="1207" t="s">
        <v>6288</v>
      </c>
      <c r="C72" s="1207"/>
      <c r="D72" s="1207"/>
      <c r="E72" s="1207"/>
      <c r="F72" s="1207"/>
      <c r="G72" s="1207"/>
      <c r="H72" s="1207"/>
      <c r="I72" s="1207"/>
      <c r="J72" s="1236">
        <f>J71/I82</f>
        <v>6.2953995157384979E-2</v>
      </c>
      <c r="K72" s="1290">
        <f>J72</f>
        <v>6.2953995157384979E-2</v>
      </c>
      <c r="L72" s="1290">
        <f t="shared" ref="L72:P72" si="48">K72</f>
        <v>6.2953995157384979E-2</v>
      </c>
      <c r="M72" s="1290">
        <f t="shared" si="48"/>
        <v>6.2953995157384979E-2</v>
      </c>
      <c r="N72" s="1290">
        <f t="shared" si="48"/>
        <v>6.2953995157384979E-2</v>
      </c>
      <c r="O72" s="1290">
        <f t="shared" si="48"/>
        <v>6.2953995157384979E-2</v>
      </c>
      <c r="P72" s="1290">
        <f t="shared" si="48"/>
        <v>6.2953995157384979E-2</v>
      </c>
      <c r="Q72" s="1290">
        <f>P72</f>
        <v>6.2953995157384979E-2</v>
      </c>
      <c r="R72" s="1290">
        <f>Q72</f>
        <v>6.2953995157384979E-2</v>
      </c>
    </row>
    <row r="73" spans="2:18">
      <c r="B73" s="1207"/>
      <c r="C73" s="1207"/>
      <c r="D73" s="1207"/>
      <c r="E73" s="1207"/>
      <c r="F73" s="1207"/>
      <c r="G73" s="1207"/>
      <c r="H73" s="1207"/>
      <c r="I73" s="1207"/>
      <c r="J73" s="1236"/>
      <c r="K73" s="1290"/>
      <c r="L73" s="1290"/>
      <c r="M73" s="1290"/>
      <c r="N73" s="1290"/>
      <c r="O73" s="1290"/>
      <c r="P73" s="1290"/>
      <c r="Q73" s="1290"/>
      <c r="R73" s="1290"/>
    </row>
    <row r="74" spans="2:18">
      <c r="B74" s="1207" t="s">
        <v>66</v>
      </c>
      <c r="C74" s="1207"/>
      <c r="D74" s="1207"/>
      <c r="E74" s="1207"/>
      <c r="F74" s="1207"/>
      <c r="G74" s="1207"/>
      <c r="H74" s="1207"/>
      <c r="I74" s="1207"/>
      <c r="J74" s="1218">
        <f>J70-J71</f>
        <v>-99.5</v>
      </c>
      <c r="K74" s="1218">
        <f t="shared" ref="K74:P74" si="49">K70-K71</f>
        <v>-84.297928964624049</v>
      </c>
      <c r="L74" s="1218">
        <f t="shared" si="49"/>
        <v>-84.00226771730577</v>
      </c>
      <c r="M74" s="1218">
        <f t="shared" si="49"/>
        <v>-82.187506177162518</v>
      </c>
      <c r="N74" s="1218">
        <f t="shared" si="49"/>
        <v>-79.821216368060831</v>
      </c>
      <c r="O74" s="1218">
        <f t="shared" si="49"/>
        <v>-71.387570202313285</v>
      </c>
      <c r="P74" s="1218">
        <f t="shared" si="49"/>
        <v>-61.601914702967377</v>
      </c>
      <c r="Q74" s="1218">
        <f>Q70-Q71</f>
        <v>-58.184869455985051</v>
      </c>
      <c r="R74" s="1218">
        <f>R70-R71</f>
        <v>-54.159016779112292</v>
      </c>
    </row>
    <row r="75" spans="2:18">
      <c r="B75" s="1207" t="s">
        <v>67</v>
      </c>
      <c r="C75" s="1207"/>
      <c r="D75" s="1207"/>
      <c r="E75" s="1207"/>
      <c r="F75" s="1207"/>
      <c r="G75" s="1207"/>
      <c r="H75" s="1207"/>
      <c r="I75" s="1207"/>
      <c r="J75" s="1207">
        <f>IF(J74&lt;0,0, 0.28*J74)</f>
        <v>0</v>
      </c>
      <c r="K75" s="1207">
        <f t="shared" ref="K75:P75" si="50">IF(K74&lt;0,0, 0.28*K74)</f>
        <v>0</v>
      </c>
      <c r="L75" s="1218">
        <f t="shared" si="50"/>
        <v>0</v>
      </c>
      <c r="M75" s="1218">
        <f t="shared" si="50"/>
        <v>0</v>
      </c>
      <c r="N75" s="1218">
        <f t="shared" si="50"/>
        <v>0</v>
      </c>
      <c r="O75" s="1218">
        <f t="shared" si="50"/>
        <v>0</v>
      </c>
      <c r="P75" s="1218">
        <f t="shared" si="50"/>
        <v>0</v>
      </c>
      <c r="Q75" s="1218">
        <f>IF(Q74&lt;0,0, 0.28*Q74)</f>
        <v>0</v>
      </c>
      <c r="R75" s="1218">
        <f>IF(R74&lt;0,0, 0.28*R74)</f>
        <v>0</v>
      </c>
    </row>
    <row r="76" spans="2:18">
      <c r="B76" s="1207"/>
      <c r="C76" s="1207"/>
      <c r="D76" s="1207"/>
      <c r="E76" s="1207"/>
      <c r="F76" s="1207"/>
      <c r="G76" s="1207"/>
      <c r="H76" s="1207"/>
      <c r="I76" s="1207"/>
      <c r="J76" s="1207"/>
      <c r="K76" s="1207"/>
      <c r="L76" s="1207"/>
      <c r="M76" s="1207"/>
      <c r="N76" s="1207"/>
      <c r="O76" s="1207"/>
      <c r="P76" s="1207"/>
      <c r="Q76" s="1207"/>
      <c r="R76" s="1207"/>
    </row>
    <row r="77" spans="2:18">
      <c r="B77" s="1207" t="s">
        <v>249</v>
      </c>
      <c r="C77" s="1207"/>
      <c r="D77" s="1207"/>
      <c r="E77" s="1207"/>
      <c r="F77" s="1207"/>
      <c r="G77" s="1207"/>
      <c r="H77" s="1207"/>
      <c r="I77" s="1207"/>
      <c r="J77" s="1218">
        <f t="shared" ref="J77:P77" si="51">J93-J71-J75</f>
        <v>-87.691179839633435</v>
      </c>
      <c r="K77" s="1218">
        <f t="shared" si="51"/>
        <v>-98.288650765030127</v>
      </c>
      <c r="L77" s="1218">
        <f t="shared" si="51"/>
        <v>-76.784536521079374</v>
      </c>
      <c r="M77" s="1218">
        <f t="shared" si="51"/>
        <v>-73.23183029021078</v>
      </c>
      <c r="N77" s="1218">
        <f t="shared" si="51"/>
        <v>-57.645038165609506</v>
      </c>
      <c r="O77" s="1218">
        <f t="shared" si="51"/>
        <v>-45.890152066168355</v>
      </c>
      <c r="P77" s="1218">
        <f t="shared" si="51"/>
        <v>-38.609326223863988</v>
      </c>
      <c r="Q77" s="1218">
        <f>Q93-Q71-Q75</f>
        <v>-33.441555739343471</v>
      </c>
      <c r="R77" s="1218">
        <f>R93-R71-R75</f>
        <v>-33.883473015163915</v>
      </c>
    </row>
    <row r="78" spans="2:18">
      <c r="B78" s="1207"/>
      <c r="C78" s="1207"/>
      <c r="D78" s="1207"/>
      <c r="E78" s="1207"/>
      <c r="F78" s="1207"/>
      <c r="G78" s="1207"/>
      <c r="H78" s="1207"/>
      <c r="I78" s="1207"/>
      <c r="J78" s="1207"/>
      <c r="K78" s="1207"/>
      <c r="L78" s="1207"/>
      <c r="M78" s="1207"/>
      <c r="N78" s="1207"/>
      <c r="O78" s="1207"/>
      <c r="P78" s="1207"/>
      <c r="Q78" s="1207"/>
      <c r="R78" s="1207"/>
    </row>
    <row r="79" spans="2:18">
      <c r="B79" s="1207" t="s">
        <v>164</v>
      </c>
      <c r="C79" s="1207"/>
      <c r="D79" s="1207"/>
      <c r="E79" s="1207"/>
      <c r="F79" s="1207"/>
      <c r="G79" s="1207"/>
      <c r="H79" s="1207"/>
      <c r="I79" s="1271">
        <v>1296.9000000000001</v>
      </c>
      <c r="J79" s="1271">
        <v>1214</v>
      </c>
      <c r="K79" s="1295">
        <f t="shared" ref="K79:P80" si="52">J79</f>
        <v>1214</v>
      </c>
      <c r="L79" s="1295">
        <f t="shared" si="52"/>
        <v>1214</v>
      </c>
      <c r="M79" s="1295">
        <f t="shared" si="52"/>
        <v>1214</v>
      </c>
      <c r="N79" s="1295">
        <f t="shared" si="52"/>
        <v>1214</v>
      </c>
      <c r="O79" s="1295">
        <f t="shared" si="52"/>
        <v>1214</v>
      </c>
      <c r="P79" s="1295">
        <f t="shared" si="52"/>
        <v>1214</v>
      </c>
      <c r="Q79" s="1295">
        <f>P79</f>
        <v>1214</v>
      </c>
      <c r="R79" s="1295">
        <f>Q79</f>
        <v>1214</v>
      </c>
    </row>
    <row r="80" spans="2:18">
      <c r="B80" s="1207" t="s">
        <v>6264</v>
      </c>
      <c r="C80" s="1207"/>
      <c r="D80" s="1207"/>
      <c r="E80" s="1207"/>
      <c r="F80" s="1207"/>
      <c r="G80" s="1207"/>
      <c r="H80" s="1207"/>
      <c r="I80" s="1218">
        <v>-19.7</v>
      </c>
      <c r="J80" s="1218">
        <v>-15.6</v>
      </c>
      <c r="K80" s="1295">
        <f t="shared" si="52"/>
        <v>-15.6</v>
      </c>
      <c r="L80" s="1295">
        <f t="shared" si="52"/>
        <v>-15.6</v>
      </c>
      <c r="M80" s="1295">
        <f t="shared" si="52"/>
        <v>-15.6</v>
      </c>
      <c r="N80" s="1295">
        <f t="shared" si="52"/>
        <v>-15.6</v>
      </c>
      <c r="O80" s="1295">
        <f t="shared" si="52"/>
        <v>-15.6</v>
      </c>
      <c r="P80" s="1295">
        <f t="shared" si="52"/>
        <v>-15.6</v>
      </c>
      <c r="Q80" s="1295">
        <f>P80</f>
        <v>-15.6</v>
      </c>
      <c r="R80" s="1295">
        <f>Q80</f>
        <v>-15.6</v>
      </c>
    </row>
    <row r="81" spans="2:20">
      <c r="B81" s="1207" t="s">
        <v>707</v>
      </c>
      <c r="C81" s="1207"/>
      <c r="D81" s="1207"/>
      <c r="E81" s="1207"/>
      <c r="F81" s="1207"/>
      <c r="G81" s="1207"/>
      <c r="H81" s="1207"/>
      <c r="I81" s="1218">
        <v>120.8</v>
      </c>
      <c r="J81" s="1218">
        <v>33.9</v>
      </c>
      <c r="K81" s="1218">
        <f t="shared" ref="K81:P81" si="53">J81+K77</f>
        <v>-64.388650765030121</v>
      </c>
      <c r="L81" s="1218">
        <f t="shared" si="53"/>
        <v>-141.17318728610951</v>
      </c>
      <c r="M81" s="1218">
        <f t="shared" si="53"/>
        <v>-214.40501757632029</v>
      </c>
      <c r="N81" s="1218">
        <f t="shared" si="53"/>
        <v>-272.05005574192978</v>
      </c>
      <c r="O81" s="1218">
        <f t="shared" si="53"/>
        <v>-317.94020780809814</v>
      </c>
      <c r="P81" s="1218">
        <f t="shared" si="53"/>
        <v>-356.54953403196214</v>
      </c>
      <c r="Q81" s="1218">
        <f>P81+Q77</f>
        <v>-389.99108977130561</v>
      </c>
      <c r="R81" s="1218">
        <f>Q81+R77</f>
        <v>-423.87456278646954</v>
      </c>
    </row>
    <row r="82" spans="2:20">
      <c r="B82" s="1207" t="s">
        <v>115</v>
      </c>
      <c r="C82" s="1207"/>
      <c r="D82" s="1207"/>
      <c r="E82" s="1207"/>
      <c r="F82" s="1207"/>
      <c r="G82" s="1207"/>
      <c r="H82" s="1207"/>
      <c r="I82" s="1271">
        <f t="shared" ref="I82:P82" si="54">I79+I80-I81</f>
        <v>1156.4000000000001</v>
      </c>
      <c r="J82" s="1271">
        <f t="shared" si="54"/>
        <v>1164.5</v>
      </c>
      <c r="K82" s="1271">
        <f t="shared" si="54"/>
        <v>1262.7886507650303</v>
      </c>
      <c r="L82" s="1271">
        <f t="shared" si="54"/>
        <v>1339.5731872861097</v>
      </c>
      <c r="M82" s="1271">
        <f t="shared" si="54"/>
        <v>1412.8050175763203</v>
      </c>
      <c r="N82" s="1271">
        <f t="shared" si="54"/>
        <v>1470.4500557419299</v>
      </c>
      <c r="O82" s="1271">
        <f t="shared" si="54"/>
        <v>1516.3402078080983</v>
      </c>
      <c r="P82" s="1271">
        <f t="shared" si="54"/>
        <v>1554.9495340319622</v>
      </c>
      <c r="Q82" s="1271">
        <f>Q79+Q80-Q81</f>
        <v>1588.3910897713058</v>
      </c>
      <c r="R82" s="1271">
        <f>R79+R80-R81</f>
        <v>1622.2745627864697</v>
      </c>
    </row>
    <row r="83" spans="2:20">
      <c r="B83" s="1207" t="s">
        <v>895</v>
      </c>
      <c r="C83" s="1207"/>
      <c r="D83" s="1207"/>
      <c r="E83" s="1207"/>
      <c r="F83" s="1207"/>
      <c r="G83" s="1207"/>
      <c r="H83" s="1207"/>
      <c r="I83" s="1273">
        <f t="shared" ref="I83:P83" si="55">I82/I60</f>
        <v>5.8899900220594494</v>
      </c>
      <c r="J83" s="1273">
        <f t="shared" si="55"/>
        <v>11.027462121212121</v>
      </c>
      <c r="K83" s="1273">
        <f t="shared" si="55"/>
        <v>12.609980335573789</v>
      </c>
      <c r="L83" s="1273">
        <f t="shared" si="55"/>
        <v>12.953564222514618</v>
      </c>
      <c r="M83" s="1273">
        <f t="shared" si="55"/>
        <v>13.078884386511657</v>
      </c>
      <c r="N83" s="1273">
        <f t="shared" si="55"/>
        <v>13.005520290892713</v>
      </c>
      <c r="O83" s="1273">
        <f t="shared" si="55"/>
        <v>12.817100128684256</v>
      </c>
      <c r="P83" s="1273">
        <f t="shared" si="55"/>
        <v>12.56451539039448</v>
      </c>
      <c r="Q83" s="1273">
        <f>Q82/Q60</f>
        <v>12.513285254409766</v>
      </c>
      <c r="R83" s="1273">
        <f>R82/R60</f>
        <v>12.458671169919729</v>
      </c>
    </row>
    <row r="84" spans="2:20">
      <c r="B84" s="1207"/>
      <c r="C84" s="1207"/>
      <c r="D84" s="1207"/>
      <c r="E84" s="1207"/>
      <c r="F84" s="1207"/>
      <c r="G84" s="1207"/>
      <c r="H84" s="1207"/>
      <c r="I84" s="1207"/>
      <c r="J84" s="1207"/>
      <c r="K84" s="1207"/>
      <c r="L84" s="1207"/>
      <c r="M84" s="1207"/>
      <c r="N84" s="1207"/>
      <c r="O84" s="1207"/>
      <c r="P84" s="1207"/>
      <c r="Q84" s="1207"/>
      <c r="R84" s="1207"/>
    </row>
    <row r="85" spans="2:20">
      <c r="B85" s="1207" t="s">
        <v>960</v>
      </c>
      <c r="C85" s="1207"/>
      <c r="D85" s="1218">
        <f>Forex!L38</f>
        <v>676.21</v>
      </c>
      <c r="E85" s="1218">
        <f>Forex!M38</f>
        <v>648.79999999999995</v>
      </c>
      <c r="F85" s="1218">
        <f>Forex!N38</f>
        <v>642.16999999999996</v>
      </c>
      <c r="G85" s="1218">
        <f>Forex!O38</f>
        <v>703</v>
      </c>
      <c r="H85" s="1218">
        <f>Forex!P38</f>
        <v>792</v>
      </c>
      <c r="I85" s="1218">
        <f>Forex!Q38</f>
        <v>761</v>
      </c>
      <c r="J85" s="1218">
        <f>Forex!R38</f>
        <v>873</v>
      </c>
      <c r="K85" s="1218">
        <f>Forex!S38</f>
        <v>799</v>
      </c>
      <c r="L85" s="1218">
        <f>Forex!T38</f>
        <v>811</v>
      </c>
      <c r="M85" s="1218">
        <f>Forex!U38</f>
        <v>811</v>
      </c>
      <c r="N85" s="1293">
        <f>M85</f>
        <v>811</v>
      </c>
      <c r="O85" s="1293">
        <f>N85</f>
        <v>811</v>
      </c>
      <c r="P85" s="1293">
        <f>O85</f>
        <v>811</v>
      </c>
      <c r="Q85" s="1293">
        <f>P85</f>
        <v>811</v>
      </c>
      <c r="R85" s="1293">
        <f>Q85</f>
        <v>811</v>
      </c>
    </row>
    <row r="86" spans="2:20">
      <c r="B86" s="1207"/>
      <c r="C86" s="1207"/>
      <c r="D86" s="1207"/>
      <c r="E86" s="1207"/>
      <c r="F86" s="1207"/>
      <c r="G86" s="1207"/>
      <c r="H86" s="1207"/>
      <c r="I86" s="1207"/>
      <c r="J86" s="1207"/>
      <c r="K86" s="1207"/>
      <c r="L86" s="1207"/>
      <c r="M86" s="1207"/>
      <c r="N86" s="1207"/>
      <c r="O86" s="1207"/>
      <c r="P86" s="1207"/>
      <c r="Q86" s="1207"/>
      <c r="R86" s="1207"/>
    </row>
    <row r="87" spans="2:20">
      <c r="B87" s="1275" t="s">
        <v>6289</v>
      </c>
      <c r="C87" s="1207"/>
      <c r="D87" s="1207"/>
      <c r="E87" s="1207"/>
      <c r="F87" s="1207"/>
      <c r="G87" s="1207"/>
      <c r="H87" s="1207"/>
      <c r="I87" s="1207"/>
      <c r="J87" s="1207"/>
      <c r="K87" s="1207"/>
      <c r="L87" s="1207"/>
      <c r="M87" s="1207"/>
      <c r="N87" s="1207"/>
      <c r="O87" s="1207"/>
      <c r="P87" s="1207"/>
      <c r="Q87" s="1207"/>
      <c r="R87" s="1207"/>
    </row>
    <row r="88" spans="2:20">
      <c r="B88" s="1207"/>
      <c r="C88" s="1207"/>
      <c r="D88" s="1207"/>
      <c r="E88" s="1207"/>
      <c r="F88" s="1207"/>
      <c r="G88" s="1207"/>
      <c r="H88" s="1207"/>
      <c r="I88" s="1207"/>
      <c r="J88" s="1207"/>
      <c r="K88" s="1207"/>
      <c r="L88" s="1207"/>
      <c r="M88" s="1207"/>
      <c r="N88" s="1207"/>
      <c r="O88" s="1207"/>
      <c r="P88" s="1207"/>
      <c r="Q88" s="1207"/>
      <c r="R88" s="1207"/>
    </row>
    <row r="89" spans="2:20">
      <c r="B89" s="1207" t="s">
        <v>15</v>
      </c>
      <c r="C89" s="1207"/>
      <c r="D89" s="1218">
        <f>D52*1000/D85</f>
        <v>852.69368983008235</v>
      </c>
      <c r="E89" s="1218">
        <f>E52*1000/E85</f>
        <v>951.91122071516656</v>
      </c>
      <c r="F89" s="1218">
        <f>F52*1000/F85</f>
        <v>1008.7671488858091</v>
      </c>
      <c r="G89" s="1291">
        <v>941.1</v>
      </c>
      <c r="H89" s="1218">
        <f t="shared" ref="H89:P89" si="56">H52*1000/H85</f>
        <v>807.82828282828302</v>
      </c>
      <c r="I89" s="1218">
        <f t="shared" si="56"/>
        <v>782.99553219448092</v>
      </c>
      <c r="J89" s="1218">
        <f t="shared" si="56"/>
        <v>571.36311569301256</v>
      </c>
      <c r="K89" s="1218">
        <f t="shared" si="56"/>
        <v>544.93116395494371</v>
      </c>
      <c r="L89" s="1218">
        <f t="shared" si="56"/>
        <v>542.61081679660742</v>
      </c>
      <c r="M89" s="1218">
        <f t="shared" si="56"/>
        <v>554.98268275808618</v>
      </c>
      <c r="N89" s="1218">
        <f t="shared" si="56"/>
        <v>569.0305830767154</v>
      </c>
      <c r="O89" s="1218">
        <f t="shared" si="56"/>
        <v>583.50692027731986</v>
      </c>
      <c r="P89" s="1218">
        <f t="shared" si="56"/>
        <v>598.42471447826472</v>
      </c>
      <c r="Q89" s="1218">
        <f>Q52*1000/Q85</f>
        <v>613.79742567697815</v>
      </c>
      <c r="R89" s="1218">
        <f>R52*1000/R85</f>
        <v>629.63897103173645</v>
      </c>
    </row>
    <row r="90" spans="2:20">
      <c r="B90" s="1207" t="s">
        <v>8</v>
      </c>
      <c r="C90" s="1207"/>
      <c r="D90" s="1218">
        <f>D60*1000/D85</f>
        <v>338.80007689918813</v>
      </c>
      <c r="E90" s="1218">
        <f>E60*1000/E85</f>
        <v>382.55240443896429</v>
      </c>
      <c r="F90" s="1218">
        <f>F60*1000/F85</f>
        <v>410.17176137159947</v>
      </c>
      <c r="G90" s="1291">
        <f>433.6-'Costa Rica'!E59</f>
        <v>386.6</v>
      </c>
      <c r="H90" s="1218">
        <f t="shared" ref="H90:P90" si="57">H60*1000/H85</f>
        <v>306.43939393939394</v>
      </c>
      <c r="I90" s="1218">
        <f t="shared" si="57"/>
        <v>257.9935611038108</v>
      </c>
      <c r="J90" s="1218">
        <f t="shared" si="57"/>
        <v>120.96219931271479</v>
      </c>
      <c r="K90" s="1218">
        <f t="shared" si="57"/>
        <v>125.33416770963704</v>
      </c>
      <c r="L90" s="1218">
        <f t="shared" si="57"/>
        <v>127.51354194720277</v>
      </c>
      <c r="M90" s="1218">
        <f t="shared" si="57"/>
        <v>133.19584386194069</v>
      </c>
      <c r="N90" s="1218">
        <f t="shared" si="57"/>
        <v>139.4124928537953</v>
      </c>
      <c r="O90" s="1218">
        <f t="shared" si="57"/>
        <v>145.87673006932997</v>
      </c>
      <c r="P90" s="1218">
        <f t="shared" si="57"/>
        <v>152.59830219195752</v>
      </c>
      <c r="Q90" s="1218">
        <f>Q60*1000/Q85</f>
        <v>156.51834354762943</v>
      </c>
      <c r="R90" s="1218">
        <f>R60*1000/R85</f>
        <v>160.55793761309278</v>
      </c>
    </row>
    <row r="91" spans="2:20">
      <c r="B91" s="1207"/>
      <c r="C91" s="1207"/>
      <c r="D91" s="1207"/>
      <c r="E91" s="1207"/>
      <c r="F91" s="1207"/>
      <c r="G91" s="1207"/>
      <c r="H91" s="1207"/>
      <c r="I91" s="1207"/>
      <c r="J91" s="1207"/>
      <c r="K91" s="1207"/>
      <c r="L91" s="1207"/>
      <c r="M91" s="1207"/>
      <c r="N91" s="1207"/>
      <c r="O91" s="1207"/>
      <c r="P91" s="1207"/>
      <c r="Q91" s="1207"/>
      <c r="R91" s="1207"/>
    </row>
    <row r="92" spans="2:20">
      <c r="B92" s="1207" t="s">
        <v>19</v>
      </c>
      <c r="C92" s="1207"/>
      <c r="D92" s="1218">
        <f>D64*1000/D85</f>
        <v>195.20563138669939</v>
      </c>
      <c r="E92" s="1218">
        <f>E64*1000/E85</f>
        <v>212.54623921085081</v>
      </c>
      <c r="F92" s="1291">
        <f>214.7-Master!J119</f>
        <v>206.7</v>
      </c>
      <c r="G92" s="1291">
        <f>227.8-Master!K119</f>
        <v>194.625</v>
      </c>
      <c r="H92" s="1218">
        <f t="shared" ref="H92:P92" si="58">H64*1000/H85</f>
        <v>171.84343434343435</v>
      </c>
      <c r="I92" s="1218">
        <f t="shared" si="58"/>
        <v>199.1</v>
      </c>
      <c r="J92" s="1218">
        <f t="shared" si="58"/>
        <v>135.85337915234823</v>
      </c>
      <c r="K92" s="1218">
        <f t="shared" si="58"/>
        <v>150.31289111389236</v>
      </c>
      <c r="L92" s="1218">
        <f t="shared" si="58"/>
        <v>124.80048786321971</v>
      </c>
      <c r="M92" s="1218">
        <f t="shared" si="58"/>
        <v>122.09619020677896</v>
      </c>
      <c r="N92" s="1218">
        <f t="shared" si="58"/>
        <v>108.11581078457594</v>
      </c>
      <c r="O92" s="1218">
        <f t="shared" si="58"/>
        <v>99.196176447144396</v>
      </c>
      <c r="P92" s="1218">
        <f t="shared" si="58"/>
        <v>95.747954316522353</v>
      </c>
      <c r="Q92" s="1218">
        <f>Q64*1000/Q85</f>
        <v>92.06961385154672</v>
      </c>
      <c r="R92" s="1218">
        <f>R64*1000/R85</f>
        <v>94.445845654760461</v>
      </c>
    </row>
    <row r="93" spans="2:20">
      <c r="B93" s="1207" t="s">
        <v>27</v>
      </c>
      <c r="C93" s="1207"/>
      <c r="D93" s="1218">
        <f>D90-D92</f>
        <v>143.59444551248873</v>
      </c>
      <c r="E93" s="1218">
        <f t="shared" ref="E93:P93" si="59">E90-E92</f>
        <v>170.00616522811347</v>
      </c>
      <c r="F93" s="1218">
        <f t="shared" si="59"/>
        <v>203.47176137159948</v>
      </c>
      <c r="G93" s="1218">
        <f t="shared" si="59"/>
        <v>191.97500000000002</v>
      </c>
      <c r="H93" s="1218">
        <f t="shared" si="59"/>
        <v>134.59595959595958</v>
      </c>
      <c r="I93" s="1218">
        <f t="shared" si="59"/>
        <v>58.893561103810811</v>
      </c>
      <c r="J93" s="1218">
        <f t="shared" si="59"/>
        <v>-14.891179839633438</v>
      </c>
      <c r="K93" s="1218">
        <f t="shared" si="59"/>
        <v>-24.978723404255319</v>
      </c>
      <c r="L93" s="1218">
        <f t="shared" si="59"/>
        <v>2.713054083983053</v>
      </c>
      <c r="M93" s="1218">
        <f t="shared" si="59"/>
        <v>11.099653655161731</v>
      </c>
      <c r="N93" s="1218">
        <f t="shared" si="59"/>
        <v>31.296682069219358</v>
      </c>
      <c r="O93" s="1218">
        <f t="shared" si="59"/>
        <v>46.68055362218557</v>
      </c>
      <c r="P93" s="1218">
        <f t="shared" si="59"/>
        <v>56.850347875435162</v>
      </c>
      <c r="Q93" s="1218">
        <f>Q90-Q92</f>
        <v>64.448729696082708</v>
      </c>
      <c r="R93" s="1218">
        <f>R90-R92</f>
        <v>66.112091958332314</v>
      </c>
    </row>
    <row r="94" spans="2:20">
      <c r="B94" s="1207"/>
      <c r="C94" s="1207"/>
      <c r="D94" s="1218"/>
      <c r="E94" s="1218"/>
      <c r="F94" s="1218"/>
      <c r="G94" s="1218"/>
      <c r="H94" s="1218"/>
      <c r="I94" s="1218"/>
      <c r="J94" s="1218"/>
      <c r="K94" s="1218"/>
      <c r="L94" s="1218"/>
      <c r="M94" s="1218"/>
      <c r="N94" s="1218"/>
      <c r="O94" s="1218"/>
      <c r="P94" s="1218"/>
      <c r="Q94" s="1218"/>
      <c r="R94" s="1218"/>
      <c r="S94" s="1218"/>
      <c r="T94" s="1218"/>
    </row>
    <row r="95" spans="2:20">
      <c r="B95" s="1275" t="s">
        <v>6290</v>
      </c>
      <c r="C95" s="1300">
        <v>44713</v>
      </c>
      <c r="D95" s="1218"/>
      <c r="E95" s="1218"/>
      <c r="F95" s="1218"/>
      <c r="G95" s="1218"/>
      <c r="H95" s="1218"/>
      <c r="I95" s="1218"/>
      <c r="J95" s="1301" t="s">
        <v>2925</v>
      </c>
      <c r="K95" s="1218"/>
      <c r="L95" s="1218"/>
      <c r="M95" s="1218"/>
      <c r="N95" s="1218"/>
      <c r="O95" s="1218"/>
      <c r="P95" s="1218"/>
      <c r="Q95" s="1218"/>
      <c r="R95" s="1218"/>
      <c r="S95" s="1218"/>
      <c r="T95" s="1218"/>
    </row>
    <row r="96" spans="2:20">
      <c r="B96" s="1211"/>
      <c r="C96" s="1297" t="s">
        <v>2046</v>
      </c>
      <c r="D96" s="1298" t="s">
        <v>8</v>
      </c>
      <c r="E96" s="1209"/>
      <c r="F96" s="1218"/>
      <c r="G96" s="1298" t="s">
        <v>6297</v>
      </c>
      <c r="H96" s="1298" t="s">
        <v>331</v>
      </c>
      <c r="I96" s="1298" t="s">
        <v>332</v>
      </c>
      <c r="J96" s="1298" t="s">
        <v>5852</v>
      </c>
      <c r="K96" s="1218"/>
      <c r="L96" s="1218"/>
      <c r="M96" s="1207"/>
      <c r="N96" s="1214" t="s">
        <v>115</v>
      </c>
      <c r="O96" s="1214" t="s">
        <v>332</v>
      </c>
      <c r="P96" s="1218"/>
      <c r="Q96" s="1218"/>
      <c r="R96" s="1218"/>
      <c r="S96" s="1218"/>
      <c r="T96" s="1218"/>
    </row>
    <row r="97" spans="2:20">
      <c r="B97" s="1207" t="s">
        <v>6292</v>
      </c>
      <c r="C97" s="1218">
        <f>Notes!E3773</f>
        <v>1047.6999999999998</v>
      </c>
      <c r="D97" s="1218">
        <f>K119</f>
        <v>62.5</v>
      </c>
      <c r="E97" s="1273">
        <f>C97/D97</f>
        <v>16.763199999999998</v>
      </c>
      <c r="F97" s="1218"/>
      <c r="G97" s="1291">
        <v>5</v>
      </c>
      <c r="H97" s="1271">
        <f>G97*D97</f>
        <v>312.5</v>
      </c>
      <c r="I97" s="1271">
        <f>H97-C97</f>
        <v>-735.19999999999982</v>
      </c>
      <c r="J97" s="1271">
        <f>I97+C100</f>
        <v>-656.19999999999982</v>
      </c>
      <c r="K97" s="1271"/>
      <c r="L97" s="1271"/>
      <c r="M97" s="1271" t="s">
        <v>899</v>
      </c>
      <c r="N97" s="1271">
        <f>C97</f>
        <v>1047.6999999999998</v>
      </c>
      <c r="O97" s="1271">
        <f>J97</f>
        <v>-656.19999999999982</v>
      </c>
      <c r="P97" s="1218"/>
      <c r="Q97" s="1218"/>
      <c r="R97" s="1218"/>
      <c r="S97" s="1218"/>
      <c r="T97" s="1218"/>
    </row>
    <row r="98" spans="2:20">
      <c r="B98" s="1207" t="s">
        <v>6293</v>
      </c>
      <c r="C98" s="1218">
        <f>Analysis!C3355-(J121-J122-J134)</f>
        <v>312.44614716700511</v>
      </c>
      <c r="D98" s="1218">
        <f>K124</f>
        <v>22.204964817534513</v>
      </c>
      <c r="E98" s="1273">
        <f>C98/D98</f>
        <v>14.071003927926826</v>
      </c>
      <c r="F98" s="1218"/>
      <c r="G98" s="1291">
        <v>4</v>
      </c>
      <c r="H98" s="1271">
        <f>G98*D98</f>
        <v>88.819859270138053</v>
      </c>
      <c r="I98" s="1271">
        <f>H98-C98</f>
        <v>-223.62628789686704</v>
      </c>
      <c r="J98" s="1271">
        <f>I98-C100</f>
        <v>-302.62628789686704</v>
      </c>
      <c r="K98" s="1271"/>
      <c r="L98" s="1271"/>
      <c r="M98" s="1271" t="s">
        <v>1364</v>
      </c>
      <c r="N98" s="1271">
        <f>C98</f>
        <v>312.44614716700511</v>
      </c>
      <c r="O98" s="1271">
        <f>J98</f>
        <v>-302.62628789686704</v>
      </c>
      <c r="P98" s="1218"/>
      <c r="Q98" s="1218"/>
      <c r="R98" s="1218"/>
      <c r="S98" s="1218"/>
      <c r="T98" s="1218"/>
    </row>
    <row r="99" spans="2:20">
      <c r="B99" s="1207"/>
      <c r="C99" s="1218"/>
      <c r="D99" s="1218"/>
      <c r="E99" s="1273"/>
      <c r="F99" s="1218"/>
      <c r="G99" s="1218"/>
      <c r="H99" s="1218"/>
      <c r="I99" s="1218"/>
      <c r="J99" s="1218"/>
      <c r="K99" s="1218"/>
      <c r="L99" s="1218"/>
      <c r="M99" s="1218"/>
      <c r="N99" s="1218"/>
      <c r="O99" s="1218"/>
      <c r="P99" s="1218"/>
      <c r="Q99" s="1218"/>
      <c r="R99" s="1218"/>
      <c r="S99" s="1218"/>
      <c r="T99" s="1218"/>
    </row>
    <row r="100" spans="2:20">
      <c r="B100" s="1207" t="s">
        <v>6296</v>
      </c>
      <c r="C100" s="1218">
        <f>Analysis!C3356</f>
        <v>79</v>
      </c>
      <c r="D100" s="1218"/>
      <c r="E100" s="1273"/>
      <c r="F100" s="1218"/>
      <c r="G100" s="1218"/>
      <c r="H100" s="1218"/>
      <c r="I100" s="1218"/>
      <c r="J100" s="1218"/>
      <c r="K100" s="1218"/>
      <c r="L100" s="1218"/>
      <c r="M100" s="1218"/>
      <c r="N100" s="1218"/>
      <c r="O100" s="1218"/>
      <c r="P100" s="1218"/>
      <c r="Q100" s="1218"/>
      <c r="R100" s="1218"/>
      <c r="S100" s="1218"/>
      <c r="T100" s="1218"/>
    </row>
    <row r="101" spans="2:20">
      <c r="B101" s="1207"/>
      <c r="C101" s="1218"/>
      <c r="D101" s="1218"/>
      <c r="E101" s="1273"/>
      <c r="F101" s="1218"/>
      <c r="G101" s="1218"/>
      <c r="H101" s="1218"/>
      <c r="I101" s="1218"/>
      <c r="J101" s="1218"/>
      <c r="K101" s="1218"/>
      <c r="L101" s="1218"/>
      <c r="M101" s="1218"/>
      <c r="N101" s="1218"/>
      <c r="O101" s="1218"/>
      <c r="P101" s="1218"/>
      <c r="Q101" s="1218"/>
      <c r="R101" s="1218"/>
      <c r="S101" s="1218"/>
      <c r="T101" s="1218"/>
    </row>
    <row r="102" spans="2:20">
      <c r="B102" s="1294" t="s">
        <v>6294</v>
      </c>
      <c r="C102" s="1218"/>
      <c r="D102" s="1218"/>
      <c r="E102" s="1273"/>
      <c r="F102" s="1218"/>
      <c r="G102" s="1218"/>
      <c r="H102" s="1218"/>
      <c r="I102" s="1218"/>
      <c r="J102" s="1218"/>
      <c r="K102" s="1218"/>
      <c r="L102" s="1218"/>
      <c r="M102" s="1218"/>
      <c r="N102" s="1218"/>
      <c r="O102" s="1218"/>
      <c r="P102" s="1218"/>
      <c r="Q102" s="1218"/>
      <c r="R102" s="1218"/>
      <c r="S102" s="1218"/>
      <c r="T102" s="1218"/>
    </row>
    <row r="103" spans="2:20">
      <c r="B103" s="1207" t="s">
        <v>899</v>
      </c>
      <c r="C103" s="1218">
        <f>C97-C100</f>
        <v>968.69999999999982</v>
      </c>
      <c r="D103" s="1218">
        <f>D97</f>
        <v>62.5</v>
      </c>
      <c r="E103" s="1273">
        <f>C103/D103</f>
        <v>15.499199999999997</v>
      </c>
      <c r="F103" s="1218"/>
      <c r="G103" s="1218"/>
      <c r="H103" s="1218"/>
      <c r="I103" s="1218"/>
      <c r="J103" s="1218"/>
      <c r="K103" s="1218"/>
      <c r="L103" s="1218"/>
      <c r="M103" s="1218"/>
      <c r="N103" s="1218"/>
      <c r="O103" s="1218"/>
      <c r="P103" s="1218"/>
      <c r="Q103" s="1218"/>
      <c r="R103" s="1218"/>
      <c r="S103" s="1218"/>
      <c r="T103" s="1218"/>
    </row>
    <row r="104" spans="2:20">
      <c r="B104" s="1207" t="s">
        <v>6295</v>
      </c>
      <c r="C104" s="1218">
        <f>C98+C100</f>
        <v>391.44614716700511</v>
      </c>
      <c r="D104" s="1218">
        <f>D98</f>
        <v>22.204964817534513</v>
      </c>
      <c r="E104" s="1273">
        <f>C104/D104</f>
        <v>17.62876682686267</v>
      </c>
      <c r="F104" s="1218"/>
      <c r="G104" s="1218"/>
      <c r="H104" s="1218"/>
      <c r="I104" s="1218"/>
      <c r="J104" s="1218"/>
      <c r="K104" s="1218"/>
      <c r="L104" s="1218"/>
      <c r="M104" s="1218"/>
      <c r="N104" s="1218"/>
      <c r="O104" s="1218"/>
      <c r="P104" s="1218"/>
      <c r="Q104" s="1218"/>
      <c r="R104" s="1218"/>
      <c r="S104" s="1218"/>
      <c r="T104" s="1218"/>
    </row>
    <row r="105" spans="2:20">
      <c r="B105" s="1207"/>
      <c r="C105" s="1207"/>
      <c r="D105" s="1218"/>
      <c r="E105" s="1218"/>
      <c r="F105" s="1218"/>
      <c r="G105" s="1218"/>
      <c r="H105" s="1218"/>
      <c r="I105" s="1218"/>
      <c r="J105" s="1218"/>
      <c r="K105" s="1218"/>
      <c r="L105" s="1218"/>
      <c r="M105" s="1218"/>
      <c r="N105" s="1218"/>
      <c r="O105" s="1218"/>
      <c r="P105" s="1218"/>
      <c r="Q105" s="1218"/>
      <c r="R105" s="1218"/>
      <c r="S105" s="1218"/>
      <c r="T105" s="1218"/>
    </row>
    <row r="106" spans="2:20">
      <c r="B106" s="1207" t="s">
        <v>6791</v>
      </c>
      <c r="C106" s="1207">
        <v>290</v>
      </c>
      <c r="D106" s="1218"/>
      <c r="E106" s="1218"/>
      <c r="F106" s="1218"/>
      <c r="G106" s="1218"/>
      <c r="H106" s="1218"/>
      <c r="I106" s="1218"/>
      <c r="J106" s="1218"/>
      <c r="K106" s="1218"/>
      <c r="L106" s="1218"/>
      <c r="M106" s="1218"/>
      <c r="N106" s="1218"/>
      <c r="O106" s="1218"/>
      <c r="P106" s="1218"/>
      <c r="Q106" s="1218"/>
      <c r="R106" s="1218"/>
      <c r="S106" s="1218"/>
      <c r="T106" s="1218"/>
    </row>
    <row r="107" spans="2:20">
      <c r="B107" s="1207" t="s">
        <v>6798</v>
      </c>
      <c r="C107" s="1271">
        <f>J79+J80</f>
        <v>1198.4000000000001</v>
      </c>
      <c r="D107" s="1218"/>
      <c r="E107" s="1218"/>
      <c r="F107" s="1218"/>
      <c r="G107" s="1218"/>
      <c r="H107" s="1218"/>
      <c r="I107" s="1218"/>
      <c r="J107" s="1218"/>
      <c r="K107" s="1218"/>
      <c r="L107" s="1218"/>
      <c r="M107" s="1218"/>
      <c r="N107" s="1218"/>
      <c r="O107" s="1218"/>
      <c r="P107" s="1218"/>
      <c r="Q107" s="1218"/>
      <c r="R107" s="1218"/>
      <c r="S107" s="1218"/>
      <c r="T107" s="1218"/>
    </row>
    <row r="108" spans="2:20">
      <c r="B108" s="1207" t="s">
        <v>7027</v>
      </c>
      <c r="C108" s="1271">
        <v>100</v>
      </c>
      <c r="D108" s="1218"/>
      <c r="E108" s="1218"/>
      <c r="F108" s="1218"/>
      <c r="G108" s="1218"/>
      <c r="H108" s="1218"/>
      <c r="I108" s="1218"/>
      <c r="J108" s="1218"/>
      <c r="K108" s="1218"/>
      <c r="L108" s="1218"/>
      <c r="M108" s="1218"/>
      <c r="N108" s="1218"/>
      <c r="O108" s="1218"/>
      <c r="P108" s="1218"/>
      <c r="Q108" s="1218"/>
      <c r="R108" s="1218"/>
      <c r="S108" s="1218"/>
      <c r="T108" s="1218"/>
    </row>
    <row r="109" spans="2:20">
      <c r="B109" s="1207" t="s">
        <v>6792</v>
      </c>
      <c r="C109" s="1271">
        <v>20</v>
      </c>
      <c r="D109" s="1218"/>
      <c r="E109" s="1218"/>
      <c r="F109" s="1218"/>
      <c r="G109" s="1218"/>
      <c r="H109" s="1218"/>
      <c r="I109" s="1218"/>
      <c r="J109" s="1218"/>
      <c r="K109" s="1218"/>
      <c r="L109" s="1218"/>
      <c r="M109" s="1218"/>
      <c r="N109" s="1218"/>
      <c r="O109" s="1218"/>
      <c r="P109" s="1218"/>
      <c r="Q109" s="1218"/>
      <c r="R109" s="1218"/>
      <c r="S109" s="1218"/>
      <c r="T109" s="1218"/>
    </row>
    <row r="110" spans="2:20">
      <c r="B110" s="1211" t="s">
        <v>6793</v>
      </c>
      <c r="C110" s="1209">
        <f>J81</f>
        <v>33.9</v>
      </c>
      <c r="D110" s="1218"/>
      <c r="E110" s="1218"/>
      <c r="F110" s="1218"/>
      <c r="G110" s="1218"/>
      <c r="H110" s="1218"/>
      <c r="I110" s="1218"/>
      <c r="J110" s="1218"/>
      <c r="K110" s="1218"/>
      <c r="L110" s="1218"/>
      <c r="M110" s="1218"/>
      <c r="N110" s="1218"/>
      <c r="O110" s="1218"/>
      <c r="P110" s="1218"/>
      <c r="Q110" s="1218"/>
      <c r="R110" s="1218"/>
      <c r="S110" s="1218"/>
      <c r="T110" s="1218"/>
    </row>
    <row r="111" spans="2:20">
      <c r="B111" s="1207" t="s">
        <v>115</v>
      </c>
      <c r="C111" s="1218">
        <f>C106+C107-C109-C110-C108</f>
        <v>1334.5</v>
      </c>
      <c r="D111" s="1218"/>
      <c r="E111" s="1218"/>
      <c r="F111" s="1218"/>
      <c r="G111" s="1218"/>
      <c r="H111" s="1218"/>
      <c r="I111" s="1218"/>
      <c r="J111" s="1218"/>
      <c r="K111" s="1218"/>
      <c r="L111" s="1218"/>
      <c r="M111" s="1218"/>
      <c r="N111" s="1218"/>
      <c r="O111" s="1218"/>
      <c r="P111" s="1218"/>
      <c r="Q111" s="1218"/>
      <c r="R111" s="1218"/>
      <c r="S111" s="1218"/>
      <c r="T111" s="1218"/>
    </row>
    <row r="112" spans="2:20" ht="15.75" thickBot="1">
      <c r="B112" s="1207"/>
      <c r="C112" s="1207"/>
      <c r="D112" s="1218"/>
      <c r="E112" s="1218"/>
      <c r="F112" s="1218"/>
      <c r="G112" s="1218"/>
      <c r="H112" s="1218"/>
      <c r="I112" s="1218"/>
      <c r="J112" s="1218"/>
      <c r="K112" s="1218"/>
      <c r="L112" s="1218"/>
      <c r="M112" s="1218"/>
      <c r="N112" s="1218"/>
      <c r="O112" s="1218"/>
      <c r="P112" s="1218"/>
      <c r="Q112" s="1218"/>
      <c r="R112" s="1218"/>
      <c r="S112" s="1218"/>
      <c r="T112" s="1218"/>
    </row>
    <row r="113" spans="2:36">
      <c r="B113" s="1205" t="s">
        <v>6162</v>
      </c>
      <c r="C113" s="1308"/>
      <c r="D113" s="1205">
        <f>E113-1</f>
        <v>2016</v>
      </c>
      <c r="E113" s="1205">
        <f>F113-1</f>
        <v>2017</v>
      </c>
      <c r="F113" s="1205">
        <f>G113-1</f>
        <v>2018</v>
      </c>
      <c r="G113" s="1205">
        <f>H113-1</f>
        <v>2019</v>
      </c>
      <c r="H113" s="1205">
        <f>I113-1</f>
        <v>2020</v>
      </c>
      <c r="I113" s="1205">
        <v>2021</v>
      </c>
      <c r="J113" s="1205">
        <v>2022</v>
      </c>
      <c r="K113" s="1205">
        <f t="shared" ref="K113:R113" si="60">J113+1</f>
        <v>2023</v>
      </c>
      <c r="L113" s="1205">
        <f t="shared" si="60"/>
        <v>2024</v>
      </c>
      <c r="M113" s="1205">
        <f t="shared" si="60"/>
        <v>2025</v>
      </c>
      <c r="N113" s="1205">
        <f t="shared" si="60"/>
        <v>2026</v>
      </c>
      <c r="O113" s="1205">
        <f t="shared" si="60"/>
        <v>2027</v>
      </c>
      <c r="P113" s="1205">
        <f t="shared" si="60"/>
        <v>2028</v>
      </c>
      <c r="Q113" s="1205">
        <f t="shared" si="60"/>
        <v>2029</v>
      </c>
      <c r="R113" s="1205">
        <f t="shared" si="60"/>
        <v>2030</v>
      </c>
      <c r="S113" s="1315" t="s">
        <v>5844</v>
      </c>
      <c r="T113" s="1207"/>
    </row>
    <row r="114" spans="2:36">
      <c r="B114" s="1302" t="s">
        <v>899</v>
      </c>
      <c r="C114" s="1302"/>
      <c r="D114" s="1303">
        <f>Chile!D52</f>
        <v>576.6</v>
      </c>
      <c r="E114" s="1303">
        <f>Chile!E52</f>
        <v>617.6</v>
      </c>
      <c r="F114" s="1303">
        <f>Chile!F52</f>
        <v>647.79999999999995</v>
      </c>
      <c r="G114" s="1303">
        <f>Chile!G52</f>
        <v>660.49999999999989</v>
      </c>
      <c r="H114" s="1303">
        <f>Chile!H52</f>
        <v>639.80000000000007</v>
      </c>
      <c r="I114" s="1303">
        <f>Chile!I52</f>
        <v>595.8596</v>
      </c>
      <c r="J114" s="1303">
        <f>Chile!J52</f>
        <v>498.8</v>
      </c>
      <c r="K114" s="1303">
        <f>Chile!K52</f>
        <v>435.4</v>
      </c>
      <c r="L114" s="1303">
        <f>Chile!L52</f>
        <v>440.05737242204867</v>
      </c>
      <c r="M114" s="1303">
        <f>Chile!M52</f>
        <v>450.09095571680785</v>
      </c>
      <c r="N114" s="1303">
        <f>Chile!N52</f>
        <v>461.48380287521621</v>
      </c>
      <c r="O114" s="1303">
        <f>Chile!O52</f>
        <v>473.22411234490642</v>
      </c>
      <c r="P114" s="1303">
        <f>Chile!P52</f>
        <v>485.32244344187268</v>
      </c>
      <c r="Q114" s="1303">
        <f>Chile!Q52</f>
        <v>497.7897122240293</v>
      </c>
      <c r="R114" s="1303">
        <f>Chile!R52</f>
        <v>510.63720550673821</v>
      </c>
      <c r="S114" s="1316">
        <f>(P114/J114)^(1/6)-1</f>
        <v>-4.5548802470763983E-3</v>
      </c>
      <c r="T114" s="1207"/>
    </row>
    <row r="115" spans="2:36">
      <c r="B115" s="1308" t="s">
        <v>1364</v>
      </c>
      <c r="C115" s="1308"/>
      <c r="D115" s="1309">
        <f>V115/1000</f>
        <v>766.93200000000002</v>
      </c>
      <c r="E115" s="1309">
        <f>W115/1000</f>
        <v>851.27700000000004</v>
      </c>
      <c r="F115" s="1309">
        <f>X115/1000</f>
        <v>835.60299999999995</v>
      </c>
      <c r="G115" s="1309">
        <f>Y115/1000</f>
        <v>835.024</v>
      </c>
      <c r="H115" s="1309">
        <f>Z115/1000</f>
        <v>777.52</v>
      </c>
      <c r="I115" s="1309">
        <f t="shared" ref="I115:R115" si="61">AA115/1000</f>
        <v>818.49099999999999</v>
      </c>
      <c r="J115" s="1309">
        <f t="shared" si="61"/>
        <v>779.74886083604076</v>
      </c>
      <c r="K115" s="1309">
        <f t="shared" si="61"/>
        <v>740.16549391781712</v>
      </c>
      <c r="L115" s="1309">
        <f>AD115/1000</f>
        <v>750.75144387573857</v>
      </c>
      <c r="M115" s="1309">
        <f t="shared" si="61"/>
        <v>765.75623977963926</v>
      </c>
      <c r="N115" s="1309">
        <f t="shared" si="61"/>
        <v>780.81229111737889</v>
      </c>
      <c r="O115" s="1309">
        <f t="shared" si="61"/>
        <v>796.05126791494172</v>
      </c>
      <c r="P115" s="1309">
        <f t="shared" si="61"/>
        <v>811.55699331290384</v>
      </c>
      <c r="Q115" s="1309">
        <f t="shared" si="61"/>
        <v>824.30709865403765</v>
      </c>
      <c r="R115" s="1309">
        <f t="shared" si="61"/>
        <v>834.21058387677215</v>
      </c>
      <c r="S115" s="1317">
        <f>(P115/J115)^(1/6)-1</f>
        <v>6.686039428245083E-3</v>
      </c>
      <c r="T115" s="1207"/>
      <c r="V115" s="16">
        <v>766932</v>
      </c>
      <c r="W115" s="16">
        <v>851277</v>
      </c>
      <c r="X115" s="16">
        <v>835603</v>
      </c>
      <c r="Y115" s="16">
        <v>835024</v>
      </c>
      <c r="Z115" s="16">
        <v>777520</v>
      </c>
      <c r="AA115" s="16">
        <v>818491</v>
      </c>
      <c r="AB115" s="16">
        <v>779748.86083604081</v>
      </c>
      <c r="AC115" s="16">
        <v>740165.49391781713</v>
      </c>
      <c r="AD115" s="16">
        <v>750751.44387573854</v>
      </c>
      <c r="AE115" s="16">
        <v>765756.23977963929</v>
      </c>
      <c r="AF115" s="16">
        <v>780812.29111737886</v>
      </c>
      <c r="AG115" s="16">
        <v>796051.26791494177</v>
      </c>
      <c r="AH115" s="16">
        <v>811556.9933129038</v>
      </c>
      <c r="AI115" s="16">
        <v>824307.09865403769</v>
      </c>
      <c r="AJ115" s="16">
        <v>834210.5838767722</v>
      </c>
    </row>
    <row r="116" spans="2:36">
      <c r="B116" s="1318" t="s">
        <v>5778</v>
      </c>
      <c r="C116" s="1318"/>
      <c r="D116" s="1319">
        <f>D114+D115</f>
        <v>1343.5320000000002</v>
      </c>
      <c r="E116" s="1319">
        <f>E114+E115</f>
        <v>1468.877</v>
      </c>
      <c r="F116" s="1319">
        <f>F114+F115</f>
        <v>1483.4029999999998</v>
      </c>
      <c r="G116" s="1319">
        <f>G114+G115</f>
        <v>1495.5239999999999</v>
      </c>
      <c r="H116" s="1319">
        <f>H114+H115</f>
        <v>1417.3200000000002</v>
      </c>
      <c r="I116" s="1319">
        <f t="shared" ref="I116:P116" si="62">I114+I115</f>
        <v>1414.3506</v>
      </c>
      <c r="J116" s="1319">
        <f t="shared" si="62"/>
        <v>1278.5488608360408</v>
      </c>
      <c r="K116" s="1319">
        <f t="shared" si="62"/>
        <v>1175.5654939178171</v>
      </c>
      <c r="L116" s="1319">
        <f t="shared" si="62"/>
        <v>1190.8088162977872</v>
      </c>
      <c r="M116" s="1319">
        <f t="shared" si="62"/>
        <v>1215.8471954964471</v>
      </c>
      <c r="N116" s="1319">
        <f t="shared" si="62"/>
        <v>1242.2960939925952</v>
      </c>
      <c r="O116" s="1319">
        <f t="shared" si="62"/>
        <v>1269.2753802598481</v>
      </c>
      <c r="P116" s="1320">
        <f t="shared" si="62"/>
        <v>1296.8794367547766</v>
      </c>
      <c r="Q116" s="1320">
        <f t="shared" ref="Q116:R116" si="63">Q114+Q115</f>
        <v>1322.0968108780669</v>
      </c>
      <c r="R116" s="1320">
        <f t="shared" si="63"/>
        <v>1344.8477893835104</v>
      </c>
      <c r="S116" s="1321">
        <f>(P116/J116)^(1/6)-1</f>
        <v>2.3753522246037218E-3</v>
      </c>
      <c r="T116" s="1207"/>
    </row>
    <row r="117" spans="2:36">
      <c r="B117" s="1203"/>
      <c r="C117" s="1203"/>
      <c r="D117" s="1203"/>
      <c r="E117" s="1203"/>
      <c r="F117" s="1203"/>
      <c r="G117" s="1203"/>
      <c r="H117" s="1203"/>
      <c r="I117" s="1203"/>
      <c r="J117" s="1203"/>
      <c r="K117" s="1203"/>
      <c r="L117" s="1203"/>
      <c r="M117" s="1203"/>
      <c r="N117" s="1203"/>
      <c r="O117" s="1203"/>
      <c r="P117" s="1203"/>
      <c r="Q117" s="1203"/>
      <c r="R117" s="1203"/>
      <c r="S117" s="1322"/>
      <c r="T117" s="1207"/>
    </row>
    <row r="118" spans="2:36">
      <c r="B118" s="1313" t="s">
        <v>5842</v>
      </c>
      <c r="C118" s="1313"/>
      <c r="D118" s="1313"/>
      <c r="E118" s="1313"/>
      <c r="F118" s="1313"/>
      <c r="G118" s="1313"/>
      <c r="H118" s="1313"/>
      <c r="I118" s="1313"/>
      <c r="J118" s="1313"/>
      <c r="K118" s="1313"/>
      <c r="L118" s="1313"/>
      <c r="M118" s="1313"/>
      <c r="N118" s="1313"/>
      <c r="O118" s="1313"/>
      <c r="P118" s="1313"/>
      <c r="Q118" s="1313"/>
      <c r="R118" s="1313"/>
      <c r="S118" s="1323"/>
      <c r="T118" s="1207"/>
      <c r="W118" t="s">
        <v>5859</v>
      </c>
    </row>
    <row r="119" spans="2:36">
      <c r="B119" s="1203" t="s">
        <v>899</v>
      </c>
      <c r="C119" s="1203"/>
      <c r="D119" s="1306">
        <f>Chile!D60</f>
        <v>229.1</v>
      </c>
      <c r="E119" s="1306">
        <f>Chile!E60</f>
        <v>248.2</v>
      </c>
      <c r="F119" s="1306">
        <f>Chile!F60</f>
        <v>263.39999999999998</v>
      </c>
      <c r="G119" s="1306">
        <f>Chile!G60</f>
        <v>271.39999999999998</v>
      </c>
      <c r="H119" s="1306">
        <f>Chile!H60</f>
        <v>242.7</v>
      </c>
      <c r="I119" s="1306">
        <f>Chile!I60</f>
        <v>196.3331</v>
      </c>
      <c r="J119" s="1306">
        <f>Chile!J60</f>
        <v>105.60000000000001</v>
      </c>
      <c r="K119" s="1306">
        <f>'LiLAC valuation'!AP256+'LiLAC valuation'!AQ256+'LiLAC valuation'!AR256+'LiLAC valuation'!AS256</f>
        <v>62.5</v>
      </c>
      <c r="L119" s="1306">
        <f t="shared" ref="L119:R119" si="64">L128*L114</f>
        <v>57.207458414866331</v>
      </c>
      <c r="M119" s="1306">
        <f t="shared" si="64"/>
        <v>63.012733800353104</v>
      </c>
      <c r="N119" s="1306">
        <f t="shared" si="64"/>
        <v>83.067084517538916</v>
      </c>
      <c r="O119" s="1306">
        <f t="shared" si="64"/>
        <v>85.180340222083146</v>
      </c>
      <c r="P119" s="1306">
        <f t="shared" si="64"/>
        <v>87.358039819537083</v>
      </c>
      <c r="Q119" s="1306">
        <f t="shared" si="64"/>
        <v>89.602148200325274</v>
      </c>
      <c r="R119" s="1306">
        <f t="shared" si="64"/>
        <v>91.914696991212878</v>
      </c>
      <c r="S119" s="1324">
        <f>(P119/J119)^(1/6)-1</f>
        <v>-3.1112929552123525E-2</v>
      </c>
      <c r="T119" s="1207"/>
      <c r="W119" t="s">
        <v>4668</v>
      </c>
    </row>
    <row r="120" spans="2:36">
      <c r="B120" s="1302"/>
      <c r="C120" s="1302"/>
      <c r="D120" s="1302"/>
      <c r="E120" s="1302"/>
      <c r="F120" s="1302"/>
      <c r="G120" s="1302"/>
      <c r="H120" s="1302"/>
      <c r="I120" s="1303"/>
      <c r="J120" s="1303"/>
      <c r="K120" s="1303"/>
      <c r="L120" s="1303"/>
      <c r="M120" s="1303"/>
      <c r="N120" s="1303"/>
      <c r="O120" s="1303"/>
      <c r="P120" s="1303"/>
      <c r="Q120" s="1303"/>
      <c r="R120" s="1303"/>
      <c r="S120" s="1316"/>
      <c r="T120" s="1207"/>
    </row>
    <row r="121" spans="2:36" outlineLevel="1">
      <c r="B121" s="1203" t="s">
        <v>7435</v>
      </c>
      <c r="C121" s="1203"/>
      <c r="D121" s="1306"/>
      <c r="E121" s="1306"/>
      <c r="F121" s="1306"/>
      <c r="G121" s="1306"/>
      <c r="H121" s="1306"/>
      <c r="I121" s="1306">
        <f>AA121/1000</f>
        <v>160.018</v>
      </c>
      <c r="J121" s="1306">
        <f>AB121/1000</f>
        <v>105</v>
      </c>
      <c r="K121" s="1306">
        <v>90</v>
      </c>
      <c r="L121" s="1306"/>
      <c r="M121" s="1306"/>
      <c r="N121" s="1306"/>
      <c r="O121" s="1306"/>
      <c r="P121" s="1306"/>
      <c r="Q121" s="1306"/>
      <c r="R121" s="1306"/>
      <c r="S121" s="1322"/>
      <c r="T121" s="1207"/>
      <c r="V121" s="16">
        <v>72743</v>
      </c>
      <c r="W121" s="16">
        <v>123252</v>
      </c>
      <c r="X121" s="16">
        <v>152810</v>
      </c>
      <c r="Y121" s="16">
        <v>190154</v>
      </c>
      <c r="Z121" s="16">
        <v>167383</v>
      </c>
      <c r="AA121" s="16">
        <v>160018</v>
      </c>
      <c r="AB121" s="63">
        <v>105000</v>
      </c>
      <c r="AC121" s="63">
        <v>100000</v>
      </c>
      <c r="AD121" s="16">
        <v>135135.25989763293</v>
      </c>
      <c r="AE121" s="16">
        <v>153151.24795592786</v>
      </c>
      <c r="AF121" s="16">
        <v>171778.70404582334</v>
      </c>
      <c r="AG121" s="16">
        <v>191052.30429958602</v>
      </c>
      <c r="AH121" s="16">
        <v>194773.67839509691</v>
      </c>
      <c r="AI121" s="16">
        <v>197833.70367696905</v>
      </c>
      <c r="AJ121" s="16">
        <v>200210.54013042533</v>
      </c>
    </row>
    <row r="122" spans="2:36" outlineLevel="1">
      <c r="B122" s="1302" t="s">
        <v>5840</v>
      </c>
      <c r="C122" s="1302"/>
      <c r="D122" s="1302"/>
      <c r="E122" s="1302"/>
      <c r="F122" s="1302"/>
      <c r="G122" s="1302"/>
      <c r="H122" s="1302"/>
      <c r="I122" s="1303">
        <f>Analysis!C3379</f>
        <v>55.434126875000004</v>
      </c>
      <c r="J122" s="1303">
        <f>I122*1.1</f>
        <v>60.977539562500006</v>
      </c>
      <c r="K122" s="1303">
        <f>J122*1.07</f>
        <v>65.245967331875008</v>
      </c>
      <c r="L122" s="1303"/>
      <c r="M122" s="1303"/>
      <c r="N122" s="1303"/>
      <c r="O122" s="1303"/>
      <c r="P122" s="1303"/>
      <c r="Q122" s="1303"/>
      <c r="R122" s="1303"/>
      <c r="S122" s="1325"/>
      <c r="T122" s="1207"/>
    </row>
    <row r="123" spans="2:36" outlineLevel="1">
      <c r="B123" s="1308" t="s">
        <v>6216</v>
      </c>
      <c r="C123" s="1308"/>
      <c r="D123" s="1308"/>
      <c r="E123" s="1308"/>
      <c r="F123" s="1308"/>
      <c r="G123" s="1308"/>
      <c r="H123" s="1308"/>
      <c r="I123" s="1309">
        <f>C226</f>
        <v>22.458123450000002</v>
      </c>
      <c r="J123" s="1310">
        <f>I123*1.06</f>
        <v>23.805610857000005</v>
      </c>
      <c r="K123" s="1310">
        <f>J123*1.06</f>
        <v>25.233947508420005</v>
      </c>
      <c r="L123" s="1309"/>
      <c r="M123" s="1309"/>
      <c r="N123" s="1309"/>
      <c r="O123" s="1309"/>
      <c r="P123" s="1309"/>
      <c r="Q123" s="1309"/>
      <c r="R123" s="1309"/>
      <c r="S123" s="1326"/>
      <c r="T123" s="1207"/>
    </row>
    <row r="124" spans="2:36">
      <c r="B124" s="1313" t="s">
        <v>6311</v>
      </c>
      <c r="C124" s="1313"/>
      <c r="D124" s="1313"/>
      <c r="E124" s="1313"/>
      <c r="F124" s="1313"/>
      <c r="G124" s="1313"/>
      <c r="H124" s="1313"/>
      <c r="I124" s="1327">
        <f>I121-I122-I123</f>
        <v>82.125749674999994</v>
      </c>
      <c r="J124" s="1327">
        <f>J121-J122-J123</f>
        <v>20.216849580499989</v>
      </c>
      <c r="K124" s="1327">
        <f t="shared" ref="K124:R124" si="65">K129*K115</f>
        <v>22.204964817534513</v>
      </c>
      <c r="L124" s="1327">
        <f t="shared" si="65"/>
        <v>15.015028877514771</v>
      </c>
      <c r="M124" s="1327">
        <f t="shared" si="65"/>
        <v>22.972687193389177</v>
      </c>
      <c r="N124" s="1327">
        <f t="shared" si="65"/>
        <v>39.040614555868949</v>
      </c>
      <c r="O124" s="1327">
        <f t="shared" si="65"/>
        <v>47.763076074896503</v>
      </c>
      <c r="P124" s="1327">
        <f t="shared" si="65"/>
        <v>64.924559465032303</v>
      </c>
      <c r="Q124" s="1327">
        <f t="shared" si="65"/>
        <v>65.944567892323008</v>
      </c>
      <c r="R124" s="1327">
        <f t="shared" si="65"/>
        <v>66.736846710141776</v>
      </c>
      <c r="S124" s="1328">
        <f>(P124/J124)^(1/6)-1</f>
        <v>0.21464468818108817</v>
      </c>
      <c r="T124" s="1207"/>
      <c r="W124" t="s">
        <v>5860</v>
      </c>
    </row>
    <row r="125" spans="2:36">
      <c r="B125" s="1204" t="s">
        <v>6306</v>
      </c>
      <c r="C125" s="1204"/>
      <c r="D125" s="1204"/>
      <c r="E125" s="1204"/>
      <c r="F125" s="1204"/>
      <c r="G125" s="1204"/>
      <c r="H125" s="1204"/>
      <c r="I125" s="1312">
        <f t="shared" ref="I125:P125" si="66">I119+I124</f>
        <v>278.45884967500001</v>
      </c>
      <c r="J125" s="1312">
        <f t="shared" si="66"/>
        <v>125.81684958049999</v>
      </c>
      <c r="K125" s="1312">
        <f t="shared" si="66"/>
        <v>84.704964817534517</v>
      </c>
      <c r="L125" s="1312">
        <f t="shared" si="66"/>
        <v>72.222487292381103</v>
      </c>
      <c r="M125" s="1312">
        <f t="shared" si="66"/>
        <v>85.985420993742281</v>
      </c>
      <c r="N125" s="1312">
        <f t="shared" si="66"/>
        <v>122.10769907340787</v>
      </c>
      <c r="O125" s="1312">
        <f>O119+O124</f>
        <v>132.94341629697965</v>
      </c>
      <c r="P125" s="1312">
        <f t="shared" si="66"/>
        <v>152.28259928456939</v>
      </c>
      <c r="Q125" s="1312">
        <f t="shared" ref="Q125:R125" si="67">Q119+Q124</f>
        <v>155.5467160926483</v>
      </c>
      <c r="R125" s="1312">
        <f t="shared" si="67"/>
        <v>158.65154370135465</v>
      </c>
      <c r="S125" s="1329">
        <f>(P125/J125)^(1/6)-1</f>
        <v>3.2330073198030052E-2</v>
      </c>
      <c r="T125" s="1207"/>
      <c r="W125" s="486">
        <f>K119-K133</f>
        <v>-57.599999999999994</v>
      </c>
      <c r="X125">
        <f>W125/800*1000</f>
        <v>-72</v>
      </c>
    </row>
    <row r="126" spans="2:36">
      <c r="B126" s="1302"/>
      <c r="C126" s="1302"/>
      <c r="D126" s="1302"/>
      <c r="E126" s="1302"/>
      <c r="F126" s="1302"/>
      <c r="G126" s="1302"/>
      <c r="H126" s="1302"/>
      <c r="I126" s="1302"/>
      <c r="J126" s="1302"/>
      <c r="K126" s="1302"/>
      <c r="L126" s="1302"/>
      <c r="M126" s="1302"/>
      <c r="N126" s="1302"/>
      <c r="O126" s="1302"/>
      <c r="P126" s="1302"/>
      <c r="Q126" s="1302"/>
      <c r="R126" s="1302"/>
      <c r="S126" s="1325"/>
      <c r="T126" s="1207"/>
      <c r="X126">
        <f>X125*0.72</f>
        <v>-51.839999999999996</v>
      </c>
    </row>
    <row r="127" spans="2:36">
      <c r="B127" s="1203" t="s">
        <v>5843</v>
      </c>
      <c r="C127" s="1203"/>
      <c r="D127" s="1203"/>
      <c r="E127" s="1203"/>
      <c r="F127" s="1203"/>
      <c r="G127" s="1203"/>
      <c r="H127" s="1203"/>
      <c r="I127" s="1203"/>
      <c r="J127" s="1203"/>
      <c r="K127" s="1203"/>
      <c r="L127" s="1203"/>
      <c r="M127" s="1203"/>
      <c r="N127" s="1203"/>
      <c r="O127" s="1203"/>
      <c r="P127" s="1203"/>
      <c r="Q127" s="1203"/>
      <c r="R127" s="1203"/>
      <c r="S127" s="1322"/>
      <c r="T127" s="1207"/>
    </row>
    <row r="128" spans="2:36">
      <c r="B128" s="1302" t="str">
        <f>B119</f>
        <v>VTR</v>
      </c>
      <c r="C128" s="1311"/>
      <c r="D128" s="1311">
        <f t="shared" ref="D128:K128" si="68">D119/D114</f>
        <v>0.39732917100242798</v>
      </c>
      <c r="E128" s="1311">
        <f t="shared" si="68"/>
        <v>0.4018782383419689</v>
      </c>
      <c r="F128" s="1311">
        <f t="shared" si="68"/>
        <v>0.40660697746217966</v>
      </c>
      <c r="G128" s="1311">
        <f t="shared" si="68"/>
        <v>0.41090083270249816</v>
      </c>
      <c r="H128" s="1311">
        <f t="shared" si="68"/>
        <v>0.37933729290403245</v>
      </c>
      <c r="I128" s="1311">
        <f t="shared" si="68"/>
        <v>0.32949557244693212</v>
      </c>
      <c r="J128" s="1311">
        <f t="shared" si="68"/>
        <v>0.21170809943865279</v>
      </c>
      <c r="K128" s="1311">
        <f t="shared" si="68"/>
        <v>0.14354616444648599</v>
      </c>
      <c r="L128" s="1330">
        <v>0.13</v>
      </c>
      <c r="M128" s="1330">
        <v>0.14000000000000001</v>
      </c>
      <c r="N128" s="1330">
        <v>0.18</v>
      </c>
      <c r="O128" s="1330">
        <f t="shared" ref="O128:R128" si="69">N128</f>
        <v>0.18</v>
      </c>
      <c r="P128" s="1330">
        <f t="shared" si="69"/>
        <v>0.18</v>
      </c>
      <c r="Q128" s="1330">
        <f t="shared" si="69"/>
        <v>0.18</v>
      </c>
      <c r="R128" s="1330">
        <f t="shared" si="69"/>
        <v>0.18</v>
      </c>
      <c r="S128" s="1325"/>
      <c r="T128" s="1207"/>
    </row>
    <row r="129" spans="2:20">
      <c r="B129" s="1308" t="s">
        <v>5841</v>
      </c>
      <c r="C129" s="1308"/>
      <c r="D129" s="1308"/>
      <c r="E129" s="1308"/>
      <c r="F129" s="1308"/>
      <c r="G129" s="1308"/>
      <c r="H129" s="1308"/>
      <c r="I129" s="1331">
        <f t="shared" ref="I129:K130" si="70">I124/I115</f>
        <v>0.10033799965424177</v>
      </c>
      <c r="J129" s="1331">
        <f t="shared" si="70"/>
        <v>2.592738584936647E-2</v>
      </c>
      <c r="K129" s="1332">
        <v>0.03</v>
      </c>
      <c r="L129" s="1332">
        <v>0.02</v>
      </c>
      <c r="M129" s="1332">
        <v>0.03</v>
      </c>
      <c r="N129" s="1332">
        <v>0.05</v>
      </c>
      <c r="O129" s="1332">
        <v>0.06</v>
      </c>
      <c r="P129" s="1332">
        <v>0.08</v>
      </c>
      <c r="Q129" s="1332">
        <v>0.08</v>
      </c>
      <c r="R129" s="1332">
        <v>0.08</v>
      </c>
      <c r="S129" s="1322"/>
      <c r="T129" s="1207"/>
    </row>
    <row r="130" spans="2:20">
      <c r="B130" s="1318" t="s">
        <v>6307</v>
      </c>
      <c r="C130" s="1318"/>
      <c r="D130" s="1318"/>
      <c r="E130" s="1318"/>
      <c r="F130" s="1318"/>
      <c r="G130" s="1318"/>
      <c r="H130" s="1318"/>
      <c r="I130" s="1540">
        <f t="shared" si="70"/>
        <v>0.19688106306526826</v>
      </c>
      <c r="J130" s="1540">
        <f t="shared" si="70"/>
        <v>9.8405976833946404E-2</v>
      </c>
      <c r="K130" s="1540">
        <f t="shared" si="70"/>
        <v>7.205465391403891E-2</v>
      </c>
      <c r="L130" s="1540">
        <f t="shared" ref="L130:R130" si="71">L125/L116</f>
        <v>6.0649943386311245E-2</v>
      </c>
      <c r="M130" s="1540">
        <f t="shared" si="71"/>
        <v>7.0720581757507159E-2</v>
      </c>
      <c r="N130" s="1540">
        <f t="shared" si="71"/>
        <v>9.8291944781833715E-2</v>
      </c>
      <c r="O130" s="1540">
        <f t="shared" si="71"/>
        <v>0.10473961629174849</v>
      </c>
      <c r="P130" s="1540">
        <f t="shared" si="71"/>
        <v>0.11742232544424566</v>
      </c>
      <c r="Q130" s="1540">
        <f t="shared" si="71"/>
        <v>0.11765153263575485</v>
      </c>
      <c r="R130" s="1540">
        <f t="shared" si="71"/>
        <v>0.11796988845412897</v>
      </c>
      <c r="S130" s="1325"/>
      <c r="T130" s="1207"/>
    </row>
    <row r="131" spans="2:20">
      <c r="B131" s="1203"/>
      <c r="C131" s="1203"/>
      <c r="D131" s="1203"/>
      <c r="E131" s="1203"/>
      <c r="F131" s="1203"/>
      <c r="G131" s="1203"/>
      <c r="H131" s="1203"/>
      <c r="I131" s="1203"/>
      <c r="J131" s="1203"/>
      <c r="K131" s="1203"/>
      <c r="L131" s="1203"/>
      <c r="M131" s="1203"/>
      <c r="N131" s="1203"/>
      <c r="O131" s="1203"/>
      <c r="P131" s="1203"/>
      <c r="Q131" s="1203"/>
      <c r="R131" s="1203"/>
      <c r="S131" s="1322"/>
      <c r="T131" s="1207"/>
    </row>
    <row r="132" spans="2:20">
      <c r="B132" s="1302" t="s">
        <v>19</v>
      </c>
      <c r="C132" s="1302"/>
      <c r="D132" s="1302"/>
      <c r="E132" s="1302"/>
      <c r="F132" s="1302"/>
      <c r="G132" s="1302"/>
      <c r="H132" s="1302"/>
      <c r="I132" s="1302"/>
      <c r="J132" s="1302"/>
      <c r="K132" s="1302"/>
      <c r="L132" s="1302"/>
      <c r="M132" s="1302"/>
      <c r="N132" s="1302"/>
      <c r="O132" s="1302"/>
      <c r="P132" s="1302"/>
      <c r="Q132" s="1302"/>
      <c r="R132" s="1302"/>
      <c r="S132" s="1325"/>
      <c r="T132" s="1207"/>
    </row>
    <row r="133" spans="2:20">
      <c r="B133" s="1203" t="str">
        <f>B119</f>
        <v>VTR</v>
      </c>
      <c r="C133" s="1203"/>
      <c r="D133" s="1203"/>
      <c r="E133" s="1203"/>
      <c r="F133" s="1203"/>
      <c r="G133" s="1203"/>
      <c r="H133" s="1203"/>
      <c r="I133" s="1306">
        <f>Chile!I64</f>
        <v>151.51510000000002</v>
      </c>
      <c r="J133" s="1306">
        <f>Chile!J64</f>
        <v>118.6</v>
      </c>
      <c r="K133" s="1306">
        <f>Chile!K64</f>
        <v>120.1</v>
      </c>
      <c r="L133" s="1306">
        <f>Chile!L64</f>
        <v>101.2131956570712</v>
      </c>
      <c r="M133" s="1306">
        <f>Chile!M64</f>
        <v>99.020010257697734</v>
      </c>
      <c r="N133" s="1306">
        <f>Chile!N64</f>
        <v>87.681922546291077</v>
      </c>
      <c r="O133" s="1306">
        <f>Chile!O64</f>
        <v>80.448099098634103</v>
      </c>
      <c r="P133" s="1306">
        <f>Chile!P64</f>
        <v>77.651590950699628</v>
      </c>
      <c r="Q133" s="1306">
        <f>Chile!Q64</f>
        <v>74.668456833604395</v>
      </c>
      <c r="R133" s="1306">
        <f>Chile!R64</f>
        <v>76.595580826010732</v>
      </c>
      <c r="S133" s="1324">
        <f>(P133/J133)^(1/6)-1</f>
        <v>-6.8153714922197017E-2</v>
      </c>
      <c r="T133" s="1207"/>
    </row>
    <row r="134" spans="2:20">
      <c r="B134" s="1313" t="s">
        <v>1364</v>
      </c>
      <c r="C134" s="1313"/>
      <c r="D134" s="1313"/>
      <c r="E134" s="1313"/>
      <c r="F134" s="1313"/>
      <c r="G134" s="1313"/>
      <c r="H134" s="1313"/>
      <c r="I134" s="1327">
        <f t="shared" ref="I134:J134" si="72">0.125*I115</f>
        <v>102.311375</v>
      </c>
      <c r="J134" s="1327">
        <f t="shared" si="72"/>
        <v>97.468607604505095</v>
      </c>
      <c r="K134" s="1327">
        <f>0.15*K115</f>
        <v>111.02482408767257</v>
      </c>
      <c r="L134" s="1327">
        <f>0.225*L115</f>
        <v>168.91907487204119</v>
      </c>
      <c r="M134" s="1327">
        <f>0.2*M115</f>
        <v>153.15124795592786</v>
      </c>
      <c r="N134" s="1327">
        <f>0.18*N115</f>
        <v>140.5462124011282</v>
      </c>
      <c r="O134" s="1327">
        <f>0.17*O115</f>
        <v>135.32871554554009</v>
      </c>
      <c r="P134" s="1327">
        <f>0.16*P115</f>
        <v>129.84911893006461</v>
      </c>
      <c r="Q134" s="1327">
        <f>0.15*Q115</f>
        <v>123.64606479810564</v>
      </c>
      <c r="R134" s="1327">
        <f>0.15*R115</f>
        <v>125.13158758151582</v>
      </c>
      <c r="S134" s="1328">
        <f>(P134/J134)^(1/6)-1</f>
        <v>4.8968324776051286E-2</v>
      </c>
      <c r="T134" s="1207"/>
    </row>
    <row r="135" spans="2:20">
      <c r="B135" s="1203" t="s">
        <v>6300</v>
      </c>
      <c r="C135" s="1203"/>
      <c r="D135" s="1203"/>
      <c r="E135" s="1203"/>
      <c r="F135" s="1203"/>
      <c r="G135" s="1203"/>
      <c r="H135" s="1203"/>
      <c r="I135" s="1306">
        <f t="shared" ref="I135:P135" si="73">I133+I134</f>
        <v>253.82647500000002</v>
      </c>
      <c r="J135" s="1306">
        <f t="shared" si="73"/>
        <v>216.06860760450508</v>
      </c>
      <c r="K135" s="1306">
        <f t="shared" si="73"/>
        <v>231.12482408767255</v>
      </c>
      <c r="L135" s="1306">
        <f t="shared" si="73"/>
        <v>270.13227052911236</v>
      </c>
      <c r="M135" s="1306">
        <f t="shared" si="73"/>
        <v>252.17125821362561</v>
      </c>
      <c r="N135" s="1306">
        <f t="shared" si="73"/>
        <v>228.22813494741928</v>
      </c>
      <c r="O135" s="1306">
        <f t="shared" si="73"/>
        <v>215.77681464417418</v>
      </c>
      <c r="P135" s="1306">
        <f t="shared" si="73"/>
        <v>207.50070988076425</v>
      </c>
      <c r="Q135" s="1306">
        <f t="shared" ref="Q135:R135" si="74">Q133+Q134</f>
        <v>198.31452163171002</v>
      </c>
      <c r="R135" s="1306">
        <f t="shared" si="74"/>
        <v>201.72716840752656</v>
      </c>
      <c r="S135" s="1324">
        <f>(P135/J135)^(1/6)-1</f>
        <v>-6.7208507552785068E-3</v>
      </c>
      <c r="T135" s="1207"/>
    </row>
    <row r="136" spans="2:20">
      <c r="B136" s="1313" t="s">
        <v>6301</v>
      </c>
      <c r="C136" s="1313"/>
      <c r="D136" s="1313"/>
      <c r="E136" s="1313"/>
      <c r="F136" s="1313"/>
      <c r="G136" s="1313"/>
      <c r="H136" s="1313"/>
      <c r="I136" s="1327"/>
      <c r="J136" s="1327"/>
      <c r="K136" s="1333"/>
      <c r="L136" s="1333"/>
      <c r="M136" s="1333"/>
      <c r="N136" s="1333"/>
      <c r="O136" s="1333"/>
      <c r="P136" s="1333"/>
      <c r="Q136" s="1333"/>
      <c r="R136" s="1333"/>
      <c r="S136" s="1316"/>
      <c r="T136" s="1207"/>
    </row>
    <row r="137" spans="2:20">
      <c r="B137" s="1204" t="s">
        <v>6308</v>
      </c>
      <c r="C137" s="1204"/>
      <c r="D137" s="1204"/>
      <c r="E137" s="1204"/>
      <c r="F137" s="1204"/>
      <c r="G137" s="1204"/>
      <c r="H137" s="1204"/>
      <c r="I137" s="1312">
        <f t="shared" ref="I137:P137" si="75">I135+I136</f>
        <v>253.82647500000002</v>
      </c>
      <c r="J137" s="1312">
        <f t="shared" si="75"/>
        <v>216.06860760450508</v>
      </c>
      <c r="K137" s="1312">
        <f t="shared" si="75"/>
        <v>231.12482408767255</v>
      </c>
      <c r="L137" s="1312">
        <f t="shared" si="75"/>
        <v>270.13227052911236</v>
      </c>
      <c r="M137" s="1312">
        <f t="shared" si="75"/>
        <v>252.17125821362561</v>
      </c>
      <c r="N137" s="1312">
        <f t="shared" si="75"/>
        <v>228.22813494741928</v>
      </c>
      <c r="O137" s="1312">
        <f t="shared" si="75"/>
        <v>215.77681464417418</v>
      </c>
      <c r="P137" s="1312">
        <f t="shared" si="75"/>
        <v>207.50070988076425</v>
      </c>
      <c r="Q137" s="1312">
        <f t="shared" ref="Q137:R137" si="76">Q135+Q136</f>
        <v>198.31452163171002</v>
      </c>
      <c r="R137" s="1312">
        <f t="shared" si="76"/>
        <v>201.72716840752656</v>
      </c>
      <c r="S137" s="1329"/>
      <c r="T137" s="1207"/>
    </row>
    <row r="138" spans="2:20">
      <c r="B138" s="1302" t="s">
        <v>91</v>
      </c>
      <c r="C138" s="1302"/>
      <c r="D138" s="1302"/>
      <c r="E138" s="1302"/>
      <c r="F138" s="1302"/>
      <c r="G138" s="1302"/>
      <c r="H138" s="1302"/>
      <c r="I138" s="1311">
        <f>I137/I116</f>
        <v>0.17946503151340271</v>
      </c>
      <c r="J138" s="1311">
        <f t="shared" ref="J138:P138" si="77">J137/J116</f>
        <v>0.16899518995560184</v>
      </c>
      <c r="K138" s="1311">
        <f t="shared" si="77"/>
        <v>0.19660735644545069</v>
      </c>
      <c r="L138" s="1311">
        <f t="shared" si="77"/>
        <v>0.22684772469937778</v>
      </c>
      <c r="M138" s="1311">
        <f t="shared" si="77"/>
        <v>0.20740374213772861</v>
      </c>
      <c r="N138" s="1311">
        <f t="shared" si="77"/>
        <v>0.18371476498321795</v>
      </c>
      <c r="O138" s="1311">
        <f t="shared" si="77"/>
        <v>0.16999999999999998</v>
      </c>
      <c r="P138" s="1311">
        <f t="shared" si="77"/>
        <v>0.16</v>
      </c>
      <c r="Q138" s="1311">
        <f t="shared" ref="Q138:R138" si="78">Q137/Q116</f>
        <v>0.15</v>
      </c>
      <c r="R138" s="1311">
        <f t="shared" si="78"/>
        <v>0.15</v>
      </c>
      <c r="S138" s="1316"/>
      <c r="T138" s="1207"/>
    </row>
    <row r="139" spans="2:20">
      <c r="B139" s="1203"/>
      <c r="C139" s="1203"/>
      <c r="D139" s="1203"/>
      <c r="E139" s="1203"/>
      <c r="F139" s="1203"/>
      <c r="G139" s="1203"/>
      <c r="H139" s="1203"/>
      <c r="I139" s="1203"/>
      <c r="J139" s="1203"/>
      <c r="K139" s="1203"/>
      <c r="L139" s="1203"/>
      <c r="M139" s="1203"/>
      <c r="N139" s="1306"/>
      <c r="O139" s="1306"/>
      <c r="P139" s="1306"/>
      <c r="Q139" s="1306"/>
      <c r="R139" s="1306"/>
      <c r="S139" s="1322"/>
      <c r="T139" s="1207"/>
    </row>
    <row r="140" spans="2:20">
      <c r="B140" s="1302" t="s">
        <v>27</v>
      </c>
      <c r="C140" s="1302"/>
      <c r="D140" s="1302"/>
      <c r="E140" s="1302"/>
      <c r="F140" s="1302"/>
      <c r="G140" s="1302"/>
      <c r="H140" s="1302"/>
      <c r="I140" s="1302"/>
      <c r="J140" s="1302"/>
      <c r="K140" s="1302"/>
      <c r="L140" s="1302"/>
      <c r="M140" s="1302"/>
      <c r="N140" s="1303"/>
      <c r="O140" s="1303"/>
      <c r="P140" s="1303"/>
      <c r="Q140" s="1303"/>
      <c r="R140" s="1303"/>
      <c r="S140" s="1325"/>
      <c r="T140" s="1207"/>
    </row>
    <row r="141" spans="2:20">
      <c r="B141" s="1203" t="s">
        <v>899</v>
      </c>
      <c r="C141" s="1203"/>
      <c r="D141" s="1203"/>
      <c r="E141" s="1203"/>
      <c r="F141" s="1203"/>
      <c r="G141" s="1203"/>
      <c r="H141" s="1203"/>
      <c r="I141" s="1306">
        <f t="shared" ref="I141:P141" si="79">I119-I133</f>
        <v>44.817999999999984</v>
      </c>
      <c r="J141" s="1306">
        <f t="shared" si="79"/>
        <v>-12.999999999999986</v>
      </c>
      <c r="K141" s="1306">
        <f t="shared" si="79"/>
        <v>-57.599999999999994</v>
      </c>
      <c r="L141" s="1306">
        <f t="shared" si="79"/>
        <v>-44.005737242204866</v>
      </c>
      <c r="M141" s="1306">
        <f t="shared" si="79"/>
        <v>-36.007276457344631</v>
      </c>
      <c r="N141" s="1306">
        <f t="shared" si="79"/>
        <v>-4.6148380287521604</v>
      </c>
      <c r="O141" s="1306">
        <f t="shared" si="79"/>
        <v>4.7322411234490431</v>
      </c>
      <c r="P141" s="1306">
        <f t="shared" si="79"/>
        <v>9.7064488688374553</v>
      </c>
      <c r="Q141" s="1306">
        <f t="shared" ref="Q141:R141" si="80">Q119-Q133</f>
        <v>14.933691366720879</v>
      </c>
      <c r="R141" s="1306">
        <f t="shared" si="80"/>
        <v>15.319116165202146</v>
      </c>
      <c r="S141" s="1324"/>
      <c r="T141" s="1207"/>
    </row>
    <row r="142" spans="2:20">
      <c r="B142" s="1302" t="s">
        <v>1364</v>
      </c>
      <c r="C142" s="1302"/>
      <c r="D142" s="1302"/>
      <c r="E142" s="1302"/>
      <c r="F142" s="1302"/>
      <c r="G142" s="1302"/>
      <c r="H142" s="1302"/>
      <c r="I142" s="1303">
        <f t="shared" ref="I142:P142" si="81">I124-I134</f>
        <v>-20.185625325000004</v>
      </c>
      <c r="J142" s="1303">
        <f t="shared" si="81"/>
        <v>-77.251758024005113</v>
      </c>
      <c r="K142" s="1303">
        <f t="shared" si="81"/>
        <v>-88.819859270138053</v>
      </c>
      <c r="L142" s="1303">
        <f t="shared" si="81"/>
        <v>-153.90404599452643</v>
      </c>
      <c r="M142" s="1303">
        <f t="shared" si="81"/>
        <v>-130.17856076253867</v>
      </c>
      <c r="N142" s="1303">
        <f t="shared" si="81"/>
        <v>-101.50559784525925</v>
      </c>
      <c r="O142" s="1303">
        <f t="shared" si="81"/>
        <v>-87.565639470643589</v>
      </c>
      <c r="P142" s="1303">
        <f t="shared" si="81"/>
        <v>-64.924559465032303</v>
      </c>
      <c r="Q142" s="1303">
        <f t="shared" ref="Q142:R142" si="82">Q124-Q134</f>
        <v>-57.701496905782633</v>
      </c>
      <c r="R142" s="1303">
        <f t="shared" si="82"/>
        <v>-58.39474087137404</v>
      </c>
      <c r="S142" s="1316"/>
      <c r="T142" s="1207"/>
    </row>
    <row r="143" spans="2:20">
      <c r="B143" s="1308" t="s">
        <v>6303</v>
      </c>
      <c r="C143" s="1308"/>
      <c r="D143" s="1308"/>
      <c r="E143" s="1308"/>
      <c r="F143" s="1308"/>
      <c r="G143" s="1308"/>
      <c r="H143" s="1308"/>
      <c r="I143" s="1309"/>
      <c r="J143" s="1309"/>
      <c r="K143" s="1309">
        <f>-K136</f>
        <v>0</v>
      </c>
      <c r="L143" s="1309">
        <f t="shared" ref="L143:P143" si="83">-L136</f>
        <v>0</v>
      </c>
      <c r="M143" s="1309">
        <f t="shared" si="83"/>
        <v>0</v>
      </c>
      <c r="N143" s="1309">
        <f t="shared" si="83"/>
        <v>0</v>
      </c>
      <c r="O143" s="1309">
        <f t="shared" si="83"/>
        <v>0</v>
      </c>
      <c r="P143" s="1309">
        <f t="shared" si="83"/>
        <v>0</v>
      </c>
      <c r="Q143" s="1309">
        <f t="shared" ref="Q143:R143" si="84">-Q136</f>
        <v>0</v>
      </c>
      <c r="R143" s="1309">
        <f t="shared" si="84"/>
        <v>0</v>
      </c>
      <c r="S143" s="1324"/>
      <c r="T143" s="1207"/>
    </row>
    <row r="144" spans="2:20" ht="15.75" thickBot="1">
      <c r="B144" s="1318" t="s">
        <v>6309</v>
      </c>
      <c r="C144" s="1318"/>
      <c r="D144" s="1318"/>
      <c r="E144" s="1318"/>
      <c r="F144" s="1318"/>
      <c r="G144" s="1318"/>
      <c r="H144" s="1318"/>
      <c r="I144" s="1319">
        <f>SUM(I141:I143)</f>
        <v>24.63237467499998</v>
      </c>
      <c r="J144" s="1319">
        <f t="shared" ref="J144:P144" si="85">SUM(J141:J143)</f>
        <v>-90.251758024005099</v>
      </c>
      <c r="K144" s="1319">
        <f t="shared" si="85"/>
        <v>-146.41985927013803</v>
      </c>
      <c r="L144" s="1319">
        <f t="shared" si="85"/>
        <v>-197.9097832367313</v>
      </c>
      <c r="M144" s="1319">
        <f t="shared" si="85"/>
        <v>-166.1858372198833</v>
      </c>
      <c r="N144" s="1319">
        <f t="shared" si="85"/>
        <v>-106.12043587401141</v>
      </c>
      <c r="O144" s="1319">
        <f t="shared" si="85"/>
        <v>-82.833398347194546</v>
      </c>
      <c r="P144" s="1319">
        <f t="shared" si="85"/>
        <v>-55.218110596194848</v>
      </c>
      <c r="Q144" s="1319">
        <f t="shared" ref="Q144:R144" si="86">SUM(Q141:Q143)</f>
        <v>-42.767805539061754</v>
      </c>
      <c r="R144" s="1319">
        <f t="shared" si="86"/>
        <v>-43.075624706171894</v>
      </c>
      <c r="S144" s="1334"/>
      <c r="T144" s="1207"/>
    </row>
    <row r="145" spans="2:26">
      <c r="B145" s="1207"/>
      <c r="C145" s="1207"/>
      <c r="D145" s="1207"/>
      <c r="E145" s="1207"/>
      <c r="F145" s="1207"/>
      <c r="G145" s="1207"/>
      <c r="H145" s="1207"/>
      <c r="I145" s="1207"/>
      <c r="J145" s="1207"/>
      <c r="K145" s="1207"/>
      <c r="L145" s="1207"/>
      <c r="M145" s="1207"/>
      <c r="N145" s="1271"/>
      <c r="O145" s="1271"/>
      <c r="P145" s="1271"/>
      <c r="Q145" s="1271"/>
      <c r="R145" s="1271"/>
      <c r="S145" s="1236"/>
      <c r="T145" s="1207"/>
    </row>
    <row r="146" spans="2:26">
      <c r="B146" s="1205" t="s">
        <v>645</v>
      </c>
      <c r="C146" s="1308"/>
      <c r="D146" s="1205">
        <f t="shared" ref="D146:H146" si="87">D113</f>
        <v>2016</v>
      </c>
      <c r="E146" s="1205">
        <f t="shared" si="87"/>
        <v>2017</v>
      </c>
      <c r="F146" s="1205">
        <f t="shared" si="87"/>
        <v>2018</v>
      </c>
      <c r="G146" s="1205">
        <f t="shared" si="87"/>
        <v>2019</v>
      </c>
      <c r="H146" s="1205">
        <f t="shared" si="87"/>
        <v>2020</v>
      </c>
      <c r="I146" s="1205">
        <f>I113</f>
        <v>2021</v>
      </c>
      <c r="J146" s="1205">
        <f t="shared" ref="J146:S146" si="88">J113</f>
        <v>2022</v>
      </c>
      <c r="K146" s="1205">
        <f t="shared" si="88"/>
        <v>2023</v>
      </c>
      <c r="L146" s="1205">
        <f t="shared" si="88"/>
        <v>2024</v>
      </c>
      <c r="M146" s="1205">
        <f t="shared" si="88"/>
        <v>2025</v>
      </c>
      <c r="N146" s="1205">
        <f t="shared" si="88"/>
        <v>2026</v>
      </c>
      <c r="O146" s="1205">
        <f t="shared" si="88"/>
        <v>2027</v>
      </c>
      <c r="P146" s="1205">
        <f t="shared" si="88"/>
        <v>2028</v>
      </c>
      <c r="Q146" s="1205">
        <f t="shared" ref="Q146:R146" si="89">Q113</f>
        <v>2029</v>
      </c>
      <c r="R146" s="1205">
        <f t="shared" si="89"/>
        <v>2030</v>
      </c>
      <c r="S146" s="1342" t="str">
        <f t="shared" si="88"/>
        <v>22-28e</v>
      </c>
      <c r="T146" s="1207"/>
    </row>
    <row r="147" spans="2:26">
      <c r="B147" s="1302" t="s">
        <v>7445</v>
      </c>
      <c r="C147" s="1302"/>
      <c r="D147" s="1302"/>
      <c r="E147" s="1302"/>
      <c r="F147" s="1302"/>
      <c r="G147" s="1302"/>
      <c r="H147" s="1302"/>
      <c r="I147" s="1303">
        <f>I125</f>
        <v>278.45884967500001</v>
      </c>
      <c r="J147" s="1303">
        <f>J125</f>
        <v>125.81684958049999</v>
      </c>
      <c r="K147" s="1303">
        <f>K125</f>
        <v>84.704964817534517</v>
      </c>
      <c r="L147" s="1303">
        <f t="shared" ref="L147:P147" si="90">L125</f>
        <v>72.222487292381103</v>
      </c>
      <c r="M147" s="1303">
        <f t="shared" si="90"/>
        <v>85.985420993742281</v>
      </c>
      <c r="N147" s="1303">
        <f t="shared" si="90"/>
        <v>122.10769907340787</v>
      </c>
      <c r="O147" s="1303">
        <f t="shared" si="90"/>
        <v>132.94341629697965</v>
      </c>
      <c r="P147" s="1303">
        <f t="shared" si="90"/>
        <v>152.28259928456939</v>
      </c>
      <c r="Q147" s="1303">
        <f t="shared" ref="Q147:R147" si="91">Q125</f>
        <v>155.5467160926483</v>
      </c>
      <c r="R147" s="1303">
        <f t="shared" si="91"/>
        <v>158.65154370135465</v>
      </c>
      <c r="S147" s="1304"/>
      <c r="T147" s="1207"/>
    </row>
    <row r="148" spans="2:26">
      <c r="B148" s="1308" t="s">
        <v>7446</v>
      </c>
      <c r="C148" s="1308"/>
      <c r="D148" s="1308"/>
      <c r="E148" s="1308"/>
      <c r="F148" s="1308"/>
      <c r="G148" s="1308"/>
      <c r="H148" s="1308"/>
      <c r="I148" s="1309">
        <f>-I135</f>
        <v>-253.82647500000002</v>
      </c>
      <c r="J148" s="1309">
        <f>-J135</f>
        <v>-216.06860760450508</v>
      </c>
      <c r="K148" s="1309">
        <f>-K135</f>
        <v>-231.12482408767255</v>
      </c>
      <c r="L148" s="1309">
        <f t="shared" ref="L148:P148" si="92">-L135</f>
        <v>-270.13227052911236</v>
      </c>
      <c r="M148" s="1309">
        <f t="shared" si="92"/>
        <v>-252.17125821362561</v>
      </c>
      <c r="N148" s="1309">
        <f t="shared" si="92"/>
        <v>-228.22813494741928</v>
      </c>
      <c r="O148" s="1309">
        <f t="shared" si="92"/>
        <v>-215.77681464417418</v>
      </c>
      <c r="P148" s="1309">
        <f t="shared" si="92"/>
        <v>-207.50070988076425</v>
      </c>
      <c r="Q148" s="1309">
        <f t="shared" ref="Q148:R148" si="93">-Q135</f>
        <v>-198.31452163171002</v>
      </c>
      <c r="R148" s="1309">
        <f t="shared" si="93"/>
        <v>-201.72716840752656</v>
      </c>
      <c r="S148" s="1611"/>
      <c r="T148" s="1207"/>
    </row>
    <row r="149" spans="2:26">
      <c r="B149" s="1302" t="s">
        <v>7437</v>
      </c>
      <c r="C149" s="1302"/>
      <c r="D149" s="1302"/>
      <c r="E149" s="1302"/>
      <c r="F149" s="1302"/>
      <c r="G149" s="1302"/>
      <c r="H149" s="1302"/>
      <c r="I149" s="1303">
        <f t="shared" ref="I149:J149" si="94">I144</f>
        <v>24.63237467499998</v>
      </c>
      <c r="J149" s="1303">
        <f t="shared" si="94"/>
        <v>-90.251758024005099</v>
      </c>
      <c r="K149" s="1303">
        <f t="shared" ref="K149:P149" si="95">K144</f>
        <v>-146.41985927013803</v>
      </c>
      <c r="L149" s="1303">
        <f t="shared" si="95"/>
        <v>-197.9097832367313</v>
      </c>
      <c r="M149" s="1303">
        <f t="shared" si="95"/>
        <v>-166.1858372198833</v>
      </c>
      <c r="N149" s="1303">
        <f t="shared" si="95"/>
        <v>-106.12043587401141</v>
      </c>
      <c r="O149" s="1303">
        <f t="shared" si="95"/>
        <v>-82.833398347194546</v>
      </c>
      <c r="P149" s="1303">
        <f t="shared" si="95"/>
        <v>-55.218110596194848</v>
      </c>
      <c r="Q149" s="1303">
        <f t="shared" ref="Q149:R149" si="96">Q144</f>
        <v>-42.767805539061754</v>
      </c>
      <c r="R149" s="1303">
        <f t="shared" si="96"/>
        <v>-43.075624706171894</v>
      </c>
      <c r="S149" s="1304"/>
      <c r="T149" s="1207"/>
      <c r="U149" t="s">
        <v>72</v>
      </c>
    </row>
    <row r="150" spans="2:26">
      <c r="B150" s="1203" t="s">
        <v>6029</v>
      </c>
      <c r="D150" s="1203"/>
      <c r="E150" s="1203"/>
      <c r="F150" s="1203"/>
      <c r="G150" s="1203"/>
      <c r="H150" s="1203"/>
      <c r="I150" s="1605">
        <v>0.06</v>
      </c>
      <c r="J150" s="1306"/>
      <c r="K150" s="1306">
        <f>-$I$150*J163</f>
        <v>-71.903999999999996</v>
      </c>
      <c r="L150" s="1306">
        <f t="shared" ref="L150" si="97">-$I$150*K163</f>
        <v>-82.11</v>
      </c>
      <c r="M150" s="1306">
        <f>-$I$150*M167</f>
        <v>-72.947999999999993</v>
      </c>
      <c r="N150" s="1306">
        <f t="shared" ref="N150:P150" si="98">-$I$150*N167</f>
        <v>-72.947999999999993</v>
      </c>
      <c r="O150" s="1306">
        <f t="shared" si="98"/>
        <v>-72.947999999999993</v>
      </c>
      <c r="P150" s="1306">
        <f t="shared" si="98"/>
        <v>-72.947999999999993</v>
      </c>
      <c r="Q150" s="1306">
        <f t="shared" ref="Q150:R150" si="99">-$I$150*Q167</f>
        <v>-72.947999999999993</v>
      </c>
      <c r="R150" s="1306">
        <f t="shared" si="99"/>
        <v>-72.947999999999993</v>
      </c>
      <c r="S150" s="1307"/>
      <c r="T150" s="1207"/>
    </row>
    <row r="151" spans="2:26">
      <c r="B151" s="1302" t="s">
        <v>7436</v>
      </c>
      <c r="C151" s="1257"/>
      <c r="D151" s="1302"/>
      <c r="E151" s="1302"/>
      <c r="F151" s="1302"/>
      <c r="G151" s="1302"/>
      <c r="H151" s="1302"/>
      <c r="I151" s="1606"/>
      <c r="J151" s="1303"/>
      <c r="K151" s="1303"/>
      <c r="L151" s="1303">
        <v>-83.5</v>
      </c>
      <c r="M151" s="1303"/>
      <c r="N151" s="1303"/>
      <c r="O151" s="1303"/>
      <c r="P151" s="1303"/>
      <c r="Q151" s="1303"/>
      <c r="R151" s="1303"/>
      <c r="S151" s="1304"/>
      <c r="T151" s="1207"/>
    </row>
    <row r="152" spans="2:26">
      <c r="B152" s="1203" t="s">
        <v>5397</v>
      </c>
      <c r="C152" s="1203"/>
      <c r="D152" s="1203"/>
      <c r="E152" s="1203"/>
      <c r="F152" s="1203"/>
      <c r="G152" s="1203"/>
      <c r="H152" s="1203"/>
      <c r="I152" s="1203"/>
      <c r="J152" s="1306"/>
      <c r="K152" s="1612">
        <v>-90</v>
      </c>
      <c r="L152" s="1612">
        <v>-65</v>
      </c>
      <c r="M152" s="1612">
        <f>-170*Analysis!$C$3351/1000-K152-L152</f>
        <v>-0.55000000000001137</v>
      </c>
      <c r="N152" s="1612"/>
      <c r="O152" s="1612"/>
      <c r="P152" s="1612"/>
      <c r="Q152" s="1612"/>
      <c r="R152" s="1612"/>
      <c r="S152" s="1307"/>
      <c r="T152" s="1207"/>
      <c r="W152" s="486">
        <f>K154</f>
        <v>-308.32385927013803</v>
      </c>
      <c r="X152">
        <f>W152/800*1000</f>
        <v>-385.40482408767252</v>
      </c>
      <c r="Y152">
        <f>X152*0.5</f>
        <v>-192.70241204383626</v>
      </c>
      <c r="Z152">
        <f>Y152*0.72</f>
        <v>-138.7457366715621</v>
      </c>
    </row>
    <row r="153" spans="2:26">
      <c r="B153" s="1313" t="s">
        <v>399</v>
      </c>
      <c r="C153" s="1313"/>
      <c r="D153" s="1313"/>
      <c r="E153" s="1313"/>
      <c r="F153" s="1313"/>
      <c r="G153" s="1313"/>
      <c r="H153" s="1313"/>
      <c r="I153" s="1313"/>
      <c r="J153" s="1327"/>
      <c r="K153" s="1613">
        <v>0</v>
      </c>
      <c r="L153" s="1613">
        <f>180*810/1000*0.2</f>
        <v>29.160000000000004</v>
      </c>
      <c r="M153" s="1613">
        <f>180*810/1000*0.8</f>
        <v>116.64000000000001</v>
      </c>
      <c r="N153" s="1613">
        <f>180*810/1000*1</f>
        <v>145.80000000000001</v>
      </c>
      <c r="O153" s="1613">
        <f>180*810/1000*1</f>
        <v>145.80000000000001</v>
      </c>
      <c r="P153" s="1613">
        <f>180*810/1000*1</f>
        <v>145.80000000000001</v>
      </c>
      <c r="Q153" s="1613">
        <f>180*810/1000*1</f>
        <v>145.80000000000001</v>
      </c>
      <c r="R153" s="1613">
        <f>180*810/1000*1</f>
        <v>145.80000000000001</v>
      </c>
      <c r="S153" s="1304"/>
      <c r="T153" s="1207"/>
      <c r="W153" s="486"/>
    </row>
    <row r="154" spans="2:26">
      <c r="B154" s="1203" t="s">
        <v>6304</v>
      </c>
      <c r="C154" s="1203"/>
      <c r="D154" s="1203"/>
      <c r="E154" s="1203"/>
      <c r="F154" s="1203"/>
      <c r="G154" s="1203"/>
      <c r="H154" s="1203"/>
      <c r="I154" s="1203"/>
      <c r="J154" s="1306"/>
      <c r="K154" s="1306">
        <f t="shared" ref="K154:P154" si="100">SUM(K149:K153)</f>
        <v>-308.32385927013803</v>
      </c>
      <c r="L154" s="1306">
        <f t="shared" si="100"/>
        <v>-399.35978323673129</v>
      </c>
      <c r="M154" s="1306">
        <f t="shared" si="100"/>
        <v>-123.04383721988327</v>
      </c>
      <c r="N154" s="1306">
        <f t="shared" si="100"/>
        <v>-33.268435874011402</v>
      </c>
      <c r="O154" s="1306">
        <f t="shared" si="100"/>
        <v>-9.9813983471945278</v>
      </c>
      <c r="P154" s="1306">
        <f t="shared" si="100"/>
        <v>17.633889403805171</v>
      </c>
      <c r="Q154" s="1306">
        <f t="shared" ref="Q154:R154" si="101">SUM(Q149:Q153)</f>
        <v>30.084194460938264</v>
      </c>
      <c r="R154" s="1306">
        <f t="shared" si="101"/>
        <v>29.776375293828124</v>
      </c>
      <c r="S154" s="1307"/>
      <c r="T154" s="1207"/>
      <c r="V154" t="s">
        <v>6298</v>
      </c>
      <c r="X154" s="1299">
        <v>1.5</v>
      </c>
      <c r="Y154">
        <v>150</v>
      </c>
      <c r="Z154">
        <f>X154*Y154</f>
        <v>225</v>
      </c>
    </row>
    <row r="155" spans="2:26">
      <c r="B155" s="1313" t="s">
        <v>67</v>
      </c>
      <c r="C155" s="1302"/>
      <c r="D155" s="1302"/>
      <c r="E155" s="1302"/>
      <c r="F155" s="1302"/>
      <c r="G155" s="1302"/>
      <c r="H155" s="1302"/>
      <c r="I155" s="1302"/>
      <c r="J155" s="1327"/>
      <c r="K155" s="1327">
        <f t="shared" ref="K155:P155" si="102">-IF(K154&lt;0,0, K154*0.28)</f>
        <v>0</v>
      </c>
      <c r="L155" s="1327">
        <f t="shared" si="102"/>
        <v>0</v>
      </c>
      <c r="M155" s="1327">
        <f t="shared" si="102"/>
        <v>0</v>
      </c>
      <c r="N155" s="1327">
        <f t="shared" si="102"/>
        <v>0</v>
      </c>
      <c r="O155" s="1327">
        <f t="shared" si="102"/>
        <v>0</v>
      </c>
      <c r="P155" s="1327">
        <f t="shared" si="102"/>
        <v>-4.9374890330654484</v>
      </c>
      <c r="Q155" s="1327">
        <f t="shared" ref="Q155:R155" si="103">-IF(Q154&lt;0,0, Q154*0.28)</f>
        <v>-8.4235744490627145</v>
      </c>
      <c r="R155" s="1327">
        <f t="shared" si="103"/>
        <v>-8.3373850822718758</v>
      </c>
      <c r="S155" s="1304"/>
      <c r="T155" s="1207"/>
      <c r="V155" t="s">
        <v>1374</v>
      </c>
      <c r="W155" s="5">
        <v>0.15</v>
      </c>
      <c r="X155">
        <f>W155*X154</f>
        <v>0.22499999999999998</v>
      </c>
      <c r="Y155">
        <v>300</v>
      </c>
      <c r="Z155">
        <f>X155*Y155</f>
        <v>67.5</v>
      </c>
    </row>
    <row r="156" spans="2:26">
      <c r="B156" s="1205" t="s">
        <v>6030</v>
      </c>
      <c r="C156" s="1609"/>
      <c r="D156" s="1609"/>
      <c r="E156" s="1609"/>
      <c r="F156" s="1609"/>
      <c r="G156" s="1609"/>
      <c r="H156" s="1609"/>
      <c r="I156" s="1609"/>
      <c r="J156" s="1418"/>
      <c r="K156" s="1418">
        <f t="shared" ref="K156:P156" si="104">K154+K155</f>
        <v>-308.32385927013803</v>
      </c>
      <c r="L156" s="1418">
        <f t="shared" si="104"/>
        <v>-399.35978323673129</v>
      </c>
      <c r="M156" s="1418">
        <f t="shared" si="104"/>
        <v>-123.04383721988327</v>
      </c>
      <c r="N156" s="1418">
        <f>N154+N155</f>
        <v>-33.268435874011402</v>
      </c>
      <c r="O156" s="1418">
        <f t="shared" si="104"/>
        <v>-9.9813983471945278</v>
      </c>
      <c r="P156" s="1418">
        <f t="shared" si="104"/>
        <v>12.696400370739722</v>
      </c>
      <c r="Q156" s="1418">
        <f t="shared" ref="Q156:R156" si="105">Q154+Q155</f>
        <v>21.660620011875551</v>
      </c>
      <c r="R156" s="1418">
        <f t="shared" si="105"/>
        <v>21.438990211556249</v>
      </c>
      <c r="S156" s="1610"/>
      <c r="T156" s="1207"/>
      <c r="V156" t="s">
        <v>6299</v>
      </c>
      <c r="Z156">
        <f>Z154+Z155</f>
        <v>292.5</v>
      </c>
    </row>
    <row r="157" spans="2:26">
      <c r="B157" s="1302"/>
      <c r="C157" s="1302"/>
      <c r="D157" s="1302"/>
      <c r="E157" s="1302"/>
      <c r="F157" s="1302"/>
      <c r="G157" s="1302"/>
      <c r="H157" s="1302"/>
      <c r="I157" s="1302"/>
      <c r="J157" s="1303"/>
      <c r="K157" s="1302"/>
      <c r="L157" s="1302"/>
      <c r="M157" s="1302"/>
      <c r="N157" s="1302"/>
      <c r="O157" s="1302"/>
      <c r="P157" s="1302"/>
      <c r="Q157" s="1302"/>
      <c r="R157" s="1302"/>
      <c r="S157" s="1304"/>
      <c r="T157" s="1207"/>
    </row>
    <row r="158" spans="2:26">
      <c r="B158" s="1203" t="s">
        <v>6795</v>
      </c>
      <c r="C158" s="1203"/>
      <c r="D158" s="1203"/>
      <c r="E158" s="1203"/>
      <c r="F158" s="1203"/>
      <c r="G158" s="1203"/>
      <c r="H158" s="1203"/>
      <c r="I158" s="1203"/>
      <c r="J158" s="1306"/>
      <c r="K158" s="1341">
        <f>481+239.6</f>
        <v>720.6</v>
      </c>
      <c r="L158" s="1616">
        <f>972.4-K158</f>
        <v>251.79999999999995</v>
      </c>
      <c r="M158" s="1203"/>
      <c r="N158" s="1203"/>
      <c r="O158" s="1203"/>
      <c r="P158" s="1203"/>
      <c r="Q158" s="1203"/>
      <c r="R158" s="1203"/>
      <c r="S158" s="1307"/>
      <c r="T158" s="1207"/>
      <c r="V158" s="1522" t="s">
        <v>7026</v>
      </c>
    </row>
    <row r="159" spans="2:26">
      <c r="B159" s="1302" t="s">
        <v>6799</v>
      </c>
      <c r="C159" s="1302"/>
      <c r="D159" s="1302"/>
      <c r="E159" s="1302"/>
      <c r="F159" s="1302"/>
      <c r="G159" s="1302"/>
      <c r="H159" s="1302"/>
      <c r="I159" s="1302"/>
      <c r="J159" s="1303"/>
      <c r="K159" s="1614">
        <f>K158*1000/805</f>
        <v>895.15527950310559</v>
      </c>
      <c r="L159" s="1615">
        <f>L158*1000/945</f>
        <v>266.45502645502637</v>
      </c>
      <c r="M159" s="1302"/>
      <c r="N159" s="1302"/>
      <c r="O159" s="1302"/>
      <c r="P159" s="1302"/>
      <c r="Q159" s="1302"/>
      <c r="R159" s="1302"/>
      <c r="S159" s="1304"/>
      <c r="T159" s="1207"/>
      <c r="V159" s="1203" t="s">
        <v>7023</v>
      </c>
    </row>
    <row r="160" spans="2:26">
      <c r="B160" s="1203"/>
      <c r="C160" s="1203"/>
      <c r="D160" s="1203"/>
      <c r="E160" s="1203"/>
      <c r="F160" s="1203"/>
      <c r="G160" s="1203"/>
      <c r="H160" s="1203"/>
      <c r="I160" s="1203"/>
      <c r="J160" s="1306"/>
      <c r="K160" s="1203"/>
      <c r="L160" s="1203"/>
      <c r="M160" s="1203"/>
      <c r="N160" s="1203"/>
      <c r="O160" s="1203"/>
      <c r="P160" s="1203"/>
      <c r="Q160" s="1203"/>
      <c r="R160" s="1203"/>
      <c r="S160" s="1307"/>
      <c r="T160" s="1207"/>
      <c r="V160" s="1203" t="s">
        <v>7022</v>
      </c>
    </row>
    <row r="161" spans="2:24">
      <c r="B161" s="1302" t="s">
        <v>7439</v>
      </c>
      <c r="C161" s="1302"/>
      <c r="D161" s="1302"/>
      <c r="E161" s="1302"/>
      <c r="F161" s="1302"/>
      <c r="G161" s="1302"/>
      <c r="H161" s="1302"/>
      <c r="I161" s="1302"/>
      <c r="J161" s="1302">
        <f>C106</f>
        <v>290</v>
      </c>
      <c r="K161" s="1303">
        <v>0</v>
      </c>
      <c r="L161" s="1303">
        <v>0</v>
      </c>
      <c r="M161" s="1303"/>
      <c r="N161" s="1303"/>
      <c r="O161" s="1303"/>
      <c r="P161" s="1303"/>
      <c r="Q161" s="1303"/>
      <c r="R161" s="1303"/>
      <c r="S161" s="1304"/>
      <c r="T161" s="1207"/>
      <c r="V161" s="1203" t="s">
        <v>7024</v>
      </c>
    </row>
    <row r="162" spans="2:24">
      <c r="B162" s="1203" t="s">
        <v>7442</v>
      </c>
      <c r="C162" s="1203"/>
      <c r="D162" s="1203"/>
      <c r="E162" s="1203"/>
      <c r="F162" s="1203"/>
      <c r="G162" s="1203"/>
      <c r="H162" s="1203"/>
      <c r="I162" s="1203"/>
      <c r="J162" s="1203"/>
      <c r="K162" s="1306">
        <f>K152+K142+K158-J161</f>
        <v>251.78014072986196</v>
      </c>
      <c r="L162" s="1306">
        <f>K162+L158+L152+L142+L151-150</f>
        <v>51.176094735335482</v>
      </c>
      <c r="M162" s="1306"/>
      <c r="N162" s="1306"/>
      <c r="O162" s="1306"/>
      <c r="P162" s="1306"/>
      <c r="Q162" s="1306"/>
      <c r="R162" s="1306"/>
      <c r="S162" s="1307"/>
      <c r="T162" s="1207"/>
      <c r="V162" s="1203"/>
    </row>
    <row r="163" spans="2:24">
      <c r="B163" s="1302" t="s">
        <v>7441</v>
      </c>
      <c r="C163" s="1302"/>
      <c r="D163" s="1302"/>
      <c r="E163" s="1302"/>
      <c r="F163" s="1302"/>
      <c r="G163" s="1302"/>
      <c r="H163" s="1302"/>
      <c r="I163" s="1302"/>
      <c r="J163" s="1303">
        <f>C107</f>
        <v>1198.4000000000001</v>
      </c>
      <c r="K163" s="1303">
        <f>'LiLAC valuation'!AS259+'LiLAC valuation'!AS260</f>
        <v>1368.5</v>
      </c>
      <c r="L163" s="1303">
        <f>K163</f>
        <v>1368.5</v>
      </c>
      <c r="M163" s="1303"/>
      <c r="N163" s="1303"/>
      <c r="O163" s="1303"/>
      <c r="P163" s="1303"/>
      <c r="Q163" s="1303"/>
      <c r="R163" s="1303"/>
      <c r="S163" s="1304"/>
      <c r="T163" s="1207"/>
      <c r="V163" s="1203" t="s">
        <v>7025</v>
      </c>
    </row>
    <row r="164" spans="2:24">
      <c r="B164" s="1203" t="str">
        <f>B108</f>
        <v>VTR derivative value estimate (est)</v>
      </c>
      <c r="C164" s="1203"/>
      <c r="D164" s="1203"/>
      <c r="E164" s="1203"/>
      <c r="F164" s="1203"/>
      <c r="G164" s="1203"/>
      <c r="H164" s="1203"/>
      <c r="I164" s="1203"/>
      <c r="J164" s="1203">
        <f>C108</f>
        <v>100</v>
      </c>
      <c r="K164" s="1306">
        <v>50</v>
      </c>
      <c r="L164" s="1306">
        <v>0</v>
      </c>
      <c r="M164" s="1306"/>
      <c r="N164" s="1306"/>
      <c r="O164" s="1306"/>
      <c r="P164" s="1306"/>
      <c r="Q164" s="1306"/>
      <c r="R164" s="1306"/>
      <c r="S164" s="1307"/>
      <c r="T164" s="1207"/>
    </row>
    <row r="165" spans="2:24">
      <c r="B165" s="1302" t="s">
        <v>7438</v>
      </c>
      <c r="C165" s="1302"/>
      <c r="D165" s="1302"/>
      <c r="E165" s="1302"/>
      <c r="F165" s="1302"/>
      <c r="G165" s="1302"/>
      <c r="H165" s="1302"/>
      <c r="I165" s="1302"/>
      <c r="J165" s="1303">
        <f>C109+C110</f>
        <v>53.9</v>
      </c>
      <c r="K165" s="1303">
        <f>'LiLAC valuation'!AS261</f>
        <v>7.6</v>
      </c>
      <c r="L165" s="1303">
        <f>K165+L141+L150+L153+150</f>
        <v>60.644262757795133</v>
      </c>
      <c r="M165" s="1303"/>
      <c r="N165" s="1303"/>
      <c r="O165" s="1303"/>
      <c r="P165" s="1303"/>
      <c r="Q165" s="1303"/>
      <c r="R165" s="1303"/>
      <c r="S165" s="1304"/>
      <c r="T165" s="1207"/>
      <c r="V165" s="5">
        <v>0.41</v>
      </c>
      <c r="W165" s="5">
        <v>1</v>
      </c>
    </row>
    <row r="166" spans="2:24">
      <c r="B166" s="1308" t="s">
        <v>7440</v>
      </c>
      <c r="C166" s="1308"/>
      <c r="D166" s="1308"/>
      <c r="E166" s="1308"/>
      <c r="F166" s="1308"/>
      <c r="G166" s="1308"/>
      <c r="H166" s="1308"/>
      <c r="I166" s="1308"/>
      <c r="J166" s="1309"/>
      <c r="K166" s="1309">
        <f>-(107.7+45)</f>
        <v>-152.69999999999999</v>
      </c>
      <c r="L166" s="1309">
        <f>K166</f>
        <v>-152.69999999999999</v>
      </c>
      <c r="M166" s="1309"/>
      <c r="N166" s="1309"/>
      <c r="O166" s="1309"/>
      <c r="P166" s="1309"/>
      <c r="Q166" s="1309"/>
      <c r="R166" s="1309"/>
      <c r="S166" s="1611"/>
      <c r="T166" s="1207"/>
      <c r="V166" s="5"/>
      <c r="W166" s="5"/>
    </row>
    <row r="167" spans="2:24">
      <c r="B167" s="1302" t="s">
        <v>7443</v>
      </c>
      <c r="C167" s="1302"/>
      <c r="D167" s="1302"/>
      <c r="E167" s="1302"/>
      <c r="F167" s="1302"/>
      <c r="G167" s="1302"/>
      <c r="H167" s="1302"/>
      <c r="I167" s="1302"/>
      <c r="J167" s="1303"/>
      <c r="K167" s="1303">
        <f>K161+K163+K166</f>
        <v>1215.8</v>
      </c>
      <c r="L167" s="1303">
        <f t="shared" ref="L167" si="106">L161+L163+L166</f>
        <v>1215.8</v>
      </c>
      <c r="M167" s="1303">
        <f>L167</f>
        <v>1215.8</v>
      </c>
      <c r="N167" s="1303">
        <f t="shared" ref="N167:R167" si="107">M167</f>
        <v>1215.8</v>
      </c>
      <c r="O167" s="1303">
        <f t="shared" si="107"/>
        <v>1215.8</v>
      </c>
      <c r="P167" s="1303">
        <f t="shared" si="107"/>
        <v>1215.8</v>
      </c>
      <c r="Q167" s="1303">
        <f t="shared" si="107"/>
        <v>1215.8</v>
      </c>
      <c r="R167" s="1303">
        <f t="shared" si="107"/>
        <v>1215.8</v>
      </c>
      <c r="S167" s="1304"/>
      <c r="T167" s="1207"/>
      <c r="V167" s="5"/>
      <c r="W167" s="5"/>
    </row>
    <row r="168" spans="2:24">
      <c r="B168" s="1308" t="s">
        <v>7444</v>
      </c>
      <c r="C168" s="1308"/>
      <c r="D168" s="1308"/>
      <c r="E168" s="1308"/>
      <c r="F168" s="1308"/>
      <c r="G168" s="1308"/>
      <c r="H168" s="1308"/>
      <c r="I168" s="1308"/>
      <c r="J168" s="1309"/>
      <c r="K168" s="1309">
        <f>K162+K164+K165</f>
        <v>309.38014072986198</v>
      </c>
      <c r="L168" s="1309">
        <f t="shared" ref="L168" si="108">L162+L164+L165</f>
        <v>111.82035749313062</v>
      </c>
      <c r="M168" s="1309">
        <f>L168+M156</f>
        <v>-11.223479726752657</v>
      </c>
      <c r="N168" s="1309">
        <f t="shared" ref="N168:R168" si="109">M168+N156</f>
        <v>-44.491915600764059</v>
      </c>
      <c r="O168" s="1309">
        <f t="shared" si="109"/>
        <v>-54.473313947958587</v>
      </c>
      <c r="P168" s="1309">
        <f t="shared" si="109"/>
        <v>-41.776913577218863</v>
      </c>
      <c r="Q168" s="1309">
        <f t="shared" si="109"/>
        <v>-20.116293565343312</v>
      </c>
      <c r="R168" s="1309">
        <f t="shared" si="109"/>
        <v>1.3226966462129361</v>
      </c>
      <c r="S168" s="1611"/>
      <c r="T168" s="1207"/>
      <c r="V168" s="5"/>
      <c r="W168" s="5"/>
    </row>
    <row r="169" spans="2:24">
      <c r="B169" s="1318" t="s">
        <v>6032</v>
      </c>
      <c r="C169" s="1318"/>
      <c r="D169" s="1318"/>
      <c r="E169" s="1318"/>
      <c r="F169" s="1318"/>
      <c r="G169" s="1318"/>
      <c r="H169" s="1318"/>
      <c r="I169" s="1318"/>
      <c r="J169" s="1319">
        <f>C111</f>
        <v>1334.5</v>
      </c>
      <c r="K169" s="1319">
        <f>K161+K163+K166-K162-K164-K165</f>
        <v>906.41985927013798</v>
      </c>
      <c r="L169" s="1319">
        <f>L161+L163-L164-L165-L162+L166</f>
        <v>1103.9796425068694</v>
      </c>
      <c r="M169" s="1319">
        <f>M167-M168</f>
        <v>1227.0234797267526</v>
      </c>
      <c r="N169" s="1319">
        <f t="shared" ref="N169:P169" si="110">N167-N168</f>
        <v>1260.291915600764</v>
      </c>
      <c r="O169" s="1319">
        <f t="shared" si="110"/>
        <v>1270.2733139479585</v>
      </c>
      <c r="P169" s="1319">
        <f t="shared" si="110"/>
        <v>1257.5769135772189</v>
      </c>
      <c r="Q169" s="1319">
        <f t="shared" ref="Q169:R169" si="111">Q167-Q168</f>
        <v>1235.9162935653433</v>
      </c>
      <c r="R169" s="1319">
        <f t="shared" si="111"/>
        <v>1214.477303353787</v>
      </c>
      <c r="S169" s="1319"/>
      <c r="T169" s="1207"/>
      <c r="U169" s="486" t="s">
        <v>7426</v>
      </c>
      <c r="V169" s="16">
        <f>972.4</f>
        <v>972.4</v>
      </c>
      <c r="W169" s="16">
        <f>V169/0.41</f>
        <v>2371.707317073171</v>
      </c>
    </row>
    <row r="170" spans="2:24">
      <c r="B170" s="1203" t="s">
        <v>6031</v>
      </c>
      <c r="C170" s="1203"/>
      <c r="D170" s="1203"/>
      <c r="E170" s="1203"/>
      <c r="F170" s="1203"/>
      <c r="G170" s="1203"/>
      <c r="H170" s="1203"/>
      <c r="I170" s="1203"/>
      <c r="J170" s="1306"/>
      <c r="K170" s="1306">
        <v>0</v>
      </c>
      <c r="L170" s="1306">
        <v>0</v>
      </c>
      <c r="M170" s="1306">
        <v>0</v>
      </c>
      <c r="N170" s="1306">
        <v>0</v>
      </c>
      <c r="O170" s="1306">
        <v>0</v>
      </c>
      <c r="P170" s="1306">
        <v>0</v>
      </c>
      <c r="Q170" s="1306">
        <v>0</v>
      </c>
      <c r="R170" s="1306">
        <v>0</v>
      </c>
      <c r="S170" s="1203"/>
      <c r="T170" s="1207"/>
      <c r="U170" s="486" t="s">
        <v>7427</v>
      </c>
      <c r="V170" s="16"/>
      <c r="W170" s="16">
        <f>L169</f>
        <v>1103.9796425068694</v>
      </c>
      <c r="X170" s="486"/>
    </row>
    <row r="171" spans="2:24">
      <c r="B171" s="1302" t="s">
        <v>6310</v>
      </c>
      <c r="C171" s="1302"/>
      <c r="D171" s="1302"/>
      <c r="E171" s="1302"/>
      <c r="F171" s="1302"/>
      <c r="G171" s="1302"/>
      <c r="H171" s="1302"/>
      <c r="I171" s="1311">
        <v>0.9</v>
      </c>
      <c r="J171" s="1303"/>
      <c r="K171" s="1303"/>
      <c r="L171" s="1303"/>
      <c r="M171" s="1303"/>
      <c r="N171" s="1303"/>
      <c r="O171" s="1303"/>
      <c r="P171" s="1303"/>
      <c r="Q171" s="1303"/>
      <c r="R171" s="1303"/>
      <c r="S171" s="1302"/>
      <c r="T171" s="1207"/>
      <c r="U171" t="s">
        <v>7428</v>
      </c>
      <c r="V171" s="16"/>
      <c r="W171" s="16">
        <f>W169+W170</f>
        <v>3475.6869595800404</v>
      </c>
    </row>
    <row r="172" spans="2:24">
      <c r="B172" s="1204" t="s">
        <v>6796</v>
      </c>
      <c r="C172" s="1204"/>
      <c r="D172" s="1204"/>
      <c r="E172" s="1204"/>
      <c r="F172" s="1204"/>
      <c r="G172" s="1204"/>
      <c r="H172" s="1204"/>
      <c r="I172" s="1204"/>
      <c r="J172" s="1312">
        <f t="shared" ref="J172:P172" si="112">J125+J153*$I$171</f>
        <v>125.81684958049999</v>
      </c>
      <c r="K172" s="1312">
        <f>K125+K153*$I$171</f>
        <v>84.704964817534517</v>
      </c>
      <c r="L172" s="1312">
        <f t="shared" si="112"/>
        <v>98.466487292381103</v>
      </c>
      <c r="M172" s="1312">
        <f t="shared" si="112"/>
        <v>190.96142099374231</v>
      </c>
      <c r="N172" s="1312">
        <f t="shared" si="112"/>
        <v>253.3276990734079</v>
      </c>
      <c r="O172" s="1312">
        <f t="shared" si="112"/>
        <v>264.16341629697968</v>
      </c>
      <c r="P172" s="1312">
        <f t="shared" si="112"/>
        <v>283.50259928456944</v>
      </c>
      <c r="Q172" s="1312">
        <f t="shared" ref="Q172:R172" si="113">Q125+Q153*$I$171</f>
        <v>286.76671609264832</v>
      </c>
      <c r="R172" s="1312">
        <f t="shared" si="113"/>
        <v>289.87154370135465</v>
      </c>
      <c r="S172" s="1203"/>
      <c r="T172" s="1207"/>
      <c r="U172" t="s">
        <v>1486</v>
      </c>
      <c r="V172" s="16"/>
      <c r="W172" s="16">
        <f>L172</f>
        <v>98.466487292381103</v>
      </c>
    </row>
    <row r="173" spans="2:24">
      <c r="B173" s="1302" t="s">
        <v>251</v>
      </c>
      <c r="C173" s="1302"/>
      <c r="D173" s="1302"/>
      <c r="E173" s="1302"/>
      <c r="F173" s="1302"/>
      <c r="G173" s="1302"/>
      <c r="H173" s="1302"/>
      <c r="I173" s="1302"/>
      <c r="J173" s="1304">
        <f t="shared" ref="J173:P173" si="114">J172/J116</f>
        <v>9.8405976833946404E-2</v>
      </c>
      <c r="K173" s="1304">
        <f t="shared" si="114"/>
        <v>7.205465391403891E-2</v>
      </c>
      <c r="L173" s="1304">
        <f t="shared" si="114"/>
        <v>8.2688745619563381E-2</v>
      </c>
      <c r="M173" s="1304">
        <f t="shared" si="114"/>
        <v>0.15706037872281323</v>
      </c>
      <c r="N173" s="1304">
        <f t="shared" si="114"/>
        <v>0.20391893711847886</v>
      </c>
      <c r="O173" s="1304">
        <f t="shared" si="114"/>
        <v>0.2081214371643289</v>
      </c>
      <c r="P173" s="1304">
        <f t="shared" si="114"/>
        <v>0.21860366603852333</v>
      </c>
      <c r="Q173" s="1304">
        <f t="shared" ref="Q173:R173" si="115">Q172/Q116</f>
        <v>0.21690296333306561</v>
      </c>
      <c r="R173" s="1304">
        <f t="shared" si="115"/>
        <v>0.21554226879030988</v>
      </c>
      <c r="S173" s="1302"/>
      <c r="T173" s="1207"/>
      <c r="U173" t="s">
        <v>7429</v>
      </c>
      <c r="V173" s="16"/>
      <c r="W173" s="16">
        <f>W171/W172</f>
        <v>35.298171541953373</v>
      </c>
    </row>
    <row r="174" spans="2:24">
      <c r="B174" s="1205" t="s">
        <v>895</v>
      </c>
      <c r="C174" s="3"/>
      <c r="D174" s="1205"/>
      <c r="E174" s="1205"/>
      <c r="F174" s="1205"/>
      <c r="G174" s="1205"/>
      <c r="H174" s="1205"/>
      <c r="I174" s="1205"/>
      <c r="J174" s="1419">
        <f t="shared" ref="J174:P174" si="116">J169/J172</f>
        <v>10.606687454418907</v>
      </c>
      <c r="K174" s="1419">
        <f t="shared" si="116"/>
        <v>10.700905917648203</v>
      </c>
      <c r="L174" s="1419">
        <f t="shared" si="116"/>
        <v>11.21172972514772</v>
      </c>
      <c r="M174" s="1419">
        <f t="shared" si="116"/>
        <v>6.4255045513458002</v>
      </c>
      <c r="N174" s="1419">
        <f t="shared" si="116"/>
        <v>4.9749471542611046</v>
      </c>
      <c r="O174" s="1419">
        <f t="shared" si="116"/>
        <v>4.8086647718088367</v>
      </c>
      <c r="P174" s="1419">
        <f t="shared" si="116"/>
        <v>4.4358567320044555</v>
      </c>
      <c r="Q174" s="1419">
        <f t="shared" ref="Q174:R174" si="117">Q169/Q172</f>
        <v>4.3098317350261963</v>
      </c>
      <c r="R174" s="1419">
        <f t="shared" si="117"/>
        <v>4.1897086131539147</v>
      </c>
      <c r="S174" s="1308"/>
      <c r="T174" s="1207"/>
    </row>
    <row r="175" spans="2:24">
      <c r="B175" s="1313" t="s">
        <v>829</v>
      </c>
      <c r="C175" s="1314"/>
      <c r="D175" s="1313"/>
      <c r="E175" s="1313"/>
      <c r="F175" s="1313"/>
      <c r="G175" s="1313"/>
      <c r="H175" s="1313"/>
      <c r="I175" s="1607" t="s">
        <v>6276</v>
      </c>
      <c r="J175" s="1608"/>
      <c r="K175" s="1313"/>
      <c r="L175" s="1313"/>
      <c r="M175" s="1313"/>
      <c r="N175" s="1313"/>
      <c r="O175" s="1313"/>
      <c r="P175" s="1313"/>
      <c r="Q175" s="1313"/>
      <c r="R175" s="1313"/>
      <c r="S175" s="1313"/>
      <c r="T175" s="1207"/>
    </row>
    <row r="176" spans="2:24">
      <c r="B176" s="1203" t="s">
        <v>3019</v>
      </c>
      <c r="D176" s="1203"/>
      <c r="E176" s="1203"/>
      <c r="F176" s="1203"/>
      <c r="G176" s="1203"/>
      <c r="H176" s="1203"/>
      <c r="I176" s="1377"/>
      <c r="J176" s="1306">
        <f>J137-(1-$I$171)*J153</f>
        <v>216.06860760450508</v>
      </c>
      <c r="K176" s="1306">
        <f>K137-(1-$I$171)*K153</f>
        <v>231.12482408767255</v>
      </c>
      <c r="L176" s="1306">
        <f t="shared" ref="L176:P176" si="118">L137-(1-$I$171)*L153</f>
        <v>267.21627052911236</v>
      </c>
      <c r="M176" s="1306">
        <f t="shared" si="118"/>
        <v>240.50725821362562</v>
      </c>
      <c r="N176" s="1306">
        <f t="shared" si="118"/>
        <v>213.64813494741929</v>
      </c>
      <c r="O176" s="1306">
        <f t="shared" si="118"/>
        <v>201.1968146441742</v>
      </c>
      <c r="P176" s="1306">
        <f t="shared" si="118"/>
        <v>192.92070988076426</v>
      </c>
      <c r="Q176" s="1306"/>
      <c r="R176" s="1306"/>
      <c r="S176" s="1203"/>
      <c r="T176" s="1207"/>
      <c r="W176">
        <f>L169/945*1000</f>
        <v>1168.2324259331951</v>
      </c>
    </row>
    <row r="177" spans="2:20">
      <c r="B177" s="1203" t="s">
        <v>7028</v>
      </c>
      <c r="D177" s="1203"/>
      <c r="E177" s="1203"/>
      <c r="F177" s="1203"/>
      <c r="G177" s="1203"/>
      <c r="H177" s="1203"/>
      <c r="I177" s="1377"/>
      <c r="J177" s="1306">
        <f>J172-J176</f>
        <v>-90.251758024005085</v>
      </c>
      <c r="K177" s="1306">
        <f t="shared" ref="K177:P177" si="119">K172-K176</f>
        <v>-146.41985927013803</v>
      </c>
      <c r="L177" s="1306">
        <f>L172-L176</f>
        <v>-168.74978323673128</v>
      </c>
      <c r="M177" s="1306">
        <f t="shared" si="119"/>
        <v>-49.54583721988331</v>
      </c>
      <c r="N177" s="1306">
        <f t="shared" si="119"/>
        <v>39.679564125988605</v>
      </c>
      <c r="O177" s="1306">
        <f t="shared" si="119"/>
        <v>62.96660165280548</v>
      </c>
      <c r="P177" s="1306">
        <f t="shared" si="119"/>
        <v>90.581889403805178</v>
      </c>
      <c r="Q177" s="1306"/>
      <c r="R177" s="1306"/>
      <c r="S177" s="1203"/>
      <c r="T177" s="1207"/>
    </row>
    <row r="178" spans="2:20">
      <c r="B178" s="1203"/>
      <c r="D178" s="1203"/>
      <c r="E178" s="1203"/>
      <c r="F178" s="1203"/>
      <c r="G178" s="1203"/>
      <c r="H178" s="1203"/>
      <c r="I178" s="1377"/>
      <c r="J178" s="1306"/>
      <c r="K178" s="1306"/>
      <c r="L178" s="1306"/>
      <c r="M178" s="1306"/>
      <c r="N178" s="1306"/>
      <c r="O178" s="1306"/>
      <c r="P178" s="1306"/>
      <c r="Q178" s="1306"/>
      <c r="R178" s="1306"/>
      <c r="S178" s="1203"/>
      <c r="T178" s="1207"/>
    </row>
    <row r="179" spans="2:20">
      <c r="B179" s="1203"/>
      <c r="D179" s="1203"/>
      <c r="E179" s="1203"/>
      <c r="F179" s="1203"/>
      <c r="G179" s="1203"/>
      <c r="H179" s="1203"/>
      <c r="I179" s="1377"/>
      <c r="J179" s="1484"/>
      <c r="K179" s="1203"/>
      <c r="L179" s="1203"/>
      <c r="M179" s="1203"/>
      <c r="N179" s="1203"/>
      <c r="O179" s="1203"/>
      <c r="P179" s="1203"/>
      <c r="Q179" s="1203"/>
      <c r="R179" s="1203"/>
      <c r="S179" s="1203"/>
      <c r="T179" s="1207"/>
    </row>
    <row r="180" spans="2:20">
      <c r="B180" s="1485" t="s">
        <v>3070</v>
      </c>
      <c r="C180" s="1205"/>
      <c r="D180" s="1205">
        <f t="shared" ref="D180:I180" si="120">D146</f>
        <v>2016</v>
      </c>
      <c r="E180" s="1205">
        <f t="shared" si="120"/>
        <v>2017</v>
      </c>
      <c r="F180" s="1205">
        <f t="shared" si="120"/>
        <v>2018</v>
      </c>
      <c r="G180" s="1205">
        <f t="shared" si="120"/>
        <v>2019</v>
      </c>
      <c r="H180" s="1205">
        <f t="shared" si="120"/>
        <v>2020</v>
      </c>
      <c r="I180" s="1205">
        <f t="shared" si="120"/>
        <v>2021</v>
      </c>
      <c r="J180" s="1205">
        <f t="shared" ref="J180:S180" si="121">J146</f>
        <v>2022</v>
      </c>
      <c r="K180" s="1205">
        <f t="shared" si="121"/>
        <v>2023</v>
      </c>
      <c r="L180" s="1205">
        <f t="shared" si="121"/>
        <v>2024</v>
      </c>
      <c r="M180" s="1205">
        <f t="shared" si="121"/>
        <v>2025</v>
      </c>
      <c r="N180" s="1205">
        <f t="shared" si="121"/>
        <v>2026</v>
      </c>
      <c r="O180" s="1205">
        <f t="shared" si="121"/>
        <v>2027</v>
      </c>
      <c r="P180" s="1205">
        <f t="shared" si="121"/>
        <v>2028</v>
      </c>
      <c r="Q180" s="1204"/>
      <c r="R180" s="1204"/>
      <c r="S180" s="1521" t="str">
        <f t="shared" si="121"/>
        <v>22-28e</v>
      </c>
      <c r="T180" s="1207"/>
    </row>
    <row r="181" spans="2:20">
      <c r="B181" s="1302" t="s">
        <v>6855</v>
      </c>
      <c r="C181" s="1303"/>
      <c r="D181" s="1303"/>
      <c r="E181" s="1303"/>
      <c r="F181" s="1303"/>
      <c r="G181" s="1303"/>
      <c r="H181" s="1303"/>
      <c r="I181" s="1303"/>
      <c r="J181" s="1303">
        <f>J165</f>
        <v>53.9</v>
      </c>
      <c r="K181" s="1303">
        <f>K165</f>
        <v>7.6</v>
      </c>
      <c r="L181" s="1303">
        <f t="shared" ref="L181:P181" si="122">L165</f>
        <v>60.644262757795133</v>
      </c>
      <c r="M181" s="1303">
        <f t="shared" si="122"/>
        <v>0</v>
      </c>
      <c r="N181" s="1303">
        <f t="shared" si="122"/>
        <v>0</v>
      </c>
      <c r="O181" s="1303">
        <f t="shared" si="122"/>
        <v>0</v>
      </c>
      <c r="P181" s="1303">
        <f t="shared" si="122"/>
        <v>0</v>
      </c>
      <c r="Q181" s="1303"/>
      <c r="R181" s="1303"/>
      <c r="S181" s="1303"/>
      <c r="T181" s="1207"/>
    </row>
    <row r="182" spans="2:20">
      <c r="B182" s="1203" t="s">
        <v>6856</v>
      </c>
      <c r="C182" s="1306"/>
      <c r="D182" s="1306"/>
      <c r="E182" s="1306"/>
      <c r="F182" s="1306"/>
      <c r="G182" s="1306"/>
      <c r="H182" s="1306"/>
      <c r="I182" s="1306"/>
      <c r="J182" s="1306">
        <v>214.7</v>
      </c>
      <c r="K182" s="1310">
        <f>J182</f>
        <v>214.7</v>
      </c>
      <c r="L182" s="1310">
        <f t="shared" ref="L182:P182" si="123">K182</f>
        <v>214.7</v>
      </c>
      <c r="M182" s="1310">
        <f t="shared" si="123"/>
        <v>214.7</v>
      </c>
      <c r="N182" s="1310">
        <f t="shared" si="123"/>
        <v>214.7</v>
      </c>
      <c r="O182" s="1310">
        <f t="shared" si="123"/>
        <v>214.7</v>
      </c>
      <c r="P182" s="1310">
        <f t="shared" si="123"/>
        <v>214.7</v>
      </c>
      <c r="Q182" s="1486"/>
      <c r="R182" s="1486"/>
      <c r="S182" s="1486"/>
      <c r="T182" s="1207"/>
    </row>
    <row r="183" spans="2:20">
      <c r="B183" s="1473" t="s">
        <v>3087</v>
      </c>
      <c r="C183" s="1320"/>
      <c r="D183" s="1320"/>
      <c r="E183" s="1320"/>
      <c r="F183" s="1320"/>
      <c r="G183" s="1320"/>
      <c r="H183" s="1320"/>
      <c r="I183" s="1320"/>
      <c r="J183" s="1320">
        <f t="shared" ref="J183:K183" si="124">J181+J182</f>
        <v>268.59999999999997</v>
      </c>
      <c r="K183" s="1320">
        <f t="shared" si="124"/>
        <v>222.29999999999998</v>
      </c>
      <c r="L183" s="1320">
        <f t="shared" ref="L183" si="125">L181+L182</f>
        <v>275.34426275779515</v>
      </c>
      <c r="M183" s="1320">
        <f t="shared" ref="M183" si="126">M181+M182</f>
        <v>214.7</v>
      </c>
      <c r="N183" s="1320">
        <f t="shared" ref="N183" si="127">N181+N182</f>
        <v>214.7</v>
      </c>
      <c r="O183" s="1320">
        <f t="shared" ref="O183" si="128">O181+O182</f>
        <v>214.7</v>
      </c>
      <c r="P183" s="1320">
        <f t="shared" ref="P183" si="129">P181+P182</f>
        <v>214.7</v>
      </c>
      <c r="Q183" s="1319"/>
      <c r="R183" s="1319"/>
      <c r="S183" s="1319"/>
      <c r="T183" s="1207"/>
    </row>
    <row r="184" spans="2:20">
      <c r="B184" s="1203"/>
      <c r="C184" s="1203"/>
      <c r="D184" s="1203"/>
      <c r="E184" s="1203"/>
      <c r="F184" s="1203"/>
      <c r="G184" s="1203"/>
      <c r="H184" s="1203"/>
      <c r="I184" s="1377"/>
      <c r="J184" s="1484"/>
      <c r="K184" s="1203"/>
      <c r="L184" s="1203"/>
      <c r="M184" s="1203"/>
      <c r="N184" s="1203"/>
      <c r="O184" s="1203"/>
      <c r="P184" s="1203"/>
      <c r="Q184" s="1203"/>
      <c r="R184" s="1203"/>
      <c r="S184" s="1203"/>
      <c r="T184" s="1207"/>
    </row>
    <row r="185" spans="2:20">
      <c r="B185" s="1302" t="s">
        <v>6861</v>
      </c>
      <c r="C185" s="1303"/>
      <c r="D185" s="1303"/>
      <c r="E185" s="1303"/>
      <c r="F185" s="1303"/>
      <c r="G185" s="1303"/>
      <c r="H185" s="1303"/>
      <c r="I185" s="1303"/>
      <c r="J185" s="1520"/>
      <c r="K185" s="1520">
        <f t="shared" ref="K185:P185" si="130">K125/-K150</f>
        <v>1.1780285494205402</v>
      </c>
      <c r="L185" s="1520">
        <f t="shared" si="130"/>
        <v>0.87958211292633182</v>
      </c>
      <c r="M185" s="1520">
        <f t="shared" si="130"/>
        <v>1.1787221170387439</v>
      </c>
      <c r="N185" s="1520">
        <f t="shared" si="130"/>
        <v>1.6739005740172161</v>
      </c>
      <c r="O185" s="1520">
        <f t="shared" si="130"/>
        <v>1.8224408660549933</v>
      </c>
      <c r="P185" s="1520">
        <f t="shared" si="130"/>
        <v>2.087550025834422</v>
      </c>
      <c r="Q185" s="1520"/>
      <c r="R185" s="1520"/>
      <c r="S185" s="1303"/>
      <c r="T185" s="1207"/>
    </row>
    <row r="186" spans="2:20">
      <c r="B186" s="1203"/>
      <c r="C186" s="1203"/>
      <c r="D186" s="1203"/>
      <c r="E186" s="1203"/>
      <c r="F186" s="1203"/>
      <c r="G186" s="1203"/>
      <c r="H186" s="1203"/>
      <c r="I186" s="1377"/>
      <c r="J186" s="1484"/>
      <c r="K186" s="1203"/>
      <c r="L186" s="1203"/>
      <c r="M186" s="1203"/>
      <c r="N186" s="1203"/>
      <c r="O186" s="1203"/>
      <c r="P186" s="1203"/>
      <c r="Q186" s="1203"/>
      <c r="R186" s="1203"/>
      <c r="S186" s="1203"/>
      <c r="T186" s="1207"/>
    </row>
    <row r="187" spans="2:20">
      <c r="B187" s="1346" t="s">
        <v>330</v>
      </c>
      <c r="C187" s="1302"/>
      <c r="D187" s="1302"/>
      <c r="E187" s="1302"/>
      <c r="F187" s="1302"/>
      <c r="G187" s="1302"/>
      <c r="H187" s="1302"/>
      <c r="I187" s="1302"/>
      <c r="J187" s="1420"/>
      <c r="K187" s="1302"/>
      <c r="L187" s="1302"/>
      <c r="M187" s="1302"/>
      <c r="N187" s="1302"/>
      <c r="O187" s="1302"/>
      <c r="P187" s="1302"/>
      <c r="Q187" s="1302"/>
      <c r="R187" s="1302"/>
      <c r="S187" s="1302"/>
      <c r="T187" s="1207"/>
    </row>
    <row r="188" spans="2:20">
      <c r="B188" s="1203" t="s">
        <v>6280</v>
      </c>
      <c r="C188" s="1203"/>
      <c r="D188" s="1203"/>
      <c r="E188" s="1203"/>
      <c r="F188" s="1203"/>
      <c r="G188" s="1203"/>
      <c r="H188" s="1203"/>
      <c r="I188" s="1203"/>
      <c r="J188" s="1416"/>
      <c r="K188" s="1306">
        <f t="shared" ref="K188:P188" si="131">K156-K150</f>
        <v>-236.41985927013803</v>
      </c>
      <c r="L188" s="1306">
        <f t="shared" si="131"/>
        <v>-317.24978323673128</v>
      </c>
      <c r="M188" s="1306">
        <f t="shared" si="131"/>
        <v>-50.095837219883279</v>
      </c>
      <c r="N188" s="1306">
        <f t="shared" si="131"/>
        <v>39.679564125988591</v>
      </c>
      <c r="O188" s="1306">
        <f t="shared" si="131"/>
        <v>62.966601652805466</v>
      </c>
      <c r="P188" s="1306">
        <f t="shared" si="131"/>
        <v>85.644400370739717</v>
      </c>
      <c r="Q188" s="1306"/>
      <c r="R188" s="1306"/>
      <c r="S188" s="1203"/>
      <c r="T188" s="1207"/>
    </row>
    <row r="189" spans="2:20">
      <c r="B189" s="1302" t="s">
        <v>378</v>
      </c>
      <c r="C189" s="1302"/>
      <c r="D189" s="1302"/>
      <c r="E189" s="1302"/>
      <c r="F189" s="1302"/>
      <c r="G189" s="1302"/>
      <c r="H189" s="1302"/>
      <c r="I189" s="1304">
        <v>9.2999999999999999E-2</v>
      </c>
      <c r="J189" s="1335"/>
      <c r="K189" s="1302"/>
      <c r="L189" s="1302"/>
      <c r="M189" s="1302"/>
      <c r="N189" s="1302"/>
      <c r="O189" s="1302"/>
      <c r="P189" s="1302"/>
      <c r="Q189" s="1302"/>
      <c r="R189" s="1302"/>
      <c r="S189" s="1302"/>
      <c r="T189" s="1207"/>
    </row>
    <row r="190" spans="2:20">
      <c r="B190" s="1203" t="s">
        <v>6283</v>
      </c>
      <c r="C190" s="1203"/>
      <c r="D190" s="1203"/>
      <c r="E190" s="1203"/>
      <c r="F190" s="1203"/>
      <c r="G190" s="1203"/>
      <c r="H190" s="1203"/>
      <c r="I190" s="1307">
        <v>0.02</v>
      </c>
      <c r="J190" s="1416"/>
      <c r="K190" s="1203"/>
      <c r="L190" s="1203"/>
      <c r="M190" s="1203"/>
      <c r="N190" s="1203"/>
      <c r="O190" s="1203"/>
      <c r="P190" s="1203"/>
      <c r="Q190" s="1203"/>
      <c r="R190" s="1203"/>
      <c r="S190" s="1203"/>
      <c r="T190" s="1207"/>
    </row>
    <row r="191" spans="2:20">
      <c r="B191" s="1302" t="s">
        <v>6284</v>
      </c>
      <c r="C191" s="1302"/>
      <c r="D191" s="1302"/>
      <c r="E191" s="1302"/>
      <c r="F191" s="1302"/>
      <c r="G191" s="1302"/>
      <c r="H191" s="1302"/>
      <c r="I191" s="1337">
        <f>1/(I189-I190)</f>
        <v>13.698630136986303</v>
      </c>
      <c r="J191" s="1335"/>
      <c r="K191" s="1302"/>
      <c r="L191" s="1302"/>
      <c r="M191" s="1302"/>
      <c r="N191" s="1302"/>
      <c r="O191" s="1302"/>
      <c r="P191" s="1302"/>
      <c r="Q191" s="1302"/>
      <c r="R191" s="1302"/>
      <c r="S191" s="1302"/>
      <c r="T191" s="1207"/>
    </row>
    <row r="192" spans="2:20" outlineLevel="1">
      <c r="B192" s="1203"/>
      <c r="C192" s="1203"/>
      <c r="D192" s="1203"/>
      <c r="E192" s="1203"/>
      <c r="F192" s="1203"/>
      <c r="G192" s="1203"/>
      <c r="H192" s="1203"/>
      <c r="I192" s="1417"/>
      <c r="J192" s="1416"/>
      <c r="K192" s="1203"/>
      <c r="L192" s="1203"/>
      <c r="M192" s="1203"/>
      <c r="N192" s="1203"/>
      <c r="O192" s="1203"/>
      <c r="P192" s="1203"/>
      <c r="Q192" s="1203"/>
      <c r="R192" s="1203"/>
      <c r="S192" s="1203"/>
      <c r="T192" s="1207"/>
    </row>
    <row r="193" spans="2:20" outlineLevel="1">
      <c r="B193" s="1302" t="s">
        <v>6302</v>
      </c>
      <c r="C193" s="1302"/>
      <c r="D193" s="1302"/>
      <c r="E193" s="1302"/>
      <c r="F193" s="1302"/>
      <c r="G193" s="1302"/>
      <c r="H193" s="1302"/>
      <c r="I193" s="1303">
        <f>NPV(I189,M188:P188)</f>
        <v>95.612847837548031</v>
      </c>
      <c r="J193" s="1335"/>
      <c r="K193" s="1302"/>
      <c r="L193" s="1302"/>
      <c r="M193" s="1302"/>
      <c r="N193" s="1302"/>
      <c r="O193" s="1302"/>
      <c r="P193" s="1302"/>
      <c r="Q193" s="1302"/>
      <c r="R193" s="1302"/>
      <c r="S193" s="1302"/>
      <c r="T193" s="1207"/>
    </row>
    <row r="194" spans="2:20" outlineLevel="1">
      <c r="B194" s="1203" t="s">
        <v>6285</v>
      </c>
      <c r="C194" s="1203"/>
      <c r="D194" s="1203"/>
      <c r="E194" s="1203"/>
      <c r="F194" s="1203"/>
      <c r="G194" s="1203"/>
      <c r="H194" s="1203"/>
      <c r="I194" s="1306">
        <f>I191*P188</f>
        <v>1173.2109639827361</v>
      </c>
      <c r="J194" s="1416"/>
      <c r="K194" s="1203"/>
      <c r="L194" s="1203"/>
      <c r="M194" s="1203"/>
      <c r="N194" s="1203"/>
      <c r="O194" s="1203"/>
      <c r="P194" s="1203"/>
      <c r="Q194" s="1203"/>
      <c r="R194" s="1203"/>
      <c r="S194" s="1203"/>
      <c r="T194" s="1207"/>
    </row>
    <row r="195" spans="2:20" outlineLevel="1">
      <c r="B195" s="1313" t="s">
        <v>6286</v>
      </c>
      <c r="C195" s="1313"/>
      <c r="D195" s="1313"/>
      <c r="E195" s="1313"/>
      <c r="F195" s="1313"/>
      <c r="G195" s="1313"/>
      <c r="H195" s="1313"/>
      <c r="I195" s="1327">
        <f>I194/(1+I189)^4</f>
        <v>822.04475960461798</v>
      </c>
      <c r="J195" s="1335"/>
      <c r="K195" s="1302"/>
      <c r="L195" s="1302"/>
      <c r="M195" s="1302"/>
      <c r="N195" s="1302"/>
      <c r="O195" s="1302"/>
      <c r="P195" s="1302"/>
      <c r="Q195" s="1302"/>
      <c r="R195" s="1302"/>
      <c r="S195" s="1302"/>
      <c r="T195" s="1207"/>
    </row>
    <row r="196" spans="2:20">
      <c r="B196" s="1204" t="s">
        <v>6312</v>
      </c>
      <c r="C196" s="1204"/>
      <c r="D196" s="1204"/>
      <c r="E196" s="1204"/>
      <c r="F196" s="1204"/>
      <c r="G196" s="1204"/>
      <c r="H196" s="1204"/>
      <c r="I196" s="1312">
        <f>I193+I195</f>
        <v>917.65760744216595</v>
      </c>
      <c r="J196" s="1416"/>
      <c r="K196" s="1203"/>
      <c r="L196" s="1203"/>
      <c r="M196" s="1203"/>
      <c r="N196" s="1203"/>
      <c r="O196" s="1203"/>
      <c r="P196" s="1203"/>
      <c r="Q196" s="1203"/>
      <c r="R196" s="1203"/>
      <c r="S196" s="1203"/>
      <c r="T196" s="1207"/>
    </row>
    <row r="197" spans="2:20">
      <c r="B197" s="1318" t="s">
        <v>7021</v>
      </c>
      <c r="C197" s="1318"/>
      <c r="D197" s="1318"/>
      <c r="E197" s="1318"/>
      <c r="F197" s="1318"/>
      <c r="G197" s="1318"/>
      <c r="H197" s="1318"/>
      <c r="I197" s="1319">
        <f>L169</f>
        <v>1103.9796425068694</v>
      </c>
      <c r="J197" s="1335"/>
      <c r="K197" s="1302"/>
      <c r="L197" s="1302"/>
      <c r="M197" s="1302"/>
      <c r="N197" s="1302"/>
      <c r="O197" s="1302"/>
      <c r="P197" s="1302"/>
      <c r="Q197" s="1302"/>
      <c r="R197" s="1302"/>
      <c r="S197" s="1302"/>
      <c r="T197" s="1207"/>
    </row>
    <row r="198" spans="2:20">
      <c r="B198" s="1205" t="s">
        <v>6313</v>
      </c>
      <c r="C198" s="1205"/>
      <c r="D198" s="1205"/>
      <c r="E198" s="1205"/>
      <c r="F198" s="1205"/>
      <c r="G198" s="1205"/>
      <c r="H198" s="1205"/>
      <c r="I198" s="1418">
        <f>I196-I197</f>
        <v>-186.32203506470341</v>
      </c>
      <c r="J198" s="1419"/>
      <c r="K198" s="1308"/>
      <c r="L198" s="1308"/>
      <c r="M198" s="1308"/>
      <c r="N198" s="1308"/>
      <c r="O198" s="1308"/>
      <c r="P198" s="1308"/>
      <c r="Q198" s="1203"/>
      <c r="R198" s="1203"/>
      <c r="S198" s="1203"/>
      <c r="T198" s="1207"/>
    </row>
    <row r="199" spans="2:20">
      <c r="B199" s="1207"/>
      <c r="C199" s="1207"/>
      <c r="D199" s="1207"/>
      <c r="E199" s="1207"/>
      <c r="F199" s="1207"/>
      <c r="G199" s="1207"/>
      <c r="H199" s="1207"/>
      <c r="I199" s="1207"/>
      <c r="J199" s="1274"/>
      <c r="K199" s="1207"/>
      <c r="L199" s="1207"/>
      <c r="M199" s="1207"/>
      <c r="N199" s="1207"/>
      <c r="O199" s="1207"/>
      <c r="P199" s="1207"/>
      <c r="Q199" s="1207"/>
      <c r="R199" s="1207"/>
      <c r="S199" s="1207"/>
      <c r="T199" s="1207"/>
    </row>
    <row r="200" spans="2:20">
      <c r="B200" s="1275" t="s">
        <v>6277</v>
      </c>
      <c r="C200" s="1207"/>
      <c r="D200" s="1207"/>
      <c r="E200" s="1207"/>
      <c r="F200" s="1207"/>
      <c r="G200" s="1207"/>
      <c r="H200" s="1207"/>
      <c r="I200" s="1207"/>
      <c r="J200" s="1274"/>
      <c r="K200" s="1207"/>
      <c r="L200" s="1207"/>
      <c r="M200" s="1207"/>
      <c r="N200" s="1207"/>
      <c r="O200" s="1207"/>
      <c r="P200" s="1207"/>
      <c r="Q200" s="1207"/>
      <c r="R200" s="1207"/>
      <c r="S200" s="1207"/>
      <c r="T200" s="1207"/>
    </row>
    <row r="201" spans="2:20">
      <c r="B201" s="1207" t="s">
        <v>6277</v>
      </c>
      <c r="C201" s="1207" t="s">
        <v>5829</v>
      </c>
      <c r="D201" s="1207" t="s">
        <v>3871</v>
      </c>
      <c r="E201" s="1207"/>
      <c r="F201" s="1207"/>
      <c r="G201" s="1207"/>
      <c r="H201" s="1207"/>
      <c r="I201" s="1207"/>
      <c r="J201" s="1274"/>
      <c r="K201" s="1207"/>
      <c r="L201" s="1207"/>
      <c r="M201" s="1207"/>
      <c r="N201" s="1207"/>
      <c r="O201" s="1207"/>
      <c r="P201" s="1207"/>
      <c r="Q201" s="1207"/>
      <c r="R201" s="1207"/>
      <c r="S201" s="1207"/>
      <c r="T201" s="1207"/>
    </row>
    <row r="202" spans="2:20">
      <c r="B202" s="1207" t="s">
        <v>899</v>
      </c>
      <c r="C202" s="1271">
        <f>Analysis!C3357</f>
        <v>200</v>
      </c>
      <c r="D202" s="1271">
        <f>Analysis!D3357</f>
        <v>218.5792349726776</v>
      </c>
      <c r="E202" s="1207"/>
      <c r="F202" s="1207"/>
      <c r="G202" s="1207"/>
      <c r="H202" s="1207"/>
      <c r="I202" s="1207"/>
      <c r="J202" s="1274"/>
      <c r="K202" s="1207"/>
      <c r="L202" s="1207"/>
      <c r="M202" s="1207"/>
      <c r="N202" s="1207"/>
      <c r="O202" s="1207"/>
      <c r="P202" s="1207"/>
      <c r="Q202" s="1207"/>
      <c r="R202" s="1207"/>
      <c r="S202" s="1207"/>
      <c r="T202" s="1207"/>
    </row>
    <row r="203" spans="2:20">
      <c r="B203" s="1211" t="s">
        <v>1453</v>
      </c>
      <c r="C203" s="1272">
        <f>Analysis!C3358</f>
        <v>200</v>
      </c>
      <c r="D203" s="1272">
        <f>Analysis!D3358</f>
        <v>218.5792349726776</v>
      </c>
      <c r="E203" s="1207"/>
      <c r="F203" s="1207"/>
      <c r="G203" s="1207"/>
      <c r="H203" s="1207"/>
      <c r="I203" s="1207"/>
      <c r="J203" s="1274"/>
      <c r="K203" s="1207"/>
      <c r="L203" s="1207"/>
      <c r="M203" s="1207"/>
      <c r="N203" s="1207"/>
      <c r="O203" s="1207"/>
      <c r="P203" s="1207"/>
      <c r="Q203" s="1207"/>
      <c r="R203" s="1207"/>
      <c r="S203" s="1207"/>
      <c r="T203" s="1207"/>
    </row>
    <row r="204" spans="2:20">
      <c r="B204" s="1207" t="s">
        <v>16</v>
      </c>
      <c r="C204" s="1271">
        <f>SUM(C202:C203)</f>
        <v>400</v>
      </c>
      <c r="D204" s="1271">
        <f>SUM(D202:D203)</f>
        <v>437.15846994535519</v>
      </c>
      <c r="E204" s="1207"/>
      <c r="F204" s="1207"/>
      <c r="G204" s="1207"/>
      <c r="H204" s="1207"/>
      <c r="I204" s="1207"/>
      <c r="J204" s="1274"/>
      <c r="K204" s="1207"/>
      <c r="L204" s="1207"/>
      <c r="M204" s="1207"/>
      <c r="N204" s="1207"/>
      <c r="O204" s="1207"/>
      <c r="P204" s="1207"/>
      <c r="Q204" s="1207"/>
      <c r="R204" s="1207"/>
      <c r="S204" s="1207"/>
      <c r="T204" s="1207"/>
    </row>
    <row r="205" spans="2:20">
      <c r="B205" s="1207"/>
      <c r="C205" s="1207"/>
      <c r="D205" s="1207"/>
      <c r="E205" s="1207"/>
      <c r="F205" s="1207"/>
      <c r="G205" s="1207"/>
      <c r="H205" s="1207"/>
      <c r="I205" s="1207"/>
      <c r="J205" s="1274"/>
      <c r="K205" s="1207"/>
      <c r="L205" s="1207"/>
      <c r="M205" s="1207"/>
      <c r="N205" s="1207"/>
      <c r="O205" s="1207"/>
      <c r="P205" s="1207"/>
      <c r="Q205" s="1207"/>
      <c r="R205" s="1207"/>
      <c r="S205" s="1207"/>
      <c r="T205" s="1207"/>
    </row>
    <row r="206" spans="2:20">
      <c r="B206" s="1207" t="s">
        <v>6281</v>
      </c>
      <c r="C206" s="1207"/>
      <c r="D206" s="1207"/>
      <c r="E206" s="1207"/>
      <c r="F206" s="1207"/>
      <c r="G206" s="1207"/>
      <c r="H206" s="1207"/>
      <c r="I206" s="1207"/>
      <c r="J206" s="1271">
        <f>J169-C204</f>
        <v>934.5</v>
      </c>
      <c r="K206" s="1271">
        <f t="shared" ref="K206:P206" si="132">J206-K213</f>
        <v>1226.9898592701379</v>
      </c>
      <c r="L206" s="1271">
        <f t="shared" si="132"/>
        <v>1534.3590340630774</v>
      </c>
      <c r="M206" s="1271">
        <f t="shared" si="132"/>
        <v>1676.5164133267454</v>
      </c>
      <c r="N206" s="1271">
        <f t="shared" si="132"/>
        <v>1737.4278340003614</v>
      </c>
      <c r="O206" s="1271">
        <f t="shared" si="132"/>
        <v>1778.7069023875777</v>
      </c>
      <c r="P206" s="1271">
        <f t="shared" si="132"/>
        <v>1794.8474271270272</v>
      </c>
      <c r="Q206" s="1271"/>
      <c r="R206" s="1271"/>
      <c r="S206" s="1207"/>
      <c r="T206" s="1207"/>
    </row>
    <row r="207" spans="2:20">
      <c r="B207" s="1207" t="s">
        <v>6031</v>
      </c>
      <c r="C207" s="1207"/>
      <c r="D207" s="1207"/>
      <c r="E207" s="1207"/>
      <c r="F207" s="1207"/>
      <c r="G207" s="1207"/>
      <c r="H207" s="1207"/>
      <c r="I207" s="1207"/>
      <c r="J207" s="1271"/>
      <c r="K207" s="1271">
        <v>0</v>
      </c>
      <c r="L207" s="1271">
        <v>0</v>
      </c>
      <c r="M207" s="1271">
        <v>0</v>
      </c>
      <c r="N207" s="1271">
        <v>0</v>
      </c>
      <c r="O207" s="1271">
        <v>0</v>
      </c>
      <c r="P207" s="1271">
        <v>0</v>
      </c>
      <c r="Q207" s="1271"/>
      <c r="R207" s="1271"/>
      <c r="S207" s="1207"/>
      <c r="T207" s="1207"/>
    </row>
    <row r="208" spans="2:20">
      <c r="B208" s="1207" t="s">
        <v>895</v>
      </c>
      <c r="C208" s="1207"/>
      <c r="D208" s="1207"/>
      <c r="E208" s="1207"/>
      <c r="F208" s="1207"/>
      <c r="G208" s="1207"/>
      <c r="H208" s="1207"/>
      <c r="I208" s="1207"/>
      <c r="J208" s="1273">
        <f t="shared" ref="J208:P208" si="133">J206/J172</f>
        <v>7.4274630394563275</v>
      </c>
      <c r="K208" s="1273">
        <f t="shared" si="133"/>
        <v>14.48545385637351</v>
      </c>
      <c r="L208" s="1273">
        <f t="shared" si="133"/>
        <v>15.582550736343768</v>
      </c>
      <c r="M208" s="1273">
        <f t="shared" si="133"/>
        <v>8.7793461349540536</v>
      </c>
      <c r="N208" s="1273">
        <f t="shared" si="133"/>
        <v>6.8584203004855748</v>
      </c>
      <c r="O208" s="1273">
        <f t="shared" si="133"/>
        <v>6.73335818911392</v>
      </c>
      <c r="P208" s="1273">
        <f t="shared" si="133"/>
        <v>6.3309734431232698</v>
      </c>
      <c r="Q208" s="1273"/>
      <c r="R208" s="1273"/>
      <c r="S208" s="1207"/>
      <c r="T208" s="1207"/>
    </row>
    <row r="209" spans="2:20">
      <c r="B209" s="1207"/>
      <c r="C209" s="1207"/>
      <c r="D209" s="1207"/>
      <c r="E209" s="1207"/>
      <c r="F209" s="1207"/>
      <c r="G209" s="1207"/>
      <c r="H209" s="1207"/>
      <c r="I209" s="1207"/>
      <c r="J209" s="1271"/>
      <c r="K209" s="1271"/>
      <c r="L209" s="1271"/>
      <c r="M209" s="1271"/>
      <c r="N209" s="1271"/>
      <c r="O209" s="1271"/>
      <c r="P209" s="1271"/>
      <c r="Q209" s="1271"/>
      <c r="R209" s="1271"/>
      <c r="S209" s="1207"/>
      <c r="T209" s="1207"/>
    </row>
    <row r="210" spans="2:20">
      <c r="B210" s="1211" t="s">
        <v>6278</v>
      </c>
      <c r="C210" s="1211"/>
      <c r="D210" s="1211"/>
      <c r="E210" s="1211"/>
      <c r="F210" s="1211"/>
      <c r="G210" s="1211"/>
      <c r="H210" s="1211"/>
      <c r="I210" s="1211"/>
      <c r="J210" s="1277"/>
      <c r="K210" s="1209">
        <f t="shared" ref="K210:P210" si="134">-$I$150*J206</f>
        <v>-56.07</v>
      </c>
      <c r="L210" s="1209">
        <f t="shared" si="134"/>
        <v>-73.619391556208271</v>
      </c>
      <c r="M210" s="1209">
        <f t="shared" si="134"/>
        <v>-92.061542043784641</v>
      </c>
      <c r="N210" s="1209">
        <f t="shared" si="134"/>
        <v>-100.59098479960471</v>
      </c>
      <c r="O210" s="1209">
        <f t="shared" si="134"/>
        <v>-104.24567004002168</v>
      </c>
      <c r="P210" s="1209">
        <f t="shared" si="134"/>
        <v>-106.72241414325465</v>
      </c>
      <c r="Q210" s="1218"/>
      <c r="R210" s="1218"/>
      <c r="S210" s="1207"/>
      <c r="T210" s="1207"/>
    </row>
    <row r="211" spans="2:20">
      <c r="B211" s="1207" t="s">
        <v>6282</v>
      </c>
      <c r="C211" s="1207"/>
      <c r="D211" s="1207"/>
      <c r="E211" s="1207"/>
      <c r="F211" s="1207"/>
      <c r="G211" s="1207"/>
      <c r="H211" s="1207"/>
      <c r="I211" s="1207"/>
      <c r="J211" s="1274"/>
      <c r="K211" s="1271">
        <f t="shared" ref="K211:P211" si="135">K141+K142+K143+K210+K152+K153</f>
        <v>-292.48985927013803</v>
      </c>
      <c r="L211" s="1271">
        <f t="shared" si="135"/>
        <v>-307.36917479293953</v>
      </c>
      <c r="M211" s="1271">
        <f t="shared" si="135"/>
        <v>-142.15737926366793</v>
      </c>
      <c r="N211" s="1271">
        <f t="shared" si="135"/>
        <v>-60.911420673616107</v>
      </c>
      <c r="O211" s="1271">
        <f t="shared" si="135"/>
        <v>-41.279068387216228</v>
      </c>
      <c r="P211" s="1271">
        <f t="shared" si="135"/>
        <v>-16.140524739449489</v>
      </c>
      <c r="Q211" s="1271"/>
      <c r="R211" s="1271"/>
      <c r="S211" s="1207"/>
      <c r="T211" s="1207"/>
    </row>
    <row r="212" spans="2:20">
      <c r="B212" s="1207" t="s">
        <v>6279</v>
      </c>
      <c r="C212" s="1207"/>
      <c r="D212" s="1207"/>
      <c r="E212" s="1207"/>
      <c r="F212" s="1207"/>
      <c r="G212" s="1207"/>
      <c r="H212" s="1207"/>
      <c r="I212" s="1207"/>
      <c r="J212" s="1274"/>
      <c r="K212" s="1272">
        <f t="shared" ref="K212:P212" si="136">-IF(K211&lt;0,0, K211*0.28)</f>
        <v>0</v>
      </c>
      <c r="L212" s="1272">
        <f t="shared" si="136"/>
        <v>0</v>
      </c>
      <c r="M212" s="1272">
        <f t="shared" si="136"/>
        <v>0</v>
      </c>
      <c r="N212" s="1272">
        <f t="shared" si="136"/>
        <v>0</v>
      </c>
      <c r="O212" s="1272">
        <f t="shared" si="136"/>
        <v>0</v>
      </c>
      <c r="P212" s="1272">
        <f t="shared" si="136"/>
        <v>0</v>
      </c>
      <c r="Q212" s="1271"/>
      <c r="R212" s="1271"/>
      <c r="S212" s="1207"/>
      <c r="T212" s="1207"/>
    </row>
    <row r="213" spans="2:20">
      <c r="B213" s="1207" t="s">
        <v>3869</v>
      </c>
      <c r="C213" s="1207"/>
      <c r="D213" s="1207"/>
      <c r="E213" s="1207"/>
      <c r="F213" s="1207"/>
      <c r="G213" s="1207"/>
      <c r="H213" s="1207"/>
      <c r="I213" s="1207"/>
      <c r="J213" s="1274"/>
      <c r="K213" s="1218">
        <f t="shared" ref="K213:P213" si="137">K211+K212</f>
        <v>-292.48985927013803</v>
      </c>
      <c r="L213" s="1218">
        <f t="shared" si="137"/>
        <v>-307.36917479293953</v>
      </c>
      <c r="M213" s="1218">
        <f t="shared" si="137"/>
        <v>-142.15737926366793</v>
      </c>
      <c r="N213" s="1218">
        <f t="shared" si="137"/>
        <v>-60.911420673616107</v>
      </c>
      <c r="O213" s="1218">
        <f t="shared" si="137"/>
        <v>-41.279068387216228</v>
      </c>
      <c r="P213" s="1218">
        <f t="shared" si="137"/>
        <v>-16.140524739449489</v>
      </c>
      <c r="Q213" s="1218"/>
      <c r="R213" s="1218"/>
      <c r="S213" s="1207"/>
      <c r="T213" s="1207"/>
    </row>
    <row r="214" spans="2:20">
      <c r="B214" s="1207" t="s">
        <v>6280</v>
      </c>
      <c r="C214" s="1207"/>
      <c r="D214" s="1207"/>
      <c r="E214" s="1207"/>
      <c r="F214" s="1207"/>
      <c r="G214" s="1207"/>
      <c r="H214" s="1207"/>
      <c r="I214" s="1207"/>
      <c r="J214" s="1274"/>
      <c r="K214" s="1218">
        <f t="shared" ref="K214:P214" si="138">K213-K210</f>
        <v>-236.41985927013803</v>
      </c>
      <c r="L214" s="1218">
        <f t="shared" si="138"/>
        <v>-233.74978323673128</v>
      </c>
      <c r="M214" s="1218">
        <f t="shared" si="138"/>
        <v>-50.095837219883293</v>
      </c>
      <c r="N214" s="1218">
        <f t="shared" si="138"/>
        <v>39.679564125988605</v>
      </c>
      <c r="O214" s="1218">
        <f t="shared" si="138"/>
        <v>62.966601652805451</v>
      </c>
      <c r="P214" s="1218">
        <f t="shared" si="138"/>
        <v>90.581889403805164</v>
      </c>
      <c r="Q214" s="1218"/>
      <c r="R214" s="1218"/>
      <c r="S214" s="1207"/>
      <c r="T214" s="1207"/>
    </row>
    <row r="215" spans="2:20">
      <c r="B215" s="1207"/>
      <c r="C215" s="1207"/>
      <c r="D215" s="1207"/>
      <c r="E215" s="1207"/>
      <c r="F215" s="1207"/>
      <c r="G215" s="1207"/>
      <c r="H215" s="1207"/>
      <c r="I215" s="1207"/>
      <c r="J215" s="1274"/>
      <c r="K215" s="1207"/>
      <c r="L215" s="1207"/>
      <c r="M215" s="1207"/>
      <c r="N215" s="1207"/>
      <c r="O215" s="1207"/>
      <c r="P215" s="1207"/>
      <c r="Q215" s="1207"/>
      <c r="R215" s="1207"/>
      <c r="S215" s="1207"/>
      <c r="T215" s="1207"/>
    </row>
    <row r="216" spans="2:20">
      <c r="B216" s="1207" t="s">
        <v>6302</v>
      </c>
      <c r="C216" s="1271">
        <f>NPV(I189,K214:P214)</f>
        <v>-329.03743669144285</v>
      </c>
      <c r="D216" s="1207"/>
      <c r="E216" s="1207"/>
      <c r="F216" s="1207"/>
      <c r="G216" s="1207"/>
      <c r="H216" s="1207"/>
      <c r="I216" s="1207"/>
      <c r="J216" s="1274"/>
      <c r="K216" s="1207"/>
      <c r="L216" s="1207"/>
      <c r="M216" s="1207"/>
      <c r="N216" s="1207"/>
      <c r="O216" s="1207"/>
      <c r="P216" s="1207"/>
      <c r="Q216" s="1207"/>
      <c r="R216" s="1207"/>
      <c r="S216" s="1207"/>
      <c r="T216" s="1207"/>
    </row>
    <row r="217" spans="2:20">
      <c r="B217" s="1207" t="s">
        <v>6285</v>
      </c>
      <c r="C217" s="1271">
        <f>I191*P214</f>
        <v>1240.8478000521256</v>
      </c>
      <c r="D217" s="1207"/>
      <c r="E217" s="1207"/>
      <c r="F217" s="1207"/>
      <c r="G217" s="1207"/>
      <c r="H217" s="1207"/>
      <c r="I217" s="1207"/>
      <c r="J217" s="1274"/>
      <c r="K217" s="1207"/>
      <c r="L217" s="1207"/>
      <c r="M217" s="1207"/>
      <c r="N217" s="1207"/>
      <c r="O217" s="1207"/>
      <c r="P217" s="1207"/>
      <c r="Q217" s="1207"/>
      <c r="R217" s="1207"/>
      <c r="S217" s="1207"/>
      <c r="T217" s="1207"/>
    </row>
    <row r="218" spans="2:20">
      <c r="B218" s="1211" t="s">
        <v>6286</v>
      </c>
      <c r="C218" s="1272">
        <f>C217/(1+I189)^6</f>
        <v>727.77568777478734</v>
      </c>
      <c r="D218" s="1207"/>
      <c r="E218" s="1207"/>
      <c r="F218" s="1207"/>
      <c r="G218" s="1207"/>
      <c r="H218" s="1207"/>
      <c r="I218" s="1207"/>
      <c r="J218" s="1274"/>
      <c r="K218" s="1207"/>
      <c r="L218" s="1207"/>
      <c r="M218" s="1207"/>
      <c r="N218" s="1207"/>
      <c r="O218" s="1207"/>
      <c r="P218" s="1207"/>
      <c r="Q218" s="1207"/>
      <c r="R218" s="1207"/>
      <c r="S218" s="1207"/>
      <c r="T218" s="1207"/>
    </row>
    <row r="219" spans="2:20">
      <c r="B219" s="1207" t="s">
        <v>331</v>
      </c>
      <c r="C219" s="1271">
        <f>C216+C218</f>
        <v>398.73825108334449</v>
      </c>
      <c r="D219" s="1207"/>
      <c r="E219" s="1207"/>
      <c r="F219" s="1207"/>
      <c r="G219" s="1207"/>
      <c r="H219" s="1207"/>
      <c r="I219" s="1207"/>
      <c r="J219" s="1274"/>
      <c r="K219" s="1207"/>
      <c r="L219" s="1207"/>
      <c r="M219" s="1207"/>
      <c r="N219" s="1207"/>
      <c r="O219" s="1207"/>
      <c r="P219" s="1207"/>
      <c r="Q219" s="1207"/>
      <c r="R219" s="1207"/>
      <c r="S219" s="1207"/>
      <c r="T219" s="1207"/>
    </row>
    <row r="220" spans="2:20">
      <c r="B220" s="1207" t="s">
        <v>115</v>
      </c>
      <c r="C220" s="1271">
        <f>J206</f>
        <v>934.5</v>
      </c>
      <c r="D220" s="1207"/>
      <c r="E220" s="1207"/>
      <c r="F220" s="1207"/>
      <c r="G220" s="1207"/>
      <c r="H220" s="1207"/>
      <c r="I220" s="1207"/>
      <c r="J220" s="1274"/>
      <c r="K220" s="1207"/>
      <c r="L220" s="1207"/>
      <c r="M220" s="1207"/>
      <c r="N220" s="1207"/>
      <c r="O220" s="1207"/>
      <c r="P220" s="1207"/>
      <c r="Q220" s="1207"/>
      <c r="R220" s="1207"/>
      <c r="S220" s="1207"/>
      <c r="T220" s="1207"/>
    </row>
    <row r="221" spans="2:20">
      <c r="B221" s="1207" t="s">
        <v>332</v>
      </c>
      <c r="C221" s="1271">
        <f>C219-C220</f>
        <v>-535.76174891665551</v>
      </c>
      <c r="D221" s="1207"/>
      <c r="E221" s="1207"/>
      <c r="F221" s="1207"/>
      <c r="G221" s="1207"/>
      <c r="H221" s="1207"/>
      <c r="I221" s="1207"/>
      <c r="J221" s="1274"/>
      <c r="K221" s="1207"/>
      <c r="L221" s="1207"/>
      <c r="M221" s="1207"/>
      <c r="N221" s="1207"/>
      <c r="O221" s="1207"/>
      <c r="P221" s="1207"/>
      <c r="Q221" s="1207"/>
      <c r="R221" s="1207"/>
      <c r="S221" s="1207"/>
      <c r="T221" s="1207"/>
    </row>
    <row r="222" spans="2:20">
      <c r="B222" s="1207"/>
      <c r="C222" s="1271"/>
      <c r="D222" s="1207"/>
      <c r="E222" s="1207"/>
      <c r="F222" s="1207"/>
      <c r="G222" s="1207"/>
      <c r="H222" s="1207"/>
      <c r="I222" s="1207"/>
      <c r="J222" s="1274"/>
      <c r="K222" s="1207"/>
      <c r="L222" s="1207"/>
      <c r="M222" s="1207"/>
      <c r="N222" s="1207"/>
      <c r="O222" s="1207"/>
      <c r="P222" s="1207"/>
      <c r="Q222" s="1207"/>
      <c r="R222" s="1207"/>
      <c r="S222" s="1207"/>
      <c r="T222" s="1207"/>
    </row>
    <row r="223" spans="2:20">
      <c r="B223" s="1208" t="s">
        <v>6287</v>
      </c>
      <c r="C223" s="1271"/>
      <c r="D223" s="1207"/>
      <c r="E223" s="1207"/>
      <c r="F223" s="1207"/>
      <c r="G223" s="1207"/>
      <c r="H223" s="1207"/>
      <c r="I223" s="1207"/>
      <c r="J223" s="1274"/>
      <c r="K223" s="1207"/>
      <c r="L223" s="1207"/>
      <c r="M223" s="1207"/>
      <c r="N223" s="1207"/>
      <c r="O223" s="1207"/>
      <c r="P223" s="1207"/>
      <c r="Q223" s="1207"/>
      <c r="R223" s="1207"/>
      <c r="S223" s="1207"/>
      <c r="T223" s="1207"/>
    </row>
    <row r="224" spans="2:20">
      <c r="B224" s="1207" t="s">
        <v>6291</v>
      </c>
      <c r="C224" s="1207">
        <v>2545</v>
      </c>
      <c r="D224" s="1207"/>
      <c r="E224" s="1207"/>
      <c r="F224" s="1207"/>
      <c r="G224" s="1207"/>
      <c r="H224" s="1207"/>
      <c r="I224" s="1207"/>
      <c r="J224" s="1274"/>
      <c r="K224" s="1207"/>
      <c r="L224" s="1207"/>
      <c r="M224" s="1207"/>
      <c r="N224" s="1207"/>
      <c r="O224" s="1207"/>
      <c r="P224" s="1207"/>
      <c r="Q224" s="1207"/>
      <c r="R224" s="1207"/>
      <c r="S224" s="1207"/>
      <c r="T224" s="1207"/>
    </row>
    <row r="225" spans="2:20">
      <c r="B225" s="1207" t="s">
        <v>6275</v>
      </c>
      <c r="C225" s="1218">
        <f>667000*1.05*1.05</f>
        <v>735367.5</v>
      </c>
      <c r="D225" s="1207"/>
      <c r="E225" s="1207"/>
      <c r="F225" s="1207"/>
      <c r="G225" s="1207"/>
      <c r="H225" s="1207"/>
      <c r="I225" s="1207"/>
      <c r="J225" s="1274"/>
      <c r="K225" s="1207"/>
      <c r="L225" s="1207"/>
      <c r="M225" s="1207"/>
      <c r="N225" s="1207"/>
      <c r="O225" s="1207"/>
      <c r="P225" s="1207"/>
      <c r="Q225" s="1207"/>
      <c r="R225" s="1207"/>
      <c r="S225" s="1207"/>
      <c r="T225" s="1207"/>
    </row>
    <row r="226" spans="2:20">
      <c r="B226" s="1207" t="s">
        <v>6274</v>
      </c>
      <c r="C226" s="1218">
        <f>C225*C224/1000000000*12</f>
        <v>22.458123450000002</v>
      </c>
      <c r="D226" s="1207"/>
      <c r="E226" s="1207"/>
      <c r="F226" s="1207"/>
      <c r="G226" s="1207"/>
      <c r="H226" s="1207"/>
      <c r="I226" s="1207"/>
      <c r="J226" s="1274"/>
      <c r="K226" s="1207"/>
      <c r="L226" s="1207"/>
      <c r="M226" s="1207"/>
      <c r="N226" s="1207"/>
      <c r="O226" s="1207"/>
      <c r="P226" s="1207"/>
      <c r="Q226" s="1207"/>
      <c r="R226" s="1207"/>
      <c r="S226" s="1207"/>
      <c r="T226" s="1207"/>
    </row>
    <row r="227" spans="2:20">
      <c r="B227" s="1207"/>
      <c r="C227" s="1207"/>
      <c r="D227" s="1207"/>
      <c r="E227" s="1207"/>
      <c r="F227" s="1207"/>
      <c r="G227" s="1207"/>
      <c r="H227" s="1207"/>
      <c r="I227" s="1207"/>
      <c r="J227" s="1274"/>
      <c r="K227" s="1207"/>
      <c r="L227" s="1207"/>
      <c r="M227" s="1207"/>
      <c r="N227" s="1207"/>
      <c r="O227" s="1207"/>
      <c r="P227" s="1207"/>
      <c r="Q227" s="1207"/>
      <c r="R227" s="1207"/>
      <c r="S227" s="1207"/>
      <c r="T227" s="1207"/>
    </row>
    <row r="228" spans="2:20">
      <c r="B228" s="1207" t="s">
        <v>6267</v>
      </c>
      <c r="C228" s="1207"/>
      <c r="D228" s="1207"/>
      <c r="E228" s="1207"/>
      <c r="F228" s="1207"/>
      <c r="G228" s="1207"/>
      <c r="H228" s="1207"/>
      <c r="I228" s="1207"/>
      <c r="J228" s="1274"/>
      <c r="K228" s="1207"/>
      <c r="L228" s="1207"/>
      <c r="M228" s="1207"/>
      <c r="N228" s="1207"/>
      <c r="O228" s="1207"/>
      <c r="P228" s="1207"/>
      <c r="Q228" s="1207"/>
      <c r="R228" s="1207"/>
      <c r="S228" s="1207"/>
      <c r="T228" s="1207"/>
    </row>
    <row r="229" spans="2:20">
      <c r="B229" s="1207" t="s">
        <v>6268</v>
      </c>
      <c r="C229" s="1207"/>
      <c r="D229" s="1207"/>
      <c r="E229" s="1207"/>
      <c r="F229" s="1207"/>
      <c r="G229" s="1207"/>
      <c r="H229" s="1207"/>
      <c r="I229" s="1207"/>
      <c r="J229" s="1274"/>
      <c r="K229" s="1207"/>
      <c r="L229" s="1207"/>
      <c r="M229" s="1207"/>
      <c r="N229" s="1207"/>
      <c r="O229" s="1207"/>
      <c r="P229" s="1207"/>
      <c r="Q229" s="1207"/>
      <c r="R229" s="1207"/>
      <c r="S229" s="1207"/>
      <c r="T229" s="1207"/>
    </row>
    <row r="230" spans="2:20">
      <c r="B230" s="1207"/>
      <c r="C230" s="1207"/>
      <c r="D230" s="1207"/>
      <c r="E230" s="1207"/>
      <c r="F230" s="1207"/>
      <c r="G230" s="1207"/>
      <c r="H230" s="1207"/>
      <c r="I230" s="1207"/>
      <c r="J230" s="1274"/>
      <c r="K230" s="1207"/>
      <c r="L230" s="1207"/>
      <c r="M230" s="1207"/>
      <c r="N230" s="1207"/>
      <c r="O230" s="1207"/>
      <c r="P230" s="1207"/>
      <c r="Q230" s="1207"/>
      <c r="R230" s="1207"/>
      <c r="S230" s="1207"/>
      <c r="T230" s="1207"/>
    </row>
    <row r="231" spans="2:20">
      <c r="B231" s="1275" t="s">
        <v>6269</v>
      </c>
      <c r="C231" s="1215" t="s">
        <v>4049</v>
      </c>
      <c r="D231" s="1207"/>
      <c r="E231" s="1207"/>
      <c r="F231" s="1207"/>
      <c r="G231" s="1207"/>
      <c r="H231" s="1207"/>
      <c r="I231" s="1207"/>
      <c r="J231" s="1274"/>
      <c r="K231" s="1207"/>
      <c r="L231" s="1207"/>
      <c r="M231" s="1207"/>
      <c r="N231" s="1207"/>
      <c r="O231" s="1207"/>
      <c r="P231" s="1207"/>
      <c r="Q231" s="1207"/>
      <c r="R231" s="1207"/>
      <c r="S231" s="1207"/>
      <c r="T231" s="1207"/>
    </row>
    <row r="232" spans="2:20">
      <c r="B232" s="1207" t="s">
        <v>6270</v>
      </c>
      <c r="C232" s="1207">
        <v>30</v>
      </c>
      <c r="D232" s="1207"/>
      <c r="E232" s="1207"/>
      <c r="F232" s="1207"/>
      <c r="G232" s="1207"/>
      <c r="H232" s="1207"/>
      <c r="I232" s="1207"/>
      <c r="J232" s="1274"/>
      <c r="K232" s="1207"/>
      <c r="L232" s="1207"/>
      <c r="M232" s="1207"/>
      <c r="N232" s="1207"/>
      <c r="O232" s="1207"/>
      <c r="P232" s="1207"/>
      <c r="Q232" s="1207"/>
      <c r="R232" s="1207"/>
      <c r="S232" s="1207"/>
      <c r="T232" s="1207"/>
    </row>
    <row r="233" spans="2:20">
      <c r="B233" s="1207" t="s">
        <v>6271</v>
      </c>
      <c r="C233" s="1207">
        <f>(1-C234)*C232</f>
        <v>21</v>
      </c>
      <c r="D233" s="1207"/>
      <c r="E233" s="1207"/>
      <c r="F233" s="1207"/>
      <c r="G233" s="1207"/>
      <c r="H233" s="1207"/>
      <c r="I233" s="1207"/>
      <c r="J233" s="1274"/>
      <c r="K233" s="1207"/>
      <c r="L233" s="1207"/>
      <c r="M233" s="1207"/>
      <c r="N233" s="1207"/>
      <c r="O233" s="1207"/>
      <c r="P233" s="1207"/>
      <c r="Q233" s="1207"/>
      <c r="R233" s="1207"/>
      <c r="S233" s="1207"/>
      <c r="T233" s="1207"/>
    </row>
    <row r="234" spans="2:20">
      <c r="B234" s="1207" t="s">
        <v>6272</v>
      </c>
      <c r="C234" s="1276">
        <v>0.3</v>
      </c>
      <c r="D234" s="1207"/>
      <c r="E234" s="1207"/>
      <c r="F234" s="1207"/>
      <c r="G234" s="1207"/>
      <c r="H234" s="1207"/>
      <c r="I234" s="1207"/>
      <c r="J234" s="1274"/>
      <c r="K234" s="1207"/>
      <c r="L234" s="1207"/>
      <c r="M234" s="1207"/>
      <c r="N234" s="1207"/>
      <c r="O234" s="1207"/>
      <c r="P234" s="1207"/>
      <c r="Q234" s="1207"/>
      <c r="R234" s="1207"/>
      <c r="S234" s="1207"/>
      <c r="T234" s="1207"/>
    </row>
    <row r="235" spans="2:20">
      <c r="B235" s="1207" t="s">
        <v>6273</v>
      </c>
      <c r="C235" s="1218">
        <f>C232-C236-C233</f>
        <v>6</v>
      </c>
      <c r="D235" s="1207"/>
      <c r="E235" s="1207"/>
      <c r="F235" s="1207"/>
      <c r="G235" s="1207"/>
      <c r="H235" s="1207"/>
      <c r="I235" s="1207"/>
      <c r="J235" s="1274"/>
      <c r="K235" s="1207"/>
      <c r="L235" s="1207"/>
      <c r="M235" s="1207"/>
      <c r="N235" s="1207"/>
      <c r="O235" s="1207"/>
      <c r="P235" s="1207"/>
      <c r="Q235" s="1207"/>
      <c r="R235" s="1207"/>
      <c r="S235" s="1207"/>
      <c r="T235" s="1207"/>
    </row>
    <row r="236" spans="2:20">
      <c r="B236" s="1207" t="s">
        <v>8</v>
      </c>
      <c r="C236" s="1207">
        <f>C237*C232</f>
        <v>3</v>
      </c>
      <c r="D236" s="1207"/>
      <c r="E236" s="1207"/>
      <c r="F236" s="1207"/>
      <c r="G236" s="1207"/>
      <c r="H236" s="1207"/>
      <c r="I236" s="1207"/>
      <c r="J236" s="1274"/>
      <c r="K236" s="1207"/>
      <c r="L236" s="1207"/>
      <c r="M236" s="1207"/>
      <c r="N236" s="1207"/>
      <c r="O236" s="1207"/>
      <c r="P236" s="1207"/>
      <c r="Q236" s="1207"/>
      <c r="R236" s="1207"/>
      <c r="S236" s="1207"/>
      <c r="T236" s="1207"/>
    </row>
    <row r="237" spans="2:20">
      <c r="B237" s="1207" t="s">
        <v>251</v>
      </c>
      <c r="C237" s="1276">
        <v>0.1</v>
      </c>
      <c r="D237" s="1207"/>
      <c r="E237" s="1207"/>
      <c r="F237" s="1207"/>
      <c r="G237" s="1207"/>
      <c r="H237" s="1207"/>
      <c r="I237" s="1207"/>
      <c r="J237" s="1274"/>
      <c r="K237" s="1207"/>
      <c r="L237" s="1207"/>
      <c r="M237" s="1207"/>
      <c r="N237" s="1207"/>
      <c r="O237" s="1207"/>
      <c r="P237" s="1207"/>
      <c r="Q237" s="1207"/>
      <c r="R237" s="1207"/>
      <c r="S237" s="1207"/>
      <c r="T237" s="1207"/>
    </row>
    <row r="238" spans="2:20">
      <c r="B238" s="1207"/>
      <c r="C238" s="1207"/>
      <c r="D238" s="1207"/>
      <c r="E238" s="1207"/>
      <c r="F238" s="1207"/>
      <c r="G238" s="1207"/>
      <c r="H238" s="1207"/>
      <c r="I238" s="1207"/>
      <c r="J238" s="1274"/>
      <c r="K238" s="1207"/>
      <c r="L238" s="1207"/>
      <c r="M238" s="1207"/>
      <c r="N238" s="1207"/>
      <c r="O238" s="1207"/>
      <c r="P238" s="1207"/>
      <c r="Q238" s="1207"/>
      <c r="R238" s="1207"/>
      <c r="S238" s="1207"/>
      <c r="T238" s="1207"/>
    </row>
    <row r="239" spans="2:20">
      <c r="B239" s="1207"/>
      <c r="C239" s="1207"/>
      <c r="D239" s="1207"/>
      <c r="E239" s="1207"/>
      <c r="F239" s="1207"/>
      <c r="G239" s="1207"/>
      <c r="H239" s="1207"/>
      <c r="I239" s="1207"/>
      <c r="J239" s="1274"/>
      <c r="K239" s="1207"/>
      <c r="L239" s="1207"/>
      <c r="M239" s="1207"/>
      <c r="N239" s="1207"/>
      <c r="O239" s="1207"/>
      <c r="P239" s="1207"/>
      <c r="Q239" s="1207"/>
      <c r="R239" s="1207"/>
      <c r="S239" s="1207"/>
      <c r="T239" s="1207"/>
    </row>
    <row r="240" spans="2:20">
      <c r="B240" s="1207"/>
      <c r="C240" s="1207"/>
      <c r="D240" s="1207"/>
      <c r="E240" s="1207"/>
      <c r="F240" s="1207"/>
      <c r="G240" s="1207"/>
      <c r="H240" s="1207"/>
      <c r="I240" s="1207"/>
      <c r="J240" s="1274"/>
      <c r="K240" s="1207"/>
      <c r="L240" s="1207"/>
      <c r="M240" s="1207"/>
      <c r="N240" s="1207"/>
      <c r="O240" s="1207"/>
      <c r="P240" s="1207"/>
      <c r="Q240" s="1207"/>
      <c r="R240" s="1207"/>
      <c r="S240" s="1207"/>
      <c r="T240" s="1207"/>
    </row>
    <row r="241" spans="1:20">
      <c r="B241" s="1210" t="s">
        <v>6210</v>
      </c>
      <c r="C241" s="1207"/>
      <c r="D241" s="1207"/>
      <c r="E241" s="1207"/>
      <c r="F241" s="1207"/>
      <c r="G241" s="1207"/>
      <c r="H241" s="1207"/>
      <c r="I241" s="1211"/>
      <c r="J241" s="1210">
        <f>J113</f>
        <v>2022</v>
      </c>
      <c r="K241" s="1210">
        <f>K113</f>
        <v>2023</v>
      </c>
      <c r="L241" s="1210">
        <f>L113</f>
        <v>2024</v>
      </c>
      <c r="M241" s="1210">
        <f>M113</f>
        <v>2025</v>
      </c>
      <c r="N241" s="1207"/>
      <c r="O241" s="1207"/>
      <c r="P241" s="1207"/>
      <c r="Q241" s="1207"/>
      <c r="R241" s="1207"/>
      <c r="S241" s="1207"/>
      <c r="T241" s="1207"/>
    </row>
    <row r="242" spans="1:20">
      <c r="B242" s="1207" t="s">
        <v>6211</v>
      </c>
      <c r="C242" s="1207"/>
      <c r="D242" s="1207"/>
      <c r="E242" s="1207"/>
      <c r="F242" s="1207"/>
      <c r="G242" s="1207"/>
      <c r="H242" s="1207"/>
      <c r="I242" s="1207"/>
      <c r="J242" s="1271">
        <f>Valuation!M32</f>
        <v>187.70000000000016</v>
      </c>
      <c r="K242" s="1271">
        <f>Valuation!N32</f>
        <v>197</v>
      </c>
      <c r="L242" s="1271">
        <f ca="1">Valuation!O32</f>
        <v>16.464687652834982</v>
      </c>
      <c r="M242" s="1271">
        <f ca="1">Valuation!P32</f>
        <v>379.06196940320535</v>
      </c>
      <c r="N242" s="1271"/>
      <c r="O242" s="1271"/>
      <c r="P242" s="1271"/>
      <c r="Q242" s="1271"/>
      <c r="R242" s="1271"/>
      <c r="S242" s="1271"/>
      <c r="T242" s="1207"/>
    </row>
    <row r="243" spans="1:20">
      <c r="B243" s="1207" t="s">
        <v>6207</v>
      </c>
      <c r="C243" s="1207"/>
      <c r="D243" s="1207"/>
      <c r="E243" s="1207"/>
      <c r="F243" s="1207"/>
      <c r="G243" s="1207"/>
      <c r="H243" s="1207"/>
      <c r="I243" s="1207"/>
      <c r="J243" s="1271">
        <f>Analysis!D3354-Analysis!D3356-Analysis!D3357</f>
        <v>891.80327868852441</v>
      </c>
      <c r="K243" s="1271">
        <f>J243</f>
        <v>891.80327868852441</v>
      </c>
      <c r="L243" s="1271">
        <f>K243</f>
        <v>891.80327868852441</v>
      </c>
      <c r="M243" s="1271">
        <f>L243</f>
        <v>891.80327868852441</v>
      </c>
      <c r="N243" s="1271"/>
      <c r="O243" s="1271"/>
      <c r="P243" s="1271"/>
      <c r="Q243" s="1271"/>
      <c r="R243" s="1271"/>
      <c r="S243" s="1271"/>
      <c r="T243" s="1207"/>
    </row>
    <row r="244" spans="1:20">
      <c r="B244" s="1207"/>
      <c r="C244" s="1207"/>
      <c r="D244" s="1207"/>
      <c r="E244" s="1207"/>
      <c r="F244" s="1207"/>
      <c r="G244" s="1207"/>
      <c r="H244" s="1207"/>
      <c r="I244" s="1207"/>
      <c r="J244" s="1271"/>
      <c r="K244" s="1271"/>
      <c r="L244" s="1271"/>
      <c r="M244" s="1271"/>
      <c r="N244" s="1271"/>
      <c r="O244" s="1271"/>
      <c r="P244" s="1271"/>
      <c r="Q244" s="1271"/>
      <c r="R244" s="1271"/>
      <c r="S244" s="1271"/>
      <c r="T244" s="1207"/>
    </row>
    <row r="245" spans="1:20">
      <c r="B245" s="1207" t="s">
        <v>6212</v>
      </c>
      <c r="C245" s="1207"/>
      <c r="D245" s="1207"/>
      <c r="E245" s="1207"/>
      <c r="F245" s="1207"/>
      <c r="G245" s="1207"/>
      <c r="H245" s="1207"/>
      <c r="I245" s="1207"/>
      <c r="J245" s="1271">
        <f>J243-J244</f>
        <v>891.80327868852441</v>
      </c>
      <c r="K245" s="1271"/>
      <c r="L245" s="1271"/>
      <c r="M245" s="1271"/>
      <c r="N245" s="1271"/>
      <c r="O245" s="1271"/>
      <c r="P245" s="1271"/>
      <c r="Q245" s="1271"/>
      <c r="R245" s="1271"/>
      <c r="S245" s="1271"/>
      <c r="T245" s="1207"/>
    </row>
    <row r="246" spans="1:20">
      <c r="B246" s="1207" t="s">
        <v>6208</v>
      </c>
      <c r="C246" s="1207"/>
      <c r="D246" s="1207"/>
      <c r="E246" s="1207"/>
      <c r="F246" s="1207"/>
      <c r="G246" s="1207"/>
      <c r="H246" s="1207"/>
      <c r="I246" s="1207"/>
      <c r="J246" s="1279">
        <v>7.1999999999999995E-2</v>
      </c>
      <c r="K246" s="1271"/>
      <c r="L246" s="1271"/>
      <c r="M246" s="1271"/>
      <c r="N246" s="1271"/>
      <c r="O246" s="1271"/>
      <c r="P246" s="1271"/>
      <c r="Q246" s="1271"/>
      <c r="R246" s="1271"/>
      <c r="S246" s="1271"/>
      <c r="T246" s="1207"/>
    </row>
    <row r="247" spans="1:20">
      <c r="B247" s="1294" t="s">
        <v>2732</v>
      </c>
      <c r="C247" s="1207"/>
      <c r="D247" s="1207"/>
      <c r="E247" s="1207"/>
      <c r="F247" s="1207"/>
      <c r="G247" s="1207"/>
      <c r="H247" s="1207"/>
      <c r="I247" s="1207"/>
      <c r="J247" s="1271"/>
      <c r="K247" s="1271"/>
      <c r="L247" s="1271"/>
      <c r="M247" s="1271"/>
      <c r="N247" s="1271"/>
      <c r="O247" s="1271"/>
      <c r="P247" s="1271"/>
      <c r="Q247" s="1271"/>
      <c r="R247" s="1271"/>
      <c r="S247" s="1271"/>
      <c r="T247" s="1207"/>
    </row>
    <row r="248" spans="1:20">
      <c r="B248" s="1207" t="s">
        <v>4477</v>
      </c>
      <c r="C248" s="1207"/>
      <c r="D248" s="1207"/>
      <c r="E248" s="1207"/>
      <c r="F248" s="1207"/>
      <c r="G248" s="1207"/>
      <c r="H248" s="1207"/>
      <c r="I248" s="1207"/>
      <c r="J248" s="1271">
        <f>Chile!J93</f>
        <v>-14.891179839633438</v>
      </c>
      <c r="K248" s="1271">
        <f>Chile!K93</f>
        <v>-24.978723404255319</v>
      </c>
      <c r="L248" s="1271">
        <f>Chile!L93</f>
        <v>2.713054083983053</v>
      </c>
      <c r="M248" s="1271">
        <f>Chile!M93</f>
        <v>11.099653655161731</v>
      </c>
      <c r="N248" s="1271"/>
      <c r="O248" s="1271"/>
      <c r="P248" s="1271"/>
      <c r="Q248" s="1271"/>
      <c r="R248" s="1271"/>
      <c r="S248" s="1271"/>
      <c r="T248" s="1207"/>
    </row>
    <row r="249" spans="1:20">
      <c r="A249" s="1256"/>
      <c r="B249" s="1211" t="s">
        <v>6206</v>
      </c>
      <c r="C249" s="1207"/>
      <c r="D249" s="1207"/>
      <c r="E249" s="1207"/>
      <c r="F249" s="1207"/>
      <c r="G249" s="1207"/>
      <c r="H249" s="1207"/>
      <c r="I249" s="1211"/>
      <c r="J249" s="1272">
        <f>-$J$246*(1-0.27)*$J$245</f>
        <v>-46.873180327868837</v>
      </c>
      <c r="K249" s="1272">
        <f>-$J$246*(1-0.27)*$J$245</f>
        <v>-46.873180327868837</v>
      </c>
      <c r="L249" s="1272">
        <f>-$J$246*(1-0.27)*$J$245</f>
        <v>-46.873180327868837</v>
      </c>
      <c r="M249" s="1272">
        <f>-$J$246*(1-0.27)*$J$245</f>
        <v>-46.873180327868837</v>
      </c>
      <c r="N249" s="1271"/>
      <c r="O249" s="1271"/>
      <c r="P249" s="1271"/>
      <c r="Q249" s="1271"/>
      <c r="R249" s="1271"/>
      <c r="S249" s="1271"/>
      <c r="T249" s="1207"/>
    </row>
    <row r="250" spans="1:20">
      <c r="A250" s="1256"/>
      <c r="B250" s="1207" t="s">
        <v>6213</v>
      </c>
      <c r="C250" s="1207"/>
      <c r="D250" s="1207"/>
      <c r="E250" s="1207"/>
      <c r="F250" s="1207"/>
      <c r="G250" s="1207"/>
      <c r="H250" s="1207"/>
      <c r="I250" s="1207"/>
      <c r="J250" s="1271">
        <f>SUM(J248:J249)</f>
        <v>-61.764360167502275</v>
      </c>
      <c r="K250" s="1271">
        <f>SUM(K248:K249)</f>
        <v>-71.851903732124157</v>
      </c>
      <c r="L250" s="1271">
        <f>SUM(L248:L249)</f>
        <v>-44.160126243885784</v>
      </c>
      <c r="M250" s="1271">
        <f>SUM(M248:M249)</f>
        <v>-35.773526672707106</v>
      </c>
      <c r="N250" s="1271"/>
      <c r="O250" s="1271"/>
      <c r="P250" s="1271"/>
      <c r="Q250" s="1271"/>
      <c r="R250" s="1271"/>
      <c r="S250" s="1271"/>
      <c r="T250" s="1207"/>
    </row>
    <row r="251" spans="1:20">
      <c r="B251" s="1207" t="s">
        <v>6209</v>
      </c>
      <c r="C251" s="1207"/>
      <c r="D251" s="1207"/>
      <c r="E251" s="1207"/>
      <c r="F251" s="1207"/>
      <c r="G251" s="1207"/>
      <c r="H251" s="1207"/>
      <c r="I251" s="1207"/>
      <c r="J251" s="1271">
        <f>J242-J250</f>
        <v>249.46436016750243</v>
      </c>
      <c r="K251" s="1271">
        <f>K242-K250</f>
        <v>268.85190373212413</v>
      </c>
      <c r="L251" s="1271">
        <f ca="1">L242-L250</f>
        <v>60.624813896720767</v>
      </c>
      <c r="M251" s="1271">
        <f ca="1">M242-M250</f>
        <v>414.83549607591249</v>
      </c>
      <c r="N251" s="1271" t="s">
        <v>72</v>
      </c>
      <c r="O251" s="1271"/>
      <c r="P251" s="1271"/>
      <c r="Q251" s="1271"/>
      <c r="R251" s="1271"/>
      <c r="S251" s="1271"/>
      <c r="T251" s="1207"/>
    </row>
    <row r="262" spans="2:19">
      <c r="B262" s="1204" t="s">
        <v>6863</v>
      </c>
      <c r="C262" s="1204">
        <v>2023</v>
      </c>
      <c r="D262" s="1204">
        <v>2024</v>
      </c>
      <c r="E262" s="1204" t="s">
        <v>6864</v>
      </c>
      <c r="F262" s="1204" t="s">
        <v>6865</v>
      </c>
      <c r="G262" s="1203"/>
      <c r="H262" s="1203"/>
      <c r="I262" s="1203"/>
      <c r="J262" s="1203"/>
      <c r="K262" s="1306"/>
      <c r="L262" s="1306"/>
      <c r="M262" s="1306"/>
      <c r="N262" s="1306"/>
      <c r="O262" s="1306"/>
      <c r="P262" s="1306"/>
      <c r="Q262" s="1306"/>
      <c r="R262" s="1306"/>
      <c r="S262" s="1203"/>
    </row>
    <row r="263" spans="2:19">
      <c r="B263" t="s">
        <v>6866</v>
      </c>
      <c r="C263">
        <v>52.3</v>
      </c>
      <c r="D263">
        <v>17.7</v>
      </c>
      <c r="E263">
        <v>763</v>
      </c>
      <c r="F263">
        <v>312.39999999999998</v>
      </c>
    </row>
  </sheetData>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9D1E5-76AD-40F4-B59C-B25344A0ED56}">
  <dimension ref="A1:Z317"/>
  <sheetViews>
    <sheetView topLeftCell="A168" zoomScale="72" zoomScaleNormal="72" workbookViewId="0">
      <selection activeCell="B214" sqref="B214"/>
    </sheetView>
  </sheetViews>
  <sheetFormatPr defaultRowHeight="15"/>
  <cols>
    <col min="1" max="1" width="30.42578125" customWidth="1"/>
    <col min="2" max="10" width="12.7109375" customWidth="1"/>
    <col min="11" max="15" width="10.7109375" bestFit="1" customWidth="1"/>
    <col min="16" max="18" width="10.7109375" customWidth="1"/>
  </cols>
  <sheetData>
    <row r="1" spans="1:12">
      <c r="A1" s="1203"/>
      <c r="B1" s="1203"/>
      <c r="C1" s="1203"/>
      <c r="D1" s="1203"/>
      <c r="E1" s="1203"/>
      <c r="F1" s="1203"/>
      <c r="G1" s="1203"/>
      <c r="H1" s="1203"/>
      <c r="I1" s="1203"/>
      <c r="J1" s="1203"/>
      <c r="K1" s="1203"/>
      <c r="L1" s="1203"/>
    </row>
    <row r="2" spans="1:12">
      <c r="A2" s="1447" t="s">
        <v>6825</v>
      </c>
      <c r="B2" s="1448"/>
      <c r="C2" s="1448"/>
      <c r="D2" s="1448"/>
      <c r="E2" s="1448"/>
      <c r="F2" s="1448"/>
      <c r="G2" s="1448"/>
      <c r="H2" s="1448"/>
      <c r="I2" s="1448"/>
      <c r="J2" s="1448"/>
      <c r="K2" s="1203"/>
      <c r="L2" s="1203"/>
    </row>
    <row r="3" spans="1:12" ht="15.75" thickBot="1">
      <c r="A3" s="1449" t="s">
        <v>645</v>
      </c>
      <c r="B3" s="1450">
        <v>2020</v>
      </c>
      <c r="C3" s="1450">
        <v>2021</v>
      </c>
      <c r="D3" s="1450">
        <v>2022</v>
      </c>
      <c r="E3" s="1450">
        <v>2023</v>
      </c>
      <c r="F3" s="1450">
        <v>2024</v>
      </c>
      <c r="G3" s="1450">
        <v>2025</v>
      </c>
      <c r="H3" s="1450">
        <v>2026</v>
      </c>
      <c r="I3" s="1450">
        <v>2027</v>
      </c>
      <c r="J3" s="1450">
        <v>2028</v>
      </c>
      <c r="K3" s="1203"/>
      <c r="L3" s="1203"/>
    </row>
    <row r="4" spans="1:12">
      <c r="A4" s="1302" t="s">
        <v>6818</v>
      </c>
      <c r="B4" s="1451">
        <f>Chile!H116</f>
        <v>1417.3200000000002</v>
      </c>
      <c r="C4" s="1451">
        <f>Chile!I116</f>
        <v>1414.3506</v>
      </c>
      <c r="D4" s="1451">
        <f>Chile!J116</f>
        <v>1278.5488608360408</v>
      </c>
      <c r="E4" s="1451">
        <f>Chile!K116</f>
        <v>1175.5654939178171</v>
      </c>
      <c r="F4" s="1451">
        <f>Chile!L116</f>
        <v>1190.8088162977872</v>
      </c>
      <c r="G4" s="1451">
        <f>Chile!M116</f>
        <v>1215.8471954964471</v>
      </c>
      <c r="H4" s="1451">
        <f>Chile!N116</f>
        <v>1242.2960939925952</v>
      </c>
      <c r="I4" s="1451">
        <f>Chile!O116</f>
        <v>1269.2753802598481</v>
      </c>
      <c r="J4" s="1451">
        <f>Chile!P116</f>
        <v>1296.8794367547766</v>
      </c>
      <c r="K4" s="1203"/>
      <c r="L4" s="1203"/>
    </row>
    <row r="5" spans="1:12">
      <c r="A5" s="1452" t="s">
        <v>935</v>
      </c>
      <c r="B5" s="1453">
        <f>Chile!H116/Chile!G116-1</f>
        <v>-5.2292039445705818E-2</v>
      </c>
      <c r="C5" s="1453">
        <f>Chile!I116/Chile!H116-1</f>
        <v>-2.095080856828524E-3</v>
      </c>
      <c r="D5" s="1453">
        <f>Chile!J116/Chile!I116-1</f>
        <v>-9.6017026587296828E-2</v>
      </c>
      <c r="E5" s="1453">
        <f>Chile!K116/Chile!J116-1</f>
        <v>-8.0547071819283556E-2</v>
      </c>
      <c r="F5" s="1453">
        <f>Chile!L116/Chile!K116-1</f>
        <v>1.2966799773246551E-2</v>
      </c>
      <c r="G5" s="1453">
        <f>Chile!M116/Chile!L116-1</f>
        <v>2.1026363641230006E-2</v>
      </c>
      <c r="H5" s="1453">
        <f>Chile!N116/Chile!M116-1</f>
        <v>2.1753472470978252E-2</v>
      </c>
      <c r="I5" s="1453">
        <f>Chile!O116/Chile!N116-1</f>
        <v>2.1717275291870841E-2</v>
      </c>
      <c r="J5" s="1453">
        <f>Chile!P116/Chile!O116-1</f>
        <v>2.1747886175242259E-2</v>
      </c>
      <c r="K5" s="1203"/>
      <c r="L5" s="1203"/>
    </row>
    <row r="6" spans="1:12">
      <c r="A6" s="1302"/>
      <c r="B6" s="1451"/>
      <c r="C6" s="1451"/>
      <c r="D6" s="1451"/>
      <c r="E6" s="1451"/>
      <c r="F6" s="1451"/>
      <c r="G6" s="1451"/>
      <c r="H6" s="1451"/>
      <c r="I6" s="1451"/>
      <c r="J6" s="1451"/>
      <c r="K6" s="1203"/>
      <c r="L6" s="1203"/>
    </row>
    <row r="7" spans="1:12">
      <c r="A7" s="1452" t="s">
        <v>6817</v>
      </c>
      <c r="B7" s="1454"/>
      <c r="C7" s="1454">
        <f>Chile!I125</f>
        <v>278.45884967500001</v>
      </c>
      <c r="D7" s="1454">
        <f>Chile!J125</f>
        <v>125.81684958049999</v>
      </c>
      <c r="E7" s="1454">
        <f>Chile!K125</f>
        <v>84.704964817534517</v>
      </c>
      <c r="F7" s="1454">
        <f>Chile!L125</f>
        <v>72.222487292381103</v>
      </c>
      <c r="G7" s="1454">
        <f>Chile!M125</f>
        <v>85.985420993742281</v>
      </c>
      <c r="H7" s="1454">
        <f>Chile!N125</f>
        <v>122.10769907340787</v>
      </c>
      <c r="I7" s="1454">
        <f>Chile!O125</f>
        <v>132.94341629697965</v>
      </c>
      <c r="J7" s="1454">
        <f>Chile!P125</f>
        <v>152.28259928456939</v>
      </c>
      <c r="K7" s="1203"/>
      <c r="L7" s="1203"/>
    </row>
    <row r="8" spans="1:12">
      <c r="A8" s="1302" t="s">
        <v>935</v>
      </c>
      <c r="B8" s="1455"/>
      <c r="C8" s="1455"/>
      <c r="D8" s="1455">
        <f>D7/C7-1</f>
        <v>-0.54816717181965791</v>
      </c>
      <c r="E8" s="1455">
        <f t="shared" ref="E8:J8" si="0">E7/D7-1</f>
        <v>-0.32675976945886975</v>
      </c>
      <c r="F8" s="1455">
        <f t="shared" si="0"/>
        <v>-0.14736417814519243</v>
      </c>
      <c r="G8" s="1455">
        <f t="shared" si="0"/>
        <v>0.190562997998728</v>
      </c>
      <c r="H8" s="1455">
        <f t="shared" si="0"/>
        <v>0.42009770565982851</v>
      </c>
      <c r="I8" s="1455">
        <f t="shared" si="0"/>
        <v>8.8739017324842351E-2</v>
      </c>
      <c r="J8" s="1455">
        <f t="shared" si="0"/>
        <v>0.14546927953459776</v>
      </c>
      <c r="K8" s="1203"/>
      <c r="L8" s="1203"/>
    </row>
    <row r="9" spans="1:12">
      <c r="A9" s="1452" t="s">
        <v>5894</v>
      </c>
      <c r="B9" s="1453"/>
      <c r="C9" s="1453">
        <f>C7/C4</f>
        <v>0.19688106306526826</v>
      </c>
      <c r="D9" s="1453">
        <f t="shared" ref="D9:J9" si="1">D7/D4</f>
        <v>9.8405976833946404E-2</v>
      </c>
      <c r="E9" s="1453">
        <f t="shared" si="1"/>
        <v>7.205465391403891E-2</v>
      </c>
      <c r="F9" s="1453">
        <f t="shared" si="1"/>
        <v>6.0649943386311245E-2</v>
      </c>
      <c r="G9" s="1453">
        <f t="shared" si="1"/>
        <v>7.0720581757507159E-2</v>
      </c>
      <c r="H9" s="1453">
        <f t="shared" si="1"/>
        <v>9.8291944781833715E-2</v>
      </c>
      <c r="I9" s="1453">
        <f t="shared" si="1"/>
        <v>0.10473961629174849</v>
      </c>
      <c r="J9" s="1453">
        <f t="shared" si="1"/>
        <v>0.11742232544424566</v>
      </c>
      <c r="K9" s="1203"/>
      <c r="L9" s="1203"/>
    </row>
    <row r="10" spans="1:12">
      <c r="A10" s="1302"/>
      <c r="B10" s="1451"/>
      <c r="C10" s="1451"/>
      <c r="D10" s="1451"/>
      <c r="E10" s="1451"/>
      <c r="F10" s="1451"/>
      <c r="G10" s="1451"/>
      <c r="H10" s="1451"/>
      <c r="I10" s="1451"/>
      <c r="J10" s="1451"/>
      <c r="K10" s="1203"/>
      <c r="L10" s="1203"/>
    </row>
    <row r="11" spans="1:12">
      <c r="A11" s="1452" t="s">
        <v>19</v>
      </c>
      <c r="B11" s="1454"/>
      <c r="C11" s="1454">
        <f>Chile!I137</f>
        <v>253.82647500000002</v>
      </c>
      <c r="D11" s="1454">
        <f>Chile!J137</f>
        <v>216.06860760450508</v>
      </c>
      <c r="E11" s="1454">
        <f>Chile!K137</f>
        <v>231.12482408767255</v>
      </c>
      <c r="F11" s="1454">
        <f>Chile!L137</f>
        <v>270.13227052911236</v>
      </c>
      <c r="G11" s="1454">
        <f>Chile!M137</f>
        <v>252.17125821362561</v>
      </c>
      <c r="H11" s="1454">
        <f>Chile!N137</f>
        <v>228.22813494741928</v>
      </c>
      <c r="I11" s="1454">
        <f>Chile!O137</f>
        <v>215.77681464417418</v>
      </c>
      <c r="J11" s="1454">
        <f>Chile!P137</f>
        <v>207.50070988076425</v>
      </c>
      <c r="K11" s="1203"/>
      <c r="L11" s="1203"/>
    </row>
    <row r="12" spans="1:12">
      <c r="A12" s="1302" t="s">
        <v>935</v>
      </c>
      <c r="B12" s="1455"/>
      <c r="C12" s="1455"/>
      <c r="D12" s="1455">
        <f>D11/C11-1</f>
        <v>-0.14875464584809339</v>
      </c>
      <c r="E12" s="1455">
        <f t="shared" ref="E12:J12" si="2">E11/D11-1</f>
        <v>6.9682572818382749E-2</v>
      </c>
      <c r="F12" s="1455">
        <f t="shared" si="2"/>
        <v>0.16877220608134724</v>
      </c>
      <c r="G12" s="1455">
        <f t="shared" si="2"/>
        <v>-6.6489695141962235E-2</v>
      </c>
      <c r="H12" s="1455">
        <f t="shared" si="2"/>
        <v>-9.4947867714262002E-2</v>
      </c>
      <c r="I12" s="1455">
        <f t="shared" si="2"/>
        <v>-5.4556465205806925E-2</v>
      </c>
      <c r="J12" s="1455">
        <f t="shared" si="2"/>
        <v>-3.8354930658595632E-2</v>
      </c>
      <c r="K12" s="1203"/>
      <c r="L12" s="1203"/>
    </row>
    <row r="13" spans="1:12">
      <c r="A13" s="1452" t="s">
        <v>174</v>
      </c>
      <c r="B13" s="1453"/>
      <c r="C13" s="1453">
        <f t="shared" ref="C13:J13" si="3">C11/C4</f>
        <v>0.17946503151340271</v>
      </c>
      <c r="D13" s="1453">
        <f t="shared" si="3"/>
        <v>0.16899518995560184</v>
      </c>
      <c r="E13" s="1453">
        <f t="shared" si="3"/>
        <v>0.19660735644545069</v>
      </c>
      <c r="F13" s="1453">
        <f t="shared" si="3"/>
        <v>0.22684772469937778</v>
      </c>
      <c r="G13" s="1453">
        <f t="shared" si="3"/>
        <v>0.20740374213772861</v>
      </c>
      <c r="H13" s="1453">
        <f t="shared" si="3"/>
        <v>0.18371476498321795</v>
      </c>
      <c r="I13" s="1453">
        <f t="shared" si="3"/>
        <v>0.16999999999999998</v>
      </c>
      <c r="J13" s="1453">
        <f t="shared" si="3"/>
        <v>0.16</v>
      </c>
      <c r="K13" s="1203"/>
      <c r="L13" s="1203"/>
    </row>
    <row r="14" spans="1:12">
      <c r="A14" s="1302"/>
      <c r="B14" s="1451"/>
      <c r="C14" s="1451"/>
      <c r="D14" s="1451"/>
      <c r="E14" s="1451"/>
      <c r="F14" s="1451"/>
      <c r="G14" s="1451"/>
      <c r="H14" s="1451"/>
      <c r="I14" s="1451"/>
      <c r="J14" s="1451"/>
      <c r="K14" s="1203"/>
      <c r="L14" s="1203"/>
    </row>
    <row r="15" spans="1:12">
      <c r="A15" s="1452" t="s">
        <v>27</v>
      </c>
      <c r="B15" s="1454"/>
      <c r="C15" s="1454">
        <f t="shared" ref="C15:J15" si="4">C7-C11</f>
        <v>24.632374674999994</v>
      </c>
      <c r="D15" s="1454">
        <f t="shared" si="4"/>
        <v>-90.251758024005085</v>
      </c>
      <c r="E15" s="1454">
        <f t="shared" si="4"/>
        <v>-146.41985927013803</v>
      </c>
      <c r="F15" s="1454">
        <f t="shared" si="4"/>
        <v>-197.90978323673124</v>
      </c>
      <c r="G15" s="1454">
        <f t="shared" si="4"/>
        <v>-166.18583721988333</v>
      </c>
      <c r="H15" s="1454">
        <f t="shared" si="4"/>
        <v>-106.12043587401141</v>
      </c>
      <c r="I15" s="1454">
        <f t="shared" si="4"/>
        <v>-82.833398347194532</v>
      </c>
      <c r="J15" s="1454">
        <f t="shared" si="4"/>
        <v>-55.218110596194862</v>
      </c>
      <c r="K15" s="1203"/>
      <c r="L15" s="1203"/>
    </row>
    <row r="16" spans="1:12">
      <c r="A16" s="1302" t="s">
        <v>935</v>
      </c>
      <c r="B16" s="1455"/>
      <c r="C16" s="1455" t="s">
        <v>6816</v>
      </c>
      <c r="D16" s="1455" t="s">
        <v>6816</v>
      </c>
      <c r="E16" s="1455" t="s">
        <v>6816</v>
      </c>
      <c r="F16" s="1455" t="s">
        <v>6816</v>
      </c>
      <c r="G16" s="1455" t="s">
        <v>6816</v>
      </c>
      <c r="H16" s="1455" t="s">
        <v>6816</v>
      </c>
      <c r="I16" s="1455" t="s">
        <v>6816</v>
      </c>
      <c r="J16" s="1455" t="s">
        <v>6816</v>
      </c>
      <c r="K16" s="1203"/>
      <c r="L16" s="1203"/>
    </row>
    <row r="17" spans="1:12">
      <c r="A17" s="1452" t="s">
        <v>5894</v>
      </c>
      <c r="B17" s="1453"/>
      <c r="C17" s="1453">
        <f t="shared" ref="C17:J17" si="5">C15/C4</f>
        <v>1.7416031551865566E-2</v>
      </c>
      <c r="D17" s="1453">
        <f t="shared" si="5"/>
        <v>-7.0589213121655447E-2</v>
      </c>
      <c r="E17" s="1453">
        <f t="shared" si="5"/>
        <v>-0.12455270253141178</v>
      </c>
      <c r="F17" s="1453">
        <f t="shared" si="5"/>
        <v>-0.16619778131306653</v>
      </c>
      <c r="G17" s="1453">
        <f t="shared" si="5"/>
        <v>-0.13668316038022144</v>
      </c>
      <c r="H17" s="1453">
        <f t="shared" si="5"/>
        <v>-8.5422820201384253E-2</v>
      </c>
      <c r="I17" s="1453">
        <f t="shared" si="5"/>
        <v>-6.5260383708251504E-2</v>
      </c>
      <c r="J17" s="1453">
        <f t="shared" si="5"/>
        <v>-4.2577674555754334E-2</v>
      </c>
      <c r="K17" s="1203"/>
      <c r="L17" s="1203"/>
    </row>
    <row r="18" spans="1:12">
      <c r="A18" s="1302"/>
      <c r="B18" s="1451"/>
      <c r="C18" s="1451"/>
      <c r="D18" s="1451"/>
      <c r="E18" s="1451"/>
      <c r="F18" s="1451"/>
      <c r="G18" s="1451"/>
      <c r="H18" s="1451"/>
      <c r="I18" s="1451"/>
      <c r="J18" s="1451"/>
      <c r="K18" s="1203"/>
      <c r="L18" s="1203"/>
    </row>
    <row r="19" spans="1:12">
      <c r="A19" s="1452"/>
      <c r="B19" s="1454"/>
      <c r="C19" s="1454"/>
      <c r="D19" s="1454"/>
      <c r="E19" s="1454"/>
      <c r="F19" s="1454"/>
      <c r="G19" s="1454"/>
      <c r="H19" s="1454"/>
      <c r="I19" s="1454"/>
      <c r="J19" s="1454"/>
      <c r="K19" s="1203"/>
      <c r="L19" s="1203"/>
    </row>
    <row r="20" spans="1:12">
      <c r="A20" s="1302"/>
      <c r="B20" s="1451"/>
      <c r="C20" s="1451"/>
      <c r="D20" s="1451"/>
      <c r="E20" s="1451"/>
      <c r="F20" s="1451"/>
      <c r="G20" s="1451"/>
      <c r="H20" s="1451"/>
      <c r="I20" s="1451"/>
      <c r="J20" s="1451"/>
      <c r="K20" s="1203"/>
      <c r="L20" s="1203"/>
    </row>
    <row r="21" spans="1:12">
      <c r="A21" s="1452" t="s">
        <v>27</v>
      </c>
      <c r="B21" s="1454"/>
      <c r="C21" s="1454">
        <f>C15</f>
        <v>24.632374674999994</v>
      </c>
      <c r="D21" s="1454">
        <f t="shared" ref="D21:J21" si="6">D15</f>
        <v>-90.251758024005085</v>
      </c>
      <c r="E21" s="1454">
        <f t="shared" si="6"/>
        <v>-146.41985927013803</v>
      </c>
      <c r="F21" s="1454">
        <f t="shared" si="6"/>
        <v>-197.90978323673124</v>
      </c>
      <c r="G21" s="1454">
        <f t="shared" si="6"/>
        <v>-166.18583721988333</v>
      </c>
      <c r="H21" s="1454">
        <f t="shared" si="6"/>
        <v>-106.12043587401141</v>
      </c>
      <c r="I21" s="1454">
        <f t="shared" si="6"/>
        <v>-82.833398347194532</v>
      </c>
      <c r="J21" s="1454">
        <f t="shared" si="6"/>
        <v>-55.218110596194862</v>
      </c>
      <c r="K21" s="1203"/>
      <c r="L21" s="1203"/>
    </row>
    <row r="22" spans="1:12">
      <c r="A22" s="1302" t="s">
        <v>6029</v>
      </c>
      <c r="B22" s="1451"/>
      <c r="C22" s="1451"/>
      <c r="D22" s="1451"/>
      <c r="E22" s="1451">
        <f>Chile!K150</f>
        <v>-71.903999999999996</v>
      </c>
      <c r="F22" s="1451">
        <f>Chile!L150</f>
        <v>-82.11</v>
      </c>
      <c r="G22" s="1451">
        <f>Chile!M150</f>
        <v>-72.947999999999993</v>
      </c>
      <c r="H22" s="1451">
        <f>Chile!N150</f>
        <v>-72.947999999999993</v>
      </c>
      <c r="I22" s="1451">
        <f>Chile!O150</f>
        <v>-72.947999999999993</v>
      </c>
      <c r="J22" s="1451">
        <f>Chile!P150</f>
        <v>-72.947999999999993</v>
      </c>
      <c r="K22" s="1203"/>
      <c r="L22" s="1203"/>
    </row>
    <row r="23" spans="1:12">
      <c r="A23" s="1452" t="s">
        <v>5397</v>
      </c>
      <c r="B23" s="1454"/>
      <c r="C23" s="1454"/>
      <c r="D23" s="1454"/>
      <c r="E23" s="1454">
        <f>Chile!K152</f>
        <v>-90</v>
      </c>
      <c r="F23" s="1454">
        <f>Chile!L152</f>
        <v>-65</v>
      </c>
      <c r="G23" s="1454">
        <f>Chile!M152</f>
        <v>-0.55000000000001137</v>
      </c>
      <c r="H23" s="1454">
        <f>Chile!N152</f>
        <v>0</v>
      </c>
      <c r="I23" s="1454">
        <f>Chile!O152</f>
        <v>0</v>
      </c>
      <c r="J23" s="1454">
        <f>Chile!P152</f>
        <v>0</v>
      </c>
      <c r="K23" s="1203"/>
      <c r="L23" s="1203"/>
    </row>
    <row r="24" spans="1:12">
      <c r="A24" s="1302" t="s">
        <v>399</v>
      </c>
      <c r="B24" s="1451"/>
      <c r="C24" s="1451"/>
      <c r="D24" s="1451"/>
      <c r="E24" s="1451">
        <f>Chile!K153</f>
        <v>0</v>
      </c>
      <c r="F24" s="1451">
        <f>Chile!L153</f>
        <v>29.160000000000004</v>
      </c>
      <c r="G24" s="1451">
        <f>Chile!M153</f>
        <v>116.64000000000001</v>
      </c>
      <c r="H24" s="1451">
        <f>Chile!N153</f>
        <v>145.80000000000001</v>
      </c>
      <c r="I24" s="1451">
        <f>Chile!O153</f>
        <v>145.80000000000001</v>
      </c>
      <c r="J24" s="1451">
        <f>Chile!P153</f>
        <v>145.80000000000001</v>
      </c>
      <c r="K24" s="1203"/>
      <c r="L24" s="1203"/>
    </row>
    <row r="25" spans="1:12">
      <c r="A25" s="1452" t="s">
        <v>6304</v>
      </c>
      <c r="B25" s="1456"/>
      <c r="C25" s="1456"/>
      <c r="D25" s="1456"/>
      <c r="E25" s="1456">
        <f>Chile!K154</f>
        <v>-308.32385927013803</v>
      </c>
      <c r="F25" s="1456">
        <f>Chile!L154</f>
        <v>-399.35978323673129</v>
      </c>
      <c r="G25" s="1456">
        <f>Chile!M154</f>
        <v>-123.04383721988327</v>
      </c>
      <c r="H25" s="1456">
        <f>Chile!N154</f>
        <v>-33.268435874011402</v>
      </c>
      <c r="I25" s="1456">
        <f>Chile!O154</f>
        <v>-9.9813983471945278</v>
      </c>
      <c r="J25" s="1456">
        <f>Chile!P154</f>
        <v>17.633889403805171</v>
      </c>
      <c r="K25" s="1203"/>
      <c r="L25" s="1203"/>
    </row>
    <row r="26" spans="1:12">
      <c r="A26" s="1302" t="s">
        <v>67</v>
      </c>
      <c r="B26" s="1451"/>
      <c r="C26" s="1451"/>
      <c r="D26" s="1451"/>
      <c r="E26" s="1451">
        <f>Chile!K155</f>
        <v>0</v>
      </c>
      <c r="F26" s="1451">
        <f>Chile!L155</f>
        <v>0</v>
      </c>
      <c r="G26" s="1451">
        <f>Chile!M155</f>
        <v>0</v>
      </c>
      <c r="H26" s="1451">
        <f>Chile!N155</f>
        <v>0</v>
      </c>
      <c r="I26" s="1451">
        <f>Chile!O155</f>
        <v>0</v>
      </c>
      <c r="J26" s="1451">
        <f>Chile!P155</f>
        <v>-4.9374890330654484</v>
      </c>
      <c r="K26" s="1203"/>
      <c r="L26" s="1203"/>
    </row>
    <row r="27" spans="1:12">
      <c r="A27" s="1457" t="s">
        <v>6030</v>
      </c>
      <c r="B27" s="1458"/>
      <c r="C27" s="1458"/>
      <c r="D27" s="1458"/>
      <c r="E27" s="1458">
        <f>Chile!K156</f>
        <v>-308.32385927013803</v>
      </c>
      <c r="F27" s="1458">
        <f>Chile!L156</f>
        <v>-399.35978323673129</v>
      </c>
      <c r="G27" s="1458">
        <f>Chile!M156</f>
        <v>-123.04383721988327</v>
      </c>
      <c r="H27" s="1458">
        <f>Chile!N156</f>
        <v>-33.268435874011402</v>
      </c>
      <c r="I27" s="1458">
        <f>Chile!O156</f>
        <v>-9.9813983471945278</v>
      </c>
      <c r="J27" s="1458">
        <f>Chile!P156</f>
        <v>12.696400370739722</v>
      </c>
      <c r="K27" s="1203"/>
      <c r="L27" s="1203"/>
    </row>
    <row r="28" spans="1:12">
      <c r="A28" s="1302"/>
      <c r="B28" s="1451"/>
      <c r="C28" s="1451"/>
      <c r="D28" s="1451"/>
      <c r="E28" s="1451"/>
      <c r="F28" s="1451"/>
      <c r="G28" s="1451"/>
      <c r="H28" s="1451"/>
      <c r="I28" s="1451"/>
      <c r="J28" s="1451"/>
      <c r="K28" s="1203"/>
      <c r="L28" s="1203"/>
    </row>
    <row r="29" spans="1:12">
      <c r="A29" s="1452" t="s">
        <v>6795</v>
      </c>
      <c r="B29" s="1454"/>
      <c r="C29" s="1454"/>
      <c r="D29" s="1454"/>
      <c r="E29" s="1454">
        <f>Chile!K158</f>
        <v>720.6</v>
      </c>
      <c r="F29" s="1454">
        <f>Chile!L158</f>
        <v>251.79999999999995</v>
      </c>
      <c r="G29" s="1454">
        <f>Chile!M158</f>
        <v>0</v>
      </c>
      <c r="H29" s="1454"/>
      <c r="I29" s="1454"/>
      <c r="J29" s="1454"/>
      <c r="K29" s="1203"/>
      <c r="L29" s="1203"/>
    </row>
    <row r="30" spans="1:12">
      <c r="A30" s="1318" t="s">
        <v>6799</v>
      </c>
      <c r="B30" s="1459"/>
      <c r="C30" s="1459"/>
      <c r="D30" s="1451"/>
      <c r="E30" s="1451">
        <f>Chile!K159</f>
        <v>895.15527950310559</v>
      </c>
      <c r="F30" s="1451">
        <f>Chile!L159</f>
        <v>266.45502645502637</v>
      </c>
      <c r="G30" s="1451">
        <f>Chile!M159</f>
        <v>0</v>
      </c>
      <c r="H30" s="1451"/>
      <c r="I30" s="1451"/>
      <c r="J30" s="1451"/>
      <c r="K30" s="1203"/>
      <c r="L30" s="1203"/>
    </row>
    <row r="31" spans="1:12">
      <c r="A31" s="1452"/>
      <c r="B31" s="1454"/>
      <c r="C31" s="1454"/>
      <c r="D31" s="1454"/>
      <c r="E31" s="1454"/>
      <c r="F31" s="1454"/>
      <c r="G31" s="1454"/>
      <c r="H31" s="1454"/>
      <c r="I31" s="1454"/>
      <c r="J31" s="1454"/>
      <c r="K31" s="1203"/>
      <c r="L31" s="1203"/>
    </row>
    <row r="32" spans="1:12">
      <c r="A32" s="1302" t="s">
        <v>6797</v>
      </c>
      <c r="B32" s="1460"/>
      <c r="C32" s="1460"/>
      <c r="D32" s="1451">
        <f>Chile!J161</f>
        <v>290</v>
      </c>
      <c r="E32" s="1451"/>
      <c r="F32" s="1451"/>
      <c r="G32" s="1451"/>
      <c r="H32" s="1451"/>
      <c r="I32" s="1451"/>
      <c r="J32" s="1451"/>
      <c r="K32" s="1203"/>
      <c r="L32" s="1203"/>
    </row>
    <row r="33" spans="1:12">
      <c r="A33" s="1452" t="s">
        <v>6798</v>
      </c>
      <c r="B33" s="1461"/>
      <c r="C33" s="1461"/>
      <c r="D33" s="1454">
        <f>Chile!J163</f>
        <v>1198.4000000000001</v>
      </c>
      <c r="E33" s="1454">
        <f>Chile!K163</f>
        <v>1368.5</v>
      </c>
      <c r="F33" s="1454">
        <f>Chile!L163</f>
        <v>1368.5</v>
      </c>
      <c r="G33" s="1454">
        <f>Chile!M163</f>
        <v>0</v>
      </c>
      <c r="H33" s="1454">
        <f>Chile!N163</f>
        <v>0</v>
      </c>
      <c r="I33" s="1454">
        <f>Chile!O163</f>
        <v>0</v>
      </c>
      <c r="J33" s="1454">
        <f>Chile!P163</f>
        <v>0</v>
      </c>
      <c r="K33" s="1203"/>
      <c r="L33" s="1203"/>
    </row>
    <row r="34" spans="1:12">
      <c r="A34" s="1302" t="s">
        <v>6794</v>
      </c>
      <c r="B34" s="1451"/>
      <c r="C34" s="1451"/>
      <c r="D34" s="1451">
        <f>Chile!J164</f>
        <v>100</v>
      </c>
      <c r="E34" s="1451">
        <f>Chile!K164</f>
        <v>50</v>
      </c>
      <c r="F34" s="1451">
        <f>Chile!L164</f>
        <v>0</v>
      </c>
      <c r="G34" s="1451">
        <f>Chile!M164</f>
        <v>0</v>
      </c>
      <c r="H34" s="1451">
        <f>Chile!N164</f>
        <v>0</v>
      </c>
      <c r="I34" s="1451">
        <f>Chile!O164</f>
        <v>0</v>
      </c>
      <c r="J34" s="1451">
        <f>Chile!P164</f>
        <v>0</v>
      </c>
      <c r="K34" s="1203"/>
      <c r="L34" s="1203"/>
    </row>
    <row r="35" spans="1:12">
      <c r="A35" s="1452" t="s">
        <v>707</v>
      </c>
      <c r="B35" s="1462"/>
      <c r="C35" s="1462"/>
      <c r="D35" s="1454">
        <f>Chile!J165</f>
        <v>53.9</v>
      </c>
      <c r="E35" s="1454">
        <f>Chile!K165</f>
        <v>7.6</v>
      </c>
      <c r="F35" s="1454">
        <f>Chile!L165</f>
        <v>60.644262757795133</v>
      </c>
      <c r="G35" s="1454">
        <f>Chile!M165</f>
        <v>0</v>
      </c>
      <c r="H35" s="1454">
        <f>Chile!N165</f>
        <v>0</v>
      </c>
      <c r="I35" s="1454">
        <f>Chile!O165</f>
        <v>0</v>
      </c>
      <c r="J35" s="1454">
        <f>Chile!P165</f>
        <v>0</v>
      </c>
      <c r="K35" s="1203"/>
      <c r="L35" s="1203"/>
    </row>
    <row r="36" spans="1:12">
      <c r="A36" s="1318" t="s">
        <v>6032</v>
      </c>
      <c r="B36" s="1463"/>
      <c r="C36" s="1463"/>
      <c r="D36" s="1463">
        <f>Chile!J169</f>
        <v>1334.5</v>
      </c>
      <c r="E36" s="1463">
        <f>Chile!K169</f>
        <v>906.41985927013798</v>
      </c>
      <c r="F36" s="1463">
        <f>Chile!L169</f>
        <v>1103.9796425068694</v>
      </c>
      <c r="G36" s="1463">
        <f>Chile!M169</f>
        <v>1227.0234797267526</v>
      </c>
      <c r="H36" s="1463">
        <f>Chile!N169</f>
        <v>1260.291915600764</v>
      </c>
      <c r="I36" s="1463">
        <f>Chile!O169</f>
        <v>1270.2733139479585</v>
      </c>
      <c r="J36" s="1463">
        <f>Chile!P169</f>
        <v>1257.5769135772189</v>
      </c>
      <c r="K36" s="1203"/>
      <c r="L36" s="1203"/>
    </row>
    <row r="37" spans="1:12">
      <c r="A37" s="1452" t="s">
        <v>6031</v>
      </c>
      <c r="B37" s="1462"/>
      <c r="C37" s="1462"/>
      <c r="D37" s="1454"/>
      <c r="E37" s="1454">
        <f>Chile!K170</f>
        <v>0</v>
      </c>
      <c r="F37" s="1454">
        <f>Chile!L170</f>
        <v>0</v>
      </c>
      <c r="G37" s="1454">
        <f>Chile!M170</f>
        <v>0</v>
      </c>
      <c r="H37" s="1454">
        <f>Chile!N170</f>
        <v>0</v>
      </c>
      <c r="I37" s="1454">
        <f>Chile!O170</f>
        <v>0</v>
      </c>
      <c r="J37" s="1454">
        <f>Chile!P170</f>
        <v>0</v>
      </c>
      <c r="K37" s="1203"/>
      <c r="L37" s="1203"/>
    </row>
    <row r="38" spans="1:12">
      <c r="A38" s="1302" t="s">
        <v>6310</v>
      </c>
      <c r="B38" s="1460"/>
      <c r="C38" s="1464">
        <f>Chile!I171</f>
        <v>0.9</v>
      </c>
      <c r="D38" s="1451"/>
      <c r="E38" s="1451"/>
      <c r="F38" s="1451"/>
      <c r="G38" s="1451"/>
      <c r="H38" s="1451"/>
      <c r="I38" s="1451"/>
      <c r="J38" s="1451"/>
      <c r="K38" s="1203"/>
      <c r="L38" s="1203"/>
    </row>
    <row r="39" spans="1:12">
      <c r="A39" s="1457" t="s">
        <v>6796</v>
      </c>
      <c r="B39" s="1465"/>
      <c r="C39" s="1465"/>
      <c r="D39" s="1466">
        <f>Chile!J172</f>
        <v>125.81684958049999</v>
      </c>
      <c r="E39" s="1466">
        <f>Chile!K172</f>
        <v>84.704964817534517</v>
      </c>
      <c r="F39" s="1466">
        <f>Chile!L172</f>
        <v>98.466487292381103</v>
      </c>
      <c r="G39" s="1466">
        <f>Chile!M172</f>
        <v>190.96142099374231</v>
      </c>
      <c r="H39" s="1466">
        <f>Chile!N172</f>
        <v>253.3276990734079</v>
      </c>
      <c r="I39" s="1466">
        <f>Chile!O172</f>
        <v>264.16341629697968</v>
      </c>
      <c r="J39" s="1466">
        <f>Chile!P172</f>
        <v>283.50259928456944</v>
      </c>
      <c r="K39" s="1203"/>
      <c r="L39" s="1203"/>
    </row>
    <row r="40" spans="1:12">
      <c r="A40" s="1302" t="s">
        <v>251</v>
      </c>
      <c r="B40" s="1460"/>
      <c r="C40" s="1460"/>
      <c r="D40" s="1464">
        <f>Chile!J173</f>
        <v>9.8405976833946404E-2</v>
      </c>
      <c r="E40" s="1464">
        <f>Chile!K173</f>
        <v>7.205465391403891E-2</v>
      </c>
      <c r="F40" s="1464">
        <f>Chile!L173</f>
        <v>8.2688745619563381E-2</v>
      </c>
      <c r="G40" s="1464">
        <f>Chile!M173</f>
        <v>0.15706037872281323</v>
      </c>
      <c r="H40" s="1464">
        <f>Chile!N173</f>
        <v>0.20391893711847886</v>
      </c>
      <c r="I40" s="1464">
        <f>Chile!O173</f>
        <v>0.2081214371643289</v>
      </c>
      <c r="J40" s="1464">
        <f>Chile!P173</f>
        <v>0.21860366603852333</v>
      </c>
      <c r="K40" s="1203"/>
      <c r="L40" s="1203"/>
    </row>
    <row r="41" spans="1:12">
      <c r="A41" s="1457" t="s">
        <v>895</v>
      </c>
      <c r="B41" s="1465"/>
      <c r="C41" s="1467"/>
      <c r="D41" s="1467">
        <f>Chile!J174</f>
        <v>10.606687454418907</v>
      </c>
      <c r="E41" s="1467">
        <f>Chile!K174</f>
        <v>10.700905917648203</v>
      </c>
      <c r="F41" s="1467">
        <f>Chile!L174</f>
        <v>11.21172972514772</v>
      </c>
      <c r="G41" s="1467">
        <f>Chile!M174</f>
        <v>6.4255045513458002</v>
      </c>
      <c r="H41" s="1467">
        <f>Chile!N174</f>
        <v>4.9749471542611046</v>
      </c>
      <c r="I41" s="1467">
        <f>Chile!O174</f>
        <v>4.8086647718088367</v>
      </c>
      <c r="J41" s="1467">
        <f>Chile!P174</f>
        <v>4.4358567320044555</v>
      </c>
      <c r="K41" s="1203"/>
      <c r="L41" s="1203"/>
    </row>
    <row r="42" spans="1:12">
      <c r="A42" s="1475"/>
      <c r="B42" s="1475"/>
      <c r="C42" s="1475"/>
      <c r="D42" s="1475"/>
      <c r="E42" s="1475"/>
      <c r="F42" s="1475"/>
      <c r="G42" s="1475"/>
      <c r="H42" s="1475"/>
      <c r="I42" s="1475"/>
      <c r="J42" s="1475"/>
    </row>
    <row r="43" spans="1:12">
      <c r="A43" s="1302" t="str">
        <f>Chile!B181</f>
        <v>Cash and CE</v>
      </c>
      <c r="B43" s="1451"/>
      <c r="C43" s="1451"/>
      <c r="D43" s="1451"/>
      <c r="E43" s="1451">
        <f>Chile!K181</f>
        <v>7.6</v>
      </c>
      <c r="F43" s="1451">
        <f>Chile!L181</f>
        <v>60.644262757795133</v>
      </c>
      <c r="G43" s="1451">
        <f>Chile!M181</f>
        <v>0</v>
      </c>
      <c r="H43" s="1451">
        <f>Chile!N181</f>
        <v>0</v>
      </c>
      <c r="I43" s="1451">
        <f>Chile!O181</f>
        <v>0</v>
      </c>
      <c r="J43" s="1451">
        <f>Chile!P181</f>
        <v>0</v>
      </c>
    </row>
    <row r="44" spans="1:12">
      <c r="A44" s="1452" t="str">
        <f>Chile!B182</f>
        <v>Credit facilities</v>
      </c>
      <c r="B44" s="1454"/>
      <c r="C44" s="1454"/>
      <c r="D44" s="1454"/>
      <c r="E44" s="1454">
        <f>Chile!K182</f>
        <v>214.7</v>
      </c>
      <c r="F44" s="1454">
        <f>Chile!L182</f>
        <v>214.7</v>
      </c>
      <c r="G44" s="1454">
        <f>Chile!M182</f>
        <v>214.7</v>
      </c>
      <c r="H44" s="1454">
        <f>Chile!N182</f>
        <v>214.7</v>
      </c>
      <c r="I44" s="1454">
        <f>Chile!O182</f>
        <v>214.7</v>
      </c>
      <c r="J44" s="1454">
        <f>Chile!P182</f>
        <v>214.7</v>
      </c>
    </row>
    <row r="45" spans="1:12">
      <c r="A45" s="1473" t="str">
        <f>Chile!B183</f>
        <v>Total liquidity</v>
      </c>
      <c r="B45" s="1463"/>
      <c r="C45" s="1463"/>
      <c r="D45" s="1463"/>
      <c r="E45" s="1463">
        <f>Chile!K183</f>
        <v>222.29999999999998</v>
      </c>
      <c r="F45" s="1463">
        <f>Chile!L183</f>
        <v>275.34426275779515</v>
      </c>
      <c r="G45" s="1463">
        <f>Chile!M183</f>
        <v>214.7</v>
      </c>
      <c r="H45" s="1463">
        <f>Chile!N183</f>
        <v>214.7</v>
      </c>
      <c r="I45" s="1463">
        <f>Chile!O183</f>
        <v>214.7</v>
      </c>
      <c r="J45" s="1463">
        <f>Chile!P183</f>
        <v>214.7</v>
      </c>
    </row>
    <row r="49" spans="1:2">
      <c r="A49" s="1447" t="s">
        <v>6825</v>
      </c>
      <c r="B49" s="1447"/>
    </row>
    <row r="50" spans="1:2" ht="15.75" thickBot="1">
      <c r="A50" s="1449" t="s">
        <v>645</v>
      </c>
      <c r="B50" s="1449"/>
    </row>
    <row r="51" spans="1:2">
      <c r="A51" s="1302" t="s">
        <v>378</v>
      </c>
      <c r="B51" s="1304">
        <f>Chile!I189</f>
        <v>9.2999999999999999E-2</v>
      </c>
    </row>
    <row r="52" spans="1:2">
      <c r="A52" s="1452" t="s">
        <v>6819</v>
      </c>
      <c r="B52" s="1468">
        <f>Chile!I190</f>
        <v>0.02</v>
      </c>
    </row>
    <row r="53" spans="1:2">
      <c r="A53" s="1302" t="s">
        <v>6820</v>
      </c>
      <c r="B53" s="1469">
        <f>Chile!I191</f>
        <v>13.698630136986303</v>
      </c>
    </row>
    <row r="54" spans="1:2">
      <c r="A54" s="1457" t="s">
        <v>331</v>
      </c>
      <c r="B54" s="1470">
        <f>Chile!I196</f>
        <v>917.65760744216595</v>
      </c>
    </row>
    <row r="55" spans="1:2">
      <c r="A55" s="1302"/>
      <c r="B55" s="1302"/>
    </row>
    <row r="56" spans="1:2">
      <c r="A56" s="1452"/>
      <c r="B56" s="1452"/>
    </row>
    <row r="57" spans="1:2">
      <c r="A57" s="1318" t="s">
        <v>331</v>
      </c>
      <c r="B57" s="1319">
        <f>B54</f>
        <v>917.65760744216595</v>
      </c>
    </row>
    <row r="58" spans="1:2">
      <c r="A58" s="1452" t="s">
        <v>6824</v>
      </c>
      <c r="B58" s="1471">
        <f>-Chile!I197</f>
        <v>-1103.9796425068694</v>
      </c>
    </row>
    <row r="59" spans="1:2">
      <c r="A59" s="1302" t="s">
        <v>5071</v>
      </c>
      <c r="B59" s="1303">
        <v>0</v>
      </c>
    </row>
    <row r="60" spans="1:2">
      <c r="A60" s="1457" t="s">
        <v>826</v>
      </c>
      <c r="B60" s="1470">
        <f>SUM(B57:B59)</f>
        <v>-186.32203506470341</v>
      </c>
    </row>
    <row r="61" spans="1:2">
      <c r="A61" s="1302" t="s">
        <v>6821</v>
      </c>
      <c r="B61" s="1304">
        <f>B60/(B57+B59)</f>
        <v>-0.20304090932569976</v>
      </c>
    </row>
    <row r="62" spans="1:2">
      <c r="A62" s="1452" t="s">
        <v>6822</v>
      </c>
      <c r="B62" s="1471">
        <f>B57+B59</f>
        <v>917.65760744216595</v>
      </c>
    </row>
    <row r="63" spans="1:2">
      <c r="A63" s="1318" t="s">
        <v>6823</v>
      </c>
      <c r="B63" s="1472">
        <f>B57/-B58</f>
        <v>0.83122692856762159</v>
      </c>
    </row>
    <row r="69" spans="1:10">
      <c r="A69" s="1447" t="s">
        <v>925</v>
      </c>
      <c r="B69" s="1448"/>
      <c r="C69" s="1448"/>
      <c r="D69" s="1448"/>
      <c r="E69" s="1448"/>
      <c r="F69" s="1448"/>
      <c r="G69" s="1448"/>
      <c r="H69" s="1448"/>
      <c r="I69" s="1448"/>
      <c r="J69" s="1448"/>
    </row>
    <row r="70" spans="1:10" ht="15.75" thickBot="1">
      <c r="A70" s="1449" t="s">
        <v>833</v>
      </c>
      <c r="B70" s="1450">
        <v>2020</v>
      </c>
      <c r="C70" s="1450">
        <v>2021</v>
      </c>
      <c r="D70" s="1450">
        <v>2022</v>
      </c>
      <c r="E70" s="1450">
        <v>2023</v>
      </c>
      <c r="F70" s="1450">
        <v>2024</v>
      </c>
      <c r="G70" s="1450">
        <v>2025</v>
      </c>
      <c r="H70" s="1450">
        <v>2026</v>
      </c>
      <c r="I70" s="1450">
        <v>2027</v>
      </c>
      <c r="J70" s="1450">
        <v>2028</v>
      </c>
    </row>
    <row r="71" spans="1:10">
      <c r="A71" s="1302" t="s">
        <v>15</v>
      </c>
      <c r="B71" s="1451"/>
      <c r="C71" s="1451">
        <f>'Puerto Rico'!I102</f>
        <v>1455</v>
      </c>
      <c r="D71" s="1451">
        <f>'Puerto Rico'!J102</f>
        <v>1470.1</v>
      </c>
      <c r="E71" s="1451">
        <f>'Puerto Rico'!K102</f>
        <v>1417</v>
      </c>
      <c r="F71" s="1451">
        <f>'Puerto Rico'!L102</f>
        <v>1278.8028000000002</v>
      </c>
      <c r="G71" s="1451">
        <f>'Puerto Rico'!M102</f>
        <v>1327.3412871200001</v>
      </c>
      <c r="H71" s="1451">
        <f>'Puerto Rico'!N102</f>
        <v>1353.418403214336</v>
      </c>
      <c r="I71" s="1451">
        <f>'Puerto Rico'!O102</f>
        <v>1369.0294607454246</v>
      </c>
      <c r="J71" s="1451">
        <f>'Puerto Rico'!P102</f>
        <v>1381.0921898993574</v>
      </c>
    </row>
    <row r="72" spans="1:10">
      <c r="A72" s="1452" t="s">
        <v>935</v>
      </c>
      <c r="B72" s="1453"/>
      <c r="C72" s="1453"/>
      <c r="D72" s="1453">
        <f>'Puerto Rico'!J103</f>
        <v>1.0378006872852064E-2</v>
      </c>
      <c r="E72" s="1453">
        <f>'Puerto Rico'!K103</f>
        <v>-3.6119991837289867E-2</v>
      </c>
      <c r="F72" s="1453">
        <f>'Puerto Rico'!L103</f>
        <v>-9.7528016937191153E-2</v>
      </c>
      <c r="G72" s="1453">
        <f>'Puerto Rico'!M103</f>
        <v>3.7956193965168028E-2</v>
      </c>
      <c r="H72" s="1453">
        <f>'Puerto Rico'!N103</f>
        <v>1.9646127448440076E-2</v>
      </c>
      <c r="I72" s="1453">
        <f>'Puerto Rico'!O103</f>
        <v>1.1534539129963495E-2</v>
      </c>
      <c r="J72" s="1453">
        <f>'Puerto Rico'!P103</f>
        <v>8.8111538135671186E-3</v>
      </c>
    </row>
    <row r="73" spans="1:10">
      <c r="A73" s="1302"/>
      <c r="B73" s="1451"/>
      <c r="C73" s="1451"/>
      <c r="D73" s="1451"/>
      <c r="E73" s="1451"/>
      <c r="F73" s="1451"/>
      <c r="G73" s="1451"/>
      <c r="H73" s="1451"/>
      <c r="I73" s="1451"/>
      <c r="J73" s="1451"/>
    </row>
    <row r="74" spans="1:10">
      <c r="A74" s="1452" t="s">
        <v>8</v>
      </c>
      <c r="B74" s="1454"/>
      <c r="C74" s="1454">
        <f>'Puerto Rico'!I105</f>
        <v>585.90000000000009</v>
      </c>
      <c r="D74" s="1454">
        <f>'Puerto Rico'!J105</f>
        <v>544.80000000000007</v>
      </c>
      <c r="E74" s="1454">
        <f>'Puerto Rico'!K105</f>
        <v>485.5</v>
      </c>
      <c r="F74" s="1454">
        <f>'Puerto Rico'!L105</f>
        <v>323.91267200000004</v>
      </c>
      <c r="G74" s="1454">
        <f>'Puerto Rico'!M105</f>
        <v>481.47579900720001</v>
      </c>
      <c r="H74" s="1454">
        <f>'Puerto Rico'!N105</f>
        <v>516.62807306073091</v>
      </c>
      <c r="I74" s="1454">
        <f>'Puerto Rico'!O105</f>
        <v>535.47001665344442</v>
      </c>
      <c r="J74" s="1454">
        <f>'Puerto Rico'!P105</f>
        <v>553.38226646477506</v>
      </c>
    </row>
    <row r="75" spans="1:10">
      <c r="A75" s="1302" t="s">
        <v>935</v>
      </c>
      <c r="B75" s="1455"/>
      <c r="C75" s="1455"/>
      <c r="D75" s="1455">
        <f>D74/C74-1</f>
        <v>-7.0148489503328193E-2</v>
      </c>
      <c r="E75" s="1455">
        <f t="shared" ref="E75" si="7">E74/D74-1</f>
        <v>-0.10884728340675487</v>
      </c>
      <c r="F75" s="1455">
        <f t="shared" ref="F75" si="8">F74/E74-1</f>
        <v>-0.33282662821833153</v>
      </c>
      <c r="G75" s="1455">
        <f t="shared" ref="G75" si="9">G74/F74-1</f>
        <v>0.48643705735353238</v>
      </c>
      <c r="H75" s="1455">
        <f t="shared" ref="H75" si="10">H74/G74-1</f>
        <v>7.3009430849929835E-2</v>
      </c>
      <c r="I75" s="1455">
        <f t="shared" ref="I75" si="11">I74/H74-1</f>
        <v>3.6471002206840186E-2</v>
      </c>
      <c r="J75" s="1455">
        <f t="shared" ref="J75" si="12">J74/I74-1</f>
        <v>3.3451452470257381E-2</v>
      </c>
    </row>
    <row r="76" spans="1:10">
      <c r="A76" s="1452" t="s">
        <v>5894</v>
      </c>
      <c r="B76" s="1453"/>
      <c r="C76" s="1453">
        <f>C74/C71</f>
        <v>0.40268041237113406</v>
      </c>
      <c r="D76" s="1453">
        <f t="shared" ref="D76:J76" si="13">D74/D71</f>
        <v>0.37058703489558542</v>
      </c>
      <c r="E76" s="1453">
        <f t="shared" si="13"/>
        <v>0.34262526464361326</v>
      </c>
      <c r="F76" s="1453">
        <f t="shared" si="13"/>
        <v>0.25329368374858108</v>
      </c>
      <c r="G76" s="1453">
        <f t="shared" si="13"/>
        <v>0.36273700191446812</v>
      </c>
      <c r="H76" s="1453">
        <f t="shared" si="13"/>
        <v>0.38172088678102184</v>
      </c>
      <c r="I76" s="1453">
        <f t="shared" si="13"/>
        <v>0.39113111295785097</v>
      </c>
      <c r="J76" s="1453">
        <f t="shared" si="13"/>
        <v>0.40068452382248354</v>
      </c>
    </row>
    <row r="77" spans="1:10">
      <c r="A77" s="1302"/>
      <c r="B77" s="1451"/>
      <c r="C77" s="1451"/>
      <c r="D77" s="1451"/>
      <c r="E77" s="1451"/>
      <c r="F77" s="1451"/>
      <c r="G77" s="1451"/>
      <c r="H77" s="1451"/>
      <c r="I77" s="1451"/>
      <c r="J77" s="1451"/>
    </row>
    <row r="78" spans="1:10">
      <c r="A78" s="1452" t="s">
        <v>19</v>
      </c>
      <c r="B78" s="1454"/>
      <c r="C78" s="1454">
        <f>'Puerto Rico'!I116</f>
        <v>219.2</v>
      </c>
      <c r="D78" s="1454">
        <f>'Puerto Rico'!J116</f>
        <v>233.5</v>
      </c>
      <c r="E78" s="1454">
        <f>'Puerto Rico'!K116</f>
        <v>219</v>
      </c>
      <c r="F78" s="1454">
        <f>'Puerto Rico'!L116</f>
        <v>204.60844800000004</v>
      </c>
      <c r="G78" s="1454">
        <f>'Puerto Rico'!M116</f>
        <v>212.37460593920002</v>
      </c>
      <c r="H78" s="1454">
        <f>'Puerto Rico'!N116</f>
        <v>203.01276048215038</v>
      </c>
      <c r="I78" s="1454">
        <f>'Puerto Rico'!O116</f>
        <v>205.35441911181368</v>
      </c>
      <c r="J78" s="1454">
        <f>'Puerto Rico'!P116</f>
        <v>207.1638284849036</v>
      </c>
    </row>
    <row r="79" spans="1:10">
      <c r="A79" s="1302" t="s">
        <v>935</v>
      </c>
      <c r="B79" s="1455"/>
      <c r="C79" s="1455"/>
      <c r="D79" s="1455">
        <f>D78/C78-1</f>
        <v>6.5237226277372384E-2</v>
      </c>
      <c r="E79" s="1455">
        <f t="shared" ref="E79" si="14">E78/D78-1</f>
        <v>-6.2098501070663836E-2</v>
      </c>
      <c r="F79" s="1455">
        <f t="shared" ref="F79" si="15">F78/E78-1</f>
        <v>-6.5714849315068324E-2</v>
      </c>
      <c r="G79" s="1455">
        <f t="shared" ref="G79" si="16">G78/F78-1</f>
        <v>3.7956193965168028E-2</v>
      </c>
      <c r="H79" s="1455">
        <f t="shared" ref="H79" si="17">H78/G78-1</f>
        <v>-4.4081755517087595E-2</v>
      </c>
      <c r="I79" s="1455">
        <f t="shared" ref="I79" si="18">I78/H78-1</f>
        <v>1.1534539129963717E-2</v>
      </c>
      <c r="J79" s="1455">
        <f t="shared" ref="J79" si="19">J78/I78-1</f>
        <v>8.8111538135671186E-3</v>
      </c>
    </row>
    <row r="80" spans="1:10">
      <c r="A80" s="1452" t="s">
        <v>174</v>
      </c>
      <c r="B80" s="1453"/>
      <c r="C80" s="1453">
        <f t="shared" ref="C80:J80" si="20">C78/C71</f>
        <v>0.15065292096219932</v>
      </c>
      <c r="D80" s="1453">
        <f t="shared" si="20"/>
        <v>0.15883273246717911</v>
      </c>
      <c r="E80" s="1453">
        <f t="shared" si="20"/>
        <v>0.15455187014820043</v>
      </c>
      <c r="F80" s="1453">
        <f t="shared" si="20"/>
        <v>0.16</v>
      </c>
      <c r="G80" s="1453">
        <f t="shared" si="20"/>
        <v>0.16</v>
      </c>
      <c r="H80" s="1453">
        <f t="shared" si="20"/>
        <v>0.15</v>
      </c>
      <c r="I80" s="1453">
        <f t="shared" si="20"/>
        <v>0.15</v>
      </c>
      <c r="J80" s="1453">
        <f t="shared" si="20"/>
        <v>0.15</v>
      </c>
    </row>
    <row r="81" spans="1:10">
      <c r="A81" s="1302"/>
      <c r="B81" s="1451"/>
      <c r="C81" s="1451"/>
      <c r="D81" s="1451"/>
      <c r="E81" s="1451"/>
      <c r="F81" s="1451"/>
      <c r="G81" s="1451"/>
      <c r="H81" s="1451"/>
      <c r="I81" s="1451"/>
      <c r="J81" s="1451"/>
    </row>
    <row r="82" spans="1:10">
      <c r="A82" s="1452" t="s">
        <v>27</v>
      </c>
      <c r="B82" s="1454"/>
      <c r="C82" s="1454">
        <f t="shared" ref="C82:J82" si="21">C74-C78</f>
        <v>366.7000000000001</v>
      </c>
      <c r="D82" s="1454">
        <f t="shared" si="21"/>
        <v>311.30000000000007</v>
      </c>
      <c r="E82" s="1454">
        <f t="shared" si="21"/>
        <v>266.5</v>
      </c>
      <c r="F82" s="1454">
        <f t="shared" si="21"/>
        <v>119.304224</v>
      </c>
      <c r="G82" s="1454">
        <f t="shared" si="21"/>
        <v>269.10119306799999</v>
      </c>
      <c r="H82" s="1454">
        <f t="shared" si="21"/>
        <v>313.61531257858053</v>
      </c>
      <c r="I82" s="1454">
        <f t="shared" si="21"/>
        <v>330.11559754163073</v>
      </c>
      <c r="J82" s="1454">
        <f t="shared" si="21"/>
        <v>346.21843797987145</v>
      </c>
    </row>
    <row r="83" spans="1:10">
      <c r="A83" s="1302" t="s">
        <v>935</v>
      </c>
      <c r="B83" s="1455"/>
      <c r="C83" s="1455"/>
      <c r="D83" s="1455">
        <f>D82/C82-1</f>
        <v>-0.15107717480229077</v>
      </c>
      <c r="E83" s="1455">
        <f t="shared" ref="E83" si="22">E82/D82-1</f>
        <v>-0.14391262447799569</v>
      </c>
      <c r="F83" s="1455">
        <f t="shared" ref="F83" si="23">F82/E82-1</f>
        <v>-0.55232936585365855</v>
      </c>
      <c r="G83" s="1455">
        <f t="shared" ref="G83" si="24">G82/F82-1</f>
        <v>1.2555881430317166</v>
      </c>
      <c r="H83" s="1455">
        <f t="shared" ref="H83" si="25">H82/G82-1</f>
        <v>0.16541777092505172</v>
      </c>
      <c r="I83" s="1455">
        <f t="shared" ref="I83" si="26">I82/H82-1</f>
        <v>5.2613135587618487E-2</v>
      </c>
      <c r="J83" s="1455">
        <f t="shared" ref="J83" si="27">J82/I82-1</f>
        <v>4.8779398968599175E-2</v>
      </c>
    </row>
    <row r="84" spans="1:10">
      <c r="A84" s="1452" t="s">
        <v>5894</v>
      </c>
      <c r="B84" s="1453"/>
      <c r="C84" s="1453">
        <f t="shared" ref="C84:J84" si="28">C82/C71</f>
        <v>0.25202749140893477</v>
      </c>
      <c r="D84" s="1453">
        <f t="shared" si="28"/>
        <v>0.21175430242840629</v>
      </c>
      <c r="E84" s="1453">
        <f t="shared" si="28"/>
        <v>0.18807339449541285</v>
      </c>
      <c r="F84" s="1453">
        <f t="shared" si="28"/>
        <v>9.3293683748581088E-2</v>
      </c>
      <c r="G84" s="1453">
        <f t="shared" si="28"/>
        <v>0.20273700191446808</v>
      </c>
      <c r="H84" s="1453">
        <f t="shared" si="28"/>
        <v>0.23172088678102185</v>
      </c>
      <c r="I84" s="1453">
        <f t="shared" si="28"/>
        <v>0.24113111295785095</v>
      </c>
      <c r="J84" s="1453">
        <f t="shared" si="28"/>
        <v>0.25068452382248357</v>
      </c>
    </row>
    <row r="85" spans="1:10">
      <c r="A85" s="1302"/>
      <c r="B85" s="1451"/>
      <c r="C85" s="1451"/>
      <c r="D85" s="1451"/>
      <c r="E85" s="1451"/>
      <c r="F85" s="1451"/>
      <c r="G85" s="1451"/>
      <c r="H85" s="1451"/>
      <c r="I85" s="1451"/>
      <c r="J85" s="1451"/>
    </row>
    <row r="86" spans="1:10">
      <c r="A86" s="1452"/>
      <c r="B86" s="1454"/>
      <c r="C86" s="1454"/>
      <c r="D86" s="1454"/>
      <c r="E86" s="1454"/>
      <c r="F86" s="1454"/>
      <c r="G86" s="1454"/>
      <c r="H86" s="1454"/>
      <c r="I86" s="1454"/>
      <c r="J86" s="1454"/>
    </row>
    <row r="87" spans="1:10">
      <c r="A87" s="1302"/>
      <c r="B87" s="1451"/>
      <c r="C87" s="1451"/>
      <c r="D87" s="1451"/>
      <c r="E87" s="1451"/>
      <c r="F87" s="1451"/>
      <c r="G87" s="1451"/>
      <c r="H87" s="1451"/>
      <c r="I87" s="1451"/>
      <c r="J87" s="1451"/>
    </row>
    <row r="88" spans="1:10">
      <c r="A88" s="1452" t="str">
        <f>'Puerto Rico'!B143</f>
        <v>OpFCF</v>
      </c>
      <c r="B88" s="1454"/>
      <c r="C88" s="1454">
        <f>'Puerto Rico'!I143</f>
        <v>366.7000000000001</v>
      </c>
      <c r="D88" s="1454">
        <f>'Puerto Rico'!J143</f>
        <v>311.30000000000007</v>
      </c>
      <c r="E88" s="1454">
        <f>'Puerto Rico'!K143</f>
        <v>266.5</v>
      </c>
      <c r="F88" s="1454">
        <f>'Puerto Rico'!L143</f>
        <v>119.304224</v>
      </c>
      <c r="G88" s="1454">
        <f>'Puerto Rico'!M143</f>
        <v>269.10119306799999</v>
      </c>
      <c r="H88" s="1454">
        <f>'Puerto Rico'!N143</f>
        <v>313.61531257858053</v>
      </c>
      <c r="I88" s="1454">
        <f>'Puerto Rico'!O143</f>
        <v>330.11559754163073</v>
      </c>
      <c r="J88" s="1454">
        <f>'Puerto Rico'!P143</f>
        <v>346.21843797987145</v>
      </c>
    </row>
    <row r="89" spans="1:10">
      <c r="A89" s="1302" t="str">
        <f>'Puerto Rico'!B144</f>
        <v>Interests</v>
      </c>
      <c r="B89" s="1451"/>
      <c r="C89" s="1451">
        <f>'Puerto Rico'!I144</f>
        <v>-130.5</v>
      </c>
      <c r="D89" s="1451">
        <f>'Puerto Rico'!J144</f>
        <v>-155.19999999999999</v>
      </c>
      <c r="E89" s="1451">
        <f>'Puerto Rico'!K144</f>
        <v>-173.6</v>
      </c>
      <c r="F89" s="1451">
        <f>'Puerto Rico'!L144</f>
        <v>-189.8075</v>
      </c>
      <c r="G89" s="1451">
        <f>'Puerto Rico'!M144</f>
        <v>-213.11494671036846</v>
      </c>
      <c r="H89" s="1451">
        <f>'Puerto Rico'!N144</f>
        <v>-215.2240819610945</v>
      </c>
      <c r="I89" s="1451">
        <f>'Puerto Rico'!O144</f>
        <v>-215.84969459964574</v>
      </c>
      <c r="J89" s="1451">
        <f>'Puerto Rico'!P144</f>
        <v>-215.13997558915904</v>
      </c>
    </row>
    <row r="90" spans="1:10">
      <c r="A90" s="1452" t="str">
        <f>'Puerto Rico'!B145</f>
        <v>Taxes</v>
      </c>
      <c r="B90" s="1454"/>
      <c r="C90" s="1454">
        <f>'Puerto Rico'!I145</f>
        <v>-21.3</v>
      </c>
      <c r="D90" s="1454">
        <f>'Puerto Rico'!J145</f>
        <v>-17.3</v>
      </c>
      <c r="E90" s="1454">
        <f>'Puerto Rico'!K145</f>
        <v>-9.9</v>
      </c>
      <c r="F90" s="1454">
        <f>'Puerto Rico'!L145</f>
        <v>-10</v>
      </c>
      <c r="G90" s="1454">
        <f>'Puerto Rico'!M145</f>
        <v>-15</v>
      </c>
      <c r="H90" s="1454">
        <f>'Puerto Rico'!N145</f>
        <v>-35</v>
      </c>
      <c r="I90" s="1454">
        <f>'Puerto Rico'!O145</f>
        <v>-16.814483262074742</v>
      </c>
      <c r="J90" s="1454">
        <f>'Puerto Rico'!P145</f>
        <v>-20.300244780178534</v>
      </c>
    </row>
    <row r="91" spans="1:10">
      <c r="A91" s="1302" t="str">
        <f>'Puerto Rico'!B146</f>
        <v>NWC</v>
      </c>
      <c r="B91" s="1451"/>
      <c r="C91" s="1451">
        <f>'Puerto Rico'!I146</f>
        <v>-17.899999999999999</v>
      </c>
      <c r="D91" s="1451">
        <f>'Puerto Rico'!J146</f>
        <v>-22.099999999999994</v>
      </c>
      <c r="E91" s="1451">
        <f>'Puerto Rico'!K146</f>
        <v>-35</v>
      </c>
      <c r="F91" s="1451">
        <f>'Puerto Rico'!L146</f>
        <v>-31.970070000000007</v>
      </c>
      <c r="G91" s="1451">
        <f>'Puerto Rico'!M146</f>
        <v>-33.183532178</v>
      </c>
      <c r="H91" s="1451">
        <f>'Puerto Rico'!N146</f>
        <v>-30.451914072322559</v>
      </c>
      <c r="I91" s="1451">
        <f>'Puerto Rico'!O146</f>
        <v>-27.380589214908493</v>
      </c>
      <c r="J91" s="1451">
        <f>'Puerto Rico'!P146</f>
        <v>-24.169113323238758</v>
      </c>
    </row>
    <row r="92" spans="1:10">
      <c r="A92" s="1452" t="str">
        <f>'Puerto Rico'!B147</f>
        <v>Dividends</v>
      </c>
      <c r="B92" s="1454"/>
      <c r="C92" s="1454">
        <f>'Puerto Rico'!I147</f>
        <v>0</v>
      </c>
      <c r="D92" s="1454">
        <f>'Puerto Rico'!J147</f>
        <v>0</v>
      </c>
      <c r="E92" s="1454">
        <f>'Puerto Rico'!K147</f>
        <v>0</v>
      </c>
      <c r="F92" s="1454">
        <f>'Puerto Rico'!L147</f>
        <v>0</v>
      </c>
      <c r="G92" s="1454">
        <f>'Puerto Rico'!M147</f>
        <v>0</v>
      </c>
      <c r="H92" s="1454">
        <f>'Puerto Rico'!N147</f>
        <v>0</v>
      </c>
      <c r="I92" s="1454">
        <f>'Puerto Rico'!O147</f>
        <v>0</v>
      </c>
      <c r="J92" s="1454">
        <f>'Puerto Rico'!P147</f>
        <v>0</v>
      </c>
    </row>
    <row r="93" spans="1:10">
      <c r="A93" s="1302" t="str">
        <f>'Puerto Rico'!B148</f>
        <v>Acquisitions (inc spectrum)</v>
      </c>
      <c r="B93" s="1451"/>
      <c r="C93" s="1451">
        <f>'Puerto Rico'!I148</f>
        <v>0</v>
      </c>
      <c r="D93" s="1451">
        <f>'Puerto Rico'!J148</f>
        <v>0</v>
      </c>
      <c r="E93" s="1451">
        <f>'Puerto Rico'!K148</f>
        <v>0</v>
      </c>
      <c r="F93" s="1451">
        <f>'Puerto Rico'!L148</f>
        <v>-95</v>
      </c>
      <c r="G93" s="1451">
        <f>'Puerto Rico'!M148</f>
        <v>-72</v>
      </c>
      <c r="H93" s="1451">
        <f>'Puerto Rico'!N148</f>
        <v>-45</v>
      </c>
      <c r="I93" s="1451">
        <f>'Puerto Rico'!O148</f>
        <v>-40</v>
      </c>
      <c r="J93" s="1451">
        <f>'Puerto Rico'!P148</f>
        <v>0</v>
      </c>
    </row>
    <row r="94" spans="1:10">
      <c r="A94" s="1452" t="str">
        <f>'Puerto Rico'!B149</f>
        <v>Other (inc handset receivables)</v>
      </c>
      <c r="B94" s="1454"/>
      <c r="C94" s="1454">
        <f>'Puerto Rico'!I149</f>
        <v>0</v>
      </c>
      <c r="D94" s="1454">
        <f>'Puerto Rico'!J149</f>
        <v>0</v>
      </c>
      <c r="E94" s="1454">
        <f>'Puerto Rico'!K149</f>
        <v>0</v>
      </c>
      <c r="F94" s="1454">
        <f>'Puerto Rico'!L149</f>
        <v>40</v>
      </c>
      <c r="G94" s="1454">
        <f>'Puerto Rico'!M149</f>
        <v>40</v>
      </c>
      <c r="H94" s="1454">
        <f>'Puerto Rico'!N149</f>
        <v>0</v>
      </c>
      <c r="I94" s="1454">
        <f>'Puerto Rico'!O149</f>
        <v>0</v>
      </c>
      <c r="J94" s="1454">
        <f>'Puerto Rico'!P149</f>
        <v>0</v>
      </c>
    </row>
    <row r="95" spans="1:10">
      <c r="A95" s="1473" t="str">
        <f>'Puerto Rico'!B150</f>
        <v>FCF</v>
      </c>
      <c r="B95" s="1463"/>
      <c r="C95" s="1463">
        <f>'Puerto Rico'!I150</f>
        <v>197.00000000000009</v>
      </c>
      <c r="D95" s="1463">
        <f>'Puerto Rico'!J150</f>
        <v>116.70000000000007</v>
      </c>
      <c r="E95" s="1463">
        <f>'Puerto Rico'!K150</f>
        <v>48</v>
      </c>
      <c r="F95" s="1463">
        <f>'Puerto Rico'!L150</f>
        <v>-167.47334599999999</v>
      </c>
      <c r="G95" s="1463">
        <f>'Puerto Rico'!M150</f>
        <v>-24.197285820368478</v>
      </c>
      <c r="H95" s="1463">
        <f>'Puerto Rico'!N150</f>
        <v>-12.060683454836528</v>
      </c>
      <c r="I95" s="1463">
        <f>'Puerto Rico'!O150</f>
        <v>30.070830465001748</v>
      </c>
      <c r="J95" s="1463">
        <f>'Puerto Rico'!P150</f>
        <v>86.609104287295125</v>
      </c>
    </row>
    <row r="96" spans="1:10">
      <c r="A96" s="1452" t="s">
        <v>116</v>
      </c>
      <c r="B96" s="1454"/>
      <c r="C96" s="1454">
        <f>'Puerto Rico'!I151</f>
        <v>-197.00000000000009</v>
      </c>
      <c r="D96" s="1454">
        <f>'Puerto Rico'!J151</f>
        <v>-116.70000000000007</v>
      </c>
      <c r="E96" s="1454">
        <f>'Puerto Rico'!K151</f>
        <v>-48</v>
      </c>
      <c r="F96" s="1454">
        <f>'Puerto Rico'!L151</f>
        <v>167.47334599999999</v>
      </c>
      <c r="G96" s="1454">
        <f>'Puerto Rico'!M151</f>
        <v>24.197285820368478</v>
      </c>
      <c r="H96" s="1454">
        <f>'Puerto Rico'!N151</f>
        <v>12.060683454836528</v>
      </c>
      <c r="I96" s="1454">
        <f>'Puerto Rico'!O151</f>
        <v>-30.070830465001748</v>
      </c>
      <c r="J96" s="1454">
        <f>'Puerto Rico'!P151</f>
        <v>-86.609104287295125</v>
      </c>
    </row>
    <row r="97" spans="1:10">
      <c r="A97" s="1318"/>
      <c r="B97" s="1459"/>
      <c r="C97" s="1459"/>
      <c r="D97" s="1451"/>
      <c r="E97" s="1451"/>
      <c r="F97" s="1451"/>
      <c r="G97" s="1451"/>
      <c r="H97" s="1451"/>
      <c r="I97" s="1451"/>
      <c r="J97" s="1451"/>
    </row>
    <row r="98" spans="1:10">
      <c r="A98" s="1452" t="str">
        <f>CWC!B57</f>
        <v>Cash and CE</v>
      </c>
      <c r="B98" s="1454"/>
      <c r="C98" s="1454"/>
      <c r="D98" s="1454"/>
      <c r="E98" s="1454">
        <f>'Puerto Rico'!K154</f>
        <v>127.9</v>
      </c>
      <c r="F98" s="1454">
        <f>'Puerto Rico'!L154</f>
        <v>31.416291120394362</v>
      </c>
      <c r="G98" s="1454">
        <f>'Puerto Rico'!M154</f>
        <v>6.7361339817584849</v>
      </c>
      <c r="H98" s="1454">
        <f>'Puerto Rico'!N154</f>
        <v>-5.5361149911432221</v>
      </c>
      <c r="I98" s="1454">
        <f>'Puerto Rico'!O154</f>
        <v>24.41372054204794</v>
      </c>
      <c r="J98" s="1454">
        <f>'Puerto Rico'!P154</f>
        <v>110.93379312425577</v>
      </c>
    </row>
    <row r="99" spans="1:10">
      <c r="A99" s="1302" t="str">
        <f>CWC!B58</f>
        <v>Credit facilities</v>
      </c>
      <c r="B99" s="1451"/>
      <c r="C99" s="1451"/>
      <c r="D99" s="1451"/>
      <c r="E99" s="1451">
        <f>'Puerto Rico'!K155</f>
        <v>172.5</v>
      </c>
      <c r="F99" s="1451">
        <f>'Puerto Rico'!L155</f>
        <v>122.5</v>
      </c>
      <c r="G99" s="1451">
        <f>'Puerto Rico'!M155</f>
        <v>122.5</v>
      </c>
      <c r="H99" s="1451">
        <f>'Puerto Rico'!N155</f>
        <v>122.5</v>
      </c>
      <c r="I99" s="1451">
        <f>'Puerto Rico'!O155</f>
        <v>122.5</v>
      </c>
      <c r="J99" s="1451">
        <f>'Puerto Rico'!P155</f>
        <v>122.5</v>
      </c>
    </row>
    <row r="100" spans="1:10">
      <c r="A100" s="1447" t="str">
        <f>CWC!B59</f>
        <v>Total liquidity</v>
      </c>
      <c r="B100" s="1458"/>
      <c r="C100" s="1458"/>
      <c r="D100" s="1458"/>
      <c r="E100" s="1458">
        <f>'Puerto Rico'!K156</f>
        <v>300.39999999999998</v>
      </c>
      <c r="F100" s="1458">
        <f>'Puerto Rico'!L156</f>
        <v>153.91629112039436</v>
      </c>
      <c r="G100" s="1458">
        <f>'Puerto Rico'!M156</f>
        <v>129.23613398175848</v>
      </c>
      <c r="H100" s="1458">
        <f>'Puerto Rico'!N156</f>
        <v>116.96388500885678</v>
      </c>
      <c r="I100" s="1458">
        <f>'Puerto Rico'!O156</f>
        <v>146.91372054204794</v>
      </c>
      <c r="J100" s="1458">
        <f>'Puerto Rico'!P156</f>
        <v>233.43379312425577</v>
      </c>
    </row>
    <row r="101" spans="1:10">
      <c r="A101" s="1452"/>
      <c r="B101" s="1454"/>
      <c r="C101" s="1454"/>
      <c r="D101" s="1454"/>
      <c r="E101" s="1454"/>
      <c r="F101" s="1454"/>
      <c r="G101" s="1454"/>
      <c r="H101" s="1454"/>
      <c r="I101" s="1454"/>
      <c r="J101" s="1454"/>
    </row>
    <row r="102" spans="1:10">
      <c r="A102" s="1302" t="s">
        <v>115</v>
      </c>
      <c r="B102" s="1460"/>
      <c r="C102" s="1451">
        <f>'Puerto Rico'!I132</f>
        <v>2415</v>
      </c>
      <c r="D102" s="1451">
        <f>'Puerto Rico'!J132</f>
        <v>2522.4999999999995</v>
      </c>
      <c r="E102" s="1451">
        <f>'Puerto Rico'!K132</f>
        <v>2578.9</v>
      </c>
      <c r="F102" s="1451">
        <f>'Puerto Rico'!L132</f>
        <v>2746.3733460000003</v>
      </c>
      <c r="G102" s="1451">
        <f>'Puerto Rico'!M132</f>
        <v>2770.5706318203688</v>
      </c>
      <c r="H102" s="1451">
        <f>'Puerto Rico'!N132</f>
        <v>2782.6313152752055</v>
      </c>
      <c r="I102" s="1451">
        <f>'Puerto Rico'!O132</f>
        <v>2752.5604848102039</v>
      </c>
      <c r="J102" s="1451">
        <f>'Puerto Rico'!P132</f>
        <v>2665.9513805229089</v>
      </c>
    </row>
    <row r="103" spans="1:10">
      <c r="A103" s="1457" t="s">
        <v>6838</v>
      </c>
      <c r="B103" s="1465"/>
      <c r="C103" s="1474">
        <f>'Puerto Rico'!I133</f>
        <v>4.1218637992831537</v>
      </c>
      <c r="D103" s="1474">
        <f>'Puerto Rico'!J133</f>
        <v>4.630139500734213</v>
      </c>
      <c r="E103" s="1474">
        <f>'Puerto Rico'!K133</f>
        <v>5.311843460350155</v>
      </c>
      <c r="F103" s="1474">
        <f>'Puerto Rico'!L133</f>
        <v>8.4787462282426542</v>
      </c>
      <c r="G103" s="1474">
        <f>'Puerto Rico'!M133</f>
        <v>5.7543299944322595</v>
      </c>
      <c r="H103" s="1474">
        <f>'Puerto Rico'!N133</f>
        <v>5.3861403597169604</v>
      </c>
      <c r="I103" s="1474">
        <f>'Puerto Rico'!O133</f>
        <v>5.1404567934784255</v>
      </c>
      <c r="J103" s="1474">
        <f>'Puerto Rico'!P133</f>
        <v>4.817558389707826</v>
      </c>
    </row>
    <row r="107" spans="1:10">
      <c r="A107" s="1447" t="s">
        <v>925</v>
      </c>
      <c r="B107" s="1447"/>
    </row>
    <row r="108" spans="1:10" ht="15.75" thickBot="1">
      <c r="A108" s="1449" t="s">
        <v>833</v>
      </c>
      <c r="B108" s="1449"/>
    </row>
    <row r="109" spans="1:10">
      <c r="A109" s="1302" t="s">
        <v>378</v>
      </c>
      <c r="B109" s="1304">
        <f>'New Format'!L309</f>
        <v>7.5494999999999993E-2</v>
      </c>
    </row>
    <row r="110" spans="1:10">
      <c r="A110" s="1452" t="s">
        <v>6819</v>
      </c>
      <c r="B110" s="1468">
        <f>'New Format'!D322</f>
        <v>1E-3</v>
      </c>
    </row>
    <row r="111" spans="1:10">
      <c r="A111" s="1302" t="s">
        <v>6820</v>
      </c>
      <c r="B111" s="1469">
        <f>1/(B109-B110)</f>
        <v>13.4237197127324</v>
      </c>
    </row>
    <row r="112" spans="1:10">
      <c r="A112" s="1457" t="s">
        <v>331</v>
      </c>
      <c r="B112" s="1470">
        <f>'New Format'!G322</f>
        <v>2933.8019997570509</v>
      </c>
    </row>
    <row r="113" spans="1:21">
      <c r="A113" s="1302" t="s">
        <v>6862</v>
      </c>
      <c r="B113" s="1337">
        <f>B112/F74</f>
        <v>9.057385688686642</v>
      </c>
    </row>
    <row r="114" spans="1:21">
      <c r="A114" s="1452"/>
      <c r="B114" s="1452"/>
    </row>
    <row r="115" spans="1:21">
      <c r="A115" s="1318" t="s">
        <v>331</v>
      </c>
      <c r="B115" s="1319">
        <f>B112</f>
        <v>2933.8019997570509</v>
      </c>
    </row>
    <row r="116" spans="1:21">
      <c r="A116" s="1452" t="s">
        <v>6824</v>
      </c>
      <c r="B116" s="1471">
        <f>-'Puerto Rico'!K132</f>
        <v>-2578.9</v>
      </c>
    </row>
    <row r="117" spans="1:21">
      <c r="A117" s="1302" t="s">
        <v>5071</v>
      </c>
      <c r="B117" s="1303">
        <v>0</v>
      </c>
    </row>
    <row r="118" spans="1:21">
      <c r="A118" s="1457" t="s">
        <v>826</v>
      </c>
      <c r="B118" s="1470">
        <f>SUM(B115:B117)</f>
        <v>354.90199975705082</v>
      </c>
    </row>
    <row r="119" spans="1:21">
      <c r="A119" s="1302" t="s">
        <v>6821</v>
      </c>
      <c r="B119" s="1304">
        <f>B118/(B115+B117)</f>
        <v>0.1209699904037288</v>
      </c>
    </row>
    <row r="120" spans="1:21">
      <c r="A120" s="1452" t="s">
        <v>6822</v>
      </c>
      <c r="B120" s="1471">
        <f>B115+B117</f>
        <v>2933.8019997570509</v>
      </c>
    </row>
    <row r="121" spans="1:21">
      <c r="A121" s="1318" t="s">
        <v>6823</v>
      </c>
      <c r="B121" s="1472">
        <f>B120/-B116</f>
        <v>1.1376175888002833</v>
      </c>
    </row>
    <row r="125" spans="1:21">
      <c r="A125" s="1496" t="s">
        <v>925</v>
      </c>
      <c r="B125" s="1497"/>
      <c r="C125" s="1497"/>
      <c r="D125" s="1497"/>
      <c r="E125" s="1497"/>
      <c r="F125" s="1497"/>
      <c r="G125" s="1497"/>
      <c r="H125" s="1497"/>
      <c r="I125" s="1497"/>
      <c r="J125" s="1497"/>
      <c r="K125" s="1497"/>
      <c r="L125" s="1497"/>
      <c r="M125" s="1497"/>
      <c r="N125" s="1497"/>
      <c r="O125" s="1497"/>
      <c r="P125" s="1497"/>
      <c r="Q125" s="1497"/>
      <c r="R125" s="1497"/>
      <c r="S125" s="1497"/>
    </row>
    <row r="126" spans="1:21" ht="15.75" thickBot="1">
      <c r="A126" s="1498" t="s">
        <v>44</v>
      </c>
      <c r="B126" s="1499" t="s">
        <v>4755</v>
      </c>
      <c r="C126" s="1499" t="s">
        <v>4922</v>
      </c>
      <c r="D126" s="1499" t="s">
        <v>5188</v>
      </c>
      <c r="E126" s="1499" t="s">
        <v>5371</v>
      </c>
      <c r="F126" s="1499" t="s">
        <v>5556</v>
      </c>
      <c r="G126" s="1499" t="s">
        <v>5696</v>
      </c>
      <c r="H126" s="1499" t="s">
        <v>5878</v>
      </c>
      <c r="I126" s="1499" t="s">
        <v>5920</v>
      </c>
      <c r="J126" s="1499" t="s">
        <v>5949</v>
      </c>
      <c r="K126" s="1499" t="s">
        <v>5950</v>
      </c>
      <c r="L126" s="1499" t="s">
        <v>5951</v>
      </c>
      <c r="M126" s="1499" t="s">
        <v>5952</v>
      </c>
      <c r="N126" s="1499" t="s">
        <v>6525</v>
      </c>
      <c r="O126" s="1499" t="s">
        <v>6526</v>
      </c>
      <c r="P126" s="1499" t="s">
        <v>6527</v>
      </c>
      <c r="Q126" s="1499" t="s">
        <v>6528</v>
      </c>
      <c r="R126" s="1499" t="s">
        <v>7121</v>
      </c>
      <c r="S126" s="1499" t="s">
        <v>7451</v>
      </c>
    </row>
    <row r="127" spans="1:21">
      <c r="A127" s="1203" t="s">
        <v>15</v>
      </c>
      <c r="B127" s="1502">
        <v>104.6</v>
      </c>
      <c r="C127" s="1502">
        <v>109.1</v>
      </c>
      <c r="D127" s="1503">
        <f>'New quarts'!AE57</f>
        <v>352.1</v>
      </c>
      <c r="E127" s="1503">
        <f>'New quarts'!AF57</f>
        <v>296</v>
      </c>
      <c r="F127" s="1306">
        <f>'New quarts'!AH57</f>
        <v>361.3</v>
      </c>
      <c r="G127" s="1306">
        <f>'New quarts'!AI57</f>
        <v>360.40000000000003</v>
      </c>
      <c r="H127" s="1306">
        <f>'New quarts'!AJ57</f>
        <v>357.29999999999995</v>
      </c>
      <c r="I127" s="1306">
        <f>'New quarts'!AK57</f>
        <v>376</v>
      </c>
      <c r="J127" s="1306">
        <f>'New quarts'!AM57</f>
        <v>369.40000000000003</v>
      </c>
      <c r="K127" s="1306">
        <f>'New quarts'!AN57</f>
        <v>364.1</v>
      </c>
      <c r="L127" s="1306">
        <f>'New quarts'!AO57</f>
        <v>366.9</v>
      </c>
      <c r="M127" s="1306">
        <f>'New quarts'!AP57</f>
        <v>369.69999999999993</v>
      </c>
      <c r="N127" s="1306">
        <f>'New quarts'!AR57</f>
        <v>365.8</v>
      </c>
      <c r="O127" s="1306">
        <f>'New quarts'!AS57</f>
        <v>352</v>
      </c>
      <c r="P127" s="1306">
        <f>'New quarts'!AT57</f>
        <v>351.2</v>
      </c>
      <c r="Q127" s="1306">
        <f>'New quarts'!AU57</f>
        <v>353.5</v>
      </c>
      <c r="R127" s="1306">
        <f>'New quarts'!AW57</f>
        <v>326.90000000000003</v>
      </c>
      <c r="S127" s="1306">
        <f>'New quarts'!AX57</f>
        <v>308.60000000000002</v>
      </c>
      <c r="T127" s="1306"/>
      <c r="U127" s="1306"/>
    </row>
    <row r="128" spans="1:21">
      <c r="A128" s="1203" t="s">
        <v>8</v>
      </c>
      <c r="B128" s="1503">
        <f>'New quarts'!AC242</f>
        <v>50.5</v>
      </c>
      <c r="C128" s="1503">
        <f>'New quarts'!AD242</f>
        <v>52.4</v>
      </c>
      <c r="D128" s="1503">
        <f>'New quarts'!AE242</f>
        <v>58.1</v>
      </c>
      <c r="E128" s="1503">
        <f>'New quarts'!AF242</f>
        <v>115.9</v>
      </c>
      <c r="F128" s="1306">
        <f>'New quarts'!AH242</f>
        <v>149.9</v>
      </c>
      <c r="G128" s="1306">
        <f>'New quarts'!AI242</f>
        <v>161.4</v>
      </c>
      <c r="H128" s="1306">
        <f>'New quarts'!AJ242</f>
        <v>139.30000000000001</v>
      </c>
      <c r="I128" s="1306">
        <f>'New quarts'!AK242</f>
        <v>135.30000000000001</v>
      </c>
      <c r="J128" s="1306">
        <f>'New quarts'!AM242</f>
        <v>144.30000000000001</v>
      </c>
      <c r="K128" s="1306">
        <f>'New quarts'!AN242</f>
        <v>148.80000000000001</v>
      </c>
      <c r="L128" s="1306">
        <f>'New quarts'!AO242</f>
        <v>131.5</v>
      </c>
      <c r="M128" s="1306">
        <f>'New quarts'!AP242</f>
        <v>120.2</v>
      </c>
      <c r="N128" s="1306">
        <f>'New quarts'!AR242</f>
        <v>134.4</v>
      </c>
      <c r="O128" s="1306">
        <f>'New quarts'!AS242</f>
        <v>141.30000000000001</v>
      </c>
      <c r="P128" s="1306">
        <f>'New quarts'!AT242</f>
        <v>116.4</v>
      </c>
      <c r="Q128" s="1306">
        <f>'New quarts'!AU242</f>
        <v>103.9</v>
      </c>
      <c r="R128" s="1306">
        <f>'New quarts'!AW242</f>
        <v>69.099999999999994</v>
      </c>
      <c r="S128" s="1306">
        <f>'New quarts'!AX242</f>
        <v>71.099999999999994</v>
      </c>
    </row>
    <row r="129" spans="1:19">
      <c r="A129" s="1203" t="s">
        <v>19</v>
      </c>
      <c r="B129" s="1502">
        <v>13.3</v>
      </c>
      <c r="C129" s="1502">
        <f>32.9-B129</f>
        <v>19.599999999999998</v>
      </c>
      <c r="D129" s="1502">
        <f>52.3-B129-C129</f>
        <v>19.400000000000002</v>
      </c>
      <c r="E129" s="1502">
        <f>97.3-B129-C129-D129</f>
        <v>45</v>
      </c>
      <c r="F129" s="1500">
        <v>33.700000000000003</v>
      </c>
      <c r="G129" s="1500">
        <f>84.9-F129</f>
        <v>51.2</v>
      </c>
      <c r="H129" s="1500">
        <f>139.1-F129-G129</f>
        <v>54.199999999999989</v>
      </c>
      <c r="I129" s="1500">
        <f>219.2-F129-G129-H129</f>
        <v>80.100000000000023</v>
      </c>
      <c r="J129" s="1500">
        <v>44.5</v>
      </c>
      <c r="K129" s="1500">
        <f>91-J129</f>
        <v>46.5</v>
      </c>
      <c r="L129" s="1500">
        <f>154.8-J129-K129</f>
        <v>63.800000000000011</v>
      </c>
      <c r="M129" s="1500">
        <f>235.5-J129-K129-L129</f>
        <v>80.699999999999989</v>
      </c>
      <c r="N129" s="1500">
        <v>47.7</v>
      </c>
      <c r="O129" s="1500">
        <f>101.7-N129</f>
        <v>54</v>
      </c>
      <c r="P129" s="1500">
        <f>158.4-N129-O129</f>
        <v>56.7</v>
      </c>
      <c r="Q129" s="1500">
        <f>219-N129-O129-P129</f>
        <v>60.600000000000009</v>
      </c>
      <c r="R129" s="1500">
        <v>41</v>
      </c>
      <c r="S129" s="1500">
        <v>48.9</v>
      </c>
    </row>
    <row r="130" spans="1:19">
      <c r="A130" s="1203" t="s">
        <v>27</v>
      </c>
      <c r="B130" s="1503">
        <f>B128-B129</f>
        <v>37.200000000000003</v>
      </c>
      <c r="C130" s="1503">
        <f t="shared" ref="C130:O130" si="29">C128-C129</f>
        <v>32.799999999999997</v>
      </c>
      <c r="D130" s="1503">
        <f t="shared" si="29"/>
        <v>38.700000000000003</v>
      </c>
      <c r="E130" s="1503">
        <f t="shared" si="29"/>
        <v>70.900000000000006</v>
      </c>
      <c r="F130" s="1306">
        <f t="shared" si="29"/>
        <v>116.2</v>
      </c>
      <c r="G130" s="1306">
        <f t="shared" si="29"/>
        <v>110.2</v>
      </c>
      <c r="H130" s="1306">
        <f t="shared" si="29"/>
        <v>85.100000000000023</v>
      </c>
      <c r="I130" s="1306">
        <f t="shared" si="29"/>
        <v>55.199999999999989</v>
      </c>
      <c r="J130" s="1306">
        <f t="shared" si="29"/>
        <v>99.800000000000011</v>
      </c>
      <c r="K130" s="1306">
        <f t="shared" si="29"/>
        <v>102.30000000000001</v>
      </c>
      <c r="L130" s="1306">
        <f t="shared" si="29"/>
        <v>67.699999999999989</v>
      </c>
      <c r="M130" s="1306">
        <f t="shared" si="29"/>
        <v>39.500000000000014</v>
      </c>
      <c r="N130" s="1306">
        <f t="shared" si="29"/>
        <v>86.7</v>
      </c>
      <c r="O130" s="1306">
        <f t="shared" si="29"/>
        <v>87.300000000000011</v>
      </c>
      <c r="P130" s="1306">
        <f t="shared" ref="P130:Q130" si="30">P128-P129</f>
        <v>59.7</v>
      </c>
      <c r="Q130" s="1306">
        <f t="shared" si="30"/>
        <v>43.3</v>
      </c>
      <c r="R130" s="1306">
        <f>R128-R129</f>
        <v>28.099999999999994</v>
      </c>
      <c r="S130" s="1306">
        <f>S128-S129</f>
        <v>22.199999999999996</v>
      </c>
    </row>
    <row r="131" spans="1:19">
      <c r="A131" s="1203" t="s">
        <v>679</v>
      </c>
      <c r="B131" s="1502">
        <v>-17.3</v>
      </c>
      <c r="C131" s="1502">
        <f>-62.8-B131</f>
        <v>-45.5</v>
      </c>
      <c r="D131" s="1502">
        <f>-83.3-B131-C131</f>
        <v>-20.5</v>
      </c>
      <c r="E131" s="1502">
        <f>-140-B131-C131-D131</f>
        <v>-56.7</v>
      </c>
      <c r="F131" s="1500">
        <v>-15</v>
      </c>
      <c r="G131" s="1500">
        <f>-62.9-F131</f>
        <v>-47.9</v>
      </c>
      <c r="H131" s="1500">
        <f>-80.5-F131-G131</f>
        <v>-17.600000000000001</v>
      </c>
      <c r="I131" s="1500">
        <f>-130.5-F131-G131-H131</f>
        <v>-49.999999999999993</v>
      </c>
      <c r="J131" s="1500">
        <v>-27.6</v>
      </c>
      <c r="K131" s="1500">
        <f>-73.9-J131</f>
        <v>-46.300000000000004</v>
      </c>
      <c r="L131" s="1500">
        <f>-104.3-J131-K131</f>
        <v>-30.399999999999984</v>
      </c>
      <c r="M131" s="1500">
        <f>-155.2-J131-K131-L131</f>
        <v>-50.9</v>
      </c>
      <c r="N131" s="1500">
        <v>-34</v>
      </c>
      <c r="O131" s="1500">
        <f>-87.4-N131</f>
        <v>-53.400000000000006</v>
      </c>
      <c r="P131" s="1500">
        <f>-123-N131-O131</f>
        <v>-35.599999999999994</v>
      </c>
      <c r="Q131" s="1500">
        <f>-173.6-N131-O131-P131</f>
        <v>-50.599999999999994</v>
      </c>
      <c r="R131" s="1500">
        <v>-42.5</v>
      </c>
      <c r="S131" s="1500">
        <f>-97.7-R131</f>
        <v>-55.2</v>
      </c>
    </row>
    <row r="132" spans="1:19">
      <c r="A132" s="1203" t="s">
        <v>205</v>
      </c>
      <c r="B132" s="1502">
        <v>0</v>
      </c>
      <c r="C132" s="1502">
        <f>0-B132</f>
        <v>0</v>
      </c>
      <c r="D132" s="1502">
        <f>-1.6-B132-C132</f>
        <v>-1.6</v>
      </c>
      <c r="E132" s="1502">
        <f>-7-B132-C132-D132</f>
        <v>-5.4</v>
      </c>
      <c r="F132" s="1500">
        <v>0</v>
      </c>
      <c r="G132" s="1500">
        <f>-10.9-F132</f>
        <v>-10.9</v>
      </c>
      <c r="H132" s="1500">
        <f>-15.6-F132-G132</f>
        <v>-4.6999999999999993</v>
      </c>
      <c r="I132" s="1500">
        <f>-21.3-F132-G132-H132</f>
        <v>-5.7000000000000011</v>
      </c>
      <c r="J132" s="1500">
        <v>0</v>
      </c>
      <c r="K132" s="1500">
        <f>-10.9-J132</f>
        <v>-10.9</v>
      </c>
      <c r="L132" s="1500">
        <f>-16.4-J132-K132</f>
        <v>-5.4999999999999982</v>
      </c>
      <c r="M132" s="1500">
        <f>-17.3-J132-K132-L132</f>
        <v>-0.90000000000000213</v>
      </c>
      <c r="N132" s="1500">
        <v>-4.5999999999999996</v>
      </c>
      <c r="O132" s="1500">
        <f>-9.3-N132</f>
        <v>-4.7000000000000011</v>
      </c>
      <c r="P132" s="1500">
        <f>-9.3-N132-O132</f>
        <v>0</v>
      </c>
      <c r="Q132" s="1500">
        <f>-9.9-N132-O132-P132</f>
        <v>-0.59999999999999964</v>
      </c>
      <c r="R132" s="1500">
        <v>-8.5</v>
      </c>
      <c r="S132" s="1500">
        <f>-11.7-R132</f>
        <v>-3.1999999999999993</v>
      </c>
    </row>
    <row r="133" spans="1:19">
      <c r="A133" s="1203" t="s">
        <v>6829</v>
      </c>
      <c r="B133" s="1502">
        <v>25.1</v>
      </c>
      <c r="C133" s="1502">
        <v>30.5</v>
      </c>
      <c r="D133" s="1502">
        <v>37.5</v>
      </c>
      <c r="E133" s="1502">
        <f>-174.7+135.5-B133-C133-D133</f>
        <v>-132.29999999999998</v>
      </c>
      <c r="F133" s="1500">
        <v>15.3</v>
      </c>
      <c r="G133" s="1500">
        <f>-54.2-F133</f>
        <v>-69.5</v>
      </c>
      <c r="H133" s="1500">
        <f>-29.1-F133-G133</f>
        <v>25.099999999999994</v>
      </c>
      <c r="I133" s="1500">
        <f>-55.3+37.4-F133-G133-H133</f>
        <v>11.200000000000003</v>
      </c>
      <c r="J133" s="1500">
        <v>-51.6</v>
      </c>
      <c r="K133" s="1500">
        <f>-79-J133</f>
        <v>-27.4</v>
      </c>
      <c r="L133" s="1500">
        <f>-59.7-J133-K133</f>
        <v>19.299999999999997</v>
      </c>
      <c r="M133" s="1500">
        <f>-78.8+56.7-J133-K133-L133</f>
        <v>37.600000000000009</v>
      </c>
      <c r="N133" s="1500">
        <v>-18.3</v>
      </c>
      <c r="O133" s="1500">
        <f>-77-N133</f>
        <v>-58.7</v>
      </c>
      <c r="P133" s="1500">
        <f>-60.6-N133-O133</f>
        <v>16.400000000000006</v>
      </c>
      <c r="Q133" s="1500">
        <f>-14.9-20.1-N133-O133-P133</f>
        <v>25.599999999999994</v>
      </c>
      <c r="R133" s="1500">
        <v>-10.199999999999999</v>
      </c>
      <c r="S133" s="1500">
        <f>-4.1-R133</f>
        <v>6.1</v>
      </c>
    </row>
    <row r="134" spans="1:19">
      <c r="A134" s="1203" t="s">
        <v>653</v>
      </c>
      <c r="B134" s="1503">
        <f>SUM(B130:B133)</f>
        <v>45</v>
      </c>
      <c r="C134" s="1503">
        <f t="shared" ref="C134:O134" si="31">SUM(C130:C133)</f>
        <v>17.799999999999997</v>
      </c>
      <c r="D134" s="1503">
        <f t="shared" si="31"/>
        <v>54.1</v>
      </c>
      <c r="E134" s="1503">
        <f t="shared" si="31"/>
        <v>-123.49999999999999</v>
      </c>
      <c r="F134" s="1306">
        <f t="shared" si="31"/>
        <v>116.5</v>
      </c>
      <c r="G134" s="1306">
        <f t="shared" si="31"/>
        <v>-18.099999999999994</v>
      </c>
      <c r="H134" s="1306">
        <f t="shared" si="31"/>
        <v>87.90000000000002</v>
      </c>
      <c r="I134" s="1306">
        <f t="shared" si="31"/>
        <v>10.699999999999998</v>
      </c>
      <c r="J134" s="1306">
        <f t="shared" si="31"/>
        <v>20.600000000000016</v>
      </c>
      <c r="K134" s="1306">
        <f t="shared" si="31"/>
        <v>17.70000000000001</v>
      </c>
      <c r="L134" s="1306">
        <f t="shared" si="31"/>
        <v>51.1</v>
      </c>
      <c r="M134" s="1306">
        <f t="shared" si="31"/>
        <v>25.300000000000022</v>
      </c>
      <c r="N134" s="1306">
        <f t="shared" si="31"/>
        <v>29.8</v>
      </c>
      <c r="O134" s="1306">
        <f t="shared" si="31"/>
        <v>-29.5</v>
      </c>
      <c r="P134" s="1306">
        <f t="shared" ref="P134:Q134" si="32">SUM(P130:P133)</f>
        <v>40.500000000000014</v>
      </c>
      <c r="Q134" s="1306">
        <f t="shared" si="32"/>
        <v>17.699999999999996</v>
      </c>
      <c r="R134" s="1306">
        <f>SUM(R130:R133)</f>
        <v>-33.100000000000009</v>
      </c>
      <c r="S134" s="1306">
        <f>SUM(S130:S133)</f>
        <v>-30.1</v>
      </c>
    </row>
    <row r="135" spans="1:19">
      <c r="A135" s="1203" t="s">
        <v>115</v>
      </c>
      <c r="B135" s="1503">
        <f t="shared" ref="B135:N135" si="33">B141+B142-B140</f>
        <v>2185.6999999999998</v>
      </c>
      <c r="C135" s="1503">
        <f t="shared" si="33"/>
        <v>2280.1999999999998</v>
      </c>
      <c r="D135" s="1503">
        <f t="shared" si="33"/>
        <v>2312.2000000000003</v>
      </c>
      <c r="E135" s="1503">
        <f t="shared" si="33"/>
        <v>2213.6</v>
      </c>
      <c r="F135" s="1306">
        <f t="shared" si="33"/>
        <v>2482.1</v>
      </c>
      <c r="G135" s="1306">
        <f t="shared" si="33"/>
        <v>2496.1999999999998</v>
      </c>
      <c r="H135" s="1306">
        <f t="shared" si="33"/>
        <v>2444.6999999999998</v>
      </c>
      <c r="I135" s="1306">
        <f t="shared" si="33"/>
        <v>2441.6999999999998</v>
      </c>
      <c r="J135" s="1306">
        <f t="shared" si="33"/>
        <v>2496.1999999999998</v>
      </c>
      <c r="K135" s="1306">
        <f t="shared" si="33"/>
        <v>2484.9</v>
      </c>
      <c r="L135" s="1306">
        <f t="shared" si="33"/>
        <v>2485.0000000000005</v>
      </c>
      <c r="M135" s="1306">
        <f t="shared" si="33"/>
        <v>2549.6</v>
      </c>
      <c r="N135" s="1306">
        <f t="shared" si="33"/>
        <v>2578.1</v>
      </c>
      <c r="O135" s="1306">
        <f>O141+O142-O140</f>
        <v>2626.8</v>
      </c>
      <c r="P135" s="1306">
        <f>P141+P142-P140</f>
        <v>2612.5</v>
      </c>
      <c r="Q135" s="1306">
        <f>Q141+Q142-Q140</f>
        <v>2596.9</v>
      </c>
      <c r="R135" s="1306">
        <f>R141+R142-R140</f>
        <v>2648.9999999999995</v>
      </c>
      <c r="S135" s="1306">
        <v>2661.8</v>
      </c>
    </row>
    <row r="136" spans="1:19">
      <c r="A136" s="1203" t="s">
        <v>116</v>
      </c>
      <c r="B136" s="1503"/>
      <c r="C136" s="1503">
        <f t="shared" ref="C136" si="34">C135-B135</f>
        <v>94.5</v>
      </c>
      <c r="D136" s="1503">
        <f t="shared" ref="D136" si="35">D135-C135</f>
        <v>32.000000000000455</v>
      </c>
      <c r="E136" s="1503">
        <f t="shared" ref="E136" si="36">E135-D135</f>
        <v>-98.600000000000364</v>
      </c>
      <c r="F136" s="1306">
        <f t="shared" ref="F136" si="37">F135-E135</f>
        <v>268.5</v>
      </c>
      <c r="G136" s="1306">
        <f t="shared" ref="G136" si="38">G135-F135</f>
        <v>14.099999999999909</v>
      </c>
      <c r="H136" s="1306">
        <f t="shared" ref="H136" si="39">H135-G135</f>
        <v>-51.5</v>
      </c>
      <c r="I136" s="1306">
        <f t="shared" ref="I136" si="40">I135-H135</f>
        <v>-3</v>
      </c>
      <c r="J136" s="1306">
        <f t="shared" ref="J136" si="41">J135-I135</f>
        <v>54.5</v>
      </c>
      <c r="K136" s="1306">
        <f t="shared" ref="K136" si="42">K135-J135</f>
        <v>-11.299999999999727</v>
      </c>
      <c r="L136" s="1306">
        <f t="shared" ref="L136" si="43">L135-K135</f>
        <v>0.1000000000003638</v>
      </c>
      <c r="M136" s="1306">
        <f t="shared" ref="M136" si="44">M135-L135</f>
        <v>64.599999999999454</v>
      </c>
      <c r="N136" s="1306">
        <f t="shared" ref="N136" si="45">N135-M135</f>
        <v>28.5</v>
      </c>
      <c r="O136" s="1306">
        <f>O135-N135</f>
        <v>48.700000000000273</v>
      </c>
      <c r="P136" s="1306">
        <f>P135-O135</f>
        <v>-14.300000000000182</v>
      </c>
      <c r="Q136" s="1306">
        <f>Q135-P135</f>
        <v>-15.599999999999909</v>
      </c>
      <c r="R136" s="1306">
        <f t="shared" ref="R136:S136" si="46">R135-Q135</f>
        <v>52.099999999999454</v>
      </c>
      <c r="S136" s="1306">
        <f t="shared" si="46"/>
        <v>12.800000000000637</v>
      </c>
    </row>
    <row r="137" spans="1:19">
      <c r="A137" s="1203"/>
      <c r="B137" s="1504"/>
      <c r="C137" s="1504"/>
      <c r="D137" s="1504"/>
      <c r="E137" s="1504"/>
      <c r="F137" s="1203"/>
      <c r="G137" s="1203"/>
      <c r="H137" s="1203"/>
      <c r="I137" s="1203"/>
      <c r="J137" s="1203"/>
      <c r="K137" s="1203"/>
      <c r="L137" s="1203"/>
      <c r="M137" s="1203"/>
      <c r="N137" s="1203"/>
      <c r="O137" s="1203"/>
      <c r="P137" s="1203"/>
      <c r="Q137" s="1203"/>
      <c r="R137" s="1203"/>
      <c r="S137" s="1203"/>
    </row>
    <row r="138" spans="1:19">
      <c r="A138" s="1203"/>
      <c r="B138" s="1504"/>
      <c r="C138" s="1504"/>
      <c r="D138" s="1504"/>
      <c r="E138" s="1504"/>
      <c r="F138" s="1203"/>
      <c r="G138" s="1203"/>
      <c r="H138" s="1203"/>
      <c r="I138" s="1203"/>
      <c r="J138" s="1203"/>
      <c r="K138" s="1203"/>
      <c r="L138" s="1203"/>
      <c r="M138" s="1203"/>
      <c r="N138" s="1203"/>
      <c r="O138" s="1203"/>
      <c r="P138" s="1203"/>
      <c r="Q138" s="1203"/>
      <c r="R138" s="1203"/>
      <c r="S138" s="1203"/>
    </row>
    <row r="139" spans="1:19">
      <c r="A139" s="1203"/>
      <c r="B139" s="1504"/>
      <c r="C139" s="1504"/>
      <c r="D139" s="1504"/>
      <c r="E139" s="1504"/>
      <c r="F139" s="1203"/>
      <c r="G139" s="1203"/>
      <c r="H139" s="1203"/>
      <c r="I139" s="1203"/>
      <c r="J139" s="1203"/>
      <c r="K139" s="1203"/>
      <c r="L139" s="1203"/>
      <c r="M139" s="1203"/>
      <c r="N139" s="1203"/>
      <c r="O139" s="1203"/>
      <c r="P139" s="1203"/>
      <c r="Q139" s="1203"/>
      <c r="R139" s="1203"/>
      <c r="S139" s="1203"/>
    </row>
    <row r="140" spans="1:19">
      <c r="A140" s="1203" t="s">
        <v>707</v>
      </c>
      <c r="B140" s="1502">
        <v>119.4</v>
      </c>
      <c r="C140" s="1502">
        <v>102.1</v>
      </c>
      <c r="D140" s="1502">
        <v>32.200000000000003</v>
      </c>
      <c r="E140" s="1502">
        <v>79.400000000000006</v>
      </c>
      <c r="F140" s="1500">
        <v>128.1</v>
      </c>
      <c r="G140" s="1500">
        <v>112.8</v>
      </c>
      <c r="H140" s="1500">
        <v>163.30000000000001</v>
      </c>
      <c r="I140" s="1500">
        <v>157.69999999999999</v>
      </c>
      <c r="J140" s="1500">
        <v>103.6</v>
      </c>
      <c r="K140" s="1500">
        <v>117.7</v>
      </c>
      <c r="L140" s="1500">
        <v>118.2</v>
      </c>
      <c r="M140" s="1500">
        <v>72.3</v>
      </c>
      <c r="N140" s="1500">
        <v>61</v>
      </c>
      <c r="O140" s="1500">
        <v>13.5</v>
      </c>
      <c r="P140" s="1500">
        <v>44.2</v>
      </c>
      <c r="Q140" s="1500">
        <v>119.9</v>
      </c>
      <c r="R140" s="1500">
        <v>51.9</v>
      </c>
      <c r="S140" s="1500">
        <v>18.8</v>
      </c>
    </row>
    <row r="141" spans="1:19">
      <c r="A141" t="s">
        <v>2042</v>
      </c>
      <c r="B141" s="1502">
        <f>22.3+37.9+8.3</f>
        <v>68.5</v>
      </c>
      <c r="C141" s="1502">
        <f>24+21+8.1</f>
        <v>53.1</v>
      </c>
      <c r="D141" s="1502">
        <f>22.7+43.1+10.6</f>
        <v>76.399999999999991</v>
      </c>
      <c r="E141" s="1502">
        <f>31.6+0.1</f>
        <v>31.700000000000003</v>
      </c>
      <c r="F141" s="1500">
        <f>29.3+0.2</f>
        <v>29.5</v>
      </c>
      <c r="G141" s="1500">
        <f>27.4+0.2</f>
        <v>27.599999999999998</v>
      </c>
      <c r="H141" s="1500">
        <f>25.5+0.2</f>
        <v>25.7</v>
      </c>
      <c r="I141" s="1500">
        <f>26.7+0.5</f>
        <v>27.2</v>
      </c>
      <c r="J141" s="1500">
        <f>25.1+0.5</f>
        <v>25.6</v>
      </c>
      <c r="K141" s="1500">
        <f>26.3+0.3</f>
        <v>26.6</v>
      </c>
      <c r="L141" s="1500">
        <f>25.7+0.2</f>
        <v>25.9</v>
      </c>
      <c r="M141" s="1500">
        <f>27.1+17.4</f>
        <v>44.5</v>
      </c>
      <c r="N141" s="1500">
        <f>26.6+33.1</f>
        <v>59.7</v>
      </c>
      <c r="O141" s="1500">
        <f>26.4+33.1</f>
        <v>59.5</v>
      </c>
      <c r="P141" s="1500">
        <f>32.1+42.1</f>
        <v>74.2</v>
      </c>
      <c r="Q141" s="1500">
        <f>31.9+58.9</f>
        <v>90.8</v>
      </c>
      <c r="R141" s="1500">
        <f>33.3+42.4</f>
        <v>75.699999999999989</v>
      </c>
      <c r="S141" s="1500">
        <v>67.5</v>
      </c>
    </row>
    <row r="142" spans="1:19">
      <c r="A142" t="s">
        <v>2043</v>
      </c>
      <c r="B142" s="1502">
        <v>2236.6</v>
      </c>
      <c r="C142" s="1502">
        <v>2329.1999999999998</v>
      </c>
      <c r="D142" s="1502">
        <v>2268</v>
      </c>
      <c r="E142" s="1502">
        <v>2261.3000000000002</v>
      </c>
      <c r="F142" s="1500">
        <v>2580.6999999999998</v>
      </c>
      <c r="G142" s="1500">
        <v>2581.4</v>
      </c>
      <c r="H142" s="1500">
        <v>2582.3000000000002</v>
      </c>
      <c r="I142" s="1500">
        <v>2572.1999999999998</v>
      </c>
      <c r="J142" s="1500">
        <v>2574.1999999999998</v>
      </c>
      <c r="K142" s="1500">
        <v>2576</v>
      </c>
      <c r="L142" s="1500">
        <v>2577.3000000000002</v>
      </c>
      <c r="M142" s="1500">
        <v>2577.4</v>
      </c>
      <c r="N142" s="1500">
        <v>2579.4</v>
      </c>
      <c r="O142" s="1500">
        <f>2580.8</f>
        <v>2580.8000000000002</v>
      </c>
      <c r="P142" s="1500">
        <v>2582.5</v>
      </c>
      <c r="Q142" s="1500">
        <v>2626</v>
      </c>
      <c r="R142" s="1500">
        <v>2625.2</v>
      </c>
      <c r="S142" s="1500">
        <v>2626.1</v>
      </c>
    </row>
    <row r="144" spans="1:19">
      <c r="A144" s="1203" t="s">
        <v>6924</v>
      </c>
      <c r="B144" s="1502">
        <v>13.3</v>
      </c>
      <c r="C144" s="1502">
        <f>32.9-B144</f>
        <v>19.599999999999998</v>
      </c>
      <c r="D144" s="1502">
        <f>52.3-B144-C144</f>
        <v>19.400000000000002</v>
      </c>
      <c r="E144" s="1502">
        <f>97.3-B144-C144-D144</f>
        <v>45</v>
      </c>
      <c r="F144" s="1500">
        <v>33.700000000000003</v>
      </c>
      <c r="G144" s="1500">
        <f>84.9-F144</f>
        <v>51.2</v>
      </c>
      <c r="H144" s="1500">
        <f>139.1-F144-G144</f>
        <v>54.199999999999989</v>
      </c>
      <c r="I144" s="1500">
        <f>219.2-F144-G144-H144</f>
        <v>80.100000000000023</v>
      </c>
      <c r="J144" s="1500">
        <v>44.5</v>
      </c>
      <c r="K144" s="1500">
        <f>91-J144</f>
        <v>46.5</v>
      </c>
      <c r="L144" s="1500">
        <f>154.8-J144-K144</f>
        <v>63.800000000000011</v>
      </c>
      <c r="M144" s="1500">
        <f>235.5-J144-K144-L144</f>
        <v>80.699999999999989</v>
      </c>
      <c r="N144" s="1500">
        <v>47.7</v>
      </c>
      <c r="O144" s="1500">
        <f>101.7-N144</f>
        <v>54</v>
      </c>
      <c r="P144" s="1500">
        <f>158.4-N144-O144</f>
        <v>56.7</v>
      </c>
      <c r="Q144" s="1500">
        <f>219-N144-O144-P144</f>
        <v>60.600000000000009</v>
      </c>
      <c r="R144" s="1500">
        <v>41</v>
      </c>
      <c r="S144" s="1500">
        <f>S129</f>
        <v>48.9</v>
      </c>
    </row>
    <row r="145" spans="1:19">
      <c r="A145" t="s">
        <v>2722</v>
      </c>
      <c r="N145" s="1500">
        <v>36.9</v>
      </c>
      <c r="Q145" s="1500">
        <f>202.3-N145-O145-P145</f>
        <v>165.4</v>
      </c>
      <c r="R145" s="1500">
        <v>34.200000000000003</v>
      </c>
      <c r="S145" s="1500">
        <f>82.6-R145</f>
        <v>48.399999999999991</v>
      </c>
    </row>
    <row r="146" spans="1:19">
      <c r="A146" s="1203"/>
      <c r="B146" s="1203"/>
      <c r="C146" s="1203"/>
      <c r="D146" s="1203"/>
      <c r="E146" s="1203"/>
      <c r="F146" s="1203"/>
      <c r="G146" s="1203"/>
      <c r="H146" s="1203"/>
      <c r="I146" s="1203"/>
      <c r="J146" s="1203"/>
      <c r="K146" s="1203"/>
      <c r="L146" s="1203"/>
      <c r="M146" s="1203"/>
      <c r="N146" s="1203"/>
      <c r="O146" s="1203"/>
      <c r="P146" s="1203"/>
      <c r="Q146" s="1203"/>
      <c r="R146" s="1203"/>
      <c r="S146" s="1203"/>
    </row>
    <row r="147" spans="1:19">
      <c r="A147" s="1203"/>
      <c r="B147" s="1203"/>
      <c r="C147" s="1203"/>
      <c r="D147" s="1203"/>
      <c r="E147" s="1203"/>
      <c r="F147" s="1203"/>
      <c r="G147" s="1203"/>
      <c r="H147" s="1203"/>
      <c r="I147" s="1203"/>
      <c r="J147" s="1203"/>
      <c r="K147" s="1203"/>
      <c r="L147" s="1203"/>
      <c r="M147" s="1203"/>
      <c r="N147" s="1203"/>
      <c r="O147" s="1203"/>
      <c r="P147" s="1203"/>
      <c r="Q147" s="1203"/>
      <c r="R147" s="1203"/>
      <c r="S147" s="1203"/>
    </row>
    <row r="148" spans="1:19" ht="15.75" thickBot="1">
      <c r="A148" s="1498"/>
      <c r="B148" s="1499">
        <v>2023</v>
      </c>
      <c r="C148" s="1499">
        <v>2024</v>
      </c>
      <c r="D148" s="1499">
        <v>2025</v>
      </c>
      <c r="E148" s="1499">
        <v>2026</v>
      </c>
      <c r="F148" s="1499">
        <v>2027</v>
      </c>
      <c r="G148" s="1499">
        <v>2028</v>
      </c>
      <c r="H148" s="1499">
        <v>2029</v>
      </c>
      <c r="I148" s="1499">
        <v>2030</v>
      </c>
      <c r="J148" s="1499">
        <v>2031</v>
      </c>
      <c r="K148" s="1499">
        <v>2032</v>
      </c>
      <c r="L148" s="1499">
        <v>2033</v>
      </c>
      <c r="M148" s="1499">
        <v>2034</v>
      </c>
      <c r="N148" s="1499">
        <v>2035</v>
      </c>
      <c r="O148" s="1499" t="s">
        <v>6920</v>
      </c>
      <c r="P148" s="1203"/>
      <c r="Q148" s="1203"/>
      <c r="R148" s="1203"/>
      <c r="S148" s="1203"/>
    </row>
    <row r="149" spans="1:19">
      <c r="A149" s="1203" t="s">
        <v>6922</v>
      </c>
      <c r="B149" s="1500"/>
      <c r="C149" s="1500">
        <v>26.1</v>
      </c>
      <c r="D149" s="1500">
        <v>15.9</v>
      </c>
      <c r="E149" s="1500">
        <v>0.3</v>
      </c>
      <c r="F149" s="1500">
        <v>1161.4000000000001</v>
      </c>
      <c r="G149" s="1500">
        <v>620.5</v>
      </c>
      <c r="H149" s="1500">
        <v>820.7</v>
      </c>
      <c r="I149" s="1501">
        <v>37.799999999999997</v>
      </c>
      <c r="J149" s="1306"/>
      <c r="K149" s="1306"/>
      <c r="L149" s="1306"/>
      <c r="M149" s="1306"/>
      <c r="N149" s="1306"/>
      <c r="O149" s="1306"/>
      <c r="P149" s="1203"/>
      <c r="Q149" s="1203"/>
      <c r="R149" s="1203"/>
      <c r="S149" s="1306">
        <f>SUM(B149:O149)</f>
        <v>2682.7000000000003</v>
      </c>
    </row>
    <row r="155" spans="1:19">
      <c r="A155" s="1447" t="s">
        <v>29</v>
      </c>
      <c r="B155" s="1448"/>
      <c r="C155" s="1448"/>
      <c r="D155" s="1448"/>
      <c r="E155" s="1448"/>
      <c r="F155" s="1448"/>
      <c r="G155" s="1448"/>
      <c r="H155" s="1448"/>
      <c r="I155" s="1448"/>
      <c r="J155" s="1448"/>
    </row>
    <row r="156" spans="1:19" ht="15.75" thickBot="1">
      <c r="A156" s="1449" t="s">
        <v>833</v>
      </c>
      <c r="B156" s="1450">
        <v>2020</v>
      </c>
      <c r="C156" s="1450">
        <v>2021</v>
      </c>
      <c r="D156" s="1450">
        <v>2022</v>
      </c>
      <c r="E156" s="1450">
        <v>2023</v>
      </c>
      <c r="F156" s="1450">
        <v>2024</v>
      </c>
      <c r="G156" s="1450">
        <v>2025</v>
      </c>
      <c r="H156" s="1450">
        <v>2026</v>
      </c>
      <c r="I156" s="1450">
        <v>2027</v>
      </c>
      <c r="J156" s="1450">
        <v>2028</v>
      </c>
    </row>
    <row r="157" spans="1:19">
      <c r="A157" s="1302" t="s">
        <v>15</v>
      </c>
      <c r="B157" s="1451">
        <f>CWC!D71</f>
        <v>2199.9</v>
      </c>
      <c r="C157" s="1451">
        <f>CWC!E71</f>
        <v>2310.6</v>
      </c>
      <c r="D157" s="1451">
        <f>CWC!F71</f>
        <v>2448.6</v>
      </c>
      <c r="E157" s="1451">
        <f>CWC!G71</f>
        <v>2543.1999999999998</v>
      </c>
      <c r="F157" s="1451">
        <f>CWC!H71</f>
        <v>2598.3056848222486</v>
      </c>
      <c r="G157" s="1451">
        <f>CWC!I71</f>
        <v>2662.5176617897419</v>
      </c>
      <c r="H157" s="1451">
        <f>CWC!J71</f>
        <v>2726.4677723963669</v>
      </c>
      <c r="I157" s="1451">
        <f>CWC!K71</f>
        <v>2790.3074461879064</v>
      </c>
      <c r="J157" s="1451">
        <f>CWC!L71</f>
        <v>2860.7345439224937</v>
      </c>
    </row>
    <row r="158" spans="1:19">
      <c r="A158" s="1452" t="s">
        <v>935</v>
      </c>
      <c r="B158" s="1453"/>
      <c r="C158" s="1453">
        <f>C157/B157-1</f>
        <v>5.0320469112232313E-2</v>
      </c>
      <c r="D158" s="1453">
        <f t="shared" ref="D158:J158" si="47">D157/C157-1</f>
        <v>5.9724746819008079E-2</v>
      </c>
      <c r="E158" s="1453">
        <f t="shared" si="47"/>
        <v>3.8634321653189474E-2</v>
      </c>
      <c r="F158" s="1453">
        <f t="shared" si="47"/>
        <v>2.1667853421771355E-2</v>
      </c>
      <c r="G158" s="1453">
        <f t="shared" si="47"/>
        <v>2.4713018696214784E-2</v>
      </c>
      <c r="H158" s="1453">
        <f t="shared" si="47"/>
        <v>2.401866155645993E-2</v>
      </c>
      <c r="I158" s="1453">
        <f t="shared" si="47"/>
        <v>2.3414791268715041E-2</v>
      </c>
      <c r="J158" s="1453">
        <f t="shared" si="47"/>
        <v>2.5239906029281611E-2</v>
      </c>
    </row>
    <row r="159" spans="1:19">
      <c r="A159" s="1302"/>
      <c r="B159" s="1451"/>
      <c r="C159" s="1451"/>
      <c r="D159" s="1451"/>
      <c r="E159" s="1451"/>
      <c r="F159" s="1451"/>
      <c r="G159" s="1451"/>
      <c r="H159" s="1451"/>
      <c r="I159" s="1451"/>
      <c r="J159" s="1451"/>
    </row>
    <row r="160" spans="1:19">
      <c r="A160" s="1452" t="s">
        <v>8</v>
      </c>
      <c r="B160" s="1454">
        <f>CWC!D72</f>
        <v>886</v>
      </c>
      <c r="C160" s="1454">
        <f>CWC!E72</f>
        <v>947.30000000000007</v>
      </c>
      <c r="D160" s="1454">
        <f>CWC!F72</f>
        <v>1000.3</v>
      </c>
      <c r="E160" s="1454">
        <f>CWC!G72</f>
        <v>1086.2</v>
      </c>
      <c r="F160" s="1454">
        <f>CWC!H72</f>
        <v>1121.9841984141069</v>
      </c>
      <c r="G160" s="1454">
        <f>CWC!I72</f>
        <v>1184.2504847729369</v>
      </c>
      <c r="H160" s="1454">
        <f>CWC!J72</f>
        <v>1222.7859544035505</v>
      </c>
      <c r="I160" s="1454">
        <f>CWC!K72</f>
        <v>1256.3605099882809</v>
      </c>
      <c r="J160" s="1454">
        <f>CWC!L72</f>
        <v>1288.7745116816072</v>
      </c>
    </row>
    <row r="161" spans="1:10">
      <c r="A161" s="1302" t="s">
        <v>935</v>
      </c>
      <c r="B161" s="1455"/>
      <c r="C161" s="1455">
        <f>C160/B160-1</f>
        <v>6.9187358916478647E-2</v>
      </c>
      <c r="D161" s="1455">
        <f t="shared" ref="D161:J161" si="48">D160/C160-1</f>
        <v>5.5948485168373141E-2</v>
      </c>
      <c r="E161" s="1455">
        <f t="shared" si="48"/>
        <v>8.5874237728681413E-2</v>
      </c>
      <c r="F161" s="1455">
        <f t="shared" si="48"/>
        <v>3.2944391837697262E-2</v>
      </c>
      <c r="G161" s="1455">
        <f t="shared" si="48"/>
        <v>5.5496580474878154E-2</v>
      </c>
      <c r="H161" s="1455">
        <f t="shared" si="48"/>
        <v>3.2539965257436299E-2</v>
      </c>
      <c r="I161" s="1455">
        <f t="shared" si="48"/>
        <v>2.7457426595243639E-2</v>
      </c>
      <c r="J161" s="1455">
        <f t="shared" si="48"/>
        <v>2.5799920831345302E-2</v>
      </c>
    </row>
    <row r="162" spans="1:10">
      <c r="A162" s="1452" t="s">
        <v>5894</v>
      </c>
      <c r="B162" s="1453">
        <f>B160/B157</f>
        <v>0.40274557934451566</v>
      </c>
      <c r="C162" s="1453">
        <f t="shared" ref="C162:J162" si="49">C160/C157</f>
        <v>0.40998009175106037</v>
      </c>
      <c r="D162" s="1453">
        <f t="shared" si="49"/>
        <v>0.40851915380217269</v>
      </c>
      <c r="E162" s="1453">
        <f t="shared" si="49"/>
        <v>0.42709971689210446</v>
      </c>
      <c r="F162" s="1453">
        <f t="shared" si="49"/>
        <v>0.4318137796365028</v>
      </c>
      <c r="G162" s="1453">
        <f t="shared" si="49"/>
        <v>0.44478596396498077</v>
      </c>
      <c r="H162" s="1453">
        <f t="shared" si="49"/>
        <v>0.44848722100566424</v>
      </c>
      <c r="I162" s="1453">
        <f t="shared" si="49"/>
        <v>0.45025880990451772</v>
      </c>
      <c r="J162" s="1453">
        <f t="shared" si="49"/>
        <v>0.45050475389950206</v>
      </c>
    </row>
    <row r="163" spans="1:10">
      <c r="A163" s="1302"/>
      <c r="B163" s="1451"/>
      <c r="C163" s="1451"/>
      <c r="D163" s="1451"/>
      <c r="E163" s="1451"/>
      <c r="F163" s="1451"/>
      <c r="G163" s="1451"/>
      <c r="H163" s="1451"/>
      <c r="I163" s="1451"/>
      <c r="J163" s="1451"/>
    </row>
    <row r="164" spans="1:10">
      <c r="A164" s="1452" t="s">
        <v>19</v>
      </c>
      <c r="B164" s="1454">
        <f>CWC!D11</f>
        <v>317.20000000000005</v>
      </c>
      <c r="C164" s="1454">
        <f>CWC!E11</f>
        <v>357.1</v>
      </c>
      <c r="D164" s="1454">
        <f>CWC!F11</f>
        <v>350.08131600000002</v>
      </c>
      <c r="E164" s="1454">
        <f>CWC!G11</f>
        <v>399.6</v>
      </c>
      <c r="F164" s="1454">
        <f>CWC!H11</f>
        <v>400.34709410878224</v>
      </c>
      <c r="G164" s="1454">
        <f>CWC!I11</f>
        <v>400.42058782805361</v>
      </c>
      <c r="H164" s="1454">
        <f>CWC!J11</f>
        <v>410.13220377956895</v>
      </c>
      <c r="I164" s="1454">
        <f>CWC!K11</f>
        <v>419.71444451711108</v>
      </c>
      <c r="J164" s="1454">
        <f>CWC!L11</f>
        <v>430.36467739028387</v>
      </c>
    </row>
    <row r="165" spans="1:10">
      <c r="A165" s="1302" t="s">
        <v>935</v>
      </c>
      <c r="B165" s="1455"/>
      <c r="C165" s="1455">
        <f>C164/B164-1</f>
        <v>0.1257881462799495</v>
      </c>
      <c r="D165" s="1455">
        <f t="shared" ref="D165:J165" si="50">D164/C164-1</f>
        <v>-1.9654673760851282E-2</v>
      </c>
      <c r="E165" s="1455">
        <f t="shared" si="50"/>
        <v>0.1414490912162818</v>
      </c>
      <c r="F165" s="1455">
        <f t="shared" si="50"/>
        <v>1.8696048768322981E-3</v>
      </c>
      <c r="G165" s="1455">
        <f t="shared" si="50"/>
        <v>1.8357500367272017E-4</v>
      </c>
      <c r="H165" s="1455">
        <f t="shared" si="50"/>
        <v>2.4253538021590471E-2</v>
      </c>
      <c r="I165" s="1455">
        <f t="shared" si="50"/>
        <v>2.3363785260550385E-2</v>
      </c>
      <c r="J165" s="1455">
        <f t="shared" si="50"/>
        <v>2.5374949593231388E-2</v>
      </c>
    </row>
    <row r="166" spans="1:10">
      <c r="A166" s="1452" t="s">
        <v>174</v>
      </c>
      <c r="B166" s="1453">
        <f>B164/B157</f>
        <v>0.14418837219873631</v>
      </c>
      <c r="C166" s="1453">
        <f t="shared" ref="C166:J166" si="51">C164/C157</f>
        <v>0.15454860209469404</v>
      </c>
      <c r="D166" s="1453">
        <f t="shared" si="51"/>
        <v>0.14297203136486156</v>
      </c>
      <c r="E166" s="1453">
        <f t="shared" si="51"/>
        <v>0.15712488203837688</v>
      </c>
      <c r="F166" s="1453">
        <f t="shared" si="51"/>
        <v>0.15408005934304461</v>
      </c>
      <c r="G166" s="1453">
        <f t="shared" si="51"/>
        <v>0.15039171141456065</v>
      </c>
      <c r="H166" s="1453">
        <f t="shared" si="51"/>
        <v>0.15042620636556894</v>
      </c>
      <c r="I166" s="1453">
        <f t="shared" si="51"/>
        <v>0.15041870926822823</v>
      </c>
      <c r="J166" s="1453">
        <f t="shared" si="51"/>
        <v>0.15043852226854637</v>
      </c>
    </row>
    <row r="167" spans="1:10">
      <c r="A167" s="1302"/>
      <c r="B167" s="1451"/>
      <c r="C167" s="1451"/>
      <c r="D167" s="1451"/>
      <c r="E167" s="1451"/>
      <c r="F167" s="1451"/>
      <c r="G167" s="1451"/>
      <c r="H167" s="1451"/>
      <c r="I167" s="1451"/>
      <c r="J167" s="1451"/>
    </row>
    <row r="168" spans="1:10">
      <c r="A168" s="1452" t="s">
        <v>27</v>
      </c>
      <c r="B168" s="1454">
        <f>B160-B164</f>
        <v>568.79999999999995</v>
      </c>
      <c r="C168" s="1454">
        <f t="shared" ref="C168:J168" si="52">C160-C164</f>
        <v>590.20000000000005</v>
      </c>
      <c r="D168" s="1454">
        <f t="shared" si="52"/>
        <v>650.21868399999994</v>
      </c>
      <c r="E168" s="1454">
        <f t="shared" si="52"/>
        <v>686.6</v>
      </c>
      <c r="F168" s="1454">
        <f t="shared" si="52"/>
        <v>721.63710430532467</v>
      </c>
      <c r="G168" s="1454">
        <f t="shared" si="52"/>
        <v>783.82989694488333</v>
      </c>
      <c r="H168" s="1454">
        <f t="shared" si="52"/>
        <v>812.65375062398152</v>
      </c>
      <c r="I168" s="1454">
        <f t="shared" si="52"/>
        <v>836.64606547116978</v>
      </c>
      <c r="J168" s="1454">
        <f t="shared" si="52"/>
        <v>858.40983429132336</v>
      </c>
    </row>
    <row r="169" spans="1:10">
      <c r="A169" s="1302" t="s">
        <v>935</v>
      </c>
      <c r="B169" s="1455"/>
      <c r="C169" s="1455">
        <f t="shared" ref="C169" si="53">C168/B168-1</f>
        <v>3.7623066104078839E-2</v>
      </c>
      <c r="D169" s="1455">
        <f>D168/C168-1</f>
        <v>0.10169211114876298</v>
      </c>
      <c r="E169" s="1455">
        <f t="shared" ref="E169:J169" si="54">E168/D168-1</f>
        <v>5.5952430920917839E-2</v>
      </c>
      <c r="F169" s="1455">
        <f t="shared" si="54"/>
        <v>5.1029863538194942E-2</v>
      </c>
      <c r="G169" s="1455">
        <f t="shared" si="54"/>
        <v>8.6182919736960795E-2</v>
      </c>
      <c r="H169" s="1455">
        <f t="shared" si="54"/>
        <v>3.67730980809029E-2</v>
      </c>
      <c r="I169" s="1455">
        <f t="shared" si="54"/>
        <v>2.9523416127429591E-2</v>
      </c>
      <c r="J169" s="1455">
        <f t="shared" si="54"/>
        <v>2.6013113212810079E-2</v>
      </c>
    </row>
    <row r="170" spans="1:10">
      <c r="A170" s="1452" t="s">
        <v>5894</v>
      </c>
      <c r="B170" s="1453">
        <f t="shared" ref="B170:J170" si="55">B168/B157</f>
        <v>0.25855720714577934</v>
      </c>
      <c r="C170" s="1453">
        <f t="shared" si="55"/>
        <v>0.25543148965636636</v>
      </c>
      <c r="D170" s="1453">
        <f t="shared" si="55"/>
        <v>0.2655471224373111</v>
      </c>
      <c r="E170" s="1453">
        <f t="shared" si="55"/>
        <v>0.26997483485372764</v>
      </c>
      <c r="F170" s="1453">
        <f t="shared" si="55"/>
        <v>0.27773372029345816</v>
      </c>
      <c r="G170" s="1453">
        <f t="shared" si="55"/>
        <v>0.29439425255042012</v>
      </c>
      <c r="H170" s="1453">
        <f t="shared" si="55"/>
        <v>0.29806101464009532</v>
      </c>
      <c r="I170" s="1453">
        <f t="shared" si="55"/>
        <v>0.29984010063628946</v>
      </c>
      <c r="J170" s="1453">
        <f t="shared" si="55"/>
        <v>0.30006623163095569</v>
      </c>
    </row>
    <row r="171" spans="1:10">
      <c r="A171" s="1302"/>
      <c r="B171" s="1451"/>
      <c r="C171" s="1451"/>
      <c r="D171" s="1451"/>
      <c r="E171" s="1451"/>
      <c r="F171" s="1451"/>
      <c r="G171" s="1451"/>
      <c r="H171" s="1451"/>
      <c r="I171" s="1451"/>
      <c r="J171" s="1451"/>
    </row>
    <row r="172" spans="1:10">
      <c r="A172" s="1452"/>
      <c r="B172" s="1454"/>
      <c r="C172" s="1454"/>
      <c r="D172" s="1454"/>
      <c r="E172" s="1454"/>
      <c r="F172" s="1454"/>
      <c r="G172" s="1454"/>
      <c r="H172" s="1454"/>
      <c r="I172" s="1454"/>
      <c r="J172" s="1454"/>
    </row>
    <row r="173" spans="1:10">
      <c r="A173" s="1302"/>
      <c r="B173" s="1451"/>
      <c r="C173" s="1451"/>
      <c r="D173" s="1451"/>
      <c r="E173" s="1451"/>
      <c r="F173" s="1451"/>
      <c r="G173" s="1451"/>
      <c r="H173" s="1451"/>
      <c r="I173" s="1451"/>
      <c r="J173" s="1451"/>
    </row>
    <row r="174" spans="1:10">
      <c r="A174" s="1452" t="str">
        <f>CWC!B44</f>
        <v>OpFCF</v>
      </c>
      <c r="B174" s="1454">
        <f>CWC!D44</f>
        <v>568.79999999999995</v>
      </c>
      <c r="C174" s="1454">
        <f>CWC!E44</f>
        <v>590.20000000000005</v>
      </c>
      <c r="D174" s="1454">
        <f>CWC!F44</f>
        <v>650.21868399999994</v>
      </c>
      <c r="E174" s="1454">
        <f>CWC!G44</f>
        <v>686.6</v>
      </c>
      <c r="F174" s="1454">
        <f>CWC!H44</f>
        <v>721.63710430532467</v>
      </c>
      <c r="G174" s="1454">
        <f>CWC!I44</f>
        <v>783.82989694488333</v>
      </c>
      <c r="H174" s="1454">
        <f>CWC!J44</f>
        <v>812.65375062398152</v>
      </c>
      <c r="I174" s="1454">
        <f>CWC!K44</f>
        <v>836.64606547116978</v>
      </c>
      <c r="J174" s="1454">
        <f>CWC!L44</f>
        <v>858.40983429132336</v>
      </c>
    </row>
    <row r="175" spans="1:10">
      <c r="A175" s="1302" t="str">
        <f>CWC!B45</f>
        <v>Interest</v>
      </c>
      <c r="B175" s="1451">
        <f>CWC!D45</f>
        <v>-221.5</v>
      </c>
      <c r="C175" s="1451">
        <f>CWC!E45</f>
        <v>-215.4</v>
      </c>
      <c r="D175" s="1451">
        <f>CWC!F45</f>
        <v>-235.7</v>
      </c>
      <c r="E175" s="1451">
        <f>CWC!G45</f>
        <v>-301.7</v>
      </c>
      <c r="F175" s="1451">
        <f>CWC!H45</f>
        <v>-339.05200000000008</v>
      </c>
      <c r="G175" s="1451">
        <f>CWC!I45</f>
        <v>-339.05200000000008</v>
      </c>
      <c r="H175" s="1451">
        <f>CWC!J45</f>
        <v>-339.05200000000008</v>
      </c>
      <c r="I175" s="1451">
        <f>CWC!K45</f>
        <v>-339.05200000000008</v>
      </c>
      <c r="J175" s="1451">
        <f>CWC!L45</f>
        <v>-339.05200000000013</v>
      </c>
    </row>
    <row r="176" spans="1:10">
      <c r="A176" s="1452" t="str">
        <f>CWC!B46</f>
        <v>Taxes</v>
      </c>
      <c r="B176" s="1454">
        <f>CWC!D46</f>
        <v>-41</v>
      </c>
      <c r="C176" s="1454">
        <f>CWC!E46</f>
        <v>-37.200000000000003</v>
      </c>
      <c r="D176" s="1454">
        <f>CWC!F46</f>
        <v>-59.9</v>
      </c>
      <c r="E176" s="1454">
        <f>CWC!G46</f>
        <v>-52.2</v>
      </c>
      <c r="F176" s="1454">
        <f>CWC!H46</f>
        <v>-65.817765362414278</v>
      </c>
      <c r="G176" s="1454">
        <f>CWC!I46</f>
        <v>-79.225065289722366</v>
      </c>
      <c r="H176" s="1454">
        <f>CWC!J46</f>
        <v>-85.856259731046293</v>
      </c>
      <c r="I176" s="1454">
        <f>CWC!K46</f>
        <v>-91.299973457029608</v>
      </c>
      <c r="J176" s="1454">
        <f>CWC!L46</f>
        <v>-96.102201982750813</v>
      </c>
    </row>
    <row r="177" spans="1:10">
      <c r="A177" s="1302" t="str">
        <f>CWC!B47</f>
        <v>NWC</v>
      </c>
      <c r="B177" s="1451">
        <f>CWC!D47</f>
        <v>-104.19999999999999</v>
      </c>
      <c r="C177" s="1451">
        <f>CWC!E47</f>
        <v>-147.4</v>
      </c>
      <c r="D177" s="1451">
        <f>CWC!F47</f>
        <v>-141.1</v>
      </c>
      <c r="E177" s="1451">
        <f>CWC!G47</f>
        <v>-22</v>
      </c>
      <c r="F177" s="1451">
        <f>CWC!H47</f>
        <v>-129.91528424111243</v>
      </c>
      <c r="G177" s="1451">
        <f>CWC!I47</f>
        <v>-133.1258830894871</v>
      </c>
      <c r="H177" s="1451">
        <f>CWC!J47</f>
        <v>-136.32338861981836</v>
      </c>
      <c r="I177" s="1451">
        <f>CWC!K47</f>
        <v>-139.51537230939533</v>
      </c>
      <c r="J177" s="1451">
        <f>CWC!L47</f>
        <v>-143.0367271961247</v>
      </c>
    </row>
    <row r="178" spans="1:10">
      <c r="A178" s="1452" t="str">
        <f>CWC!B48</f>
        <v>Dividends</v>
      </c>
      <c r="B178" s="1454">
        <f>CWC!D48</f>
        <v>-16</v>
      </c>
      <c r="C178" s="1454">
        <f>CWC!E48</f>
        <v>-46.3</v>
      </c>
      <c r="D178" s="1454">
        <f>CWC!F48</f>
        <v>-136.1</v>
      </c>
      <c r="E178" s="1454">
        <f>CWC!G48</f>
        <v>-302.2</v>
      </c>
      <c r="F178" s="1454">
        <f>CWC!H48</f>
        <v>0</v>
      </c>
      <c r="G178" s="1454">
        <f>CWC!I48</f>
        <v>0</v>
      </c>
      <c r="H178" s="1454">
        <f>CWC!J48</f>
        <v>0</v>
      </c>
      <c r="I178" s="1454">
        <f>CWC!K48</f>
        <v>0</v>
      </c>
      <c r="J178" s="1454">
        <f>CWC!L48</f>
        <v>0</v>
      </c>
    </row>
    <row r="179" spans="1:10">
      <c r="A179" s="1302" t="str">
        <f>CWC!B49</f>
        <v>Acquisitions</v>
      </c>
      <c r="B179" s="1451">
        <f>CWC!D49</f>
        <v>0</v>
      </c>
      <c r="C179" s="1451">
        <f>CWC!E49</f>
        <v>0</v>
      </c>
      <c r="D179" s="1451">
        <f>CWC!F49</f>
        <v>-209.8</v>
      </c>
      <c r="E179" s="1451">
        <f>CWC!G49</f>
        <v>0</v>
      </c>
      <c r="F179" s="1451">
        <f>CWC!H49</f>
        <v>0</v>
      </c>
      <c r="G179" s="1451">
        <f>CWC!I49</f>
        <v>0</v>
      </c>
      <c r="H179" s="1451">
        <f>CWC!J49</f>
        <v>0</v>
      </c>
      <c r="I179" s="1451">
        <f>CWC!K49</f>
        <v>0</v>
      </c>
      <c r="J179" s="1451">
        <f>CWC!L49</f>
        <v>0</v>
      </c>
    </row>
    <row r="180" spans="1:10">
      <c r="A180" s="1452" t="str">
        <f>CWC!B50</f>
        <v>Other</v>
      </c>
      <c r="B180" s="1454">
        <f>CWC!D50</f>
        <v>-134.69999999999996</v>
      </c>
      <c r="C180" s="1454">
        <f>CWC!E50</f>
        <v>-79.300000000000097</v>
      </c>
      <c r="D180" s="1454">
        <f>CWC!F50</f>
        <v>106.38131600000003</v>
      </c>
      <c r="E180" s="1454">
        <f>CWC!G50</f>
        <v>187.59999999999994</v>
      </c>
      <c r="F180" s="1454">
        <f>CWC!H50</f>
        <v>0</v>
      </c>
      <c r="G180" s="1454">
        <f>CWC!I50</f>
        <v>0</v>
      </c>
      <c r="H180" s="1454">
        <f>CWC!J50</f>
        <v>0</v>
      </c>
      <c r="I180" s="1454">
        <f>CWC!K50</f>
        <v>0</v>
      </c>
      <c r="J180" s="1454">
        <f>CWC!L50</f>
        <v>0</v>
      </c>
    </row>
    <row r="181" spans="1:10">
      <c r="A181" s="1473" t="str">
        <f>CWC!B51</f>
        <v>FCF</v>
      </c>
      <c r="B181" s="1463">
        <f>CWC!D51</f>
        <v>51.400000000000006</v>
      </c>
      <c r="C181" s="1463">
        <f>CWC!E51</f>
        <v>64.599999999999994</v>
      </c>
      <c r="D181" s="1463">
        <f>CWC!F51</f>
        <v>-26</v>
      </c>
      <c r="E181" s="1463">
        <f>CWC!G51</f>
        <v>196.1</v>
      </c>
      <c r="F181" s="1463">
        <f>CWC!H51</f>
        <v>186.8520547017979</v>
      </c>
      <c r="G181" s="1463">
        <f>CWC!I51</f>
        <v>232.4269485656738</v>
      </c>
      <c r="H181" s="1463">
        <f>CWC!J51</f>
        <v>251.42210227311679</v>
      </c>
      <c r="I181" s="1463">
        <f>CWC!K51</f>
        <v>266.77871970474479</v>
      </c>
      <c r="J181" s="1463">
        <f>CWC!L51</f>
        <v>280.21890511244771</v>
      </c>
    </row>
    <row r="182" spans="1:10">
      <c r="A182" s="1452" t="str">
        <f>CWC!B52</f>
        <v>Change in net debt</v>
      </c>
      <c r="B182" s="1454">
        <f>CWC!D52</f>
        <v>-51.400000000000006</v>
      </c>
      <c r="C182" s="1454">
        <f>CWC!E52</f>
        <v>-64.599999999999994</v>
      </c>
      <c r="D182" s="1454">
        <f>CWC!F52</f>
        <v>26</v>
      </c>
      <c r="E182" s="1454">
        <f>CWC!G52</f>
        <v>-196.1</v>
      </c>
      <c r="F182" s="1454">
        <f>CWC!H52</f>
        <v>-186.8520547017979</v>
      </c>
      <c r="G182" s="1454">
        <f>CWC!I52</f>
        <v>-232.4269485656738</v>
      </c>
      <c r="H182" s="1454">
        <f>CWC!J52</f>
        <v>-251.42210227311679</v>
      </c>
      <c r="I182" s="1454">
        <f>CWC!K52</f>
        <v>-266.77871970474479</v>
      </c>
      <c r="J182" s="1454">
        <f>CWC!L52</f>
        <v>-280.21890511244771</v>
      </c>
    </row>
    <row r="183" spans="1:10">
      <c r="A183" s="1318"/>
      <c r="B183" s="1459"/>
      <c r="C183" s="1459"/>
      <c r="D183" s="1451"/>
      <c r="E183" s="1451"/>
      <c r="F183" s="1451"/>
      <c r="G183" s="1451"/>
      <c r="H183" s="1451"/>
      <c r="I183" s="1451"/>
      <c r="J183" s="1451"/>
    </row>
    <row r="184" spans="1:10">
      <c r="A184" s="1452" t="str">
        <f>CWC!B57</f>
        <v>Cash and CE</v>
      </c>
      <c r="B184" s="1454"/>
      <c r="C184" s="1454"/>
      <c r="D184" s="1454"/>
      <c r="E184" s="1454">
        <f>CWC!G57</f>
        <v>737.9</v>
      </c>
      <c r="F184" s="1454">
        <f>CWC!H57</f>
        <v>924.75205470179787</v>
      </c>
      <c r="G184" s="1454">
        <f>CWC!I57</f>
        <v>1157.1790032674717</v>
      </c>
      <c r="H184" s="1454">
        <f>CWC!J57</f>
        <v>1408.6011055405884</v>
      </c>
      <c r="I184" s="1454">
        <f>CWC!K57</f>
        <v>1675.3798252453332</v>
      </c>
      <c r="J184" s="1454">
        <f>CWC!L57</f>
        <v>1955.5987303577808</v>
      </c>
    </row>
    <row r="185" spans="1:10">
      <c r="A185" s="1302" t="str">
        <f>CWC!B58</f>
        <v>Credit facilities</v>
      </c>
      <c r="B185" s="1451"/>
      <c r="C185" s="1451"/>
      <c r="D185" s="1451"/>
      <c r="E185" s="1451">
        <f>CWC!G58</f>
        <v>636.5</v>
      </c>
      <c r="F185" s="1451">
        <f>CWC!H58</f>
        <v>636.5</v>
      </c>
      <c r="G185" s="1451">
        <f>CWC!I58</f>
        <v>636.5</v>
      </c>
      <c r="H185" s="1451">
        <f>CWC!J58</f>
        <v>636.5</v>
      </c>
      <c r="I185" s="1451">
        <f>CWC!K58</f>
        <v>636.5</v>
      </c>
      <c r="J185" s="1451">
        <f>CWC!L58</f>
        <v>636.5</v>
      </c>
    </row>
    <row r="186" spans="1:10">
      <c r="A186" s="1447" t="str">
        <f>CWC!B59</f>
        <v>Total liquidity</v>
      </c>
      <c r="B186" s="1458"/>
      <c r="C186" s="1458"/>
      <c r="D186" s="1458"/>
      <c r="E186" s="1458">
        <f>CWC!G59</f>
        <v>1374.4</v>
      </c>
      <c r="F186" s="1458">
        <f>CWC!H59</f>
        <v>1561.252054701798</v>
      </c>
      <c r="G186" s="1458">
        <f>CWC!I59</f>
        <v>1793.6790032674717</v>
      </c>
      <c r="H186" s="1458">
        <f>CWC!J59</f>
        <v>2045.1011055405884</v>
      </c>
      <c r="I186" s="1458">
        <f>CWC!K59</f>
        <v>2311.8798252453334</v>
      </c>
      <c r="J186" s="1458">
        <f>CWC!L59</f>
        <v>2592.0987303577808</v>
      </c>
    </row>
    <row r="187" spans="1:10">
      <c r="A187" s="1452"/>
      <c r="B187" s="1454"/>
      <c r="C187" s="1454"/>
      <c r="D187" s="1454"/>
      <c r="E187" s="1454"/>
      <c r="F187" s="1454"/>
      <c r="G187" s="1454"/>
      <c r="H187" s="1454"/>
      <c r="I187" s="1454"/>
      <c r="J187" s="1454"/>
    </row>
    <row r="188" spans="1:10">
      <c r="A188" s="1302" t="s">
        <v>115</v>
      </c>
      <c r="B188" s="1451">
        <f>CWC!D31</f>
        <v>3780.3</v>
      </c>
      <c r="C188" s="1451">
        <f>CWC!E31</f>
        <v>3670.1</v>
      </c>
      <c r="D188" s="1451">
        <f>CWC!F31</f>
        <v>3951.8</v>
      </c>
      <c r="E188" s="1451">
        <f>CWC!G31</f>
        <v>4105.7000000000007</v>
      </c>
      <c r="F188" s="1451">
        <f>CWC!H31</f>
        <v>3918.8479452982028</v>
      </c>
      <c r="G188" s="1451">
        <f>CWC!I31</f>
        <v>3686.4209967325291</v>
      </c>
      <c r="H188" s="1451">
        <f>CWC!J31</f>
        <v>3434.9988944594124</v>
      </c>
      <c r="I188" s="1451">
        <f>CWC!K31</f>
        <v>3168.2201747546678</v>
      </c>
      <c r="J188" s="1451">
        <f>CWC!L31</f>
        <v>2888.00126964222</v>
      </c>
    </row>
    <row r="189" spans="1:10">
      <c r="A189" s="1457" t="s">
        <v>6838</v>
      </c>
      <c r="B189" s="1474">
        <f>CWC!D32</f>
        <v>4.2667042889390521</v>
      </c>
      <c r="C189" s="1474">
        <f>CWC!E32</f>
        <v>3.8742742531405043</v>
      </c>
      <c r="D189" s="1474">
        <f>CWC!F32</f>
        <v>3.9506148155553338</v>
      </c>
      <c r="E189" s="1474">
        <f>CWC!G32</f>
        <v>3.7798747928558281</v>
      </c>
      <c r="F189" s="1474">
        <f>CWC!H32</f>
        <v>3.4927835444005217</v>
      </c>
      <c r="G189" s="1474">
        <f>CWC!I32</f>
        <v>3.1128726938535705</v>
      </c>
      <c r="H189" s="1474">
        <f>CWC!J32</f>
        <v>2.8091579577677872</v>
      </c>
      <c r="I189" s="1474">
        <f>CWC!K32</f>
        <v>2.5217444750664924</v>
      </c>
      <c r="J189" s="1474">
        <f>CWC!L32</f>
        <v>2.240889498872789</v>
      </c>
    </row>
    <row r="190" spans="1:10">
      <c r="A190" s="1204"/>
      <c r="B190" s="1204"/>
      <c r="C190" s="1204"/>
      <c r="D190" s="1204"/>
      <c r="E190" s="1204"/>
      <c r="F190" s="1204"/>
      <c r="G190" s="1204"/>
      <c r="H190" s="1204"/>
      <c r="I190" s="1204"/>
      <c r="J190" s="1204"/>
    </row>
    <row r="193" spans="1:6">
      <c r="A193" s="1447" t="s">
        <v>29</v>
      </c>
      <c r="B193" s="1447"/>
      <c r="C193" s="1447"/>
      <c r="D193" s="1447"/>
    </row>
    <row r="194" spans="1:6" ht="15.75" thickBot="1">
      <c r="A194" s="1449" t="s">
        <v>833</v>
      </c>
      <c r="B194" s="1479" t="s">
        <v>378</v>
      </c>
      <c r="C194" s="1479" t="s">
        <v>6819</v>
      </c>
      <c r="D194" s="1479" t="s">
        <v>331</v>
      </c>
      <c r="F194" s="1476" t="s">
        <v>6850</v>
      </c>
    </row>
    <row r="195" spans="1:6">
      <c r="A195" s="1257" t="str">
        <f>SOP!B3</f>
        <v>Jamaica</v>
      </c>
      <c r="B195" s="1480">
        <f>'New Format'!L301</f>
        <v>0.10150000000000001</v>
      </c>
      <c r="C195" s="1480">
        <f>'New Format'!D314</f>
        <v>0</v>
      </c>
      <c r="D195" s="1481">
        <f>'New Format'!G314</f>
        <v>1240.7825471224305</v>
      </c>
      <c r="F195" s="1432">
        <f t="shared" ref="F195:F201" si="56">D195/SUM($D$195:$D$201)</f>
        <v>0.16719517583959992</v>
      </c>
    </row>
    <row r="196" spans="1:6">
      <c r="A196" s="1475" t="str">
        <f>SOP!B4</f>
        <v>Trinidad and Tobago</v>
      </c>
      <c r="B196" s="1477">
        <f>'New Format'!L302</f>
        <v>8.2099999999999992E-2</v>
      </c>
      <c r="C196" s="1477">
        <f>'New Format'!D315</f>
        <v>0</v>
      </c>
      <c r="D196" s="1478">
        <f>'New Format'!G315</f>
        <v>373.71618228266863</v>
      </c>
      <c r="F196" s="1432">
        <f t="shared" si="56"/>
        <v>5.0358173521834186E-2</v>
      </c>
    </row>
    <row r="197" spans="1:6">
      <c r="A197" s="1257" t="str">
        <f>SOP!B5</f>
        <v>Barbados</v>
      </c>
      <c r="B197" s="1480">
        <f>'New Format'!L303</f>
        <v>8.2099999999999992E-2</v>
      </c>
      <c r="C197" s="1480">
        <f>'New Format'!D316</f>
        <v>0</v>
      </c>
      <c r="D197" s="1481">
        <f>'New Format'!G316</f>
        <v>365.56272649318305</v>
      </c>
      <c r="F197" s="1432">
        <f t="shared" si="56"/>
        <v>4.9259497144103888E-2</v>
      </c>
    </row>
    <row r="198" spans="1:6">
      <c r="A198" s="1475" t="str">
        <f>SOP!B6</f>
        <v>Bahamas</v>
      </c>
      <c r="B198" s="1477">
        <f>'New Format'!L304</f>
        <v>9.4500000000000001E-2</v>
      </c>
      <c r="C198" s="1477">
        <f>'New Format'!D317</f>
        <v>0</v>
      </c>
      <c r="D198" s="1478">
        <f>'New Format'!G317</f>
        <v>533.92336207369044</v>
      </c>
      <c r="F198" s="1432">
        <f t="shared" si="56"/>
        <v>7.1946055828888647E-2</v>
      </c>
    </row>
    <row r="199" spans="1:6">
      <c r="A199" s="1257" t="str">
        <f>SOP!B7</f>
        <v>Panama (inc Claro)</v>
      </c>
      <c r="B199" s="1480">
        <f>'New Format'!L305</f>
        <v>7.51E-2</v>
      </c>
      <c r="C199" s="1480">
        <f>'New Format'!D318</f>
        <v>0</v>
      </c>
      <c r="D199" s="1481">
        <f>'New Format'!G318+Analysis!C3310</f>
        <v>1359.6514162191741</v>
      </c>
      <c r="F199" s="1432">
        <f t="shared" si="56"/>
        <v>0.18321272985547163</v>
      </c>
    </row>
    <row r="200" spans="1:6">
      <c r="A200" s="1475" t="str">
        <f>SOP!B8</f>
        <v>Networks &amp; LatAm</v>
      </c>
      <c r="B200" s="1477">
        <f>'New Format'!L306</f>
        <v>8.1559999999999994E-2</v>
      </c>
      <c r="C200" s="1477">
        <f>'New Format'!D319</f>
        <v>0.01</v>
      </c>
      <c r="D200" s="1478">
        <f>'New Format'!G319</f>
        <v>1462.2059971020556</v>
      </c>
      <c r="F200" s="1432">
        <f t="shared" si="56"/>
        <v>0.19703193711595057</v>
      </c>
    </row>
    <row r="201" spans="1:6">
      <c r="A201" s="1257" t="str">
        <f>SOP!B9</f>
        <v>Ventures/Other</v>
      </c>
      <c r="B201" s="1480">
        <f>'New Format'!L307</f>
        <v>8.2099999999999992E-2</v>
      </c>
      <c r="C201" s="1480">
        <f>'New Format'!D320</f>
        <v>0</v>
      </c>
      <c r="D201" s="1481">
        <f>'New Format'!G320</f>
        <v>2085.3201371281548</v>
      </c>
      <c r="F201" s="1432">
        <f t="shared" si="56"/>
        <v>0.2809964306941512</v>
      </c>
    </row>
    <row r="203" spans="1:6">
      <c r="A203" s="1447" t="s">
        <v>29</v>
      </c>
      <c r="B203" s="1447"/>
    </row>
    <row r="204" spans="1:6" ht="15.75" thickBot="1">
      <c r="A204" s="1449" t="s">
        <v>833</v>
      </c>
      <c r="B204" s="1449"/>
    </row>
    <row r="205" spans="1:6">
      <c r="A205" s="1302" t="s">
        <v>378</v>
      </c>
      <c r="B205" s="1304">
        <f>SUMPRODUCT(B195:B201,F195:F201)</f>
        <v>8.4846831148535543E-2</v>
      </c>
    </row>
    <row r="206" spans="1:6">
      <c r="A206" s="1452" t="s">
        <v>6819</v>
      </c>
      <c r="B206" s="1468">
        <f>SUMPRODUCT(C195:C201,F195:F201)</f>
        <v>1.9703193711595058E-3</v>
      </c>
    </row>
    <row r="207" spans="1:6">
      <c r="A207" s="1302" t="s">
        <v>6820</v>
      </c>
      <c r="B207" s="1469">
        <f>1/(B205-B206)</f>
        <v>12.066144901057285</v>
      </c>
    </row>
    <row r="208" spans="1:6">
      <c r="A208" s="1457" t="s">
        <v>331</v>
      </c>
      <c r="B208" s="1470">
        <f>SOP!G15+SOP!G16+SOP!G17</f>
        <v>7421.1623684213564</v>
      </c>
      <c r="D208">
        <v>7599</v>
      </c>
    </row>
    <row r="209" spans="1:26">
      <c r="A209" s="1302" t="s">
        <v>6862</v>
      </c>
      <c r="B209" s="1337">
        <f>B208/F160</f>
        <v>6.6143198620006958</v>
      </c>
      <c r="D209">
        <v>3825</v>
      </c>
    </row>
    <row r="210" spans="1:26">
      <c r="A210" s="1452"/>
      <c r="B210" s="1452"/>
      <c r="D210">
        <f>D208-D209</f>
        <v>3774</v>
      </c>
    </row>
    <row r="211" spans="1:26">
      <c r="A211" s="1318" t="s">
        <v>331</v>
      </c>
      <c r="B211" s="1319">
        <f>B208</f>
        <v>7421.1623684213564</v>
      </c>
    </row>
    <row r="212" spans="1:26">
      <c r="A212" s="1452" t="s">
        <v>6824</v>
      </c>
      <c r="B212" s="1471">
        <f>-CWC!H31</f>
        <v>-3918.8479452982028</v>
      </c>
    </row>
    <row r="213" spans="1:26">
      <c r="A213" s="1302" t="s">
        <v>5071</v>
      </c>
      <c r="B213" s="1303">
        <v>0</v>
      </c>
    </row>
    <row r="214" spans="1:26">
      <c r="A214" s="1457" t="s">
        <v>826</v>
      </c>
      <c r="B214" s="1470">
        <f>SUM(B211:B213)</f>
        <v>3502.3144231231536</v>
      </c>
    </row>
    <row r="215" spans="1:26">
      <c r="A215" s="1302" t="s">
        <v>6821</v>
      </c>
      <c r="B215" s="1304">
        <f>B214/(B211+B213)</f>
        <v>0.47193609966361272</v>
      </c>
    </row>
    <row r="216" spans="1:26">
      <c r="A216" s="1452" t="s">
        <v>6822</v>
      </c>
      <c r="B216" s="1471">
        <f>B211+B213</f>
        <v>7421.1623684213564</v>
      </c>
      <c r="G216" s="6"/>
    </row>
    <row r="217" spans="1:26">
      <c r="A217" s="1318" t="s">
        <v>6823</v>
      </c>
      <c r="B217" s="1472">
        <f>B216/-B212</f>
        <v>1.8937102107585464</v>
      </c>
      <c r="G217" s="6"/>
    </row>
    <row r="218" spans="1:26">
      <c r="A218" s="1203"/>
      <c r="B218" s="1203"/>
      <c r="C218" s="1203"/>
      <c r="D218" s="1203"/>
      <c r="E218" s="1203"/>
      <c r="F218" s="1203"/>
      <c r="G218" s="1307"/>
      <c r="H218" s="1203"/>
      <c r="I218" s="1203"/>
      <c r="J218" s="1203"/>
      <c r="K218" s="1203"/>
      <c r="L218" s="1203"/>
      <c r="M218" s="1203"/>
      <c r="N218" s="1203"/>
      <c r="O218" s="1203"/>
      <c r="P218" s="1203"/>
      <c r="Q218" s="1203"/>
      <c r="R218" s="1203"/>
      <c r="S218" s="1203"/>
      <c r="T218" s="1203"/>
      <c r="U218" s="1203"/>
      <c r="V218" s="1203"/>
      <c r="W218" s="1203"/>
      <c r="X218" s="1203"/>
      <c r="Y218" s="1203"/>
      <c r="Z218" s="1203"/>
    </row>
    <row r="219" spans="1:26">
      <c r="A219" s="1203"/>
      <c r="B219" s="1203"/>
      <c r="C219" s="1203"/>
      <c r="D219" s="1203"/>
      <c r="E219" s="1203"/>
      <c r="F219" s="1203"/>
      <c r="G219" s="1307"/>
      <c r="H219" s="1203"/>
      <c r="I219" s="1203"/>
      <c r="J219" s="1203"/>
      <c r="K219" s="1203"/>
      <c r="L219" s="1203"/>
      <c r="M219" s="1203"/>
      <c r="N219" s="1203"/>
      <c r="O219" s="1203"/>
      <c r="P219" s="1203"/>
      <c r="Q219" s="1203"/>
      <c r="R219" s="1203"/>
      <c r="S219" s="1203"/>
      <c r="T219" s="1203"/>
      <c r="U219" s="1203"/>
      <c r="V219" s="1203"/>
      <c r="W219" s="1203"/>
      <c r="X219" s="1203"/>
      <c r="Y219" s="1203"/>
      <c r="Z219" s="1203"/>
    </row>
    <row r="220" spans="1:26">
      <c r="A220" s="1203"/>
      <c r="B220" s="1203"/>
      <c r="C220" s="1203"/>
      <c r="D220" s="1203"/>
      <c r="E220" s="1203"/>
      <c r="F220" s="1203"/>
      <c r="G220" s="1307"/>
      <c r="H220" s="1203"/>
      <c r="I220" s="1203"/>
      <c r="J220" s="1203"/>
      <c r="K220" s="1203"/>
      <c r="L220" s="1203"/>
      <c r="M220" s="1203"/>
      <c r="N220" s="1203"/>
      <c r="O220" s="1203"/>
      <c r="P220" s="1203"/>
      <c r="Q220" s="1203"/>
      <c r="R220" s="1203"/>
      <c r="S220" s="1203"/>
      <c r="T220" s="1203"/>
      <c r="U220" s="1203"/>
      <c r="V220" s="1203"/>
      <c r="W220" s="1203"/>
      <c r="X220" s="1203"/>
      <c r="Y220" s="1203"/>
      <c r="Z220" s="1203"/>
    </row>
    <row r="221" spans="1:26">
      <c r="A221" s="1496" t="s">
        <v>29</v>
      </c>
      <c r="B221" s="1497"/>
      <c r="C221" s="1497"/>
      <c r="D221" s="1497"/>
      <c r="E221" s="1497"/>
      <c r="F221" s="1497"/>
      <c r="G221" s="1497"/>
      <c r="H221" s="1497"/>
      <c r="I221" s="1497"/>
      <c r="J221" s="1497"/>
      <c r="K221" s="1497"/>
      <c r="L221" s="1497"/>
      <c r="M221" s="1497"/>
      <c r="N221" s="1497"/>
      <c r="O221" s="1497"/>
      <c r="P221" s="1497"/>
      <c r="Q221" s="1497"/>
      <c r="R221" s="1497"/>
      <c r="S221" s="1203"/>
      <c r="T221" s="1203"/>
      <c r="U221" s="1203"/>
      <c r="V221" s="1203"/>
      <c r="W221" s="1203"/>
      <c r="X221" s="1203"/>
      <c r="Y221" s="1203"/>
      <c r="Z221" s="1203"/>
    </row>
    <row r="222" spans="1:26" ht="15.75" thickBot="1">
      <c r="A222" s="1498" t="s">
        <v>44</v>
      </c>
      <c r="B222" s="1499" t="s">
        <v>4755</v>
      </c>
      <c r="C222" s="1499" t="s">
        <v>4922</v>
      </c>
      <c r="D222" s="1499" t="s">
        <v>5188</v>
      </c>
      <c r="E222" s="1499" t="s">
        <v>5371</v>
      </c>
      <c r="F222" s="1499" t="s">
        <v>5556</v>
      </c>
      <c r="G222" s="1499" t="s">
        <v>5696</v>
      </c>
      <c r="H222" s="1499" t="s">
        <v>5878</v>
      </c>
      <c r="I222" s="1499" t="s">
        <v>5920</v>
      </c>
      <c r="J222" s="1499" t="s">
        <v>5949</v>
      </c>
      <c r="K222" s="1499" t="s">
        <v>5950</v>
      </c>
      <c r="L222" s="1499" t="s">
        <v>5951</v>
      </c>
      <c r="M222" s="1499" t="s">
        <v>5952</v>
      </c>
      <c r="N222" s="1499" t="s">
        <v>6525</v>
      </c>
      <c r="O222" s="1499" t="s">
        <v>6526</v>
      </c>
      <c r="P222" s="1499" t="s">
        <v>6527</v>
      </c>
      <c r="Q222" s="1499" t="s">
        <v>6528</v>
      </c>
      <c r="R222" s="1499" t="s">
        <v>7121</v>
      </c>
      <c r="S222" s="1499" t="s">
        <v>7451</v>
      </c>
      <c r="T222" s="1203"/>
      <c r="U222" s="1203"/>
      <c r="V222" s="1203"/>
      <c r="W222" s="1203"/>
      <c r="X222" s="1203"/>
      <c r="Y222" s="1203"/>
      <c r="Z222" s="1203"/>
    </row>
    <row r="223" spans="1:26">
      <c r="A223" s="1203" t="s">
        <v>15</v>
      </c>
      <c r="B223" s="1306">
        <f>'New quarts'!AC17</f>
        <v>588.6</v>
      </c>
      <c r="C223" s="1306">
        <f>'New quarts'!AD17</f>
        <v>515.29999999999995</v>
      </c>
      <c r="D223" s="1306">
        <f>'New quarts'!AE17</f>
        <v>538.9</v>
      </c>
      <c r="E223" s="1306">
        <f>'New quarts'!AF17</f>
        <v>557</v>
      </c>
      <c r="F223" s="1306">
        <f>'New quarts'!AH17</f>
        <v>551.79999999999995</v>
      </c>
      <c r="G223" s="1306">
        <f>'New quarts'!AI17</f>
        <v>561.79999999999995</v>
      </c>
      <c r="H223" s="1306">
        <f>'New quarts'!AJ17</f>
        <v>563.4</v>
      </c>
      <c r="I223" s="1306">
        <f>'New quarts'!AK17</f>
        <v>621.5</v>
      </c>
      <c r="J223" s="1306">
        <f>'New quarts'!AM17</f>
        <v>589.6</v>
      </c>
      <c r="K223" s="1306">
        <f>'New quarts'!AN17</f>
        <v>614.50000000000023</v>
      </c>
      <c r="L223" s="1306">
        <f>'New quarts'!AO17</f>
        <v>633.5</v>
      </c>
      <c r="M223" s="1306">
        <f>'New quarts'!AP17</f>
        <v>692.7</v>
      </c>
      <c r="N223" s="1306">
        <f>'New quarts'!AR17</f>
        <v>627.80000000000007</v>
      </c>
      <c r="O223" s="1306">
        <f>'New quarts'!AS17</f>
        <v>655.7</v>
      </c>
      <c r="P223" s="1306">
        <f>'New quarts'!AT17</f>
        <v>663.4</v>
      </c>
      <c r="Q223" s="1306">
        <f>'New quarts'!AU17</f>
        <v>686</v>
      </c>
      <c r="R223" s="1306">
        <f>'New quarts'!AW17</f>
        <v>641.9</v>
      </c>
      <c r="S223" s="1306">
        <f>'New quarts'!AX17</f>
        <v>684.6</v>
      </c>
      <c r="T223" s="1203"/>
      <c r="U223" s="1203"/>
      <c r="V223" s="1203"/>
      <c r="W223" s="1203"/>
      <c r="X223" s="1203"/>
      <c r="Y223" s="1203"/>
      <c r="Z223" s="1203"/>
    </row>
    <row r="224" spans="1:26">
      <c r="A224" s="1203" t="s">
        <v>8</v>
      </c>
      <c r="B224" s="1306">
        <f>'New quarts'!AC211</f>
        <v>232.8</v>
      </c>
      <c r="C224" s="1306">
        <f>'New quarts'!AD211</f>
        <v>203.6</v>
      </c>
      <c r="D224" s="1306">
        <f>'New quarts'!AE211</f>
        <v>220.4</v>
      </c>
      <c r="E224" s="1306">
        <f>'New quarts'!AF211</f>
        <v>229.6</v>
      </c>
      <c r="F224" s="1306">
        <f>'New quarts'!AH211</f>
        <v>225.3</v>
      </c>
      <c r="G224" s="1306">
        <f>'New quarts'!AI211</f>
        <v>233.6</v>
      </c>
      <c r="H224" s="1306">
        <f>'New quarts'!AJ211</f>
        <v>229.5</v>
      </c>
      <c r="I224" s="1306">
        <f>'New quarts'!AK211</f>
        <v>258.8</v>
      </c>
      <c r="J224" s="1306">
        <f>'New quarts'!AM211</f>
        <v>233</v>
      </c>
      <c r="K224" s="1306">
        <f>'New quarts'!AN211</f>
        <v>254</v>
      </c>
      <c r="L224" s="1306">
        <f>'New quarts'!AO211</f>
        <v>238.3</v>
      </c>
      <c r="M224" s="1306">
        <f>'New quarts'!AP211</f>
        <v>275</v>
      </c>
      <c r="N224" s="1306">
        <f>'New quarts'!AR211</f>
        <v>247.29999999999998</v>
      </c>
      <c r="O224" s="1306">
        <f>'New quarts'!AS211</f>
        <v>277.5</v>
      </c>
      <c r="P224" s="1306">
        <f>'New quarts'!AT211</f>
        <v>273.10000000000002</v>
      </c>
      <c r="Q224" s="1306">
        <f>'New quarts'!AU211</f>
        <v>288.3</v>
      </c>
      <c r="R224" s="1306">
        <f>'New quarts'!AW211</f>
        <v>266.60000000000002</v>
      </c>
      <c r="S224" s="1306">
        <f>'New quarts'!AX211</f>
        <v>284.89999999999998</v>
      </c>
      <c r="T224" s="1203"/>
      <c r="U224" s="1203"/>
      <c r="V224" s="1203"/>
      <c r="W224" s="1203"/>
      <c r="X224" s="1203"/>
      <c r="Y224" s="1203"/>
      <c r="Z224" s="1203"/>
    </row>
    <row r="225" spans="1:26">
      <c r="A225" s="1203" t="s">
        <v>19</v>
      </c>
      <c r="B225" s="1500">
        <v>70.5</v>
      </c>
      <c r="C225" s="1500">
        <f>152-B225</f>
        <v>81.5</v>
      </c>
      <c r="D225" s="1500">
        <f>234.1-B225-C225</f>
        <v>82.1</v>
      </c>
      <c r="E225" s="1500">
        <f>317.2-B225-C225-D225</f>
        <v>83.1</v>
      </c>
      <c r="F225" s="1500">
        <v>60.3</v>
      </c>
      <c r="G225" s="1500">
        <f>153.6-F225</f>
        <v>93.3</v>
      </c>
      <c r="H225" s="1500">
        <f>255.4-F225-G225</f>
        <v>101.80000000000003</v>
      </c>
      <c r="I225" s="1500">
        <f>357.2-F225-G225-H225</f>
        <v>101.79999999999994</v>
      </c>
      <c r="J225" s="1500">
        <v>66.7</v>
      </c>
      <c r="K225" s="1500">
        <f>154.6-J225</f>
        <v>87.899999999999991</v>
      </c>
      <c r="L225" s="1500">
        <f>255-J225-K225</f>
        <v>100.40000000000002</v>
      </c>
      <c r="M225" s="1500">
        <f>369.3-J225-K225-L225</f>
        <v>114.30000000000003</v>
      </c>
      <c r="N225" s="1500">
        <v>76.5</v>
      </c>
      <c r="O225" s="1500">
        <f>187.6-N225</f>
        <v>111.1</v>
      </c>
      <c r="P225" s="1500">
        <f>293.6-N225-O225</f>
        <v>106.00000000000003</v>
      </c>
      <c r="Q225" s="1500">
        <f>399.7-N225-O225-P225</f>
        <v>106.09999999999997</v>
      </c>
      <c r="R225" s="1500">
        <v>72.7</v>
      </c>
      <c r="S225" s="1500">
        <v>101.1</v>
      </c>
      <c r="T225" s="1203"/>
      <c r="U225" s="1203"/>
      <c r="V225" s="1203"/>
      <c r="W225" s="1203"/>
      <c r="X225" s="1203"/>
      <c r="Y225" s="1203"/>
      <c r="Z225" s="1203"/>
    </row>
    <row r="226" spans="1:26">
      <c r="A226" s="1203" t="s">
        <v>27</v>
      </c>
      <c r="B226" s="1306">
        <f>B224-B225</f>
        <v>162.30000000000001</v>
      </c>
      <c r="C226" s="1306">
        <f t="shared" ref="C226:O226" si="57">C224-C225</f>
        <v>122.1</v>
      </c>
      <c r="D226" s="1306">
        <f t="shared" si="57"/>
        <v>138.30000000000001</v>
      </c>
      <c r="E226" s="1306">
        <f t="shared" si="57"/>
        <v>146.5</v>
      </c>
      <c r="F226" s="1306">
        <f t="shared" si="57"/>
        <v>165</v>
      </c>
      <c r="G226" s="1306">
        <f t="shared" si="57"/>
        <v>140.30000000000001</v>
      </c>
      <c r="H226" s="1306">
        <f t="shared" si="57"/>
        <v>127.69999999999997</v>
      </c>
      <c r="I226" s="1306">
        <f t="shared" si="57"/>
        <v>157.00000000000006</v>
      </c>
      <c r="J226" s="1306">
        <f t="shared" si="57"/>
        <v>166.3</v>
      </c>
      <c r="K226" s="1306">
        <f t="shared" si="57"/>
        <v>166.10000000000002</v>
      </c>
      <c r="L226" s="1306">
        <f t="shared" si="57"/>
        <v>137.89999999999998</v>
      </c>
      <c r="M226" s="1306">
        <f t="shared" si="57"/>
        <v>160.69999999999999</v>
      </c>
      <c r="N226" s="1306">
        <f t="shared" si="57"/>
        <v>170.79999999999998</v>
      </c>
      <c r="O226" s="1306">
        <f t="shared" si="57"/>
        <v>166.4</v>
      </c>
      <c r="P226" s="1306">
        <f t="shared" ref="P226:Q226" si="58">P224-P225</f>
        <v>167.1</v>
      </c>
      <c r="Q226" s="1306">
        <f t="shared" si="58"/>
        <v>182.20000000000005</v>
      </c>
      <c r="R226" s="1306">
        <f>R224-R225</f>
        <v>193.90000000000003</v>
      </c>
      <c r="S226" s="1306">
        <f>S224-S225</f>
        <v>183.79999999999998</v>
      </c>
      <c r="T226" s="1203"/>
      <c r="U226" s="1203"/>
      <c r="V226" s="1203"/>
      <c r="W226" s="1203"/>
      <c r="X226" s="1203"/>
      <c r="Y226" s="1203"/>
      <c r="Z226" s="1203"/>
    </row>
    <row r="227" spans="1:26">
      <c r="A227" s="1203" t="s">
        <v>679</v>
      </c>
      <c r="B227" s="1500">
        <v>-77</v>
      </c>
      <c r="C227" s="1500">
        <f>-113.5-B227</f>
        <v>-36.5</v>
      </c>
      <c r="D227" s="1500">
        <f>-188.4-B227-C227</f>
        <v>-74.900000000000006</v>
      </c>
      <c r="E227" s="1500">
        <f>-221.5-B227-C227-D227</f>
        <v>-33.099999999999994</v>
      </c>
      <c r="F227" s="1500">
        <v>-72.900000000000006</v>
      </c>
      <c r="G227" s="1500">
        <f>-106.1-F227</f>
        <v>-33.199999999999989</v>
      </c>
      <c r="H227" s="1500">
        <f>-179.3-F227-G227</f>
        <v>-73.200000000000017</v>
      </c>
      <c r="I227" s="1500">
        <f>-215.4-F227-G227-H227</f>
        <v>-36.099999999999994</v>
      </c>
      <c r="J227" s="1500">
        <v>-81</v>
      </c>
      <c r="K227" s="1500">
        <f>-107.9-J227</f>
        <v>-26.900000000000006</v>
      </c>
      <c r="L227" s="1500">
        <f>-192-J227-K227</f>
        <v>-84.1</v>
      </c>
      <c r="M227" s="1500">
        <f>-235.7-J227-K227-L227</f>
        <v>-43.699999999999989</v>
      </c>
      <c r="N227" s="1500">
        <v>-96.7</v>
      </c>
      <c r="O227" s="1500">
        <f>-151.3-N227</f>
        <v>-54.600000000000009</v>
      </c>
      <c r="P227" s="1500">
        <f>-254.8-N227-O227</f>
        <v>-103.50000000000001</v>
      </c>
      <c r="Q227" s="1500">
        <f>-301.7-N227-O227-P227</f>
        <v>-46.899999999999963</v>
      </c>
      <c r="R227" s="1500">
        <v>-122.3</v>
      </c>
      <c r="S227" s="1500">
        <f>-190.2-R227</f>
        <v>-67.899999999999991</v>
      </c>
      <c r="T227" s="1203"/>
      <c r="U227" s="1203"/>
      <c r="V227" s="1203"/>
      <c r="W227" s="1203"/>
      <c r="X227" s="1203"/>
      <c r="Y227" s="1203"/>
      <c r="Z227" s="1203"/>
    </row>
    <row r="228" spans="1:26">
      <c r="A228" s="1203" t="s">
        <v>205</v>
      </c>
      <c r="B228" s="1500">
        <v>-10.5</v>
      </c>
      <c r="C228" s="1500">
        <f>-15.9-B228</f>
        <v>-5.4</v>
      </c>
      <c r="D228" s="1500">
        <f>-25.4-B228-C228</f>
        <v>-9.4999999999999982</v>
      </c>
      <c r="E228" s="1500">
        <f>-41-B228-C228-D228</f>
        <v>-15.600000000000003</v>
      </c>
      <c r="F228" s="1500">
        <v>-8.5</v>
      </c>
      <c r="G228" s="1500">
        <f>-20.7-F228</f>
        <v>-12.2</v>
      </c>
      <c r="H228" s="1500">
        <f>-27.7-F228-G228</f>
        <v>-7</v>
      </c>
      <c r="I228" s="1500">
        <f>-37.2-F228-G228-H228</f>
        <v>-9.5000000000000036</v>
      </c>
      <c r="J228" s="1500">
        <v>-13.6</v>
      </c>
      <c r="K228" s="1500">
        <f>-24-J228</f>
        <v>-10.4</v>
      </c>
      <c r="L228" s="1500">
        <f>-37.1-J228-K228</f>
        <v>-13.1</v>
      </c>
      <c r="M228" s="1500">
        <f>-59.9-J228-K228-L228</f>
        <v>-22.799999999999997</v>
      </c>
      <c r="N228" s="1500">
        <v>-13.1</v>
      </c>
      <c r="O228" s="1500">
        <f>-27.3-N228</f>
        <v>-14.200000000000001</v>
      </c>
      <c r="P228" s="1500">
        <f>-41.1-N228-O228</f>
        <v>-13.799999999999999</v>
      </c>
      <c r="Q228" s="1500">
        <f>-52.2-N228-O228-P228</f>
        <v>-11.1</v>
      </c>
      <c r="R228" s="1500">
        <v>30</v>
      </c>
      <c r="S228" s="1500">
        <f>-41.5-R228</f>
        <v>-71.5</v>
      </c>
      <c r="T228" s="1203"/>
      <c r="U228" s="1203"/>
      <c r="V228" s="1203"/>
      <c r="W228" s="1203"/>
      <c r="X228" s="1203"/>
      <c r="Y228" s="1203"/>
      <c r="Z228" s="1203"/>
    </row>
    <row r="229" spans="1:26">
      <c r="A229" s="1203" t="s">
        <v>6829</v>
      </c>
      <c r="B229" s="1500">
        <v>-102.6</v>
      </c>
      <c r="C229" s="1500">
        <f>-67.8-B229</f>
        <v>34.799999999999997</v>
      </c>
      <c r="D229" s="1500">
        <f>-116.1-B229-C229</f>
        <v>-48.3</v>
      </c>
      <c r="E229" s="1500">
        <f>57.4-161.6-B229-C229-D229</f>
        <v>11.900000000000006</v>
      </c>
      <c r="F229" s="1500">
        <v>-94.6</v>
      </c>
      <c r="G229" s="1500">
        <f>-86.4-F229</f>
        <v>8.1999999999999886</v>
      </c>
      <c r="H229" s="1500">
        <f>-113.5-F229-G229</f>
        <v>-27.099999999999994</v>
      </c>
      <c r="I229" s="1500">
        <f>-77.9-69.5-F229-G229-H229</f>
        <v>-33.900000000000006</v>
      </c>
      <c r="J229" s="1500">
        <v>-106.5</v>
      </c>
      <c r="K229" s="1500">
        <f>-110.6-J229</f>
        <v>-4.0999999999999943</v>
      </c>
      <c r="L229" s="1500">
        <f>-174.2-J229-K229</f>
        <v>-63.599999999999994</v>
      </c>
      <c r="M229" s="1500">
        <f>-70.6-70.5-J229-K229-L229</f>
        <v>33.099999999999994</v>
      </c>
      <c r="N229" s="1500">
        <v>-80.5</v>
      </c>
      <c r="O229" s="1500">
        <f>-84.5-N229</f>
        <v>-4</v>
      </c>
      <c r="P229" s="1500">
        <f>-143.2-N229-O229</f>
        <v>-58.699999999999989</v>
      </c>
      <c r="Q229" s="1500">
        <f>80.6-102.6-N229-O229-P229</f>
        <v>121.19999999999999</v>
      </c>
      <c r="R229" s="1500">
        <v>-81.900000000000006</v>
      </c>
      <c r="S229" s="1500">
        <f>-118.7-R229</f>
        <v>-36.799999999999997</v>
      </c>
      <c r="T229" s="1203"/>
      <c r="U229" s="1203"/>
      <c r="V229" s="1203"/>
      <c r="W229" s="1203"/>
      <c r="X229" s="1203"/>
      <c r="Y229" s="1203"/>
      <c r="Z229" s="1203"/>
    </row>
    <row r="230" spans="1:26">
      <c r="A230" s="1203" t="s">
        <v>653</v>
      </c>
      <c r="B230" s="1306">
        <f>SUM(B226:B229)</f>
        <v>-27.799999999999983</v>
      </c>
      <c r="C230" s="1306">
        <f t="shared" ref="C230:O230" si="59">SUM(C226:C229)</f>
        <v>114.99999999999999</v>
      </c>
      <c r="D230" s="1306">
        <f t="shared" si="59"/>
        <v>5.6000000000000085</v>
      </c>
      <c r="E230" s="1306">
        <f t="shared" si="59"/>
        <v>109.7</v>
      </c>
      <c r="F230" s="1306">
        <f t="shared" si="59"/>
        <v>-11</v>
      </c>
      <c r="G230" s="1306">
        <f t="shared" si="59"/>
        <v>103.10000000000001</v>
      </c>
      <c r="H230" s="1306">
        <f t="shared" si="59"/>
        <v>20.399999999999963</v>
      </c>
      <c r="I230" s="1306">
        <f t="shared" si="59"/>
        <v>77.500000000000057</v>
      </c>
      <c r="J230" s="1306">
        <f t="shared" si="59"/>
        <v>-34.799999999999983</v>
      </c>
      <c r="K230" s="1306">
        <f t="shared" si="59"/>
        <v>124.70000000000002</v>
      </c>
      <c r="L230" s="1306">
        <f t="shared" si="59"/>
        <v>-22.900000000000013</v>
      </c>
      <c r="M230" s="1306">
        <f t="shared" si="59"/>
        <v>127.3</v>
      </c>
      <c r="N230" s="1306">
        <f t="shared" si="59"/>
        <v>-19.500000000000021</v>
      </c>
      <c r="O230" s="1306">
        <f t="shared" si="59"/>
        <v>93.6</v>
      </c>
      <c r="P230" s="1306">
        <f t="shared" ref="P230:Q230" si="60">SUM(P226:P229)</f>
        <v>-8.9000000000000057</v>
      </c>
      <c r="Q230" s="1306">
        <f t="shared" si="60"/>
        <v>245.40000000000006</v>
      </c>
      <c r="R230" s="1306">
        <f>SUM(R226:R229)</f>
        <v>19.700000000000031</v>
      </c>
      <c r="S230" s="1306">
        <f>SUM(S226:S229)</f>
        <v>7.5999999999999943</v>
      </c>
      <c r="T230" s="1203"/>
      <c r="U230" s="1203"/>
      <c r="V230" s="1203"/>
      <c r="W230" s="1203"/>
      <c r="X230" s="1203"/>
      <c r="Y230" s="1203"/>
      <c r="Z230" s="1203"/>
    </row>
    <row r="231" spans="1:26">
      <c r="A231" s="1203" t="s">
        <v>115</v>
      </c>
      <c r="B231" s="1306">
        <f t="shared" ref="B231:N231" si="61">B237+B238-B236</f>
        <v>3832.3</v>
      </c>
      <c r="C231" s="1306">
        <f t="shared" si="61"/>
        <v>3758.7999999999997</v>
      </c>
      <c r="D231" s="1306">
        <f t="shared" si="61"/>
        <v>3824.8999999999996</v>
      </c>
      <c r="E231" s="1306">
        <f t="shared" si="61"/>
        <v>3780.3</v>
      </c>
      <c r="F231" s="1306">
        <f t="shared" si="61"/>
        <v>3791.5</v>
      </c>
      <c r="G231" s="1306">
        <f t="shared" si="61"/>
        <v>3735.2</v>
      </c>
      <c r="H231" s="1306">
        <f t="shared" si="61"/>
        <v>3728.9</v>
      </c>
      <c r="I231" s="1306">
        <f t="shared" si="61"/>
        <v>3670.1</v>
      </c>
      <c r="J231" s="1306">
        <f t="shared" si="61"/>
        <v>3712.7</v>
      </c>
      <c r="K231" s="1306">
        <f t="shared" si="61"/>
        <v>3684.3999999999996</v>
      </c>
      <c r="L231" s="1306">
        <f t="shared" si="61"/>
        <v>4019.5</v>
      </c>
      <c r="M231" s="1306">
        <f t="shared" si="61"/>
        <v>3951.8</v>
      </c>
      <c r="N231" s="1306">
        <f t="shared" si="61"/>
        <v>4008.9000000000005</v>
      </c>
      <c r="O231" s="1306">
        <f>O237+O238-O236</f>
        <v>4136.7</v>
      </c>
      <c r="P231" s="1306">
        <f>P237+P238-P236</f>
        <v>4248.2</v>
      </c>
      <c r="Q231" s="1306">
        <f t="shared" ref="Q231" si="62">Q237+Q238-Q236</f>
        <v>4105.7000000000007</v>
      </c>
      <c r="R231" s="1306">
        <f t="shared" ref="R231:S231" si="63">R237+R238-R236</f>
        <v>4286.5</v>
      </c>
      <c r="S231" s="1306">
        <f t="shared" si="63"/>
        <v>4345.3999999999996</v>
      </c>
      <c r="T231" s="1203"/>
      <c r="U231" s="1203"/>
      <c r="V231" s="1203"/>
      <c r="W231" s="1203"/>
      <c r="X231" s="1203"/>
      <c r="Y231" s="1203"/>
      <c r="Z231" s="1203"/>
    </row>
    <row r="232" spans="1:26">
      <c r="A232" s="1203" t="s">
        <v>116</v>
      </c>
      <c r="B232" s="1306"/>
      <c r="C232" s="1306">
        <f t="shared" ref="C232:N232" si="64">C231-B231</f>
        <v>-73.500000000000455</v>
      </c>
      <c r="D232" s="1306">
        <f t="shared" si="64"/>
        <v>66.099999999999909</v>
      </c>
      <c r="E232" s="1306">
        <f t="shared" si="64"/>
        <v>-44.599999999999454</v>
      </c>
      <c r="F232" s="1306">
        <f t="shared" si="64"/>
        <v>11.199999999999818</v>
      </c>
      <c r="G232" s="1306">
        <f t="shared" si="64"/>
        <v>-56.300000000000182</v>
      </c>
      <c r="H232" s="1306">
        <f t="shared" si="64"/>
        <v>-6.2999999999997272</v>
      </c>
      <c r="I232" s="1306">
        <f t="shared" si="64"/>
        <v>-58.800000000000182</v>
      </c>
      <c r="J232" s="1306">
        <f t="shared" si="64"/>
        <v>42.599999999999909</v>
      </c>
      <c r="K232" s="1306">
        <f t="shared" si="64"/>
        <v>-28.300000000000182</v>
      </c>
      <c r="L232" s="1306">
        <f t="shared" si="64"/>
        <v>335.10000000000036</v>
      </c>
      <c r="M232" s="1306">
        <f t="shared" si="64"/>
        <v>-67.699999999999818</v>
      </c>
      <c r="N232" s="1306">
        <f t="shared" si="64"/>
        <v>57.100000000000364</v>
      </c>
      <c r="O232" s="1306">
        <f>O231-N231</f>
        <v>127.79999999999927</v>
      </c>
      <c r="P232" s="1306">
        <f>P231-O231</f>
        <v>111.5</v>
      </c>
      <c r="Q232" s="1306">
        <f t="shared" ref="Q232:S232" si="65">Q231-P231</f>
        <v>-142.49999999999909</v>
      </c>
      <c r="R232" s="1306">
        <f t="shared" si="65"/>
        <v>180.79999999999927</v>
      </c>
      <c r="S232" s="1306">
        <f t="shared" si="65"/>
        <v>58.899999999999636</v>
      </c>
      <c r="T232" s="1203"/>
      <c r="U232" s="1203"/>
      <c r="V232" s="1203"/>
      <c r="W232" s="1203"/>
      <c r="X232" s="1203"/>
      <c r="Y232" s="1203"/>
      <c r="Z232" s="1203"/>
    </row>
    <row r="233" spans="1:26">
      <c r="A233" s="1203"/>
      <c r="B233" s="1203"/>
      <c r="C233" s="1203"/>
      <c r="D233" s="1203"/>
      <c r="E233" s="1203"/>
      <c r="F233" s="1203"/>
      <c r="G233" s="1203"/>
      <c r="H233" s="1203"/>
      <c r="I233" s="1203"/>
      <c r="J233" s="1203"/>
      <c r="K233" s="1203"/>
      <c r="L233" s="1203"/>
      <c r="M233" s="1203"/>
      <c r="N233" s="1203"/>
      <c r="O233" s="1203"/>
      <c r="P233" s="1203"/>
      <c r="Q233" s="1203"/>
      <c r="R233" s="1203"/>
      <c r="S233" s="1203"/>
      <c r="T233" s="1203"/>
      <c r="U233" s="1203"/>
      <c r="V233" s="1203"/>
      <c r="W233" s="1203"/>
      <c r="X233" s="1203"/>
      <c r="Y233" s="1203"/>
      <c r="Z233" s="1203"/>
    </row>
    <row r="234" spans="1:26">
      <c r="A234" s="1203"/>
      <c r="B234" s="1203"/>
      <c r="C234" s="1203"/>
      <c r="D234" s="1203"/>
      <c r="E234" s="1203"/>
      <c r="F234" s="1203"/>
      <c r="G234" s="1203"/>
      <c r="H234" s="1203"/>
      <c r="I234" s="1203"/>
      <c r="J234" s="1203"/>
      <c r="K234" s="1203"/>
      <c r="L234" s="1203"/>
      <c r="M234" s="1203"/>
      <c r="N234" s="1203"/>
      <c r="O234" s="1203"/>
      <c r="P234" s="1203"/>
      <c r="Q234" s="1203"/>
      <c r="R234" s="1203"/>
      <c r="S234" s="1203"/>
      <c r="T234" s="1203"/>
      <c r="U234" s="1203"/>
      <c r="V234" s="1203"/>
      <c r="W234" s="1203"/>
      <c r="X234" s="1203"/>
      <c r="Y234" s="1203"/>
      <c r="Z234" s="1203"/>
    </row>
    <row r="235" spans="1:26">
      <c r="A235" s="1203"/>
      <c r="B235" s="1203"/>
      <c r="C235" s="1203"/>
      <c r="D235" s="1203"/>
      <c r="E235" s="1203"/>
      <c r="F235" s="1203"/>
      <c r="G235" s="1203"/>
      <c r="H235" s="1203"/>
      <c r="I235" s="1203"/>
      <c r="J235" s="1203"/>
      <c r="K235" s="1203"/>
      <c r="L235" s="1203"/>
      <c r="M235" s="1203"/>
      <c r="N235" s="1203"/>
      <c r="O235" s="1203"/>
      <c r="P235" s="1203"/>
      <c r="Q235" s="1203"/>
      <c r="R235" s="1203"/>
      <c r="S235" s="1203"/>
      <c r="T235" s="1203"/>
      <c r="U235" s="1203"/>
      <c r="V235" s="1203"/>
      <c r="W235" s="1203"/>
      <c r="X235" s="1203"/>
      <c r="Y235" s="1203"/>
      <c r="Z235" s="1203"/>
    </row>
    <row r="236" spans="1:26">
      <c r="A236" s="1203" t="s">
        <v>707</v>
      </c>
      <c r="B236" s="1500">
        <v>687</v>
      </c>
      <c r="C236" s="1500">
        <v>756.4</v>
      </c>
      <c r="D236" s="1500">
        <v>568.70000000000005</v>
      </c>
      <c r="E236" s="1500">
        <v>485.5</v>
      </c>
      <c r="F236" s="1500">
        <v>474.7</v>
      </c>
      <c r="G236" s="1500">
        <v>534.29999999999995</v>
      </c>
      <c r="H236" s="1500">
        <v>548.1</v>
      </c>
      <c r="I236" s="1500">
        <v>562.9</v>
      </c>
      <c r="J236" s="1500">
        <v>541.29999999999995</v>
      </c>
      <c r="K236" s="1500">
        <v>769.5</v>
      </c>
      <c r="L236" s="1500">
        <v>458.3</v>
      </c>
      <c r="M236" s="1500">
        <v>536.20000000000005</v>
      </c>
      <c r="N236" s="1500">
        <v>493.7</v>
      </c>
      <c r="O236" s="1500">
        <v>474.6</v>
      </c>
      <c r="P236" s="1500">
        <v>384.1</v>
      </c>
      <c r="Q236" s="1500">
        <v>737.9</v>
      </c>
      <c r="R236" s="1500">
        <v>513.29999999999995</v>
      </c>
      <c r="S236" s="1500">
        <v>465.7</v>
      </c>
      <c r="T236" s="1203"/>
      <c r="U236" s="1203"/>
      <c r="V236" s="1203"/>
      <c r="W236" s="1203"/>
      <c r="X236" s="1203"/>
      <c r="Y236" s="1203"/>
      <c r="Z236" s="1203"/>
    </row>
    <row r="237" spans="1:26">
      <c r="A237" s="1203" t="s">
        <v>2042</v>
      </c>
      <c r="B237" s="1500">
        <v>201.5</v>
      </c>
      <c r="C237" s="1500">
        <v>102.7</v>
      </c>
      <c r="D237" s="1500">
        <v>294.2</v>
      </c>
      <c r="E237" s="1500">
        <v>161.5</v>
      </c>
      <c r="F237" s="1500">
        <v>164.5</v>
      </c>
      <c r="G237" s="1500">
        <v>68.2</v>
      </c>
      <c r="H237" s="1500">
        <v>74.8</v>
      </c>
      <c r="I237" s="1500">
        <v>105</v>
      </c>
      <c r="J237" s="1500">
        <v>115.9</v>
      </c>
      <c r="K237" s="1500">
        <v>165</v>
      </c>
      <c r="L237" s="1500">
        <v>194.6</v>
      </c>
      <c r="M237" s="1500">
        <v>203.6</v>
      </c>
      <c r="N237" s="1500">
        <v>221.1</v>
      </c>
      <c r="O237" s="1500">
        <v>275.2</v>
      </c>
      <c r="P237" s="1500">
        <v>296.3</v>
      </c>
      <c r="Q237" s="1500">
        <v>307.3</v>
      </c>
      <c r="R237" s="1500">
        <v>270.60000000000002</v>
      </c>
      <c r="S237" s="1500">
        <v>292.7</v>
      </c>
      <c r="W237" s="1203"/>
      <c r="X237" s="1203"/>
      <c r="Y237" s="1203"/>
      <c r="Z237" s="1203"/>
    </row>
    <row r="238" spans="1:26">
      <c r="A238" s="1203" t="s">
        <v>2043</v>
      </c>
      <c r="B238" s="1500">
        <v>4317.8</v>
      </c>
      <c r="C238" s="1500">
        <v>4412.5</v>
      </c>
      <c r="D238" s="1500">
        <v>4099.3999999999996</v>
      </c>
      <c r="E238" s="1500">
        <v>4104.3</v>
      </c>
      <c r="F238" s="1500">
        <v>4101.7</v>
      </c>
      <c r="G238" s="1500">
        <v>4201.3</v>
      </c>
      <c r="H238" s="1500">
        <v>4202.2</v>
      </c>
      <c r="I238" s="1500">
        <v>4128</v>
      </c>
      <c r="J238" s="1500">
        <v>4138.1000000000004</v>
      </c>
      <c r="K238" s="1500">
        <v>4288.8999999999996</v>
      </c>
      <c r="L238" s="1500">
        <v>4283.2</v>
      </c>
      <c r="M238" s="1500">
        <v>4284.3999999999996</v>
      </c>
      <c r="N238" s="1500">
        <v>4281.5</v>
      </c>
      <c r="O238" s="1500">
        <v>4336.1000000000004</v>
      </c>
      <c r="P238" s="1500">
        <v>4336</v>
      </c>
      <c r="Q238" s="1500">
        <v>4536.3</v>
      </c>
      <c r="R238" s="1500">
        <v>4529.2</v>
      </c>
      <c r="S238" s="1500">
        <v>4518.3999999999996</v>
      </c>
      <c r="W238" s="1203"/>
      <c r="X238" s="1203"/>
      <c r="Y238" s="1203"/>
      <c r="Z238" s="1203"/>
    </row>
    <row r="239" spans="1:26">
      <c r="A239" s="1203"/>
      <c r="W239" s="1203"/>
      <c r="X239" s="1203"/>
      <c r="Y239" s="1203"/>
      <c r="Z239" s="1203"/>
    </row>
    <row r="240" spans="1:26">
      <c r="A240" s="1203" t="s">
        <v>6923</v>
      </c>
      <c r="B240" s="1500">
        <v>70.5</v>
      </c>
      <c r="C240" s="1500">
        <f>152-B240</f>
        <v>81.5</v>
      </c>
      <c r="D240" s="1500">
        <f>234.1-B240-C240</f>
        <v>82.1</v>
      </c>
      <c r="E240" s="1500">
        <f>317.2-B240-C240-D240</f>
        <v>83.1</v>
      </c>
      <c r="F240" s="1500">
        <v>60.3</v>
      </c>
      <c r="G240" s="1500">
        <f>153.6-F240</f>
        <v>93.3</v>
      </c>
      <c r="H240" s="1500">
        <f>255.4-F240-G240</f>
        <v>101.80000000000003</v>
      </c>
      <c r="I240" s="1500">
        <f>357.2-F240-G240-H240</f>
        <v>101.79999999999994</v>
      </c>
      <c r="J240" s="1500">
        <v>66.7</v>
      </c>
      <c r="K240" s="1500">
        <f>154.6-J240</f>
        <v>87.899999999999991</v>
      </c>
      <c r="L240" s="1500">
        <f>255-J240-K240</f>
        <v>100.40000000000002</v>
      </c>
      <c r="M240" s="1500">
        <f>369.3-J240-K240-L240</f>
        <v>114.30000000000003</v>
      </c>
      <c r="N240" s="1500">
        <v>76.5</v>
      </c>
      <c r="O240" s="1500">
        <f>187.6-N240</f>
        <v>111.1</v>
      </c>
      <c r="P240" s="1500">
        <f>293.6-N240-O240</f>
        <v>106.00000000000003</v>
      </c>
      <c r="Q240" s="1500">
        <f>399.7-N240-O240-P240</f>
        <v>106.09999999999997</v>
      </c>
      <c r="R240" s="1500">
        <f>R225</f>
        <v>72.7</v>
      </c>
      <c r="S240" s="1500">
        <f>S225</f>
        <v>101.1</v>
      </c>
      <c r="W240" s="1203"/>
      <c r="X240" s="1203"/>
      <c r="Y240" s="1203"/>
      <c r="Z240" s="1203"/>
    </row>
    <row r="241" spans="1:26">
      <c r="A241" s="1203" t="s">
        <v>2722</v>
      </c>
      <c r="N241" s="1500">
        <v>55.9</v>
      </c>
      <c r="Q241" s="1602">
        <f>254.4-N241-O241-P241</f>
        <v>198.5</v>
      </c>
      <c r="R241" s="1602">
        <v>53.2</v>
      </c>
      <c r="S241" s="1602">
        <f>112.2-R241</f>
        <v>59</v>
      </c>
      <c r="W241" s="1203"/>
      <c r="X241" s="1203"/>
      <c r="Y241" s="1203"/>
      <c r="Z241" s="1203"/>
    </row>
    <row r="242" spans="1:26">
      <c r="W242" s="1203"/>
      <c r="X242" s="1203"/>
      <c r="Y242" s="1203"/>
      <c r="Z242" s="1203"/>
    </row>
    <row r="243" spans="1:26">
      <c r="A243" s="1203" t="s">
        <v>7020</v>
      </c>
      <c r="B243" s="1203"/>
      <c r="C243" s="1360">
        <f t="shared" ref="C243:S243" si="66">C231/((B224+C224)*2)</f>
        <v>4.3065994500458293</v>
      </c>
      <c r="D243" s="1360">
        <f t="shared" si="66"/>
        <v>4.5104952830188676</v>
      </c>
      <c r="E243" s="1360">
        <f t="shared" si="66"/>
        <v>4.2003333333333339</v>
      </c>
      <c r="F243" s="1360">
        <f t="shared" si="66"/>
        <v>4.1673994284458127</v>
      </c>
      <c r="G243" s="1360">
        <f t="shared" si="66"/>
        <v>4.0697319677489645</v>
      </c>
      <c r="H243" s="1360">
        <f t="shared" si="66"/>
        <v>4.0260202979917947</v>
      </c>
      <c r="I243" s="1360">
        <f t="shared" si="66"/>
        <v>3.7580380913372924</v>
      </c>
      <c r="J243" s="1360">
        <f t="shared" si="66"/>
        <v>3.7746034973566487</v>
      </c>
      <c r="K243" s="1360">
        <f t="shared" si="66"/>
        <v>3.7827515400410672</v>
      </c>
      <c r="L243" s="1360">
        <f t="shared" si="66"/>
        <v>4.0823684745074145</v>
      </c>
      <c r="M243" s="1360">
        <f t="shared" si="66"/>
        <v>3.849405805571791</v>
      </c>
      <c r="N243" s="1360">
        <f t="shared" si="66"/>
        <v>3.8377369327972439</v>
      </c>
      <c r="O243" s="1360">
        <f t="shared" si="66"/>
        <v>3.9412157012195124</v>
      </c>
      <c r="P243" s="1360">
        <f>P231/((O224+P224)*2)</f>
        <v>3.8577915001816199</v>
      </c>
      <c r="Q243" s="1360">
        <f t="shared" si="66"/>
        <v>3.6566619166369789</v>
      </c>
      <c r="R243" s="1360">
        <f t="shared" si="66"/>
        <v>3.8624076410163988</v>
      </c>
      <c r="S243" s="1360">
        <f t="shared" si="66"/>
        <v>3.9396192203082498</v>
      </c>
      <c r="T243" s="1203"/>
      <c r="U243" s="1203"/>
      <c r="V243" s="1203"/>
      <c r="W243" s="1203"/>
      <c r="X243" s="1203"/>
      <c r="Y243" s="1203"/>
      <c r="Z243" s="1203"/>
    </row>
    <row r="244" spans="1:26">
      <c r="A244" s="1203"/>
      <c r="B244" s="1203"/>
      <c r="C244" s="1203"/>
      <c r="D244" s="1203"/>
      <c r="E244" s="1203"/>
      <c r="F244" s="1203"/>
      <c r="G244" s="1203"/>
      <c r="H244" s="1203"/>
      <c r="I244" s="1203"/>
      <c r="J244" s="1203"/>
      <c r="K244" s="1203"/>
      <c r="L244" s="1203"/>
      <c r="M244" s="1203"/>
      <c r="N244" s="1203"/>
      <c r="O244" s="1203"/>
      <c r="P244" s="1203"/>
      <c r="Q244" s="1203"/>
      <c r="R244" s="1203"/>
      <c r="T244" s="1203"/>
      <c r="U244" s="1203"/>
      <c r="V244" s="1203"/>
      <c r="W244" s="1203"/>
      <c r="X244" s="1203"/>
      <c r="Y244" s="1203"/>
      <c r="Z244" s="1203"/>
    </row>
    <row r="245" spans="1:26" ht="15.75" thickBot="1">
      <c r="A245" s="1498"/>
      <c r="B245" s="1499">
        <v>2023</v>
      </c>
      <c r="C245" s="1499">
        <v>2024</v>
      </c>
      <c r="D245" s="1499">
        <v>2025</v>
      </c>
      <c r="E245" s="1499">
        <v>2026</v>
      </c>
      <c r="F245" s="1499">
        <v>2027</v>
      </c>
      <c r="G245" s="1499">
        <v>2028</v>
      </c>
      <c r="H245" s="1499">
        <v>2029</v>
      </c>
      <c r="I245" s="1499">
        <v>2030</v>
      </c>
      <c r="J245" s="1499">
        <v>2031</v>
      </c>
      <c r="K245" s="1499">
        <v>2032</v>
      </c>
      <c r="L245" s="1499">
        <v>2033</v>
      </c>
      <c r="M245" s="1499">
        <v>2034</v>
      </c>
      <c r="N245" s="1499">
        <v>2035</v>
      </c>
      <c r="O245" s="1499" t="s">
        <v>6920</v>
      </c>
      <c r="P245" s="1203"/>
      <c r="Q245" s="1203"/>
      <c r="R245" s="1203"/>
      <c r="S245" s="1203"/>
      <c r="T245" s="1203"/>
      <c r="U245" s="1203"/>
      <c r="V245" s="1203"/>
      <c r="W245" s="1203"/>
      <c r="X245" s="1203"/>
      <c r="Y245" s="1203"/>
      <c r="Z245" s="1203"/>
    </row>
    <row r="246" spans="1:26">
      <c r="A246" s="1203" t="s">
        <v>6921</v>
      </c>
      <c r="B246" s="1500"/>
      <c r="C246" s="1500">
        <v>239.4</v>
      </c>
      <c r="D246" s="1500">
        <v>59.7</v>
      </c>
      <c r="E246" s="1500">
        <v>27.9</v>
      </c>
      <c r="F246" s="1500">
        <v>1720.3</v>
      </c>
      <c r="G246" s="1500">
        <v>2003.2</v>
      </c>
      <c r="H246" s="1500">
        <v>760.59999999999945</v>
      </c>
      <c r="I246" s="1501">
        <v>176.7</v>
      </c>
      <c r="J246" s="1306"/>
      <c r="K246" s="1306"/>
      <c r="L246" s="1306"/>
      <c r="M246" s="1306"/>
      <c r="N246" s="1306"/>
      <c r="O246" s="1306"/>
      <c r="P246" s="1203"/>
      <c r="Q246" s="1203"/>
      <c r="R246" s="1203"/>
      <c r="T246" s="1306">
        <f>SUM(B246:O246)</f>
        <v>4987.7999999999993</v>
      </c>
      <c r="U246" s="1203"/>
      <c r="V246" s="1203"/>
      <c r="W246" s="1203"/>
      <c r="X246" s="1203"/>
      <c r="Y246" s="1203"/>
      <c r="Z246" s="1203"/>
    </row>
    <row r="247" spans="1:26">
      <c r="A247" s="1203"/>
      <c r="B247" s="1203"/>
      <c r="C247" s="1203"/>
      <c r="D247" s="1203"/>
      <c r="E247" s="1203"/>
      <c r="F247" s="1203"/>
      <c r="G247" s="1203"/>
      <c r="H247" s="1203"/>
      <c r="I247" s="1203"/>
      <c r="J247" s="1203"/>
      <c r="K247" s="1203"/>
      <c r="L247" s="1203"/>
      <c r="M247" s="1203"/>
      <c r="N247" s="1203"/>
      <c r="O247" s="1203"/>
      <c r="P247" s="1203"/>
      <c r="Q247" s="1203"/>
      <c r="R247" s="1203"/>
      <c r="S247" s="1203"/>
      <c r="T247" s="1203"/>
      <c r="U247" s="1203"/>
      <c r="V247" s="1203"/>
    </row>
    <row r="248" spans="1:26">
      <c r="A248" s="1203"/>
      <c r="B248" s="1203"/>
      <c r="C248" s="1203"/>
      <c r="D248" s="1203"/>
      <c r="E248" s="1203"/>
      <c r="F248" s="1203"/>
      <c r="G248" s="1203"/>
      <c r="H248" s="1203"/>
      <c r="I248" s="1203"/>
      <c r="J248" s="1203"/>
      <c r="K248" s="1203"/>
      <c r="L248" s="1203"/>
      <c r="M248" s="1203"/>
      <c r="N248" s="1203"/>
      <c r="O248" s="1203"/>
      <c r="P248" s="1203"/>
      <c r="Q248" s="1203"/>
      <c r="R248" s="1203"/>
      <c r="S248" s="1203"/>
      <c r="T248" s="1203"/>
      <c r="U248" s="1203"/>
      <c r="V248" s="1203"/>
    </row>
    <row r="249" spans="1:26">
      <c r="A249" s="1203"/>
      <c r="B249" s="1203"/>
      <c r="C249" s="1203"/>
      <c r="D249" s="1203"/>
      <c r="E249" s="1203"/>
      <c r="F249" s="1203"/>
      <c r="G249" s="1203"/>
      <c r="H249" s="1203"/>
      <c r="I249" s="1203"/>
      <c r="J249" s="1203"/>
      <c r="K249" s="1203"/>
      <c r="L249" s="1203"/>
      <c r="M249" s="1203"/>
      <c r="N249" s="1203"/>
      <c r="O249" s="1203"/>
      <c r="P249" s="1203"/>
      <c r="Q249" s="1203"/>
      <c r="R249" s="1203"/>
      <c r="S249" s="1203"/>
      <c r="T249" s="1203"/>
      <c r="U249" s="1203"/>
      <c r="V249" s="1203"/>
    </row>
    <row r="250" spans="1:26">
      <c r="A250" s="1447" t="s">
        <v>7771</v>
      </c>
      <c r="B250" s="1447"/>
      <c r="C250" s="1203"/>
      <c r="D250" s="1203"/>
      <c r="E250" s="1203"/>
      <c r="F250" s="1203"/>
      <c r="G250" s="1203"/>
      <c r="H250" s="1203"/>
      <c r="I250" s="1203"/>
      <c r="J250" s="1203"/>
      <c r="K250" s="1203"/>
      <c r="L250" s="1203"/>
      <c r="M250" s="1203"/>
      <c r="N250" s="1203"/>
      <c r="O250" s="1203"/>
      <c r="P250" s="1203"/>
      <c r="Q250" s="1203"/>
      <c r="R250" s="1203"/>
      <c r="S250" s="1203"/>
      <c r="T250" s="1203"/>
      <c r="U250" s="1203"/>
      <c r="V250" s="1203"/>
    </row>
    <row r="251" spans="1:26" ht="15.75" thickBot="1">
      <c r="A251" s="1449" t="s">
        <v>833</v>
      </c>
      <c r="B251" s="1449"/>
      <c r="C251" s="1203"/>
      <c r="D251" s="1203"/>
      <c r="E251" s="1203"/>
      <c r="F251" s="1203"/>
      <c r="G251" s="1203"/>
      <c r="H251" s="1203"/>
      <c r="I251" s="1203"/>
      <c r="J251" s="1203"/>
      <c r="K251" s="1203"/>
      <c r="L251" s="1203"/>
      <c r="M251" s="1203"/>
      <c r="N251" s="1203"/>
      <c r="O251" s="1203"/>
      <c r="P251" s="1203"/>
      <c r="Q251" s="1203"/>
      <c r="R251" s="1203"/>
      <c r="S251" s="1203"/>
      <c r="T251" s="1203"/>
      <c r="U251" s="1203"/>
      <c r="V251" s="1203"/>
    </row>
    <row r="252" spans="1:26">
      <c r="A252" s="1302" t="s">
        <v>378</v>
      </c>
      <c r="B252" s="1304">
        <f>'New Format'!L310</f>
        <v>8.1559999999999994E-2</v>
      </c>
      <c r="C252" s="1203"/>
      <c r="D252" s="1203"/>
      <c r="E252" s="1203"/>
      <c r="F252" s="1203"/>
      <c r="G252" s="1203"/>
      <c r="H252" s="1203"/>
      <c r="I252" s="1203"/>
      <c r="J252" s="1203"/>
      <c r="K252" s="1203"/>
      <c r="L252" s="1203"/>
      <c r="M252" s="1203"/>
      <c r="N252" s="1203"/>
      <c r="O252" s="1203"/>
      <c r="P252" s="1203"/>
      <c r="Q252" s="1203"/>
      <c r="R252" s="1203"/>
      <c r="S252" s="1203"/>
      <c r="T252" s="1203"/>
      <c r="U252" s="1203"/>
      <c r="V252" s="1203"/>
    </row>
    <row r="253" spans="1:26">
      <c r="A253" s="1452" t="s">
        <v>6819</v>
      </c>
      <c r="B253" s="1468">
        <f>'New Format'!D323</f>
        <v>0</v>
      </c>
      <c r="C253" s="1203"/>
      <c r="D253" s="1203"/>
      <c r="E253" s="1203"/>
      <c r="F253" s="1203"/>
      <c r="G253" s="1203"/>
      <c r="H253" s="1203"/>
      <c r="I253" s="1203"/>
      <c r="J253" s="1203"/>
      <c r="K253" s="1203"/>
      <c r="L253" s="1203"/>
      <c r="M253" s="1203"/>
      <c r="N253" s="1203"/>
      <c r="O253" s="1203"/>
      <c r="P253" s="1203"/>
      <c r="Q253" s="1203"/>
      <c r="R253" s="1203"/>
      <c r="S253" s="1203"/>
      <c r="T253" s="1203"/>
      <c r="U253" s="1203"/>
      <c r="V253" s="1203"/>
    </row>
    <row r="254" spans="1:26">
      <c r="A254" s="1302" t="s">
        <v>6820</v>
      </c>
      <c r="B254" s="1469">
        <f>1/(B252-B253)</f>
        <v>12.260912211868565</v>
      </c>
      <c r="C254" s="1203"/>
      <c r="D254" s="1203"/>
      <c r="E254" s="1203"/>
      <c r="F254" s="1203"/>
      <c r="G254" s="1203"/>
      <c r="H254" s="1203"/>
      <c r="I254" s="1203"/>
      <c r="J254" s="1203"/>
      <c r="K254" s="1203"/>
      <c r="L254" s="1203"/>
      <c r="M254" s="1203"/>
      <c r="N254" s="1203"/>
      <c r="O254" s="1203"/>
      <c r="P254" s="1203"/>
      <c r="Q254" s="1203"/>
      <c r="R254" s="1203"/>
      <c r="S254" s="1203"/>
      <c r="T254" s="1203"/>
      <c r="U254" s="1203"/>
      <c r="V254" s="1203"/>
    </row>
    <row r="255" spans="1:26">
      <c r="A255" s="1457" t="s">
        <v>331</v>
      </c>
      <c r="B255" s="1470">
        <f>'New Format'!G323</f>
        <v>1282.6418699323017</v>
      </c>
      <c r="C255" s="1203"/>
      <c r="D255" s="1203"/>
      <c r="E255" s="1203"/>
      <c r="F255" s="1203"/>
      <c r="G255" s="1203"/>
      <c r="H255" s="1203"/>
      <c r="I255" s="1203"/>
      <c r="J255" s="1203"/>
      <c r="K255" s="1203"/>
      <c r="L255" s="1203"/>
      <c r="M255" s="1203"/>
      <c r="N255" s="1203"/>
      <c r="O255" s="1203"/>
      <c r="P255" s="1203"/>
      <c r="Q255" s="1203"/>
      <c r="R255" s="1203"/>
      <c r="S255" s="1203"/>
      <c r="T255" s="1203"/>
      <c r="U255" s="1203"/>
      <c r="V255" s="1203"/>
    </row>
    <row r="256" spans="1:26">
      <c r="A256" s="1302" t="s">
        <v>6862</v>
      </c>
      <c r="B256" s="1337">
        <f>B255/'Costa Rica'!J248</f>
        <v>5.905290497267111</v>
      </c>
      <c r="C256" s="1203"/>
      <c r="D256" s="1203"/>
      <c r="E256" s="1203"/>
      <c r="F256" s="1203"/>
      <c r="G256" s="1203"/>
      <c r="H256" s="1203"/>
      <c r="I256" s="1203"/>
      <c r="J256" s="1203"/>
      <c r="K256" s="1203"/>
      <c r="L256" s="1203"/>
      <c r="M256" s="1203"/>
      <c r="N256" s="1203"/>
      <c r="O256" s="1203"/>
      <c r="P256" s="1203"/>
      <c r="Q256" s="1203"/>
      <c r="R256" s="1203"/>
      <c r="S256" s="1203"/>
      <c r="T256" s="1203"/>
      <c r="U256" s="1203"/>
      <c r="V256" s="1203"/>
    </row>
    <row r="257" spans="1:22">
      <c r="A257" s="1452"/>
      <c r="B257" s="1452"/>
      <c r="C257" s="1203"/>
      <c r="D257" s="1203"/>
      <c r="E257" s="1203"/>
      <c r="F257" s="1203"/>
      <c r="G257" s="1203"/>
      <c r="H257" s="1203"/>
      <c r="I257" s="1203"/>
      <c r="J257" s="1203"/>
      <c r="K257" s="1203"/>
      <c r="L257" s="1203"/>
      <c r="M257" s="1203"/>
      <c r="N257" s="1203"/>
      <c r="O257" s="1203"/>
      <c r="P257" s="1203"/>
      <c r="Q257" s="1203"/>
      <c r="R257" s="1203"/>
      <c r="S257" s="1203"/>
      <c r="T257" s="1203"/>
      <c r="U257" s="1203"/>
      <c r="V257" s="1203"/>
    </row>
    <row r="258" spans="1:22">
      <c r="A258" s="1318" t="s">
        <v>331</v>
      </c>
      <c r="B258" s="1319">
        <f>B255</f>
        <v>1282.6418699323017</v>
      </c>
      <c r="C258" s="1203"/>
      <c r="D258" s="1203"/>
      <c r="E258" s="1203"/>
      <c r="F258" s="1203"/>
      <c r="G258" s="1203"/>
      <c r="H258" s="1203"/>
      <c r="I258" s="1203"/>
      <c r="J258" s="1203"/>
      <c r="K258" s="1203"/>
      <c r="L258" s="1203"/>
      <c r="M258" s="1203"/>
      <c r="N258" s="1203"/>
      <c r="O258" s="1203"/>
      <c r="P258" s="1203"/>
      <c r="Q258" s="1203"/>
      <c r="R258" s="1203"/>
      <c r="S258" s="1203"/>
      <c r="T258" s="1203"/>
      <c r="U258" s="1203"/>
      <c r="V258" s="1203"/>
    </row>
    <row r="259" spans="1:22">
      <c r="A259" s="1452" t="s">
        <v>6824</v>
      </c>
      <c r="B259" s="1471">
        <f ca="1">-'Costa Rica'!J255</f>
        <v>-371.00782442441749</v>
      </c>
      <c r="C259" s="1203"/>
      <c r="D259" s="1203"/>
      <c r="E259" s="1203"/>
      <c r="F259" s="1203"/>
      <c r="G259" s="1203"/>
      <c r="H259" s="1203"/>
      <c r="I259" s="1203"/>
      <c r="J259" s="1203"/>
      <c r="K259" s="1203"/>
      <c r="L259" s="1203"/>
      <c r="M259" s="1203"/>
      <c r="N259" s="1203"/>
      <c r="O259" s="1203"/>
      <c r="P259" s="1203"/>
      <c r="Q259" s="1203"/>
      <c r="R259" s="1203"/>
      <c r="S259" s="1203"/>
      <c r="T259" s="1203"/>
      <c r="U259" s="1203"/>
      <c r="V259" s="1203"/>
    </row>
    <row r="260" spans="1:22">
      <c r="A260" s="1302" t="s">
        <v>5071</v>
      </c>
      <c r="B260" s="1303">
        <v>0</v>
      </c>
      <c r="C260" s="1203"/>
      <c r="D260" s="1203"/>
      <c r="E260" s="1203"/>
      <c r="F260" s="1203"/>
      <c r="G260" s="1203"/>
      <c r="H260" s="1203"/>
      <c r="I260" s="1203"/>
      <c r="J260" s="1203"/>
      <c r="K260" s="1203"/>
      <c r="L260" s="1203"/>
      <c r="M260" s="1203"/>
      <c r="N260" s="1203"/>
      <c r="O260" s="1203"/>
      <c r="P260" s="1203"/>
      <c r="Q260" s="1203"/>
      <c r="R260" s="1203"/>
      <c r="S260" s="1203"/>
      <c r="T260" s="1203"/>
      <c r="U260" s="1203"/>
      <c r="V260" s="1203"/>
    </row>
    <row r="261" spans="1:22">
      <c r="A261" s="1457" t="s">
        <v>826</v>
      </c>
      <c r="B261" s="1470">
        <f ca="1">SUM(B258:B260)</f>
        <v>911.63404550788414</v>
      </c>
      <c r="C261" s="1203"/>
      <c r="D261" s="1203"/>
      <c r="E261" s="1203"/>
      <c r="F261" s="1203"/>
      <c r="G261" s="1203"/>
      <c r="H261" s="1203"/>
      <c r="I261" s="1203"/>
      <c r="J261" s="1203"/>
      <c r="K261" s="1203"/>
      <c r="L261" s="1203"/>
      <c r="M261" s="1203"/>
      <c r="N261" s="1203"/>
      <c r="O261" s="1203"/>
      <c r="P261" s="1203"/>
      <c r="Q261" s="1203"/>
      <c r="R261" s="1203"/>
      <c r="S261" s="1203"/>
      <c r="T261" s="1203"/>
      <c r="U261" s="1203"/>
      <c r="V261" s="1203"/>
    </row>
    <row r="262" spans="1:22">
      <c r="A262" s="1302" t="s">
        <v>6821</v>
      </c>
      <c r="B262" s="1304">
        <f ca="1">B261/(B258+B260)</f>
        <v>0.71074714374948678</v>
      </c>
      <c r="C262" s="1203"/>
      <c r="D262" s="1203"/>
      <c r="E262" s="1203"/>
      <c r="F262" s="1203"/>
      <c r="G262" s="1203"/>
      <c r="H262" s="1203"/>
      <c r="I262" s="1203"/>
      <c r="J262" s="1203"/>
      <c r="K262" s="1203"/>
      <c r="L262" s="1203"/>
      <c r="M262" s="1203"/>
      <c r="N262" s="1203"/>
      <c r="O262" s="1203"/>
      <c r="P262" s="1203"/>
      <c r="Q262" s="1203"/>
      <c r="R262" s="1203"/>
      <c r="S262" s="1203"/>
      <c r="T262" s="1203"/>
      <c r="U262" s="1203"/>
      <c r="V262" s="1203"/>
    </row>
    <row r="263" spans="1:22">
      <c r="A263" s="1452" t="s">
        <v>6822</v>
      </c>
      <c r="B263" s="1471">
        <f>B258+B260</f>
        <v>1282.6418699323017</v>
      </c>
      <c r="C263" s="1203"/>
      <c r="D263" s="1203"/>
      <c r="E263" s="1203"/>
      <c r="F263" s="1203"/>
      <c r="G263" s="1307"/>
      <c r="H263" s="1203"/>
      <c r="I263" s="1203"/>
      <c r="J263" s="1203"/>
      <c r="K263" s="1203"/>
      <c r="L263" s="1203"/>
      <c r="M263" s="1203"/>
      <c r="N263" s="1203"/>
      <c r="O263" s="1203"/>
      <c r="P263" s="1203"/>
      <c r="Q263" s="1203"/>
      <c r="R263" s="1203"/>
      <c r="S263" s="1203"/>
      <c r="T263" s="1203"/>
      <c r="U263" s="1203"/>
      <c r="V263" s="1203"/>
    </row>
    <row r="264" spans="1:22">
      <c r="A264" s="1318" t="s">
        <v>6823</v>
      </c>
      <c r="B264" s="1472">
        <f ca="1">B263/-B259</f>
        <v>3.4571828017972281</v>
      </c>
      <c r="C264" s="1203"/>
      <c r="D264" s="1203"/>
      <c r="E264" s="1203"/>
      <c r="F264" s="1203"/>
      <c r="G264" s="1307"/>
      <c r="H264" s="1203"/>
      <c r="I264" s="1203"/>
      <c r="J264" s="1203"/>
      <c r="K264" s="1203"/>
      <c r="L264" s="1203"/>
      <c r="M264" s="1203"/>
      <c r="N264" s="1203"/>
      <c r="O264" s="1203"/>
      <c r="P264" s="1203"/>
      <c r="Q264" s="1203"/>
      <c r="R264" s="1203"/>
      <c r="S264" s="1203"/>
      <c r="T264" s="1203"/>
      <c r="U264" s="1203"/>
      <c r="V264" s="1203"/>
    </row>
    <row r="265" spans="1:22">
      <c r="A265" s="1203"/>
      <c r="B265" s="1203"/>
      <c r="C265" s="1203"/>
      <c r="D265" s="1203"/>
      <c r="E265" s="1203"/>
      <c r="F265" s="1203"/>
      <c r="G265" s="1307"/>
      <c r="H265" s="1203"/>
      <c r="I265" s="1203"/>
      <c r="J265" s="1203"/>
      <c r="K265" s="1203"/>
      <c r="L265" s="1203"/>
      <c r="M265" s="1203"/>
      <c r="N265" s="1203"/>
      <c r="O265" s="1203"/>
      <c r="P265" s="1203"/>
      <c r="Q265" s="1203"/>
      <c r="R265" s="1203"/>
      <c r="S265" s="1203"/>
      <c r="T265" s="1203"/>
      <c r="U265" s="1203"/>
      <c r="V265" s="1203"/>
    </row>
    <row r="266" spans="1:22">
      <c r="A266" s="1203"/>
      <c r="B266" s="1203"/>
      <c r="C266" s="1203"/>
      <c r="D266" s="1203"/>
      <c r="E266" s="1203"/>
      <c r="F266" s="1203"/>
      <c r="G266" s="1307"/>
      <c r="H266" s="1203"/>
      <c r="I266" s="1203"/>
      <c r="J266" s="1203"/>
      <c r="K266" s="1203"/>
      <c r="L266" s="1203"/>
      <c r="M266" s="1203"/>
      <c r="N266" s="1203"/>
      <c r="O266" s="1203"/>
      <c r="P266" s="1203"/>
      <c r="Q266" s="1203"/>
      <c r="R266" s="1203"/>
      <c r="S266" s="1203"/>
      <c r="T266" s="1203"/>
      <c r="U266" s="1203"/>
      <c r="V266" s="1203"/>
    </row>
    <row r="267" spans="1:22">
      <c r="A267" s="1203"/>
      <c r="B267" s="1203"/>
      <c r="C267" s="1203"/>
      <c r="D267" s="1203"/>
      <c r="E267" s="1203"/>
      <c r="F267" s="1203"/>
      <c r="G267" s="1307"/>
      <c r="H267" s="1203"/>
      <c r="I267" s="1203"/>
      <c r="J267" s="1203"/>
      <c r="K267" s="1203"/>
      <c r="L267" s="1203"/>
      <c r="M267" s="1203"/>
      <c r="N267" s="1203"/>
      <c r="O267" s="1203"/>
      <c r="P267" s="1203"/>
      <c r="Q267" s="1203"/>
      <c r="R267" s="1203"/>
      <c r="S267" s="1203"/>
      <c r="T267" s="1203"/>
      <c r="U267" s="1203"/>
      <c r="V267" s="1203"/>
    </row>
    <row r="268" spans="1:22">
      <c r="A268" s="1447" t="s">
        <v>7771</v>
      </c>
      <c r="B268" s="1497"/>
      <c r="C268" s="1497"/>
      <c r="D268" s="1497"/>
      <c r="E268" s="1497"/>
      <c r="F268" s="1497"/>
      <c r="G268" s="1497"/>
      <c r="H268" s="1497"/>
      <c r="I268" s="1497"/>
      <c r="J268" s="1497"/>
      <c r="K268" s="1497"/>
      <c r="L268" s="1497"/>
      <c r="M268" s="1497"/>
      <c r="N268" s="1497"/>
      <c r="O268" s="1497"/>
      <c r="P268" s="1497"/>
      <c r="Q268" s="1497"/>
      <c r="R268" s="1497"/>
      <c r="S268" s="1497"/>
      <c r="T268" s="1203"/>
      <c r="U268" s="1203"/>
      <c r="V268" s="1203"/>
    </row>
    <row r="269" spans="1:22" ht="15.75" thickBot="1">
      <c r="A269" s="1498" t="s">
        <v>44</v>
      </c>
      <c r="B269" s="1499" t="s">
        <v>4755</v>
      </c>
      <c r="C269" s="1499" t="s">
        <v>4922</v>
      </c>
      <c r="D269" s="1499" t="s">
        <v>5188</v>
      </c>
      <c r="E269" s="1499" t="s">
        <v>5371</v>
      </c>
      <c r="F269" s="1499" t="s">
        <v>5556</v>
      </c>
      <c r="G269" s="1499" t="s">
        <v>5696</v>
      </c>
      <c r="H269" s="1499" t="s">
        <v>5878</v>
      </c>
      <c r="I269" s="1499" t="s">
        <v>5920</v>
      </c>
      <c r="J269" s="1499" t="s">
        <v>5949</v>
      </c>
      <c r="K269" s="1499" t="s">
        <v>5950</v>
      </c>
      <c r="L269" s="1499" t="s">
        <v>5951</v>
      </c>
      <c r="M269" s="1499" t="s">
        <v>5952</v>
      </c>
      <c r="N269" s="1499" t="s">
        <v>6525</v>
      </c>
      <c r="O269" s="1499" t="s">
        <v>6526</v>
      </c>
      <c r="P269" s="1499" t="s">
        <v>6527</v>
      </c>
      <c r="Q269" s="1499" t="s">
        <v>6528</v>
      </c>
      <c r="R269" s="1499" t="s">
        <v>7121</v>
      </c>
      <c r="S269" s="1499" t="s">
        <v>7451</v>
      </c>
      <c r="T269" s="1203"/>
      <c r="U269" s="1203"/>
      <c r="V269" s="1203"/>
    </row>
    <row r="270" spans="1:22">
      <c r="A270" s="1203" t="s">
        <v>15</v>
      </c>
      <c r="B270" s="1306">
        <f>'New quarts'!AC20</f>
        <v>34.043915936081561</v>
      </c>
      <c r="C270" s="1306">
        <f>'New quarts'!AD20</f>
        <v>34.868894289185903</v>
      </c>
      <c r="D270" s="1306">
        <f>'New quarts'!AE20</f>
        <v>37.406329113924045</v>
      </c>
      <c r="E270" s="1306">
        <f>'New quarts'!AF20</f>
        <v>36.598317594036416</v>
      </c>
      <c r="F270" s="1306">
        <f>'New quarts'!AH20</f>
        <v>36.200000000000003</v>
      </c>
      <c r="G270" s="1306">
        <f>'New quarts'!AI20</f>
        <v>36.299999999999997</v>
      </c>
      <c r="H270" s="1306">
        <f>'New quarts'!AJ20</f>
        <v>76.900000000000006</v>
      </c>
      <c r="I270" s="1306">
        <f>'New quarts'!AK20</f>
        <v>106.8</v>
      </c>
      <c r="J270" s="1306">
        <f>'New quarts'!AM20</f>
        <v>107.4</v>
      </c>
      <c r="K270" s="1306">
        <f>'New quarts'!AN20</f>
        <v>108</v>
      </c>
      <c r="L270" s="1306">
        <f>'New quarts'!AO20</f>
        <v>109.2</v>
      </c>
      <c r="M270" s="1306">
        <f>'New quarts'!AP20</f>
        <v>116.7</v>
      </c>
      <c r="N270" s="1306">
        <f>'New quarts'!AR20</f>
        <v>129.19999999999999</v>
      </c>
      <c r="O270" s="1306">
        <f>'New quarts'!AS20</f>
        <v>135.19999999999999</v>
      </c>
      <c r="P270" s="1306">
        <f>'New quarts'!AT20</f>
        <v>134.6</v>
      </c>
      <c r="Q270" s="1306">
        <f>'New quarts'!AU20</f>
        <v>148.9</v>
      </c>
      <c r="R270" s="1306">
        <f>'New quarts'!AW20</f>
        <v>152.30000000000001</v>
      </c>
      <c r="S270" s="1306">
        <f>'New quarts'!AX20</f>
        <v>147.19999999999999</v>
      </c>
      <c r="T270" s="1203"/>
      <c r="U270" s="1203"/>
      <c r="V270" s="1203"/>
    </row>
    <row r="271" spans="1:22">
      <c r="A271" s="1203" t="s">
        <v>8</v>
      </c>
      <c r="B271" s="1306">
        <f>'New quarts'!AC233</f>
        <v>13.688503388671279</v>
      </c>
      <c r="C271" s="1306">
        <f>'New quarts'!AD233</f>
        <v>13.152976913730257</v>
      </c>
      <c r="D271" s="1306">
        <f>'New quarts'!AE233</f>
        <v>14.798734177215195</v>
      </c>
      <c r="E271" s="1306">
        <f>'New quarts'!AF233</f>
        <v>14.669547576564426</v>
      </c>
      <c r="F271" s="1306">
        <f>'New quarts'!AH233</f>
        <v>14.1</v>
      </c>
      <c r="G271" s="1306">
        <f>'New quarts'!AI233</f>
        <v>12.7</v>
      </c>
      <c r="H271" s="1306">
        <f>'New quarts'!AJ233</f>
        <v>24</v>
      </c>
      <c r="I271" s="1306">
        <f>'New quarts'!AK233</f>
        <v>29.4</v>
      </c>
      <c r="J271" s="1306">
        <f>'New quarts'!AM233</f>
        <v>30.2</v>
      </c>
      <c r="K271" s="1306">
        <f>'New quarts'!AN233</f>
        <v>35.6</v>
      </c>
      <c r="L271" s="1306">
        <f>'New quarts'!AO233</f>
        <v>32.799999999999997</v>
      </c>
      <c r="M271" s="1306">
        <f>'New quarts'!AP233</f>
        <v>36.1</v>
      </c>
      <c r="N271" s="1306">
        <f>'New quarts'!AR233</f>
        <v>45.2</v>
      </c>
      <c r="O271" s="1306">
        <f>'New quarts'!AS233</f>
        <v>50.1</v>
      </c>
      <c r="P271" s="1306">
        <f>'New quarts'!AT233</f>
        <v>49.9</v>
      </c>
      <c r="Q271" s="1306">
        <f>'New quarts'!AU233</f>
        <v>57.9</v>
      </c>
      <c r="R271" s="1306">
        <f>'New quarts'!AW233</f>
        <v>58.3</v>
      </c>
      <c r="S271" s="1306">
        <f>'New quarts'!AX233</f>
        <v>53.4</v>
      </c>
      <c r="T271" s="1203"/>
      <c r="U271" s="1203"/>
      <c r="V271" s="1203"/>
    </row>
    <row r="272" spans="1:22">
      <c r="A272" s="1203" t="s">
        <v>19</v>
      </c>
      <c r="B272" s="1500"/>
      <c r="C272" s="1500"/>
      <c r="D272" s="1500"/>
      <c r="E272" s="1500"/>
      <c r="F272" s="1500"/>
      <c r="G272" s="1500"/>
      <c r="H272" s="1500"/>
      <c r="I272" s="1500"/>
      <c r="J272" s="1612">
        <f t="shared" ref="J272:R272" si="67">J299*1000/J297</f>
        <v>-5.7765565478049083</v>
      </c>
      <c r="K272" s="1612">
        <f t="shared" si="67"/>
        <v>-11.045930171808994</v>
      </c>
      <c r="L272" s="1612">
        <f t="shared" si="67"/>
        <v>-31.171121856278326</v>
      </c>
      <c r="M272" s="1612">
        <f t="shared" si="67"/>
        <v>-17.4675367477424</v>
      </c>
      <c r="N272" s="1612">
        <f t="shared" si="67"/>
        <v>-12.853011532007571</v>
      </c>
      <c r="O272" s="1612">
        <f t="shared" si="67"/>
        <v>-19.708097053081715</v>
      </c>
      <c r="P272" s="1612">
        <f t="shared" si="67"/>
        <v>-22.730660307050229</v>
      </c>
      <c r="Q272" s="1612">
        <f t="shared" si="67"/>
        <v>-31.998485278803365</v>
      </c>
      <c r="R272" s="1612">
        <f t="shared" si="67"/>
        <v>-12.915851272015656</v>
      </c>
      <c r="S272" s="1612">
        <f>S299*1000/S297</f>
        <v>-23.92438326077578</v>
      </c>
      <c r="T272" s="1203"/>
      <c r="U272" s="1203"/>
      <c r="V272" s="1203"/>
    </row>
    <row r="273" spans="1:22">
      <c r="A273" s="1203" t="s">
        <v>27</v>
      </c>
      <c r="B273" s="1306">
        <f>B271-B272</f>
        <v>13.688503388671279</v>
      </c>
      <c r="C273" s="1306">
        <f t="shared" ref="C273:Q273" si="68">C271-C272</f>
        <v>13.152976913730257</v>
      </c>
      <c r="D273" s="1306">
        <f t="shared" si="68"/>
        <v>14.798734177215195</v>
      </c>
      <c r="E273" s="1306">
        <f t="shared" si="68"/>
        <v>14.669547576564426</v>
      </c>
      <c r="F273" s="1306">
        <f t="shared" si="68"/>
        <v>14.1</v>
      </c>
      <c r="G273" s="1306">
        <f t="shared" si="68"/>
        <v>12.7</v>
      </c>
      <c r="H273" s="1306">
        <f t="shared" si="68"/>
        <v>24</v>
      </c>
      <c r="I273" s="1306">
        <f t="shared" si="68"/>
        <v>29.4</v>
      </c>
      <c r="J273" s="1306">
        <f t="shared" si="68"/>
        <v>35.976556547804904</v>
      </c>
      <c r="K273" s="1306">
        <f t="shared" si="68"/>
        <v>46.645930171808999</v>
      </c>
      <c r="L273" s="1306">
        <f t="shared" si="68"/>
        <v>63.971121856278323</v>
      </c>
      <c r="M273" s="1306">
        <f t="shared" si="68"/>
        <v>53.567536747742402</v>
      </c>
      <c r="N273" s="1306">
        <f t="shared" si="68"/>
        <v>58.053011532007574</v>
      </c>
      <c r="O273" s="1306">
        <f t="shared" si="68"/>
        <v>69.808097053081724</v>
      </c>
      <c r="P273" s="1306">
        <f t="shared" si="68"/>
        <v>72.630660307050221</v>
      </c>
      <c r="Q273" s="1306">
        <f t="shared" si="68"/>
        <v>89.898485278803363</v>
      </c>
      <c r="R273" s="1306">
        <f>R271-R272</f>
        <v>71.215851272015655</v>
      </c>
      <c r="S273" s="1306">
        <f>S271-S272</f>
        <v>77.324383260775775</v>
      </c>
      <c r="T273" s="1203"/>
      <c r="U273" s="1203"/>
      <c r="V273" s="1203"/>
    </row>
    <row r="274" spans="1:22">
      <c r="A274" s="1203" t="s">
        <v>679</v>
      </c>
      <c r="B274" s="1500"/>
      <c r="C274" s="1500"/>
      <c r="D274" s="1500"/>
      <c r="E274" s="1500"/>
      <c r="F274" s="1500"/>
      <c r="G274" s="1500"/>
      <c r="H274" s="1500"/>
      <c r="I274" s="1500"/>
      <c r="J274" s="1612">
        <f t="shared" ref="J274:R274" si="69">J300*1000/J297</f>
        <v>-7.8061574970336602</v>
      </c>
      <c r="K274" s="1612">
        <f t="shared" si="69"/>
        <v>-7.4634663323033754</v>
      </c>
      <c r="L274" s="1612">
        <f t="shared" si="69"/>
        <v>-7.4506583949153065</v>
      </c>
      <c r="M274" s="1612">
        <f t="shared" si="69"/>
        <v>-9.5577087865005588</v>
      </c>
      <c r="N274" s="1612">
        <f t="shared" si="69"/>
        <v>-15.17369416973116</v>
      </c>
      <c r="O274" s="1612">
        <f t="shared" si="69"/>
        <v>-0.37185088779399328</v>
      </c>
      <c r="P274" s="1612">
        <f t="shared" si="69"/>
        <v>-22.916977194812937</v>
      </c>
      <c r="Q274" s="1612">
        <f t="shared" si="69"/>
        <v>0</v>
      </c>
      <c r="R274" s="1612">
        <f t="shared" si="69"/>
        <v>-25.048923679060664</v>
      </c>
      <c r="S274" s="1612">
        <f>S300*1000/S297</f>
        <v>-0.19610150213750568</v>
      </c>
      <c r="T274" s="1203"/>
      <c r="U274" s="1203"/>
      <c r="V274" s="1203"/>
    </row>
    <row r="275" spans="1:22">
      <c r="A275" s="1203" t="s">
        <v>205</v>
      </c>
      <c r="B275" s="1500"/>
      <c r="C275" s="1500"/>
      <c r="D275" s="1500"/>
      <c r="E275" s="1500"/>
      <c r="F275" s="1500"/>
      <c r="G275" s="1500"/>
      <c r="H275" s="1500"/>
      <c r="I275" s="1500"/>
      <c r="J275" s="1612">
        <f t="shared" ref="J275:R275" si="70">J301*1000/J297</f>
        <v>-10.616374195965777</v>
      </c>
      <c r="K275" s="1612">
        <f t="shared" si="70"/>
        <v>-7.4634663323033772</v>
      </c>
      <c r="L275" s="1612">
        <f t="shared" si="70"/>
        <v>-5.3218988535109313</v>
      </c>
      <c r="M275" s="1612">
        <f t="shared" si="70"/>
        <v>-5.9323709709313786</v>
      </c>
      <c r="N275" s="1612">
        <f t="shared" si="70"/>
        <v>-1.9636545396122678</v>
      </c>
      <c r="O275" s="1612">
        <f t="shared" si="70"/>
        <v>-2.0451798828669703</v>
      </c>
      <c r="P275" s="1612">
        <f t="shared" si="70"/>
        <v>-3.7263377552541361</v>
      </c>
      <c r="Q275" s="1612">
        <f t="shared" si="70"/>
        <v>-4.9228438890466721</v>
      </c>
      <c r="R275" s="1612">
        <f t="shared" si="70"/>
        <v>-19.17808219178082</v>
      </c>
      <c r="S275" s="1612">
        <f>S301*1000/S297</f>
        <v>-8.8245675961877872</v>
      </c>
      <c r="T275" s="1203"/>
      <c r="U275" s="1203"/>
      <c r="V275" s="1203"/>
    </row>
    <row r="276" spans="1:22">
      <c r="A276" s="1203" t="s">
        <v>6829</v>
      </c>
      <c r="B276" s="1500"/>
      <c r="C276" s="1500"/>
      <c r="D276" s="1500"/>
      <c r="E276" s="1500"/>
      <c r="F276" s="1500"/>
      <c r="G276" s="1500"/>
      <c r="H276" s="1500"/>
      <c r="I276" s="1500"/>
      <c r="J276" s="1612">
        <f t="shared" ref="J276:R276" si="71">J302*1000/J297</f>
        <v>-13.426590894897895</v>
      </c>
      <c r="K276" s="1612">
        <f t="shared" si="71"/>
        <v>69.410236890421388</v>
      </c>
      <c r="L276" s="1612">
        <f t="shared" si="71"/>
        <v>-60.821701182982089</v>
      </c>
      <c r="M276" s="1612">
        <f t="shared" si="71"/>
        <v>-7.0858875486124795</v>
      </c>
      <c r="N276" s="1612">
        <f t="shared" si="71"/>
        <v>-4.6413652754471784</v>
      </c>
      <c r="O276" s="1612">
        <f t="shared" si="71"/>
        <v>-4.4622106535279347</v>
      </c>
      <c r="P276" s="1612">
        <f t="shared" si="71"/>
        <v>-0.93158443881353403</v>
      </c>
      <c r="Q276" s="1612">
        <f t="shared" si="71"/>
        <v>29.347723184701316</v>
      </c>
      <c r="R276" s="1612">
        <f t="shared" si="71"/>
        <v>-54.794520547945204</v>
      </c>
      <c r="S276" s="1612">
        <f>S302*1000/S297</f>
        <v>6.4713495705377122</v>
      </c>
      <c r="T276" s="1203"/>
      <c r="U276" s="1203"/>
      <c r="V276" s="1203"/>
    </row>
    <row r="277" spans="1:22">
      <c r="A277" s="1203" t="s">
        <v>653</v>
      </c>
      <c r="B277" s="1306">
        <f>SUM(B273:B276)</f>
        <v>13.688503388671279</v>
      </c>
      <c r="C277" s="1306">
        <f t="shared" ref="C277:Q277" si="72">SUM(C273:C276)</f>
        <v>13.152976913730257</v>
      </c>
      <c r="D277" s="1306">
        <f t="shared" si="72"/>
        <v>14.798734177215195</v>
      </c>
      <c r="E277" s="1306">
        <f t="shared" si="72"/>
        <v>14.669547576564426</v>
      </c>
      <c r="F277" s="1306">
        <f t="shared" si="72"/>
        <v>14.1</v>
      </c>
      <c r="G277" s="1306">
        <f t="shared" si="72"/>
        <v>12.7</v>
      </c>
      <c r="H277" s="1306">
        <f t="shared" si="72"/>
        <v>24</v>
      </c>
      <c r="I277" s="1306">
        <f t="shared" si="72"/>
        <v>29.4</v>
      </c>
      <c r="J277" s="1306">
        <f t="shared" si="72"/>
        <v>4.1274339599075738</v>
      </c>
      <c r="K277" s="1306">
        <f t="shared" si="72"/>
        <v>101.12923439762363</v>
      </c>
      <c r="L277" s="1306">
        <f t="shared" si="72"/>
        <v>-9.6231365751300046</v>
      </c>
      <c r="M277" s="1306">
        <f t="shared" si="72"/>
        <v>30.99156944169798</v>
      </c>
      <c r="N277" s="1306">
        <f t="shared" si="72"/>
        <v>36.274297547216968</v>
      </c>
      <c r="O277" s="1306">
        <f t="shared" si="72"/>
        <v>62.928855628892819</v>
      </c>
      <c r="P277" s="1306">
        <f t="shared" si="72"/>
        <v>45.055760918169611</v>
      </c>
      <c r="Q277" s="1306">
        <f t="shared" si="72"/>
        <v>114.323364574458</v>
      </c>
      <c r="R277" s="1306">
        <f>SUM(R273:R276)</f>
        <v>-27.805675146771033</v>
      </c>
      <c r="S277" s="1306">
        <f>SUM(S273:S276)</f>
        <v>74.775063732988187</v>
      </c>
      <c r="T277" s="1203"/>
      <c r="U277" s="1203"/>
      <c r="V277" s="1203"/>
    </row>
    <row r="278" spans="1:22">
      <c r="A278" s="1203" t="s">
        <v>115</v>
      </c>
      <c r="B278" s="1306">
        <f t="shared" ref="B278:R278" si="73">B284+B285-B283</f>
        <v>0</v>
      </c>
      <c r="C278" s="1306">
        <f t="shared" si="73"/>
        <v>0</v>
      </c>
      <c r="D278" s="1306">
        <f t="shared" si="73"/>
        <v>0</v>
      </c>
      <c r="E278" s="1306">
        <f t="shared" si="73"/>
        <v>0</v>
      </c>
      <c r="F278" s="1306">
        <f t="shared" si="73"/>
        <v>0</v>
      </c>
      <c r="G278" s="1306">
        <f t="shared" si="73"/>
        <v>0</v>
      </c>
      <c r="H278" s="1306">
        <f t="shared" si="73"/>
        <v>0</v>
      </c>
      <c r="I278" s="1306">
        <f t="shared" si="73"/>
        <v>406.94545569660329</v>
      </c>
      <c r="J278" s="1306">
        <f t="shared" si="73"/>
        <v>0</v>
      </c>
      <c r="K278" s="1306">
        <f t="shared" si="73"/>
        <v>0</v>
      </c>
      <c r="L278" s="1306">
        <f t="shared" si="73"/>
        <v>0</v>
      </c>
      <c r="M278" s="1306">
        <f t="shared" si="73"/>
        <v>396.48012655724733</v>
      </c>
      <c r="N278" s="1306">
        <f t="shared" si="73"/>
        <v>422.54275411474885</v>
      </c>
      <c r="O278" s="1306">
        <f t="shared" si="73"/>
        <v>434.87961327507668</v>
      </c>
      <c r="P278" s="1306">
        <f t="shared" si="73"/>
        <v>420.14458190490382</v>
      </c>
      <c r="Q278" s="1306">
        <f t="shared" si="73"/>
        <v>401.96913755561866</v>
      </c>
      <c r="R278" s="1306">
        <f t="shared" si="73"/>
        <v>428.96281800391392</v>
      </c>
      <c r="S278" s="1306">
        <f t="shared" ref="S278" si="74">S284+S285-S283</f>
        <v>440.64007530297681</v>
      </c>
      <c r="T278" s="1203"/>
      <c r="U278" s="1203"/>
      <c r="V278" s="1203"/>
    </row>
    <row r="279" spans="1:22">
      <c r="A279" s="1203" t="s">
        <v>116</v>
      </c>
      <c r="B279" s="1306"/>
      <c r="C279" s="1306">
        <f t="shared" ref="C279" si="75">C278-B278</f>
        <v>0</v>
      </c>
      <c r="D279" s="1306">
        <f t="shared" ref="D279" si="76">D278-C278</f>
        <v>0</v>
      </c>
      <c r="E279" s="1306">
        <f t="shared" ref="E279" si="77">E278-D278</f>
        <v>0</v>
      </c>
      <c r="F279" s="1306">
        <f t="shared" ref="F279" si="78">F278-E278</f>
        <v>0</v>
      </c>
      <c r="G279" s="1306">
        <f t="shared" ref="G279" si="79">G278-F278</f>
        <v>0</v>
      </c>
      <c r="H279" s="1306">
        <f t="shared" ref="H279" si="80">H278-G278</f>
        <v>0</v>
      </c>
      <c r="I279" s="1306">
        <f t="shared" ref="I279" si="81">I278-H278</f>
        <v>406.94545569660329</v>
      </c>
      <c r="J279" s="1306">
        <f t="shared" ref="J279" si="82">J278-I278</f>
        <v>-406.94545569660329</v>
      </c>
      <c r="K279" s="1306">
        <f t="shared" ref="K279" si="83">K278-J278</f>
        <v>0</v>
      </c>
      <c r="L279" s="1306">
        <f t="shared" ref="L279" si="84">L278-K278</f>
        <v>0</v>
      </c>
      <c r="M279" s="1306">
        <f t="shared" ref="M279" si="85">M278-L278</f>
        <v>396.48012655724733</v>
      </c>
      <c r="N279" s="1306">
        <f t="shared" ref="N279" si="86">N278-M278</f>
        <v>26.062627557501514</v>
      </c>
      <c r="O279" s="1306">
        <f>O278-N278</f>
        <v>12.336859160327833</v>
      </c>
      <c r="P279" s="1306">
        <f>P278-O278</f>
        <v>-14.735031370172862</v>
      </c>
      <c r="Q279" s="1306">
        <f t="shared" ref="Q279" si="87">Q278-P278</f>
        <v>-18.175444349285158</v>
      </c>
      <c r="R279" s="1306">
        <f t="shared" ref="R279" si="88">R278-Q278</f>
        <v>26.993680448295265</v>
      </c>
      <c r="S279" s="1306">
        <f t="shared" ref="S279" si="89">S278-R278</f>
        <v>11.677257299062887</v>
      </c>
      <c r="T279" s="1203"/>
      <c r="U279" s="1203"/>
      <c r="V279" s="1203"/>
    </row>
    <row r="280" spans="1:22">
      <c r="A280" s="1203"/>
      <c r="B280" s="1203"/>
      <c r="C280" s="1203"/>
      <c r="D280" s="1203"/>
      <c r="E280" s="1203"/>
      <c r="F280" s="1203"/>
      <c r="G280" s="1203"/>
      <c r="H280" s="1203"/>
      <c r="I280" s="1203"/>
      <c r="J280" s="1203"/>
      <c r="K280" s="1203"/>
      <c r="L280" s="1203"/>
      <c r="M280" s="1203"/>
      <c r="N280" s="1203"/>
      <c r="O280" s="1203"/>
      <c r="P280" s="1203"/>
      <c r="Q280" s="1203"/>
      <c r="R280" s="1203"/>
      <c r="S280" s="1203"/>
      <c r="T280" s="1203"/>
      <c r="U280" s="1203"/>
      <c r="V280" s="1203"/>
    </row>
    <row r="281" spans="1:22">
      <c r="A281" s="1203"/>
      <c r="B281" s="1203"/>
      <c r="C281" s="1203"/>
      <c r="D281" s="1203"/>
      <c r="E281" s="1203"/>
      <c r="F281" s="1203"/>
      <c r="G281" s="1203"/>
      <c r="H281" s="1203"/>
      <c r="I281" s="1203"/>
      <c r="J281" s="1203"/>
      <c r="K281" s="1203"/>
      <c r="L281" s="1203"/>
      <c r="M281" s="1203"/>
      <c r="N281" s="1203"/>
      <c r="O281" s="1203"/>
      <c r="P281" s="1203"/>
      <c r="Q281" s="1203"/>
      <c r="R281" s="1203"/>
      <c r="S281" s="1203"/>
      <c r="T281" s="1203"/>
      <c r="U281" s="1203"/>
      <c r="V281" s="1203"/>
    </row>
    <row r="282" spans="1:22">
      <c r="A282" s="1203"/>
      <c r="B282" s="1203"/>
      <c r="C282" s="1203"/>
      <c r="D282" s="1203"/>
      <c r="E282" s="1203"/>
      <c r="F282" s="1203"/>
      <c r="G282" s="1203"/>
      <c r="H282" s="1203"/>
      <c r="I282" s="1203"/>
      <c r="J282" s="1203"/>
      <c r="K282" s="1203"/>
      <c r="L282" s="1203"/>
      <c r="M282" s="1203"/>
      <c r="N282" s="1203"/>
      <c r="O282" s="1203"/>
      <c r="P282" s="1203"/>
      <c r="Q282" s="1203"/>
      <c r="R282" s="1203"/>
      <c r="S282" s="1203"/>
      <c r="T282" s="1203"/>
      <c r="U282" s="1203"/>
      <c r="V282" s="1203"/>
    </row>
    <row r="283" spans="1:22">
      <c r="A283" s="1203" t="s">
        <v>707</v>
      </c>
      <c r="B283" s="1500"/>
      <c r="C283" s="1500"/>
      <c r="D283" s="1500"/>
      <c r="E283" s="1500"/>
      <c r="F283" s="1500"/>
      <c r="G283" s="1500"/>
      <c r="H283" s="1500"/>
      <c r="I283" s="1612">
        <f t="shared" ref="I283" si="90">I304*1000/I297</f>
        <v>24.692139668872077</v>
      </c>
      <c r="J283" s="1500"/>
      <c r="K283" s="1500"/>
      <c r="L283" s="1500"/>
      <c r="M283" s="1612">
        <f t="shared" ref="M283:R283" si="91">M304*1000/M297</f>
        <v>15.654867839957813</v>
      </c>
      <c r="N283" s="1612">
        <f t="shared" si="91"/>
        <v>31.954014780963266</v>
      </c>
      <c r="O283" s="1612">
        <f t="shared" si="91"/>
        <v>35.511759784326486</v>
      </c>
      <c r="P283" s="1612">
        <f t="shared" si="91"/>
        <v>24.593829184677297</v>
      </c>
      <c r="Q283" s="1612">
        <f t="shared" si="91"/>
        <v>30.105083783016191</v>
      </c>
      <c r="R283" s="1612">
        <f t="shared" si="91"/>
        <v>12.524461839530332</v>
      </c>
      <c r="S283" s="1612">
        <f>S304*1000/S297</f>
        <v>10.197278111150332</v>
      </c>
      <c r="T283" s="1203"/>
      <c r="U283" s="1203"/>
      <c r="V283" s="1203"/>
    </row>
    <row r="284" spans="1:22">
      <c r="A284" s="1203" t="s">
        <v>2042</v>
      </c>
      <c r="B284" s="1500"/>
      <c r="C284" s="1500"/>
      <c r="D284" s="1500"/>
      <c r="E284" s="1500"/>
      <c r="F284" s="1500"/>
      <c r="G284" s="1500"/>
      <c r="H284" s="1500"/>
      <c r="I284" s="1612">
        <f t="shared" ref="I284" si="92">I305*1000/I297</f>
        <v>0</v>
      </c>
      <c r="J284" s="1500"/>
      <c r="K284" s="1500"/>
      <c r="L284" s="1500"/>
      <c r="M284" s="1612">
        <f t="shared" ref="M284:R284" si="93">M305*1000/M297</f>
        <v>5.2732186408278947</v>
      </c>
      <c r="N284" s="1612">
        <f t="shared" si="93"/>
        <v>6.4265057660037854</v>
      </c>
      <c r="O284" s="1612">
        <f t="shared" si="93"/>
        <v>6.6933159802919029</v>
      </c>
      <c r="P284" s="1612">
        <f t="shared" si="93"/>
        <v>6.5210910716947383</v>
      </c>
      <c r="Q284" s="1612">
        <f t="shared" si="93"/>
        <v>0.56802044873615454</v>
      </c>
      <c r="R284" s="1612">
        <f t="shared" si="93"/>
        <v>13.698630136986301</v>
      </c>
      <c r="S284" s="1612">
        <f>S305*1000/S297</f>
        <v>0</v>
      </c>
      <c r="T284" s="1203"/>
      <c r="U284" s="1203"/>
      <c r="V284" s="1203"/>
    </row>
    <row r="285" spans="1:22">
      <c r="A285" s="1203" t="s">
        <v>2043</v>
      </c>
      <c r="B285" s="1500"/>
      <c r="C285" s="1500"/>
      <c r="D285" s="1500"/>
      <c r="E285" s="1500"/>
      <c r="F285" s="1500"/>
      <c r="G285" s="1500"/>
      <c r="H285" s="1500"/>
      <c r="I285" s="1612">
        <f t="shared" ref="I285" si="94">I306*1000/I297</f>
        <v>431.63759536547536</v>
      </c>
      <c r="J285" s="1500"/>
      <c r="K285" s="1500"/>
      <c r="L285" s="1500"/>
      <c r="M285" s="1612">
        <f t="shared" ref="M285:R285" si="95">M306*1000/M297</f>
        <v>406.86177575637726</v>
      </c>
      <c r="N285" s="1612">
        <f t="shared" si="95"/>
        <v>448.07026312970834</v>
      </c>
      <c r="O285" s="1612">
        <f t="shared" si="95"/>
        <v>463.69805707911127</v>
      </c>
      <c r="P285" s="1612">
        <f t="shared" si="95"/>
        <v>438.21732001788638</v>
      </c>
      <c r="Q285" s="1612">
        <f t="shared" si="95"/>
        <v>431.50620088989871</v>
      </c>
      <c r="R285" s="1612">
        <f t="shared" si="95"/>
        <v>427.78864970645793</v>
      </c>
      <c r="S285" s="1612">
        <f>S306*1000/S297</f>
        <v>450.83735341412716</v>
      </c>
      <c r="T285" s="1203"/>
      <c r="U285" s="1203"/>
      <c r="V285" s="1203"/>
    </row>
    <row r="286" spans="1:22">
      <c r="A286" s="1203"/>
      <c r="B286" s="1203"/>
      <c r="C286" s="1203"/>
      <c r="D286" s="1203"/>
      <c r="E286" s="1203"/>
      <c r="F286" s="1203"/>
      <c r="G286" s="1203"/>
      <c r="H286" s="1203"/>
      <c r="I286" s="1203"/>
      <c r="J286" s="1203"/>
      <c r="K286" s="1203"/>
      <c r="L286" s="1203"/>
      <c r="M286" s="1203"/>
      <c r="N286" s="1203"/>
      <c r="O286" s="1203"/>
      <c r="P286" s="1203"/>
      <c r="Q286" s="1203"/>
      <c r="R286" s="1203"/>
      <c r="S286" s="1203"/>
      <c r="T286" s="1203"/>
      <c r="U286" s="1203"/>
      <c r="V286" s="1203"/>
    </row>
    <row r="287" spans="1:22">
      <c r="A287" s="1203" t="s">
        <v>6923</v>
      </c>
      <c r="B287" s="1500"/>
      <c r="C287" s="1500"/>
      <c r="D287" s="1500"/>
      <c r="E287" s="1500"/>
      <c r="F287" s="1500"/>
      <c r="G287" s="1500"/>
      <c r="H287" s="1500"/>
      <c r="I287" s="1500"/>
      <c r="J287" s="1612">
        <f t="shared" ref="J287:R287" si="96">J308*1000/J297</f>
        <v>9.9918815962030845</v>
      </c>
      <c r="K287" s="1612">
        <f t="shared" si="96"/>
        <v>15.225471317898888</v>
      </c>
      <c r="L287" s="1612">
        <f t="shared" si="96"/>
        <v>20.679378402213906</v>
      </c>
      <c r="M287" s="1612">
        <f t="shared" si="96"/>
        <v>19.774569903104616</v>
      </c>
      <c r="N287" s="1612">
        <f t="shared" si="96"/>
        <v>12.67449748295191</v>
      </c>
      <c r="O287" s="1612">
        <f t="shared" si="96"/>
        <v>17.662917170214747</v>
      </c>
      <c r="P287" s="1612">
        <f t="shared" si="96"/>
        <v>16.023252347592784</v>
      </c>
      <c r="Q287" s="1612">
        <f t="shared" si="96"/>
        <v>29.347723184701319</v>
      </c>
      <c r="R287" s="1612">
        <f t="shared" si="96"/>
        <v>11.154598825831702</v>
      </c>
      <c r="S287" s="1612">
        <f>S308*1000/S297</f>
        <v>20.982860728713181</v>
      </c>
      <c r="T287" s="1203"/>
      <c r="U287" s="1203"/>
      <c r="V287" s="1203"/>
    </row>
    <row r="288" spans="1:22">
      <c r="A288" s="1203" t="s">
        <v>2722</v>
      </c>
      <c r="B288" s="1203"/>
      <c r="C288" s="1203"/>
      <c r="D288" s="1203"/>
      <c r="E288" s="1203"/>
      <c r="F288" s="1203"/>
      <c r="G288" s="1203"/>
      <c r="H288" s="1203"/>
      <c r="I288" s="1203"/>
      <c r="J288" s="1612">
        <f t="shared" ref="J288:R288" si="97">J309*1000/J297</f>
        <v>3.9030787485168301</v>
      </c>
      <c r="K288" s="1612">
        <f t="shared" si="97"/>
        <v>-0.2985386532921353</v>
      </c>
      <c r="L288" s="1612">
        <f t="shared" si="97"/>
        <v>-1.3684882766170969</v>
      </c>
      <c r="M288" s="1612">
        <f t="shared" si="97"/>
        <v>-2.3070331553622041</v>
      </c>
      <c r="N288" s="1612">
        <f t="shared" si="97"/>
        <v>0.17851404905566071</v>
      </c>
      <c r="O288" s="1612">
        <f t="shared" si="97"/>
        <v>2.0451798828669698</v>
      </c>
      <c r="P288" s="1612">
        <f t="shared" si="97"/>
        <v>6.7074079594574458</v>
      </c>
      <c r="Q288" s="1612">
        <f t="shared" si="97"/>
        <v>2.6507620941020553</v>
      </c>
      <c r="R288" s="1612">
        <f t="shared" si="97"/>
        <v>1.7612524461839529</v>
      </c>
      <c r="S288" s="1612">
        <f>S309*1000/S297</f>
        <v>2.9415225320625957</v>
      </c>
      <c r="T288" s="1203"/>
      <c r="U288" s="1203"/>
      <c r="V288" s="1203"/>
    </row>
    <row r="289" spans="1:22">
      <c r="A289" s="1203"/>
      <c r="B289" s="1203"/>
      <c r="C289" s="1203"/>
      <c r="D289" s="1203"/>
      <c r="E289" s="1203"/>
      <c r="F289" s="1203"/>
      <c r="G289" s="1203"/>
      <c r="H289" s="1203"/>
      <c r="I289" s="1203"/>
      <c r="J289" s="1203"/>
      <c r="K289" s="1203"/>
      <c r="L289" s="1203"/>
      <c r="M289" s="1203"/>
      <c r="N289" s="1203"/>
      <c r="O289" s="1203"/>
      <c r="P289" s="1203"/>
      <c r="Q289" s="1203"/>
      <c r="R289" s="1203"/>
      <c r="S289" s="1203"/>
      <c r="T289" s="1203"/>
      <c r="U289" s="1203"/>
      <c r="V289" s="1203"/>
    </row>
    <row r="290" spans="1:22">
      <c r="A290" s="1203" t="s">
        <v>7020</v>
      </c>
      <c r="B290" s="1203"/>
      <c r="C290" s="1417">
        <f t="shared" ref="C290" si="98">C278/((B271+C271)*2)</f>
        <v>0</v>
      </c>
      <c r="D290" s="1417">
        <f t="shared" ref="D290" si="99">D278/((C271+D271)*2)</f>
        <v>0</v>
      </c>
      <c r="E290" s="1417">
        <f t="shared" ref="E290" si="100">E278/((D271+E271)*2)</f>
        <v>0</v>
      </c>
      <c r="F290" s="1417">
        <f t="shared" ref="F290" si="101">F278/((E271+F271)*2)</f>
        <v>0</v>
      </c>
      <c r="G290" s="1417">
        <f t="shared" ref="G290" si="102">G278/((F271+G271)*2)</f>
        <v>0</v>
      </c>
      <c r="H290" s="1417">
        <f t="shared" ref="H290" si="103">H278/((G271+H271)*2)</f>
        <v>0</v>
      </c>
      <c r="I290" s="1417">
        <f t="shared" ref="I290" si="104">I278/((H271+I271)*2)</f>
        <v>3.8103507087696937</v>
      </c>
      <c r="J290" s="1417">
        <f t="shared" ref="J290" si="105">J278/((I271+J271)*2)</f>
        <v>0</v>
      </c>
      <c r="K290" s="1417">
        <f t="shared" ref="K290" si="106">K278/((J271+K271)*2)</f>
        <v>0</v>
      </c>
      <c r="L290" s="1417">
        <f t="shared" ref="L290" si="107">L278/((K271+L271)*2)</f>
        <v>0</v>
      </c>
      <c r="M290" s="1417">
        <f t="shared" ref="M290" si="108">M278/((L271+M271)*2)</f>
        <v>2.8772142710975857</v>
      </c>
      <c r="N290" s="1417">
        <f t="shared" ref="N290" si="109">N278/((M271+N271)*2)</f>
        <v>2.5986639244449496</v>
      </c>
      <c r="O290" s="1417">
        <f t="shared" ref="O290" si="110">O278/((N271+O271)*2)</f>
        <v>2.2816349070045994</v>
      </c>
      <c r="P290" s="1417">
        <f>P278/((O271+P271)*2)</f>
        <v>2.100722909524519</v>
      </c>
      <c r="Q290" s="1417">
        <f t="shared" ref="Q290" si="111">Q278/((P271+Q271)*2)</f>
        <v>1.8644208606475821</v>
      </c>
      <c r="R290" s="1417">
        <f t="shared" ref="R290" si="112">R278/((Q271+R271)*2)</f>
        <v>1.8457952581924009</v>
      </c>
      <c r="S290" s="1417">
        <f t="shared" ref="S290" si="113">S278/((R271+S271)*2)</f>
        <v>1.9724264785272017</v>
      </c>
      <c r="T290" s="1203"/>
      <c r="U290" s="1203"/>
      <c r="V290" s="1203"/>
    </row>
    <row r="291" spans="1:22">
      <c r="A291" s="1203"/>
      <c r="B291" s="1203"/>
      <c r="C291" s="1203"/>
      <c r="D291" s="1203"/>
      <c r="E291" s="1203"/>
      <c r="F291" s="1203"/>
      <c r="G291" s="1203"/>
      <c r="H291" s="1203"/>
      <c r="I291" s="1203"/>
      <c r="J291" s="1203"/>
      <c r="K291" s="1203"/>
      <c r="L291" s="1203"/>
      <c r="M291" s="1203"/>
      <c r="N291" s="1203"/>
      <c r="O291" s="1203"/>
      <c r="P291" s="1203"/>
      <c r="Q291" s="1203"/>
      <c r="R291" s="1203"/>
      <c r="S291" s="1203"/>
      <c r="T291" s="1203"/>
      <c r="U291" s="1203"/>
      <c r="V291" s="1203"/>
    </row>
    <row r="292" spans="1:22" ht="15.75" thickBot="1">
      <c r="A292" s="1498"/>
      <c r="B292" s="1499">
        <v>2023</v>
      </c>
      <c r="C292" s="1499">
        <v>2024</v>
      </c>
      <c r="D292" s="1499">
        <v>2025</v>
      </c>
      <c r="E292" s="1499">
        <v>2026</v>
      </c>
      <c r="F292" s="1499">
        <v>2027</v>
      </c>
      <c r="G292" s="1499">
        <v>2028</v>
      </c>
      <c r="H292" s="1499">
        <v>2029</v>
      </c>
      <c r="I292" s="1499">
        <v>2030</v>
      </c>
      <c r="J292" s="1499">
        <v>2031</v>
      </c>
      <c r="K292" s="1499">
        <v>2032</v>
      </c>
      <c r="L292" s="1499">
        <v>2033</v>
      </c>
      <c r="M292" s="1499">
        <v>2034</v>
      </c>
      <c r="N292" s="1499">
        <v>2035</v>
      </c>
      <c r="O292" s="1499" t="s">
        <v>6920</v>
      </c>
      <c r="P292" s="1203"/>
      <c r="Q292" s="1203"/>
      <c r="R292" s="1203"/>
      <c r="S292" s="1203"/>
      <c r="T292" s="1203"/>
      <c r="U292" s="1203"/>
      <c r="V292" s="1203"/>
    </row>
    <row r="293" spans="1:22">
      <c r="A293" s="1203" t="s">
        <v>7797</v>
      </c>
      <c r="B293" s="1500"/>
      <c r="C293" s="1203">
        <f>C294*1000/C297</f>
        <v>0.52789948793749675</v>
      </c>
      <c r="D293" s="1500"/>
      <c r="E293" s="1500"/>
      <c r="F293" s="1500"/>
      <c r="G293" s="1500"/>
      <c r="H293" s="1500"/>
      <c r="I293" s="1500"/>
      <c r="J293" s="1203">
        <f>J294*1000/J297</f>
        <v>355.80465871479424</v>
      </c>
      <c r="K293" s="1500"/>
      <c r="L293" s="1500"/>
      <c r="M293" s="1500"/>
      <c r="N293" s="1500"/>
      <c r="O293" s="1500"/>
      <c r="P293" s="1203"/>
      <c r="Q293" s="1203"/>
      <c r="R293" s="1203"/>
      <c r="S293" s="1203"/>
      <c r="T293" s="1306">
        <f>SUM(B293:O293)</f>
        <v>356.33255820273172</v>
      </c>
      <c r="U293" s="1203"/>
      <c r="V293" s="1203"/>
    </row>
    <row r="294" spans="1:22">
      <c r="A294" s="1203" t="s">
        <v>7799</v>
      </c>
      <c r="B294" s="1203"/>
      <c r="C294" s="1500">
        <f>'Costa Rica'!J240</f>
        <v>0.3</v>
      </c>
      <c r="D294" s="1500"/>
      <c r="E294" s="1500"/>
      <c r="F294" s="1500"/>
      <c r="G294" s="1500"/>
      <c r="H294" s="1500"/>
      <c r="I294" s="1500"/>
      <c r="J294" s="1500">
        <f>'Costa Rica'!Q240</f>
        <v>227.9</v>
      </c>
      <c r="K294" s="1203"/>
      <c r="L294" s="1203"/>
      <c r="M294" s="1203"/>
      <c r="N294" s="1203"/>
      <c r="O294" s="1203"/>
      <c r="P294" s="1203"/>
      <c r="Q294" s="1203"/>
      <c r="R294" s="1203"/>
      <c r="S294" s="1203"/>
      <c r="T294" s="1203"/>
      <c r="U294" s="1203"/>
      <c r="V294" s="1203"/>
    </row>
    <row r="295" spans="1:22">
      <c r="A295" s="1203"/>
      <c r="B295" s="1203"/>
      <c r="C295" s="1203"/>
      <c r="D295" s="1203"/>
      <c r="E295" s="1203"/>
      <c r="F295" s="1203"/>
      <c r="G295" s="1203"/>
      <c r="H295" s="1203"/>
      <c r="I295" s="1203"/>
      <c r="J295" s="1203"/>
      <c r="K295" s="1203"/>
      <c r="L295" s="1203"/>
      <c r="M295" s="1203"/>
      <c r="N295" s="1203"/>
      <c r="O295" s="1203"/>
      <c r="P295" s="1203"/>
      <c r="Q295" s="1203"/>
      <c r="R295" s="1203"/>
      <c r="S295" s="1203"/>
      <c r="T295" s="1203"/>
      <c r="U295" s="1203"/>
      <c r="V295" s="1203"/>
    </row>
    <row r="296" spans="1:22">
      <c r="A296" s="1203"/>
      <c r="B296" s="1203"/>
      <c r="C296" s="1203"/>
      <c r="D296" s="1203"/>
      <c r="E296" s="1203"/>
      <c r="F296" s="1203"/>
      <c r="G296" s="1203"/>
      <c r="H296" s="1203"/>
      <c r="I296" s="1203"/>
      <c r="J296" s="1203"/>
      <c r="K296" s="1203"/>
      <c r="L296" s="1203"/>
      <c r="M296" s="1203"/>
      <c r="N296" s="1203"/>
      <c r="O296" s="1203"/>
      <c r="P296" s="1203"/>
      <c r="Q296" s="1203"/>
      <c r="R296" s="1203"/>
      <c r="S296" s="1203"/>
      <c r="T296" s="1203"/>
      <c r="U296" s="1203"/>
      <c r="V296" s="1203"/>
    </row>
    <row r="297" spans="1:22">
      <c r="A297" s="1203" t="s">
        <v>6725</v>
      </c>
      <c r="B297" s="1341">
        <v>565.25</v>
      </c>
      <c r="C297" s="1341">
        <v>568.29</v>
      </c>
      <c r="D297" s="1341">
        <v>587.35</v>
      </c>
      <c r="E297" s="1341">
        <v>602.29999999999995</v>
      </c>
      <c r="F297" s="1341">
        <v>608.1</v>
      </c>
      <c r="G297" s="1341">
        <v>612.24</v>
      </c>
      <c r="H297" s="1341">
        <v>618.22</v>
      </c>
      <c r="I297" s="1341">
        <v>631.78</v>
      </c>
      <c r="J297" s="1341">
        <v>640.52</v>
      </c>
      <c r="K297" s="1341">
        <v>669.93</v>
      </c>
      <c r="L297" s="1341">
        <v>657.66</v>
      </c>
      <c r="M297" s="1341">
        <v>606.84</v>
      </c>
      <c r="N297" s="1341">
        <v>560.17999999999995</v>
      </c>
      <c r="O297" s="1341">
        <v>537.85</v>
      </c>
      <c r="P297" s="1341">
        <v>536.72</v>
      </c>
      <c r="Q297" s="1341">
        <v>528.15</v>
      </c>
      <c r="R297" s="1341">
        <v>511</v>
      </c>
      <c r="S297" s="1341">
        <v>509.94</v>
      </c>
      <c r="T297" s="1203"/>
      <c r="U297" s="1203"/>
      <c r="V297" s="1203"/>
    </row>
    <row r="298" spans="1:22">
      <c r="A298" s="1203"/>
      <c r="B298" s="1203"/>
      <c r="C298" s="1203"/>
      <c r="D298" s="1203"/>
      <c r="E298" s="1203"/>
      <c r="F298" s="1203"/>
      <c r="G298" s="1203"/>
      <c r="H298" s="1203"/>
      <c r="I298" s="1203"/>
      <c r="J298" s="1203"/>
      <c r="K298" s="1203"/>
      <c r="L298" s="1203"/>
      <c r="M298" s="1203"/>
      <c r="N298" s="1203"/>
      <c r="O298" s="1203"/>
      <c r="P298" s="1203"/>
      <c r="Q298" s="1203"/>
      <c r="R298" s="1203"/>
      <c r="S298" s="1203"/>
      <c r="T298" s="1203"/>
      <c r="U298" s="1203"/>
      <c r="V298" s="1203"/>
    </row>
    <row r="299" spans="1:22">
      <c r="A299" s="1203" t="s">
        <v>19</v>
      </c>
      <c r="B299" s="1500"/>
      <c r="C299" s="1500"/>
      <c r="D299" s="1500"/>
      <c r="E299" s="1500"/>
      <c r="F299" s="1500"/>
      <c r="G299" s="1500"/>
      <c r="H299" s="1500"/>
      <c r="I299" s="1500"/>
      <c r="J299" s="1500">
        <v>-3.7</v>
      </c>
      <c r="K299" s="1500">
        <f>-11.1-J299</f>
        <v>-7.3999999999999995</v>
      </c>
      <c r="L299" s="1500">
        <f>-31.6-J299-K299</f>
        <v>-20.500000000000004</v>
      </c>
      <c r="M299" s="1500">
        <f>-42.2-J299-K299-L299</f>
        <v>-10.599999999999998</v>
      </c>
      <c r="N299" s="1500">
        <v>-7.2</v>
      </c>
      <c r="O299" s="1500">
        <f>-17.8-N299</f>
        <v>-10.600000000000001</v>
      </c>
      <c r="P299" s="1500">
        <f>-30-N299-O299</f>
        <v>-12.2</v>
      </c>
      <c r="Q299" s="1500">
        <f>-46.9-N299-O299-P299</f>
        <v>-16.899999999999995</v>
      </c>
      <c r="R299" s="1500">
        <v>-6.6</v>
      </c>
      <c r="S299" s="1500">
        <f>-18.8-R299</f>
        <v>-12.200000000000001</v>
      </c>
      <c r="T299" s="1203"/>
      <c r="U299" s="1203"/>
      <c r="V299" s="1203"/>
    </row>
    <row r="300" spans="1:22">
      <c r="A300" s="1203" t="s">
        <v>679</v>
      </c>
      <c r="B300" s="1500"/>
      <c r="C300" s="1500"/>
      <c r="D300" s="1500"/>
      <c r="E300" s="1500"/>
      <c r="F300" s="1500"/>
      <c r="G300" s="1500"/>
      <c r="H300" s="1500"/>
      <c r="I300" s="1500"/>
      <c r="J300" s="1500">
        <v>-5</v>
      </c>
      <c r="K300" s="1500">
        <f>-10-J300</f>
        <v>-5</v>
      </c>
      <c r="L300" s="1500">
        <f>-14.9-J300-K300</f>
        <v>-4.9000000000000004</v>
      </c>
      <c r="M300" s="1500">
        <f>-20.7-J300-K300-L300</f>
        <v>-5.7999999999999989</v>
      </c>
      <c r="N300" s="1500">
        <v>-8.5</v>
      </c>
      <c r="O300" s="1500">
        <f>-8.7-N300</f>
        <v>-0.19999999999999929</v>
      </c>
      <c r="P300" s="1500">
        <f>-21-N300-O300</f>
        <v>-12.3</v>
      </c>
      <c r="Q300" s="1500">
        <f>-21-N300-O300-P300</f>
        <v>0</v>
      </c>
      <c r="R300" s="1500">
        <v>-12.8</v>
      </c>
      <c r="S300" s="1500">
        <f>-12.9-R300</f>
        <v>-9.9999999999999645E-2</v>
      </c>
      <c r="T300" s="1203"/>
      <c r="U300" s="1203"/>
      <c r="V300" s="1203"/>
    </row>
    <row r="301" spans="1:22">
      <c r="A301" s="1203" t="s">
        <v>205</v>
      </c>
      <c r="B301" s="1500"/>
      <c r="C301" s="1500"/>
      <c r="D301" s="1500"/>
      <c r="E301" s="1500"/>
      <c r="F301" s="1500"/>
      <c r="G301" s="1500"/>
      <c r="H301" s="1500"/>
      <c r="I301" s="1500"/>
      <c r="J301" s="1500">
        <v>-6.8</v>
      </c>
      <c r="K301" s="1500">
        <f>-11.8-J301</f>
        <v>-5.0000000000000009</v>
      </c>
      <c r="L301" s="1500">
        <f>-15.3-J301-K301</f>
        <v>-3.4999999999999991</v>
      </c>
      <c r="M301" s="1500">
        <f>-18.9-J301-K301-L301</f>
        <v>-3.5999999999999979</v>
      </c>
      <c r="N301" s="1500">
        <v>-1.1000000000000001</v>
      </c>
      <c r="O301" s="1500">
        <f>-2.2-N301</f>
        <v>-1.1000000000000001</v>
      </c>
      <c r="P301" s="1500">
        <f>-4.2-N301-O301</f>
        <v>-2</v>
      </c>
      <c r="Q301" s="1500">
        <f>-6.8-N301-O301-P301</f>
        <v>-2.5999999999999996</v>
      </c>
      <c r="R301" s="1500">
        <v>-9.8000000000000007</v>
      </c>
      <c r="S301" s="1500">
        <f>-14.3-R301</f>
        <v>-4.5</v>
      </c>
      <c r="T301" s="1203"/>
      <c r="U301" s="1203"/>
      <c r="V301" s="1203"/>
    </row>
    <row r="302" spans="1:22">
      <c r="A302" s="1203" t="s">
        <v>6829</v>
      </c>
      <c r="B302" s="1500"/>
      <c r="C302" s="1500"/>
      <c r="D302" s="1500"/>
      <c r="E302" s="1500"/>
      <c r="F302" s="1500"/>
      <c r="G302" s="1500"/>
      <c r="H302" s="1500"/>
      <c r="I302" s="1500"/>
      <c r="J302" s="1500">
        <v>-8.6</v>
      </c>
      <c r="K302" s="1500">
        <f>37.9-J302</f>
        <v>46.5</v>
      </c>
      <c r="L302" s="1500">
        <f>-2.1-J302-K302</f>
        <v>-40</v>
      </c>
      <c r="M302" s="1500">
        <f>-10.2+3.8-J302-K302-L302</f>
        <v>-4.2999999999999972</v>
      </c>
      <c r="N302" s="1500">
        <v>-2.6</v>
      </c>
      <c r="O302" s="1500">
        <f>-5-N302</f>
        <v>-2.4</v>
      </c>
      <c r="P302" s="1500">
        <f>-5.5-N302-O302</f>
        <v>-0.5</v>
      </c>
      <c r="Q302" s="1500">
        <f>-13+23-N302-O302-P302</f>
        <v>15.5</v>
      </c>
      <c r="R302" s="1500">
        <v>-28</v>
      </c>
      <c r="S302" s="1500">
        <f>-24.7-R302</f>
        <v>3.3000000000000007</v>
      </c>
      <c r="T302" s="1203"/>
      <c r="U302" s="1203"/>
      <c r="V302" s="1203"/>
    </row>
    <row r="303" spans="1:22">
      <c r="A303" s="1203"/>
      <c r="B303" s="1203"/>
      <c r="C303" s="1203"/>
      <c r="D303" s="1203"/>
      <c r="E303" s="1203"/>
      <c r="F303" s="1203"/>
      <c r="G303" s="1203"/>
      <c r="H303" s="1203"/>
      <c r="I303" s="1203"/>
      <c r="J303" s="1203"/>
      <c r="K303" s="1203"/>
      <c r="L303" s="1203"/>
      <c r="M303" s="1203"/>
      <c r="N303" s="1203"/>
      <c r="O303" s="1203"/>
      <c r="P303" s="1203"/>
      <c r="Q303" s="1203"/>
      <c r="R303" s="1203"/>
      <c r="S303" s="1203"/>
      <c r="T303" s="1203"/>
      <c r="U303" s="1203"/>
      <c r="V303" s="1203"/>
    </row>
    <row r="304" spans="1:22">
      <c r="A304" s="1203" t="s">
        <v>707</v>
      </c>
      <c r="B304" s="1500"/>
      <c r="C304" s="1500"/>
      <c r="D304" s="1500"/>
      <c r="E304" s="1500"/>
      <c r="F304" s="1500"/>
      <c r="G304" s="1500"/>
      <c r="H304" s="1500"/>
      <c r="I304" s="1500">
        <v>15.6</v>
      </c>
      <c r="J304" s="1500"/>
      <c r="K304" s="1500"/>
      <c r="L304" s="1500"/>
      <c r="M304" s="1500">
        <v>9.5</v>
      </c>
      <c r="N304" s="1500">
        <v>17.899999999999999</v>
      </c>
      <c r="O304" s="1500">
        <v>19.100000000000001</v>
      </c>
      <c r="P304" s="1500">
        <v>13.2</v>
      </c>
      <c r="Q304" s="1500">
        <v>15.9</v>
      </c>
      <c r="R304" s="1500">
        <v>6.4</v>
      </c>
      <c r="S304" s="1500">
        <v>5.2</v>
      </c>
      <c r="T304" s="1203"/>
      <c r="U304" s="1203"/>
      <c r="V304" s="1203"/>
    </row>
    <row r="305" spans="1:22">
      <c r="A305" s="1203" t="s">
        <v>2042</v>
      </c>
      <c r="B305" s="1500"/>
      <c r="C305" s="1500"/>
      <c r="D305" s="1500"/>
      <c r="E305" s="1500"/>
      <c r="F305" s="1500"/>
      <c r="G305" s="1500"/>
      <c r="H305" s="1500"/>
      <c r="I305" s="1500">
        <v>0</v>
      </c>
      <c r="J305" s="1500"/>
      <c r="K305" s="1500"/>
      <c r="L305" s="1500"/>
      <c r="M305" s="1500">
        <v>3.2</v>
      </c>
      <c r="N305" s="1500">
        <v>3.6</v>
      </c>
      <c r="O305" s="1500">
        <v>3.6</v>
      </c>
      <c r="P305" s="1500">
        <v>3.5</v>
      </c>
      <c r="Q305" s="1500">
        <v>0.3</v>
      </c>
      <c r="R305" s="1500">
        <v>7</v>
      </c>
      <c r="S305" s="1500">
        <v>0</v>
      </c>
      <c r="T305" s="1203"/>
      <c r="U305" s="1203"/>
      <c r="V305" s="1203"/>
    </row>
    <row r="306" spans="1:22">
      <c r="A306" s="1203" t="s">
        <v>2043</v>
      </c>
      <c r="B306" s="1500"/>
      <c r="C306" s="1500"/>
      <c r="D306" s="1500"/>
      <c r="E306" s="1500"/>
      <c r="F306" s="1500"/>
      <c r="G306" s="1500"/>
      <c r="H306" s="1500"/>
      <c r="I306" s="1500">
        <f>256.9+15.8</f>
        <v>272.7</v>
      </c>
      <c r="J306" s="1500"/>
      <c r="K306" s="1500"/>
      <c r="L306" s="1500"/>
      <c r="M306" s="1500">
        <v>246.9</v>
      </c>
      <c r="N306" s="1500">
        <f>237+14</f>
        <v>251</v>
      </c>
      <c r="O306" s="1500">
        <f>238.9+10.5</f>
        <v>249.4</v>
      </c>
      <c r="P306" s="1500">
        <v>235.2</v>
      </c>
      <c r="Q306" s="1500">
        <v>227.9</v>
      </c>
      <c r="R306" s="1500">
        <v>218.6</v>
      </c>
      <c r="S306" s="1500">
        <v>229.9</v>
      </c>
      <c r="T306" s="1203"/>
      <c r="U306" s="1203"/>
      <c r="V306" s="1203"/>
    </row>
    <row r="307" spans="1:22">
      <c r="A307" s="1203"/>
      <c r="B307" s="1203"/>
      <c r="C307" s="1203"/>
      <c r="D307" s="1203"/>
      <c r="E307" s="1203"/>
      <c r="F307" s="1203"/>
      <c r="G307" s="1203"/>
      <c r="H307" s="1203"/>
      <c r="I307" s="1203"/>
      <c r="J307" s="1203"/>
      <c r="K307" s="1203"/>
      <c r="L307" s="1203"/>
      <c r="M307" s="1203"/>
      <c r="N307" s="1203"/>
      <c r="O307" s="1203"/>
      <c r="P307" s="1203"/>
      <c r="Q307" s="1203"/>
      <c r="R307" s="1203"/>
      <c r="S307" s="1203"/>
      <c r="T307" s="1203"/>
      <c r="U307" s="1203"/>
      <c r="V307" s="1203"/>
    </row>
    <row r="308" spans="1:22">
      <c r="A308" s="1203" t="s">
        <v>6923</v>
      </c>
      <c r="B308" s="1500"/>
      <c r="C308" s="1500"/>
      <c r="D308" s="1500"/>
      <c r="E308" s="1500"/>
      <c r="F308" s="1500"/>
      <c r="G308" s="1500"/>
      <c r="H308" s="1500"/>
      <c r="I308" s="1500"/>
      <c r="J308" s="1676">
        <v>6.4</v>
      </c>
      <c r="K308" s="1676">
        <f>16.6-J308</f>
        <v>10.200000000000001</v>
      </c>
      <c r="L308" s="1676">
        <f>30.2-J308-K308</f>
        <v>13.599999999999996</v>
      </c>
      <c r="M308" s="1676">
        <f>42.2-J308-K308-L308</f>
        <v>12.000000000000005</v>
      </c>
      <c r="N308" s="1676">
        <v>7.1</v>
      </c>
      <c r="O308" s="1676">
        <f>16.6-N308</f>
        <v>9.5000000000000018</v>
      </c>
      <c r="P308" s="1676">
        <f>25.2-N308-O308</f>
        <v>8.6</v>
      </c>
      <c r="Q308" s="1676">
        <f>40.7-N308-O308-P308</f>
        <v>15.500000000000002</v>
      </c>
      <c r="R308" s="1676">
        <v>5.7</v>
      </c>
      <c r="S308" s="1676">
        <f>16.4-R308</f>
        <v>10.7</v>
      </c>
      <c r="T308" s="1203"/>
      <c r="U308" s="1203"/>
      <c r="V308" s="1203"/>
    </row>
    <row r="309" spans="1:22">
      <c r="A309" s="1203" t="s">
        <v>2722</v>
      </c>
      <c r="B309" s="1203"/>
      <c r="C309" s="1203"/>
      <c r="D309" s="1203"/>
      <c r="E309" s="1203"/>
      <c r="F309" s="1203"/>
      <c r="G309" s="1203"/>
      <c r="H309" s="1203"/>
      <c r="I309" s="1203"/>
      <c r="J309" s="1676">
        <v>2.5</v>
      </c>
      <c r="K309" s="1676">
        <f>2.3-J309</f>
        <v>-0.20000000000000018</v>
      </c>
      <c r="L309" s="1676">
        <f>1.4-J309-K309</f>
        <v>-0.89999999999999991</v>
      </c>
      <c r="M309" s="1676">
        <f>0-J309-K309-L309</f>
        <v>-1.4</v>
      </c>
      <c r="N309" s="1676">
        <v>0.1</v>
      </c>
      <c r="O309" s="1676">
        <f>1.2-N309</f>
        <v>1.0999999999999999</v>
      </c>
      <c r="P309" s="1676">
        <f>4.8-N309-O309</f>
        <v>3.6000000000000005</v>
      </c>
      <c r="Q309" s="1676">
        <f>6.2-N309-O309-P309</f>
        <v>1.4000000000000004</v>
      </c>
      <c r="R309" s="1676">
        <v>0.9</v>
      </c>
      <c r="S309" s="1676">
        <f>2.4-R309</f>
        <v>1.5</v>
      </c>
      <c r="T309" s="1203"/>
      <c r="U309" s="1203"/>
      <c r="V309" s="1203"/>
    </row>
    <row r="310" spans="1:22">
      <c r="A310" s="1203"/>
      <c r="B310" s="1203"/>
      <c r="C310" s="1203"/>
      <c r="D310" s="1203"/>
      <c r="E310" s="1203"/>
      <c r="F310" s="1203"/>
      <c r="G310" s="1203"/>
      <c r="H310" s="1203"/>
      <c r="I310" s="1203"/>
      <c r="J310" s="1203"/>
      <c r="K310" s="1203"/>
      <c r="L310" s="1203"/>
      <c r="M310" s="1203"/>
      <c r="N310" s="1203"/>
      <c r="O310" s="1203"/>
      <c r="P310" s="1203"/>
      <c r="Q310" s="1203"/>
      <c r="R310" s="1203"/>
      <c r="S310" s="1203"/>
      <c r="T310" s="1203"/>
      <c r="U310" s="1203"/>
      <c r="V310" s="1203"/>
    </row>
    <row r="311" spans="1:22">
      <c r="A311" s="1203"/>
      <c r="B311" s="1203"/>
      <c r="C311" s="1203"/>
      <c r="D311" s="1203"/>
      <c r="E311" s="1203"/>
      <c r="F311" s="1203"/>
      <c r="G311" s="1203"/>
      <c r="H311" s="1203"/>
      <c r="I311" s="1203"/>
      <c r="J311" s="1203"/>
      <c r="K311" s="1203"/>
      <c r="L311" s="1203"/>
      <c r="M311" s="1203"/>
      <c r="N311" s="1203"/>
      <c r="O311" s="1203"/>
      <c r="P311" s="1203"/>
      <c r="Q311" s="1203"/>
      <c r="R311" s="1203"/>
      <c r="S311" s="1203"/>
      <c r="T311" s="1203"/>
      <c r="U311" s="1203"/>
      <c r="V311" s="1203"/>
    </row>
    <row r="312" spans="1:22">
      <c r="A312" s="1203"/>
      <c r="B312" s="1203"/>
      <c r="C312" s="1203"/>
      <c r="D312" s="1203"/>
      <c r="E312" s="1203"/>
      <c r="F312" s="1203"/>
      <c r="G312" s="1203"/>
      <c r="H312" s="1203"/>
      <c r="I312" s="1203"/>
      <c r="J312" s="1203"/>
      <c r="K312" s="1203"/>
      <c r="L312" s="1203"/>
      <c r="M312" s="1203"/>
      <c r="N312" s="1203"/>
      <c r="O312" s="1203"/>
      <c r="P312" s="1203"/>
      <c r="Q312" s="1203"/>
      <c r="R312" s="1203"/>
      <c r="S312" s="1203"/>
      <c r="T312" s="1203"/>
      <c r="U312" s="1203"/>
      <c r="V312" s="1203"/>
    </row>
    <row r="313" spans="1:22">
      <c r="A313" s="1203"/>
      <c r="B313" s="1203"/>
      <c r="C313" s="1203"/>
      <c r="D313" s="1203"/>
      <c r="E313" s="1203"/>
      <c r="F313" s="1203"/>
      <c r="G313" s="1203"/>
      <c r="H313" s="1203"/>
      <c r="I313" s="1203"/>
      <c r="J313" s="1203"/>
      <c r="K313" s="1203"/>
      <c r="L313" s="1203"/>
      <c r="M313" s="1203"/>
      <c r="N313" s="1203"/>
      <c r="O313" s="1203"/>
      <c r="P313" s="1203"/>
      <c r="Q313" s="1203"/>
      <c r="R313" s="1203"/>
      <c r="S313" s="1203"/>
      <c r="T313" s="1203"/>
      <c r="U313" s="1203"/>
      <c r="V313" s="1203"/>
    </row>
    <row r="314" spans="1:22">
      <c r="A314" s="1203"/>
      <c r="B314" s="1203"/>
      <c r="C314" s="1203"/>
      <c r="D314" s="1203"/>
      <c r="E314" s="1203"/>
      <c r="F314" s="1203"/>
      <c r="G314" s="1203"/>
      <c r="H314" s="1203"/>
      <c r="I314" s="1203"/>
      <c r="J314" s="1203"/>
      <c r="K314" s="1203"/>
      <c r="L314" s="1203"/>
      <c r="M314" s="1203"/>
      <c r="N314" s="1203"/>
      <c r="O314" s="1203"/>
      <c r="P314" s="1203"/>
      <c r="Q314" s="1203"/>
      <c r="R314" s="1203"/>
      <c r="S314" s="1203"/>
      <c r="T314" s="1203"/>
      <c r="U314" s="1203"/>
      <c r="V314" s="1203"/>
    </row>
    <row r="315" spans="1:22">
      <c r="A315" s="1203"/>
      <c r="B315" s="1203"/>
      <c r="C315" s="1203"/>
      <c r="D315" s="1203"/>
      <c r="E315" s="1203"/>
      <c r="F315" s="1203"/>
      <c r="G315" s="1203"/>
      <c r="H315" s="1203"/>
      <c r="I315" s="1203"/>
      <c r="J315" s="1203"/>
      <c r="K315" s="1203"/>
      <c r="L315" s="1203"/>
      <c r="M315" s="1203"/>
      <c r="N315" s="1203"/>
      <c r="O315" s="1203"/>
      <c r="P315" s="1203"/>
      <c r="Q315" s="1203"/>
      <c r="R315" s="1203"/>
      <c r="S315" s="1203"/>
      <c r="T315" s="1203"/>
      <c r="U315" s="1203"/>
      <c r="V315" s="1203"/>
    </row>
    <row r="316" spans="1:22">
      <c r="A316" s="1203"/>
      <c r="B316" s="1203"/>
      <c r="C316" s="1203"/>
      <c r="D316" s="1203"/>
      <c r="E316" s="1203"/>
      <c r="F316" s="1203"/>
      <c r="G316" s="1203"/>
      <c r="H316" s="1203"/>
      <c r="I316" s="1203"/>
      <c r="J316" s="1203"/>
      <c r="K316" s="1203"/>
      <c r="L316" s="1203"/>
      <c r="M316" s="1203"/>
      <c r="N316" s="1203"/>
      <c r="O316" s="1203"/>
      <c r="P316" s="1203"/>
      <c r="Q316" s="1203"/>
      <c r="R316" s="1203"/>
      <c r="S316" s="1203"/>
      <c r="T316" s="1203"/>
      <c r="U316" s="1203"/>
      <c r="V316" s="1203"/>
    </row>
    <row r="317" spans="1:22">
      <c r="A317" s="1203"/>
      <c r="B317" s="1203"/>
      <c r="C317" s="1203"/>
      <c r="D317" s="1203"/>
      <c r="E317" s="1203"/>
      <c r="F317" s="1203"/>
      <c r="G317" s="1203"/>
      <c r="H317" s="1203"/>
      <c r="I317" s="1203"/>
      <c r="J317" s="1203"/>
      <c r="K317" s="1203"/>
      <c r="L317" s="1203"/>
      <c r="M317" s="1203"/>
      <c r="N317" s="1203"/>
      <c r="O317" s="1203"/>
      <c r="P317" s="1203"/>
      <c r="Q317" s="1203"/>
      <c r="R317" s="1203"/>
      <c r="S317" s="1203"/>
      <c r="T317" s="1203"/>
      <c r="U317" s="1203"/>
      <c r="V317" s="1203"/>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W937"/>
  <sheetViews>
    <sheetView topLeftCell="A118" zoomScale="60" zoomScaleNormal="60" workbookViewId="0"/>
  </sheetViews>
  <sheetFormatPr defaultRowHeight="15"/>
  <cols>
    <col min="2" max="2" width="13.5703125" customWidth="1"/>
    <col min="3" max="4" width="11.140625" customWidth="1"/>
    <col min="5" max="12" width="9.85546875" customWidth="1"/>
    <col min="13" max="13" width="9.140625" customWidth="1"/>
    <col min="14" max="16" width="10" customWidth="1"/>
    <col min="17" max="19" width="9.7109375" customWidth="1"/>
    <col min="21" max="21" width="26.140625" customWidth="1"/>
    <col min="22" max="23" width="9.85546875" customWidth="1"/>
    <col min="24" max="24" width="9.7109375" customWidth="1"/>
    <col min="25" max="25" width="9.85546875" customWidth="1"/>
    <col min="26" max="29" width="9.7109375" customWidth="1"/>
    <col min="30" max="30" width="1.5703125" customWidth="1"/>
    <col min="31" max="37" width="9.5703125" customWidth="1"/>
    <col min="38" max="38" width="12.140625" customWidth="1"/>
    <col min="39" max="45" width="9.5703125" customWidth="1"/>
  </cols>
  <sheetData>
    <row r="2" spans="2:42">
      <c r="B2" s="14" t="s">
        <v>72</v>
      </c>
      <c r="C2" s="14"/>
    </row>
    <row r="4" spans="2:42">
      <c r="B4" s="12" t="s">
        <v>15</v>
      </c>
      <c r="C4" s="12"/>
      <c r="F4" s="2" t="s">
        <v>261</v>
      </c>
      <c r="G4" s="2" t="s">
        <v>14</v>
      </c>
      <c r="H4" s="2" t="s">
        <v>262</v>
      </c>
      <c r="I4" s="2"/>
      <c r="J4" s="2" t="s">
        <v>13</v>
      </c>
      <c r="K4" s="2" t="s">
        <v>263</v>
      </c>
      <c r="L4" s="2" t="s">
        <v>12</v>
      </c>
      <c r="M4" s="2"/>
      <c r="N4" s="2"/>
      <c r="O4" s="2"/>
      <c r="P4" s="2"/>
      <c r="Q4" s="2"/>
      <c r="R4" s="2"/>
      <c r="S4" s="2"/>
      <c r="T4" s="2"/>
      <c r="U4" s="2"/>
      <c r="V4" s="2" t="s">
        <v>264</v>
      </c>
      <c r="W4" s="2" t="s">
        <v>11</v>
      </c>
      <c r="X4" s="2"/>
      <c r="Y4" s="2"/>
      <c r="Z4" s="2"/>
      <c r="AA4" s="2"/>
      <c r="AB4" s="2"/>
      <c r="AC4" s="2"/>
      <c r="AD4" s="2"/>
      <c r="AE4" s="2" t="s">
        <v>402</v>
      </c>
      <c r="AF4" s="2" t="s">
        <v>1353</v>
      </c>
      <c r="AG4" s="2"/>
      <c r="AL4" s="1" t="str">
        <f>V4</f>
        <v xml:space="preserve"> Sept 2014</v>
      </c>
      <c r="AM4" s="1" t="str">
        <f>W4</f>
        <v xml:space="preserve"> Mar 2015</v>
      </c>
      <c r="AN4" s="1" t="str">
        <f>AE4</f>
        <v xml:space="preserve"> Sept 2015</v>
      </c>
      <c r="AO4" s="1"/>
    </row>
    <row r="5" spans="2:42">
      <c r="B5" s="3" t="s">
        <v>22</v>
      </c>
      <c r="C5" s="3"/>
      <c r="D5" s="3"/>
      <c r="E5" s="3"/>
      <c r="F5" s="4" t="s">
        <v>10</v>
      </c>
      <c r="G5" s="4" t="s">
        <v>9</v>
      </c>
      <c r="H5" s="4" t="s">
        <v>10</v>
      </c>
      <c r="I5" s="4"/>
      <c r="J5" s="4" t="s">
        <v>9</v>
      </c>
      <c r="K5" s="4" t="s">
        <v>10</v>
      </c>
      <c r="L5" s="4" t="s">
        <v>9</v>
      </c>
      <c r="M5" s="4"/>
      <c r="N5" s="4"/>
      <c r="O5" s="4"/>
      <c r="P5" s="4"/>
      <c r="Q5" s="4"/>
      <c r="R5" s="4"/>
      <c r="S5" s="4"/>
      <c r="T5" s="4"/>
      <c r="U5" s="4"/>
      <c r="V5" s="4" t="s">
        <v>10</v>
      </c>
      <c r="W5" s="4" t="s">
        <v>9</v>
      </c>
      <c r="X5" s="4"/>
      <c r="Y5" s="4"/>
      <c r="Z5" s="4"/>
      <c r="AA5" s="4"/>
      <c r="AB5" s="4"/>
      <c r="AC5" s="4"/>
      <c r="AD5" s="4"/>
      <c r="AE5" s="4" t="s">
        <v>10</v>
      </c>
      <c r="AF5" s="4" t="s">
        <v>9</v>
      </c>
      <c r="AG5" s="4"/>
      <c r="AH5" s="511" t="s">
        <v>883</v>
      </c>
      <c r="AI5" s="511" t="s">
        <v>1559</v>
      </c>
      <c r="AJ5" s="511" t="s">
        <v>1560</v>
      </c>
      <c r="AL5" s="4" t="str">
        <f>V5</f>
        <v>H1</v>
      </c>
      <c r="AM5" s="4" t="str">
        <f>W5</f>
        <v>H2</v>
      </c>
      <c r="AN5" s="4" t="str">
        <f>AE5</f>
        <v>H1</v>
      </c>
      <c r="AO5" s="4" t="s">
        <v>1564</v>
      </c>
      <c r="AP5" s="4" t="str">
        <f>AF5</f>
        <v>H2</v>
      </c>
    </row>
    <row r="6" spans="2:42">
      <c r="D6" t="s">
        <v>5</v>
      </c>
      <c r="F6">
        <v>156</v>
      </c>
      <c r="G6">
        <v>159</v>
      </c>
      <c r="H6">
        <v>159</v>
      </c>
      <c r="J6">
        <v>164</v>
      </c>
      <c r="K6">
        <v>168</v>
      </c>
      <c r="L6">
        <v>168</v>
      </c>
      <c r="V6">
        <v>176</v>
      </c>
      <c r="W6">
        <v>175</v>
      </c>
      <c r="AE6">
        <v>175</v>
      </c>
      <c r="AF6" s="16">
        <f>CWI!J6-AE6</f>
        <v>180.40101799999997</v>
      </c>
      <c r="AG6" s="16"/>
      <c r="AH6" s="16"/>
      <c r="AI6" s="16"/>
      <c r="AJ6" s="16"/>
      <c r="AL6" s="6">
        <f t="shared" ref="AL6:AM10" si="0">V6/K6-1</f>
        <v>4.7619047619047672E-2</v>
      </c>
      <c r="AM6" s="6">
        <f t="shared" si="0"/>
        <v>4.1666666666666741E-2</v>
      </c>
      <c r="AN6" s="550">
        <f>AE6/V6-1</f>
        <v>-5.6818181818182323E-3</v>
      </c>
      <c r="AO6" s="550">
        <v>0.02</v>
      </c>
      <c r="AP6" s="6">
        <f>AF6/W6-1</f>
        <v>3.0862959999999884E-2</v>
      </c>
    </row>
    <row r="7" spans="2:42">
      <c r="D7" t="s">
        <v>6</v>
      </c>
      <c r="F7">
        <v>30</v>
      </c>
      <c r="G7">
        <v>30</v>
      </c>
      <c r="H7">
        <v>30</v>
      </c>
      <c r="J7">
        <v>30</v>
      </c>
      <c r="K7">
        <v>31</v>
      </c>
      <c r="L7">
        <v>33</v>
      </c>
      <c r="V7">
        <v>34</v>
      </c>
      <c r="W7">
        <v>35</v>
      </c>
      <c r="AE7">
        <f>25+11</f>
        <v>36</v>
      </c>
      <c r="AF7" s="16">
        <f>CWI!J12-AE7</f>
        <v>37.377029999999991</v>
      </c>
      <c r="AG7" s="16"/>
      <c r="AH7" s="16"/>
      <c r="AI7" s="16"/>
      <c r="AJ7" s="16"/>
      <c r="AL7" s="6">
        <f t="shared" si="0"/>
        <v>9.6774193548387011E-2</v>
      </c>
      <c r="AM7" s="6">
        <f t="shared" si="0"/>
        <v>6.0606060606060552E-2</v>
      </c>
      <c r="AN7" s="6">
        <f>AE7/V7-1</f>
        <v>5.8823529411764719E-2</v>
      </c>
      <c r="AO7" s="6"/>
      <c r="AP7" s="6">
        <f>AF7/W7-1</f>
        <v>6.7915142857142508E-2</v>
      </c>
    </row>
    <row r="8" spans="2:42">
      <c r="D8" t="s">
        <v>7</v>
      </c>
      <c r="F8">
        <v>72</v>
      </c>
      <c r="G8">
        <v>64</v>
      </c>
      <c r="H8">
        <v>61</v>
      </c>
      <c r="J8">
        <v>61</v>
      </c>
      <c r="K8">
        <v>58</v>
      </c>
      <c r="L8">
        <v>55</v>
      </c>
      <c r="V8">
        <v>54</v>
      </c>
      <c r="W8">
        <v>52</v>
      </c>
      <c r="AE8">
        <v>49</v>
      </c>
      <c r="AF8" s="16">
        <f>CWI!J15-AE8</f>
        <v>45.611779999999996</v>
      </c>
      <c r="AG8" s="16"/>
      <c r="AH8" s="16"/>
      <c r="AI8" s="16"/>
      <c r="AJ8" s="16"/>
      <c r="AL8" s="6">
        <f t="shared" si="0"/>
        <v>-6.8965517241379337E-2</v>
      </c>
      <c r="AM8" s="6">
        <f t="shared" si="0"/>
        <v>-5.4545454545454564E-2</v>
      </c>
      <c r="AN8" s="6">
        <f>AE8/V8-1</f>
        <v>-9.259259259259256E-2</v>
      </c>
      <c r="AO8" s="6"/>
      <c r="AP8" s="6">
        <f>AF8/W8-1</f>
        <v>-0.12285038461538467</v>
      </c>
    </row>
    <row r="9" spans="2:42">
      <c r="D9" s="3" t="s">
        <v>4</v>
      </c>
      <c r="E9" s="3"/>
      <c r="F9" s="3">
        <v>50</v>
      </c>
      <c r="G9" s="3">
        <v>40</v>
      </c>
      <c r="H9" s="3">
        <v>36</v>
      </c>
      <c r="I9" s="3"/>
      <c r="J9" s="3">
        <v>45</v>
      </c>
      <c r="K9" s="3">
        <v>30</v>
      </c>
      <c r="L9" s="3">
        <v>33</v>
      </c>
      <c r="M9" s="3"/>
      <c r="N9" s="3"/>
      <c r="O9" s="3"/>
      <c r="P9" s="3"/>
      <c r="Q9" s="3"/>
      <c r="R9" s="3"/>
      <c r="S9" s="3"/>
      <c r="T9" s="3"/>
      <c r="U9" s="3"/>
      <c r="V9" s="3">
        <v>38</v>
      </c>
      <c r="W9" s="3">
        <v>72</v>
      </c>
      <c r="X9" s="3"/>
      <c r="Y9" s="3"/>
      <c r="Z9" s="3"/>
      <c r="AA9" s="3"/>
      <c r="AB9" s="3"/>
      <c r="AC9" s="3"/>
      <c r="AD9" s="3"/>
      <c r="AE9" s="3">
        <v>62</v>
      </c>
      <c r="AF9" s="64">
        <f>CWI!J18-AE9</f>
        <v>63.610172000000091</v>
      </c>
      <c r="AG9" s="16"/>
      <c r="AH9" s="16"/>
      <c r="AI9" s="16"/>
      <c r="AJ9" s="16"/>
      <c r="AL9" s="7">
        <f t="shared" si="0"/>
        <v>0.26666666666666661</v>
      </c>
      <c r="AM9" s="7">
        <f t="shared" si="0"/>
        <v>1.1818181818181817</v>
      </c>
      <c r="AN9" s="7">
        <f>AE9/V9-1</f>
        <v>0.63157894736842102</v>
      </c>
      <c r="AO9" s="7"/>
      <c r="AP9" s="7">
        <f>AF9/W9-1</f>
        <v>-0.11652538888888764</v>
      </c>
    </row>
    <row r="10" spans="2:42">
      <c r="D10" t="s">
        <v>16</v>
      </c>
      <c r="F10">
        <f>SUM(F6:F9)</f>
        <v>308</v>
      </c>
      <c r="G10">
        <f>SUM(G6:G9)</f>
        <v>293</v>
      </c>
      <c r="H10">
        <f>SUM(H6:H9)</f>
        <v>286</v>
      </c>
      <c r="J10">
        <f>SUM(J6:J9)</f>
        <v>300</v>
      </c>
      <c r="K10">
        <f>SUM(K6:K9)</f>
        <v>287</v>
      </c>
      <c r="L10">
        <f>SUM(L6:L9)</f>
        <v>289</v>
      </c>
      <c r="V10">
        <f>SUM(V6:V9)</f>
        <v>302</v>
      </c>
      <c r="W10">
        <f>SUM(W6:W9)</f>
        <v>334</v>
      </c>
      <c r="AE10">
        <f>SUM(AE6:AE9)</f>
        <v>322</v>
      </c>
      <c r="AF10" s="16">
        <f>SUM(AF6:AF9)</f>
        <v>327.00000000000006</v>
      </c>
      <c r="AG10" s="16"/>
      <c r="AH10" s="16"/>
      <c r="AI10" s="16"/>
      <c r="AJ10" s="16"/>
      <c r="AL10" s="6">
        <f t="shared" si="0"/>
        <v>5.2264808362369353E-2</v>
      </c>
      <c r="AM10" s="6">
        <f t="shared" si="0"/>
        <v>0.15570934256055358</v>
      </c>
      <c r="AN10" s="6">
        <f>AE10/V10-1</f>
        <v>6.6225165562913801E-2</v>
      </c>
      <c r="AO10" s="6"/>
      <c r="AP10" s="6">
        <f>AF10/W10-1</f>
        <v>-2.0958083832335106E-2</v>
      </c>
    </row>
    <row r="11" spans="2:42">
      <c r="B11" t="s">
        <v>26</v>
      </c>
    </row>
    <row r="12" spans="2:42">
      <c r="D12" t="s">
        <v>5</v>
      </c>
      <c r="K12">
        <v>135</v>
      </c>
      <c r="L12">
        <v>138</v>
      </c>
      <c r="V12">
        <v>143</v>
      </c>
      <c r="W12">
        <v>156</v>
      </c>
      <c r="AE12">
        <v>158</v>
      </c>
      <c r="AL12" s="6">
        <f t="shared" ref="AL12:AM16" si="1">V12/K12-1</f>
        <v>5.9259259259259345E-2</v>
      </c>
      <c r="AM12" s="6">
        <f t="shared" si="1"/>
        <v>0.13043478260869557</v>
      </c>
      <c r="AN12" s="550">
        <f>AE12/V12-1</f>
        <v>0.10489510489510478</v>
      </c>
      <c r="AO12" s="550">
        <v>7.0000000000000007E-2</v>
      </c>
    </row>
    <row r="13" spans="2:42">
      <c r="D13" t="s">
        <v>6</v>
      </c>
      <c r="K13">
        <v>52</v>
      </c>
      <c r="L13">
        <v>53</v>
      </c>
      <c r="V13" s="36">
        <f>103+88</f>
        <v>191</v>
      </c>
      <c r="W13">
        <v>51</v>
      </c>
      <c r="AE13" s="36">
        <f>112+89</f>
        <v>201</v>
      </c>
      <c r="AL13" s="6">
        <f t="shared" si="1"/>
        <v>2.6730769230769229</v>
      </c>
      <c r="AM13" s="6">
        <f t="shared" si="1"/>
        <v>-3.7735849056603765E-2</v>
      </c>
      <c r="AN13" s="6">
        <f>AE13/V13-1</f>
        <v>5.2356020942408321E-2</v>
      </c>
      <c r="AO13" s="6"/>
    </row>
    <row r="14" spans="2:42">
      <c r="D14" t="s">
        <v>7</v>
      </c>
      <c r="K14">
        <v>105</v>
      </c>
      <c r="L14">
        <v>102</v>
      </c>
      <c r="V14">
        <v>98</v>
      </c>
      <c r="W14">
        <v>98</v>
      </c>
      <c r="AE14">
        <v>98</v>
      </c>
      <c r="AL14" s="6">
        <f t="shared" si="1"/>
        <v>-6.6666666666666652E-2</v>
      </c>
      <c r="AM14" s="6">
        <f t="shared" si="1"/>
        <v>-3.9215686274509776E-2</v>
      </c>
      <c r="AN14" s="6">
        <f>AE14/V14-1</f>
        <v>0</v>
      </c>
      <c r="AO14" s="6"/>
    </row>
    <row r="15" spans="2:42">
      <c r="D15" s="3" t="s">
        <v>4</v>
      </c>
      <c r="E15" s="3"/>
      <c r="F15" s="3"/>
      <c r="G15" s="3"/>
      <c r="H15" s="3"/>
      <c r="I15" s="3"/>
      <c r="J15" s="3"/>
      <c r="K15" s="3">
        <v>54</v>
      </c>
      <c r="L15" s="3">
        <v>52</v>
      </c>
      <c r="M15" s="3"/>
      <c r="N15" s="3"/>
      <c r="O15" s="3"/>
      <c r="P15" s="3"/>
      <c r="Q15" s="3"/>
      <c r="R15" s="3"/>
      <c r="S15" s="3"/>
      <c r="T15" s="3"/>
      <c r="U15" s="3"/>
      <c r="V15" s="551">
        <v>84</v>
      </c>
      <c r="W15" s="3">
        <v>60</v>
      </c>
      <c r="X15" s="3"/>
      <c r="Y15" s="3"/>
      <c r="Z15" s="3"/>
      <c r="AA15" s="3"/>
      <c r="AB15" s="3"/>
      <c r="AC15" s="3"/>
      <c r="AD15" s="3"/>
      <c r="AE15" s="551">
        <v>90</v>
      </c>
      <c r="AF15" s="3"/>
      <c r="AL15" s="7">
        <f t="shared" si="1"/>
        <v>0.55555555555555558</v>
      </c>
      <c r="AM15" s="7">
        <f t="shared" si="1"/>
        <v>0.15384615384615374</v>
      </c>
      <c r="AN15" s="7">
        <f>AE15/V15-1</f>
        <v>7.1428571428571397E-2</v>
      </c>
      <c r="AO15" s="7"/>
      <c r="AP15" s="3"/>
    </row>
    <row r="16" spans="2:42">
      <c r="D16" t="s">
        <v>16</v>
      </c>
      <c r="F16">
        <f>SUM(F12:F15)</f>
        <v>0</v>
      </c>
      <c r="G16">
        <f>SUM(G12:G15)</f>
        <v>0</v>
      </c>
      <c r="H16">
        <f>SUM(H12:H15)</f>
        <v>0</v>
      </c>
      <c r="J16">
        <f>SUM(J12:J15)</f>
        <v>0</v>
      </c>
      <c r="K16">
        <f>SUM(K12:K15)</f>
        <v>346</v>
      </c>
      <c r="L16">
        <f>SUM(L12:L15)</f>
        <v>345</v>
      </c>
      <c r="V16">
        <f>SUM(V12:V15)</f>
        <v>516</v>
      </c>
      <c r="W16">
        <f>SUM(W12:W15)</f>
        <v>365</v>
      </c>
      <c r="AE16">
        <f>SUM(AE12:AE15)</f>
        <v>547</v>
      </c>
      <c r="AF16" s="16" t="e">
        <f>Master!#REF!+Master!G46-AF42-AE42-AE16</f>
        <v>#REF!</v>
      </c>
      <c r="AG16" s="16"/>
      <c r="AH16" s="16"/>
      <c r="AI16" s="16"/>
      <c r="AJ16" s="16"/>
      <c r="AL16" s="6">
        <f t="shared" si="1"/>
        <v>0.49132947976878616</v>
      </c>
      <c r="AM16" s="6">
        <f t="shared" si="1"/>
        <v>5.7971014492753659E-2</v>
      </c>
      <c r="AN16" s="6">
        <f>AE16/V16-1</f>
        <v>6.0077519379845068E-2</v>
      </c>
      <c r="AO16" s="6"/>
      <c r="AP16" s="6" t="e">
        <f>AF16/W16-1</f>
        <v>#REF!</v>
      </c>
    </row>
    <row r="17" spans="2:42">
      <c r="B17" s="8" t="s">
        <v>23</v>
      </c>
      <c r="C17" s="8"/>
      <c r="D17" s="8"/>
      <c r="AL17" s="6"/>
      <c r="AM17" s="6"/>
      <c r="AN17" s="6"/>
      <c r="AO17" s="6"/>
    </row>
    <row r="18" spans="2:42">
      <c r="B18" s="8"/>
      <c r="C18" s="8"/>
      <c r="D18" s="8" t="s">
        <v>5</v>
      </c>
      <c r="K18" s="8">
        <v>132</v>
      </c>
      <c r="L18" s="8">
        <v>136</v>
      </c>
      <c r="M18" s="8"/>
      <c r="N18" s="8"/>
      <c r="O18" s="8"/>
      <c r="P18" s="8"/>
      <c r="Q18" s="8"/>
      <c r="R18" s="8"/>
      <c r="S18" s="8"/>
      <c r="T18" s="8"/>
      <c r="U18" s="8"/>
      <c r="W18" s="8"/>
      <c r="X18" s="8"/>
      <c r="Y18" s="8"/>
      <c r="Z18" s="8"/>
      <c r="AA18" s="8"/>
      <c r="AB18" s="8"/>
      <c r="AC18" s="8"/>
      <c r="AL18" s="10">
        <f t="shared" ref="AL18:AM22" si="2">V12/K18-1</f>
        <v>8.3333333333333259E-2</v>
      </c>
      <c r="AM18" s="10">
        <f t="shared" si="2"/>
        <v>0.14705882352941169</v>
      </c>
      <c r="AN18" s="10" t="e">
        <f>AE12/V18-1</f>
        <v>#DIV/0!</v>
      </c>
      <c r="AO18" s="10"/>
    </row>
    <row r="19" spans="2:42">
      <c r="B19" s="8"/>
      <c r="C19" s="8"/>
      <c r="D19" s="8" t="s">
        <v>6</v>
      </c>
      <c r="K19" s="8">
        <v>51</v>
      </c>
      <c r="L19" s="8">
        <v>52</v>
      </c>
      <c r="M19" s="8"/>
      <c r="N19" s="8"/>
      <c r="O19" s="8"/>
      <c r="P19" s="8"/>
      <c r="Q19" s="8"/>
      <c r="R19" s="8"/>
      <c r="S19" s="8"/>
      <c r="T19" s="8"/>
      <c r="U19" s="8"/>
      <c r="W19" s="8"/>
      <c r="X19" s="8"/>
      <c r="Y19" s="8"/>
      <c r="Z19" s="8"/>
      <c r="AA19" s="8"/>
      <c r="AB19" s="8"/>
      <c r="AC19" s="8"/>
      <c r="AL19" s="10">
        <f t="shared" si="2"/>
        <v>2.7450980392156863</v>
      </c>
      <c r="AM19" s="10">
        <f t="shared" si="2"/>
        <v>-1.9230769230769273E-2</v>
      </c>
      <c r="AN19" s="10" t="e">
        <f>AE13/V19-1</f>
        <v>#DIV/0!</v>
      </c>
      <c r="AO19" s="10"/>
    </row>
    <row r="20" spans="2:42">
      <c r="B20" s="8"/>
      <c r="C20" s="8"/>
      <c r="D20" s="8" t="s">
        <v>7</v>
      </c>
      <c r="K20" s="8">
        <v>102</v>
      </c>
      <c r="L20" s="8">
        <v>100</v>
      </c>
      <c r="M20" s="8"/>
      <c r="N20" s="8"/>
      <c r="O20" s="8"/>
      <c r="P20" s="8"/>
      <c r="Q20" s="8"/>
      <c r="R20" s="8"/>
      <c r="S20" s="8"/>
      <c r="T20" s="8"/>
      <c r="U20" s="8"/>
      <c r="W20" s="8"/>
      <c r="X20" s="8"/>
      <c r="Y20" s="8"/>
      <c r="Z20" s="8"/>
      <c r="AA20" s="8"/>
      <c r="AB20" s="8"/>
      <c r="AC20" s="8"/>
      <c r="AL20" s="10">
        <f t="shared" si="2"/>
        <v>-3.9215686274509776E-2</v>
      </c>
      <c r="AM20" s="10">
        <f t="shared" si="2"/>
        <v>-2.0000000000000018E-2</v>
      </c>
      <c r="AN20" s="10" t="e">
        <f>AE14/V20-1</f>
        <v>#DIV/0!</v>
      </c>
      <c r="AO20" s="10"/>
    </row>
    <row r="21" spans="2:42">
      <c r="B21" s="8"/>
      <c r="C21" s="8"/>
      <c r="D21" s="9" t="s">
        <v>4</v>
      </c>
      <c r="E21" s="3"/>
      <c r="F21" s="3"/>
      <c r="G21" s="3"/>
      <c r="H21" s="3"/>
      <c r="I21" s="3"/>
      <c r="J21" s="3"/>
      <c r="K21" s="9">
        <v>53</v>
      </c>
      <c r="L21" s="9">
        <v>51</v>
      </c>
      <c r="M21" s="9"/>
      <c r="N21" s="9"/>
      <c r="O21" s="9"/>
      <c r="P21" s="9"/>
      <c r="Q21" s="9"/>
      <c r="R21" s="9"/>
      <c r="S21" s="9"/>
      <c r="T21" s="9"/>
      <c r="U21" s="9"/>
      <c r="V21" s="3"/>
      <c r="W21" s="9"/>
      <c r="X21" s="9"/>
      <c r="Y21" s="9"/>
      <c r="Z21" s="9"/>
      <c r="AA21" s="9"/>
      <c r="AB21" s="9"/>
      <c r="AC21" s="9"/>
      <c r="AD21" s="3"/>
      <c r="AE21" s="3"/>
      <c r="AF21" s="3"/>
      <c r="AL21" s="11">
        <f t="shared" si="2"/>
        <v>0.58490566037735858</v>
      </c>
      <c r="AM21" s="11">
        <f t="shared" si="2"/>
        <v>0.17647058823529416</v>
      </c>
      <c r="AN21" s="11" t="e">
        <f>AE15/V21-1</f>
        <v>#DIV/0!</v>
      </c>
      <c r="AO21" s="10"/>
    </row>
    <row r="22" spans="2:42">
      <c r="B22" s="8"/>
      <c r="C22" s="8"/>
      <c r="D22" s="8" t="s">
        <v>16</v>
      </c>
      <c r="K22" s="8">
        <f>SUM(K18:K21)</f>
        <v>338</v>
      </c>
      <c r="L22" s="8">
        <f>SUM(L18:L21)</f>
        <v>339</v>
      </c>
      <c r="M22" s="8"/>
      <c r="N22" s="8"/>
      <c r="O22" s="8"/>
      <c r="P22" s="8"/>
      <c r="Q22" s="8"/>
      <c r="R22" s="8"/>
      <c r="S22" s="8"/>
      <c r="T22" s="8"/>
      <c r="U22" s="8"/>
      <c r="W22" s="8"/>
      <c r="X22" s="8"/>
      <c r="Y22" s="8"/>
      <c r="Z22" s="8"/>
      <c r="AA22" s="8"/>
      <c r="AB22" s="8"/>
      <c r="AC22" s="8"/>
      <c r="AL22" s="10">
        <f t="shared" si="2"/>
        <v>0.52662721893491127</v>
      </c>
      <c r="AM22" s="10">
        <f t="shared" si="2"/>
        <v>7.6696165191740384E-2</v>
      </c>
      <c r="AN22" s="10" t="e">
        <f>AE16/V22-1</f>
        <v>#DIV/0!</v>
      </c>
      <c r="AO22" s="10"/>
    </row>
    <row r="23" spans="2:42">
      <c r="B23" t="s">
        <v>21</v>
      </c>
    </row>
    <row r="24" spans="2:42">
      <c r="D24" t="s">
        <v>5</v>
      </c>
      <c r="K24">
        <v>129</v>
      </c>
      <c r="L24">
        <v>129</v>
      </c>
      <c r="V24">
        <v>126</v>
      </c>
      <c r="W24">
        <v>124</v>
      </c>
      <c r="AE24">
        <v>118</v>
      </c>
      <c r="AF24" s="16">
        <f>CWI!J103-AE24</f>
        <v>111.08694400000002</v>
      </c>
      <c r="AG24" s="16"/>
      <c r="AH24" s="16"/>
      <c r="AI24" s="16"/>
      <c r="AJ24" s="16"/>
      <c r="AL24" s="6">
        <f t="shared" ref="AL24:AM28" si="3">V24/K24-1</f>
        <v>-2.3255813953488413E-2</v>
      </c>
      <c r="AM24" s="6">
        <f t="shared" si="3"/>
        <v>-3.8759689922480578E-2</v>
      </c>
      <c r="AN24" s="550">
        <f>AE24/V24-1</f>
        <v>-6.3492063492063489E-2</v>
      </c>
      <c r="AO24" s="550">
        <v>-0.09</v>
      </c>
      <c r="AP24" s="6">
        <f>AF24/W24-1</f>
        <v>-0.10413754838709666</v>
      </c>
    </row>
    <row r="25" spans="2:42">
      <c r="D25" t="s">
        <v>6</v>
      </c>
      <c r="K25">
        <v>7</v>
      </c>
      <c r="L25">
        <v>8</v>
      </c>
      <c r="V25">
        <v>8</v>
      </c>
      <c r="W25">
        <v>7</v>
      </c>
      <c r="AE25">
        <v>7</v>
      </c>
      <c r="AF25" s="16">
        <f>CWI!J113-AE25</f>
        <v>7.3105280000000015</v>
      </c>
      <c r="AG25" s="16"/>
      <c r="AH25" s="16"/>
      <c r="AI25" s="16"/>
      <c r="AJ25" s="16"/>
      <c r="AL25" s="6">
        <f t="shared" si="3"/>
        <v>0.14285714285714279</v>
      </c>
      <c r="AM25" s="6">
        <f t="shared" si="3"/>
        <v>-0.125</v>
      </c>
      <c r="AN25" s="6">
        <f>AE25/V25-1</f>
        <v>-0.125</v>
      </c>
      <c r="AO25" s="6"/>
      <c r="AP25" s="6">
        <f>AF25/W25-1</f>
        <v>4.4361142857143099E-2</v>
      </c>
    </row>
    <row r="26" spans="2:42">
      <c r="D26" t="s">
        <v>7</v>
      </c>
      <c r="K26">
        <v>25</v>
      </c>
      <c r="L26">
        <v>20</v>
      </c>
      <c r="V26">
        <v>24</v>
      </c>
      <c r="W26">
        <v>25</v>
      </c>
      <c r="AE26">
        <v>23</v>
      </c>
      <c r="AF26" s="16">
        <f>CWI!J116-AE26</f>
        <v>24.275200000000005</v>
      </c>
      <c r="AG26" s="16"/>
      <c r="AH26" s="16"/>
      <c r="AI26" s="16"/>
      <c r="AJ26" s="16"/>
      <c r="AL26" s="6">
        <f t="shared" si="3"/>
        <v>-4.0000000000000036E-2</v>
      </c>
      <c r="AM26" s="6">
        <f t="shared" si="3"/>
        <v>0.25</v>
      </c>
      <c r="AN26" s="6">
        <f>AE26/V26-1</f>
        <v>-4.166666666666663E-2</v>
      </c>
      <c r="AO26" s="6"/>
      <c r="AP26" s="6">
        <f>AF26/W26-1</f>
        <v>-2.8991999999999796E-2</v>
      </c>
    </row>
    <row r="27" spans="2:42">
      <c r="D27" s="3" t="s">
        <v>4</v>
      </c>
      <c r="E27" s="3"/>
      <c r="F27" s="3"/>
      <c r="G27" s="3"/>
      <c r="H27" s="3"/>
      <c r="I27" s="3"/>
      <c r="J27" s="3"/>
      <c r="K27" s="3">
        <v>14</v>
      </c>
      <c r="L27" s="3">
        <v>22</v>
      </c>
      <c r="M27" s="3"/>
      <c r="N27" s="3"/>
      <c r="O27" s="3"/>
      <c r="P27" s="3"/>
      <c r="Q27" s="3"/>
      <c r="R27" s="3"/>
      <c r="S27" s="3"/>
      <c r="T27" s="3"/>
      <c r="U27" s="3"/>
      <c r="V27" s="3">
        <v>13</v>
      </c>
      <c r="W27" s="3">
        <v>21</v>
      </c>
      <c r="X27" s="3"/>
      <c r="Y27" s="3"/>
      <c r="Z27" s="3"/>
      <c r="AA27" s="3"/>
      <c r="AB27" s="3"/>
      <c r="AC27" s="3"/>
      <c r="AD27" s="3"/>
      <c r="AE27" s="3">
        <v>14</v>
      </c>
      <c r="AF27" s="64">
        <f>CWI!J119-AE27</f>
        <v>24.327328000000023</v>
      </c>
      <c r="AG27" s="16"/>
      <c r="AH27" s="16"/>
      <c r="AI27" s="16"/>
      <c r="AJ27" s="16"/>
      <c r="AL27" s="7">
        <f t="shared" si="3"/>
        <v>-7.1428571428571397E-2</v>
      </c>
      <c r="AM27" s="7">
        <f t="shared" si="3"/>
        <v>-4.5454545454545414E-2</v>
      </c>
      <c r="AN27" s="7">
        <f>AE27/V27-1</f>
        <v>7.6923076923076872E-2</v>
      </c>
      <c r="AO27" s="7"/>
      <c r="AP27" s="7">
        <f>AF27/W27-1</f>
        <v>0.15844419047619152</v>
      </c>
    </row>
    <row r="28" spans="2:42">
      <c r="D28" t="s">
        <v>16</v>
      </c>
      <c r="F28">
        <f>SUM(F24:F27)</f>
        <v>0</v>
      </c>
      <c r="G28">
        <f>SUM(G24:G27)</f>
        <v>0</v>
      </c>
      <c r="H28">
        <f>SUM(H24:H27)</f>
        <v>0</v>
      </c>
      <c r="J28">
        <f>SUM(J24:J27)</f>
        <v>0</v>
      </c>
      <c r="K28">
        <f>SUM(K24:K27)</f>
        <v>175</v>
      </c>
      <c r="L28">
        <f>SUM(L24:L27)</f>
        <v>179</v>
      </c>
      <c r="V28">
        <f>SUM(V24:V27)</f>
        <v>171</v>
      </c>
      <c r="W28">
        <f>SUM(W24:W27)</f>
        <v>177</v>
      </c>
      <c r="AE28">
        <f>SUM(AE24:AE27)</f>
        <v>162</v>
      </c>
      <c r="AF28" s="16">
        <f>SUM(AF24:AF27)</f>
        <v>167.00000000000006</v>
      </c>
      <c r="AG28" s="16"/>
      <c r="AH28" s="16"/>
      <c r="AI28" s="16"/>
      <c r="AJ28" s="16"/>
      <c r="AL28" s="6">
        <f t="shared" si="3"/>
        <v>-2.2857142857142909E-2</v>
      </c>
      <c r="AM28" s="6">
        <f t="shared" si="3"/>
        <v>-1.1173184357541888E-2</v>
      </c>
      <c r="AN28" s="6">
        <f>AE28/V28-1</f>
        <v>-5.2631578947368474E-2</v>
      </c>
      <c r="AO28" s="6"/>
      <c r="AP28" s="6">
        <f>AF28/W28-1</f>
        <v>-5.6497175141242639E-2</v>
      </c>
    </row>
    <row r="29" spans="2:42">
      <c r="B29" t="s">
        <v>3</v>
      </c>
    </row>
    <row r="30" spans="2:42">
      <c r="D30" t="s">
        <v>5</v>
      </c>
      <c r="K30">
        <v>15</v>
      </c>
      <c r="L30">
        <v>16</v>
      </c>
      <c r="V30">
        <v>16</v>
      </c>
      <c r="W30">
        <v>13</v>
      </c>
      <c r="AE30">
        <v>14</v>
      </c>
      <c r="AL30" s="6">
        <f t="shared" ref="AL30:AM34" si="4">V30/K30-1</f>
        <v>6.6666666666666652E-2</v>
      </c>
      <c r="AM30" s="6">
        <f t="shared" si="4"/>
        <v>-0.1875</v>
      </c>
      <c r="AN30" s="6">
        <f>AE30/V30-1</f>
        <v>-0.125</v>
      </c>
      <c r="AO30" s="6"/>
    </row>
    <row r="31" spans="2:42">
      <c r="D31" t="s">
        <v>6</v>
      </c>
      <c r="K31">
        <v>5</v>
      </c>
      <c r="L31">
        <v>5</v>
      </c>
      <c r="V31">
        <v>5</v>
      </c>
      <c r="W31">
        <v>6</v>
      </c>
      <c r="AE31">
        <v>6</v>
      </c>
      <c r="AL31" s="6">
        <f t="shared" si="4"/>
        <v>0</v>
      </c>
      <c r="AM31" s="6">
        <f t="shared" si="4"/>
        <v>0.19999999999999996</v>
      </c>
      <c r="AN31" s="6">
        <f>AE31/V31-1</f>
        <v>0.19999999999999996</v>
      </c>
      <c r="AO31" s="6"/>
    </row>
    <row r="32" spans="2:42">
      <c r="D32" t="s">
        <v>7</v>
      </c>
      <c r="K32">
        <v>4</v>
      </c>
      <c r="L32">
        <v>5</v>
      </c>
      <c r="V32">
        <v>4</v>
      </c>
      <c r="W32">
        <v>4</v>
      </c>
      <c r="AE32">
        <v>5</v>
      </c>
      <c r="AL32" s="6">
        <f t="shared" si="4"/>
        <v>0</v>
      </c>
      <c r="AM32" s="6">
        <f t="shared" si="4"/>
        <v>-0.19999999999999996</v>
      </c>
      <c r="AN32" s="6">
        <f>AE32/V32-1</f>
        <v>0.25</v>
      </c>
      <c r="AO32" s="6"/>
    </row>
    <row r="33" spans="2:42">
      <c r="D33" s="3" t="s">
        <v>4</v>
      </c>
      <c r="E33" s="3"/>
      <c r="F33" s="3"/>
      <c r="G33" s="3"/>
      <c r="H33" s="3"/>
      <c r="I33" s="3"/>
      <c r="J33" s="3"/>
      <c r="K33" s="3">
        <v>2</v>
      </c>
      <c r="L33" s="3">
        <v>1</v>
      </c>
      <c r="M33" s="3"/>
      <c r="N33" s="3"/>
      <c r="O33" s="3"/>
      <c r="P33" s="3"/>
      <c r="Q33" s="3"/>
      <c r="R33" s="3"/>
      <c r="S33" s="3"/>
      <c r="T33" s="3"/>
      <c r="U33" s="3"/>
      <c r="V33" s="3">
        <v>2</v>
      </c>
      <c r="W33" s="3">
        <v>2</v>
      </c>
      <c r="X33" s="3"/>
      <c r="Y33" s="3"/>
      <c r="Z33" s="3"/>
      <c r="AA33" s="3"/>
      <c r="AB33" s="3"/>
      <c r="AC33" s="3"/>
      <c r="AD33" s="3"/>
      <c r="AE33" s="3">
        <v>2</v>
      </c>
      <c r="AF33" s="3"/>
      <c r="AL33" s="7">
        <f t="shared" si="4"/>
        <v>0</v>
      </c>
      <c r="AM33" s="7">
        <f t="shared" si="4"/>
        <v>1</v>
      </c>
      <c r="AN33" s="7">
        <f>AE33/V33-1</f>
        <v>0</v>
      </c>
      <c r="AO33" s="7"/>
      <c r="AP33" s="3"/>
    </row>
    <row r="34" spans="2:42">
      <c r="D34" t="s">
        <v>16</v>
      </c>
      <c r="F34">
        <f>SUM(F30:F33)</f>
        <v>0</v>
      </c>
      <c r="G34">
        <f>SUM(G30:G33)</f>
        <v>0</v>
      </c>
      <c r="H34">
        <f>SUM(H30:H33)</f>
        <v>0</v>
      </c>
      <c r="J34">
        <f>SUM(J30:J33)</f>
        <v>0</v>
      </c>
      <c r="K34">
        <f>SUM(K30:K33)</f>
        <v>26</v>
      </c>
      <c r="L34">
        <f>SUM(L30:L33)</f>
        <v>27</v>
      </c>
      <c r="V34">
        <f>SUM(V30:V33)</f>
        <v>27</v>
      </c>
      <c r="W34">
        <f>SUM(W30:W33)</f>
        <v>25</v>
      </c>
      <c r="AE34">
        <f>SUM(AE30:AE33)</f>
        <v>27</v>
      </c>
      <c r="AF34" s="16">
        <f>CWI!J162-AE34</f>
        <v>29</v>
      </c>
      <c r="AG34" s="16"/>
      <c r="AH34" s="16"/>
      <c r="AI34" s="16"/>
      <c r="AJ34" s="16"/>
      <c r="AL34" s="6">
        <f t="shared" si="4"/>
        <v>3.8461538461538547E-2</v>
      </c>
      <c r="AM34" s="6">
        <f t="shared" si="4"/>
        <v>-7.407407407407407E-2</v>
      </c>
      <c r="AN34" s="6">
        <f>AE34/V34-1</f>
        <v>0</v>
      </c>
      <c r="AO34" s="6"/>
      <c r="AP34" s="6">
        <f>AF34/W34-1</f>
        <v>0.15999999999999992</v>
      </c>
    </row>
    <row r="35" spans="2:42">
      <c r="B35" s="8" t="s">
        <v>24</v>
      </c>
      <c r="C35" s="8"/>
      <c r="D35" s="8"/>
      <c r="AL35" s="6"/>
      <c r="AM35" s="6"/>
      <c r="AN35" s="6"/>
      <c r="AO35" s="6"/>
    </row>
    <row r="36" spans="2:42">
      <c r="B36" s="8"/>
      <c r="C36" s="8"/>
      <c r="D36" s="8" t="s">
        <v>5</v>
      </c>
      <c r="K36" s="8">
        <v>14</v>
      </c>
      <c r="L36" s="8">
        <v>14</v>
      </c>
      <c r="M36" s="8"/>
      <c r="N36" s="8"/>
      <c r="O36" s="8"/>
      <c r="P36" s="8"/>
      <c r="Q36" s="8"/>
      <c r="R36" s="8"/>
      <c r="S36" s="8"/>
      <c r="T36" s="8"/>
      <c r="U36" s="8"/>
      <c r="W36" s="8"/>
      <c r="X36" s="8"/>
      <c r="Y36" s="8"/>
      <c r="Z36" s="8"/>
      <c r="AA36" s="8"/>
      <c r="AB36" s="8"/>
      <c r="AC36" s="8"/>
      <c r="AL36" s="10">
        <f t="shared" ref="AL36:AM40" si="5">V30/K36-1</f>
        <v>0.14285714285714279</v>
      </c>
      <c r="AM36" s="10">
        <f t="shared" si="5"/>
        <v>-7.1428571428571397E-2</v>
      </c>
      <c r="AN36" s="10" t="e">
        <f>AE30/V36-1</f>
        <v>#DIV/0!</v>
      </c>
      <c r="AO36" s="10"/>
    </row>
    <row r="37" spans="2:42">
      <c r="B37" s="8"/>
      <c r="C37" s="8"/>
      <c r="D37" s="8" t="s">
        <v>6</v>
      </c>
      <c r="K37" s="8">
        <v>5</v>
      </c>
      <c r="L37" s="8">
        <v>4</v>
      </c>
      <c r="M37" s="8"/>
      <c r="N37" s="8"/>
      <c r="O37" s="8"/>
      <c r="P37" s="8"/>
      <c r="Q37" s="8"/>
      <c r="R37" s="8"/>
      <c r="S37" s="8"/>
      <c r="T37" s="8"/>
      <c r="U37" s="8"/>
      <c r="W37" s="8"/>
      <c r="X37" s="8"/>
      <c r="Y37" s="8"/>
      <c r="Z37" s="8"/>
      <c r="AA37" s="8"/>
      <c r="AB37" s="8"/>
      <c r="AC37" s="8"/>
      <c r="AL37" s="10">
        <f t="shared" si="5"/>
        <v>0</v>
      </c>
      <c r="AM37" s="10">
        <f t="shared" si="5"/>
        <v>0.5</v>
      </c>
      <c r="AN37" s="10" t="e">
        <f>AE31/V37-1</f>
        <v>#DIV/0!</v>
      </c>
      <c r="AO37" s="10"/>
    </row>
    <row r="38" spans="2:42">
      <c r="B38" s="8"/>
      <c r="C38" s="8"/>
      <c r="D38" s="8" t="s">
        <v>7</v>
      </c>
      <c r="K38" s="8">
        <v>4</v>
      </c>
      <c r="L38" s="8">
        <v>4</v>
      </c>
      <c r="M38" s="8"/>
      <c r="N38" s="8"/>
      <c r="O38" s="8"/>
      <c r="P38" s="8"/>
      <c r="Q38" s="8"/>
      <c r="R38" s="8"/>
      <c r="S38" s="8"/>
      <c r="T38" s="8"/>
      <c r="U38" s="8"/>
      <c r="W38" s="8"/>
      <c r="X38" s="8"/>
      <c r="Y38" s="8"/>
      <c r="Z38" s="8"/>
      <c r="AA38" s="8"/>
      <c r="AB38" s="8"/>
      <c r="AC38" s="8"/>
      <c r="AL38" s="10">
        <f t="shared" si="5"/>
        <v>0</v>
      </c>
      <c r="AM38" s="10">
        <f t="shared" si="5"/>
        <v>0</v>
      </c>
      <c r="AN38" s="10" t="e">
        <f>AE32/V38-1</f>
        <v>#DIV/0!</v>
      </c>
      <c r="AO38" s="10"/>
    </row>
    <row r="39" spans="2:42">
      <c r="B39" s="8"/>
      <c r="C39" s="8"/>
      <c r="D39" s="9" t="s">
        <v>4</v>
      </c>
      <c r="E39" s="3"/>
      <c r="F39" s="3"/>
      <c r="G39" s="3"/>
      <c r="H39" s="3"/>
      <c r="I39" s="3"/>
      <c r="J39" s="3"/>
      <c r="K39" s="9">
        <v>2</v>
      </c>
      <c r="L39" s="9">
        <v>1</v>
      </c>
      <c r="M39" s="9"/>
      <c r="N39" s="9"/>
      <c r="O39" s="9"/>
      <c r="P39" s="9"/>
      <c r="Q39" s="9"/>
      <c r="R39" s="9"/>
      <c r="S39" s="9"/>
      <c r="T39" s="9"/>
      <c r="U39" s="9"/>
      <c r="V39" s="3"/>
      <c r="W39" s="9"/>
      <c r="X39" s="9"/>
      <c r="Y39" s="9"/>
      <c r="Z39" s="9"/>
      <c r="AA39" s="9"/>
      <c r="AB39" s="9"/>
      <c r="AC39" s="9"/>
      <c r="AD39" s="3"/>
      <c r="AE39" s="3"/>
      <c r="AF39" s="3"/>
      <c r="AL39" s="11">
        <f t="shared" si="5"/>
        <v>0</v>
      </c>
      <c r="AM39" s="11">
        <f t="shared" si="5"/>
        <v>1</v>
      </c>
      <c r="AN39" s="11" t="e">
        <f>AE33/V39-1</f>
        <v>#DIV/0!</v>
      </c>
      <c r="AO39" s="10"/>
    </row>
    <row r="40" spans="2:42">
      <c r="B40" s="8"/>
      <c r="C40" s="8"/>
      <c r="D40" s="8" t="s">
        <v>16</v>
      </c>
      <c r="K40" s="8">
        <f>SUM(K36:K39)</f>
        <v>25</v>
      </c>
      <c r="L40" s="8">
        <f>SUM(L36:L39)</f>
        <v>23</v>
      </c>
      <c r="M40" s="8"/>
      <c r="N40" s="8"/>
      <c r="O40" s="8"/>
      <c r="P40" s="8"/>
      <c r="Q40" s="8"/>
      <c r="R40" s="8"/>
      <c r="S40" s="8"/>
      <c r="T40" s="8"/>
      <c r="U40" s="8"/>
      <c r="W40" s="8"/>
      <c r="X40" s="8"/>
      <c r="Y40" s="8"/>
      <c r="Z40" s="8"/>
      <c r="AA40" s="8"/>
      <c r="AB40" s="8"/>
      <c r="AC40" s="8"/>
      <c r="AL40" s="10">
        <f t="shared" si="5"/>
        <v>8.0000000000000071E-2</v>
      </c>
      <c r="AM40" s="10">
        <f t="shared" si="5"/>
        <v>8.6956521739130377E-2</v>
      </c>
      <c r="AN40" s="10" t="e">
        <f>AE34/V40-1</f>
        <v>#DIV/0!</v>
      </c>
      <c r="AO40" s="10"/>
    </row>
    <row r="42" spans="2:42">
      <c r="B42" t="s">
        <v>52</v>
      </c>
      <c r="V42" s="36">
        <v>120</v>
      </c>
      <c r="AE42" s="36">
        <v>130</v>
      </c>
      <c r="AF42" s="36">
        <v>135</v>
      </c>
      <c r="AG42" s="36"/>
      <c r="AH42" s="36"/>
      <c r="AI42" s="36"/>
      <c r="AJ42" s="36"/>
    </row>
    <row r="43" spans="2:42">
      <c r="B43" t="s">
        <v>4</v>
      </c>
      <c r="K43">
        <v>7</v>
      </c>
      <c r="L43">
        <v>8</v>
      </c>
      <c r="V43">
        <v>-4</v>
      </c>
      <c r="W43">
        <v>4</v>
      </c>
      <c r="AE43">
        <v>-9</v>
      </c>
      <c r="AF43">
        <f>Master!G45-Quarts!AE43</f>
        <v>9</v>
      </c>
      <c r="AL43" s="6">
        <f>V43/K43-1</f>
        <v>-1.5714285714285714</v>
      </c>
      <c r="AM43" s="6">
        <f>W43/L43-1</f>
        <v>-0.5</v>
      </c>
      <c r="AN43" s="6">
        <f>AE43/V43-1</f>
        <v>1.25</v>
      </c>
      <c r="AO43" s="6"/>
    </row>
    <row r="44" spans="2:42">
      <c r="AL44" s="6"/>
      <c r="AM44" s="6"/>
      <c r="AN44" s="6"/>
      <c r="AO44" s="6"/>
    </row>
    <row r="45" spans="2:42">
      <c r="B45" s="548" t="s">
        <v>16</v>
      </c>
      <c r="C45" s="548"/>
      <c r="D45" s="548"/>
      <c r="E45" s="548"/>
      <c r="F45" s="548"/>
      <c r="G45" s="548"/>
      <c r="H45" s="548"/>
      <c r="I45" s="548"/>
      <c r="J45" s="548"/>
      <c r="K45" s="548"/>
      <c r="L45" s="548"/>
      <c r="M45" s="548"/>
      <c r="N45" s="548"/>
      <c r="O45" s="548"/>
      <c r="P45" s="548"/>
      <c r="Q45" s="548"/>
      <c r="R45" s="548"/>
      <c r="S45" s="548"/>
      <c r="T45" s="548"/>
      <c r="U45" s="548"/>
      <c r="V45" s="548">
        <f>V10+V16+V28+V34+V42+V43</f>
        <v>1132</v>
      </c>
      <c r="W45" s="548"/>
      <c r="X45" s="548"/>
      <c r="Y45" s="548"/>
      <c r="Z45" s="548"/>
      <c r="AA45" s="548"/>
      <c r="AB45" s="548"/>
      <c r="AC45" s="548"/>
      <c r="AD45" s="548"/>
      <c r="AE45" s="548">
        <f>AE10+AE16+AE28+AE34+AE42+AE43</f>
        <v>1179</v>
      </c>
      <c r="AF45" s="549" t="e">
        <f>AF10+AF16+AF28+AF34+AF42+AF43</f>
        <v>#REF!</v>
      </c>
      <c r="AG45" s="16"/>
      <c r="AH45" s="16"/>
      <c r="AI45" s="63">
        <v>595</v>
      </c>
      <c r="AJ45" s="16" t="e">
        <f>AF45-AI45</f>
        <v>#REF!</v>
      </c>
      <c r="AL45" s="6"/>
      <c r="AM45" s="6"/>
      <c r="AN45" s="6"/>
      <c r="AO45" s="6"/>
    </row>
    <row r="46" spans="2:42">
      <c r="AF46" s="16"/>
      <c r="AG46" s="16"/>
      <c r="AH46" s="16"/>
      <c r="AI46" s="16"/>
      <c r="AJ46" s="16"/>
      <c r="AL46" s="6"/>
      <c r="AM46" s="6"/>
      <c r="AN46" s="6"/>
      <c r="AO46" s="6"/>
    </row>
    <row r="47" spans="2:42">
      <c r="D47" t="str">
        <f>D30</f>
        <v>Mobile</v>
      </c>
      <c r="K47">
        <f t="shared" ref="K47:L49" si="6">K6+K12+K24+K30</f>
        <v>447</v>
      </c>
      <c r="L47">
        <f t="shared" si="6"/>
        <v>451</v>
      </c>
      <c r="V47">
        <f t="shared" ref="V47:W49" si="7">V6+V12+V24+V30</f>
        <v>461</v>
      </c>
      <c r="W47">
        <f t="shared" si="7"/>
        <v>468</v>
      </c>
      <c r="AE47">
        <f>AE6+AE12+AE24+AE30</f>
        <v>465</v>
      </c>
      <c r="AL47" s="6">
        <f t="shared" ref="AL47:AM50" si="8">V47/K47-1</f>
        <v>3.1319910514541416E-2</v>
      </c>
      <c r="AM47" s="6">
        <f t="shared" si="8"/>
        <v>3.7694013303769314E-2</v>
      </c>
      <c r="AN47" s="6">
        <f>AE47/V47-1</f>
        <v>8.6767895878525625E-3</v>
      </c>
      <c r="AO47" s="6"/>
    </row>
    <row r="48" spans="2:42">
      <c r="D48" t="str">
        <f>D31</f>
        <v>BB and TV</v>
      </c>
      <c r="K48">
        <f t="shared" si="6"/>
        <v>95</v>
      </c>
      <c r="L48">
        <f t="shared" si="6"/>
        <v>99</v>
      </c>
      <c r="V48">
        <f t="shared" si="7"/>
        <v>238</v>
      </c>
      <c r="W48">
        <f t="shared" si="7"/>
        <v>99</v>
      </c>
      <c r="AE48">
        <f>AE7+AE13+AE25+AE31</f>
        <v>250</v>
      </c>
      <c r="AL48" s="6">
        <f t="shared" si="8"/>
        <v>1.5052631578947366</v>
      </c>
      <c r="AM48" s="6">
        <f t="shared" si="8"/>
        <v>0</v>
      </c>
      <c r="AN48" s="6">
        <f>AE48/V48-1</f>
        <v>5.0420168067226934E-2</v>
      </c>
      <c r="AO48" s="6"/>
    </row>
    <row r="49" spans="2:41">
      <c r="D49" t="str">
        <f>D32</f>
        <v>Fixed voice</v>
      </c>
      <c r="K49">
        <f t="shared" si="6"/>
        <v>192</v>
      </c>
      <c r="L49">
        <f t="shared" si="6"/>
        <v>182</v>
      </c>
      <c r="V49">
        <f t="shared" si="7"/>
        <v>180</v>
      </c>
      <c r="W49">
        <f t="shared" si="7"/>
        <v>179</v>
      </c>
      <c r="AE49">
        <f>AE8+AE14+AE26+AE32</f>
        <v>175</v>
      </c>
      <c r="AL49" s="6">
        <f t="shared" si="8"/>
        <v>-6.25E-2</v>
      </c>
      <c r="AM49" s="6">
        <f t="shared" si="8"/>
        <v>-1.6483516483516536E-2</v>
      </c>
      <c r="AN49" s="6">
        <f>AE49/V49-1</f>
        <v>-2.777777777777779E-2</v>
      </c>
      <c r="AO49" s="6"/>
    </row>
    <row r="50" spans="2:41">
      <c r="D50" t="str">
        <f>D33</f>
        <v>Other</v>
      </c>
      <c r="K50">
        <f>K9+K15+K27+K33+K43</f>
        <v>107</v>
      </c>
      <c r="L50">
        <f>L9+L15+L27+L33+L43</f>
        <v>116</v>
      </c>
      <c r="V50">
        <f>V9+V15+V27+V33+V43</f>
        <v>133</v>
      </c>
      <c r="W50">
        <f>W9+W15+W27+W33+W43</f>
        <v>159</v>
      </c>
      <c r="AE50">
        <f>AE9+AE15+AE27+AE33+AE43</f>
        <v>159</v>
      </c>
      <c r="AL50" s="6">
        <f t="shared" si="8"/>
        <v>0.2429906542056075</v>
      </c>
      <c r="AM50" s="6">
        <f t="shared" si="8"/>
        <v>0.3706896551724137</v>
      </c>
      <c r="AN50" s="6">
        <f>AE50/V50-1</f>
        <v>0.19548872180451138</v>
      </c>
      <c r="AO50" s="6"/>
    </row>
    <row r="51" spans="2:41">
      <c r="B51" s="3"/>
      <c r="C51" s="3"/>
      <c r="D51" s="3" t="s">
        <v>403</v>
      </c>
      <c r="E51" s="3"/>
      <c r="F51" s="3"/>
      <c r="G51" s="3"/>
      <c r="H51" s="3"/>
      <c r="I51" s="3"/>
      <c r="J51" s="3"/>
      <c r="K51" s="3"/>
      <c r="L51" s="3"/>
      <c r="M51" s="3"/>
      <c r="N51" s="3"/>
      <c r="O51" s="3"/>
      <c r="P51" s="3"/>
      <c r="Q51" s="3"/>
      <c r="R51" s="3"/>
      <c r="S51" s="3"/>
      <c r="T51" s="3"/>
      <c r="U51" s="3"/>
      <c r="V51" s="3">
        <f>V42</f>
        <v>120</v>
      </c>
      <c r="W51" s="3"/>
      <c r="X51" s="3"/>
      <c r="Y51" s="3"/>
      <c r="Z51" s="3"/>
      <c r="AA51" s="3"/>
      <c r="AB51" s="3"/>
      <c r="AC51" s="3"/>
      <c r="AD51" s="3"/>
      <c r="AE51" s="3">
        <f>AE42</f>
        <v>130</v>
      </c>
      <c r="AF51" s="3"/>
      <c r="AL51" s="7"/>
      <c r="AM51" s="7"/>
      <c r="AN51" s="7"/>
      <c r="AO51" s="6"/>
    </row>
    <row r="52" spans="2:41">
      <c r="B52" t="s">
        <v>17</v>
      </c>
      <c r="F52">
        <f>F10+F16+F28+F34+F43</f>
        <v>308</v>
      </c>
      <c r="G52">
        <f>G10+G16+G28+G34+G43</f>
        <v>293</v>
      </c>
      <c r="H52">
        <f>H10+H16+H28+H34+H43</f>
        <v>286</v>
      </c>
      <c r="J52">
        <f>J10+J16+J28+J34+J43</f>
        <v>300</v>
      </c>
      <c r="K52">
        <f>K10+K16+K28+K34+K43</f>
        <v>841</v>
      </c>
      <c r="L52">
        <f>L10+L16+L28+L34+L43</f>
        <v>848</v>
      </c>
      <c r="V52">
        <f>SUM(V47:V51)</f>
        <v>1132</v>
      </c>
      <c r="W52">
        <f>W10+W16+W28+W34+W43</f>
        <v>905</v>
      </c>
      <c r="AE52">
        <f>SUM(AE47:AE51)</f>
        <v>1179</v>
      </c>
      <c r="AF52" s="16" t="e">
        <f>AF10+AF16+AF28+AF34+AF42+AF43</f>
        <v>#REF!</v>
      </c>
      <c r="AG52" s="16"/>
      <c r="AH52" s="16"/>
      <c r="AI52" s="16"/>
      <c r="AJ52" s="16"/>
      <c r="AL52" s="6"/>
      <c r="AM52" s="6">
        <f>W52/L52-1</f>
        <v>6.7216981132075526E-2</v>
      </c>
      <c r="AN52" s="550">
        <f>AE52/V52-1</f>
        <v>4.1519434628975338E-2</v>
      </c>
      <c r="AO52" s="550">
        <v>0.01</v>
      </c>
    </row>
    <row r="53" spans="2:41">
      <c r="B53" t="s">
        <v>28</v>
      </c>
      <c r="K53" s="6">
        <f>(K6+0.45*K16+K28)/K52</f>
        <v>0.59298454221165287</v>
      </c>
      <c r="L53" s="6">
        <f>(L6+0.45*L16+L28)/L52</f>
        <v>0.59227594339622647</v>
      </c>
      <c r="M53" s="6"/>
      <c r="N53" s="6"/>
      <c r="O53" s="6"/>
      <c r="P53" s="6"/>
      <c r="Q53" s="6"/>
      <c r="R53" s="6"/>
      <c r="S53" s="6"/>
      <c r="T53" s="6"/>
      <c r="U53" s="6"/>
      <c r="V53" s="6">
        <f>(V6+0.45*V16+V28)/V52</f>
        <v>0.51166077738515903</v>
      </c>
      <c r="W53" s="6">
        <f>(W6+0.45*W16+W28)/W52</f>
        <v>0.5704419889502762</v>
      </c>
      <c r="X53" s="6"/>
      <c r="Y53" s="6"/>
      <c r="Z53" s="6"/>
      <c r="AA53" s="6"/>
      <c r="AB53" s="6"/>
      <c r="AC53" s="6"/>
      <c r="AD53" s="6"/>
      <c r="AE53" s="6">
        <f>(AE6+0.45*AE16+AE28)/AE52</f>
        <v>0.49461407972858351</v>
      </c>
      <c r="AF53" s="6"/>
      <c r="AG53" s="6"/>
      <c r="AH53" s="6"/>
      <c r="AI53" s="6"/>
      <c r="AJ53" s="6"/>
      <c r="AL53" s="6"/>
      <c r="AM53" s="6"/>
      <c r="AN53" s="6"/>
      <c r="AO53" s="6"/>
    </row>
    <row r="54" spans="2:41">
      <c r="B54" s="8" t="s">
        <v>25</v>
      </c>
      <c r="C54" s="8"/>
      <c r="D54" s="8"/>
      <c r="AL54" s="6"/>
      <c r="AM54" s="6"/>
      <c r="AN54" s="550">
        <v>0.05</v>
      </c>
      <c r="AO54" s="550">
        <v>0.03</v>
      </c>
    </row>
    <row r="55" spans="2:41">
      <c r="B55" s="8"/>
      <c r="C55" s="8"/>
      <c r="D55" s="8" t="s">
        <v>5</v>
      </c>
      <c r="K55" s="8">
        <f t="shared" ref="K55:L57" si="9">K6+K18+K24+K36</f>
        <v>443</v>
      </c>
      <c r="L55" s="8">
        <f t="shared" si="9"/>
        <v>447</v>
      </c>
      <c r="M55" s="8"/>
      <c r="N55" s="8"/>
      <c r="O55" s="8"/>
      <c r="P55" s="8"/>
      <c r="Q55" s="8"/>
      <c r="R55" s="8"/>
      <c r="S55" s="8"/>
      <c r="T55" s="8"/>
      <c r="U55" s="8"/>
      <c r="W55" s="8"/>
      <c r="X55" s="8"/>
      <c r="Y55" s="8"/>
      <c r="Z55" s="8"/>
      <c r="AA55" s="8"/>
      <c r="AB55" s="8"/>
      <c r="AC55" s="8"/>
      <c r="AL55" s="10">
        <f t="shared" ref="AL55:AM58" si="10">V47/K55-1</f>
        <v>4.0632054176072296E-2</v>
      </c>
      <c r="AM55" s="10">
        <f t="shared" si="10"/>
        <v>4.6979865771812124E-2</v>
      </c>
      <c r="AN55" s="10" t="e">
        <f>AE47/V55-1</f>
        <v>#DIV/0!</v>
      </c>
      <c r="AO55" s="10"/>
    </row>
    <row r="56" spans="2:41">
      <c r="B56" s="8"/>
      <c r="C56" s="8"/>
      <c r="D56" s="8" t="s">
        <v>6</v>
      </c>
      <c r="K56" s="8">
        <f t="shared" si="9"/>
        <v>94</v>
      </c>
      <c r="L56" s="8">
        <f t="shared" si="9"/>
        <v>97</v>
      </c>
      <c r="M56" s="8"/>
      <c r="N56" s="8"/>
      <c r="O56" s="8"/>
      <c r="P56" s="8"/>
      <c r="Q56" s="8"/>
      <c r="R56" s="8"/>
      <c r="S56" s="8"/>
      <c r="T56" s="8"/>
      <c r="U56" s="8"/>
      <c r="W56" s="8"/>
      <c r="X56" s="8"/>
      <c r="Y56" s="8"/>
      <c r="Z56" s="8"/>
      <c r="AA56" s="8"/>
      <c r="AB56" s="8"/>
      <c r="AC56" s="8"/>
      <c r="AL56" s="10">
        <f t="shared" si="10"/>
        <v>1.5319148936170213</v>
      </c>
      <c r="AM56" s="10">
        <f t="shared" si="10"/>
        <v>2.0618556701030855E-2</v>
      </c>
      <c r="AN56" s="10" t="e">
        <f>AE48/V56-1</f>
        <v>#DIV/0!</v>
      </c>
      <c r="AO56" s="10"/>
    </row>
    <row r="57" spans="2:41">
      <c r="B57" s="8"/>
      <c r="C57" s="8"/>
      <c r="D57" s="8" t="s">
        <v>7</v>
      </c>
      <c r="K57" s="8">
        <f t="shared" si="9"/>
        <v>189</v>
      </c>
      <c r="L57" s="8">
        <f t="shared" si="9"/>
        <v>179</v>
      </c>
      <c r="M57" s="8"/>
      <c r="N57" s="8"/>
      <c r="O57" s="8"/>
      <c r="P57" s="8"/>
      <c r="Q57" s="8"/>
      <c r="R57" s="8"/>
      <c r="S57" s="8"/>
      <c r="T57" s="8"/>
      <c r="U57" s="8"/>
      <c r="W57" s="8"/>
      <c r="X57" s="8"/>
      <c r="Y57" s="8"/>
      <c r="Z57" s="8"/>
      <c r="AA57" s="8"/>
      <c r="AB57" s="8"/>
      <c r="AC57" s="8"/>
      <c r="AL57" s="10">
        <f t="shared" si="10"/>
        <v>-4.7619047619047672E-2</v>
      </c>
      <c r="AM57" s="10">
        <f t="shared" si="10"/>
        <v>0</v>
      </c>
      <c r="AN57" s="10" t="e">
        <f>AE49/V57-1</f>
        <v>#DIV/0!</v>
      </c>
      <c r="AO57" s="10"/>
    </row>
    <row r="58" spans="2:41">
      <c r="B58" s="8"/>
      <c r="C58" s="8"/>
      <c r="D58" s="9" t="s">
        <v>4</v>
      </c>
      <c r="E58" s="3"/>
      <c r="F58" s="3"/>
      <c r="G58" s="3"/>
      <c r="H58" s="3"/>
      <c r="I58" s="3"/>
      <c r="J58" s="3"/>
      <c r="K58" s="9">
        <f>K9+K21+K27+K39+K43</f>
        <v>106</v>
      </c>
      <c r="L58" s="9">
        <f>L9+L21+L27+L39+L43</f>
        <v>115</v>
      </c>
      <c r="M58" s="9"/>
      <c r="N58" s="9"/>
      <c r="O58" s="9"/>
      <c r="P58" s="9"/>
      <c r="Q58" s="9"/>
      <c r="R58" s="9"/>
      <c r="S58" s="9"/>
      <c r="T58" s="9"/>
      <c r="U58" s="9"/>
      <c r="V58" s="3"/>
      <c r="W58" s="9"/>
      <c r="X58" s="9"/>
      <c r="Y58" s="9"/>
      <c r="Z58" s="9"/>
      <c r="AA58" s="9"/>
      <c r="AB58" s="9"/>
      <c r="AC58" s="9"/>
      <c r="AD58" s="3"/>
      <c r="AE58" s="3"/>
      <c r="AF58" s="3"/>
      <c r="AL58" s="11">
        <f t="shared" si="10"/>
        <v>0.25471698113207553</v>
      </c>
      <c r="AM58" s="11">
        <f t="shared" si="10"/>
        <v>0.38260869565217392</v>
      </c>
      <c r="AN58" s="11" t="e">
        <f>AE50/V58-1</f>
        <v>#DIV/0!</v>
      </c>
      <c r="AO58" s="10"/>
    </row>
    <row r="59" spans="2:41">
      <c r="B59" s="8"/>
      <c r="C59" s="8"/>
      <c r="D59" s="8" t="s">
        <v>16</v>
      </c>
      <c r="K59" s="8">
        <f>SUM(K55:K58)</f>
        <v>832</v>
      </c>
      <c r="L59" s="8">
        <f>SUM(L55:L58)</f>
        <v>838</v>
      </c>
      <c r="M59" s="8"/>
      <c r="N59" s="8"/>
      <c r="O59" s="8"/>
      <c r="P59" s="8"/>
      <c r="Q59" s="8"/>
      <c r="R59" s="8"/>
      <c r="S59" s="8"/>
      <c r="T59" s="8"/>
      <c r="U59" s="8"/>
      <c r="W59" s="8"/>
      <c r="X59" s="8"/>
      <c r="Y59" s="8"/>
      <c r="Z59" s="8"/>
      <c r="AA59" s="8"/>
      <c r="AB59" s="8"/>
      <c r="AC59" s="8"/>
      <c r="AL59" s="10">
        <f>V52/K59-1</f>
        <v>0.36057692307692313</v>
      </c>
      <c r="AM59" s="10">
        <f>W52/L59-1</f>
        <v>7.9952267303102564E-2</v>
      </c>
      <c r="AN59" s="10" t="e">
        <f>AE52/V59-1</f>
        <v>#DIV/0!</v>
      </c>
      <c r="AO59" s="10"/>
    </row>
    <row r="60" spans="2:41">
      <c r="B60" s="8"/>
      <c r="C60" s="8"/>
      <c r="D60" s="8"/>
      <c r="K60" s="8"/>
      <c r="L60" s="8"/>
      <c r="M60" s="8"/>
      <c r="N60" s="8"/>
      <c r="O60" s="8"/>
      <c r="P60" s="8"/>
      <c r="Q60" s="8"/>
      <c r="R60" s="8"/>
      <c r="S60" s="8"/>
      <c r="T60" s="8"/>
      <c r="U60" s="8"/>
      <c r="W60" s="8"/>
      <c r="X60" s="8"/>
      <c r="Y60" s="8"/>
      <c r="Z60" s="8"/>
      <c r="AA60" s="8"/>
      <c r="AB60" s="8"/>
      <c r="AC60" s="8"/>
    </row>
    <row r="61" spans="2:41">
      <c r="B61" s="8"/>
      <c r="C61" s="8"/>
      <c r="D61" s="8"/>
      <c r="K61" s="8"/>
      <c r="L61" s="8"/>
      <c r="M61" s="8"/>
      <c r="N61" s="8"/>
      <c r="O61" s="8"/>
      <c r="P61" s="8"/>
      <c r="Q61" s="8"/>
      <c r="R61" s="8"/>
      <c r="S61" s="8"/>
      <c r="T61" s="8"/>
      <c r="U61" s="8"/>
      <c r="W61" s="8" t="s">
        <v>1562</v>
      </c>
      <c r="X61" s="8"/>
      <c r="Y61" s="8"/>
      <c r="Z61" s="8"/>
      <c r="AA61" s="8"/>
      <c r="AB61" s="8"/>
      <c r="AC61" s="8"/>
      <c r="AE61" t="s">
        <v>1563</v>
      </c>
    </row>
    <row r="62" spans="2:41">
      <c r="B62" s="8" t="s">
        <v>1561</v>
      </c>
      <c r="C62" s="8"/>
      <c r="D62" s="8"/>
      <c r="K62" s="8"/>
      <c r="L62" s="8"/>
      <c r="M62" s="8"/>
      <c r="N62" s="8"/>
      <c r="O62" s="8"/>
      <c r="P62" s="8"/>
      <c r="Q62" s="8"/>
      <c r="R62" s="8"/>
      <c r="S62" s="8"/>
      <c r="T62" s="8"/>
      <c r="U62" s="8"/>
      <c r="W62" s="8">
        <v>42248</v>
      </c>
      <c r="X62" s="8"/>
      <c r="Y62" s="8"/>
      <c r="Z62" s="8"/>
      <c r="AA62" s="8"/>
      <c r="AB62" s="8"/>
      <c r="AC62" s="8"/>
      <c r="AD62" s="1"/>
      <c r="AE62" s="1">
        <v>42705</v>
      </c>
    </row>
    <row r="63" spans="2:41">
      <c r="B63" s="8"/>
      <c r="C63" s="8"/>
      <c r="D63" s="8"/>
      <c r="K63" s="8"/>
      <c r="L63" s="8"/>
      <c r="M63" s="8"/>
      <c r="N63" s="8"/>
      <c r="O63" s="8"/>
      <c r="P63" s="8"/>
      <c r="Q63" s="8"/>
      <c r="R63" s="8"/>
      <c r="S63" s="8"/>
      <c r="T63" s="8"/>
      <c r="U63" s="8"/>
      <c r="W63" s="8"/>
      <c r="X63" s="8"/>
      <c r="Y63" s="8"/>
      <c r="Z63" s="8"/>
      <c r="AA63" s="8"/>
      <c r="AB63" s="8"/>
      <c r="AC63" s="8"/>
    </row>
    <row r="64" spans="2:41">
      <c r="B64" s="8"/>
      <c r="C64" s="8"/>
      <c r="D64" s="8"/>
      <c r="K64" s="8"/>
      <c r="L64" s="8"/>
      <c r="M64" s="8"/>
      <c r="N64" s="8"/>
      <c r="O64" s="8"/>
      <c r="P64" s="8"/>
      <c r="Q64" s="8"/>
      <c r="R64" s="8"/>
      <c r="S64" s="8"/>
      <c r="T64" s="8"/>
      <c r="U64" s="8"/>
      <c r="W64" s="8"/>
      <c r="X64" s="8"/>
      <c r="Y64" s="8"/>
      <c r="Z64" s="8"/>
      <c r="AA64" s="8"/>
      <c r="AB64" s="8"/>
      <c r="AC64" s="8"/>
    </row>
    <row r="65" spans="2:49">
      <c r="B65" s="8"/>
      <c r="C65" s="8"/>
      <c r="D65" s="8"/>
      <c r="K65" s="8"/>
      <c r="L65" s="8"/>
      <c r="M65" s="8"/>
      <c r="N65" s="8"/>
      <c r="O65" s="8"/>
      <c r="P65" s="8"/>
      <c r="Q65" s="8"/>
      <c r="R65" s="8"/>
      <c r="S65" s="8"/>
      <c r="T65" s="8"/>
      <c r="U65" s="8"/>
      <c r="W65" s="8"/>
      <c r="X65" s="8"/>
      <c r="Y65" s="8"/>
      <c r="Z65" s="8"/>
      <c r="AA65" s="8"/>
      <c r="AB65" s="8"/>
      <c r="AC65" s="8"/>
    </row>
    <row r="66" spans="2:49">
      <c r="B66" s="8"/>
      <c r="C66" s="8"/>
      <c r="D66" s="8"/>
      <c r="K66" s="8"/>
      <c r="L66" s="8"/>
      <c r="M66" s="8"/>
      <c r="N66" s="8"/>
      <c r="O66" s="8"/>
      <c r="P66" s="8"/>
      <c r="Q66" s="8"/>
      <c r="R66" s="8"/>
      <c r="S66" s="8"/>
      <c r="T66" s="8"/>
      <c r="U66" s="8"/>
      <c r="W66" s="8"/>
      <c r="X66" s="8"/>
      <c r="Y66" s="8"/>
      <c r="Z66" s="8"/>
      <c r="AA66" s="8"/>
      <c r="AB66" s="8"/>
      <c r="AC66" s="8"/>
    </row>
    <row r="67" spans="2:49">
      <c r="B67" s="8"/>
      <c r="C67" s="8"/>
      <c r="D67" s="8"/>
      <c r="K67" s="8"/>
      <c r="L67" s="8"/>
      <c r="M67" s="8"/>
      <c r="N67" s="8"/>
      <c r="O67" s="8"/>
      <c r="P67" s="8"/>
      <c r="Q67" s="8"/>
      <c r="R67" s="8"/>
      <c r="S67" s="8"/>
      <c r="T67" s="8"/>
      <c r="U67" s="8"/>
      <c r="W67" s="8"/>
      <c r="X67" s="8"/>
      <c r="Y67" s="8"/>
      <c r="Z67" s="8"/>
      <c r="AA67" s="8"/>
      <c r="AB67" s="8"/>
      <c r="AC67" s="8"/>
    </row>
    <row r="68" spans="2:49">
      <c r="B68" s="8"/>
      <c r="C68" s="8"/>
      <c r="D68" s="8"/>
      <c r="K68" s="8"/>
      <c r="L68" s="8"/>
      <c r="M68" s="8"/>
      <c r="N68" s="8"/>
      <c r="O68" s="8"/>
      <c r="P68" s="8"/>
      <c r="Q68" s="8"/>
      <c r="R68" s="8"/>
      <c r="S68" s="8"/>
      <c r="T68" s="8"/>
      <c r="U68" s="8"/>
      <c r="W68" s="8"/>
      <c r="X68" s="8"/>
      <c r="Y68" s="8"/>
      <c r="Z68" s="8"/>
      <c r="AA68" s="8"/>
      <c r="AB68" s="8"/>
      <c r="AC68" s="8"/>
    </row>
    <row r="69" spans="2:49">
      <c r="B69" s="8"/>
      <c r="C69" s="8"/>
      <c r="D69" s="8"/>
      <c r="K69" s="8"/>
      <c r="L69" s="8"/>
      <c r="M69" s="8"/>
      <c r="N69" s="8"/>
      <c r="O69" s="8"/>
      <c r="P69" s="8"/>
      <c r="Q69" s="8"/>
      <c r="R69" s="8"/>
      <c r="S69" s="8"/>
      <c r="T69" s="8"/>
      <c r="U69" s="8"/>
      <c r="W69" s="8"/>
      <c r="X69" s="8"/>
      <c r="Y69" s="8"/>
      <c r="Z69" s="8"/>
      <c r="AA69" s="8"/>
      <c r="AB69" s="8"/>
      <c r="AC69" s="8"/>
    </row>
    <row r="70" spans="2:49">
      <c r="B70" s="8"/>
      <c r="C70" s="8"/>
      <c r="D70" s="8"/>
      <c r="K70" s="8"/>
      <c r="L70" s="8"/>
      <c r="M70" s="8"/>
      <c r="N70" s="8"/>
      <c r="O70" s="8"/>
      <c r="P70" s="8"/>
      <c r="Q70" s="8"/>
      <c r="R70" s="8"/>
      <c r="S70" s="8"/>
      <c r="T70" s="8"/>
      <c r="U70" s="8"/>
      <c r="W70" s="8"/>
      <c r="X70" s="8"/>
      <c r="Y70" s="8"/>
      <c r="Z70" s="8"/>
      <c r="AA70" s="8"/>
      <c r="AB70" s="8"/>
      <c r="AC70" s="8"/>
    </row>
    <row r="71" spans="2:49">
      <c r="B71" s="12" t="s">
        <v>8</v>
      </c>
      <c r="C71" s="12"/>
      <c r="AT71" t="s">
        <v>1408</v>
      </c>
      <c r="AV71" t="s">
        <v>1410</v>
      </c>
    </row>
    <row r="72" spans="2:49">
      <c r="B72" t="s">
        <v>0</v>
      </c>
      <c r="K72">
        <v>116</v>
      </c>
      <c r="L72">
        <v>123</v>
      </c>
      <c r="V72">
        <v>118</v>
      </c>
      <c r="W72">
        <v>123</v>
      </c>
      <c r="AE72" s="16">
        <v>116</v>
      </c>
      <c r="AF72" s="16">
        <f>CWI!J41-AE72</f>
        <v>135</v>
      </c>
      <c r="AG72" s="16"/>
      <c r="AH72" s="16"/>
      <c r="AI72" s="16"/>
      <c r="AJ72" s="16"/>
      <c r="AL72" s="6">
        <f t="shared" ref="AL72:AM76" si="11">V72/K72-1</f>
        <v>1.7241379310344751E-2</v>
      </c>
      <c r="AM72" s="6">
        <f t="shared" si="11"/>
        <v>0</v>
      </c>
      <c r="AN72" s="6">
        <f>AE72/V72-1</f>
        <v>-1.6949152542372836E-2</v>
      </c>
      <c r="AO72" s="6"/>
      <c r="AP72" s="6">
        <f>AF72/W72-1</f>
        <v>9.7560975609756184E-2</v>
      </c>
      <c r="AS72" t="str">
        <f>B72</f>
        <v>Panama</v>
      </c>
      <c r="AT72" s="16">
        <f>AE72*0.49</f>
        <v>56.839999999999996</v>
      </c>
      <c r="AU72" t="s">
        <v>5</v>
      </c>
      <c r="AV72" s="16">
        <f>0.49*AE6+0.89*AE12+0.49*AE24+AE30</f>
        <v>298.19</v>
      </c>
      <c r="AW72">
        <f>AE6+AE12+AE24+AE30</f>
        <v>465</v>
      </c>
    </row>
    <row r="73" spans="2:49">
      <c r="B73" t="s">
        <v>1</v>
      </c>
      <c r="K73">
        <v>78</v>
      </c>
      <c r="L73">
        <v>92</v>
      </c>
      <c r="V73">
        <v>100</v>
      </c>
      <c r="W73">
        <v>138</v>
      </c>
      <c r="AE73" s="16">
        <f>AE80-AE79-AE76-AE75-AE74-AE72-AE77-AE78</f>
        <v>131</v>
      </c>
      <c r="AF73" s="16">
        <f>CWI!J89-AE73</f>
        <v>148.97180605999995</v>
      </c>
      <c r="AG73" s="16"/>
      <c r="AH73" s="16"/>
      <c r="AI73" s="16"/>
      <c r="AJ73" s="16"/>
      <c r="AL73" s="6">
        <f t="shared" si="11"/>
        <v>0.28205128205128216</v>
      </c>
      <c r="AM73" s="6">
        <f t="shared" si="11"/>
        <v>0.5</v>
      </c>
      <c r="AN73" s="6">
        <f>AE73/V73-1</f>
        <v>0.31000000000000005</v>
      </c>
      <c r="AO73" s="6"/>
      <c r="AP73" s="6">
        <f>AF73/W73-1</f>
        <v>7.9505841014492429E-2</v>
      </c>
      <c r="AS73" t="str">
        <f>B73</f>
        <v>LIME</v>
      </c>
      <c r="AT73" s="16">
        <f>AE73*0.89</f>
        <v>116.59</v>
      </c>
      <c r="AU73" t="s">
        <v>342</v>
      </c>
      <c r="AV73" s="16">
        <f>0.49*AE7+0.89*50+0.49*AE25+AE31</f>
        <v>71.569999999999993</v>
      </c>
      <c r="AW73">
        <f>AE7+AE13+AE25+50</f>
        <v>294</v>
      </c>
    </row>
    <row r="74" spans="2:49">
      <c r="B74" t="s">
        <v>2</v>
      </c>
      <c r="K74">
        <v>60</v>
      </c>
      <c r="L74">
        <v>68</v>
      </c>
      <c r="V74">
        <v>59</v>
      </c>
      <c r="W74">
        <v>63</v>
      </c>
      <c r="AE74" s="16">
        <v>53</v>
      </c>
      <c r="AF74" s="16">
        <f>CWI!J142-AE74</f>
        <v>68</v>
      </c>
      <c r="AG74" s="16"/>
      <c r="AH74" s="16"/>
      <c r="AI74" s="16"/>
      <c r="AJ74" s="16"/>
      <c r="AL74" s="6">
        <f t="shared" si="11"/>
        <v>-1.6666666666666718E-2</v>
      </c>
      <c r="AM74" s="6">
        <f t="shared" si="11"/>
        <v>-7.3529411764705843E-2</v>
      </c>
      <c r="AN74" s="6">
        <f>AE74/V74-1</f>
        <v>-0.10169491525423724</v>
      </c>
      <c r="AO74" s="6"/>
      <c r="AP74" s="6">
        <f>AF74/W74-1</f>
        <v>7.9365079365079305E-2</v>
      </c>
      <c r="AS74" t="str">
        <f>B74</f>
        <v>BTC</v>
      </c>
      <c r="AT74" s="16">
        <f>AE74*0.49</f>
        <v>25.97</v>
      </c>
      <c r="AU74" t="s">
        <v>7</v>
      </c>
      <c r="AV74" s="16">
        <f>0.49*AE8+0.89*AE14+0.49*AE26+AE32</f>
        <v>127.49999999999999</v>
      </c>
      <c r="AW74">
        <f>AE8+AE14+AE26+AE32</f>
        <v>175</v>
      </c>
    </row>
    <row r="75" spans="2:49">
      <c r="B75" t="s">
        <v>3</v>
      </c>
      <c r="K75">
        <v>10</v>
      </c>
      <c r="L75">
        <v>10</v>
      </c>
      <c r="V75">
        <v>10</v>
      </c>
      <c r="W75">
        <v>9</v>
      </c>
      <c r="AE75" s="16">
        <v>10</v>
      </c>
      <c r="AF75" s="16">
        <f>CWI!J165-AE75</f>
        <v>12</v>
      </c>
      <c r="AG75" s="16"/>
      <c r="AH75" s="16"/>
      <c r="AI75" s="16"/>
      <c r="AJ75" s="16"/>
      <c r="AL75" s="6">
        <f t="shared" si="11"/>
        <v>0</v>
      </c>
      <c r="AM75" s="6">
        <f t="shared" si="11"/>
        <v>-9.9999999999999978E-2</v>
      </c>
      <c r="AN75" s="6">
        <f>AE75/V75-1</f>
        <v>0</v>
      </c>
      <c r="AO75" s="6"/>
      <c r="AS75" t="str">
        <f>B75</f>
        <v>Seychelles</v>
      </c>
      <c r="AT75" s="16">
        <f>AE75</f>
        <v>10</v>
      </c>
      <c r="AU75" t="s">
        <v>1413</v>
      </c>
      <c r="AV75" s="16">
        <f>0.49*AE9+0.89*AE15+0.49*AE27+AE33</f>
        <v>119.33999999999999</v>
      </c>
      <c r="AW75">
        <f>AE9+AE15+AE27+AE33</f>
        <v>168</v>
      </c>
    </row>
    <row r="76" spans="2:49">
      <c r="B76" t="s">
        <v>4</v>
      </c>
      <c r="K76">
        <v>1</v>
      </c>
      <c r="L76">
        <v>-12</v>
      </c>
      <c r="V76">
        <v>-10</v>
      </c>
      <c r="W76">
        <v>-25</v>
      </c>
      <c r="AE76" s="16">
        <v>-19</v>
      </c>
      <c r="AF76" s="16">
        <f>CWI!J224-AE76</f>
        <v>-6</v>
      </c>
      <c r="AG76" s="16"/>
      <c r="AH76" s="16"/>
      <c r="AI76" s="16"/>
      <c r="AJ76" s="16"/>
      <c r="AL76" s="7">
        <f t="shared" si="11"/>
        <v>-11</v>
      </c>
      <c r="AM76" s="7">
        <f t="shared" si="11"/>
        <v>1.0833333333333335</v>
      </c>
      <c r="AN76" s="7">
        <f>AE76/V76-1</f>
        <v>0.89999999999999991</v>
      </c>
      <c r="AO76" s="6"/>
      <c r="AS76" t="str">
        <f>B76</f>
        <v>Other</v>
      </c>
      <c r="AT76" s="16">
        <f>AE76</f>
        <v>-19</v>
      </c>
      <c r="AU76" t="s">
        <v>1412</v>
      </c>
      <c r="AV76">
        <f>307-AV77</f>
        <v>177</v>
      </c>
      <c r="AW76">
        <f>AV76</f>
        <v>177</v>
      </c>
    </row>
    <row r="77" spans="2:49">
      <c r="B77" t="s">
        <v>1358</v>
      </c>
      <c r="AE77" s="16">
        <v>3</v>
      </c>
      <c r="AF77" s="16">
        <f>AE77</f>
        <v>3</v>
      </c>
      <c r="AG77" s="16"/>
      <c r="AH77" s="16"/>
      <c r="AI77" s="16"/>
      <c r="AJ77" s="16"/>
      <c r="AL77" s="6"/>
      <c r="AM77" s="6"/>
      <c r="AN77" s="6"/>
      <c r="AO77" s="6"/>
      <c r="AS77" t="s">
        <v>1407</v>
      </c>
      <c r="AT77" s="16">
        <f>AE77</f>
        <v>3</v>
      </c>
      <c r="AU77" t="s">
        <v>1411</v>
      </c>
      <c r="AV77">
        <v>130</v>
      </c>
      <c r="AW77">
        <f>AV77</f>
        <v>130</v>
      </c>
    </row>
    <row r="78" spans="2:49">
      <c r="B78" t="s">
        <v>1359</v>
      </c>
      <c r="AE78" s="63">
        <v>10</v>
      </c>
      <c r="AF78" s="16" t="e">
        <f>Master!#REF!-AE78</f>
        <v>#REF!</v>
      </c>
      <c r="AG78" s="16"/>
      <c r="AH78" s="16"/>
      <c r="AI78" s="16"/>
      <c r="AJ78" s="16"/>
      <c r="AL78" s="6"/>
      <c r="AM78" s="6"/>
      <c r="AN78" s="6"/>
      <c r="AO78" s="6"/>
      <c r="AS78" t="s">
        <v>1409</v>
      </c>
      <c r="AT78" s="16">
        <f>AE78+AE79</f>
        <v>136</v>
      </c>
      <c r="AU78" t="s">
        <v>1407</v>
      </c>
      <c r="AV78">
        <v>21</v>
      </c>
      <c r="AW78">
        <f>AV78</f>
        <v>21</v>
      </c>
    </row>
    <row r="79" spans="2:49">
      <c r="B79" s="3" t="s">
        <v>30</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64">
        <f>136-AE78</f>
        <v>126</v>
      </c>
      <c r="AF79" s="64">
        <f>Master!G68-AF77-AE77-AE79</f>
        <v>-132</v>
      </c>
      <c r="AG79" s="16"/>
      <c r="AH79" s="16"/>
      <c r="AI79" s="16"/>
      <c r="AJ79" s="16"/>
      <c r="AL79" s="6"/>
      <c r="AM79" s="6"/>
      <c r="AN79" s="6"/>
      <c r="AO79" s="6"/>
      <c r="AT79" s="16"/>
    </row>
    <row r="80" spans="2:49">
      <c r="B80" t="s">
        <v>16</v>
      </c>
      <c r="F80">
        <f>SUM(F72:F76)</f>
        <v>0</v>
      </c>
      <c r="G80">
        <f>SUM(G72:G76)</f>
        <v>0</v>
      </c>
      <c r="H80">
        <f>SUM(H72:H76)</f>
        <v>0</v>
      </c>
      <c r="J80">
        <f>SUM(J72:J76)</f>
        <v>0</v>
      </c>
      <c r="K80">
        <f>SUM(K72:K76)</f>
        <v>265</v>
      </c>
      <c r="L80">
        <f>SUM(L72:L76)</f>
        <v>281</v>
      </c>
      <c r="V80">
        <f>SUM(V72:V76)</f>
        <v>277</v>
      </c>
      <c r="W80">
        <f>SUM(W72:W76)</f>
        <v>308</v>
      </c>
      <c r="AE80" s="16">
        <f>427+3</f>
        <v>430</v>
      </c>
      <c r="AF80" s="16" t="e">
        <f>SUM(AF72:AF79)</f>
        <v>#REF!</v>
      </c>
      <c r="AG80" s="16"/>
      <c r="AH80" s="16">
        <f>AI80/1.01</f>
        <v>238.61386138613861</v>
      </c>
      <c r="AI80" s="63">
        <f>AI81+3</f>
        <v>241</v>
      </c>
      <c r="AJ80" s="16" t="e">
        <f>AF80-AI80</f>
        <v>#REF!</v>
      </c>
      <c r="AL80" s="6">
        <f>V80/K80-1</f>
        <v>4.5283018867924518E-2</v>
      </c>
      <c r="AM80" s="6">
        <f>W80/L80-1</f>
        <v>9.6085409252669063E-2</v>
      </c>
      <c r="AN80" s="6">
        <f>AE80/V80-1</f>
        <v>0.55234657039711199</v>
      </c>
      <c r="AO80" s="6"/>
    </row>
    <row r="81" spans="2:48">
      <c r="B81" t="s">
        <v>1565</v>
      </c>
      <c r="AE81" s="16">
        <v>427</v>
      </c>
      <c r="AF81" s="16"/>
      <c r="AG81" s="16"/>
      <c r="AH81" s="16"/>
      <c r="AI81" s="63">
        <v>238</v>
      </c>
      <c r="AJ81" s="16"/>
      <c r="AL81" s="6"/>
      <c r="AM81" s="6"/>
      <c r="AN81" s="6"/>
      <c r="AO81" s="6"/>
    </row>
    <row r="82" spans="2:48">
      <c r="B82" t="s">
        <v>251</v>
      </c>
      <c r="AE82" s="6">
        <f>AE81/AE45</f>
        <v>0.36217133163698051</v>
      </c>
      <c r="AF82" s="16"/>
      <c r="AG82" s="16"/>
      <c r="AH82" s="16"/>
      <c r="AI82" s="6">
        <f>AI80/AI45</f>
        <v>0.40504201680672269</v>
      </c>
      <c r="AJ82" s="6" t="e">
        <f>AJ80/AJ45</f>
        <v>#REF!</v>
      </c>
      <c r="AL82" s="6"/>
      <c r="AM82" s="6"/>
      <c r="AN82" s="6"/>
      <c r="AO82" s="6"/>
    </row>
    <row r="83" spans="2:48">
      <c r="AE83" s="16"/>
      <c r="AF83" s="16"/>
      <c r="AG83" s="16"/>
      <c r="AH83" s="16"/>
      <c r="AI83" s="16"/>
      <c r="AJ83" s="16"/>
    </row>
    <row r="84" spans="2:48">
      <c r="B84" s="12" t="s">
        <v>1414</v>
      </c>
      <c r="C84" s="12"/>
      <c r="AE84" s="16"/>
      <c r="AF84" s="16"/>
      <c r="AG84" s="16"/>
      <c r="AH84" s="16"/>
      <c r="AI84" s="16"/>
      <c r="AJ84" s="16"/>
    </row>
    <row r="85" spans="2:48">
      <c r="B85" t="str">
        <f>B72</f>
        <v>Panama</v>
      </c>
      <c r="AE85" s="16">
        <f>AE72</f>
        <v>116</v>
      </c>
      <c r="AF85" s="16"/>
      <c r="AG85" s="16"/>
      <c r="AH85" s="16"/>
      <c r="AI85" s="16"/>
      <c r="AJ85" s="16"/>
    </row>
    <row r="86" spans="2:48">
      <c r="B86" t="s">
        <v>1415</v>
      </c>
      <c r="AE86" s="16">
        <v>213</v>
      </c>
      <c r="AF86" s="16"/>
      <c r="AG86" s="16"/>
      <c r="AH86" s="16"/>
      <c r="AI86" s="16"/>
      <c r="AJ86" s="16"/>
    </row>
    <row r="87" spans="2:48">
      <c r="B87" t="str">
        <f>B74</f>
        <v>BTC</v>
      </c>
      <c r="AE87" s="16">
        <f>AE74</f>
        <v>53</v>
      </c>
      <c r="AF87" s="16"/>
      <c r="AG87" s="16"/>
      <c r="AH87" s="16"/>
      <c r="AI87" s="16"/>
      <c r="AJ87" s="16"/>
    </row>
    <row r="88" spans="2:48">
      <c r="B88" t="str">
        <f>B75</f>
        <v>Seychelles</v>
      </c>
      <c r="AE88" s="16">
        <f>AE75</f>
        <v>10</v>
      </c>
      <c r="AF88" s="16"/>
      <c r="AG88" s="16"/>
      <c r="AH88" s="16"/>
      <c r="AI88" s="16"/>
      <c r="AJ88" s="16"/>
    </row>
    <row r="89" spans="2:48">
      <c r="B89" t="str">
        <f>B76</f>
        <v>Other</v>
      </c>
      <c r="AE89" s="16">
        <f>AE76</f>
        <v>-19</v>
      </c>
      <c r="AF89" s="16"/>
      <c r="AG89" s="16"/>
      <c r="AH89" s="16"/>
      <c r="AI89" s="16"/>
      <c r="AJ89" s="16"/>
    </row>
    <row r="90" spans="2:48">
      <c r="B90" t="str">
        <f>B77</f>
        <v>US carve out entities</v>
      </c>
      <c r="AE90" s="16">
        <f>AE77</f>
        <v>3</v>
      </c>
      <c r="AF90" s="16"/>
      <c r="AG90" s="16"/>
      <c r="AH90" s="16"/>
      <c r="AI90" s="16"/>
      <c r="AJ90" s="16"/>
    </row>
    <row r="91" spans="2:48">
      <c r="B91" s="3" t="s">
        <v>1416</v>
      </c>
      <c r="C91" s="3"/>
      <c r="D91" s="3"/>
      <c r="E91" s="3"/>
      <c r="F91" s="3"/>
      <c r="G91" s="3"/>
      <c r="H91" s="3"/>
      <c r="I91" s="3"/>
      <c r="J91" s="3"/>
      <c r="K91" s="3"/>
      <c r="L91" s="3"/>
      <c r="M91" s="3"/>
      <c r="N91" s="3"/>
      <c r="O91" s="3"/>
      <c r="P91" s="3"/>
      <c r="Q91" s="3"/>
      <c r="R91" s="3"/>
      <c r="S91" s="3"/>
      <c r="T91" s="3"/>
      <c r="U91" s="3"/>
      <c r="V91" s="3">
        <v>57</v>
      </c>
      <c r="W91" s="3"/>
      <c r="X91" s="3"/>
      <c r="Y91" s="3"/>
      <c r="Z91" s="3"/>
      <c r="AA91" s="3"/>
      <c r="AB91" s="3"/>
      <c r="AC91" s="3"/>
      <c r="AD91" s="3"/>
      <c r="AE91" s="64">
        <v>54</v>
      </c>
      <c r="AF91" s="16"/>
      <c r="AG91" s="16"/>
      <c r="AH91" s="16"/>
      <c r="AI91" s="16"/>
      <c r="AJ91" s="16"/>
    </row>
    <row r="92" spans="2:48">
      <c r="AE92" s="16">
        <f>SUM(AE85:AE91)</f>
        <v>430</v>
      </c>
      <c r="AF92" s="16"/>
      <c r="AG92" s="16"/>
      <c r="AH92" s="16"/>
    </row>
    <row r="93" spans="2:48">
      <c r="AE93" s="16"/>
      <c r="AF93" s="16"/>
      <c r="AG93" s="16"/>
      <c r="AH93" s="16"/>
      <c r="AI93" s="16"/>
      <c r="AJ93" s="16"/>
      <c r="AL93" s="12" t="s">
        <v>1418</v>
      </c>
    </row>
    <row r="94" spans="2:48">
      <c r="B94" s="12" t="s">
        <v>1408</v>
      </c>
      <c r="C94" s="12"/>
      <c r="AE94" s="16"/>
      <c r="AF94" s="16"/>
      <c r="AG94" s="16"/>
      <c r="AH94" s="16"/>
      <c r="AI94" s="16"/>
      <c r="AJ94" s="16"/>
      <c r="AM94" t="s">
        <v>1410</v>
      </c>
      <c r="AN94" t="s">
        <v>483</v>
      </c>
    </row>
    <row r="95" spans="2:48">
      <c r="B95" t="str">
        <f t="shared" ref="B95:B101" si="12">B85</f>
        <v>Panama</v>
      </c>
      <c r="AE95" s="16">
        <f>AE85*0.49</f>
        <v>56.839999999999996</v>
      </c>
      <c r="AF95" s="5">
        <f t="shared" ref="AF95:AF101" si="13">AE95/AE$102</f>
        <v>0.17060871653259696</v>
      </c>
      <c r="AG95" s="5"/>
      <c r="AH95" s="5"/>
      <c r="AI95" s="5"/>
      <c r="AJ95" s="5"/>
      <c r="AL95" t="str">
        <f>D6</f>
        <v>Mobile</v>
      </c>
      <c r="AM95" s="16">
        <f>AE6*0.49+AE12*0.89+AE24*0.49+AE30</f>
        <v>298.19</v>
      </c>
      <c r="AN95" s="5">
        <f t="shared" ref="AN95:AN100" si="14">AM95/AM$101</f>
        <v>0.32947168956582745</v>
      </c>
      <c r="AO95" s="5"/>
      <c r="AR95" t="str">
        <f t="shared" ref="AR95:AR101" si="15">B95</f>
        <v>Panama</v>
      </c>
      <c r="AS95" s="5">
        <f t="shared" ref="AS95:AS101" si="16">AF95</f>
        <v>0.17060871653259696</v>
      </c>
      <c r="AU95" t="str">
        <f t="shared" ref="AU95:AU100" si="17">AL95</f>
        <v>Mobile</v>
      </c>
      <c r="AV95" s="5">
        <f t="shared" ref="AV95:AV100" si="18">AN95</f>
        <v>0.32947168956582745</v>
      </c>
    </row>
    <row r="96" spans="2:48">
      <c r="B96" t="str">
        <f t="shared" si="12"/>
        <v>Caribbean</v>
      </c>
      <c r="AE96" s="16">
        <f>AE86*0.95</f>
        <v>202.35</v>
      </c>
      <c r="AF96" s="5">
        <f t="shared" si="13"/>
        <v>0.60736583023172053</v>
      </c>
      <c r="AG96" s="5"/>
      <c r="AH96" s="5"/>
      <c r="AI96" s="5"/>
      <c r="AJ96" s="5"/>
      <c r="AL96" t="str">
        <f>D7</f>
        <v>BB and TV</v>
      </c>
      <c r="AM96" s="16">
        <f>AE7*0.49+AE13*0.975+AE25*0.49+AE31</f>
        <v>223.04500000000002</v>
      </c>
      <c r="AN96" s="5">
        <f t="shared" si="14"/>
        <v>0.24644358630138499</v>
      </c>
      <c r="AO96" s="5"/>
      <c r="AR96" t="str">
        <f t="shared" si="15"/>
        <v>Caribbean</v>
      </c>
      <c r="AS96" s="5">
        <f t="shared" si="16"/>
        <v>0.60736583023172053</v>
      </c>
      <c r="AU96" t="str">
        <f t="shared" si="17"/>
        <v>BB and TV</v>
      </c>
      <c r="AV96" s="5">
        <f t="shared" si="18"/>
        <v>0.24644358630138499</v>
      </c>
    </row>
    <row r="97" spans="2:48">
      <c r="B97" t="str">
        <f t="shared" si="12"/>
        <v>BTC</v>
      </c>
      <c r="AE97" s="16">
        <f>AE87*0.49</f>
        <v>25.97</v>
      </c>
      <c r="AF97" s="5">
        <f t="shared" si="13"/>
        <v>7.7950534277824474E-2</v>
      </c>
      <c r="AG97" s="5"/>
      <c r="AH97" s="5"/>
      <c r="AI97" s="5"/>
      <c r="AJ97" s="5"/>
      <c r="AL97" t="str">
        <f>D8</f>
        <v>Fixed voice</v>
      </c>
      <c r="AM97" s="16">
        <f>AE8*0.49+AE14*0.975+AE26*0.49+AE32</f>
        <v>135.83000000000001</v>
      </c>
      <c r="AN97" s="5">
        <f t="shared" si="14"/>
        <v>0.1500792769500196</v>
      </c>
      <c r="AO97" s="5"/>
      <c r="AR97" t="str">
        <f t="shared" si="15"/>
        <v>BTC</v>
      </c>
      <c r="AS97" s="5">
        <f t="shared" si="16"/>
        <v>7.7950534277824474E-2</v>
      </c>
      <c r="AU97" t="str">
        <f t="shared" si="17"/>
        <v>Fixed voice</v>
      </c>
      <c r="AV97" s="5">
        <f t="shared" si="18"/>
        <v>0.1500792769500196</v>
      </c>
    </row>
    <row r="98" spans="2:48">
      <c r="B98" t="str">
        <f t="shared" si="12"/>
        <v>Seychelles</v>
      </c>
      <c r="AE98" s="16">
        <f>AE88</f>
        <v>10</v>
      </c>
      <c r="AF98" s="5">
        <f t="shared" si="13"/>
        <v>3.0015608116220439E-2</v>
      </c>
      <c r="AG98" s="5"/>
      <c r="AH98" s="5"/>
      <c r="AI98" s="5"/>
      <c r="AJ98" s="5"/>
      <c r="AL98" t="str">
        <f>D9</f>
        <v>Other</v>
      </c>
      <c r="AM98" s="16">
        <f>AE9*0.49+AE15*0.975+AE27*0.49+AE33</f>
        <v>126.99</v>
      </c>
      <c r="AN98" s="5">
        <f t="shared" si="14"/>
        <v>0.14031191474551269</v>
      </c>
      <c r="AO98" s="5"/>
      <c r="AR98" t="str">
        <f t="shared" si="15"/>
        <v>Seychelles</v>
      </c>
      <c r="AS98" s="5">
        <f t="shared" si="16"/>
        <v>3.0015608116220439E-2</v>
      </c>
      <c r="AU98" t="str">
        <f t="shared" si="17"/>
        <v>Other</v>
      </c>
      <c r="AV98" s="5">
        <f t="shared" si="18"/>
        <v>0.14031191474551269</v>
      </c>
    </row>
    <row r="99" spans="2:48">
      <c r="B99" t="str">
        <f t="shared" si="12"/>
        <v>Other</v>
      </c>
      <c r="AE99" s="16">
        <f>AE89</f>
        <v>-19</v>
      </c>
      <c r="AF99" s="5">
        <f t="shared" si="13"/>
        <v>-5.702965542081883E-2</v>
      </c>
      <c r="AG99" s="5"/>
      <c r="AH99" s="5"/>
      <c r="AI99" s="5"/>
      <c r="AJ99" s="5"/>
      <c r="AL99" t="s">
        <v>1416</v>
      </c>
      <c r="AM99">
        <f>AE42</f>
        <v>130</v>
      </c>
      <c r="AN99" s="5">
        <f t="shared" si="14"/>
        <v>0.14363767947804276</v>
      </c>
      <c r="AO99" s="5"/>
      <c r="AR99" t="str">
        <f t="shared" si="15"/>
        <v>Other</v>
      </c>
      <c r="AS99" s="5">
        <f t="shared" si="16"/>
        <v>-5.702965542081883E-2</v>
      </c>
      <c r="AU99" t="str">
        <f t="shared" si="17"/>
        <v>Networks/LatAm</v>
      </c>
      <c r="AV99" s="5">
        <f t="shared" si="18"/>
        <v>0.14363767947804276</v>
      </c>
    </row>
    <row r="100" spans="2:48">
      <c r="B100" t="str">
        <f t="shared" si="12"/>
        <v>US carve out entities</v>
      </c>
      <c r="AE100" s="16">
        <f>AE90</f>
        <v>3</v>
      </c>
      <c r="AF100" s="5">
        <f t="shared" si="13"/>
        <v>9.0046824348661309E-3</v>
      </c>
      <c r="AG100" s="5"/>
      <c r="AH100" s="5"/>
      <c r="AI100" s="5"/>
      <c r="AJ100" s="5"/>
      <c r="AL100" s="3" t="s">
        <v>1417</v>
      </c>
      <c r="AM100" s="3">
        <f>AE43</f>
        <v>-9</v>
      </c>
      <c r="AN100" s="512">
        <f t="shared" si="14"/>
        <v>-9.9441470407875751E-3</v>
      </c>
      <c r="AO100" s="5"/>
      <c r="AR100" t="str">
        <f t="shared" si="15"/>
        <v>US carve out entities</v>
      </c>
      <c r="AS100" s="5">
        <f t="shared" si="16"/>
        <v>9.0046824348661309E-3</v>
      </c>
      <c r="AU100" t="str">
        <f t="shared" si="17"/>
        <v>Elims</v>
      </c>
      <c r="AV100" s="5">
        <f t="shared" si="18"/>
        <v>-9.9441470407875751E-3</v>
      </c>
    </row>
    <row r="101" spans="2:48">
      <c r="B101" s="3" t="str">
        <f t="shared" si="12"/>
        <v>Networks/LatAm</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64">
        <f>AE91</f>
        <v>54</v>
      </c>
      <c r="AF101" s="5">
        <f t="shared" si="13"/>
        <v>0.16208428382759035</v>
      </c>
      <c r="AG101" s="5"/>
      <c r="AH101" s="5"/>
      <c r="AI101" s="5"/>
      <c r="AJ101" s="5"/>
      <c r="AL101" t="s">
        <v>90</v>
      </c>
      <c r="AM101" s="16">
        <f>SUM(AM95:AM100)</f>
        <v>905.05500000000006</v>
      </c>
      <c r="AR101" t="str">
        <f t="shared" si="15"/>
        <v>Networks/LatAm</v>
      </c>
      <c r="AS101" s="5">
        <f t="shared" si="16"/>
        <v>0.16208428382759035</v>
      </c>
    </row>
    <row r="102" spans="2:48">
      <c r="AE102" s="16">
        <f>SUM(AE95:AE101)</f>
        <v>333.15999999999997</v>
      </c>
      <c r="AF102" s="16"/>
      <c r="AG102" s="16"/>
      <c r="AH102" s="16"/>
      <c r="AI102" s="16"/>
      <c r="AJ102" s="16"/>
    </row>
    <row r="103" spans="2:48">
      <c r="AE103" s="16"/>
      <c r="AF103" s="16"/>
      <c r="AG103" s="16"/>
      <c r="AH103" s="16"/>
      <c r="AI103" s="16"/>
      <c r="AJ103" s="16"/>
      <c r="AL103" s="12" t="s">
        <v>1419</v>
      </c>
      <c r="AM103" t="str">
        <f>AM94</f>
        <v>Prop revs</v>
      </c>
      <c r="AN103" t="str">
        <f>AN94</f>
        <v>split</v>
      </c>
    </row>
    <row r="104" spans="2:48">
      <c r="B104" s="12" t="s">
        <v>18</v>
      </c>
      <c r="C104" s="12"/>
      <c r="AL104" t="str">
        <f>AL95</f>
        <v>Mobile</v>
      </c>
      <c r="AM104" s="16">
        <f>AM95</f>
        <v>298.19</v>
      </c>
      <c r="AN104" s="5">
        <f t="shared" ref="AN104:AN109" si="19">AM104/AM$110</f>
        <v>0.20486343697077747</v>
      </c>
      <c r="AO104" s="5"/>
      <c r="AR104" t="str">
        <f>AR95</f>
        <v>Panama</v>
      </c>
      <c r="AS104" s="16">
        <f t="shared" ref="AS104:AS110" si="20">AE95</f>
        <v>56.839999999999996</v>
      </c>
      <c r="AT104" s="5">
        <f>AS104/$AS$113</f>
        <v>0.10169248935485026</v>
      </c>
    </row>
    <row r="105" spans="2:48">
      <c r="B105" t="str">
        <f>B72</f>
        <v>Panama</v>
      </c>
      <c r="F105" s="6">
        <f>F72/F10</f>
        <v>0</v>
      </c>
      <c r="G105" s="6">
        <f>G72/G10</f>
        <v>0</v>
      </c>
      <c r="H105" s="6">
        <f>H72/H10</f>
        <v>0</v>
      </c>
      <c r="I105" s="6"/>
      <c r="J105" s="6">
        <f>J72/J10</f>
        <v>0</v>
      </c>
      <c r="K105" s="6">
        <f>K72/K10</f>
        <v>0.40418118466898956</v>
      </c>
      <c r="L105" s="6">
        <f>L72/L10</f>
        <v>0.42560553633217996</v>
      </c>
      <c r="M105" s="6"/>
      <c r="N105" s="6"/>
      <c r="O105" s="6"/>
      <c r="P105" s="6"/>
      <c r="Q105" s="6"/>
      <c r="R105" s="6"/>
      <c r="S105" s="6"/>
      <c r="T105" s="6"/>
      <c r="U105" s="6"/>
      <c r="V105" s="6">
        <f>V72/V10</f>
        <v>0.39072847682119205</v>
      </c>
      <c r="W105" s="6">
        <f>W72/W10</f>
        <v>0.36826347305389223</v>
      </c>
      <c r="X105" s="6"/>
      <c r="Y105" s="6"/>
      <c r="Z105" s="6"/>
      <c r="AA105" s="6"/>
      <c r="AB105" s="6"/>
      <c r="AC105" s="6"/>
      <c r="AD105" s="6"/>
      <c r="AE105" s="6">
        <f>AE72/AE10</f>
        <v>0.36024844720496896</v>
      </c>
      <c r="AF105" s="6">
        <f>AF72/AF10</f>
        <v>0.41284403669724762</v>
      </c>
      <c r="AG105" s="6"/>
      <c r="AH105" s="6"/>
      <c r="AI105" s="6"/>
      <c r="AJ105" s="6"/>
      <c r="AL105" t="str">
        <f>AL96</f>
        <v>BB and TV</v>
      </c>
      <c r="AM105" s="16">
        <f>AM96+('LiLAC valuation'!K316+'LiLAC valuation'!L316)*0.8+'LiLAC valuation'!L351*2*0.6*0.8</f>
        <v>663.44499999999994</v>
      </c>
      <c r="AN105" s="5">
        <f t="shared" si="19"/>
        <v>0.45580208236720693</v>
      </c>
      <c r="AO105" s="5"/>
      <c r="AR105" t="str">
        <f t="shared" ref="AR105:AR110" si="21">AR96</f>
        <v>Caribbean</v>
      </c>
      <c r="AS105" s="16">
        <f t="shared" si="20"/>
        <v>202.35</v>
      </c>
      <c r="AT105" s="5">
        <f t="shared" ref="AT105:AT112" si="22">AS105/$AS$113</f>
        <v>0.36202454646294774</v>
      </c>
    </row>
    <row r="106" spans="2:48">
      <c r="B106" t="str">
        <f>B73</f>
        <v>LIME</v>
      </c>
      <c r="F106" s="6" t="e">
        <f>F73/F16</f>
        <v>#DIV/0!</v>
      </c>
      <c r="G106" s="6" t="e">
        <f>G73/G16</f>
        <v>#DIV/0!</v>
      </c>
      <c r="H106" s="6" t="e">
        <f>H73/H16</f>
        <v>#DIV/0!</v>
      </c>
      <c r="I106" s="6"/>
      <c r="J106" s="6" t="e">
        <f>J73/J16</f>
        <v>#DIV/0!</v>
      </c>
      <c r="K106" s="6">
        <f>K73/K16</f>
        <v>0.22543352601156069</v>
      </c>
      <c r="L106" s="6">
        <f>L73/L16</f>
        <v>0.26666666666666666</v>
      </c>
      <c r="M106" s="6"/>
      <c r="N106" s="6"/>
      <c r="O106" s="6"/>
      <c r="P106" s="6"/>
      <c r="Q106" s="6"/>
      <c r="R106" s="6"/>
      <c r="S106" s="6"/>
      <c r="T106" s="6"/>
      <c r="U106" s="6"/>
      <c r="V106" s="6">
        <f>V73/V16</f>
        <v>0.19379844961240311</v>
      </c>
      <c r="W106" s="6">
        <f>W73/W16</f>
        <v>0.37808219178082192</v>
      </c>
      <c r="X106" s="6"/>
      <c r="Y106" s="6"/>
      <c r="Z106" s="6"/>
      <c r="AA106" s="6"/>
      <c r="AB106" s="6"/>
      <c r="AC106" s="6"/>
      <c r="AD106" s="6"/>
      <c r="AE106" s="6"/>
      <c r="AF106" s="6"/>
      <c r="AG106" s="6"/>
      <c r="AH106" s="6"/>
      <c r="AI106" s="6"/>
      <c r="AJ106" s="6"/>
      <c r="AL106" t="str">
        <f>AL97</f>
        <v>Fixed voice</v>
      </c>
      <c r="AM106" s="16">
        <f>AM97+('LiLAC valuation'!K316+'LiLAC valuation'!L316)*0.2+'LiLAC valuation'!L351*2*0.6*0.2</f>
        <v>245.93</v>
      </c>
      <c r="AN106" s="5">
        <f t="shared" si="19"/>
        <v>0.16895960647313224</v>
      </c>
      <c r="AO106" s="5"/>
      <c r="AR106" t="str">
        <f t="shared" si="21"/>
        <v>BTC</v>
      </c>
      <c r="AS106" s="16">
        <f t="shared" si="20"/>
        <v>25.97</v>
      </c>
      <c r="AT106" s="5">
        <f t="shared" si="22"/>
        <v>4.6462947722474689E-2</v>
      </c>
    </row>
    <row r="107" spans="2:48">
      <c r="B107" t="str">
        <f>B74</f>
        <v>BTC</v>
      </c>
      <c r="F107" s="6" t="e">
        <f>F74/F28</f>
        <v>#DIV/0!</v>
      </c>
      <c r="G107" s="6" t="e">
        <f>G74/G28</f>
        <v>#DIV/0!</v>
      </c>
      <c r="H107" s="6" t="e">
        <f>H74/H28</f>
        <v>#DIV/0!</v>
      </c>
      <c r="I107" s="6"/>
      <c r="J107" s="6" t="e">
        <f>J74/J28</f>
        <v>#DIV/0!</v>
      </c>
      <c r="K107" s="6">
        <f>K74/K28</f>
        <v>0.34285714285714286</v>
      </c>
      <c r="L107" s="6">
        <f>L74/L28</f>
        <v>0.37988826815642457</v>
      </c>
      <c r="M107" s="6"/>
      <c r="N107" s="6"/>
      <c r="O107" s="6"/>
      <c r="P107" s="6"/>
      <c r="Q107" s="6"/>
      <c r="R107" s="6"/>
      <c r="S107" s="6"/>
      <c r="T107" s="6"/>
      <c r="U107" s="6"/>
      <c r="V107" s="6">
        <f>V74/V28</f>
        <v>0.34502923976608185</v>
      </c>
      <c r="W107" s="6">
        <f>W74/W28</f>
        <v>0.3559322033898305</v>
      </c>
      <c r="X107" s="6"/>
      <c r="Y107" s="6"/>
      <c r="Z107" s="6"/>
      <c r="AA107" s="6"/>
      <c r="AB107" s="6"/>
      <c r="AC107" s="6"/>
      <c r="AD107" s="6"/>
      <c r="AE107" s="6">
        <f>AE74/AE28</f>
        <v>0.3271604938271605</v>
      </c>
      <c r="AF107" s="6">
        <f>AF74/AF28</f>
        <v>0.40718562874251485</v>
      </c>
      <c r="AG107" s="6"/>
      <c r="AH107" s="6"/>
      <c r="AI107" s="6"/>
      <c r="AJ107" s="6"/>
      <c r="AL107" t="str">
        <f>AL98</f>
        <v>Other</v>
      </c>
      <c r="AM107" s="16">
        <f>AM98</f>
        <v>126.99</v>
      </c>
      <c r="AN107" s="5">
        <f t="shared" si="19"/>
        <v>8.724507146758452E-2</v>
      </c>
      <c r="AO107" s="5"/>
      <c r="AR107" t="str">
        <f t="shared" si="21"/>
        <v>Seychelles</v>
      </c>
      <c r="AS107" s="16">
        <f t="shared" si="20"/>
        <v>10</v>
      </c>
      <c r="AT107" s="5">
        <f t="shared" si="22"/>
        <v>1.7891007979389559E-2</v>
      </c>
    </row>
    <row r="108" spans="2:48">
      <c r="B108" t="str">
        <f>B75</f>
        <v>Seychelles</v>
      </c>
      <c r="F108" s="6" t="e">
        <f>F75/F34</f>
        <v>#DIV/0!</v>
      </c>
      <c r="G108" s="6" t="e">
        <f>G75/G34</f>
        <v>#DIV/0!</v>
      </c>
      <c r="H108" s="6" t="e">
        <f>H75/H34</f>
        <v>#DIV/0!</v>
      </c>
      <c r="I108" s="6"/>
      <c r="J108" s="6" t="e">
        <f>J75/J34</f>
        <v>#DIV/0!</v>
      </c>
      <c r="K108" s="6">
        <f>K75/K34</f>
        <v>0.38461538461538464</v>
      </c>
      <c r="L108" s="6">
        <f>L75/L34</f>
        <v>0.37037037037037035</v>
      </c>
      <c r="M108" s="6"/>
      <c r="N108" s="6"/>
      <c r="O108" s="6"/>
      <c r="P108" s="6"/>
      <c r="Q108" s="6"/>
      <c r="R108" s="6"/>
      <c r="S108" s="6"/>
      <c r="T108" s="6"/>
      <c r="U108" s="6"/>
      <c r="V108" s="6">
        <f>V75/V34</f>
        <v>0.37037037037037035</v>
      </c>
      <c r="W108" s="6">
        <f>W75/W34</f>
        <v>0.36</v>
      </c>
      <c r="X108" s="6"/>
      <c r="Y108" s="6"/>
      <c r="Z108" s="6"/>
      <c r="AA108" s="6"/>
      <c r="AB108" s="6"/>
      <c r="AC108" s="6"/>
      <c r="AD108" s="6"/>
      <c r="AE108" s="6">
        <f>AE75/AE34</f>
        <v>0.37037037037037035</v>
      </c>
      <c r="AF108" s="6">
        <f>AF75/AF34</f>
        <v>0.41379310344827586</v>
      </c>
      <c r="AG108" s="6"/>
      <c r="AH108" s="6"/>
      <c r="AI108" s="6"/>
      <c r="AJ108" s="6"/>
      <c r="AL108" t="str">
        <f>AL99</f>
        <v>Networks/LatAm</v>
      </c>
      <c r="AM108" s="16">
        <f>AM99</f>
        <v>130</v>
      </c>
      <c r="AN108" s="5">
        <f t="shared" si="19"/>
        <v>8.9313011188172212E-2</v>
      </c>
      <c r="AO108" s="5"/>
      <c r="AR108" t="str">
        <f t="shared" si="21"/>
        <v>Other</v>
      </c>
      <c r="AS108" s="16">
        <f t="shared" si="20"/>
        <v>-19</v>
      </c>
      <c r="AT108" s="5">
        <f t="shared" si="22"/>
        <v>-3.3992915160840166E-2</v>
      </c>
    </row>
    <row r="109" spans="2:48">
      <c r="B109" t="s">
        <v>1416</v>
      </c>
      <c r="F109" s="6"/>
      <c r="G109" s="6"/>
      <c r="H109" s="6"/>
      <c r="I109" s="6"/>
      <c r="J109" s="6"/>
      <c r="K109" s="6"/>
      <c r="L109" s="6"/>
      <c r="M109" s="6"/>
      <c r="N109" s="6"/>
      <c r="O109" s="6"/>
      <c r="P109" s="6"/>
      <c r="Q109" s="6"/>
      <c r="R109" s="6"/>
      <c r="S109" s="6"/>
      <c r="T109" s="6"/>
      <c r="U109" s="6"/>
      <c r="V109" s="6">
        <f>V91/V42</f>
        <v>0.47499999999999998</v>
      </c>
      <c r="W109" s="6"/>
      <c r="X109" s="6"/>
      <c r="Y109" s="6"/>
      <c r="Z109" s="6"/>
      <c r="AA109" s="6"/>
      <c r="AB109" s="6"/>
      <c r="AC109" s="6"/>
      <c r="AD109" s="6"/>
      <c r="AE109" s="6">
        <f>AE91/AE42</f>
        <v>0.41538461538461541</v>
      </c>
      <c r="AF109" s="6"/>
      <c r="AG109" s="6"/>
      <c r="AH109" s="6"/>
      <c r="AI109" s="6"/>
      <c r="AJ109" s="6"/>
      <c r="AL109" s="3" t="str">
        <f>AL100</f>
        <v>Elims</v>
      </c>
      <c r="AM109" s="64">
        <f>AM100</f>
        <v>-9</v>
      </c>
      <c r="AN109" s="512">
        <f t="shared" si="19"/>
        <v>-6.18320846687346E-3</v>
      </c>
      <c r="AO109" s="5"/>
      <c r="AR109" t="s">
        <v>1407</v>
      </c>
      <c r="AS109" s="16">
        <f t="shared" si="20"/>
        <v>3</v>
      </c>
      <c r="AT109" s="5">
        <f t="shared" si="22"/>
        <v>5.367302393816868E-3</v>
      </c>
    </row>
    <row r="110" spans="2:48">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L110" t="s">
        <v>90</v>
      </c>
      <c r="AM110" s="16">
        <f>SUM(AM104:AM109)</f>
        <v>1455.5550000000001</v>
      </c>
      <c r="AR110" t="str">
        <f t="shared" si="21"/>
        <v>Networks/LatAm</v>
      </c>
      <c r="AS110" s="16">
        <f t="shared" si="20"/>
        <v>54</v>
      </c>
      <c r="AT110" s="5">
        <f t="shared" si="22"/>
        <v>9.6611443088703633E-2</v>
      </c>
    </row>
    <row r="111" spans="2:48">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R111" t="s">
        <v>468</v>
      </c>
      <c r="AS111" s="16">
        <f>'LiLAC valuation'!K317+'LiLAC valuation'!L317</f>
        <v>170.1</v>
      </c>
      <c r="AT111" s="5">
        <f t="shared" si="22"/>
        <v>0.30432604572941641</v>
      </c>
    </row>
    <row r="112" spans="2:48">
      <c r="B112" t="s">
        <v>16</v>
      </c>
      <c r="F112" s="6">
        <f>F80/F52</f>
        <v>0</v>
      </c>
      <c r="G112" s="6">
        <f>G80/G52</f>
        <v>0</v>
      </c>
      <c r="H112" s="6">
        <f>H80/H52</f>
        <v>0</v>
      </c>
      <c r="I112" s="6"/>
      <c r="J112" s="6">
        <f>J80/J52</f>
        <v>0</v>
      </c>
      <c r="K112" s="6">
        <f>K80/K52</f>
        <v>0.31510107015457789</v>
      </c>
      <c r="L112" s="6">
        <f>L80/L52</f>
        <v>0.33136792452830188</v>
      </c>
      <c r="M112" s="6"/>
      <c r="N112" s="6"/>
      <c r="O112" s="6"/>
      <c r="P112" s="6"/>
      <c r="Q112" s="6"/>
      <c r="R112" s="6"/>
      <c r="S112" s="6"/>
      <c r="T112" s="6"/>
      <c r="U112" s="6"/>
      <c r="V112" s="6">
        <f>V80/V52</f>
        <v>0.24469964664310953</v>
      </c>
      <c r="W112" s="6">
        <f>W80/W52</f>
        <v>0.34033149171270716</v>
      </c>
      <c r="X112" s="6"/>
      <c r="Y112" s="6"/>
      <c r="Z112" s="6"/>
      <c r="AA112" s="6"/>
      <c r="AB112" s="6"/>
      <c r="AC112" s="6"/>
      <c r="AD112" s="6"/>
      <c r="AE112" s="6">
        <f>AE80/AE52</f>
        <v>0.36471586089906699</v>
      </c>
      <c r="AF112" s="6" t="e">
        <f>AF80/AF52</f>
        <v>#REF!</v>
      </c>
      <c r="AG112" s="6"/>
      <c r="AH112" s="6"/>
      <c r="AI112" s="6"/>
      <c r="AJ112" s="6"/>
      <c r="AR112" s="3" t="s">
        <v>469</v>
      </c>
      <c r="AS112" s="64">
        <f>'LiLAC valuation'!L382*2*0.6</f>
        <v>55.68</v>
      </c>
      <c r="AT112" s="5">
        <f t="shared" si="22"/>
        <v>9.961713242924107E-2</v>
      </c>
      <c r="AU112" t="s">
        <v>72</v>
      </c>
    </row>
    <row r="113" spans="2:45">
      <c r="AS113" s="16">
        <f>SUM(AS104:AS112)</f>
        <v>558.93999999999994</v>
      </c>
    </row>
    <row r="114" spans="2:45">
      <c r="B114" s="12" t="s">
        <v>19</v>
      </c>
      <c r="C114" s="12"/>
    </row>
    <row r="115" spans="2:45">
      <c r="B115" t="s">
        <v>0</v>
      </c>
      <c r="K115">
        <v>35</v>
      </c>
      <c r="L115">
        <v>44</v>
      </c>
      <c r="V115">
        <v>58</v>
      </c>
      <c r="W115">
        <v>68</v>
      </c>
      <c r="AE115">
        <v>53</v>
      </c>
      <c r="AF115" s="16">
        <f>CWI!J44-AE115</f>
        <v>50</v>
      </c>
      <c r="AG115" s="16"/>
      <c r="AH115" s="16"/>
      <c r="AI115" s="16"/>
      <c r="AJ115" s="16"/>
      <c r="AL115" s="6">
        <f t="shared" ref="AL115:AM120" si="23">V115/K115-1</f>
        <v>0.65714285714285725</v>
      </c>
      <c r="AM115" s="6">
        <f t="shared" si="23"/>
        <v>0.54545454545454541</v>
      </c>
      <c r="AN115" s="6">
        <f t="shared" ref="AN115:AN120" si="24">AE115/V115-1</f>
        <v>-8.6206896551724088E-2</v>
      </c>
      <c r="AO115" s="6"/>
      <c r="AP115" s="6">
        <f>AF115/W115-1</f>
        <v>-0.26470588235294112</v>
      </c>
    </row>
    <row r="116" spans="2:45">
      <c r="B116" t="s">
        <v>1</v>
      </c>
      <c r="K116">
        <v>39</v>
      </c>
      <c r="L116">
        <v>63</v>
      </c>
      <c r="V116">
        <v>90</v>
      </c>
      <c r="W116">
        <v>105</v>
      </c>
      <c r="AL116" s="6">
        <f t="shared" si="23"/>
        <v>1.3076923076923075</v>
      </c>
      <c r="AM116" s="6">
        <f t="shared" si="23"/>
        <v>0.66666666666666674</v>
      </c>
      <c r="AN116" s="6">
        <f t="shared" si="24"/>
        <v>-1</v>
      </c>
      <c r="AO116" s="6"/>
    </row>
    <row r="117" spans="2:45">
      <c r="B117" t="s">
        <v>2</v>
      </c>
      <c r="K117">
        <v>23</v>
      </c>
      <c r="L117">
        <v>28</v>
      </c>
      <c r="V117">
        <v>27</v>
      </c>
      <c r="W117">
        <v>48</v>
      </c>
      <c r="AE117">
        <v>36</v>
      </c>
      <c r="AF117" s="16">
        <f>CWI!J145-AE117</f>
        <v>34</v>
      </c>
      <c r="AG117" s="16"/>
      <c r="AH117" s="16"/>
      <c r="AI117" s="16"/>
      <c r="AJ117" s="16"/>
      <c r="AL117" s="6">
        <f t="shared" si="23"/>
        <v>0.17391304347826098</v>
      </c>
      <c r="AM117" s="6">
        <f t="shared" si="23"/>
        <v>0.71428571428571419</v>
      </c>
      <c r="AN117" s="6">
        <f t="shared" si="24"/>
        <v>0.33333333333333326</v>
      </c>
      <c r="AO117" s="6"/>
      <c r="AP117" s="6">
        <f>AF117/W117-1</f>
        <v>-0.29166666666666663</v>
      </c>
    </row>
    <row r="118" spans="2:45">
      <c r="B118" t="s">
        <v>3</v>
      </c>
      <c r="K118">
        <v>5</v>
      </c>
      <c r="L118">
        <v>5</v>
      </c>
      <c r="V118">
        <v>4</v>
      </c>
      <c r="W118">
        <v>8</v>
      </c>
      <c r="AE118">
        <v>6</v>
      </c>
      <c r="AF118" s="16">
        <f>CWI!J168-AE118</f>
        <v>6</v>
      </c>
      <c r="AG118" s="16"/>
      <c r="AH118" s="16"/>
      <c r="AI118" s="16"/>
      <c r="AJ118" s="16"/>
      <c r="AL118" s="6">
        <f t="shared" si="23"/>
        <v>-0.19999999999999996</v>
      </c>
      <c r="AM118" s="6">
        <f t="shared" si="23"/>
        <v>0.60000000000000009</v>
      </c>
      <c r="AN118" s="6">
        <f t="shared" si="24"/>
        <v>0.5</v>
      </c>
      <c r="AO118" s="6"/>
      <c r="AP118" s="6">
        <f>AF118/W118-1</f>
        <v>-0.25</v>
      </c>
    </row>
    <row r="119" spans="2:45">
      <c r="B119" s="3" t="s">
        <v>4</v>
      </c>
      <c r="C119" s="3"/>
      <c r="D119" s="3"/>
      <c r="E119" s="3"/>
      <c r="F119" s="3"/>
      <c r="G119" s="3"/>
      <c r="H119" s="3"/>
      <c r="I119" s="3"/>
      <c r="J119" s="3"/>
      <c r="K119" s="3">
        <v>3</v>
      </c>
      <c r="L119" s="3">
        <v>6</v>
      </c>
      <c r="M119" s="3"/>
      <c r="N119" s="3"/>
      <c r="O119" s="3"/>
      <c r="P119" s="3"/>
      <c r="Q119" s="3"/>
      <c r="R119" s="3"/>
      <c r="S119" s="3"/>
      <c r="T119" s="3"/>
      <c r="U119" s="3"/>
      <c r="V119" s="3">
        <v>11</v>
      </c>
      <c r="W119" s="3">
        <v>23</v>
      </c>
      <c r="X119" s="3"/>
      <c r="Y119" s="3"/>
      <c r="Z119" s="3"/>
      <c r="AA119" s="3"/>
      <c r="AB119" s="3"/>
      <c r="AC119" s="3"/>
      <c r="AD119" s="3"/>
      <c r="AE119" s="3"/>
      <c r="AF119" s="3"/>
      <c r="AL119" s="7">
        <f t="shared" si="23"/>
        <v>2.6666666666666665</v>
      </c>
      <c r="AM119" s="7">
        <f t="shared" si="23"/>
        <v>2.8333333333333335</v>
      </c>
      <c r="AN119" s="7">
        <f t="shared" si="24"/>
        <v>-1</v>
      </c>
      <c r="AO119" s="6"/>
    </row>
    <row r="120" spans="2:45">
      <c r="B120" t="s">
        <v>16</v>
      </c>
      <c r="F120">
        <f>SUM(F115:F119)</f>
        <v>0</v>
      </c>
      <c r="G120">
        <f>SUM(G115:G119)</f>
        <v>0</v>
      </c>
      <c r="H120">
        <f>SUM(H115:H119)</f>
        <v>0</v>
      </c>
      <c r="J120">
        <f>SUM(J115:J119)</f>
        <v>0</v>
      </c>
      <c r="K120">
        <f>SUM(K115:K119)</f>
        <v>105</v>
      </c>
      <c r="L120">
        <f>SUM(L115:L119)</f>
        <v>146</v>
      </c>
      <c r="V120">
        <f>SUM(V115:V119)</f>
        <v>190</v>
      </c>
      <c r="W120">
        <f>SUM(W115:W119)</f>
        <v>252</v>
      </c>
      <c r="AE120">
        <v>265</v>
      </c>
      <c r="AF120" s="16">
        <f>Master!G110+Master!G111+Master!G112+Master!G113+Master!G114+Master!G115-AE120</f>
        <v>-265</v>
      </c>
      <c r="AG120" s="16"/>
      <c r="AH120" s="16"/>
      <c r="AI120" s="16"/>
      <c r="AJ120" s="16"/>
      <c r="AL120" s="6">
        <f t="shared" si="23"/>
        <v>0.80952380952380953</v>
      </c>
      <c r="AM120" s="6">
        <f t="shared" si="23"/>
        <v>0.72602739726027399</v>
      </c>
      <c r="AN120" s="6">
        <f t="shared" si="24"/>
        <v>0.39473684210526305</v>
      </c>
      <c r="AO120" s="6"/>
    </row>
    <row r="122" spans="2:45">
      <c r="B122" s="12" t="s">
        <v>20</v>
      </c>
      <c r="C122" s="12"/>
    </row>
    <row r="123" spans="2:45">
      <c r="B123" t="str">
        <f>B115</f>
        <v>Panama</v>
      </c>
      <c r="F123" s="6">
        <f>F115/F10</f>
        <v>0</v>
      </c>
      <c r="G123" s="6">
        <f>G115/G10</f>
        <v>0</v>
      </c>
      <c r="H123" s="6">
        <f>H115/H10</f>
        <v>0</v>
      </c>
      <c r="I123" s="6"/>
      <c r="J123" s="6">
        <f>J115/J10</f>
        <v>0</v>
      </c>
      <c r="K123" s="6">
        <f>K115/K10</f>
        <v>0.12195121951219512</v>
      </c>
      <c r="L123" s="6">
        <f>L115/L10</f>
        <v>0.15224913494809689</v>
      </c>
      <c r="M123" s="6"/>
      <c r="N123" s="6"/>
      <c r="O123" s="6"/>
      <c r="P123" s="6"/>
      <c r="Q123" s="6"/>
      <c r="R123" s="6"/>
      <c r="S123" s="6"/>
      <c r="T123" s="6"/>
      <c r="U123" s="6"/>
      <c r="V123" s="6">
        <f>V115/V10</f>
        <v>0.19205298013245034</v>
      </c>
      <c r="W123" s="6">
        <f>W115/W10</f>
        <v>0.20359281437125748</v>
      </c>
      <c r="X123" s="6"/>
      <c r="Y123" s="6"/>
      <c r="Z123" s="6"/>
      <c r="AA123" s="6"/>
      <c r="AB123" s="6"/>
      <c r="AC123" s="6"/>
      <c r="AD123" s="6"/>
      <c r="AE123" s="6">
        <f>AE115/AE10</f>
        <v>0.16459627329192547</v>
      </c>
      <c r="AF123" s="6">
        <f>AF115/AF10</f>
        <v>0.15290519877675837</v>
      </c>
      <c r="AG123" s="6"/>
      <c r="AH123" s="6"/>
      <c r="AI123" s="6"/>
      <c r="AJ123" s="6"/>
    </row>
    <row r="124" spans="2:45">
      <c r="B124" t="str">
        <f>B116</f>
        <v>LIME</v>
      </c>
      <c r="F124" s="6" t="e">
        <f>F116/F16</f>
        <v>#DIV/0!</v>
      </c>
      <c r="G124" s="6" t="e">
        <f>G116/G16</f>
        <v>#DIV/0!</v>
      </c>
      <c r="H124" s="6" t="e">
        <f>H116/H16</f>
        <v>#DIV/0!</v>
      </c>
      <c r="I124" s="6"/>
      <c r="J124" s="6" t="e">
        <f>J116/J16</f>
        <v>#DIV/0!</v>
      </c>
      <c r="K124" s="6">
        <f>K116/K16</f>
        <v>0.11271676300578035</v>
      </c>
      <c r="L124" s="6">
        <f>L116/L16</f>
        <v>0.18260869565217391</v>
      </c>
      <c r="M124" s="6"/>
      <c r="N124" s="6"/>
      <c r="O124" s="6"/>
      <c r="P124" s="6"/>
      <c r="Q124" s="6"/>
      <c r="R124" s="6"/>
      <c r="S124" s="6"/>
      <c r="T124" s="6"/>
      <c r="U124" s="6"/>
      <c r="V124" s="6">
        <f>V116/V16</f>
        <v>0.1744186046511628</v>
      </c>
      <c r="W124" s="6">
        <f>W116/W16</f>
        <v>0.28767123287671231</v>
      </c>
      <c r="X124" s="6"/>
      <c r="Y124" s="6"/>
      <c r="Z124" s="6"/>
      <c r="AA124" s="6"/>
      <c r="AB124" s="6"/>
      <c r="AC124" s="6"/>
      <c r="AD124" s="6"/>
    </row>
    <row r="125" spans="2:45">
      <c r="B125" t="str">
        <f>B117</f>
        <v>BTC</v>
      </c>
      <c r="F125" s="6" t="e">
        <f>F117/F28</f>
        <v>#DIV/0!</v>
      </c>
      <c r="G125" s="6" t="e">
        <f>G117/G28</f>
        <v>#DIV/0!</v>
      </c>
      <c r="H125" s="6" t="e">
        <f>H117/H28</f>
        <v>#DIV/0!</v>
      </c>
      <c r="I125" s="6"/>
      <c r="J125" s="6" t="e">
        <f>J117/J28</f>
        <v>#DIV/0!</v>
      </c>
      <c r="K125" s="6">
        <f>K117/K28</f>
        <v>0.13142857142857142</v>
      </c>
      <c r="L125" s="6">
        <f>L117/L28</f>
        <v>0.15642458100558659</v>
      </c>
      <c r="M125" s="6"/>
      <c r="N125" s="6"/>
      <c r="O125" s="6"/>
      <c r="P125" s="6"/>
      <c r="Q125" s="6"/>
      <c r="R125" s="6"/>
      <c r="S125" s="6"/>
      <c r="T125" s="6"/>
      <c r="U125" s="6"/>
      <c r="V125" s="6">
        <f>V117/V28</f>
        <v>0.15789473684210525</v>
      </c>
      <c r="W125" s="6">
        <f>W117/W28</f>
        <v>0.2711864406779661</v>
      </c>
      <c r="X125" s="6"/>
      <c r="Y125" s="6"/>
      <c r="Z125" s="6"/>
      <c r="AA125" s="6"/>
      <c r="AB125" s="6"/>
      <c r="AC125" s="6"/>
      <c r="AD125" s="6"/>
      <c r="AE125" s="6">
        <f>AE117/AE28</f>
        <v>0.22222222222222221</v>
      </c>
      <c r="AF125" s="6">
        <f>AF117/AF28</f>
        <v>0.20359281437125742</v>
      </c>
      <c r="AG125" s="6"/>
      <c r="AH125" s="6"/>
      <c r="AI125" s="6"/>
      <c r="AJ125" s="6"/>
    </row>
    <row r="126" spans="2:45">
      <c r="B126" s="3" t="str">
        <f>B118</f>
        <v>Seychelles</v>
      </c>
      <c r="C126" s="3"/>
      <c r="D126" s="3"/>
      <c r="E126" s="3"/>
      <c r="F126" s="7" t="e">
        <f>F118/F34</f>
        <v>#DIV/0!</v>
      </c>
      <c r="G126" s="7" t="e">
        <f>G118/G34</f>
        <v>#DIV/0!</v>
      </c>
      <c r="H126" s="7" t="e">
        <f>H118/H34</f>
        <v>#DIV/0!</v>
      </c>
      <c r="I126" s="7"/>
      <c r="J126" s="7" t="e">
        <f>J118/J34</f>
        <v>#DIV/0!</v>
      </c>
      <c r="K126" s="7">
        <f>K118/K34</f>
        <v>0.19230769230769232</v>
      </c>
      <c r="L126" s="7">
        <f>L118/L34</f>
        <v>0.18518518518518517</v>
      </c>
      <c r="M126" s="7"/>
      <c r="N126" s="7"/>
      <c r="O126" s="7"/>
      <c r="P126" s="7"/>
      <c r="Q126" s="7"/>
      <c r="R126" s="7"/>
      <c r="S126" s="7"/>
      <c r="T126" s="7"/>
      <c r="U126" s="7"/>
      <c r="V126" s="7">
        <f>V118/V34</f>
        <v>0.14814814814814814</v>
      </c>
      <c r="W126" s="7">
        <f>W118/W34</f>
        <v>0.32</v>
      </c>
      <c r="X126" s="7"/>
      <c r="Y126" s="7"/>
      <c r="Z126" s="7"/>
      <c r="AA126" s="7"/>
      <c r="AB126" s="7"/>
      <c r="AC126" s="7"/>
      <c r="AD126" s="7"/>
      <c r="AE126" s="7">
        <f>AE118/AE34</f>
        <v>0.22222222222222221</v>
      </c>
      <c r="AF126" s="7">
        <f>AF118/AF34</f>
        <v>0.20689655172413793</v>
      </c>
      <c r="AG126" s="6"/>
      <c r="AH126" s="6"/>
      <c r="AI126" s="6"/>
      <c r="AJ126" s="6"/>
    </row>
    <row r="127" spans="2:45">
      <c r="B127" t="s">
        <v>16</v>
      </c>
      <c r="F127" s="6">
        <f>F120/F52</f>
        <v>0</v>
      </c>
      <c r="G127" s="6">
        <f>G120/G52</f>
        <v>0</v>
      </c>
      <c r="H127" s="6">
        <f>H120/H52</f>
        <v>0</v>
      </c>
      <c r="I127" s="6"/>
      <c r="J127" s="6">
        <f>J120/J52</f>
        <v>0</v>
      </c>
      <c r="K127" s="6">
        <f>K120/K52</f>
        <v>0.1248513674197384</v>
      </c>
      <c r="L127" s="6">
        <f>L120/L52</f>
        <v>0.17216981132075471</v>
      </c>
      <c r="M127" s="6"/>
      <c r="N127" s="6"/>
      <c r="O127" s="6"/>
      <c r="P127" s="6"/>
      <c r="Q127" s="6"/>
      <c r="R127" s="6"/>
      <c r="S127" s="6"/>
      <c r="T127" s="6"/>
      <c r="U127" s="6"/>
      <c r="V127" s="6">
        <f>V120/V52</f>
        <v>0.16784452296819788</v>
      </c>
      <c r="W127" s="6">
        <f>W120/W52</f>
        <v>0.27845303867403315</v>
      </c>
      <c r="X127" s="6"/>
      <c r="Y127" s="6"/>
      <c r="Z127" s="6"/>
      <c r="AA127" s="6"/>
      <c r="AB127" s="6"/>
      <c r="AC127" s="6"/>
      <c r="AD127" s="6"/>
      <c r="AE127" s="6">
        <f>AE120/AE52</f>
        <v>0.22476675148430875</v>
      </c>
      <c r="AF127" s="6" t="e">
        <f>AF120/AF52</f>
        <v>#REF!</v>
      </c>
      <c r="AG127" s="6"/>
      <c r="AH127" s="6"/>
      <c r="AI127" s="6"/>
      <c r="AJ127" s="6"/>
    </row>
    <row r="129" spans="2:41">
      <c r="B129" s="12" t="s">
        <v>27</v>
      </c>
      <c r="C129" s="12"/>
    </row>
    <row r="130" spans="2:41">
      <c r="B130" t="str">
        <f t="shared" ref="B130:B135" si="25">B115</f>
        <v>Panama</v>
      </c>
      <c r="K130">
        <f t="shared" ref="K130:L134" si="26">K72-K115</f>
        <v>81</v>
      </c>
      <c r="L130">
        <f t="shared" si="26"/>
        <v>79</v>
      </c>
      <c r="V130">
        <f t="shared" ref="V130:W134" si="27">V72-V115</f>
        <v>60</v>
      </c>
      <c r="W130">
        <f t="shared" si="27"/>
        <v>55</v>
      </c>
    </row>
    <row r="131" spans="2:41">
      <c r="B131" t="str">
        <f t="shared" si="25"/>
        <v>LIME</v>
      </c>
      <c r="K131">
        <f t="shared" si="26"/>
        <v>39</v>
      </c>
      <c r="L131">
        <f t="shared" si="26"/>
        <v>29</v>
      </c>
      <c r="V131">
        <f t="shared" si="27"/>
        <v>10</v>
      </c>
      <c r="W131">
        <f t="shared" si="27"/>
        <v>33</v>
      </c>
    </row>
    <row r="132" spans="2:41">
      <c r="B132" t="str">
        <f t="shared" si="25"/>
        <v>BTC</v>
      </c>
      <c r="K132">
        <f t="shared" si="26"/>
        <v>37</v>
      </c>
      <c r="L132">
        <f t="shared" si="26"/>
        <v>40</v>
      </c>
      <c r="V132">
        <f t="shared" si="27"/>
        <v>32</v>
      </c>
      <c r="W132">
        <f t="shared" si="27"/>
        <v>15</v>
      </c>
    </row>
    <row r="133" spans="2:41">
      <c r="B133" t="str">
        <f t="shared" si="25"/>
        <v>Seychelles</v>
      </c>
      <c r="K133">
        <f t="shared" si="26"/>
        <v>5</v>
      </c>
      <c r="L133">
        <f t="shared" si="26"/>
        <v>5</v>
      </c>
      <c r="V133">
        <f t="shared" si="27"/>
        <v>6</v>
      </c>
      <c r="W133">
        <f t="shared" si="27"/>
        <v>1</v>
      </c>
    </row>
    <row r="134" spans="2:41">
      <c r="B134" s="3" t="str">
        <f t="shared" si="25"/>
        <v>Other</v>
      </c>
      <c r="C134" s="3"/>
      <c r="D134" s="3"/>
      <c r="E134" s="3"/>
      <c r="F134" s="3"/>
      <c r="G134" s="3"/>
      <c r="H134" s="3"/>
      <c r="I134" s="3"/>
      <c r="J134" s="3"/>
      <c r="K134" s="3">
        <f t="shared" si="26"/>
        <v>-2</v>
      </c>
      <c r="L134" s="3">
        <f t="shared" si="26"/>
        <v>-18</v>
      </c>
      <c r="M134" s="3"/>
      <c r="N134" s="3"/>
      <c r="O134" s="3"/>
      <c r="P134" s="3"/>
      <c r="Q134" s="3"/>
      <c r="R134" s="3"/>
      <c r="S134" s="3"/>
      <c r="T134" s="3"/>
      <c r="U134" s="3"/>
      <c r="V134" s="3">
        <f t="shared" si="27"/>
        <v>-21</v>
      </c>
      <c r="W134" s="3">
        <f t="shared" si="27"/>
        <v>-48</v>
      </c>
      <c r="X134" s="3"/>
    </row>
    <row r="135" spans="2:41">
      <c r="B135" t="str">
        <f t="shared" si="25"/>
        <v>Total</v>
      </c>
      <c r="K135">
        <f>K80-K120</f>
        <v>160</v>
      </c>
      <c r="L135">
        <f>L80-L120</f>
        <v>135</v>
      </c>
      <c r="V135">
        <f>V80-V120</f>
        <v>87</v>
      </c>
      <c r="W135">
        <f>W80-W120</f>
        <v>56</v>
      </c>
    </row>
    <row r="137" spans="2:41">
      <c r="B137" s="14" t="s">
        <v>30</v>
      </c>
      <c r="C137" s="14"/>
    </row>
    <row r="139" spans="2:41">
      <c r="B139" s="3" t="s">
        <v>44</v>
      </c>
      <c r="C139" s="3"/>
      <c r="D139" s="3"/>
      <c r="E139" s="3"/>
      <c r="F139" s="3"/>
      <c r="G139" s="3"/>
      <c r="H139" s="3"/>
      <c r="I139" s="3"/>
      <c r="J139" s="4" t="s">
        <v>48</v>
      </c>
      <c r="K139" s="4" t="s">
        <v>49</v>
      </c>
      <c r="L139" s="4" t="s">
        <v>47</v>
      </c>
      <c r="M139" s="4"/>
      <c r="N139" s="4"/>
      <c r="O139" s="4"/>
      <c r="P139" s="4"/>
      <c r="Q139" s="4"/>
      <c r="R139" s="4"/>
      <c r="S139" s="4"/>
      <c r="T139" s="4"/>
      <c r="U139" s="4"/>
      <c r="V139" s="4" t="s">
        <v>46</v>
      </c>
      <c r="W139" s="4" t="s">
        <v>45</v>
      </c>
      <c r="X139" s="4"/>
      <c r="Y139" s="80"/>
      <c r="Z139" s="80"/>
      <c r="AA139" s="80"/>
      <c r="AB139" s="80"/>
      <c r="AC139" s="80"/>
      <c r="AD139" s="80"/>
      <c r="AL139" s="4" t="s">
        <v>46</v>
      </c>
      <c r="AM139" s="4" t="s">
        <v>45</v>
      </c>
      <c r="AN139" s="4" t="s">
        <v>45</v>
      </c>
      <c r="AO139" s="80"/>
    </row>
    <row r="141" spans="2:41">
      <c r="B141" t="s">
        <v>15</v>
      </c>
      <c r="AM141" s="5">
        <v>0.17</v>
      </c>
      <c r="AN141" s="5">
        <v>0.17</v>
      </c>
      <c r="AO141" s="5"/>
    </row>
    <row r="142" spans="2:41">
      <c r="B142" s="15" t="s">
        <v>50</v>
      </c>
      <c r="C142" s="15"/>
      <c r="AM142" s="5"/>
      <c r="AN142" s="5"/>
      <c r="AO142" s="5"/>
    </row>
    <row r="143" spans="2:41">
      <c r="B143" t="s">
        <v>51</v>
      </c>
      <c r="AM143" s="5">
        <v>0.2</v>
      </c>
      <c r="AN143" s="5">
        <v>0.2</v>
      </c>
      <c r="AO143" s="5"/>
    </row>
    <row r="144" spans="2:41">
      <c r="B144" t="s">
        <v>52</v>
      </c>
    </row>
    <row r="146" spans="2:41">
      <c r="B146" t="s">
        <v>8</v>
      </c>
      <c r="L146">
        <v>102</v>
      </c>
      <c r="V146">
        <f>216-L146</f>
        <v>114</v>
      </c>
      <c r="W146">
        <v>118</v>
      </c>
    </row>
    <row r="147" spans="2:41">
      <c r="B147" s="15" t="s">
        <v>50</v>
      </c>
      <c r="C147" s="15"/>
    </row>
    <row r="148" spans="2:41">
      <c r="B148" t="s">
        <v>51</v>
      </c>
      <c r="L148">
        <v>47</v>
      </c>
      <c r="V148">
        <f>110-L148</f>
        <v>63</v>
      </c>
      <c r="W148">
        <v>67</v>
      </c>
      <c r="AM148" s="5">
        <f>W148/L148-1</f>
        <v>0.42553191489361697</v>
      </c>
      <c r="AN148" s="5">
        <f>AE148/V148-1</f>
        <v>-1</v>
      </c>
      <c r="AO148" s="5"/>
    </row>
    <row r="149" spans="2:41">
      <c r="B149" t="s">
        <v>52</v>
      </c>
      <c r="L149">
        <v>54</v>
      </c>
      <c r="V149">
        <f>106-L149</f>
        <v>52</v>
      </c>
      <c r="W149">
        <v>57</v>
      </c>
      <c r="AM149" s="5">
        <f>W149/L149-1</f>
        <v>5.555555555555558E-2</v>
      </c>
      <c r="AN149" s="5">
        <f>AE149/V149-1</f>
        <v>-1</v>
      </c>
      <c r="AO149" s="5"/>
    </row>
    <row r="151" spans="2:41">
      <c r="L151">
        <v>2011</v>
      </c>
      <c r="V151">
        <v>2012</v>
      </c>
      <c r="W151">
        <v>2013</v>
      </c>
    </row>
    <row r="152" spans="2:41">
      <c r="L152">
        <v>364</v>
      </c>
      <c r="V152">
        <v>427</v>
      </c>
      <c r="W152">
        <v>505</v>
      </c>
    </row>
    <row r="154" spans="2:41">
      <c r="B154" s="13" t="s">
        <v>53</v>
      </c>
      <c r="C154" s="13"/>
    </row>
    <row r="156" spans="2:41">
      <c r="B156" t="s">
        <v>54</v>
      </c>
      <c r="L156" s="16">
        <v>581.82100000000003</v>
      </c>
      <c r="M156" s="16"/>
      <c r="N156" s="16"/>
      <c r="O156" s="16"/>
      <c r="P156" s="16"/>
      <c r="Q156" s="16"/>
      <c r="R156" s="16"/>
      <c r="S156" s="16"/>
      <c r="T156" s="16"/>
      <c r="U156" s="16"/>
      <c r="V156" s="16">
        <f>W156-49.136</f>
        <v>637.60500000000002</v>
      </c>
      <c r="W156" s="16">
        <v>686.74099999999999</v>
      </c>
      <c r="X156" s="16"/>
      <c r="Y156" s="16"/>
      <c r="Z156" s="16"/>
      <c r="AA156" s="16"/>
      <c r="AB156" s="16"/>
      <c r="AC156" s="16"/>
      <c r="AD156" s="16"/>
      <c r="AM156" s="5">
        <f>W156/L156-1</f>
        <v>0.1803303765247386</v>
      </c>
      <c r="AN156" s="5">
        <f>AE156/V156-1</f>
        <v>-1</v>
      </c>
      <c r="AO156" s="5"/>
    </row>
    <row r="158" spans="2:41">
      <c r="B158" s="14" t="s">
        <v>55</v>
      </c>
      <c r="C158" s="14"/>
      <c r="J158" s="37"/>
      <c r="K158" s="37" t="str">
        <f>K4</f>
        <v xml:space="preserve"> Sept 2013</v>
      </c>
      <c r="L158" s="37" t="str">
        <f>L4</f>
        <v xml:space="preserve"> Mar 2014</v>
      </c>
      <c r="M158" s="37"/>
      <c r="N158" s="37"/>
      <c r="O158" s="37"/>
      <c r="P158" s="37"/>
      <c r="Q158" s="37"/>
      <c r="R158" s="37"/>
      <c r="S158" s="37"/>
      <c r="T158" s="37"/>
      <c r="U158" s="37"/>
      <c r="V158" s="37" t="str">
        <f>V4</f>
        <v xml:space="preserve"> Sept 2014</v>
      </c>
      <c r="W158" s="37" t="str">
        <f>W4</f>
        <v xml:space="preserve"> Mar 2015</v>
      </c>
      <c r="X158" s="37"/>
      <c r="Y158" s="37"/>
      <c r="Z158" s="37"/>
      <c r="AA158" s="37"/>
      <c r="AB158" s="37"/>
      <c r="AC158" s="37"/>
      <c r="AD158" s="37"/>
    </row>
    <row r="159" spans="2:41">
      <c r="B159" s="3"/>
      <c r="C159" s="3"/>
      <c r="D159" s="3"/>
      <c r="E159" s="3"/>
      <c r="F159" s="3"/>
      <c r="G159" s="3"/>
      <c r="H159" s="3"/>
      <c r="I159" s="3"/>
      <c r="J159" s="38"/>
      <c r="K159" s="38" t="str">
        <f>K5</f>
        <v>H1</v>
      </c>
      <c r="L159" s="38" t="str">
        <f>L5</f>
        <v>H2</v>
      </c>
      <c r="M159" s="38"/>
      <c r="N159" s="38"/>
      <c r="O159" s="38"/>
      <c r="P159" s="38"/>
      <c r="Q159" s="38"/>
      <c r="R159" s="38"/>
      <c r="S159" s="38"/>
      <c r="T159" s="38"/>
      <c r="U159" s="38"/>
      <c r="V159" s="38" t="str">
        <f>V5</f>
        <v>H1</v>
      </c>
      <c r="W159" s="38" t="str">
        <f>W5</f>
        <v>H2</v>
      </c>
      <c r="X159" s="38"/>
      <c r="Y159" s="37"/>
      <c r="Z159" s="37"/>
      <c r="AA159" s="37"/>
      <c r="AB159" s="37"/>
      <c r="AC159" s="37"/>
      <c r="AD159" s="37"/>
    </row>
    <row r="161" spans="2:24">
      <c r="B161" t="s">
        <v>56</v>
      </c>
      <c r="K161">
        <v>115</v>
      </c>
      <c r="L161">
        <v>120</v>
      </c>
      <c r="V161">
        <v>123</v>
      </c>
      <c r="W161">
        <v>133</v>
      </c>
    </row>
    <row r="162" spans="2:24">
      <c r="B162" t="s">
        <v>57</v>
      </c>
      <c r="K162">
        <v>8</v>
      </c>
      <c r="L162">
        <v>7</v>
      </c>
      <c r="V162">
        <v>2</v>
      </c>
      <c r="W162">
        <v>18</v>
      </c>
    </row>
    <row r="163" spans="2:24">
      <c r="B163" s="3" t="s">
        <v>58</v>
      </c>
      <c r="C163" s="3"/>
      <c r="D163" s="3"/>
      <c r="E163" s="3"/>
      <c r="F163" s="3"/>
      <c r="G163" s="3"/>
      <c r="H163" s="3"/>
      <c r="I163" s="3"/>
      <c r="J163" s="3"/>
      <c r="K163" s="3">
        <v>0</v>
      </c>
      <c r="L163" s="3">
        <v>5</v>
      </c>
      <c r="M163" s="3"/>
      <c r="N163" s="3"/>
      <c r="O163" s="3"/>
      <c r="P163" s="3"/>
      <c r="Q163" s="3"/>
      <c r="R163" s="3"/>
      <c r="S163" s="3"/>
      <c r="T163" s="3"/>
      <c r="U163" s="3"/>
      <c r="V163" s="3">
        <v>11</v>
      </c>
      <c r="W163" s="3">
        <v>1</v>
      </c>
      <c r="X163" s="3"/>
    </row>
    <row r="164" spans="2:24">
      <c r="B164" t="s">
        <v>59</v>
      </c>
      <c r="K164">
        <f>K80-K161-K162+K163</f>
        <v>142</v>
      </c>
      <c r="L164">
        <f>L80-L161-L162+L163</f>
        <v>159</v>
      </c>
      <c r="V164">
        <f>V80-V161-V162+V163</f>
        <v>163</v>
      </c>
      <c r="W164">
        <f>W80-W161-W162+W163</f>
        <v>158</v>
      </c>
    </row>
    <row r="166" spans="2:24">
      <c r="B166" s="3" t="s">
        <v>60</v>
      </c>
      <c r="C166" s="3"/>
      <c r="D166" s="3"/>
      <c r="E166" s="3"/>
      <c r="F166" s="3"/>
      <c r="G166" s="3"/>
      <c r="H166" s="3"/>
      <c r="I166" s="3"/>
      <c r="J166" s="3"/>
      <c r="K166" s="3">
        <v>55</v>
      </c>
      <c r="L166" s="3">
        <v>186</v>
      </c>
      <c r="M166" s="3"/>
      <c r="N166" s="3"/>
      <c r="O166" s="3"/>
      <c r="P166" s="3"/>
      <c r="Q166" s="3"/>
      <c r="R166" s="3"/>
      <c r="S166" s="3"/>
      <c r="T166" s="3"/>
      <c r="U166" s="3"/>
      <c r="V166" s="3">
        <v>0</v>
      </c>
      <c r="W166" s="3">
        <v>231</v>
      </c>
      <c r="X166" s="3"/>
    </row>
    <row r="167" spans="2:24">
      <c r="B167" t="s">
        <v>61</v>
      </c>
      <c r="K167">
        <f>K164-K166</f>
        <v>87</v>
      </c>
      <c r="L167">
        <f>L164-L166</f>
        <v>-27</v>
      </c>
      <c r="V167">
        <f>V164-V166</f>
        <v>163</v>
      </c>
      <c r="W167">
        <f>W164-W166</f>
        <v>-73</v>
      </c>
    </row>
    <row r="169" spans="2:24">
      <c r="B169" t="s">
        <v>62</v>
      </c>
      <c r="K169">
        <v>3</v>
      </c>
      <c r="L169">
        <v>3</v>
      </c>
      <c r="V169">
        <v>3</v>
      </c>
      <c r="W169">
        <v>23</v>
      </c>
    </row>
    <row r="170" spans="2:24">
      <c r="B170" t="s">
        <v>63</v>
      </c>
      <c r="K170">
        <v>73</v>
      </c>
      <c r="L170">
        <v>66</v>
      </c>
      <c r="V170">
        <v>34</v>
      </c>
      <c r="W170">
        <v>50</v>
      </c>
    </row>
    <row r="171" spans="2:24">
      <c r="B171" t="s">
        <v>64</v>
      </c>
      <c r="K171">
        <v>0</v>
      </c>
      <c r="L171">
        <v>25</v>
      </c>
      <c r="V171">
        <v>0</v>
      </c>
      <c r="W171">
        <v>37</v>
      </c>
    </row>
    <row r="172" spans="2:24">
      <c r="B172" s="3" t="s">
        <v>65</v>
      </c>
      <c r="C172" s="3"/>
      <c r="D172" s="3"/>
      <c r="E172" s="3"/>
      <c r="F172" s="3"/>
      <c r="G172" s="3"/>
      <c r="H172" s="3"/>
      <c r="I172" s="3"/>
      <c r="J172" s="3"/>
      <c r="K172" s="3">
        <v>0</v>
      </c>
      <c r="L172" s="3">
        <v>0</v>
      </c>
      <c r="M172" s="3"/>
      <c r="N172" s="3"/>
      <c r="O172" s="3"/>
      <c r="P172" s="3"/>
      <c r="Q172" s="3"/>
      <c r="R172" s="3"/>
      <c r="S172" s="3"/>
      <c r="T172" s="3"/>
      <c r="U172" s="3"/>
      <c r="V172" s="3">
        <v>0</v>
      </c>
      <c r="W172" s="3">
        <v>4</v>
      </c>
      <c r="X172" s="3"/>
    </row>
    <row r="173" spans="2:24">
      <c r="B173" t="s">
        <v>66</v>
      </c>
      <c r="K173">
        <f>K167+K169-K170-K171+K172</f>
        <v>17</v>
      </c>
      <c r="L173">
        <f>L167+L169-L170-L171+L172</f>
        <v>-115</v>
      </c>
      <c r="V173">
        <f>V167+V169-V170-V171+V172</f>
        <v>132</v>
      </c>
      <c r="W173">
        <f>W167+W169-W170-W171+W172</f>
        <v>-133</v>
      </c>
    </row>
    <row r="175" spans="2:24">
      <c r="B175" t="s">
        <v>265</v>
      </c>
      <c r="K175">
        <f>1011+50</f>
        <v>1061</v>
      </c>
      <c r="L175">
        <f>26-6</f>
        <v>20</v>
      </c>
      <c r="V175">
        <v>354</v>
      </c>
      <c r="W175">
        <v>0</v>
      </c>
    </row>
    <row r="176" spans="2:24">
      <c r="B176" t="s">
        <v>67</v>
      </c>
      <c r="K176">
        <v>25</v>
      </c>
      <c r="L176">
        <v>7</v>
      </c>
      <c r="V176">
        <v>29</v>
      </c>
      <c r="W176">
        <v>3</v>
      </c>
    </row>
    <row r="177" spans="1:30">
      <c r="B177" t="s">
        <v>35</v>
      </c>
      <c r="K177">
        <v>53</v>
      </c>
      <c r="L177">
        <v>39</v>
      </c>
      <c r="V177">
        <v>55</v>
      </c>
      <c r="W177">
        <v>13</v>
      </c>
    </row>
    <row r="178" spans="1:30">
      <c r="B178" t="s">
        <v>69</v>
      </c>
      <c r="K178">
        <f>K173-K176-K177+K175</f>
        <v>1000</v>
      </c>
      <c r="L178">
        <f>L173-L176-L177+L175</f>
        <v>-141</v>
      </c>
      <c r="V178">
        <f>V173-V176-V177+V175</f>
        <v>402</v>
      </c>
      <c r="W178">
        <f>W173-W176-W177+W175</f>
        <v>-149</v>
      </c>
    </row>
    <row r="180" spans="1:30">
      <c r="B180" t="s">
        <v>68</v>
      </c>
      <c r="K180" s="16">
        <f>K178+K166*0.8+K171-K175</f>
        <v>-17</v>
      </c>
      <c r="L180" s="16">
        <f>L178+L166*0.8+L171-L175</f>
        <v>12.800000000000011</v>
      </c>
      <c r="M180" s="16"/>
      <c r="N180" s="16"/>
      <c r="O180" s="16"/>
      <c r="P180" s="16"/>
      <c r="Q180" s="16"/>
      <c r="R180" s="16"/>
      <c r="S180" s="16"/>
      <c r="T180" s="16"/>
      <c r="U180" s="16"/>
      <c r="V180" s="16">
        <f>V178+V166*0.8+V171-V175</f>
        <v>48</v>
      </c>
      <c r="W180" s="16">
        <f>W178+W166*0.8+W171-W175</f>
        <v>72.800000000000011</v>
      </c>
      <c r="X180" s="16"/>
      <c r="Y180" s="16"/>
      <c r="Z180" s="16"/>
      <c r="AA180" s="16"/>
      <c r="AB180" s="16"/>
      <c r="AC180" s="16"/>
      <c r="AD180" s="16"/>
    </row>
    <row r="181" spans="1:30">
      <c r="A181" t="s">
        <v>72</v>
      </c>
    </row>
    <row r="182" spans="1:30">
      <c r="B182" s="13" t="s">
        <v>70</v>
      </c>
      <c r="C182" s="13"/>
    </row>
    <row r="183" spans="1:30">
      <c r="B183" s="13"/>
      <c r="C183" s="13"/>
    </row>
    <row r="184" spans="1:30">
      <c r="B184" t="s">
        <v>71</v>
      </c>
    </row>
    <row r="186" spans="1:30">
      <c r="B186" t="s">
        <v>308</v>
      </c>
    </row>
    <row r="187" spans="1:30">
      <c r="D187" t="s">
        <v>309</v>
      </c>
    </row>
    <row r="189" spans="1:30">
      <c r="B189" t="s">
        <v>307</v>
      </c>
    </row>
    <row r="191" spans="1:30">
      <c r="B191" t="s">
        <v>73</v>
      </c>
    </row>
    <row r="193" spans="2:4">
      <c r="B193" t="s">
        <v>311</v>
      </c>
    </row>
    <row r="194" spans="2:4">
      <c r="D194" t="s">
        <v>312</v>
      </c>
    </row>
    <row r="196" spans="2:4">
      <c r="B196" t="s">
        <v>310</v>
      </c>
    </row>
    <row r="198" spans="2:4">
      <c r="B198" t="s">
        <v>313</v>
      </c>
    </row>
    <row r="199" spans="2:4">
      <c r="D199" t="s">
        <v>74</v>
      </c>
    </row>
    <row r="200" spans="2:4">
      <c r="D200" t="s">
        <v>278</v>
      </c>
    </row>
    <row r="201" spans="2:4">
      <c r="D201" t="s">
        <v>277</v>
      </c>
    </row>
    <row r="202" spans="2:4">
      <c r="D202" t="s">
        <v>279</v>
      </c>
    </row>
    <row r="203" spans="2:4">
      <c r="D203" t="s">
        <v>280</v>
      </c>
    </row>
    <row r="205" spans="2:4">
      <c r="B205" t="s">
        <v>376</v>
      </c>
    </row>
    <row r="206" spans="2:4">
      <c r="D206" t="s">
        <v>315</v>
      </c>
    </row>
    <row r="208" spans="2:4">
      <c r="B208" t="s">
        <v>75</v>
      </c>
    </row>
    <row r="209" spans="2:4">
      <c r="D209" t="s">
        <v>314</v>
      </c>
    </row>
    <row r="210" spans="2:4">
      <c r="D210" t="s">
        <v>316</v>
      </c>
    </row>
    <row r="211" spans="2:4">
      <c r="D211" t="s">
        <v>317</v>
      </c>
    </row>
    <row r="212" spans="2:4">
      <c r="D212" t="s">
        <v>318</v>
      </c>
    </row>
    <row r="213" spans="2:4">
      <c r="D213" t="s">
        <v>398</v>
      </c>
    </row>
    <row r="214" spans="2:4">
      <c r="B214" t="s">
        <v>1</v>
      </c>
    </row>
    <row r="215" spans="2:4">
      <c r="D215" t="s">
        <v>255</v>
      </c>
    </row>
    <row r="217" spans="2:4">
      <c r="B217" t="s">
        <v>31</v>
      </c>
    </row>
    <row r="218" spans="2:4">
      <c r="D218" t="s">
        <v>319</v>
      </c>
    </row>
    <row r="220" spans="2:4">
      <c r="B220" t="s">
        <v>320</v>
      </c>
    </row>
    <row r="222" spans="2:4">
      <c r="B222" t="s">
        <v>266</v>
      </c>
    </row>
    <row r="223" spans="2:4">
      <c r="D223" t="s">
        <v>321</v>
      </c>
    </row>
    <row r="225" spans="2:7">
      <c r="B225" t="s">
        <v>322</v>
      </c>
    </row>
    <row r="226" spans="2:7">
      <c r="D226" t="s">
        <v>393</v>
      </c>
    </row>
    <row r="227" spans="2:7">
      <c r="D227" t="s">
        <v>323</v>
      </c>
    </row>
    <row r="229" spans="2:7">
      <c r="B229" t="s">
        <v>270</v>
      </c>
    </row>
    <row r="230" spans="2:7">
      <c r="D230" t="s">
        <v>324</v>
      </c>
    </row>
    <row r="232" spans="2:7">
      <c r="B232" s="13" t="s">
        <v>338</v>
      </c>
      <c r="C232" s="13"/>
      <c r="G232" s="1"/>
    </row>
    <row r="234" spans="2:7">
      <c r="B234" t="s">
        <v>375</v>
      </c>
    </row>
    <row r="236" spans="2:7">
      <c r="B236" t="s">
        <v>344</v>
      </c>
    </row>
    <row r="237" spans="2:7">
      <c r="D237" t="s">
        <v>0</v>
      </c>
      <c r="E237" t="s">
        <v>397</v>
      </c>
    </row>
    <row r="238" spans="2:7">
      <c r="E238" t="s">
        <v>345</v>
      </c>
    </row>
    <row r="239" spans="2:7">
      <c r="E239" t="s">
        <v>346</v>
      </c>
    </row>
    <row r="240" spans="2:7">
      <c r="E240" t="s">
        <v>396</v>
      </c>
    </row>
    <row r="241" spans="2:6">
      <c r="D241" t="s">
        <v>347</v>
      </c>
      <c r="E241" t="s">
        <v>348</v>
      </c>
    </row>
    <row r="242" spans="2:6">
      <c r="E242" t="s">
        <v>349</v>
      </c>
    </row>
    <row r="243" spans="2:6">
      <c r="B243" t="s">
        <v>339</v>
      </c>
    </row>
    <row r="244" spans="2:6">
      <c r="D244" t="s">
        <v>2</v>
      </c>
      <c r="E244" t="s">
        <v>371</v>
      </c>
    </row>
    <row r="245" spans="2:6">
      <c r="E245" t="s">
        <v>372</v>
      </c>
    </row>
    <row r="246" spans="2:6">
      <c r="F246" t="s">
        <v>374</v>
      </c>
    </row>
    <row r="247" spans="2:6">
      <c r="E247" t="s">
        <v>373</v>
      </c>
    </row>
    <row r="249" spans="2:6">
      <c r="B249" t="s">
        <v>352</v>
      </c>
    </row>
    <row r="251" spans="2:6">
      <c r="B251" t="s">
        <v>340</v>
      </c>
    </row>
    <row r="253" spans="2:6">
      <c r="B253" t="s">
        <v>353</v>
      </c>
    </row>
    <row r="255" spans="2:6">
      <c r="B255" t="s">
        <v>354</v>
      </c>
    </row>
    <row r="256" spans="2:6">
      <c r="D256" t="s">
        <v>355</v>
      </c>
    </row>
    <row r="257" spans="2:29">
      <c r="D257" t="s">
        <v>356</v>
      </c>
    </row>
    <row r="258" spans="2:29">
      <c r="D258" t="s">
        <v>357</v>
      </c>
    </row>
    <row r="260" spans="2:29">
      <c r="B260" t="s">
        <v>341</v>
      </c>
    </row>
    <row r="261" spans="2:29">
      <c r="D261" t="s">
        <v>350</v>
      </c>
    </row>
    <row r="262" spans="2:29">
      <c r="D262" t="s">
        <v>351</v>
      </c>
    </row>
    <row r="265" spans="2:29">
      <c r="B265" s="12" t="s">
        <v>1566</v>
      </c>
      <c r="C265" s="12"/>
    </row>
    <row r="267" spans="2:29">
      <c r="B267" s="552" t="s">
        <v>0</v>
      </c>
      <c r="C267" s="553">
        <v>41699</v>
      </c>
      <c r="D267" s="553">
        <v>41791</v>
      </c>
      <c r="E267" s="553">
        <v>41883</v>
      </c>
      <c r="F267" s="553">
        <v>41974</v>
      </c>
      <c r="G267" s="553">
        <v>42064</v>
      </c>
      <c r="H267" s="553">
        <v>42156</v>
      </c>
      <c r="I267" s="553"/>
      <c r="J267" s="553">
        <v>42248</v>
      </c>
      <c r="K267" s="553">
        <v>42339</v>
      </c>
      <c r="L267" s="553">
        <v>42430</v>
      </c>
      <c r="M267" s="553">
        <v>42522</v>
      </c>
      <c r="N267" s="553">
        <v>42614</v>
      </c>
      <c r="O267" s="553">
        <v>42705</v>
      </c>
      <c r="P267" s="553">
        <v>42795</v>
      </c>
      <c r="Q267" s="553">
        <v>42887</v>
      </c>
      <c r="R267" s="553">
        <v>42979</v>
      </c>
      <c r="S267" s="553">
        <v>43070</v>
      </c>
      <c r="V267" s="553">
        <f>H267</f>
        <v>42156</v>
      </c>
      <c r="W267" s="553">
        <f>J267</f>
        <v>42248</v>
      </c>
      <c r="X267" s="553">
        <f>K267</f>
        <v>42339</v>
      </c>
      <c r="Y267" s="553">
        <f>L267</f>
        <v>42430</v>
      </c>
      <c r="Z267" s="553">
        <f>M267</f>
        <v>42522</v>
      </c>
      <c r="AA267" s="564"/>
      <c r="AB267" s="564"/>
      <c r="AC267" s="564"/>
    </row>
    <row r="268" spans="2:29">
      <c r="B268" t="s">
        <v>1569</v>
      </c>
    </row>
    <row r="269" spans="2:29">
      <c r="B269" t="s">
        <v>5</v>
      </c>
      <c r="D269">
        <v>2052</v>
      </c>
      <c r="E269">
        <v>2184</v>
      </c>
      <c r="F269">
        <v>2246</v>
      </c>
      <c r="G269">
        <v>2087</v>
      </c>
      <c r="H269">
        <v>2073</v>
      </c>
      <c r="J269">
        <v>2276</v>
      </c>
      <c r="K269">
        <v>2233</v>
      </c>
      <c r="W269" s="5"/>
      <c r="X269" s="5"/>
      <c r="Y269" s="5"/>
      <c r="Z269" s="5"/>
      <c r="AA269" s="5"/>
      <c r="AB269" s="5"/>
      <c r="AC269" s="5"/>
    </row>
    <row r="270" spans="2:29">
      <c r="B270" t="s">
        <v>1567</v>
      </c>
      <c r="D270">
        <v>132</v>
      </c>
      <c r="E270">
        <v>132</v>
      </c>
      <c r="F270">
        <v>131</v>
      </c>
      <c r="G270">
        <v>132</v>
      </c>
      <c r="H270">
        <v>135</v>
      </c>
      <c r="J270">
        <v>136</v>
      </c>
      <c r="K270">
        <v>137</v>
      </c>
    </row>
    <row r="271" spans="2:29">
      <c r="B271" t="s">
        <v>1568</v>
      </c>
      <c r="D271">
        <v>44</v>
      </c>
      <c r="E271">
        <v>47</v>
      </c>
      <c r="F271">
        <v>50</v>
      </c>
      <c r="G271">
        <v>56</v>
      </c>
      <c r="H271">
        <v>62</v>
      </c>
      <c r="J271">
        <v>68</v>
      </c>
      <c r="K271">
        <v>75</v>
      </c>
    </row>
    <row r="272" spans="2:29">
      <c r="B272" t="s">
        <v>733</v>
      </c>
      <c r="D272">
        <v>369</v>
      </c>
      <c r="E272">
        <v>369</v>
      </c>
      <c r="F272">
        <v>367</v>
      </c>
      <c r="G272">
        <v>366</v>
      </c>
      <c r="H272">
        <v>367</v>
      </c>
      <c r="J272">
        <v>367</v>
      </c>
      <c r="K272">
        <v>366</v>
      </c>
    </row>
    <row r="274" spans="2:29">
      <c r="B274" t="s">
        <v>904</v>
      </c>
    </row>
    <row r="275" spans="2:29">
      <c r="B275" t="s">
        <v>5</v>
      </c>
      <c r="D275">
        <v>14.6</v>
      </c>
      <c r="E275">
        <v>14.4</v>
      </c>
      <c r="F275">
        <v>13.2</v>
      </c>
      <c r="G275">
        <v>13.6</v>
      </c>
      <c r="H275" s="62">
        <v>14</v>
      </c>
      <c r="I275" s="62"/>
      <c r="J275">
        <v>13.6</v>
      </c>
      <c r="K275">
        <v>13.3</v>
      </c>
      <c r="W275" s="5">
        <f>J275/E275-1</f>
        <v>-5.555555555555558E-2</v>
      </c>
      <c r="X275" s="5">
        <f>K275/F275-1</f>
        <v>7.5757575757577911E-3</v>
      </c>
      <c r="Y275" s="5"/>
      <c r="Z275" s="5"/>
      <c r="AA275" s="5"/>
      <c r="AB275" s="5"/>
      <c r="AC275" s="5"/>
    </row>
    <row r="276" spans="2:29">
      <c r="B276" t="s">
        <v>1567</v>
      </c>
      <c r="D276">
        <v>28.8</v>
      </c>
      <c r="E276">
        <v>29.2</v>
      </c>
      <c r="F276">
        <v>29.7</v>
      </c>
      <c r="G276">
        <v>29.3</v>
      </c>
      <c r="H276">
        <v>28.9</v>
      </c>
      <c r="J276">
        <v>27.8</v>
      </c>
      <c r="K276">
        <v>28</v>
      </c>
    </row>
    <row r="277" spans="2:29">
      <c r="B277" t="s">
        <v>1568</v>
      </c>
      <c r="D277">
        <v>33.799999999999997</v>
      </c>
      <c r="E277">
        <v>34.1</v>
      </c>
      <c r="F277">
        <v>33.5</v>
      </c>
      <c r="G277">
        <v>33.299999999999997</v>
      </c>
      <c r="H277">
        <v>31.1</v>
      </c>
      <c r="J277">
        <v>29.4</v>
      </c>
      <c r="K277">
        <v>27.8</v>
      </c>
    </row>
    <row r="278" spans="2:29">
      <c r="B278" t="s">
        <v>733</v>
      </c>
      <c r="D278">
        <v>24.4</v>
      </c>
      <c r="E278">
        <v>24.6</v>
      </c>
      <c r="F278">
        <v>24.3</v>
      </c>
      <c r="G278">
        <v>23.1</v>
      </c>
      <c r="H278">
        <v>22.6</v>
      </c>
      <c r="J278">
        <v>22.3</v>
      </c>
      <c r="K278">
        <v>21.4</v>
      </c>
    </row>
    <row r="280" spans="2:29">
      <c r="B280" t="s">
        <v>1570</v>
      </c>
    </row>
    <row r="281" spans="2:29">
      <c r="B281" t="str">
        <f>B275</f>
        <v>Mobile</v>
      </c>
      <c r="E281" s="62">
        <f t="shared" ref="E281:H284" si="28">E275*3*AVERAGE(D269:E269)/1000</f>
        <v>91.497600000000006</v>
      </c>
      <c r="F281" s="62">
        <f t="shared" si="28"/>
        <v>87.713999999999984</v>
      </c>
      <c r="G281" s="62">
        <f t="shared" si="28"/>
        <v>88.393199999999993</v>
      </c>
      <c r="H281" s="62">
        <f t="shared" si="28"/>
        <v>87.36</v>
      </c>
      <c r="I281" s="62"/>
      <c r="J281" s="62">
        <f>J275*3*AVERAGE(H269:J269)/1000</f>
        <v>88.719599999999986</v>
      </c>
      <c r="K281" s="62">
        <f>K275*3*AVERAGE(J269:K269)/1000</f>
        <v>89.954550000000012</v>
      </c>
      <c r="M281" s="565"/>
      <c r="W281" s="5">
        <f t="shared" ref="W281:X285" si="29">J281/E281-1</f>
        <v>-3.0361452103661923E-2</v>
      </c>
      <c r="X281" s="5">
        <f t="shared" si="29"/>
        <v>2.5543812846296143E-2</v>
      </c>
      <c r="Y281" s="5">
        <f>M281/G281-1</f>
        <v>-1</v>
      </c>
      <c r="Z281" s="5"/>
      <c r="AA281" s="5"/>
      <c r="AB281" s="5"/>
      <c r="AC281" s="5"/>
    </row>
    <row r="282" spans="2:29">
      <c r="B282" t="str">
        <f>B276</f>
        <v>BB</v>
      </c>
      <c r="E282" s="62">
        <f t="shared" si="28"/>
        <v>11.563199999999998</v>
      </c>
      <c r="F282" s="62">
        <f t="shared" si="28"/>
        <v>11.71665</v>
      </c>
      <c r="G282" s="62">
        <f t="shared" si="28"/>
        <v>11.55885</v>
      </c>
      <c r="H282" s="62">
        <f t="shared" si="28"/>
        <v>11.574449999999999</v>
      </c>
      <c r="I282" s="62"/>
      <c r="J282" s="62">
        <f>J276*3*AVERAGE(H270:J270)/1000</f>
        <v>11.300700000000001</v>
      </c>
      <c r="K282" s="62">
        <f>K276*3*AVERAGE(J270:K270)/1000</f>
        <v>11.465999999999999</v>
      </c>
      <c r="M282" s="565"/>
      <c r="W282" s="5">
        <f t="shared" si="29"/>
        <v>-2.2701328352013106E-2</v>
      </c>
      <c r="X282" s="5">
        <f t="shared" si="29"/>
        <v>-2.1392633559933927E-2</v>
      </c>
      <c r="Y282" s="5">
        <f>M282/G282-1</f>
        <v>-1</v>
      </c>
      <c r="Z282" s="5"/>
      <c r="AA282" s="5"/>
      <c r="AB282" s="5"/>
      <c r="AC282" s="5"/>
    </row>
    <row r="283" spans="2:29">
      <c r="B283" t="str">
        <f>B277</f>
        <v>Video</v>
      </c>
      <c r="E283" s="62">
        <f t="shared" si="28"/>
        <v>4.6546500000000002</v>
      </c>
      <c r="F283" s="62">
        <f t="shared" si="28"/>
        <v>4.87425</v>
      </c>
      <c r="G283" s="62">
        <f t="shared" si="28"/>
        <v>5.2946999999999997</v>
      </c>
      <c r="H283" s="62">
        <f t="shared" si="28"/>
        <v>5.5047000000000006</v>
      </c>
      <c r="I283" s="62"/>
      <c r="J283" s="62">
        <f>J277*3*AVERAGE(H271:J271)/1000</f>
        <v>5.7329999999999988</v>
      </c>
      <c r="K283" s="62">
        <f>K277*3*AVERAGE(J271:K271)/1000</f>
        <v>5.9631000000000007</v>
      </c>
      <c r="M283" s="565"/>
      <c r="W283" s="5">
        <f t="shared" si="29"/>
        <v>0.23167155425219921</v>
      </c>
      <c r="X283" s="5">
        <f t="shared" si="29"/>
        <v>0.22338821357131877</v>
      </c>
      <c r="Y283" s="5">
        <f>M283/G283-1</f>
        <v>-1</v>
      </c>
      <c r="Z283" s="5"/>
      <c r="AA283" s="5"/>
      <c r="AB283" s="5"/>
      <c r="AC283" s="5"/>
    </row>
    <row r="284" spans="2:29">
      <c r="B284" s="3" t="str">
        <f>B278</f>
        <v>Fixed</v>
      </c>
      <c r="C284" s="3"/>
      <c r="D284" s="3"/>
      <c r="E284" s="554">
        <f t="shared" si="28"/>
        <v>27.232200000000006</v>
      </c>
      <c r="F284" s="554">
        <f t="shared" si="28"/>
        <v>26.827200000000001</v>
      </c>
      <c r="G284" s="554">
        <f t="shared" si="28"/>
        <v>25.398450000000004</v>
      </c>
      <c r="H284" s="554">
        <f t="shared" si="28"/>
        <v>24.848700000000004</v>
      </c>
      <c r="I284" s="554"/>
      <c r="J284" s="554">
        <f>J278*3*AVERAGE(H272:J272)/1000</f>
        <v>24.552300000000002</v>
      </c>
      <c r="K284" s="554">
        <f>K278*3*AVERAGE(J272:K272)/1000</f>
        <v>23.529299999999996</v>
      </c>
      <c r="M284" s="566"/>
      <c r="W284" s="512">
        <f t="shared" si="29"/>
        <v>-9.8409236124881727E-2</v>
      </c>
      <c r="X284" s="512">
        <f t="shared" si="29"/>
        <v>-0.12293120415101111</v>
      </c>
      <c r="Y284" s="512">
        <f>M284/G284-1</f>
        <v>-1</v>
      </c>
      <c r="Z284" s="5"/>
      <c r="AA284" s="5"/>
      <c r="AB284" s="5"/>
      <c r="AC284" s="5"/>
    </row>
    <row r="285" spans="2:29">
      <c r="B285" t="s">
        <v>16</v>
      </c>
      <c r="E285" s="62">
        <f>SUM(E281:E284)</f>
        <v>134.94765000000001</v>
      </c>
      <c r="F285" s="62">
        <f>SUM(F281:F284)</f>
        <v>131.13209999999998</v>
      </c>
      <c r="G285" s="62">
        <f>SUM(G281:G284)</f>
        <v>130.64519999999999</v>
      </c>
      <c r="H285" s="62">
        <f>SUM(H281:H284)</f>
        <v>129.28784999999999</v>
      </c>
      <c r="I285" s="62"/>
      <c r="J285" s="62">
        <f>SUM(J281:J284)</f>
        <v>130.3056</v>
      </c>
      <c r="K285" s="62">
        <f>SUM(K281:K284)</f>
        <v>130.91295</v>
      </c>
      <c r="M285" s="565"/>
      <c r="W285" s="5">
        <f t="shared" si="29"/>
        <v>-3.4398894682493575E-2</v>
      </c>
      <c r="X285" s="5">
        <f t="shared" si="29"/>
        <v>-1.6712155147365904E-3</v>
      </c>
      <c r="Y285" s="5">
        <f>M285/G285-1</f>
        <v>-1</v>
      </c>
      <c r="Z285" s="5"/>
      <c r="AA285" s="5"/>
      <c r="AB285" s="5"/>
      <c r="AC285" s="5"/>
    </row>
    <row r="287" spans="2:29">
      <c r="B287" t="s">
        <v>1617</v>
      </c>
      <c r="F287" s="16">
        <f>F288-F285</f>
        <v>24.86790000000002</v>
      </c>
      <c r="G287" s="16"/>
      <c r="H287" s="16">
        <f>H288-H285</f>
        <v>27.712150000000008</v>
      </c>
      <c r="I287" s="16"/>
      <c r="J287" s="16">
        <f>J288-J285</f>
        <v>34.694400000000002</v>
      </c>
      <c r="K287" s="568">
        <v>30</v>
      </c>
      <c r="M287" s="16"/>
    </row>
    <row r="288" spans="2:29">
      <c r="B288" t="s">
        <v>1615</v>
      </c>
      <c r="D288" s="595">
        <v>148</v>
      </c>
      <c r="E288">
        <f>302-D288</f>
        <v>154</v>
      </c>
      <c r="F288" s="595">
        <v>156</v>
      </c>
      <c r="G288" s="16">
        <f>636-D288-E288-F288</f>
        <v>178</v>
      </c>
      <c r="H288" s="555">
        <v>157</v>
      </c>
      <c r="I288" s="555"/>
      <c r="J288">
        <f>322-H288</f>
        <v>165</v>
      </c>
      <c r="K288" s="16">
        <f>K285+K287</f>
        <v>160.91295</v>
      </c>
      <c r="L288" s="16">
        <f>649-H288-J288-K288</f>
        <v>166.08705</v>
      </c>
      <c r="M288" s="16"/>
      <c r="V288" s="5">
        <f>H288/D288-1</f>
        <v>6.0810810810810745E-2</v>
      </c>
      <c r="W288" s="5">
        <f>J288/E288-1</f>
        <v>7.1428571428571397E-2</v>
      </c>
      <c r="X288" s="5">
        <f>K288/F288-1</f>
        <v>3.1493269230769227E-2</v>
      </c>
      <c r="Y288" s="5"/>
    </row>
    <row r="289" spans="2:25">
      <c r="B289" t="s">
        <v>8</v>
      </c>
      <c r="D289" s="595">
        <v>60</v>
      </c>
      <c r="E289">
        <f>119-D289</f>
        <v>59</v>
      </c>
      <c r="F289" s="595">
        <v>59</v>
      </c>
      <c r="G289" s="16">
        <f>241-D289-E289-F289</f>
        <v>63</v>
      </c>
      <c r="H289" s="595">
        <v>58</v>
      </c>
      <c r="I289" s="595"/>
      <c r="J289">
        <f>116-H289</f>
        <v>58</v>
      </c>
      <c r="K289" s="595">
        <v>67</v>
      </c>
      <c r="L289" s="16">
        <f>251-H289-J289-K289</f>
        <v>68</v>
      </c>
      <c r="M289" s="16"/>
      <c r="V289" s="5">
        <f>H289/D289-1</f>
        <v>-3.3333333333333326E-2</v>
      </c>
      <c r="W289" s="5">
        <f>J289/E289-1</f>
        <v>-1.6949152542372836E-2</v>
      </c>
      <c r="X289" s="5">
        <f>K289/F289-1</f>
        <v>0.13559322033898313</v>
      </c>
      <c r="Y289" s="5"/>
    </row>
    <row r="290" spans="2:25">
      <c r="B290" t="s">
        <v>251</v>
      </c>
      <c r="D290" s="572">
        <f>D289/D288</f>
        <v>0.40540540540540543</v>
      </c>
      <c r="E290" s="572">
        <f>E289/E288</f>
        <v>0.38311688311688313</v>
      </c>
      <c r="F290" s="572">
        <f>F289/F288</f>
        <v>0.37820512820512819</v>
      </c>
      <c r="G290" s="572">
        <f>G289/G288</f>
        <v>0.3539325842696629</v>
      </c>
      <c r="H290" s="572">
        <f>H289/H288</f>
        <v>0.36942675159235666</v>
      </c>
      <c r="I290" s="572"/>
      <c r="J290" s="572">
        <f>J289/J288</f>
        <v>0.3515151515151515</v>
      </c>
      <c r="K290" s="572">
        <f>K289/K288</f>
        <v>0.4163741948674734</v>
      </c>
      <c r="L290" s="572">
        <f>L289/L288</f>
        <v>0.40942385333474224</v>
      </c>
      <c r="M290" s="16"/>
    </row>
    <row r="291" spans="2:25">
      <c r="B291" t="s">
        <v>19</v>
      </c>
      <c r="D291" s="595">
        <v>30</v>
      </c>
      <c r="E291">
        <f>58-D291</f>
        <v>28</v>
      </c>
      <c r="F291" s="595">
        <v>35</v>
      </c>
      <c r="G291">
        <f>68-F291</f>
        <v>33</v>
      </c>
      <c r="H291" s="595">
        <v>27</v>
      </c>
      <c r="I291" s="595"/>
      <c r="J291">
        <f>53-H291</f>
        <v>26</v>
      </c>
      <c r="K291" s="595">
        <v>25</v>
      </c>
      <c r="L291" s="595">
        <v>25</v>
      </c>
      <c r="M291" s="16"/>
    </row>
    <row r="292" spans="2:25">
      <c r="B292" t="s">
        <v>91</v>
      </c>
      <c r="D292" s="572">
        <f>D291/D288</f>
        <v>0.20270270270270271</v>
      </c>
      <c r="E292" s="572">
        <f>E291/E288</f>
        <v>0.18181818181818182</v>
      </c>
      <c r="F292" s="572">
        <f>F291/F288</f>
        <v>0.22435897435897437</v>
      </c>
      <c r="G292" s="572">
        <f>G291/G288</f>
        <v>0.1853932584269663</v>
      </c>
      <c r="H292" s="572">
        <f>H291/H288</f>
        <v>0.17197452229299362</v>
      </c>
      <c r="I292" s="572"/>
      <c r="J292" s="572">
        <f>J291/J288</f>
        <v>0.15757575757575756</v>
      </c>
      <c r="K292" s="572">
        <f>K291/K288</f>
        <v>0.1553635055475647</v>
      </c>
      <c r="L292" s="572">
        <f>L291/L288</f>
        <v>0.15052347549071404</v>
      </c>
      <c r="M292" s="16"/>
    </row>
    <row r="294" spans="2:25">
      <c r="B294" s="552" t="s">
        <v>2</v>
      </c>
      <c r="C294" s="553">
        <f t="shared" ref="C294:H294" si="30">C267</f>
        <v>41699</v>
      </c>
      <c r="D294" s="553">
        <f t="shared" si="30"/>
        <v>41791</v>
      </c>
      <c r="E294" s="553">
        <f t="shared" si="30"/>
        <v>41883</v>
      </c>
      <c r="F294" s="553">
        <f t="shared" si="30"/>
        <v>41974</v>
      </c>
      <c r="G294" s="553">
        <f t="shared" si="30"/>
        <v>42064</v>
      </c>
      <c r="H294" s="553">
        <f t="shared" si="30"/>
        <v>42156</v>
      </c>
      <c r="I294" s="553"/>
      <c r="J294" s="553">
        <f t="shared" ref="J294:S294" si="31">J267</f>
        <v>42248</v>
      </c>
      <c r="K294" s="553">
        <f t="shared" si="31"/>
        <v>42339</v>
      </c>
      <c r="L294" s="553">
        <f t="shared" si="31"/>
        <v>42430</v>
      </c>
      <c r="M294" s="553">
        <f t="shared" si="31"/>
        <v>42522</v>
      </c>
      <c r="N294" s="553">
        <f t="shared" si="31"/>
        <v>42614</v>
      </c>
      <c r="O294" s="553">
        <f t="shared" si="31"/>
        <v>42705</v>
      </c>
      <c r="P294" s="553">
        <f t="shared" si="31"/>
        <v>42795</v>
      </c>
      <c r="Q294" s="553">
        <f t="shared" si="31"/>
        <v>42887</v>
      </c>
      <c r="R294" s="553">
        <f t="shared" si="31"/>
        <v>42979</v>
      </c>
      <c r="S294" s="553">
        <f t="shared" si="31"/>
        <v>43070</v>
      </c>
    </row>
    <row r="295" spans="2:25">
      <c r="B295" t="s">
        <v>1569</v>
      </c>
    </row>
    <row r="296" spans="2:25">
      <c r="B296" t="s">
        <v>5</v>
      </c>
      <c r="D296">
        <v>308</v>
      </c>
      <c r="E296">
        <v>311</v>
      </c>
      <c r="F296">
        <v>314</v>
      </c>
      <c r="G296">
        <v>318</v>
      </c>
      <c r="H296">
        <v>315</v>
      </c>
      <c r="J296">
        <v>310</v>
      </c>
      <c r="K296">
        <v>313</v>
      </c>
    </row>
    <row r="297" spans="2:25">
      <c r="B297" t="s">
        <v>1567</v>
      </c>
      <c r="D297">
        <v>24</v>
      </c>
      <c r="E297">
        <v>24</v>
      </c>
      <c r="F297">
        <v>25</v>
      </c>
      <c r="G297">
        <v>25</v>
      </c>
      <c r="H297">
        <v>26</v>
      </c>
      <c r="J297">
        <v>28</v>
      </c>
      <c r="K297">
        <v>29</v>
      </c>
    </row>
    <row r="298" spans="2:25">
      <c r="B298" t="s">
        <v>1568</v>
      </c>
    </row>
    <row r="299" spans="2:25">
      <c r="B299" t="s">
        <v>733</v>
      </c>
      <c r="D299">
        <v>103</v>
      </c>
      <c r="E299">
        <v>102</v>
      </c>
      <c r="F299">
        <v>100</v>
      </c>
      <c r="G299">
        <v>99</v>
      </c>
      <c r="H299">
        <v>95</v>
      </c>
      <c r="J299">
        <v>95</v>
      </c>
      <c r="K299">
        <v>94</v>
      </c>
    </row>
    <row r="301" spans="2:25">
      <c r="B301" t="s">
        <v>904</v>
      </c>
    </row>
    <row r="302" spans="2:25">
      <c r="B302" t="s">
        <v>5</v>
      </c>
      <c r="D302">
        <v>64.8</v>
      </c>
      <c r="E302">
        <v>60</v>
      </c>
      <c r="F302">
        <v>60.4</v>
      </c>
      <c r="G302">
        <v>59.9</v>
      </c>
      <c r="H302">
        <v>57.1</v>
      </c>
      <c r="J302">
        <v>56</v>
      </c>
      <c r="K302">
        <v>55.3</v>
      </c>
    </row>
    <row r="303" spans="2:25">
      <c r="B303" t="s">
        <v>1567</v>
      </c>
      <c r="D303">
        <v>54.8</v>
      </c>
      <c r="E303">
        <v>50.8</v>
      </c>
      <c r="F303">
        <v>51.1</v>
      </c>
      <c r="G303">
        <v>43.5</v>
      </c>
      <c r="H303">
        <v>45.6</v>
      </c>
      <c r="J303">
        <v>44.2</v>
      </c>
      <c r="K303">
        <v>41.9</v>
      </c>
    </row>
    <row r="304" spans="2:25">
      <c r="B304" t="s">
        <v>1568</v>
      </c>
    </row>
    <row r="305" spans="2:39">
      <c r="B305" t="s">
        <v>733</v>
      </c>
      <c r="D305">
        <v>38.700000000000003</v>
      </c>
      <c r="E305">
        <v>40.4</v>
      </c>
      <c r="F305">
        <v>38.1</v>
      </c>
      <c r="G305">
        <v>48.5</v>
      </c>
      <c r="H305">
        <v>38.799999999999997</v>
      </c>
      <c r="J305">
        <v>39.299999999999997</v>
      </c>
      <c r="K305">
        <v>43.3</v>
      </c>
    </row>
    <row r="307" spans="2:39">
      <c r="B307" t="s">
        <v>1570</v>
      </c>
    </row>
    <row r="308" spans="2:39">
      <c r="B308" t="str">
        <f>B302</f>
        <v>Mobile</v>
      </c>
      <c r="E308" s="62">
        <f t="shared" ref="E308:H309" si="32">E302*3*AVERAGE(D296:E296)/1000</f>
        <v>55.71</v>
      </c>
      <c r="F308" s="62">
        <f t="shared" si="32"/>
        <v>56.625</v>
      </c>
      <c r="G308" s="62">
        <f t="shared" si="32"/>
        <v>56.785199999999996</v>
      </c>
      <c r="H308" s="62">
        <f t="shared" si="32"/>
        <v>54.216450000000002</v>
      </c>
      <c r="I308" s="62"/>
      <c r="J308" s="62">
        <f>J302*3*AVERAGE(H296:J296)/1000</f>
        <v>52.5</v>
      </c>
      <c r="K308" s="62">
        <f>K302*3*AVERAGE(J296:K296)/1000</f>
        <v>51.677849999999992</v>
      </c>
      <c r="M308" s="62"/>
      <c r="W308" s="5">
        <f>J308/E308-1</f>
        <v>-5.7619816908992982E-2</v>
      </c>
      <c r="X308" s="5">
        <f>K308/F308-1</f>
        <v>-8.7366887417218653E-2</v>
      </c>
      <c r="Y308" s="5"/>
      <c r="Z308" s="5"/>
      <c r="AA308" s="5"/>
      <c r="AB308" s="5"/>
      <c r="AC308" s="5"/>
    </row>
    <row r="309" spans="2:39">
      <c r="B309" t="str">
        <f>B303</f>
        <v>BB</v>
      </c>
      <c r="E309" s="62">
        <f t="shared" si="32"/>
        <v>3.6575999999999995</v>
      </c>
      <c r="F309" s="62">
        <f t="shared" si="32"/>
        <v>3.7558500000000006</v>
      </c>
      <c r="G309" s="62">
        <f t="shared" si="32"/>
        <v>3.2625000000000002</v>
      </c>
      <c r="H309" s="62">
        <f t="shared" si="32"/>
        <v>3.4883999999999999</v>
      </c>
      <c r="I309" s="62"/>
      <c r="J309" s="62">
        <f>J303*3*AVERAGE(H297:J297)/1000</f>
        <v>3.5802000000000009</v>
      </c>
      <c r="K309" s="62">
        <f>K303*3*AVERAGE(J297:K297)/1000</f>
        <v>3.5824499999999997</v>
      </c>
      <c r="M309" s="62"/>
      <c r="W309" s="5">
        <f>J309/E309-1</f>
        <v>-2.1161417322834275E-2</v>
      </c>
      <c r="X309" s="5">
        <f>K309/F309-1</f>
        <v>-4.6167977954391426E-2</v>
      </c>
      <c r="Y309" s="5"/>
      <c r="Z309" s="5"/>
      <c r="AA309" s="5"/>
      <c r="AB309" s="5"/>
      <c r="AC309" s="5"/>
    </row>
    <row r="310" spans="2:39">
      <c r="B310" t="str">
        <f>B304</f>
        <v>Video</v>
      </c>
      <c r="E310" s="62"/>
      <c r="F310" s="62"/>
      <c r="G310" s="62"/>
      <c r="H310" s="62"/>
      <c r="I310" s="62"/>
      <c r="J310" s="62"/>
      <c r="K310" s="62"/>
      <c r="W310" s="5"/>
      <c r="X310" s="5"/>
      <c r="Y310" s="5"/>
      <c r="Z310" s="5"/>
      <c r="AA310" s="5"/>
      <c r="AB310" s="5"/>
      <c r="AC310" s="5"/>
    </row>
    <row r="311" spans="2:39">
      <c r="B311" s="3" t="str">
        <f>B305</f>
        <v>Fixed</v>
      </c>
      <c r="C311" s="3"/>
      <c r="D311" s="3"/>
      <c r="E311" s="554">
        <f>E305*3*AVERAGE(D299:E299)/1000</f>
        <v>12.422999999999998</v>
      </c>
      <c r="F311" s="554">
        <f>F305*3*AVERAGE(E299:F299)/1000</f>
        <v>11.544300000000002</v>
      </c>
      <c r="G311" s="554">
        <f>G305*3*AVERAGE(F299:G299)/1000</f>
        <v>14.47725</v>
      </c>
      <c r="H311" s="554">
        <f>H305*3*AVERAGE(G299:H299)/1000</f>
        <v>11.290799999999999</v>
      </c>
      <c r="I311" s="554"/>
      <c r="J311" s="554">
        <f>J305*3*AVERAGE(H299:J299)/1000</f>
        <v>11.2005</v>
      </c>
      <c r="K311" s="554">
        <f>K305*3*AVERAGE(J299:K299)/1000</f>
        <v>12.275549999999997</v>
      </c>
      <c r="M311" s="554"/>
      <c r="W311" s="512">
        <f>J311/E311-1</f>
        <v>-9.8406182081622662E-2</v>
      </c>
      <c r="X311" s="512">
        <f>K311/F311-1</f>
        <v>6.3342948468074756E-2</v>
      </c>
      <c r="Y311" s="5"/>
      <c r="Z311" s="5"/>
      <c r="AA311" s="5"/>
      <c r="AB311" s="5"/>
      <c r="AC311" s="5"/>
    </row>
    <row r="312" spans="2:39">
      <c r="B312" t="s">
        <v>16</v>
      </c>
      <c r="E312" s="62">
        <f>SUM(E308:E311)</f>
        <v>71.790599999999998</v>
      </c>
      <c r="F312" s="62">
        <f>SUM(F308:F311)</f>
        <v>71.925150000000002</v>
      </c>
      <c r="G312" s="62">
        <f>SUM(G308:G311)</f>
        <v>74.524950000000004</v>
      </c>
      <c r="H312" s="62">
        <f>SUM(H308:H311)</f>
        <v>68.995649999999998</v>
      </c>
      <c r="I312" s="62"/>
      <c r="J312" s="62">
        <f>SUM(J308:J311)</f>
        <v>67.280699999999996</v>
      </c>
      <c r="K312" s="62">
        <f>SUM(K308:K311)</f>
        <v>67.535849999999996</v>
      </c>
      <c r="M312" s="62"/>
      <c r="W312" s="5">
        <f>J312/E312-1</f>
        <v>-6.282020208773853E-2</v>
      </c>
      <c r="X312" s="5">
        <f>K312/F312-1</f>
        <v>-6.1025941551738239E-2</v>
      </c>
      <c r="Y312" s="5"/>
      <c r="Z312" s="5"/>
      <c r="AA312" s="5"/>
      <c r="AB312" s="5"/>
      <c r="AC312" s="5"/>
    </row>
    <row r="313" spans="2:39">
      <c r="AE313" s="12" t="s">
        <v>1612</v>
      </c>
      <c r="AM313" s="12" t="s">
        <v>1613</v>
      </c>
    </row>
    <row r="314" spans="2:39">
      <c r="B314" t="s">
        <v>1617</v>
      </c>
      <c r="F314" s="16">
        <f>F315-F312</f>
        <v>15.074849999999998</v>
      </c>
      <c r="G314" s="16"/>
      <c r="H314" s="16">
        <f>H315-H312</f>
        <v>11.004350000000002</v>
      </c>
      <c r="I314" s="16"/>
      <c r="J314" s="16">
        <f>J315-J312</f>
        <v>14.719300000000004</v>
      </c>
      <c r="AE314" s="12"/>
      <c r="AM314" s="12"/>
    </row>
    <row r="315" spans="2:39">
      <c r="B315" t="s">
        <v>1615</v>
      </c>
      <c r="D315" s="595">
        <v>85</v>
      </c>
      <c r="E315">
        <f>171-D315</f>
        <v>86</v>
      </c>
      <c r="F315" s="595">
        <v>87</v>
      </c>
      <c r="G315" s="16">
        <f>348-D315-E315-F315</f>
        <v>90</v>
      </c>
      <c r="H315" s="555">
        <v>80</v>
      </c>
      <c r="I315" s="555"/>
      <c r="J315">
        <f>162-H315</f>
        <v>82</v>
      </c>
      <c r="K315" s="595">
        <v>83</v>
      </c>
      <c r="L315" s="16">
        <f>329-H315-J315-K315</f>
        <v>84</v>
      </c>
      <c r="M315" s="16"/>
      <c r="AE315" s="12"/>
      <c r="AM315" s="12"/>
    </row>
    <row r="316" spans="2:39">
      <c r="B316" t="s">
        <v>8</v>
      </c>
      <c r="D316" s="595">
        <v>30</v>
      </c>
      <c r="E316">
        <f>59-D316</f>
        <v>29</v>
      </c>
      <c r="F316" s="595">
        <v>30</v>
      </c>
      <c r="G316" s="16">
        <f>122-D316-E316-F316</f>
        <v>33</v>
      </c>
      <c r="H316" s="595">
        <v>26</v>
      </c>
      <c r="I316" s="595"/>
      <c r="J316">
        <f>53-H316</f>
        <v>27</v>
      </c>
      <c r="K316" s="595">
        <v>31</v>
      </c>
      <c r="L316" s="16">
        <f>121-H316-J316-K316</f>
        <v>37</v>
      </c>
      <c r="M316" s="16" t="s">
        <v>72</v>
      </c>
      <c r="AE316" s="12"/>
      <c r="AM316" s="12"/>
    </row>
    <row r="317" spans="2:39">
      <c r="B317" t="s">
        <v>251</v>
      </c>
      <c r="D317" s="572">
        <f>D316/D315</f>
        <v>0.35294117647058826</v>
      </c>
      <c r="E317" s="572">
        <f>E316/E315</f>
        <v>0.33720930232558138</v>
      </c>
      <c r="F317" s="572">
        <f>F316/F315</f>
        <v>0.34482758620689657</v>
      </c>
      <c r="G317" s="572">
        <f>G316/G315</f>
        <v>0.36666666666666664</v>
      </c>
      <c r="H317" s="572">
        <f>H316/H315</f>
        <v>0.32500000000000001</v>
      </c>
      <c r="I317" s="572"/>
      <c r="J317" s="572">
        <f>J316/J315</f>
        <v>0.32926829268292684</v>
      </c>
      <c r="K317" s="572">
        <f>K316/K315</f>
        <v>0.37349397590361444</v>
      </c>
      <c r="L317" s="572">
        <f>L316/L315</f>
        <v>0.44047619047619047</v>
      </c>
      <c r="M317" s="16"/>
      <c r="AE317" s="12"/>
      <c r="AM317" s="12"/>
    </row>
    <row r="318" spans="2:39">
      <c r="B318" t="s">
        <v>19</v>
      </c>
      <c r="D318" s="595">
        <v>12</v>
      </c>
      <c r="E318">
        <f>27-D318</f>
        <v>15</v>
      </c>
      <c r="F318" s="595">
        <v>23</v>
      </c>
      <c r="G318">
        <f>48-F318</f>
        <v>25</v>
      </c>
      <c r="H318" s="595">
        <v>18</v>
      </c>
      <c r="I318" s="595"/>
      <c r="J318">
        <f>36-H318</f>
        <v>18</v>
      </c>
      <c r="K318" s="595">
        <v>17</v>
      </c>
      <c r="L318" s="595">
        <v>17</v>
      </c>
      <c r="M318" s="16"/>
      <c r="AE318" s="12"/>
      <c r="AM318" s="12"/>
    </row>
    <row r="319" spans="2:39">
      <c r="B319" t="s">
        <v>91</v>
      </c>
      <c r="D319" s="572">
        <f>D318/D315</f>
        <v>0.14117647058823529</v>
      </c>
      <c r="E319" s="572">
        <f>E318/E315</f>
        <v>0.1744186046511628</v>
      </c>
      <c r="F319" s="572">
        <f>F318/F315</f>
        <v>0.26436781609195403</v>
      </c>
      <c r="G319" s="572">
        <f>G318/G315</f>
        <v>0.27777777777777779</v>
      </c>
      <c r="H319" s="572">
        <f>H318/H315</f>
        <v>0.22500000000000001</v>
      </c>
      <c r="I319" s="572"/>
      <c r="J319" s="572">
        <f>J318/J315</f>
        <v>0.21951219512195122</v>
      </c>
      <c r="K319" s="572">
        <f>K318/K315</f>
        <v>0.20481927710843373</v>
      </c>
      <c r="L319" s="572">
        <f>L318/L315</f>
        <v>0.20238095238095238</v>
      </c>
      <c r="M319" s="16"/>
      <c r="AE319" s="12"/>
      <c r="AM319" s="12"/>
    </row>
    <row r="320" spans="2:39">
      <c r="AE320" s="12"/>
      <c r="AM320" s="12"/>
    </row>
    <row r="321" spans="2:45">
      <c r="B321" s="552" t="s">
        <v>1781</v>
      </c>
      <c r="C321" s="553">
        <f t="shared" ref="C321:H321" si="33">C294</f>
        <v>41699</v>
      </c>
      <c r="D321" s="553">
        <f t="shared" si="33"/>
        <v>41791</v>
      </c>
      <c r="E321" s="553">
        <f t="shared" si="33"/>
        <v>41883</v>
      </c>
      <c r="F321" s="553">
        <f t="shared" si="33"/>
        <v>41974</v>
      </c>
      <c r="G321" s="553">
        <f t="shared" si="33"/>
        <v>42064</v>
      </c>
      <c r="H321" s="553">
        <f t="shared" si="33"/>
        <v>42156</v>
      </c>
      <c r="I321" s="553"/>
      <c r="J321" s="553">
        <f t="shared" ref="J321:S321" si="34">J294</f>
        <v>42248</v>
      </c>
      <c r="K321" s="553">
        <f t="shared" si="34"/>
        <v>42339</v>
      </c>
      <c r="L321" s="553">
        <f t="shared" si="34"/>
        <v>42430</v>
      </c>
      <c r="M321" s="553">
        <f t="shared" si="34"/>
        <v>42522</v>
      </c>
      <c r="N321" s="553">
        <f t="shared" si="34"/>
        <v>42614</v>
      </c>
      <c r="O321" s="553">
        <f t="shared" si="34"/>
        <v>42705</v>
      </c>
      <c r="P321" s="553">
        <f t="shared" si="34"/>
        <v>42795</v>
      </c>
      <c r="Q321" s="553">
        <f t="shared" si="34"/>
        <v>42887</v>
      </c>
      <c r="R321" s="553">
        <f t="shared" si="34"/>
        <v>42979</v>
      </c>
      <c r="S321" s="553">
        <f t="shared" si="34"/>
        <v>43070</v>
      </c>
      <c r="V321" s="488"/>
      <c r="AE321" s="553">
        <f>D321</f>
        <v>41791</v>
      </c>
      <c r="AF321" s="553">
        <f>E321</f>
        <v>41883</v>
      </c>
      <c r="AG321" s="553">
        <f>F321</f>
        <v>41974</v>
      </c>
      <c r="AH321" s="553">
        <f>G321</f>
        <v>42064</v>
      </c>
      <c r="AI321" s="553">
        <f>H321</f>
        <v>42156</v>
      </c>
      <c r="AJ321" s="553">
        <f>J321</f>
        <v>42248</v>
      </c>
      <c r="AK321" s="553">
        <f>K321</f>
        <v>42339</v>
      </c>
      <c r="AM321" s="553">
        <f>AE321</f>
        <v>41791</v>
      </c>
      <c r="AN321" s="553">
        <f t="shared" ref="AN321:AS321" si="35">AF321</f>
        <v>41883</v>
      </c>
      <c r="AO321" s="553">
        <f t="shared" si="35"/>
        <v>41974</v>
      </c>
      <c r="AP321" s="553">
        <f t="shared" si="35"/>
        <v>42064</v>
      </c>
      <c r="AQ321" s="553">
        <f t="shared" si="35"/>
        <v>42156</v>
      </c>
      <c r="AR321" s="553">
        <f t="shared" si="35"/>
        <v>42248</v>
      </c>
      <c r="AS321" s="553">
        <f t="shared" si="35"/>
        <v>42339</v>
      </c>
    </row>
    <row r="322" spans="2:45">
      <c r="B322" t="s">
        <v>1569</v>
      </c>
    </row>
    <row r="323" spans="2:45">
      <c r="B323" t="s">
        <v>5</v>
      </c>
      <c r="D323">
        <v>1211</v>
      </c>
      <c r="E323">
        <v>1236</v>
      </c>
      <c r="F323">
        <v>1333</v>
      </c>
      <c r="G323">
        <v>1328</v>
      </c>
      <c r="H323">
        <v>1360</v>
      </c>
      <c r="J323">
        <v>1422</v>
      </c>
      <c r="K323">
        <v>1476</v>
      </c>
      <c r="AE323">
        <v>1211</v>
      </c>
      <c r="AF323">
        <v>1236</v>
      </c>
      <c r="AG323">
        <v>1333</v>
      </c>
      <c r="AH323">
        <v>1328</v>
      </c>
      <c r="AI323">
        <v>1360</v>
      </c>
      <c r="AJ323">
        <v>1422</v>
      </c>
      <c r="AK323">
        <v>1476</v>
      </c>
    </row>
    <row r="324" spans="2:45">
      <c r="B324" t="s">
        <v>1567</v>
      </c>
      <c r="F324">
        <v>485</v>
      </c>
      <c r="J324">
        <v>510</v>
      </c>
      <c r="K324">
        <v>517</v>
      </c>
      <c r="AE324">
        <v>216</v>
      </c>
      <c r="AF324">
        <v>219</v>
      </c>
      <c r="AG324">
        <v>221</v>
      </c>
      <c r="AH324">
        <v>224</v>
      </c>
      <c r="AI324">
        <v>224</v>
      </c>
      <c r="AJ324">
        <v>223</v>
      </c>
      <c r="AM324">
        <v>243</v>
      </c>
      <c r="AN324">
        <v>253</v>
      </c>
      <c r="AO324">
        <v>264</v>
      </c>
      <c r="AP324">
        <v>270</v>
      </c>
      <c r="AQ324">
        <v>273</v>
      </c>
      <c r="AR324">
        <v>287</v>
      </c>
    </row>
    <row r="325" spans="2:45">
      <c r="B325" t="s">
        <v>1568</v>
      </c>
      <c r="F325">
        <v>406</v>
      </c>
      <c r="J325">
        <v>394</v>
      </c>
      <c r="K325">
        <v>394</v>
      </c>
      <c r="AE325">
        <v>25</v>
      </c>
      <c r="AF325">
        <v>26</v>
      </c>
      <c r="AG325">
        <v>26</v>
      </c>
      <c r="AH325">
        <v>27</v>
      </c>
      <c r="AI325">
        <v>27</v>
      </c>
      <c r="AJ325">
        <v>27</v>
      </c>
      <c r="AM325">
        <v>380</v>
      </c>
      <c r="AN325">
        <v>378</v>
      </c>
      <c r="AO325">
        <v>380</v>
      </c>
      <c r="AP325">
        <v>377</v>
      </c>
      <c r="AQ325">
        <v>369</v>
      </c>
      <c r="AR325">
        <v>367</v>
      </c>
    </row>
    <row r="326" spans="2:45">
      <c r="B326" t="s">
        <v>733</v>
      </c>
      <c r="F326">
        <v>644</v>
      </c>
      <c r="J326">
        <v>649</v>
      </c>
      <c r="K326">
        <v>649</v>
      </c>
      <c r="AE326">
        <v>574</v>
      </c>
      <c r="AF326">
        <v>574</v>
      </c>
      <c r="AG326">
        <v>575</v>
      </c>
      <c r="AH326">
        <v>578</v>
      </c>
      <c r="AI326">
        <v>577</v>
      </c>
      <c r="AJ326">
        <v>575</v>
      </c>
      <c r="AM326">
        <v>63</v>
      </c>
      <c r="AN326">
        <v>66</v>
      </c>
      <c r="AO326">
        <v>69</v>
      </c>
      <c r="AP326">
        <v>71</v>
      </c>
      <c r="AQ326">
        <v>71</v>
      </c>
      <c r="AR326">
        <v>74</v>
      </c>
    </row>
    <row r="328" spans="2:45">
      <c r="B328" t="s">
        <v>904</v>
      </c>
    </row>
    <row r="329" spans="2:45">
      <c r="B329" t="s">
        <v>5</v>
      </c>
      <c r="F329" s="62">
        <v>20</v>
      </c>
      <c r="J329">
        <v>19.100000000000001</v>
      </c>
      <c r="K329" s="62">
        <v>19</v>
      </c>
      <c r="AE329">
        <v>19.399999999999999</v>
      </c>
      <c r="AF329">
        <v>19.600000000000001</v>
      </c>
      <c r="AG329">
        <v>20</v>
      </c>
      <c r="AH329">
        <v>19</v>
      </c>
      <c r="AI329">
        <v>19.100000000000001</v>
      </c>
      <c r="AJ329">
        <v>19.100000000000001</v>
      </c>
    </row>
    <row r="330" spans="2:45">
      <c r="B330" t="s">
        <v>1567</v>
      </c>
      <c r="F330">
        <v>34.4</v>
      </c>
      <c r="J330">
        <v>34</v>
      </c>
      <c r="K330">
        <v>33.9</v>
      </c>
      <c r="AE330">
        <v>36.299999999999997</v>
      </c>
      <c r="AF330">
        <v>35.700000000000003</v>
      </c>
      <c r="AG330">
        <v>35.6</v>
      </c>
      <c r="AH330">
        <v>35.1</v>
      </c>
      <c r="AI330">
        <v>36.9</v>
      </c>
      <c r="AJ330">
        <v>36.700000000000003</v>
      </c>
      <c r="AM330">
        <v>29.3</v>
      </c>
      <c r="AN330">
        <v>29.7</v>
      </c>
      <c r="AO330">
        <v>28.9</v>
      </c>
      <c r="AP330">
        <v>29.4</v>
      </c>
      <c r="AQ330">
        <v>29.9</v>
      </c>
      <c r="AR330">
        <v>30.5</v>
      </c>
    </row>
    <row r="331" spans="2:45">
      <c r="B331" t="s">
        <v>1568</v>
      </c>
      <c r="F331">
        <v>34.700000000000003</v>
      </c>
      <c r="J331">
        <v>37.1</v>
      </c>
      <c r="K331">
        <v>36.700000000000003</v>
      </c>
      <c r="AE331">
        <v>25.7</v>
      </c>
      <c r="AF331">
        <v>24.4</v>
      </c>
      <c r="AG331">
        <v>23.3</v>
      </c>
      <c r="AH331">
        <v>22.2</v>
      </c>
      <c r="AI331">
        <v>22.3</v>
      </c>
      <c r="AJ331">
        <v>22</v>
      </c>
      <c r="AM331">
        <v>37.6</v>
      </c>
      <c r="AN331">
        <v>37.799999999999997</v>
      </c>
      <c r="AO331">
        <v>37</v>
      </c>
      <c r="AP331">
        <v>37.6</v>
      </c>
      <c r="AQ331">
        <v>38.299999999999997</v>
      </c>
      <c r="AR331">
        <v>38.5</v>
      </c>
    </row>
    <row r="332" spans="2:45">
      <c r="B332" t="s">
        <v>733</v>
      </c>
      <c r="F332">
        <v>28.6</v>
      </c>
      <c r="J332">
        <v>28.9</v>
      </c>
      <c r="K332">
        <v>25.7</v>
      </c>
      <c r="AE332">
        <v>28.6</v>
      </c>
      <c r="AF332">
        <v>28</v>
      </c>
      <c r="AG332">
        <v>29</v>
      </c>
      <c r="AH332">
        <v>27.7</v>
      </c>
      <c r="AI332">
        <v>27.5</v>
      </c>
      <c r="AJ332">
        <v>29.3</v>
      </c>
      <c r="AM332">
        <v>17.2</v>
      </c>
      <c r="AN332">
        <v>16.899999999999999</v>
      </c>
      <c r="AO332">
        <v>17.399999999999999</v>
      </c>
      <c r="AP332">
        <v>16.5</v>
      </c>
      <c r="AQ332">
        <v>16.5</v>
      </c>
      <c r="AR332">
        <v>15.8</v>
      </c>
    </row>
    <row r="334" spans="2:45">
      <c r="B334" t="s">
        <v>1570</v>
      </c>
    </row>
    <row r="335" spans="2:45">
      <c r="B335" t="str">
        <f>B329</f>
        <v>Mobile</v>
      </c>
      <c r="E335" s="62">
        <f t="shared" ref="E335:H338" si="36">AF335+AN335</f>
        <v>71.941800000000001</v>
      </c>
      <c r="F335" s="62">
        <f t="shared" si="36"/>
        <v>77.069999999999993</v>
      </c>
      <c r="G335" s="62">
        <f t="shared" si="36"/>
        <v>75.838499999999996</v>
      </c>
      <c r="H335" s="62">
        <f t="shared" si="36"/>
        <v>77.011200000000017</v>
      </c>
      <c r="I335" s="62"/>
      <c r="J335" s="62">
        <f>AJ335+AR335</f>
        <v>79.704300000000003</v>
      </c>
      <c r="K335" s="62">
        <f>K329*3*AVERAGE(J323:K323)/1000</f>
        <v>82.593000000000004</v>
      </c>
      <c r="W335" s="5">
        <f>J335/E335-1</f>
        <v>0.10789971893947614</v>
      </c>
      <c r="X335" s="5">
        <f>K335/F335-1</f>
        <v>7.166212534059957E-2</v>
      </c>
      <c r="Y335" s="5"/>
      <c r="Z335" s="5"/>
      <c r="AA335" s="5"/>
      <c r="AB335" s="5"/>
      <c r="AC335" s="5"/>
      <c r="AF335" s="62">
        <f t="shared" ref="AF335:AJ338" si="37">AF329*3*AVERAGE(AE323:AF323)/1000</f>
        <v>71.941800000000001</v>
      </c>
      <c r="AG335" s="62">
        <f t="shared" si="37"/>
        <v>77.069999999999993</v>
      </c>
      <c r="AH335" s="62">
        <f t="shared" si="37"/>
        <v>75.838499999999996</v>
      </c>
      <c r="AI335" s="62">
        <f t="shared" si="37"/>
        <v>77.011200000000017</v>
      </c>
      <c r="AJ335" s="62">
        <f t="shared" si="37"/>
        <v>79.704300000000003</v>
      </c>
      <c r="AM335" s="62"/>
      <c r="AN335" s="62"/>
      <c r="AO335" s="62"/>
      <c r="AP335" s="62"/>
      <c r="AQ335" s="62"/>
      <c r="AR335" s="62"/>
    </row>
    <row r="336" spans="2:45">
      <c r="B336" t="str">
        <f>B330</f>
        <v>BB</v>
      </c>
      <c r="E336" s="62">
        <f t="shared" si="36"/>
        <v>45.391050000000007</v>
      </c>
      <c r="F336" s="62">
        <f t="shared" si="36"/>
        <v>45.90795</v>
      </c>
      <c r="G336" s="62">
        <f t="shared" si="36"/>
        <v>46.978650000000002</v>
      </c>
      <c r="H336" s="62">
        <f t="shared" si="36"/>
        <v>49.150349999999989</v>
      </c>
      <c r="I336" s="62"/>
      <c r="J336" s="62">
        <f>AJ336+AR336</f>
        <v>50.227350000000001</v>
      </c>
      <c r="K336" s="62">
        <f>K330*3*AVERAGE(J324:K324)/1000</f>
        <v>52.222949999999997</v>
      </c>
      <c r="W336" s="5">
        <f>J336/E336-1</f>
        <v>0.10654743611350681</v>
      </c>
      <c r="X336" s="5">
        <f>K336/F336-1</f>
        <v>0.13755787396300634</v>
      </c>
      <c r="Y336" s="5"/>
      <c r="Z336" s="5"/>
      <c r="AA336" s="5"/>
      <c r="AB336" s="5"/>
      <c r="AC336" s="5"/>
      <c r="AF336" s="62">
        <f t="shared" si="37"/>
        <v>23.294250000000005</v>
      </c>
      <c r="AG336" s="62">
        <f t="shared" si="37"/>
        <v>23.496000000000002</v>
      </c>
      <c r="AH336" s="62">
        <f t="shared" si="37"/>
        <v>23.429250000000003</v>
      </c>
      <c r="AI336" s="62">
        <f t="shared" si="37"/>
        <v>24.796799999999994</v>
      </c>
      <c r="AJ336" s="62">
        <f>AJ330*3*AVERAGE(AI324:AJ324)/1000</f>
        <v>24.607350000000004</v>
      </c>
      <c r="AM336" s="62"/>
      <c r="AN336" s="62">
        <f t="shared" ref="AN336:AR338" si="38">AN330*3*AVERAGE(AM324:AN324)/1000</f>
        <v>22.096799999999998</v>
      </c>
      <c r="AO336" s="62">
        <f t="shared" si="38"/>
        <v>22.411949999999997</v>
      </c>
      <c r="AP336" s="62">
        <f>AP330*3*AVERAGE(AO324:AP324)/1000</f>
        <v>23.549399999999999</v>
      </c>
      <c r="AQ336" s="62">
        <f t="shared" si="38"/>
        <v>24.353549999999995</v>
      </c>
      <c r="AR336" s="62">
        <f>AR330*3*AVERAGE(AQ324:AR324)/1000</f>
        <v>25.62</v>
      </c>
    </row>
    <row r="337" spans="2:44">
      <c r="B337" t="str">
        <f>B331</f>
        <v>Video</v>
      </c>
      <c r="E337" s="62">
        <f t="shared" si="36"/>
        <v>44.845199999999998</v>
      </c>
      <c r="F337" s="62">
        <f t="shared" si="36"/>
        <v>43.886400000000002</v>
      </c>
      <c r="G337" s="62">
        <f t="shared" si="36"/>
        <v>44.459699999999998</v>
      </c>
      <c r="H337" s="62">
        <f t="shared" si="36"/>
        <v>44.663999999999994</v>
      </c>
      <c r="I337" s="62"/>
      <c r="J337" s="62">
        <f>AJ337+AR337</f>
        <v>44.286000000000001</v>
      </c>
      <c r="K337" s="62">
        <f>K331*3*AVERAGE(J325:K325)/1000</f>
        <v>43.379400000000004</v>
      </c>
      <c r="W337" s="5"/>
      <c r="X337" s="5"/>
      <c r="Y337" s="5"/>
      <c r="Z337" s="5"/>
      <c r="AA337" s="5"/>
      <c r="AB337" s="5"/>
      <c r="AC337" s="5"/>
      <c r="AF337" s="62">
        <f t="shared" si="37"/>
        <v>1.8665999999999996</v>
      </c>
      <c r="AG337" s="62">
        <f t="shared" si="37"/>
        <v>1.8174000000000001</v>
      </c>
      <c r="AH337" s="62">
        <f t="shared" si="37"/>
        <v>1.7648999999999999</v>
      </c>
      <c r="AI337" s="62">
        <f t="shared" si="37"/>
        <v>1.8063000000000002</v>
      </c>
      <c r="AJ337" s="62">
        <f t="shared" si="37"/>
        <v>1.782</v>
      </c>
      <c r="AM337" s="62"/>
      <c r="AN337" s="62">
        <f t="shared" si="38"/>
        <v>42.9786</v>
      </c>
      <c r="AO337" s="62">
        <f t="shared" si="38"/>
        <v>42.069000000000003</v>
      </c>
      <c r="AP337" s="62">
        <f>AP331*3*AVERAGE(AO325:AP325)/1000</f>
        <v>42.694800000000001</v>
      </c>
      <c r="AQ337" s="62">
        <f t="shared" si="38"/>
        <v>42.857699999999994</v>
      </c>
      <c r="AR337" s="62">
        <f t="shared" si="38"/>
        <v>42.503999999999998</v>
      </c>
    </row>
    <row r="338" spans="2:44">
      <c r="B338" s="3" t="str">
        <f>B332</f>
        <v>Fixed</v>
      </c>
      <c r="C338" s="3"/>
      <c r="D338" s="3"/>
      <c r="E338" s="554">
        <f t="shared" si="36"/>
        <v>51.486150000000002</v>
      </c>
      <c r="F338" s="554">
        <f t="shared" si="36"/>
        <v>53.504999999999995</v>
      </c>
      <c r="G338" s="554">
        <f t="shared" si="36"/>
        <v>51.372149999999991</v>
      </c>
      <c r="H338" s="554">
        <f t="shared" si="36"/>
        <v>51.158249999999995</v>
      </c>
      <c r="I338" s="554"/>
      <c r="J338" s="554">
        <f>AJ338+AR338</f>
        <v>54.066900000000004</v>
      </c>
      <c r="K338" s="554">
        <f>K332*3*AVERAGE(J326:K326)/1000</f>
        <v>50.037899999999993</v>
      </c>
      <c r="W338" s="512">
        <f>J338/E338-1</f>
        <v>5.0125130739043344E-2</v>
      </c>
      <c r="X338" s="512">
        <f>K338/F338-1</f>
        <v>-6.4799551443790349E-2</v>
      </c>
      <c r="Y338" s="5"/>
      <c r="Z338" s="5"/>
      <c r="AA338" s="5"/>
      <c r="AB338" s="5"/>
      <c r="AC338" s="5"/>
      <c r="AF338" s="62">
        <f t="shared" si="37"/>
        <v>48.216000000000001</v>
      </c>
      <c r="AG338" s="62">
        <f t="shared" si="37"/>
        <v>49.981499999999997</v>
      </c>
      <c r="AH338" s="62">
        <f t="shared" si="37"/>
        <v>47.907149999999994</v>
      </c>
      <c r="AI338" s="62">
        <f t="shared" si="37"/>
        <v>47.643749999999997</v>
      </c>
      <c r="AJ338" s="62">
        <f t="shared" si="37"/>
        <v>50.630400000000002</v>
      </c>
      <c r="AM338" s="62"/>
      <c r="AN338" s="62">
        <f t="shared" si="38"/>
        <v>3.2701499999999997</v>
      </c>
      <c r="AO338" s="62">
        <f t="shared" si="38"/>
        <v>3.5234999999999994</v>
      </c>
      <c r="AP338" s="62">
        <f t="shared" si="38"/>
        <v>3.4649999999999999</v>
      </c>
      <c r="AQ338" s="62">
        <f t="shared" si="38"/>
        <v>3.5145</v>
      </c>
      <c r="AR338" s="62">
        <f t="shared" si="38"/>
        <v>3.4365000000000006</v>
      </c>
    </row>
    <row r="339" spans="2:44">
      <c r="B339" t="s">
        <v>16</v>
      </c>
      <c r="E339" s="62">
        <f>SUM(E335:E338)</f>
        <v>213.66420000000002</v>
      </c>
      <c r="F339" s="62">
        <f>SUM(F335:F338)</f>
        <v>220.36935</v>
      </c>
      <c r="G339" s="62">
        <f>SUM(G335:G338)</f>
        <v>218.649</v>
      </c>
      <c r="H339" s="62">
        <f>SUM(H335:H338)</f>
        <v>221.98379999999997</v>
      </c>
      <c r="I339" s="62"/>
      <c r="J339" s="62">
        <f>SUM(J335:J338)</f>
        <v>228.28455</v>
      </c>
      <c r="K339" s="62">
        <f>SUM(K335:K338)</f>
        <v>228.23325</v>
      </c>
      <c r="W339" s="5">
        <f>J339/E339-1</f>
        <v>6.8426764989174549E-2</v>
      </c>
      <c r="X339" s="5">
        <f>K339/F339-1</f>
        <v>3.5685089600709041E-2</v>
      </c>
      <c r="Y339" s="5"/>
      <c r="Z339" s="5"/>
      <c r="AA339" s="5"/>
      <c r="AB339" s="5"/>
      <c r="AC339" s="5"/>
      <c r="AF339" s="62"/>
      <c r="AG339" s="62"/>
      <c r="AH339" s="62"/>
      <c r="AI339" s="62"/>
      <c r="AJ339" s="62"/>
      <c r="AM339" s="62"/>
      <c r="AN339" s="62"/>
      <c r="AO339" s="62"/>
      <c r="AP339" s="62"/>
      <c r="AQ339" s="62"/>
      <c r="AR339" s="62"/>
    </row>
    <row r="341" spans="2:44">
      <c r="B341" t="s">
        <v>1617</v>
      </c>
      <c r="E341" s="16">
        <f>E342-E339</f>
        <v>45.335799999999978</v>
      </c>
      <c r="F341" s="16">
        <f>F342-F339</f>
        <v>49.630650000000003</v>
      </c>
      <c r="G341" s="16">
        <f>G342-G339</f>
        <v>46.350999999999999</v>
      </c>
      <c r="H341" s="16">
        <f>H342-H339</f>
        <v>50.016200000000026</v>
      </c>
      <c r="I341" s="16"/>
      <c r="J341" s="16">
        <f>J342-J339</f>
        <v>46.715450000000004</v>
      </c>
      <c r="K341" s="567">
        <v>50</v>
      </c>
    </row>
    <row r="342" spans="2:44">
      <c r="B342" t="s">
        <v>1615</v>
      </c>
      <c r="D342" s="595">
        <v>257</v>
      </c>
      <c r="E342">
        <f>516-D342</f>
        <v>259</v>
      </c>
      <c r="F342" s="595">
        <v>270</v>
      </c>
      <c r="G342" s="599">
        <v>265</v>
      </c>
      <c r="H342" s="555">
        <v>272</v>
      </c>
      <c r="I342" s="555"/>
      <c r="J342">
        <f>547-H342</f>
        <v>275</v>
      </c>
      <c r="K342" s="16">
        <f>K339+K341</f>
        <v>278.23325</v>
      </c>
      <c r="L342" s="16">
        <f>1103-H342-J342-K342</f>
        <v>277.76675</v>
      </c>
      <c r="M342" s="62"/>
      <c r="V342" s="5">
        <f>H342/D342-1</f>
        <v>5.8365758754863828E-2</v>
      </c>
      <c r="W342" s="5">
        <f>J342/E342-1</f>
        <v>6.1776061776061875E-2</v>
      </c>
      <c r="X342" s="5">
        <f>K342/F342-1</f>
        <v>3.0493518518518448E-2</v>
      </c>
      <c r="Y342" s="5">
        <f>L342/G342-1</f>
        <v>4.8176415094339564E-2</v>
      </c>
    </row>
    <row r="343" spans="2:44">
      <c r="B343" t="s">
        <v>8</v>
      </c>
      <c r="D343" s="595">
        <v>84</v>
      </c>
      <c r="E343">
        <f>174-D343</f>
        <v>90</v>
      </c>
      <c r="F343" s="595">
        <v>98</v>
      </c>
      <c r="G343" s="16">
        <f>464/1.2-D343-E343-F343</f>
        <v>114.66666666666669</v>
      </c>
      <c r="H343" s="595">
        <v>106</v>
      </c>
      <c r="I343" s="595"/>
      <c r="J343">
        <f>213-H343</f>
        <v>107</v>
      </c>
      <c r="K343" s="595">
        <v>118</v>
      </c>
      <c r="L343" s="16">
        <f>464-H343-J343-K343</f>
        <v>133</v>
      </c>
      <c r="M343" s="62"/>
    </row>
    <row r="344" spans="2:44">
      <c r="B344" t="s">
        <v>251</v>
      </c>
      <c r="D344" s="572">
        <f>D343/D342</f>
        <v>0.32684824902723736</v>
      </c>
      <c r="E344" s="572">
        <f>E343/E342</f>
        <v>0.34749034749034752</v>
      </c>
      <c r="F344" s="572">
        <f>F343/F342</f>
        <v>0.36296296296296299</v>
      </c>
      <c r="G344" s="572">
        <f>G343/G342</f>
        <v>0.43270440251572334</v>
      </c>
      <c r="H344" s="572">
        <f>H343/H342</f>
        <v>0.38970588235294118</v>
      </c>
      <c r="I344" s="572"/>
      <c r="J344" s="572">
        <f>J343/J342</f>
        <v>0.3890909090909091</v>
      </c>
      <c r="K344" s="572">
        <f>K343/K342</f>
        <v>0.42410459569443981</v>
      </c>
      <c r="L344" s="572">
        <f>L343/L342</f>
        <v>0.47881900911466185</v>
      </c>
      <c r="M344" s="62"/>
    </row>
    <row r="345" spans="2:44">
      <c r="B345" t="s">
        <v>19</v>
      </c>
      <c r="D345" s="595">
        <v>70</v>
      </c>
      <c r="E345">
        <f>142-D345</f>
        <v>72</v>
      </c>
      <c r="F345" s="595">
        <v>85</v>
      </c>
      <c r="G345" s="595">
        <v>87</v>
      </c>
      <c r="H345" s="595">
        <v>67</v>
      </c>
      <c r="I345" s="595"/>
      <c r="J345">
        <f>133-H345</f>
        <v>66</v>
      </c>
      <c r="K345" s="595">
        <v>70</v>
      </c>
      <c r="L345" s="595">
        <v>65</v>
      </c>
      <c r="M345" s="62"/>
    </row>
    <row r="346" spans="2:44">
      <c r="B346" t="s">
        <v>91</v>
      </c>
      <c r="D346" s="572">
        <f>D345/D342</f>
        <v>0.2723735408560311</v>
      </c>
      <c r="E346" s="572">
        <f>E345/E342</f>
        <v>0.27799227799227799</v>
      </c>
      <c r="F346" s="572">
        <f>F345/F342</f>
        <v>0.31481481481481483</v>
      </c>
      <c r="G346" s="572">
        <f>G345/G342</f>
        <v>0.32830188679245281</v>
      </c>
      <c r="H346" s="572">
        <f>H345/H342</f>
        <v>0.24632352941176472</v>
      </c>
      <c r="I346" s="572"/>
      <c r="J346" s="572">
        <f>J345/J342</f>
        <v>0.24</v>
      </c>
      <c r="K346" s="572">
        <f>K345/K342</f>
        <v>0.25158747202212534</v>
      </c>
      <c r="L346" s="572">
        <f>L345/L342</f>
        <v>0.23400929016881969</v>
      </c>
      <c r="M346" s="62"/>
    </row>
    <row r="348" spans="2:44">
      <c r="B348" s="552" t="s">
        <v>3</v>
      </c>
      <c r="C348" s="553">
        <f t="shared" ref="C348:H348" si="39">C321</f>
        <v>41699</v>
      </c>
      <c r="D348" s="553">
        <f t="shared" si="39"/>
        <v>41791</v>
      </c>
      <c r="E348" s="553">
        <f t="shared" si="39"/>
        <v>41883</v>
      </c>
      <c r="F348" s="553">
        <f t="shared" si="39"/>
        <v>41974</v>
      </c>
      <c r="G348" s="553">
        <f t="shared" si="39"/>
        <v>42064</v>
      </c>
      <c r="H348" s="553">
        <f t="shared" si="39"/>
        <v>42156</v>
      </c>
      <c r="I348" s="553"/>
      <c r="J348" s="553">
        <f t="shared" ref="J348:S348" si="40">J321</f>
        <v>42248</v>
      </c>
      <c r="K348" s="553">
        <f t="shared" si="40"/>
        <v>42339</v>
      </c>
      <c r="L348" s="553">
        <f t="shared" si="40"/>
        <v>42430</v>
      </c>
      <c r="M348" s="553">
        <f t="shared" si="40"/>
        <v>42522</v>
      </c>
      <c r="N348" s="553">
        <f t="shared" si="40"/>
        <v>42614</v>
      </c>
      <c r="O348" s="553">
        <f t="shared" si="40"/>
        <v>42705</v>
      </c>
      <c r="P348" s="553">
        <f t="shared" si="40"/>
        <v>42795</v>
      </c>
      <c r="Q348" s="553">
        <f t="shared" si="40"/>
        <v>42887</v>
      </c>
      <c r="R348" s="553">
        <f t="shared" si="40"/>
        <v>42979</v>
      </c>
      <c r="S348" s="553">
        <f t="shared" si="40"/>
        <v>43070</v>
      </c>
    </row>
    <row r="349" spans="2:44">
      <c r="B349" t="s">
        <v>1569</v>
      </c>
    </row>
    <row r="350" spans="2:44">
      <c r="B350" t="s">
        <v>5</v>
      </c>
      <c r="D350">
        <v>83</v>
      </c>
      <c r="E350">
        <v>84</v>
      </c>
      <c r="F350">
        <v>86</v>
      </c>
      <c r="G350">
        <v>87</v>
      </c>
      <c r="H350">
        <v>87</v>
      </c>
      <c r="J350">
        <v>88</v>
      </c>
      <c r="K350">
        <v>87</v>
      </c>
    </row>
    <row r="351" spans="2:44">
      <c r="B351" t="s">
        <v>1567</v>
      </c>
      <c r="D351">
        <v>7</v>
      </c>
      <c r="E351">
        <v>7</v>
      </c>
      <c r="F351">
        <v>7</v>
      </c>
      <c r="G351">
        <v>7</v>
      </c>
      <c r="H351">
        <v>7</v>
      </c>
      <c r="J351">
        <v>7</v>
      </c>
      <c r="K351">
        <v>7</v>
      </c>
    </row>
    <row r="352" spans="2:44">
      <c r="B352" t="s">
        <v>1568</v>
      </c>
      <c r="D352">
        <v>0</v>
      </c>
      <c r="E352">
        <v>0</v>
      </c>
      <c r="F352">
        <v>0</v>
      </c>
      <c r="G352">
        <v>0</v>
      </c>
      <c r="H352">
        <v>0</v>
      </c>
      <c r="J352">
        <v>3</v>
      </c>
      <c r="K352">
        <v>5</v>
      </c>
    </row>
    <row r="353" spans="2:29">
      <c r="B353" t="s">
        <v>733</v>
      </c>
      <c r="D353">
        <v>17</v>
      </c>
      <c r="E353">
        <v>18</v>
      </c>
      <c r="F353">
        <v>18</v>
      </c>
      <c r="G353">
        <v>17</v>
      </c>
      <c r="H353">
        <v>18</v>
      </c>
      <c r="J353">
        <v>18</v>
      </c>
      <c r="K353">
        <v>18</v>
      </c>
    </row>
    <row r="355" spans="2:29">
      <c r="B355" t="s">
        <v>904</v>
      </c>
    </row>
    <row r="356" spans="2:29">
      <c r="B356" t="s">
        <v>5</v>
      </c>
      <c r="D356">
        <v>31.6</v>
      </c>
      <c r="E356">
        <v>29.1</v>
      </c>
      <c r="F356" s="62">
        <v>27.1</v>
      </c>
      <c r="G356">
        <v>26.3</v>
      </c>
      <c r="H356">
        <v>27.4</v>
      </c>
      <c r="J356">
        <v>27.1</v>
      </c>
      <c r="K356" s="62">
        <v>27.6</v>
      </c>
    </row>
    <row r="357" spans="2:29">
      <c r="B357" t="s">
        <v>1567</v>
      </c>
      <c r="D357">
        <v>131.19999999999999</v>
      </c>
      <c r="E357">
        <v>132.6</v>
      </c>
      <c r="F357">
        <v>125.7</v>
      </c>
      <c r="G357">
        <v>131.1</v>
      </c>
      <c r="H357">
        <v>143.69999999999999</v>
      </c>
      <c r="J357">
        <v>140.19999999999999</v>
      </c>
      <c r="K357">
        <v>149.1</v>
      </c>
    </row>
    <row r="358" spans="2:29">
      <c r="B358" t="s">
        <v>1568</v>
      </c>
      <c r="J358">
        <v>61.4</v>
      </c>
      <c r="K358">
        <v>46.2</v>
      </c>
    </row>
    <row r="359" spans="2:29">
      <c r="B359" t="s">
        <v>733</v>
      </c>
      <c r="D359">
        <v>39</v>
      </c>
      <c r="E359">
        <v>37.5</v>
      </c>
      <c r="F359">
        <v>36.700000000000003</v>
      </c>
      <c r="G359">
        <v>32.4</v>
      </c>
      <c r="H359">
        <v>40.9</v>
      </c>
      <c r="J359">
        <v>47.3</v>
      </c>
      <c r="K359">
        <v>51.7</v>
      </c>
    </row>
    <row r="361" spans="2:29">
      <c r="B361" t="s">
        <v>1570</v>
      </c>
    </row>
    <row r="362" spans="2:29">
      <c r="B362" t="str">
        <f>B356</f>
        <v>Mobile</v>
      </c>
      <c r="E362" s="62">
        <f t="shared" ref="E362:H365" si="41">E356*3*AVERAGE(D350:E350)/1000</f>
        <v>7.2895500000000011</v>
      </c>
      <c r="F362" s="62">
        <f t="shared" si="41"/>
        <v>6.9105000000000008</v>
      </c>
      <c r="G362" s="62">
        <f t="shared" si="41"/>
        <v>6.8248500000000005</v>
      </c>
      <c r="H362" s="62">
        <f t="shared" si="41"/>
        <v>7.1513999999999989</v>
      </c>
      <c r="I362" s="62"/>
      <c r="J362" s="62">
        <f>J356*3*AVERAGE(H350:J350)/1000</f>
        <v>7.1137500000000014</v>
      </c>
      <c r="K362" s="62">
        <f>K356*3*AVERAGE(J350:K350)/1000</f>
        <v>7.245000000000001</v>
      </c>
      <c r="W362" s="5">
        <f>J362/E362-1</f>
        <v>-2.4116715023561053E-2</v>
      </c>
      <c r="X362" s="5">
        <f>K362/F362-1</f>
        <v>4.8404601693075699E-2</v>
      </c>
      <c r="Y362" s="5"/>
      <c r="Z362" s="5"/>
      <c r="AA362" s="5"/>
      <c r="AB362" s="5"/>
      <c r="AC362" s="5"/>
    </row>
    <row r="363" spans="2:29">
      <c r="B363" t="str">
        <f>B357</f>
        <v>BB</v>
      </c>
      <c r="E363" s="62">
        <f t="shared" si="41"/>
        <v>2.7845999999999993</v>
      </c>
      <c r="F363" s="62">
        <f t="shared" si="41"/>
        <v>2.6397000000000004</v>
      </c>
      <c r="G363" s="62">
        <f t="shared" si="41"/>
        <v>2.7530999999999994</v>
      </c>
      <c r="H363" s="62">
        <f t="shared" si="41"/>
        <v>3.0176999999999996</v>
      </c>
      <c r="I363" s="62"/>
      <c r="J363" s="62">
        <f>J357*3*AVERAGE(H351:J351)/1000</f>
        <v>2.9441999999999999</v>
      </c>
      <c r="K363" s="62">
        <f>K357*3*AVERAGE(J351:K351)/1000</f>
        <v>3.1310999999999996</v>
      </c>
      <c r="W363" s="5">
        <f>J363/E363-1</f>
        <v>5.7315233785822262E-2</v>
      </c>
      <c r="X363" s="5">
        <f>K363/F363-1</f>
        <v>0.18615751789976098</v>
      </c>
      <c r="Y363" s="5"/>
      <c r="Z363" s="5"/>
      <c r="AA363" s="5"/>
      <c r="AB363" s="5"/>
      <c r="AC363" s="5"/>
    </row>
    <row r="364" spans="2:29">
      <c r="B364" t="str">
        <f>B358</f>
        <v>Video</v>
      </c>
      <c r="E364" s="62">
        <f t="shared" si="41"/>
        <v>0</v>
      </c>
      <c r="F364" s="62">
        <f t="shared" si="41"/>
        <v>0</v>
      </c>
      <c r="G364" s="62">
        <f t="shared" si="41"/>
        <v>0</v>
      </c>
      <c r="H364" s="62">
        <f t="shared" si="41"/>
        <v>0</v>
      </c>
      <c r="I364" s="62"/>
      <c r="J364" s="62">
        <f>J358*3*AVERAGE(H352:J352)/1000</f>
        <v>0.27629999999999993</v>
      </c>
      <c r="K364" s="62">
        <f>K358*3*AVERAGE(J352:K352)/1000</f>
        <v>0.55440000000000011</v>
      </c>
      <c r="W364" s="5"/>
      <c r="X364" s="5"/>
      <c r="Y364" s="5"/>
      <c r="Z364" s="5"/>
      <c r="AA364" s="5"/>
      <c r="AB364" s="5"/>
      <c r="AC364" s="5"/>
    </row>
    <row r="365" spans="2:29">
      <c r="B365" s="3" t="str">
        <f>B359</f>
        <v>Fixed</v>
      </c>
      <c r="C365" s="3"/>
      <c r="D365" s="3"/>
      <c r="E365" s="554">
        <f t="shared" si="41"/>
        <v>1.96875</v>
      </c>
      <c r="F365" s="554">
        <f t="shared" si="41"/>
        <v>1.9818000000000002</v>
      </c>
      <c r="G365" s="554">
        <f t="shared" si="41"/>
        <v>1.7009999999999998</v>
      </c>
      <c r="H365" s="554">
        <f t="shared" si="41"/>
        <v>2.1472500000000001</v>
      </c>
      <c r="I365" s="554"/>
      <c r="J365" s="554">
        <f>J359*3*AVERAGE(H353:J353)/1000</f>
        <v>2.5541999999999998</v>
      </c>
      <c r="K365" s="554">
        <f>K359*3*AVERAGE(J353:K353)/1000</f>
        <v>2.7918000000000003</v>
      </c>
      <c r="W365" s="512">
        <f>J365/E365-1</f>
        <v>0.2973714285714284</v>
      </c>
      <c r="X365" s="512">
        <f>K365/F365-1</f>
        <v>0.40871934604904636</v>
      </c>
      <c r="Y365" s="5"/>
      <c r="Z365" s="5"/>
      <c r="AA365" s="5"/>
      <c r="AB365" s="5"/>
      <c r="AC365" s="5"/>
    </row>
    <row r="366" spans="2:29">
      <c r="B366" t="s">
        <v>16</v>
      </c>
      <c r="E366" s="62">
        <f>SUM(E362:E365)</f>
        <v>12.042899999999999</v>
      </c>
      <c r="F366" s="62">
        <f>SUM(F362:F365)</f>
        <v>11.532</v>
      </c>
      <c r="G366" s="62">
        <f>SUM(G362:G365)</f>
        <v>11.27895</v>
      </c>
      <c r="H366" s="62">
        <f>SUM(H362:H365)</f>
        <v>12.316349999999998</v>
      </c>
      <c r="I366" s="62"/>
      <c r="J366" s="62">
        <f>SUM(J362:J365)</f>
        <v>12.888450000000001</v>
      </c>
      <c r="K366" s="62">
        <f>SUM(K362:K365)</f>
        <v>13.722300000000001</v>
      </c>
      <c r="W366" s="5">
        <f>J366/E366-1</f>
        <v>7.0211493909274392E-2</v>
      </c>
      <c r="X366" s="5">
        <f>K366/F366-1</f>
        <v>0.18993236212278886</v>
      </c>
      <c r="Y366" s="5"/>
      <c r="Z366" s="5"/>
      <c r="AA366" s="5"/>
      <c r="AB366" s="5"/>
      <c r="AC366" s="5"/>
    </row>
    <row r="368" spans="2:29">
      <c r="B368" t="s">
        <v>1617</v>
      </c>
      <c r="E368" s="16">
        <f>E369-E366</f>
        <v>1.4571000000000005</v>
      </c>
      <c r="F368" s="16">
        <f>F369-F366</f>
        <v>0.46799999999999997</v>
      </c>
      <c r="G368" s="16">
        <f>G369-G366</f>
        <v>1.72105</v>
      </c>
      <c r="H368" s="16">
        <f>H369-H366</f>
        <v>1.6836500000000019</v>
      </c>
      <c r="I368" s="16"/>
      <c r="J368" s="16">
        <f>J369-J366</f>
        <v>0.11154999999999937</v>
      </c>
      <c r="K368" s="567">
        <v>0</v>
      </c>
    </row>
    <row r="369" spans="2:29">
      <c r="B369" t="s">
        <v>1615</v>
      </c>
      <c r="D369" s="595">
        <v>13.5</v>
      </c>
      <c r="E369">
        <f>27-D369</f>
        <v>13.5</v>
      </c>
      <c r="F369" s="595">
        <v>12</v>
      </c>
      <c r="G369" s="62">
        <f>52-D369-E369-F369</f>
        <v>13</v>
      </c>
      <c r="H369" s="555">
        <v>14</v>
      </c>
      <c r="I369" s="555"/>
      <c r="J369">
        <f>27-H369</f>
        <v>13</v>
      </c>
      <c r="K369" s="62">
        <f>K366+K368</f>
        <v>13.722300000000001</v>
      </c>
      <c r="L369" s="62">
        <f>56-H369-J369-K369</f>
        <v>15.277699999999999</v>
      </c>
      <c r="M369" s="16"/>
    </row>
    <row r="370" spans="2:29">
      <c r="B370" t="s">
        <v>8</v>
      </c>
      <c r="D370" s="595">
        <v>5</v>
      </c>
      <c r="E370">
        <f>10-D370</f>
        <v>5</v>
      </c>
      <c r="F370" s="599">
        <v>4.5</v>
      </c>
      <c r="G370" s="16">
        <f>19-D370-E370-F370</f>
        <v>4.5</v>
      </c>
      <c r="H370" s="595">
        <v>5</v>
      </c>
      <c r="I370" s="595"/>
      <c r="J370">
        <f>10-H370</f>
        <v>5</v>
      </c>
      <c r="K370" s="595">
        <v>5.5</v>
      </c>
      <c r="L370" s="16">
        <f>22-H370-J370-K370</f>
        <v>6.5</v>
      </c>
      <c r="M370" s="16"/>
    </row>
    <row r="371" spans="2:29">
      <c r="B371" t="s">
        <v>2076</v>
      </c>
      <c r="D371" s="572">
        <f>D370/D369</f>
        <v>0.37037037037037035</v>
      </c>
      <c r="E371" s="572">
        <f>E370/E369</f>
        <v>0.37037037037037035</v>
      </c>
      <c r="F371" s="572">
        <f>F370/F369</f>
        <v>0.375</v>
      </c>
      <c r="G371" s="572">
        <f>G370/G369</f>
        <v>0.34615384615384615</v>
      </c>
      <c r="H371" s="572">
        <f>H370/H369</f>
        <v>0.35714285714285715</v>
      </c>
      <c r="I371" s="572"/>
      <c r="J371" s="572">
        <f>J370/J369</f>
        <v>0.38461538461538464</v>
      </c>
      <c r="K371" s="572">
        <f>K370/K369</f>
        <v>0.40080744481610225</v>
      </c>
      <c r="L371" s="572">
        <f>L370/L369</f>
        <v>0.4254567114159854</v>
      </c>
      <c r="M371" s="16"/>
    </row>
    <row r="372" spans="2:29">
      <c r="B372" t="s">
        <v>19</v>
      </c>
      <c r="D372" s="595">
        <v>2</v>
      </c>
      <c r="E372">
        <f>4-D372</f>
        <v>2</v>
      </c>
      <c r="F372" s="595">
        <v>4</v>
      </c>
      <c r="G372">
        <f>8-F372</f>
        <v>4</v>
      </c>
      <c r="H372" s="595">
        <v>3</v>
      </c>
      <c r="I372" s="595"/>
      <c r="J372">
        <f>6-H372</f>
        <v>3</v>
      </c>
      <c r="K372" s="595">
        <v>3</v>
      </c>
      <c r="L372" s="595">
        <v>3</v>
      </c>
      <c r="M372" s="16"/>
    </row>
    <row r="373" spans="2:29">
      <c r="B373" t="s">
        <v>91</v>
      </c>
      <c r="D373" s="572">
        <f>D372/D369</f>
        <v>0.14814814814814814</v>
      </c>
      <c r="E373" s="572">
        <f>E372/E369</f>
        <v>0.14814814814814814</v>
      </c>
      <c r="F373" s="572">
        <f>F372/F369</f>
        <v>0.33333333333333331</v>
      </c>
      <c r="G373" s="572">
        <f>G372/G369</f>
        <v>0.30769230769230771</v>
      </c>
      <c r="H373" s="572">
        <f>H372/H369</f>
        <v>0.21428571428571427</v>
      </c>
      <c r="I373" s="572"/>
      <c r="J373" s="572">
        <f>J372/J369</f>
        <v>0.23076923076923078</v>
      </c>
      <c r="K373" s="572">
        <f>K372/K369</f>
        <v>0.21862224262696486</v>
      </c>
      <c r="L373" s="572">
        <f>L372/L369</f>
        <v>0.19636463603814711</v>
      </c>
      <c r="M373" s="16"/>
    </row>
    <row r="375" spans="2:29">
      <c r="B375" s="552" t="s">
        <v>16</v>
      </c>
      <c r="C375" s="553">
        <f t="shared" ref="C375:H375" si="42">C348</f>
        <v>41699</v>
      </c>
      <c r="D375" s="553">
        <f t="shared" si="42"/>
        <v>41791</v>
      </c>
      <c r="E375" s="553">
        <f t="shared" si="42"/>
        <v>41883</v>
      </c>
      <c r="F375" s="553">
        <f t="shared" si="42"/>
        <v>41974</v>
      </c>
      <c r="G375" s="553">
        <f t="shared" si="42"/>
        <v>42064</v>
      </c>
      <c r="H375" s="553">
        <f t="shared" si="42"/>
        <v>42156</v>
      </c>
      <c r="I375" s="553"/>
      <c r="J375" s="553">
        <f t="shared" ref="J375:S375" si="43">J348</f>
        <v>42248</v>
      </c>
      <c r="K375" s="553">
        <f t="shared" si="43"/>
        <v>42339</v>
      </c>
      <c r="L375" s="553">
        <f t="shared" si="43"/>
        <v>42430</v>
      </c>
      <c r="M375" s="553">
        <f t="shared" si="43"/>
        <v>42522</v>
      </c>
      <c r="N375" s="553">
        <f t="shared" si="43"/>
        <v>42614</v>
      </c>
      <c r="O375" s="553">
        <f t="shared" si="43"/>
        <v>42705</v>
      </c>
      <c r="P375" s="553">
        <f t="shared" si="43"/>
        <v>42795</v>
      </c>
      <c r="Q375" s="553">
        <f t="shared" si="43"/>
        <v>42887</v>
      </c>
      <c r="R375" s="553">
        <f t="shared" si="43"/>
        <v>42979</v>
      </c>
      <c r="S375" s="553">
        <f t="shared" si="43"/>
        <v>43070</v>
      </c>
      <c r="V375" s="564">
        <f>H375</f>
        <v>42156</v>
      </c>
      <c r="W375" s="564">
        <f t="shared" ref="W375:AC375" si="44">J375</f>
        <v>42248</v>
      </c>
      <c r="X375" s="564">
        <f t="shared" si="44"/>
        <v>42339</v>
      </c>
      <c r="Y375" s="564">
        <f t="shared" si="44"/>
        <v>42430</v>
      </c>
      <c r="Z375" s="564">
        <f t="shared" si="44"/>
        <v>42522</v>
      </c>
      <c r="AA375" s="564">
        <f t="shared" si="44"/>
        <v>42614</v>
      </c>
      <c r="AB375" s="564">
        <f t="shared" si="44"/>
        <v>42705</v>
      </c>
      <c r="AC375" s="564">
        <f t="shared" si="44"/>
        <v>42795</v>
      </c>
    </row>
    <row r="376" spans="2:29">
      <c r="B376" t="s">
        <v>1569</v>
      </c>
    </row>
    <row r="377" spans="2:29">
      <c r="B377" t="s">
        <v>5</v>
      </c>
      <c r="F377">
        <f>F269+F296+F323+F350</f>
        <v>3979</v>
      </c>
      <c r="J377">
        <f t="shared" ref="J377:K380" si="45">J269+J296+J323+J350</f>
        <v>4096</v>
      </c>
      <c r="K377">
        <f t="shared" si="45"/>
        <v>4109</v>
      </c>
    </row>
    <row r="378" spans="2:29">
      <c r="B378" t="s">
        <v>1567</v>
      </c>
      <c r="F378">
        <f>F270+F297+F324+F351</f>
        <v>648</v>
      </c>
      <c r="J378">
        <f t="shared" si="45"/>
        <v>681</v>
      </c>
      <c r="K378">
        <f t="shared" si="45"/>
        <v>690</v>
      </c>
    </row>
    <row r="379" spans="2:29">
      <c r="B379" t="s">
        <v>1568</v>
      </c>
      <c r="F379">
        <f>F271+F298+F325+F352</f>
        <v>456</v>
      </c>
      <c r="J379">
        <f t="shared" si="45"/>
        <v>465</v>
      </c>
      <c r="K379">
        <f t="shared" si="45"/>
        <v>474</v>
      </c>
    </row>
    <row r="380" spans="2:29">
      <c r="B380" t="s">
        <v>733</v>
      </c>
      <c r="F380">
        <f>F272+F299+F326+F353</f>
        <v>1129</v>
      </c>
      <c r="J380">
        <f t="shared" si="45"/>
        <v>1129</v>
      </c>
      <c r="K380">
        <f t="shared" si="45"/>
        <v>1127</v>
      </c>
    </row>
    <row r="382" spans="2:29">
      <c r="B382" t="s">
        <v>904</v>
      </c>
    </row>
    <row r="383" spans="2:29">
      <c r="B383" t="s">
        <v>5</v>
      </c>
      <c r="F383" s="62">
        <v>20</v>
      </c>
      <c r="J383">
        <v>19.100000000000001</v>
      </c>
      <c r="K383" s="62">
        <v>19</v>
      </c>
    </row>
    <row r="384" spans="2:29">
      <c r="B384" t="s">
        <v>1567</v>
      </c>
      <c r="F384">
        <v>34.4</v>
      </c>
      <c r="J384">
        <v>34</v>
      </c>
      <c r="K384">
        <v>33.9</v>
      </c>
    </row>
    <row r="385" spans="2:29">
      <c r="B385" t="s">
        <v>1568</v>
      </c>
      <c r="F385">
        <v>34.700000000000003</v>
      </c>
      <c r="J385">
        <v>37.1</v>
      </c>
      <c r="K385">
        <v>36.700000000000003</v>
      </c>
    </row>
    <row r="386" spans="2:29">
      <c r="B386" t="s">
        <v>7</v>
      </c>
      <c r="F386">
        <v>28.6</v>
      </c>
      <c r="J386">
        <v>28.9</v>
      </c>
      <c r="K386">
        <v>25.7</v>
      </c>
    </row>
    <row r="388" spans="2:29">
      <c r="B388" t="s">
        <v>1570</v>
      </c>
    </row>
    <row r="389" spans="2:29">
      <c r="B389" t="str">
        <f>B383</f>
        <v>Mobile</v>
      </c>
      <c r="E389" s="62">
        <f t="shared" ref="E389:H392" si="46">E281+E308+E335+E362</f>
        <v>226.43895000000001</v>
      </c>
      <c r="F389" s="62">
        <f t="shared" si="46"/>
        <v>228.31950000000001</v>
      </c>
      <c r="G389" s="62">
        <f t="shared" si="46"/>
        <v>227.84174999999996</v>
      </c>
      <c r="H389" s="62">
        <f t="shared" si="46"/>
        <v>225.73904999999999</v>
      </c>
      <c r="I389" s="62"/>
      <c r="J389" s="62">
        <f t="shared" ref="J389:K392" si="47">J281+J308+J335+J362</f>
        <v>228.03765000000001</v>
      </c>
      <c r="K389" s="62">
        <f t="shared" si="47"/>
        <v>231.47040000000004</v>
      </c>
      <c r="M389" s="5">
        <f>H407/D407-1</f>
        <v>-5.0189537528430139E-2</v>
      </c>
      <c r="N389" s="5">
        <f>J407/E407-1</f>
        <v>0.13500000000000001</v>
      </c>
      <c r="O389" s="5">
        <f>K407/F407-1</f>
        <v>0.15999999999999992</v>
      </c>
      <c r="P389" s="5">
        <f>L407/G407-1</f>
        <v>0.18693069306930665</v>
      </c>
      <c r="W389" s="5">
        <f t="shared" ref="W389:X393" si="48">J389/E389-1</f>
        <v>7.0601811216666199E-3</v>
      </c>
      <c r="X389" s="5">
        <f t="shared" si="48"/>
        <v>1.3800398126309954E-2</v>
      </c>
      <c r="Y389" s="5"/>
      <c r="Z389" s="5"/>
      <c r="AA389" s="5"/>
      <c r="AB389" s="5"/>
      <c r="AC389" s="5"/>
    </row>
    <row r="390" spans="2:29">
      <c r="B390" t="str">
        <f>B384</f>
        <v>BB</v>
      </c>
      <c r="E390" s="62">
        <f t="shared" si="46"/>
        <v>63.396450000000002</v>
      </c>
      <c r="F390" s="62">
        <f t="shared" si="46"/>
        <v>64.020150000000001</v>
      </c>
      <c r="G390" s="62">
        <f t="shared" si="46"/>
        <v>64.553100000000001</v>
      </c>
      <c r="H390" s="62">
        <f t="shared" si="46"/>
        <v>67.230899999999991</v>
      </c>
      <c r="I390" s="62"/>
      <c r="J390" s="62">
        <f t="shared" si="47"/>
        <v>68.052449999999993</v>
      </c>
      <c r="K390" s="62">
        <f t="shared" si="47"/>
        <v>70.402500000000003</v>
      </c>
      <c r="W390" s="5">
        <f t="shared" si="48"/>
        <v>7.3442598126551184E-2</v>
      </c>
      <c r="X390" s="5">
        <f t="shared" si="48"/>
        <v>9.9692831085212985E-2</v>
      </c>
      <c r="Y390" s="5"/>
      <c r="Z390" s="5"/>
      <c r="AA390" s="5"/>
      <c r="AB390" s="5"/>
      <c r="AC390" s="5"/>
    </row>
    <row r="391" spans="2:29">
      <c r="B391" t="str">
        <f>B385</f>
        <v>Video</v>
      </c>
      <c r="E391" s="62">
        <f t="shared" si="46"/>
        <v>49.499849999999995</v>
      </c>
      <c r="F391" s="62">
        <f t="shared" si="46"/>
        <v>48.760649999999998</v>
      </c>
      <c r="G391" s="62">
        <f t="shared" si="46"/>
        <v>49.754399999999997</v>
      </c>
      <c r="H391" s="62">
        <f t="shared" si="46"/>
        <v>50.168699999999994</v>
      </c>
      <c r="I391" s="62"/>
      <c r="J391" s="62">
        <f t="shared" si="47"/>
        <v>50.295299999999997</v>
      </c>
      <c r="K391" s="62">
        <f t="shared" si="47"/>
        <v>49.896900000000002</v>
      </c>
      <c r="W391" s="5">
        <f t="shared" si="48"/>
        <v>1.6069745665896029E-2</v>
      </c>
      <c r="X391" s="5">
        <f t="shared" si="48"/>
        <v>2.3302601585499794E-2</v>
      </c>
      <c r="Y391" s="5"/>
      <c r="Z391" s="5"/>
      <c r="AA391" s="5"/>
      <c r="AB391" s="5"/>
      <c r="AC391" s="5"/>
    </row>
    <row r="392" spans="2:29">
      <c r="B392" s="3" t="str">
        <f>B386</f>
        <v>Fixed voice</v>
      </c>
      <c r="C392" s="3"/>
      <c r="D392" s="3"/>
      <c r="E392" s="554">
        <f t="shared" si="46"/>
        <v>93.110100000000017</v>
      </c>
      <c r="F392" s="554">
        <f t="shared" si="46"/>
        <v>93.8583</v>
      </c>
      <c r="G392" s="554">
        <f t="shared" si="46"/>
        <v>92.948849999999993</v>
      </c>
      <c r="H392" s="554">
        <f t="shared" si="46"/>
        <v>89.445000000000007</v>
      </c>
      <c r="I392" s="554"/>
      <c r="J392" s="554">
        <f t="shared" si="47"/>
        <v>92.373900000000006</v>
      </c>
      <c r="K392" s="554">
        <f t="shared" si="47"/>
        <v>88.63454999999999</v>
      </c>
      <c r="L392" s="3"/>
      <c r="W392" s="512">
        <f t="shared" si="48"/>
        <v>-7.9067684386550097E-3</v>
      </c>
      <c r="X392" s="512">
        <f t="shared" si="48"/>
        <v>-5.5655706527819149E-2</v>
      </c>
      <c r="Y392" s="5"/>
      <c r="Z392" s="5"/>
      <c r="AA392" s="5"/>
      <c r="AB392" s="5"/>
      <c r="AC392" s="5"/>
    </row>
    <row r="393" spans="2:29">
      <c r="B393" t="s">
        <v>16</v>
      </c>
      <c r="E393" s="62">
        <f>SUM(E389:E392)</f>
        <v>432.44534999999996</v>
      </c>
      <c r="F393" s="62">
        <f>SUM(F389:F392)</f>
        <v>434.95859999999999</v>
      </c>
      <c r="G393" s="62">
        <f>SUM(G389:G392)</f>
        <v>435.09809999999993</v>
      </c>
      <c r="H393" s="62">
        <f>SUM(H389:H392)</f>
        <v>432.58364999999998</v>
      </c>
      <c r="I393" s="62"/>
      <c r="J393" s="62">
        <f>SUM(J389:J392)</f>
        <v>438.7593</v>
      </c>
      <c r="K393" s="62">
        <f>SUM(K389:K392)</f>
        <v>440.40435000000008</v>
      </c>
      <c r="M393" s="565"/>
      <c r="W393" s="5">
        <f t="shared" si="48"/>
        <v>1.4600573228501723E-2</v>
      </c>
      <c r="X393" s="5">
        <f t="shared" si="48"/>
        <v>1.2520157090812889E-2</v>
      </c>
      <c r="Y393" s="569">
        <v>0.02</v>
      </c>
      <c r="Z393" s="5"/>
      <c r="AA393" s="5"/>
      <c r="AB393" s="5"/>
      <c r="AC393" s="5"/>
    </row>
    <row r="394" spans="2:29">
      <c r="E394" s="62"/>
      <c r="F394" s="62"/>
      <c r="G394" s="62"/>
      <c r="H394" s="62"/>
      <c r="I394" s="62"/>
      <c r="J394" s="62"/>
      <c r="K394" s="62"/>
      <c r="M394" s="565"/>
      <c r="W394" s="5"/>
      <c r="X394" s="5"/>
      <c r="Y394" s="569"/>
      <c r="Z394" s="5"/>
      <c r="AA394" s="5"/>
      <c r="AB394" s="5"/>
      <c r="AC394" s="5"/>
    </row>
    <row r="395" spans="2:29">
      <c r="B395" s="12" t="s">
        <v>52</v>
      </c>
      <c r="C395" s="12"/>
    </row>
    <row r="396" spans="2:29">
      <c r="B396" t="s">
        <v>15</v>
      </c>
      <c r="D396" s="595">
        <v>58</v>
      </c>
      <c r="E396">
        <f>120-D396</f>
        <v>62</v>
      </c>
      <c r="F396" s="595">
        <v>66</v>
      </c>
      <c r="G396" s="595">
        <v>67</v>
      </c>
      <c r="H396" s="555">
        <v>66</v>
      </c>
      <c r="I396" s="555"/>
      <c r="J396">
        <f>130-H396</f>
        <v>64</v>
      </c>
      <c r="K396" s="555">
        <v>66</v>
      </c>
      <c r="L396">
        <f>263-H396-J396-K396</f>
        <v>67</v>
      </c>
      <c r="V396" s="5">
        <f>H396/D396-1</f>
        <v>0.13793103448275867</v>
      </c>
      <c r="W396" s="5">
        <f>J396/E396-1</f>
        <v>3.2258064516129004E-2</v>
      </c>
      <c r="X396" s="5">
        <f>K396/F396-1</f>
        <v>0</v>
      </c>
      <c r="Y396" s="5">
        <f>L396/G396-1</f>
        <v>0</v>
      </c>
      <c r="Z396" s="5"/>
      <c r="AA396" s="5"/>
      <c r="AB396" s="5"/>
      <c r="AC396" s="5"/>
    </row>
    <row r="397" spans="2:29">
      <c r="B397" t="s">
        <v>8</v>
      </c>
      <c r="D397" s="595">
        <v>28</v>
      </c>
      <c r="E397">
        <f>57-D397</f>
        <v>29</v>
      </c>
      <c r="F397" s="595">
        <v>28</v>
      </c>
      <c r="G397" s="595">
        <v>28</v>
      </c>
      <c r="H397" s="555">
        <v>27</v>
      </c>
      <c r="I397" s="555"/>
      <c r="J397">
        <f>54-H397</f>
        <v>27</v>
      </c>
      <c r="K397" s="555">
        <v>35</v>
      </c>
      <c r="L397">
        <f>125-H397-J397-K397</f>
        <v>36</v>
      </c>
      <c r="W397" s="5"/>
      <c r="X397" s="5"/>
      <c r="Y397" s="5"/>
      <c r="Z397" s="5"/>
      <c r="AA397" s="5"/>
      <c r="AB397" s="5"/>
      <c r="AC397" s="5"/>
    </row>
    <row r="398" spans="2:29">
      <c r="B398" t="s">
        <v>251</v>
      </c>
      <c r="D398" s="572">
        <f>D397/D396</f>
        <v>0.48275862068965519</v>
      </c>
      <c r="E398" s="572">
        <f>E397/E396</f>
        <v>0.46774193548387094</v>
      </c>
      <c r="F398" s="572">
        <f>F397/F396</f>
        <v>0.42424242424242425</v>
      </c>
      <c r="G398" s="572">
        <f>G397/G396</f>
        <v>0.41791044776119401</v>
      </c>
      <c r="H398" s="572">
        <f>H397/H396</f>
        <v>0.40909090909090912</v>
      </c>
      <c r="I398" s="572"/>
      <c r="J398" s="572">
        <f>J397/J396</f>
        <v>0.421875</v>
      </c>
      <c r="K398" s="572">
        <f>K397/K396</f>
        <v>0.53030303030303028</v>
      </c>
      <c r="L398" s="572">
        <f>L397/L396</f>
        <v>0.53731343283582089</v>
      </c>
      <c r="W398" s="5"/>
      <c r="X398" s="5"/>
      <c r="Y398" s="5"/>
      <c r="Z398" s="5"/>
      <c r="AA398" s="5"/>
      <c r="AB398" s="5"/>
      <c r="AC398" s="5"/>
    </row>
    <row r="399" spans="2:29">
      <c r="B399" t="s">
        <v>19</v>
      </c>
      <c r="D399" s="595">
        <v>20</v>
      </c>
      <c r="E399">
        <f>41-D399</f>
        <v>21</v>
      </c>
      <c r="F399" s="595">
        <v>25</v>
      </c>
      <c r="G399" s="595">
        <v>25</v>
      </c>
      <c r="H399" s="595">
        <v>17</v>
      </c>
      <c r="I399" s="595"/>
      <c r="J399">
        <f>34-H399</f>
        <v>17</v>
      </c>
      <c r="K399" s="595">
        <v>18</v>
      </c>
      <c r="L399" s="595">
        <v>17</v>
      </c>
      <c r="W399" s="5"/>
      <c r="X399" s="5"/>
      <c r="Y399" s="5"/>
      <c r="Z399" s="5"/>
      <c r="AA399" s="5"/>
      <c r="AB399" s="5"/>
      <c r="AC399" s="5"/>
    </row>
    <row r="400" spans="2:29">
      <c r="B400" t="s">
        <v>91</v>
      </c>
      <c r="D400" s="572">
        <f>D399/D396</f>
        <v>0.34482758620689657</v>
      </c>
      <c r="E400" s="572">
        <f>E399/E396</f>
        <v>0.33870967741935482</v>
      </c>
      <c r="F400" s="572">
        <f>F399/F396</f>
        <v>0.37878787878787878</v>
      </c>
      <c r="G400" s="572">
        <f>G399/G396</f>
        <v>0.37313432835820898</v>
      </c>
      <c r="H400" s="572">
        <f>H399/H396</f>
        <v>0.25757575757575757</v>
      </c>
      <c r="I400" s="572"/>
      <c r="J400" s="572">
        <f>J399/J396</f>
        <v>0.265625</v>
      </c>
      <c r="K400" s="572">
        <f>K399/K396</f>
        <v>0.27272727272727271</v>
      </c>
      <c r="L400" s="572">
        <f>L399/L396</f>
        <v>0.2537313432835821</v>
      </c>
      <c r="W400" s="5"/>
      <c r="X400" s="5"/>
      <c r="Y400" s="5"/>
      <c r="Z400" s="5"/>
      <c r="AA400" s="5"/>
      <c r="AB400" s="5"/>
      <c r="AC400" s="5"/>
    </row>
    <row r="401" spans="2:32">
      <c r="D401" s="595"/>
      <c r="W401" s="5"/>
      <c r="X401" s="5"/>
      <c r="Y401" s="5"/>
      <c r="Z401" s="5"/>
      <c r="AA401" s="5"/>
      <c r="AB401" s="5"/>
      <c r="AC401" s="5"/>
    </row>
    <row r="402" spans="2:32">
      <c r="B402" s="3" t="s">
        <v>4</v>
      </c>
      <c r="C402" s="3"/>
      <c r="D402" s="64">
        <f>D403-D396-D369-D342-D315-D288</f>
        <v>-0.92307692307690559</v>
      </c>
      <c r="E402" s="64">
        <f>E403-E396-E369-E342-E315-E288</f>
        <v>-3.0769230769230944</v>
      </c>
      <c r="F402" s="64">
        <f>F403-F396-F369-F342-F315-F288</f>
        <v>-1.8910891089109327</v>
      </c>
      <c r="G402" s="64">
        <f>G403-G396-G369-G342-G315-G288</f>
        <v>-4.040350656024998</v>
      </c>
      <c r="H402" s="64">
        <f>H403-H396-H369-H342-H315-H288</f>
        <v>-6</v>
      </c>
      <c r="I402" s="64"/>
      <c r="J402" s="64">
        <f>J403-J396-J369-J342-J315-J288</f>
        <v>-3</v>
      </c>
      <c r="K402" s="64">
        <f>K403-K396-K369-K342-K315-K288</f>
        <v>-6.8685000000000116</v>
      </c>
      <c r="L402" s="64">
        <f>L403-L396-L369-L342-L315-L288</f>
        <v>-5.1314999999999884</v>
      </c>
      <c r="M402" s="3"/>
      <c r="N402" s="3"/>
      <c r="O402" s="3"/>
      <c r="P402" s="3"/>
      <c r="V402" s="564">
        <f>V375</f>
        <v>42156</v>
      </c>
      <c r="W402" s="564">
        <f>W375</f>
        <v>42248</v>
      </c>
      <c r="X402" s="564">
        <f>X375</f>
        <v>42339</v>
      </c>
      <c r="Y402" s="564">
        <f>Y375</f>
        <v>42430</v>
      </c>
      <c r="Z402" s="564">
        <f>AA402</f>
        <v>42522</v>
      </c>
      <c r="AA402" s="564">
        <f>Z375</f>
        <v>42522</v>
      </c>
      <c r="AB402" s="564">
        <f>AA375</f>
        <v>42614</v>
      </c>
      <c r="AC402" s="564">
        <f>AB375</f>
        <v>42705</v>
      </c>
      <c r="AD402" s="564">
        <f>AC375</f>
        <v>42795</v>
      </c>
    </row>
    <row r="403" spans="2:32">
      <c r="B403" s="12" t="s">
        <v>1614</v>
      </c>
      <c r="C403" s="12"/>
      <c r="D403" s="600">
        <f>H403/(1+V403)</f>
        <v>560.57692307692309</v>
      </c>
      <c r="E403" s="600">
        <f>1132-D403</f>
        <v>571.42307692307691</v>
      </c>
      <c r="F403" s="600">
        <f>K403/1.01</f>
        <v>589.10891089108907</v>
      </c>
      <c r="G403" s="600">
        <f>2379/1.021-D403-E403-F403</f>
        <v>608.959649343975</v>
      </c>
      <c r="H403" s="600">
        <v>583</v>
      </c>
      <c r="I403" s="600"/>
      <c r="J403" s="600">
        <f>1179-H403</f>
        <v>596</v>
      </c>
      <c r="K403" s="600">
        <v>595</v>
      </c>
      <c r="L403" s="600">
        <f>2379-H403-J403-K403</f>
        <v>605</v>
      </c>
      <c r="M403" s="600">
        <f>(1+AA403)*H403</f>
        <v>583</v>
      </c>
      <c r="N403" s="600">
        <f>(1+AB403)*J403</f>
        <v>607.91999999999996</v>
      </c>
      <c r="O403" s="600">
        <f>(1+AC403)*K403</f>
        <v>612.85</v>
      </c>
      <c r="P403" s="600" t="e">
        <f>Master!#REF!-M403-N403-O403</f>
        <v>#REF!</v>
      </c>
      <c r="R403" s="16"/>
      <c r="S403" s="16"/>
      <c r="T403" s="16"/>
      <c r="U403" s="594" t="s">
        <v>1153</v>
      </c>
      <c r="V403" s="5">
        <v>0.04</v>
      </c>
      <c r="W403" s="5">
        <f>J403/E403-1</f>
        <v>4.3010028942586098E-2</v>
      </c>
      <c r="X403" s="5">
        <f>K403/F403-1</f>
        <v>1.0000000000000009E-2</v>
      </c>
      <c r="Y403" s="5">
        <f>L403/G403-1</f>
        <v>-6.502318089943504E-3</v>
      </c>
      <c r="AA403" s="34">
        <v>0</v>
      </c>
      <c r="AB403" s="34">
        <v>0.02</v>
      </c>
      <c r="AC403" s="34">
        <v>0.03</v>
      </c>
      <c r="AD403" s="5">
        <f>O403/K403-1</f>
        <v>3.0000000000000027E-2</v>
      </c>
      <c r="AF403" s="5">
        <f>SUM(H403:K403)/SUM(D403:F403)-1</f>
        <v>3.0730820562381966E-2</v>
      </c>
    </row>
    <row r="404" spans="2:32">
      <c r="B404" s="488" t="s">
        <v>2070</v>
      </c>
      <c r="F404" s="16">
        <f>F287+F314+F341+F368</f>
        <v>90.041400000000024</v>
      </c>
      <c r="G404" s="16"/>
      <c r="H404" s="16">
        <f>H287+H314+H341+H368</f>
        <v>90.416350000000037</v>
      </c>
      <c r="I404" s="16"/>
      <c r="J404" s="16">
        <f>J287+J314+J341+J368</f>
        <v>96.240700000000004</v>
      </c>
      <c r="K404" s="16">
        <f>K403-K402-K396-K393</f>
        <v>95.464149999999961</v>
      </c>
      <c r="X404" s="5">
        <f>SUM(H403:K403)/SUM(D403:F403)-1</f>
        <v>3.0730820562381966E-2</v>
      </c>
      <c r="Y404" s="5"/>
      <c r="AA404" s="5"/>
      <c r="AB404" s="5"/>
      <c r="AC404" s="5"/>
      <c r="AD404" s="5"/>
    </row>
    <row r="405" spans="2:32">
      <c r="D405" s="16"/>
      <c r="E405" s="16"/>
      <c r="F405" s="16"/>
      <c r="G405" s="16"/>
      <c r="H405" s="16"/>
      <c r="I405" s="16"/>
      <c r="J405" s="16"/>
      <c r="K405" s="16"/>
      <c r="L405" s="16"/>
      <c r="M405" s="16"/>
      <c r="N405" s="16"/>
      <c r="O405" s="16"/>
      <c r="P405" s="16"/>
      <c r="R405" s="16"/>
      <c r="S405" s="16"/>
      <c r="T405" s="16"/>
      <c r="U405" s="594"/>
      <c r="V405" s="5"/>
      <c r="W405" s="5"/>
      <c r="X405" s="5"/>
      <c r="Y405" s="5"/>
      <c r="AA405" s="34"/>
      <c r="AB405" s="34"/>
      <c r="AC405" s="34"/>
      <c r="AD405" s="5"/>
      <c r="AF405" s="5"/>
    </row>
    <row r="406" spans="2:32">
      <c r="B406" t="s">
        <v>2069</v>
      </c>
      <c r="D406" s="16">
        <f>D407-D397-D370-D343-D316-D289</f>
        <v>3.5683269476371891</v>
      </c>
      <c r="E406" s="16">
        <f>E407-E397-E370-E343-E316-E289</f>
        <v>-12</v>
      </c>
      <c r="F406" s="16">
        <f>F407-F397-F370-F343-F316-F289</f>
        <v>-14.327586206896541</v>
      </c>
      <c r="G406" s="16">
        <f>G407-G397-G370-G343-G316-G289</f>
        <v>-3.0515515515515119</v>
      </c>
      <c r="H406" s="16">
        <f>H407-H397-H370-H343-H316-H289</f>
        <v>-22</v>
      </c>
      <c r="I406" s="16"/>
      <c r="J406" s="16">
        <f>J407-J397-J370-J343-J316-J289</f>
        <v>3</v>
      </c>
      <c r="K406" s="16">
        <f>K407-K397-K370-K343-K316-K289</f>
        <v>-18.5</v>
      </c>
      <c r="L406" s="16">
        <f>L407-L397-L370-L343-L316-L289</f>
        <v>4.5</v>
      </c>
      <c r="M406" s="16"/>
      <c r="N406" s="16"/>
      <c r="O406" s="16"/>
      <c r="P406" s="16"/>
      <c r="R406" s="16"/>
      <c r="S406" s="16"/>
      <c r="T406" s="16"/>
      <c r="U406" s="594"/>
      <c r="V406" s="5"/>
      <c r="W406" s="5"/>
      <c r="X406" s="5"/>
      <c r="Y406" s="5"/>
      <c r="AA406" s="5"/>
      <c r="AB406" s="5"/>
      <c r="AC406" s="5"/>
      <c r="AD406" s="5"/>
      <c r="AF406" s="5"/>
    </row>
    <row r="407" spans="2:32">
      <c r="B407" s="12" t="s">
        <v>8</v>
      </c>
      <c r="C407" s="12"/>
      <c r="D407" s="600">
        <f>665/(1+8%)-E407-F407</f>
        <v>210.56832694763719</v>
      </c>
      <c r="E407" s="601">
        <v>200</v>
      </c>
      <c r="F407" s="600">
        <f>K407/(1+X407)</f>
        <v>205.17241379310346</v>
      </c>
      <c r="G407" s="600">
        <f>950/1.11-D407-E407-F407</f>
        <v>240.11511511511517</v>
      </c>
      <c r="H407" s="609">
        <v>200</v>
      </c>
      <c r="I407" s="609"/>
      <c r="J407" s="12">
        <f>427-H407</f>
        <v>227</v>
      </c>
      <c r="K407" s="12">
        <v>238</v>
      </c>
      <c r="L407" s="12">
        <f>950-H407-J407-K407</f>
        <v>285</v>
      </c>
      <c r="M407" s="600">
        <f>M408*M403</f>
        <v>244.85999999999999</v>
      </c>
      <c r="N407" s="600">
        <f>N408*N403</f>
        <v>255.32639999999998</v>
      </c>
      <c r="O407" s="600">
        <f>O408*O403</f>
        <v>263.52550000000002</v>
      </c>
      <c r="P407" s="600" t="e">
        <f>Master!#REF!-M407-N407-O407</f>
        <v>#REF!</v>
      </c>
      <c r="R407" s="16"/>
      <c r="S407" s="16"/>
      <c r="T407" s="16"/>
      <c r="U407" s="16"/>
      <c r="V407" s="5">
        <f>H407/D407-1</f>
        <v>-5.0189537528430139E-2</v>
      </c>
      <c r="W407" s="5">
        <f>J407/E407-1</f>
        <v>0.13500000000000001</v>
      </c>
      <c r="X407" s="34">
        <v>0.16</v>
      </c>
      <c r="Y407" s="34">
        <v>0.19</v>
      </c>
      <c r="AA407" s="5">
        <f>M407/H407-1</f>
        <v>0.22429999999999994</v>
      </c>
      <c r="AB407" s="5">
        <f>N407/J407-1</f>
        <v>0.12478590308370041</v>
      </c>
      <c r="AC407" s="5">
        <f>O407/K407-1</f>
        <v>0.10725000000000007</v>
      </c>
      <c r="AD407" s="5" t="e">
        <f>P407/L407-1</f>
        <v>#REF!</v>
      </c>
      <c r="AF407" s="5">
        <f>SUM(H407:K407)/SUM(D407:F407)-1</f>
        <v>8.0000000000000071E-2</v>
      </c>
    </row>
    <row r="408" spans="2:32">
      <c r="B408" t="s">
        <v>251</v>
      </c>
      <c r="D408" s="6">
        <f>D407/D403</f>
        <v>0.37562789026679705</v>
      </c>
      <c r="E408" s="6">
        <f>E407/E403</f>
        <v>0.35000336541697519</v>
      </c>
      <c r="F408" s="6">
        <f>F407/F403</f>
        <v>0.34827586206896555</v>
      </c>
      <c r="G408" s="6">
        <f>G407/G403</f>
        <v>0.39430381860898062</v>
      </c>
      <c r="H408" s="6">
        <f>H407/H403</f>
        <v>0.34305317324185247</v>
      </c>
      <c r="I408" s="6"/>
      <c r="J408" s="6">
        <f>J407/J403</f>
        <v>0.38087248322147649</v>
      </c>
      <c r="K408" s="6">
        <f>K407/K403</f>
        <v>0.4</v>
      </c>
      <c r="L408" s="6">
        <f>L407/L403</f>
        <v>0.47107438016528924</v>
      </c>
      <c r="M408" s="35">
        <v>0.42</v>
      </c>
      <c r="N408" s="35">
        <v>0.42</v>
      </c>
      <c r="O408" s="35">
        <v>0.43</v>
      </c>
      <c r="P408" s="6" t="e">
        <f>P407/P403</f>
        <v>#REF!</v>
      </c>
      <c r="R408" s="6"/>
      <c r="S408" s="6"/>
      <c r="T408" s="6"/>
      <c r="U408" s="6"/>
      <c r="Y408" s="5">
        <f>AVERAGE(V407:Y407)</f>
        <v>0.10870261561789246</v>
      </c>
    </row>
    <row r="409" spans="2:32">
      <c r="K409" s="5"/>
      <c r="L409" s="5"/>
      <c r="V409" s="5">
        <v>0.04</v>
      </c>
      <c r="W409" s="5">
        <v>0.04</v>
      </c>
      <c r="X409" s="5">
        <v>0.01</v>
      </c>
      <c r="Y409" s="5">
        <v>-0.01</v>
      </c>
    </row>
    <row r="410" spans="2:32">
      <c r="B410" t="s">
        <v>2078</v>
      </c>
      <c r="H410" s="36">
        <v>25</v>
      </c>
      <c r="I410" s="36"/>
      <c r="J410" s="36">
        <v>25</v>
      </c>
      <c r="K410" s="36">
        <v>62</v>
      </c>
      <c r="L410" s="36">
        <v>87</v>
      </c>
      <c r="M410" s="36">
        <v>100</v>
      </c>
      <c r="N410" s="36">
        <v>120</v>
      </c>
      <c r="O410" s="36">
        <v>125</v>
      </c>
      <c r="P410" s="36">
        <v>125</v>
      </c>
      <c r="V410" s="5"/>
      <c r="W410" s="5"/>
      <c r="X410" s="5"/>
      <c r="Y410" s="5"/>
    </row>
    <row r="411" spans="2:32">
      <c r="B411" t="s">
        <v>2079</v>
      </c>
      <c r="H411" s="16">
        <f>H410/4</f>
        <v>6.25</v>
      </c>
      <c r="I411" s="16"/>
      <c r="J411" s="16">
        <f t="shared" ref="J411:P411" si="49">J410/4</f>
        <v>6.25</v>
      </c>
      <c r="K411" s="16">
        <f t="shared" si="49"/>
        <v>15.5</v>
      </c>
      <c r="L411" s="16">
        <f t="shared" si="49"/>
        <v>21.75</v>
      </c>
      <c r="M411" s="16">
        <f t="shared" si="49"/>
        <v>25</v>
      </c>
      <c r="N411" s="16">
        <f t="shared" si="49"/>
        <v>30</v>
      </c>
      <c r="O411" s="16">
        <f t="shared" si="49"/>
        <v>31.25</v>
      </c>
      <c r="P411" s="16">
        <f t="shared" si="49"/>
        <v>31.25</v>
      </c>
      <c r="V411" s="5"/>
      <c r="W411" s="5"/>
      <c r="X411" s="5"/>
      <c r="Y411" s="5"/>
    </row>
    <row r="412" spans="2:32">
      <c r="B412" t="s">
        <v>2072</v>
      </c>
      <c r="H412" s="16">
        <f>H407-H411</f>
        <v>193.75</v>
      </c>
      <c r="I412" s="16"/>
      <c r="J412" s="16">
        <f t="shared" ref="J412:P412" si="50">J407-J411</f>
        <v>220.75</v>
      </c>
      <c r="K412" s="16">
        <f t="shared" si="50"/>
        <v>222.5</v>
      </c>
      <c r="L412" s="16">
        <f t="shared" si="50"/>
        <v>263.25</v>
      </c>
      <c r="M412" s="16">
        <f t="shared" si="50"/>
        <v>219.85999999999999</v>
      </c>
      <c r="N412" s="16">
        <f t="shared" si="50"/>
        <v>225.32639999999998</v>
      </c>
      <c r="O412" s="16">
        <f t="shared" si="50"/>
        <v>232.27550000000002</v>
      </c>
      <c r="P412" s="16" t="e">
        <f t="shared" si="50"/>
        <v>#REF!</v>
      </c>
      <c r="V412" s="5"/>
      <c r="W412" s="5"/>
      <c r="X412" s="5"/>
      <c r="Y412" s="5"/>
    </row>
    <row r="413" spans="2:32">
      <c r="B413" t="s">
        <v>2080</v>
      </c>
      <c r="D413" s="6">
        <f>D408</f>
        <v>0.37562789026679705</v>
      </c>
      <c r="E413" s="6">
        <f>E408</f>
        <v>0.35000336541697519</v>
      </c>
      <c r="F413" s="6">
        <f>F408</f>
        <v>0.34827586206896555</v>
      </c>
      <c r="G413" s="6">
        <f>G408</f>
        <v>0.39430381860898062</v>
      </c>
      <c r="H413" s="6">
        <f>H412/H403</f>
        <v>0.33233276157804459</v>
      </c>
      <c r="I413" s="6"/>
      <c r="J413" s="6">
        <f t="shared" ref="J413:P413" si="51">J412/J403</f>
        <v>0.37038590604026844</v>
      </c>
      <c r="K413" s="6">
        <f t="shared" si="51"/>
        <v>0.37394957983193278</v>
      </c>
      <c r="L413" s="6">
        <f t="shared" si="51"/>
        <v>0.43512396694214878</v>
      </c>
      <c r="M413" s="6">
        <f t="shared" si="51"/>
        <v>0.3771183533447684</v>
      </c>
      <c r="N413" s="6">
        <f t="shared" si="51"/>
        <v>0.37065140150019737</v>
      </c>
      <c r="O413" s="6">
        <f t="shared" si="51"/>
        <v>0.37900872970547445</v>
      </c>
      <c r="P413" s="6" t="e">
        <f t="shared" si="51"/>
        <v>#REF!</v>
      </c>
      <c r="V413" s="5"/>
      <c r="W413" s="5"/>
      <c r="X413" s="5"/>
      <c r="Y413" s="5"/>
    </row>
    <row r="414" spans="2:32">
      <c r="B414" t="s">
        <v>2081</v>
      </c>
      <c r="D414" s="6"/>
      <c r="E414" s="6"/>
      <c r="F414" s="6"/>
      <c r="G414" s="6"/>
      <c r="H414" s="6">
        <f>H413-D413</f>
        <v>-4.329512868875246E-2</v>
      </c>
      <c r="I414" s="6"/>
      <c r="J414" s="6">
        <f>J413-E413</f>
        <v>2.0382540623293255E-2</v>
      </c>
      <c r="K414" s="6">
        <f>K413-F413</f>
        <v>2.567371776296723E-2</v>
      </c>
      <c r="L414" s="6">
        <f>L413-G413</f>
        <v>4.082014833316816E-2</v>
      </c>
      <c r="M414" s="6">
        <f>M413-H413</f>
        <v>4.4785591766723809E-2</v>
      </c>
      <c r="N414" s="6">
        <f>N413-J413</f>
        <v>2.6549545992893275E-4</v>
      </c>
      <c r="O414" s="6">
        <f>O413-K413</f>
        <v>5.0591498735416685E-3</v>
      </c>
      <c r="P414" s="6" t="e">
        <f>P413-L413</f>
        <v>#REF!</v>
      </c>
      <c r="V414" s="5"/>
      <c r="W414" s="5"/>
      <c r="X414" s="5"/>
      <c r="Y414" s="5"/>
    </row>
    <row r="415" spans="2:32">
      <c r="K415" s="5"/>
      <c r="L415" s="5"/>
      <c r="V415" s="5"/>
      <c r="W415" s="5"/>
      <c r="X415" s="5"/>
      <c r="Y415" s="5"/>
    </row>
    <row r="416" spans="2:32">
      <c r="B416" t="s">
        <v>2077</v>
      </c>
      <c r="D416" s="16">
        <f>D417-D399-D372-D345-D318-D291</f>
        <v>2.3219094247246232</v>
      </c>
      <c r="E416" s="16">
        <f>E417-E399-E372-E345-E318-E291</f>
        <v>12</v>
      </c>
      <c r="F416" s="16">
        <f>F417-F399-F372-F345-F318-F291</f>
        <v>5.6315789473684106</v>
      </c>
      <c r="G416" s="16">
        <f>G417-G399-G372-G345-G318-G291</f>
        <v>9.0465116279069946</v>
      </c>
      <c r="H416" s="16">
        <f>H417-H399-H372-H345-H318-H291</f>
        <v>1</v>
      </c>
      <c r="I416" s="16"/>
      <c r="J416" s="16">
        <f>J417-J399-J372-J345-J318-J291</f>
        <v>1</v>
      </c>
      <c r="K416" s="16">
        <f>K417-K399-K372-K345-K318-K291</f>
        <v>2</v>
      </c>
      <c r="L416" s="16">
        <f>L417-L399-L372-L345-L318-L291</f>
        <v>2</v>
      </c>
      <c r="V416" s="5"/>
      <c r="W416" s="5"/>
      <c r="X416" s="5"/>
      <c r="Y416" s="5"/>
    </row>
    <row r="417" spans="2:25">
      <c r="B417" s="12" t="s">
        <v>19</v>
      </c>
      <c r="C417" s="12"/>
      <c r="D417" s="600">
        <f>399/(1-0.14)-E417-F417</f>
        <v>136.32190942472462</v>
      </c>
      <c r="E417" s="601">
        <v>150</v>
      </c>
      <c r="F417" s="600">
        <f>K417/(1-0.24)</f>
        <v>177.63157894736841</v>
      </c>
      <c r="G417" s="600">
        <f>647-D417-E417-F417</f>
        <v>183.04651162790699</v>
      </c>
      <c r="H417" s="12">
        <f>399-J417-K417</f>
        <v>133</v>
      </c>
      <c r="I417" s="12"/>
      <c r="J417" s="601">
        <v>131</v>
      </c>
      <c r="K417" s="12">
        <v>135</v>
      </c>
      <c r="L417" s="12">
        <f>528-H417-J417-K417</f>
        <v>129</v>
      </c>
      <c r="M417" s="600">
        <f>M418*M403</f>
        <v>116.60000000000001</v>
      </c>
      <c r="N417" s="600">
        <f>N418*N403</f>
        <v>121.584</v>
      </c>
      <c r="O417" s="600">
        <f>O418*O403</f>
        <v>116.4415</v>
      </c>
      <c r="P417" s="600" t="e">
        <f>Master!#REF!-M417-N417-O417</f>
        <v>#REF!</v>
      </c>
      <c r="R417" s="16"/>
      <c r="S417" s="16"/>
      <c r="T417" s="16"/>
      <c r="U417" s="16"/>
      <c r="Y417" s="5">
        <f>AVERAGE(V409:Y409)</f>
        <v>0.02</v>
      </c>
    </row>
    <row r="418" spans="2:25">
      <c r="B418" t="s">
        <v>91</v>
      </c>
      <c r="D418" s="6">
        <f>D417/D403</f>
        <v>0.24318145077480893</v>
      </c>
      <c r="E418" s="6">
        <f>E417/E403</f>
        <v>0.26250252406273139</v>
      </c>
      <c r="F418" s="6">
        <f>F417/F403</f>
        <v>0.30152587350729765</v>
      </c>
      <c r="G418" s="6">
        <f>G417/G403</f>
        <v>0.300588900800079</v>
      </c>
      <c r="H418" s="6">
        <f>H417/H403</f>
        <v>0.22813036020583191</v>
      </c>
      <c r="I418" s="6"/>
      <c r="J418" s="6">
        <f>J417/J403</f>
        <v>0.21979865771812079</v>
      </c>
      <c r="K418" s="6">
        <f>K417/K403</f>
        <v>0.22689075630252101</v>
      </c>
      <c r="L418" s="6">
        <f>L417/L403</f>
        <v>0.21322314049586777</v>
      </c>
      <c r="M418" s="35">
        <v>0.2</v>
      </c>
      <c r="N418" s="35">
        <v>0.2</v>
      </c>
      <c r="O418" s="35">
        <v>0.19</v>
      </c>
      <c r="P418" s="6" t="e">
        <f>P417/P403</f>
        <v>#REF!</v>
      </c>
      <c r="R418" s="6"/>
      <c r="S418" s="6"/>
      <c r="T418" s="6"/>
      <c r="U418" s="7" t="s">
        <v>935</v>
      </c>
      <c r="V418" s="32">
        <f t="shared" ref="V418:Y419" si="52">V402</f>
        <v>42156</v>
      </c>
      <c r="W418" s="32">
        <f t="shared" si="52"/>
        <v>42248</v>
      </c>
      <c r="X418" s="32">
        <f t="shared" si="52"/>
        <v>42339</v>
      </c>
      <c r="Y418" s="32">
        <f t="shared" si="52"/>
        <v>42430</v>
      </c>
    </row>
    <row r="419" spans="2:25">
      <c r="U419" t="s">
        <v>1614</v>
      </c>
      <c r="V419" s="5">
        <f t="shared" si="52"/>
        <v>0.04</v>
      </c>
      <c r="W419" s="5">
        <f t="shared" si="52"/>
        <v>4.3010028942586098E-2</v>
      </c>
      <c r="X419" s="5">
        <f t="shared" si="52"/>
        <v>1.0000000000000009E-2</v>
      </c>
      <c r="Y419" s="5">
        <f t="shared" si="52"/>
        <v>-6.502318089943504E-3</v>
      </c>
    </row>
    <row r="420" spans="2:25">
      <c r="B420" t="s">
        <v>27</v>
      </c>
      <c r="D420" s="16">
        <f>D407-D417</f>
        <v>74.246417522912566</v>
      </c>
      <c r="E420" s="16">
        <f>E407-E417</f>
        <v>50</v>
      </c>
      <c r="F420" s="16">
        <f>F407-F417</f>
        <v>27.540834845735048</v>
      </c>
      <c r="H420">
        <f>H407-H417</f>
        <v>67</v>
      </c>
      <c r="J420">
        <f t="shared" ref="J420:P420" si="53">J407-J417</f>
        <v>96</v>
      </c>
      <c r="K420">
        <f t="shared" si="53"/>
        <v>103</v>
      </c>
      <c r="L420">
        <f t="shared" si="53"/>
        <v>156</v>
      </c>
      <c r="M420" s="16">
        <f t="shared" si="53"/>
        <v>128.26</v>
      </c>
      <c r="N420" s="16">
        <f t="shared" si="53"/>
        <v>133.74239999999998</v>
      </c>
      <c r="O420" s="16">
        <f t="shared" si="53"/>
        <v>147.084</v>
      </c>
      <c r="P420" s="16" t="e">
        <f t="shared" si="53"/>
        <v>#REF!</v>
      </c>
      <c r="U420" t="s">
        <v>2049</v>
      </c>
      <c r="V420" s="5">
        <f>V403</f>
        <v>0.04</v>
      </c>
      <c r="W420" s="5">
        <f>W403</f>
        <v>4.3010028942586098E-2</v>
      </c>
      <c r="X420" s="5">
        <v>0.03</v>
      </c>
    </row>
    <row r="421" spans="2:25">
      <c r="B421" t="s">
        <v>91</v>
      </c>
      <c r="D421" s="6">
        <f>D420/D403</f>
        <v>0.13244643949198812</v>
      </c>
      <c r="E421" s="6">
        <f>E420/E403</f>
        <v>8.7500841354243797E-2</v>
      </c>
      <c r="F421" s="6">
        <f>F420/F403</f>
        <v>4.6749988561667899E-2</v>
      </c>
      <c r="G421" s="6"/>
      <c r="H421" s="6">
        <f>H420/H403</f>
        <v>0.11492281303602059</v>
      </c>
      <c r="I421" s="6"/>
      <c r="J421" s="6">
        <f t="shared" ref="J421:P421" si="54">J420/J403</f>
        <v>0.16107382550335569</v>
      </c>
      <c r="K421" s="6">
        <f t="shared" si="54"/>
        <v>0.17310924369747899</v>
      </c>
      <c r="L421" s="6">
        <f t="shared" si="54"/>
        <v>0.25785123966942147</v>
      </c>
      <c r="M421" s="6">
        <f t="shared" si="54"/>
        <v>0.21999999999999997</v>
      </c>
      <c r="N421" s="6">
        <f t="shared" si="54"/>
        <v>0.21999999999999997</v>
      </c>
      <c r="O421" s="6">
        <f t="shared" si="54"/>
        <v>0.24</v>
      </c>
      <c r="P421" s="6" t="e">
        <f t="shared" si="54"/>
        <v>#REF!</v>
      </c>
      <c r="R421" s="6"/>
      <c r="S421" s="6"/>
      <c r="T421" s="6"/>
      <c r="U421" s="6" t="s">
        <v>291</v>
      </c>
      <c r="V421" s="5">
        <f>V407</f>
        <v>-5.0189537528430139E-2</v>
      </c>
      <c r="W421" s="5">
        <f>W407</f>
        <v>0.13500000000000001</v>
      </c>
      <c r="X421" s="5">
        <f>X407</f>
        <v>0.16</v>
      </c>
      <c r="Y421" s="5">
        <f>Y407</f>
        <v>0.19</v>
      </c>
    </row>
    <row r="422" spans="2:25">
      <c r="D422" s="6"/>
      <c r="E422" s="6"/>
      <c r="F422" s="6"/>
      <c r="G422" s="6"/>
      <c r="H422" s="6"/>
      <c r="I422" s="6"/>
      <c r="J422" s="6"/>
      <c r="K422" s="6"/>
      <c r="M422" s="6"/>
      <c r="N422" s="6"/>
      <c r="O422" s="6"/>
      <c r="P422" s="6"/>
      <c r="R422" s="6"/>
      <c r="S422" s="6"/>
      <c r="T422" s="6"/>
      <c r="U422" s="6"/>
    </row>
    <row r="423" spans="2:25">
      <c r="B423" t="s">
        <v>1812</v>
      </c>
      <c r="D423" s="6"/>
      <c r="E423" s="6"/>
      <c r="F423" s="6"/>
      <c r="G423" s="6"/>
      <c r="H423" s="567">
        <v>74</v>
      </c>
      <c r="I423" s="567"/>
      <c r="J423">
        <f>149-H423</f>
        <v>75</v>
      </c>
      <c r="K423" s="567">
        <f>J423</f>
        <v>75</v>
      </c>
      <c r="L423">
        <f>333-H423-J423-K423</f>
        <v>109</v>
      </c>
      <c r="M423" s="567">
        <f>K423</f>
        <v>75</v>
      </c>
      <c r="N423" s="567">
        <f t="shared" ref="N423:P424" si="55">M423</f>
        <v>75</v>
      </c>
      <c r="O423" s="567">
        <f t="shared" si="55"/>
        <v>75</v>
      </c>
      <c r="P423" s="567">
        <f t="shared" si="55"/>
        <v>75</v>
      </c>
      <c r="R423" s="6"/>
      <c r="S423" s="6"/>
      <c r="T423" s="6"/>
      <c r="U423" s="7" t="s">
        <v>2053</v>
      </c>
      <c r="V423" s="32" t="s">
        <v>2051</v>
      </c>
      <c r="W423" s="32">
        <f>X418</f>
        <v>42339</v>
      </c>
      <c r="X423" s="32">
        <f>Y418</f>
        <v>42430</v>
      </c>
    </row>
    <row r="424" spans="2:25">
      <c r="B424" t="s">
        <v>82</v>
      </c>
      <c r="D424" s="6"/>
      <c r="E424" s="6"/>
      <c r="F424" s="6"/>
      <c r="G424" s="6"/>
      <c r="H424" s="567">
        <v>25</v>
      </c>
      <c r="I424" s="567"/>
      <c r="J424">
        <f>52-H424</f>
        <v>27</v>
      </c>
      <c r="K424" s="567">
        <f>J424</f>
        <v>27</v>
      </c>
      <c r="L424">
        <f>111-H424-J424-K424</f>
        <v>32</v>
      </c>
      <c r="M424" s="567">
        <f>K424</f>
        <v>27</v>
      </c>
      <c r="N424" s="567">
        <f t="shared" si="55"/>
        <v>27</v>
      </c>
      <c r="O424" s="567">
        <f t="shared" si="55"/>
        <v>27</v>
      </c>
      <c r="P424" s="567">
        <f t="shared" si="55"/>
        <v>27</v>
      </c>
      <c r="R424" s="6"/>
      <c r="S424" s="6"/>
      <c r="T424" s="6"/>
      <c r="U424" s="6" t="s">
        <v>2050</v>
      </c>
      <c r="V424">
        <v>25</v>
      </c>
      <c r="W424">
        <v>62</v>
      </c>
      <c r="X424">
        <v>87</v>
      </c>
    </row>
    <row r="425" spans="2:25">
      <c r="B425" t="s">
        <v>60</v>
      </c>
      <c r="D425" s="6"/>
      <c r="E425" s="6"/>
      <c r="F425" s="6"/>
      <c r="G425" s="6"/>
      <c r="H425" s="567">
        <v>10</v>
      </c>
      <c r="I425" s="567"/>
      <c r="J425">
        <f>24+1+5+6-H425</f>
        <v>26</v>
      </c>
      <c r="K425" s="567">
        <v>0</v>
      </c>
      <c r="L425" s="603">
        <f>(20+1+3+15)+49-74-H425-J425-K425</f>
        <v>-22</v>
      </c>
      <c r="M425" s="567">
        <v>0</v>
      </c>
      <c r="N425" s="567">
        <v>0</v>
      </c>
      <c r="O425" s="567">
        <v>0</v>
      </c>
      <c r="P425" s="567">
        <v>0</v>
      </c>
      <c r="R425" s="6"/>
      <c r="S425" s="6"/>
      <c r="T425" s="6"/>
      <c r="U425" s="6" t="s">
        <v>2052</v>
      </c>
      <c r="V425" s="16">
        <f>V424/4</f>
        <v>6.25</v>
      </c>
      <c r="W425" s="16">
        <f>W424/4</f>
        <v>15.5</v>
      </c>
      <c r="X425" s="16">
        <f>X424/4</f>
        <v>21.75</v>
      </c>
    </row>
    <row r="426" spans="2:25">
      <c r="B426" t="s">
        <v>83</v>
      </c>
      <c r="D426" s="6"/>
      <c r="E426" s="6"/>
      <c r="F426" s="6"/>
      <c r="G426" s="6"/>
      <c r="H426">
        <f>H407-H423-H424-H425</f>
        <v>91</v>
      </c>
      <c r="J426">
        <f t="shared" ref="J426:P426" si="56">J407-J423-J424-J425</f>
        <v>99</v>
      </c>
      <c r="K426">
        <f t="shared" si="56"/>
        <v>136</v>
      </c>
      <c r="L426">
        <f t="shared" si="56"/>
        <v>166</v>
      </c>
      <c r="M426" s="16">
        <f t="shared" si="56"/>
        <v>142.85999999999999</v>
      </c>
      <c r="N426" s="16">
        <f t="shared" si="56"/>
        <v>153.32639999999998</v>
      </c>
      <c r="O426" s="16">
        <f t="shared" si="56"/>
        <v>161.52550000000002</v>
      </c>
      <c r="P426" s="16" t="e">
        <f t="shared" si="56"/>
        <v>#REF!</v>
      </c>
      <c r="R426" s="6"/>
      <c r="S426" s="6"/>
      <c r="T426" s="6"/>
      <c r="U426" s="6"/>
    </row>
    <row r="427" spans="2:25">
      <c r="B427" t="s">
        <v>929</v>
      </c>
      <c r="D427" s="6"/>
      <c r="E427" s="6"/>
      <c r="F427" s="6"/>
      <c r="G427" s="6"/>
      <c r="H427" s="567">
        <v>95</v>
      </c>
      <c r="I427" s="567"/>
      <c r="J427">
        <f>194-3-H427</f>
        <v>96</v>
      </c>
      <c r="K427" s="567">
        <v>62</v>
      </c>
      <c r="L427">
        <f>347-32-H427-J427-K427</f>
        <v>62</v>
      </c>
      <c r="M427" s="567">
        <f>K427</f>
        <v>62</v>
      </c>
      <c r="N427" s="567">
        <f>M427</f>
        <v>62</v>
      </c>
      <c r="O427" s="567">
        <f>N427</f>
        <v>62</v>
      </c>
      <c r="P427" s="567">
        <f>O427</f>
        <v>62</v>
      </c>
      <c r="R427" s="6"/>
      <c r="S427" s="6"/>
      <c r="T427" s="6"/>
      <c r="U427" s="3" t="s">
        <v>2057</v>
      </c>
      <c r="V427" s="4" t="s">
        <v>2055</v>
      </c>
      <c r="W427" s="4" t="s">
        <v>2056</v>
      </c>
    </row>
    <row r="428" spans="2:25">
      <c r="B428" t="s">
        <v>66</v>
      </c>
      <c r="D428" s="6"/>
      <c r="E428" s="6"/>
      <c r="F428" s="6"/>
      <c r="G428" s="6"/>
      <c r="H428">
        <f>H426-H427</f>
        <v>-4</v>
      </c>
      <c r="J428">
        <f t="shared" ref="J428:P428" si="57">J426-J427</f>
        <v>3</v>
      </c>
      <c r="K428" s="16">
        <f t="shared" si="57"/>
        <v>74</v>
      </c>
      <c r="L428" s="16">
        <f t="shared" si="57"/>
        <v>104</v>
      </c>
      <c r="M428" s="16">
        <f t="shared" si="57"/>
        <v>80.859999999999985</v>
      </c>
      <c r="N428" s="16">
        <f t="shared" si="57"/>
        <v>91.326399999999978</v>
      </c>
      <c r="O428" s="16">
        <f t="shared" si="57"/>
        <v>99.525500000000022</v>
      </c>
      <c r="P428" s="16" t="e">
        <f t="shared" si="57"/>
        <v>#REF!</v>
      </c>
      <c r="R428" s="6"/>
      <c r="S428" s="6"/>
      <c r="T428" s="6"/>
      <c r="U428" s="6" t="s">
        <v>0</v>
      </c>
      <c r="V428" s="5">
        <f>SUM(H288:J288)/SUM(D288:E288)-1</f>
        <v>6.6225165562913801E-2</v>
      </c>
      <c r="W428" s="5">
        <f>SUM(K288:L288)/SUM(F288:G288)-1</f>
        <v>-2.0958083832335328E-2</v>
      </c>
    </row>
    <row r="429" spans="2:25">
      <c r="D429" s="6"/>
      <c r="E429" s="6"/>
      <c r="F429" s="6"/>
      <c r="G429" s="6"/>
      <c r="H429" s="6"/>
      <c r="I429" s="6"/>
      <c r="J429" s="6"/>
      <c r="K429" s="6"/>
      <c r="M429" s="6"/>
      <c r="N429" s="6"/>
      <c r="O429" s="6"/>
      <c r="P429" s="6"/>
      <c r="R429" s="6"/>
      <c r="S429" s="6"/>
      <c r="T429" s="6"/>
      <c r="U429" s="6" t="s">
        <v>2</v>
      </c>
      <c r="V429" s="5">
        <f>SUM(H315:J315)/SUM(D315:E315)-1</f>
        <v>-5.2631578947368474E-2</v>
      </c>
      <c r="W429" s="5">
        <f>SUM(K315:L315)/SUM(F315:G315)-1</f>
        <v>-5.6497175141242972E-2</v>
      </c>
    </row>
    <row r="430" spans="2:25">
      <c r="B430" t="s">
        <v>67</v>
      </c>
      <c r="F430" s="6"/>
      <c r="G430" s="6"/>
      <c r="H430" s="567">
        <v>10</v>
      </c>
      <c r="I430" s="567"/>
      <c r="J430">
        <f>19-H430</f>
        <v>9</v>
      </c>
      <c r="K430" s="16">
        <f>K431*K428</f>
        <v>17.759999999999998</v>
      </c>
      <c r="L430" s="16">
        <f>51-H430-J430-K430</f>
        <v>14.240000000000002</v>
      </c>
      <c r="M430" s="16">
        <f>M431*M428</f>
        <v>19.406399999999994</v>
      </c>
      <c r="N430" s="16">
        <f>N431*N428</f>
        <v>21.918335999999993</v>
      </c>
      <c r="O430" s="16">
        <f>O431*O428</f>
        <v>23.886120000000005</v>
      </c>
      <c r="P430" s="16" t="e">
        <f>P431*P428</f>
        <v>#REF!</v>
      </c>
      <c r="R430" s="6"/>
      <c r="S430" s="6"/>
      <c r="T430" s="6"/>
      <c r="U430" s="6" t="s">
        <v>1415</v>
      </c>
      <c r="V430" s="5">
        <f>SUM(H342:J342)/SUM(D342:E342)-1</f>
        <v>6.0077519379845068E-2</v>
      </c>
      <c r="W430" s="5" t="s">
        <v>2058</v>
      </c>
    </row>
    <row r="431" spans="2:25">
      <c r="B431" t="s">
        <v>1813</v>
      </c>
      <c r="D431" s="572"/>
      <c r="E431" s="572"/>
      <c r="F431" s="6"/>
      <c r="G431" s="6"/>
      <c r="H431" s="572">
        <f>H430/(H428+H425)</f>
        <v>1.6666666666666667</v>
      </c>
      <c r="I431" s="572"/>
      <c r="J431" s="572">
        <f>J430/(J428+J425)</f>
        <v>0.31034482758620691</v>
      </c>
      <c r="K431" s="569">
        <v>0.24</v>
      </c>
      <c r="L431" s="572">
        <f>L430/(L428+L425)</f>
        <v>0.17365853658536587</v>
      </c>
      <c r="M431" s="569">
        <v>0.24</v>
      </c>
      <c r="N431" s="569">
        <v>0.24</v>
      </c>
      <c r="O431" s="569">
        <v>0.24</v>
      </c>
      <c r="P431" s="569">
        <v>0.24</v>
      </c>
      <c r="R431" s="6"/>
      <c r="S431" s="6"/>
      <c r="T431" s="6"/>
      <c r="U431" s="6" t="s">
        <v>3</v>
      </c>
      <c r="V431" s="5">
        <f>SUM(H369:J369)/SUM(D369:E369)-1</f>
        <v>0</v>
      </c>
      <c r="W431" s="5">
        <f>SUM(K369:L369)/SUM(F369:G369)-1</f>
        <v>0.15999999999999992</v>
      </c>
    </row>
    <row r="432" spans="2:25">
      <c r="F432" s="6"/>
      <c r="G432" s="6"/>
      <c r="H432" s="567"/>
      <c r="I432" s="567"/>
      <c r="K432" s="6"/>
      <c r="M432" s="6"/>
      <c r="N432" s="6"/>
      <c r="O432" s="6"/>
      <c r="P432" s="6"/>
      <c r="R432" s="6"/>
      <c r="S432" s="6"/>
      <c r="T432" s="6"/>
      <c r="U432" s="7" t="s">
        <v>2054</v>
      </c>
      <c r="V432" s="512">
        <f>SUM(H396:J396)/SUM(D396:E396)-1</f>
        <v>8.3333333333333259E-2</v>
      </c>
      <c r="W432" s="512" t="s">
        <v>2058</v>
      </c>
    </row>
    <row r="433" spans="2:25">
      <c r="B433" t="s">
        <v>249</v>
      </c>
      <c r="D433" s="16"/>
      <c r="E433" s="16"/>
      <c r="F433" s="6"/>
      <c r="G433" s="6"/>
      <c r="H433" s="16">
        <f>H420-H430-H427</f>
        <v>-38</v>
      </c>
      <c r="I433" s="16"/>
      <c r="J433" s="16">
        <f t="shared" ref="J433:P433" si="58">J420-J430-J427</f>
        <v>-9</v>
      </c>
      <c r="K433" s="16">
        <f t="shared" si="58"/>
        <v>23.240000000000009</v>
      </c>
      <c r="L433" s="16">
        <f t="shared" si="58"/>
        <v>79.759999999999991</v>
      </c>
      <c r="M433" s="16">
        <f t="shared" si="58"/>
        <v>46.8536</v>
      </c>
      <c r="N433" s="16">
        <f t="shared" si="58"/>
        <v>49.824063999999979</v>
      </c>
      <c r="O433" s="16">
        <f t="shared" si="58"/>
        <v>61.197879999999998</v>
      </c>
      <c r="P433" s="16" t="e">
        <f t="shared" si="58"/>
        <v>#REF!</v>
      </c>
      <c r="R433" s="6"/>
      <c r="S433" s="6"/>
      <c r="T433" s="6"/>
      <c r="U433" s="6" t="s">
        <v>90</v>
      </c>
      <c r="V433" s="5">
        <f>SUM(H403:J403)/SUM(D403:E403)-1</f>
        <v>4.1519434628975338E-2</v>
      </c>
      <c r="W433" s="5">
        <f>SUM(K403:L403)/SUM(F403:G403)-1</f>
        <v>1.6121279107408348E-3</v>
      </c>
    </row>
    <row r="434" spans="2:25">
      <c r="B434" t="s">
        <v>2162</v>
      </c>
      <c r="D434" s="16"/>
      <c r="E434" s="16"/>
      <c r="F434" s="6"/>
      <c r="G434" s="6"/>
      <c r="H434" s="16"/>
      <c r="I434" s="16"/>
      <c r="J434" s="16"/>
      <c r="K434" s="16"/>
      <c r="L434" s="16"/>
      <c r="M434" s="16">
        <f>4439*0.03*1.3</f>
        <v>173.12099999999998</v>
      </c>
      <c r="N434" s="16"/>
      <c r="O434" s="16"/>
      <c r="P434" s="16"/>
      <c r="R434" s="6"/>
      <c r="S434" s="6"/>
      <c r="T434" s="6"/>
      <c r="U434" s="6"/>
      <c r="V434" s="5"/>
      <c r="W434" s="5"/>
    </row>
    <row r="435" spans="2:25">
      <c r="D435" s="6"/>
      <c r="E435" s="6"/>
      <c r="F435" s="6"/>
      <c r="G435" s="6"/>
      <c r="H435" s="6"/>
      <c r="I435" s="6"/>
      <c r="J435" s="6"/>
      <c r="K435" s="6"/>
      <c r="M435" s="6"/>
      <c r="N435" s="6"/>
      <c r="O435" s="6"/>
      <c r="P435" s="6"/>
      <c r="R435" s="6"/>
      <c r="S435" s="6"/>
      <c r="T435" s="6"/>
      <c r="U435" s="6"/>
    </row>
    <row r="436" spans="2:25">
      <c r="D436" s="6"/>
      <c r="E436" s="6"/>
      <c r="F436" s="6"/>
      <c r="G436">
        <v>2366</v>
      </c>
      <c r="H436">
        <v>2605</v>
      </c>
      <c r="J436">
        <f>K436-33</f>
        <v>2832</v>
      </c>
      <c r="K436">
        <v>2865</v>
      </c>
      <c r="L436">
        <v>2861</v>
      </c>
      <c r="M436" s="16">
        <f>L436-M433+M434</f>
        <v>2987.2674000000002</v>
      </c>
      <c r="N436" s="16">
        <f>M436-N433</f>
        <v>2937.4433360000003</v>
      </c>
      <c r="O436" s="16">
        <f>N436-O433</f>
        <v>2876.2454560000001</v>
      </c>
      <c r="P436" s="16" t="e">
        <f>O436-P433</f>
        <v>#REF!</v>
      </c>
      <c r="R436" s="6"/>
      <c r="S436" s="6"/>
      <c r="T436" s="6"/>
      <c r="U436" s="6"/>
    </row>
    <row r="439" spans="2:25">
      <c r="B439" t="s">
        <v>2071</v>
      </c>
    </row>
    <row r="441" spans="2:25">
      <c r="B441" s="552" t="s">
        <v>15</v>
      </c>
      <c r="C441" s="3"/>
      <c r="D441" s="553">
        <f>D375</f>
        <v>41791</v>
      </c>
      <c r="E441" s="553">
        <f>E375</f>
        <v>41883</v>
      </c>
      <c r="F441" s="553">
        <f>F375</f>
        <v>41974</v>
      </c>
      <c r="G441" s="553">
        <f>G375</f>
        <v>42064</v>
      </c>
      <c r="H441" s="553">
        <f>H375</f>
        <v>42156</v>
      </c>
      <c r="I441" s="553"/>
      <c r="J441" s="553">
        <f t="shared" ref="J441:P441" si="59">J375</f>
        <v>42248</v>
      </c>
      <c r="K441" s="553">
        <f t="shared" si="59"/>
        <v>42339</v>
      </c>
      <c r="L441" s="553">
        <f t="shared" si="59"/>
        <v>42430</v>
      </c>
      <c r="M441" s="553">
        <f t="shared" si="59"/>
        <v>42522</v>
      </c>
      <c r="N441" s="553">
        <f t="shared" si="59"/>
        <v>42614</v>
      </c>
      <c r="O441" s="553">
        <f t="shared" si="59"/>
        <v>42705</v>
      </c>
      <c r="P441" s="553">
        <f t="shared" si="59"/>
        <v>42795</v>
      </c>
    </row>
    <row r="442" spans="2:25">
      <c r="B442" t="s">
        <v>0</v>
      </c>
      <c r="D442" s="16">
        <f>D288</f>
        <v>148</v>
      </c>
      <c r="E442" s="16">
        <f>E288</f>
        <v>154</v>
      </c>
      <c r="F442" s="16">
        <f>F288</f>
        <v>156</v>
      </c>
      <c r="G442" s="16">
        <f>G288</f>
        <v>178</v>
      </c>
      <c r="H442" s="16">
        <f>H288</f>
        <v>157</v>
      </c>
      <c r="I442" s="16"/>
      <c r="J442" s="16">
        <f>J288</f>
        <v>165</v>
      </c>
      <c r="K442" s="16">
        <f>K288</f>
        <v>160.91295</v>
      </c>
      <c r="L442" s="16">
        <f>L288</f>
        <v>166.08705</v>
      </c>
      <c r="M442" s="16"/>
      <c r="N442" s="16"/>
      <c r="O442" s="16"/>
      <c r="P442" s="16"/>
      <c r="V442" s="5">
        <f t="shared" ref="V442:V448" si="60">H442/D442-1</f>
        <v>6.0810810810810745E-2</v>
      </c>
      <c r="W442" s="5">
        <f t="shared" ref="W442:Y448" si="61">J442/E442-1</f>
        <v>7.1428571428571397E-2</v>
      </c>
      <c r="X442" s="5">
        <f t="shared" si="61"/>
        <v>3.1493269230769227E-2</v>
      </c>
      <c r="Y442" s="5">
        <f t="shared" si="61"/>
        <v>-6.6926685393258412E-2</v>
      </c>
    </row>
    <row r="443" spans="2:25">
      <c r="B443" t="s">
        <v>2</v>
      </c>
      <c r="D443" s="16">
        <f>D315</f>
        <v>85</v>
      </c>
      <c r="E443" s="16">
        <f>E315</f>
        <v>86</v>
      </c>
      <c r="F443" s="16">
        <f>F315</f>
        <v>87</v>
      </c>
      <c r="G443" s="16">
        <f>G315</f>
        <v>90</v>
      </c>
      <c r="H443" s="16">
        <f>H315</f>
        <v>80</v>
      </c>
      <c r="I443" s="16"/>
      <c r="J443" s="16">
        <f>J315</f>
        <v>82</v>
      </c>
      <c r="K443" s="16">
        <f>K315</f>
        <v>83</v>
      </c>
      <c r="L443" s="16">
        <f>L315</f>
        <v>84</v>
      </c>
      <c r="M443" s="16"/>
      <c r="N443" s="16"/>
      <c r="O443" s="16"/>
      <c r="P443" s="16"/>
      <c r="V443" s="5">
        <f t="shared" si="60"/>
        <v>-5.8823529411764719E-2</v>
      </c>
      <c r="W443" s="5">
        <f t="shared" si="61"/>
        <v>-4.6511627906976716E-2</v>
      </c>
      <c r="X443" s="5">
        <f t="shared" si="61"/>
        <v>-4.5977011494252928E-2</v>
      </c>
      <c r="Y443" s="5">
        <f t="shared" si="61"/>
        <v>-6.6666666666666652E-2</v>
      </c>
    </row>
    <row r="444" spans="2:25">
      <c r="B444" t="s">
        <v>1781</v>
      </c>
      <c r="D444" s="16">
        <f>D342</f>
        <v>257</v>
      </c>
      <c r="E444" s="16">
        <f>E342</f>
        <v>259</v>
      </c>
      <c r="F444" s="16">
        <f>F342</f>
        <v>270</v>
      </c>
      <c r="G444" s="16">
        <f>G342</f>
        <v>265</v>
      </c>
      <c r="H444" s="16">
        <f>H342</f>
        <v>272</v>
      </c>
      <c r="I444" s="16"/>
      <c r="J444" s="16">
        <f>J342</f>
        <v>275</v>
      </c>
      <c r="K444" s="16">
        <f>K342</f>
        <v>278.23325</v>
      </c>
      <c r="L444" s="16">
        <f>L342</f>
        <v>277.76675</v>
      </c>
      <c r="M444" s="16"/>
      <c r="N444" s="16"/>
      <c r="O444" s="16"/>
      <c r="P444" s="16"/>
      <c r="V444" s="5">
        <f t="shared" si="60"/>
        <v>5.8365758754863828E-2</v>
      </c>
      <c r="W444" s="5">
        <f t="shared" si="61"/>
        <v>6.1776061776061875E-2</v>
      </c>
      <c r="X444" s="5">
        <f t="shared" si="61"/>
        <v>3.0493518518518448E-2</v>
      </c>
      <c r="Y444" s="5">
        <f t="shared" si="61"/>
        <v>4.8176415094339564E-2</v>
      </c>
    </row>
    <row r="445" spans="2:25">
      <c r="B445" t="s">
        <v>3</v>
      </c>
      <c r="D445" s="16">
        <f>D369</f>
        <v>13.5</v>
      </c>
      <c r="E445" s="16">
        <f>E369</f>
        <v>13.5</v>
      </c>
      <c r="F445" s="16">
        <f>F369</f>
        <v>12</v>
      </c>
      <c r="G445" s="16">
        <f>G369</f>
        <v>13</v>
      </c>
      <c r="H445" s="16">
        <f>H369</f>
        <v>14</v>
      </c>
      <c r="I445" s="16"/>
      <c r="J445" s="16">
        <f>J369</f>
        <v>13</v>
      </c>
      <c r="K445" s="16">
        <f>K369</f>
        <v>13.722300000000001</v>
      </c>
      <c r="L445" s="16">
        <f>L369</f>
        <v>15.277699999999999</v>
      </c>
      <c r="M445" s="16"/>
      <c r="N445" s="16"/>
      <c r="O445" s="16"/>
      <c r="P445" s="16"/>
      <c r="V445" s="5">
        <f t="shared" si="60"/>
        <v>3.7037037037036979E-2</v>
      </c>
      <c r="W445" s="5">
        <f t="shared" si="61"/>
        <v>-3.703703703703709E-2</v>
      </c>
      <c r="X445" s="5">
        <f t="shared" si="61"/>
        <v>0.14352500000000012</v>
      </c>
      <c r="Y445" s="5">
        <f t="shared" si="61"/>
        <v>0.17520769230769218</v>
      </c>
    </row>
    <row r="446" spans="2:25">
      <c r="B446" t="s">
        <v>2054</v>
      </c>
      <c r="D446" s="16">
        <f>D396</f>
        <v>58</v>
      </c>
      <c r="E446" s="16">
        <f>E396</f>
        <v>62</v>
      </c>
      <c r="F446" s="16">
        <f>F396</f>
        <v>66</v>
      </c>
      <c r="G446" s="16">
        <f>G396</f>
        <v>67</v>
      </c>
      <c r="H446" s="16">
        <f>H396</f>
        <v>66</v>
      </c>
      <c r="I446" s="16"/>
      <c r="J446" s="16">
        <f>J396</f>
        <v>64</v>
      </c>
      <c r="K446" s="16">
        <f>K396</f>
        <v>66</v>
      </c>
      <c r="L446" s="16">
        <f>L396</f>
        <v>67</v>
      </c>
      <c r="M446" s="16"/>
      <c r="N446" s="16"/>
      <c r="O446" s="16"/>
      <c r="P446" s="16"/>
      <c r="V446" s="5">
        <f t="shared" si="60"/>
        <v>0.13793103448275867</v>
      </c>
      <c r="W446" s="5">
        <f t="shared" si="61"/>
        <v>3.2258064516129004E-2</v>
      </c>
      <c r="X446" s="5">
        <f t="shared" si="61"/>
        <v>0</v>
      </c>
      <c r="Y446" s="5">
        <f t="shared" si="61"/>
        <v>0</v>
      </c>
    </row>
    <row r="447" spans="2:25">
      <c r="B447" s="3" t="s">
        <v>2061</v>
      </c>
      <c r="C447" s="3"/>
      <c r="D447" s="64">
        <f>D402</f>
        <v>-0.92307692307690559</v>
      </c>
      <c r="E447" s="64">
        <f>E402</f>
        <v>-3.0769230769230944</v>
      </c>
      <c r="F447" s="64">
        <f>F402</f>
        <v>-1.8910891089109327</v>
      </c>
      <c r="G447" s="64">
        <f>G402</f>
        <v>-4.040350656024998</v>
      </c>
      <c r="H447" s="64">
        <f>H402</f>
        <v>-6</v>
      </c>
      <c r="I447" s="64"/>
      <c r="J447" s="64">
        <f>J402</f>
        <v>-3</v>
      </c>
      <c r="K447" s="64">
        <f>K402</f>
        <v>-6.8685000000000116</v>
      </c>
      <c r="L447" s="64">
        <f>L402</f>
        <v>-5.1314999999999884</v>
      </c>
      <c r="M447" s="64"/>
      <c r="N447" s="64"/>
      <c r="O447" s="64"/>
      <c r="P447" s="64"/>
      <c r="V447" s="5">
        <f t="shared" si="60"/>
        <v>5.5000000000001235</v>
      </c>
      <c r="W447" s="5">
        <f t="shared" si="61"/>
        <v>-2.5000000000005573E-2</v>
      </c>
      <c r="X447" s="5">
        <f t="shared" si="61"/>
        <v>2.6320340314135389</v>
      </c>
      <c r="Y447" s="5">
        <f t="shared" si="61"/>
        <v>0.27006303087774364</v>
      </c>
    </row>
    <row r="448" spans="2:25">
      <c r="B448" s="12" t="s">
        <v>16</v>
      </c>
      <c r="C448" s="12"/>
      <c r="D448" s="600">
        <f>SUM(D442:D447)</f>
        <v>560.57692307692309</v>
      </c>
      <c r="E448" s="600">
        <f>SUM(E442:E447)</f>
        <v>571.42307692307691</v>
      </c>
      <c r="F448" s="600">
        <f>SUM(F442:F447)</f>
        <v>589.10891089108907</v>
      </c>
      <c r="G448" s="600">
        <f>SUM(G442:G447)</f>
        <v>608.959649343975</v>
      </c>
      <c r="H448" s="600">
        <f>SUM(H442:H447)</f>
        <v>583</v>
      </c>
      <c r="I448" s="600"/>
      <c r="J448" s="600">
        <f>SUM(J442:J447)</f>
        <v>596</v>
      </c>
      <c r="K448" s="600">
        <f>SUM(K442:K447)</f>
        <v>595</v>
      </c>
      <c r="L448" s="600">
        <f>SUM(L442:L447)</f>
        <v>605</v>
      </c>
      <c r="M448" s="600">
        <f>M403</f>
        <v>583</v>
      </c>
      <c r="N448" s="600">
        <f>N403</f>
        <v>607.91999999999996</v>
      </c>
      <c r="O448" s="600">
        <f>O403</f>
        <v>612.85</v>
      </c>
      <c r="P448" s="600" t="e">
        <f>P403</f>
        <v>#REF!</v>
      </c>
      <c r="V448" s="5">
        <f t="shared" si="60"/>
        <v>4.0000000000000036E-2</v>
      </c>
      <c r="W448" s="5">
        <f t="shared" si="61"/>
        <v>4.3010028942586098E-2</v>
      </c>
      <c r="X448" s="5">
        <f t="shared" si="61"/>
        <v>1.0000000000000009E-2</v>
      </c>
      <c r="Y448" s="5">
        <f t="shared" si="61"/>
        <v>-6.502318089943504E-3</v>
      </c>
    </row>
    <row r="450" spans="2:16">
      <c r="B450" s="12" t="s">
        <v>8</v>
      </c>
    </row>
    <row r="451" spans="2:16">
      <c r="B451" t="str">
        <f t="shared" ref="B451:B457" si="62">B442</f>
        <v>Panama</v>
      </c>
      <c r="D451" s="16">
        <f>D289</f>
        <v>60</v>
      </c>
      <c r="E451" s="16">
        <f>E289</f>
        <v>59</v>
      </c>
      <c r="F451" s="16">
        <f>F289</f>
        <v>59</v>
      </c>
      <c r="G451" s="16">
        <f>G289</f>
        <v>63</v>
      </c>
      <c r="H451" s="16">
        <f>H289</f>
        <v>58</v>
      </c>
      <c r="I451" s="16"/>
      <c r="J451" s="16">
        <f>J289</f>
        <v>58</v>
      </c>
      <c r="K451" s="16">
        <f>K289</f>
        <v>67</v>
      </c>
      <c r="L451" s="16">
        <f>L289</f>
        <v>68</v>
      </c>
      <c r="M451" s="16"/>
      <c r="N451" s="16"/>
      <c r="O451" s="16"/>
      <c r="P451" s="16"/>
    </row>
    <row r="452" spans="2:16">
      <c r="B452" t="str">
        <f t="shared" si="62"/>
        <v>BTC</v>
      </c>
      <c r="D452" s="16">
        <f>D316</f>
        <v>30</v>
      </c>
      <c r="E452" s="16">
        <f>E316</f>
        <v>29</v>
      </c>
      <c r="F452" s="16">
        <f>F316</f>
        <v>30</v>
      </c>
      <c r="G452" s="16">
        <f>G316</f>
        <v>33</v>
      </c>
      <c r="H452" s="16">
        <f>H316</f>
        <v>26</v>
      </c>
      <c r="I452" s="16"/>
      <c r="J452" s="16">
        <f>J316</f>
        <v>27</v>
      </c>
      <c r="K452" s="16">
        <f>K316</f>
        <v>31</v>
      </c>
      <c r="L452" s="16">
        <f>L316</f>
        <v>37</v>
      </c>
      <c r="M452" s="16"/>
      <c r="N452" s="16"/>
      <c r="O452" s="16"/>
      <c r="P452" s="16"/>
    </row>
    <row r="453" spans="2:16">
      <c r="B453" t="str">
        <f t="shared" si="62"/>
        <v>New Caribbean</v>
      </c>
      <c r="D453" s="16">
        <f>D343</f>
        <v>84</v>
      </c>
      <c r="E453" s="16">
        <f>E343</f>
        <v>90</v>
      </c>
      <c r="F453" s="16">
        <f>F343</f>
        <v>98</v>
      </c>
      <c r="G453" s="16">
        <f>G343</f>
        <v>114.66666666666669</v>
      </c>
      <c r="H453" s="16">
        <f>H343</f>
        <v>106</v>
      </c>
      <c r="I453" s="16"/>
      <c r="J453" s="16">
        <f>J343</f>
        <v>107</v>
      </c>
      <c r="K453" s="16">
        <f>K343</f>
        <v>118</v>
      </c>
      <c r="L453" s="16">
        <f>L343</f>
        <v>133</v>
      </c>
      <c r="M453" s="16"/>
      <c r="N453" s="16"/>
      <c r="O453" s="16"/>
      <c r="P453" s="16"/>
    </row>
    <row r="454" spans="2:16">
      <c r="B454" t="str">
        <f t="shared" si="62"/>
        <v>Seychelles</v>
      </c>
      <c r="D454" s="16">
        <f>D370</f>
        <v>5</v>
      </c>
      <c r="E454" s="16">
        <f>E370</f>
        <v>5</v>
      </c>
      <c r="F454" s="16">
        <f>F370</f>
        <v>4.5</v>
      </c>
      <c r="G454" s="16">
        <f>G370</f>
        <v>4.5</v>
      </c>
      <c r="H454" s="16">
        <f>H370</f>
        <v>5</v>
      </c>
      <c r="I454" s="16"/>
      <c r="J454" s="16">
        <f>J370</f>
        <v>5</v>
      </c>
      <c r="K454" s="16">
        <f>K370</f>
        <v>5.5</v>
      </c>
      <c r="L454" s="16">
        <f>L370</f>
        <v>6.5</v>
      </c>
      <c r="M454" s="16"/>
      <c r="N454" s="16"/>
      <c r="O454" s="16"/>
      <c r="P454" s="16"/>
    </row>
    <row r="455" spans="2:16">
      <c r="B455" t="str">
        <f t="shared" si="62"/>
        <v>Networks/Latam</v>
      </c>
      <c r="D455" s="16">
        <f>D397</f>
        <v>28</v>
      </c>
      <c r="E455" s="16">
        <f>E397</f>
        <v>29</v>
      </c>
      <c r="F455" s="16">
        <f>F397</f>
        <v>28</v>
      </c>
      <c r="G455" s="16">
        <f>G397</f>
        <v>28</v>
      </c>
      <c r="H455" s="16">
        <f>H397</f>
        <v>27</v>
      </c>
      <c r="I455" s="16"/>
      <c r="J455" s="16">
        <f>J397</f>
        <v>27</v>
      </c>
      <c r="K455" s="16">
        <f>K397</f>
        <v>35</v>
      </c>
      <c r="L455" s="16">
        <f>L397</f>
        <v>36</v>
      </c>
      <c r="M455" s="16"/>
      <c r="N455" s="16"/>
      <c r="O455" s="16"/>
      <c r="P455" s="16"/>
    </row>
    <row r="456" spans="2:16">
      <c r="B456" s="3" t="str">
        <f t="shared" si="62"/>
        <v>Other/elims</v>
      </c>
      <c r="C456" s="3"/>
      <c r="D456" s="64">
        <f>D406</f>
        <v>3.5683269476371891</v>
      </c>
      <c r="E456" s="64">
        <f>E406</f>
        <v>-12</v>
      </c>
      <c r="F456" s="64">
        <f>F406</f>
        <v>-14.327586206896541</v>
      </c>
      <c r="G456" s="64">
        <f>G406</f>
        <v>-3.0515515515515119</v>
      </c>
      <c r="H456" s="64">
        <f>H406</f>
        <v>-22</v>
      </c>
      <c r="I456" s="64"/>
      <c r="J456" s="64">
        <f>J406</f>
        <v>3</v>
      </c>
      <c r="K456" s="64">
        <f>K406</f>
        <v>-18.5</v>
      </c>
      <c r="L456" s="64">
        <f>L406</f>
        <v>4.5</v>
      </c>
      <c r="M456" s="64"/>
      <c r="N456" s="64"/>
      <c r="O456" s="64"/>
      <c r="P456" s="64"/>
    </row>
    <row r="457" spans="2:16">
      <c r="B457" s="12" t="str">
        <f t="shared" si="62"/>
        <v>Total</v>
      </c>
      <c r="C457" s="12"/>
      <c r="D457" s="600">
        <f>SUM(D451:D456)</f>
        <v>210.56832694763719</v>
      </c>
      <c r="E457" s="600">
        <f>SUM(E451:E456)</f>
        <v>200</v>
      </c>
      <c r="F457" s="600">
        <f>SUM(F451:F456)</f>
        <v>205.17241379310346</v>
      </c>
      <c r="G457" s="600">
        <f>SUM(G451:G456)</f>
        <v>240.11511511511517</v>
      </c>
      <c r="H457" s="600">
        <f>SUM(H451:H456)</f>
        <v>200</v>
      </c>
      <c r="I457" s="600"/>
      <c r="J457" s="600">
        <f>SUM(J451:J456)</f>
        <v>227</v>
      </c>
      <c r="K457" s="600">
        <f>SUM(K451:K456)</f>
        <v>238</v>
      </c>
      <c r="L457" s="600">
        <f>SUM(L451:L456)</f>
        <v>285</v>
      </c>
      <c r="M457" s="600">
        <f>M407</f>
        <v>244.85999999999999</v>
      </c>
      <c r="N457" s="600">
        <f>N407</f>
        <v>255.32639999999998</v>
      </c>
      <c r="O457" s="600">
        <f>O407</f>
        <v>263.52550000000002</v>
      </c>
      <c r="P457" s="600" t="e">
        <f>P407</f>
        <v>#REF!</v>
      </c>
    </row>
    <row r="459" spans="2:16">
      <c r="B459" s="12" t="s">
        <v>251</v>
      </c>
    </row>
    <row r="460" spans="2:16">
      <c r="B460" t="str">
        <f t="shared" ref="B460:B466" si="63">B451</f>
        <v>Panama</v>
      </c>
      <c r="D460" s="6">
        <f t="shared" ref="D460:H466" si="64">D451/D442</f>
        <v>0.40540540540540543</v>
      </c>
      <c r="E460" s="6">
        <f t="shared" si="64"/>
        <v>0.38311688311688313</v>
      </c>
      <c r="F460" s="6">
        <f t="shared" si="64"/>
        <v>0.37820512820512819</v>
      </c>
      <c r="G460" s="6">
        <f t="shared" si="64"/>
        <v>0.3539325842696629</v>
      </c>
      <c r="H460" s="6">
        <f t="shared" si="64"/>
        <v>0.36942675159235666</v>
      </c>
      <c r="I460" s="6"/>
      <c r="J460" s="6">
        <f t="shared" ref="J460:L466" si="65">J451/J442</f>
        <v>0.3515151515151515</v>
      </c>
      <c r="K460" s="6">
        <f t="shared" si="65"/>
        <v>0.4163741948674734</v>
      </c>
      <c r="L460" s="6">
        <f t="shared" si="65"/>
        <v>0.40942385333474224</v>
      </c>
      <c r="M460" s="6"/>
      <c r="N460" s="6"/>
      <c r="O460" s="6"/>
      <c r="P460" s="6"/>
    </row>
    <row r="461" spans="2:16">
      <c r="B461" t="str">
        <f t="shared" si="63"/>
        <v>BTC</v>
      </c>
      <c r="D461" s="6">
        <f t="shared" si="64"/>
        <v>0.35294117647058826</v>
      </c>
      <c r="E461" s="6">
        <f t="shared" si="64"/>
        <v>0.33720930232558138</v>
      </c>
      <c r="F461" s="6">
        <f t="shared" si="64"/>
        <v>0.34482758620689657</v>
      </c>
      <c r="G461" s="6">
        <f t="shared" si="64"/>
        <v>0.36666666666666664</v>
      </c>
      <c r="H461" s="6">
        <f t="shared" si="64"/>
        <v>0.32500000000000001</v>
      </c>
      <c r="I461" s="6"/>
      <c r="J461" s="6">
        <f t="shared" si="65"/>
        <v>0.32926829268292684</v>
      </c>
      <c r="K461" s="6">
        <f t="shared" si="65"/>
        <v>0.37349397590361444</v>
      </c>
      <c r="L461" s="6">
        <f t="shared" si="65"/>
        <v>0.44047619047619047</v>
      </c>
      <c r="M461" s="6"/>
      <c r="N461" s="6"/>
      <c r="O461" s="6"/>
      <c r="P461" s="6"/>
    </row>
    <row r="462" spans="2:16">
      <c r="B462" t="str">
        <f t="shared" si="63"/>
        <v>New Caribbean</v>
      </c>
      <c r="D462" s="6">
        <f t="shared" si="64"/>
        <v>0.32684824902723736</v>
      </c>
      <c r="E462" s="6">
        <f t="shared" si="64"/>
        <v>0.34749034749034752</v>
      </c>
      <c r="F462" s="6">
        <f t="shared" si="64"/>
        <v>0.36296296296296299</v>
      </c>
      <c r="G462" s="6">
        <f t="shared" si="64"/>
        <v>0.43270440251572334</v>
      </c>
      <c r="H462" s="6">
        <f t="shared" si="64"/>
        <v>0.38970588235294118</v>
      </c>
      <c r="I462" s="6"/>
      <c r="J462" s="6">
        <f t="shared" si="65"/>
        <v>0.3890909090909091</v>
      </c>
      <c r="K462" s="6">
        <f t="shared" si="65"/>
        <v>0.42410459569443981</v>
      </c>
      <c r="L462" s="6">
        <f t="shared" si="65"/>
        <v>0.47881900911466185</v>
      </c>
      <c r="M462" s="6"/>
      <c r="N462" s="6"/>
      <c r="O462" s="6"/>
      <c r="P462" s="6"/>
    </row>
    <row r="463" spans="2:16">
      <c r="B463" t="str">
        <f t="shared" si="63"/>
        <v>Seychelles</v>
      </c>
      <c r="D463" s="6">
        <f t="shared" si="64"/>
        <v>0.37037037037037035</v>
      </c>
      <c r="E463" s="6">
        <f t="shared" si="64"/>
        <v>0.37037037037037035</v>
      </c>
      <c r="F463" s="6">
        <f t="shared" si="64"/>
        <v>0.375</v>
      </c>
      <c r="G463" s="6">
        <f t="shared" si="64"/>
        <v>0.34615384615384615</v>
      </c>
      <c r="H463" s="6">
        <f t="shared" si="64"/>
        <v>0.35714285714285715</v>
      </c>
      <c r="I463" s="6"/>
      <c r="J463" s="6">
        <f t="shared" si="65"/>
        <v>0.38461538461538464</v>
      </c>
      <c r="K463" s="6">
        <f t="shared" si="65"/>
        <v>0.40080744481610225</v>
      </c>
      <c r="L463" s="6">
        <f t="shared" si="65"/>
        <v>0.4254567114159854</v>
      </c>
      <c r="M463" s="6"/>
      <c r="N463" s="6"/>
      <c r="O463" s="6"/>
      <c r="P463" s="6"/>
    </row>
    <row r="464" spans="2:16">
      <c r="B464" t="str">
        <f t="shared" si="63"/>
        <v>Networks/Latam</v>
      </c>
      <c r="D464" s="6">
        <f t="shared" si="64"/>
        <v>0.48275862068965519</v>
      </c>
      <c r="E464" s="6">
        <f t="shared" si="64"/>
        <v>0.46774193548387094</v>
      </c>
      <c r="F464" s="6">
        <f t="shared" si="64"/>
        <v>0.42424242424242425</v>
      </c>
      <c r="G464" s="6">
        <f t="shared" si="64"/>
        <v>0.41791044776119401</v>
      </c>
      <c r="H464" s="6">
        <f t="shared" si="64"/>
        <v>0.40909090909090912</v>
      </c>
      <c r="I464" s="6"/>
      <c r="J464" s="6">
        <f t="shared" si="65"/>
        <v>0.421875</v>
      </c>
      <c r="K464" s="6">
        <f t="shared" si="65"/>
        <v>0.53030303030303028</v>
      </c>
      <c r="L464" s="6">
        <f t="shared" si="65"/>
        <v>0.53731343283582089</v>
      </c>
      <c r="M464" s="6"/>
      <c r="N464" s="6"/>
      <c r="O464" s="6"/>
      <c r="P464" s="6"/>
    </row>
    <row r="465" spans="2:16">
      <c r="B465" s="3" t="str">
        <f t="shared" si="63"/>
        <v>Other/elims</v>
      </c>
      <c r="C465" s="3"/>
      <c r="D465" s="7">
        <f t="shared" si="64"/>
        <v>-3.8656875266070281</v>
      </c>
      <c r="E465" s="7">
        <f t="shared" si="64"/>
        <v>3.8999999999999777</v>
      </c>
      <c r="F465" s="7">
        <f t="shared" si="64"/>
        <v>7.5763675753744435</v>
      </c>
      <c r="G465" s="7">
        <f t="shared" si="64"/>
        <v>0.75526898810156928</v>
      </c>
      <c r="H465" s="7">
        <f t="shared" si="64"/>
        <v>3.6666666666666665</v>
      </c>
      <c r="I465" s="7"/>
      <c r="J465" s="7">
        <f t="shared" si="65"/>
        <v>-1</v>
      </c>
      <c r="K465" s="7">
        <f t="shared" si="65"/>
        <v>2.6934556307781858</v>
      </c>
      <c r="L465" s="7">
        <f t="shared" si="65"/>
        <v>-0.87693656825489819</v>
      </c>
      <c r="M465" s="7"/>
      <c r="N465" s="7"/>
      <c r="O465" s="7"/>
      <c r="P465" s="7"/>
    </row>
    <row r="466" spans="2:16">
      <c r="B466" s="12" t="str">
        <f t="shared" si="63"/>
        <v>Total</v>
      </c>
      <c r="C466" s="12"/>
      <c r="D466" s="602">
        <f t="shared" si="64"/>
        <v>0.37562789026679705</v>
      </c>
      <c r="E466" s="602">
        <f t="shared" si="64"/>
        <v>0.35000336541697519</v>
      </c>
      <c r="F466" s="602">
        <f t="shared" si="64"/>
        <v>0.34827586206896555</v>
      </c>
      <c r="G466" s="602">
        <f t="shared" si="64"/>
        <v>0.39430381860898062</v>
      </c>
      <c r="H466" s="602">
        <f t="shared" si="64"/>
        <v>0.34305317324185247</v>
      </c>
      <c r="I466" s="602"/>
      <c r="J466" s="602">
        <f t="shared" si="65"/>
        <v>0.38087248322147649</v>
      </c>
      <c r="K466" s="602">
        <f t="shared" si="65"/>
        <v>0.4</v>
      </c>
      <c r="L466" s="602">
        <f t="shared" si="65"/>
        <v>0.47107438016528924</v>
      </c>
      <c r="M466" s="602">
        <f>M457/M448</f>
        <v>0.42</v>
      </c>
      <c r="N466" s="602">
        <f>N457/N448</f>
        <v>0.42</v>
      </c>
      <c r="O466" s="602">
        <f>O457/O448</f>
        <v>0.43</v>
      </c>
      <c r="P466" s="602" t="e">
        <f>P457/P448</f>
        <v>#REF!</v>
      </c>
    </row>
    <row r="468" spans="2:16">
      <c r="B468" s="12" t="s">
        <v>19</v>
      </c>
    </row>
    <row r="469" spans="2:16">
      <c r="B469" t="str">
        <f t="shared" ref="B469:B475" si="66">B460</f>
        <v>Panama</v>
      </c>
      <c r="D469" s="16">
        <f>D291</f>
        <v>30</v>
      </c>
      <c r="E469" s="16">
        <f>E291</f>
        <v>28</v>
      </c>
      <c r="F469" s="16">
        <f>F291</f>
        <v>35</v>
      </c>
      <c r="G469" s="16">
        <f>G291</f>
        <v>33</v>
      </c>
      <c r="H469" s="16">
        <f>H291</f>
        <v>27</v>
      </c>
      <c r="I469" s="16"/>
      <c r="J469" s="16">
        <f>J291</f>
        <v>26</v>
      </c>
      <c r="K469" s="16">
        <f>K291</f>
        <v>25</v>
      </c>
      <c r="L469" s="16">
        <f>L291</f>
        <v>25</v>
      </c>
      <c r="M469" s="16"/>
      <c r="N469" s="16"/>
      <c r="O469" s="16"/>
      <c r="P469" s="16"/>
    </row>
    <row r="470" spans="2:16">
      <c r="B470" t="str">
        <f t="shared" si="66"/>
        <v>BTC</v>
      </c>
      <c r="D470" s="16">
        <f>D318</f>
        <v>12</v>
      </c>
      <c r="E470" s="16">
        <f>E318</f>
        <v>15</v>
      </c>
      <c r="F470" s="16">
        <f>F318</f>
        <v>23</v>
      </c>
      <c r="G470" s="16">
        <f>G318</f>
        <v>25</v>
      </c>
      <c r="H470" s="16">
        <f>H318</f>
        <v>18</v>
      </c>
      <c r="I470" s="16"/>
      <c r="J470" s="16">
        <f>J318</f>
        <v>18</v>
      </c>
      <c r="K470" s="16">
        <f>K318</f>
        <v>17</v>
      </c>
      <c r="L470" s="16">
        <f>L318</f>
        <v>17</v>
      </c>
      <c r="M470" s="16"/>
      <c r="N470" s="16"/>
      <c r="O470" s="16"/>
      <c r="P470" s="16"/>
    </row>
    <row r="471" spans="2:16">
      <c r="B471" t="str">
        <f t="shared" si="66"/>
        <v>New Caribbean</v>
      </c>
      <c r="D471" s="16">
        <f>D345</f>
        <v>70</v>
      </c>
      <c r="E471" s="16">
        <f>E345</f>
        <v>72</v>
      </c>
      <c r="F471" s="16">
        <f>F345</f>
        <v>85</v>
      </c>
      <c r="G471" s="16">
        <f>G345</f>
        <v>87</v>
      </c>
      <c r="H471" s="16">
        <f>H345</f>
        <v>67</v>
      </c>
      <c r="I471" s="16"/>
      <c r="J471" s="16">
        <f>J345</f>
        <v>66</v>
      </c>
      <c r="K471" s="16">
        <f>K345</f>
        <v>70</v>
      </c>
      <c r="L471" s="16">
        <f>L345</f>
        <v>65</v>
      </c>
      <c r="M471" s="16"/>
      <c r="N471" s="16"/>
      <c r="O471" s="16"/>
      <c r="P471" s="16"/>
    </row>
    <row r="472" spans="2:16">
      <c r="B472" t="str">
        <f t="shared" si="66"/>
        <v>Seychelles</v>
      </c>
      <c r="D472" s="16">
        <f>D372</f>
        <v>2</v>
      </c>
      <c r="E472" s="16">
        <f>E372</f>
        <v>2</v>
      </c>
      <c r="F472" s="16">
        <f>F372</f>
        <v>4</v>
      </c>
      <c r="G472" s="16">
        <f>G372</f>
        <v>4</v>
      </c>
      <c r="H472" s="16">
        <f>H372</f>
        <v>3</v>
      </c>
      <c r="I472" s="16"/>
      <c r="J472" s="16">
        <f>J372</f>
        <v>3</v>
      </c>
      <c r="K472" s="16">
        <f>K372</f>
        <v>3</v>
      </c>
      <c r="L472" s="16">
        <f>L372</f>
        <v>3</v>
      </c>
      <c r="M472" s="16"/>
      <c r="N472" s="16"/>
      <c r="O472" s="16"/>
      <c r="P472" s="16"/>
    </row>
    <row r="473" spans="2:16">
      <c r="B473" t="str">
        <f t="shared" si="66"/>
        <v>Networks/Latam</v>
      </c>
      <c r="D473" s="16">
        <f>D399</f>
        <v>20</v>
      </c>
      <c r="E473" s="16">
        <f>E399</f>
        <v>21</v>
      </c>
      <c r="F473" s="16">
        <f>F399</f>
        <v>25</v>
      </c>
      <c r="G473" s="16">
        <f>G399</f>
        <v>25</v>
      </c>
      <c r="H473" s="16">
        <f>H399</f>
        <v>17</v>
      </c>
      <c r="I473" s="16"/>
      <c r="J473" s="16">
        <f>J399</f>
        <v>17</v>
      </c>
      <c r="K473" s="16">
        <f>K399</f>
        <v>18</v>
      </c>
      <c r="L473" s="16">
        <f>L399</f>
        <v>17</v>
      </c>
      <c r="M473" s="16"/>
      <c r="N473" s="16"/>
      <c r="O473" s="16"/>
      <c r="P473" s="16"/>
    </row>
    <row r="474" spans="2:16">
      <c r="B474" s="3" t="str">
        <f t="shared" si="66"/>
        <v>Other/elims</v>
      </c>
      <c r="C474" s="3"/>
      <c r="D474" s="64">
        <f>D416</f>
        <v>2.3219094247246232</v>
      </c>
      <c r="E474" s="64">
        <f>E416</f>
        <v>12</v>
      </c>
      <c r="F474" s="64">
        <f>F416</f>
        <v>5.6315789473684106</v>
      </c>
      <c r="G474" s="64">
        <f>G416</f>
        <v>9.0465116279069946</v>
      </c>
      <c r="H474" s="64">
        <f>H416</f>
        <v>1</v>
      </c>
      <c r="I474" s="64"/>
      <c r="J474" s="64">
        <f>J416</f>
        <v>1</v>
      </c>
      <c r="K474" s="64">
        <f>K416</f>
        <v>2</v>
      </c>
      <c r="L474" s="64">
        <f>L416</f>
        <v>2</v>
      </c>
      <c r="M474" s="64"/>
      <c r="N474" s="64"/>
      <c r="O474" s="64"/>
      <c r="P474" s="64"/>
    </row>
    <row r="475" spans="2:16">
      <c r="B475" s="12" t="str">
        <f t="shared" si="66"/>
        <v>Total</v>
      </c>
      <c r="C475" s="12"/>
      <c r="D475" s="600">
        <f>SUM(D469:D474)</f>
        <v>136.32190942472462</v>
      </c>
      <c r="E475" s="600">
        <f>SUM(E469:E474)</f>
        <v>150</v>
      </c>
      <c r="F475" s="600">
        <f>SUM(F469:F474)</f>
        <v>177.63157894736841</v>
      </c>
      <c r="G475" s="600">
        <f>SUM(G469:G474)</f>
        <v>183.04651162790699</v>
      </c>
      <c r="H475" s="600">
        <f>SUM(H469:H474)</f>
        <v>133</v>
      </c>
      <c r="I475" s="600"/>
      <c r="J475" s="600">
        <f>SUM(J469:J474)</f>
        <v>131</v>
      </c>
      <c r="K475" s="600">
        <f>SUM(K469:K474)</f>
        <v>135</v>
      </c>
      <c r="L475" s="600">
        <f>SUM(L469:L474)</f>
        <v>129</v>
      </c>
      <c r="M475" s="600">
        <f>M431</f>
        <v>0.24</v>
      </c>
      <c r="N475" s="600">
        <f>N431</f>
        <v>0.24</v>
      </c>
      <c r="O475" s="600">
        <f>O431</f>
        <v>0.24</v>
      </c>
      <c r="P475" s="600">
        <f>P431</f>
        <v>0.24</v>
      </c>
    </row>
    <row r="477" spans="2:16">
      <c r="B477" s="12" t="s">
        <v>251</v>
      </c>
    </row>
    <row r="478" spans="2:16">
      <c r="B478" t="str">
        <f t="shared" ref="B478:B484" si="67">B469</f>
        <v>Panama</v>
      </c>
      <c r="D478" s="6">
        <f t="shared" ref="D478:H484" si="68">D469/D442</f>
        <v>0.20270270270270271</v>
      </c>
      <c r="E478" s="6">
        <f t="shared" si="68"/>
        <v>0.18181818181818182</v>
      </c>
      <c r="F478" s="6">
        <f t="shared" si="68"/>
        <v>0.22435897435897437</v>
      </c>
      <c r="G478" s="6">
        <f t="shared" si="68"/>
        <v>0.1853932584269663</v>
      </c>
      <c r="H478" s="6">
        <f t="shared" si="68"/>
        <v>0.17197452229299362</v>
      </c>
      <c r="I478" s="6"/>
      <c r="J478" s="6">
        <f t="shared" ref="J478:L484" si="69">J469/J442</f>
        <v>0.15757575757575756</v>
      </c>
      <c r="K478" s="6">
        <f t="shared" si="69"/>
        <v>0.1553635055475647</v>
      </c>
      <c r="L478" s="6">
        <f t="shared" si="69"/>
        <v>0.15052347549071404</v>
      </c>
      <c r="M478" s="6"/>
      <c r="N478" s="6"/>
      <c r="O478" s="6"/>
      <c r="P478" s="6"/>
    </row>
    <row r="479" spans="2:16">
      <c r="B479" t="str">
        <f t="shared" si="67"/>
        <v>BTC</v>
      </c>
      <c r="D479" s="6">
        <f t="shared" si="68"/>
        <v>0.14117647058823529</v>
      </c>
      <c r="E479" s="6">
        <f t="shared" si="68"/>
        <v>0.1744186046511628</v>
      </c>
      <c r="F479" s="6">
        <f t="shared" si="68"/>
        <v>0.26436781609195403</v>
      </c>
      <c r="G479" s="6">
        <f t="shared" si="68"/>
        <v>0.27777777777777779</v>
      </c>
      <c r="H479" s="6">
        <f t="shared" si="68"/>
        <v>0.22500000000000001</v>
      </c>
      <c r="I479" s="6"/>
      <c r="J479" s="6">
        <f t="shared" si="69"/>
        <v>0.21951219512195122</v>
      </c>
      <c r="K479" s="6">
        <f t="shared" si="69"/>
        <v>0.20481927710843373</v>
      </c>
      <c r="L479" s="6">
        <f t="shared" si="69"/>
        <v>0.20238095238095238</v>
      </c>
      <c r="M479" s="6"/>
      <c r="N479" s="6"/>
      <c r="O479" s="6"/>
      <c r="P479" s="6"/>
    </row>
    <row r="480" spans="2:16">
      <c r="B480" t="str">
        <f t="shared" si="67"/>
        <v>New Caribbean</v>
      </c>
      <c r="D480" s="6">
        <f t="shared" si="68"/>
        <v>0.2723735408560311</v>
      </c>
      <c r="E480" s="6">
        <f t="shared" si="68"/>
        <v>0.27799227799227799</v>
      </c>
      <c r="F480" s="6">
        <f t="shared" si="68"/>
        <v>0.31481481481481483</v>
      </c>
      <c r="G480" s="6">
        <f t="shared" si="68"/>
        <v>0.32830188679245281</v>
      </c>
      <c r="H480" s="6">
        <f t="shared" si="68"/>
        <v>0.24632352941176472</v>
      </c>
      <c r="I480" s="6"/>
      <c r="J480" s="6">
        <f t="shared" si="69"/>
        <v>0.24</v>
      </c>
      <c r="K480" s="6">
        <f t="shared" si="69"/>
        <v>0.25158747202212534</v>
      </c>
      <c r="L480" s="6">
        <f t="shared" si="69"/>
        <v>0.23400929016881969</v>
      </c>
      <c r="M480" s="6"/>
      <c r="N480" s="6"/>
      <c r="O480" s="6"/>
      <c r="P480" s="6"/>
    </row>
    <row r="481" spans="2:25">
      <c r="B481" t="str">
        <f t="shared" si="67"/>
        <v>Seychelles</v>
      </c>
      <c r="D481" s="6">
        <f t="shared" si="68"/>
        <v>0.14814814814814814</v>
      </c>
      <c r="E481" s="6">
        <f t="shared" si="68"/>
        <v>0.14814814814814814</v>
      </c>
      <c r="F481" s="6">
        <f t="shared" si="68"/>
        <v>0.33333333333333331</v>
      </c>
      <c r="G481" s="6">
        <f t="shared" si="68"/>
        <v>0.30769230769230771</v>
      </c>
      <c r="H481" s="6">
        <f t="shared" si="68"/>
        <v>0.21428571428571427</v>
      </c>
      <c r="I481" s="6"/>
      <c r="J481" s="6">
        <f t="shared" si="69"/>
        <v>0.23076923076923078</v>
      </c>
      <c r="K481" s="6">
        <f t="shared" si="69"/>
        <v>0.21862224262696486</v>
      </c>
      <c r="L481" s="6">
        <f t="shared" si="69"/>
        <v>0.19636463603814711</v>
      </c>
      <c r="M481" s="6"/>
      <c r="N481" s="6"/>
      <c r="O481" s="6"/>
      <c r="P481" s="6"/>
    </row>
    <row r="482" spans="2:25">
      <c r="B482" t="str">
        <f t="shared" si="67"/>
        <v>Networks/Latam</v>
      </c>
      <c r="D482" s="6">
        <f t="shared" si="68"/>
        <v>0.34482758620689657</v>
      </c>
      <c r="E482" s="6">
        <f t="shared" si="68"/>
        <v>0.33870967741935482</v>
      </c>
      <c r="F482" s="6">
        <f t="shared" si="68"/>
        <v>0.37878787878787878</v>
      </c>
      <c r="G482" s="6">
        <f t="shared" si="68"/>
        <v>0.37313432835820898</v>
      </c>
      <c r="H482" s="6">
        <f t="shared" si="68"/>
        <v>0.25757575757575757</v>
      </c>
      <c r="I482" s="6"/>
      <c r="J482" s="6">
        <f t="shared" si="69"/>
        <v>0.265625</v>
      </c>
      <c r="K482" s="6">
        <f t="shared" si="69"/>
        <v>0.27272727272727271</v>
      </c>
      <c r="L482" s="6">
        <f t="shared" si="69"/>
        <v>0.2537313432835821</v>
      </c>
      <c r="M482" s="6"/>
      <c r="N482" s="6"/>
      <c r="O482" s="6"/>
      <c r="P482" s="6"/>
    </row>
    <row r="483" spans="2:25">
      <c r="B483" s="3" t="str">
        <f t="shared" si="67"/>
        <v>Other/elims</v>
      </c>
      <c r="C483" s="3"/>
      <c r="D483" s="7">
        <f t="shared" si="68"/>
        <v>-2.5154018767850563</v>
      </c>
      <c r="E483" s="7">
        <f t="shared" si="68"/>
        <v>-3.8999999999999777</v>
      </c>
      <c r="F483" s="7">
        <f t="shared" si="68"/>
        <v>-2.9779553596031252</v>
      </c>
      <c r="G483" s="7">
        <f t="shared" si="68"/>
        <v>-2.2390412115386016</v>
      </c>
      <c r="H483" s="7">
        <f t="shared" si="68"/>
        <v>-0.16666666666666666</v>
      </c>
      <c r="I483" s="7"/>
      <c r="J483" s="7">
        <f t="shared" si="69"/>
        <v>-0.33333333333333331</v>
      </c>
      <c r="K483" s="7">
        <f t="shared" si="69"/>
        <v>-0.29118439251656064</v>
      </c>
      <c r="L483" s="7">
        <f t="shared" si="69"/>
        <v>-0.3897495858910659</v>
      </c>
      <c r="M483" s="7"/>
      <c r="N483" s="7"/>
      <c r="O483" s="7"/>
      <c r="P483" s="7"/>
    </row>
    <row r="484" spans="2:25">
      <c r="B484" s="12" t="str">
        <f t="shared" si="67"/>
        <v>Total</v>
      </c>
      <c r="C484" s="12"/>
      <c r="D484" s="602">
        <f t="shared" si="68"/>
        <v>0.24318145077480893</v>
      </c>
      <c r="E484" s="602">
        <f t="shared" si="68"/>
        <v>0.26250252406273139</v>
      </c>
      <c r="F484" s="602">
        <f t="shared" si="68"/>
        <v>0.30152587350729765</v>
      </c>
      <c r="G484" s="602">
        <f t="shared" si="68"/>
        <v>0.300588900800079</v>
      </c>
      <c r="H484" s="602">
        <f t="shared" si="68"/>
        <v>0.22813036020583191</v>
      </c>
      <c r="I484" s="602"/>
      <c r="J484" s="602">
        <f t="shared" si="69"/>
        <v>0.21979865771812079</v>
      </c>
      <c r="K484" s="602">
        <f t="shared" si="69"/>
        <v>0.22689075630252101</v>
      </c>
      <c r="L484" s="602">
        <f t="shared" si="69"/>
        <v>0.21322314049586777</v>
      </c>
      <c r="M484" s="602">
        <f>M475/M466</f>
        <v>0.5714285714285714</v>
      </c>
      <c r="N484" s="602">
        <f>N475/N466</f>
        <v>0.5714285714285714</v>
      </c>
      <c r="O484" s="602">
        <f>O475/O466</f>
        <v>0.55813953488372092</v>
      </c>
      <c r="P484" s="602" t="e">
        <f>P475/P466</f>
        <v>#REF!</v>
      </c>
    </row>
    <row r="486" spans="2:25">
      <c r="B486" s="12" t="s">
        <v>30</v>
      </c>
      <c r="C486" s="12"/>
    </row>
    <row r="487" spans="2:25">
      <c r="B487" s="552" t="s">
        <v>15</v>
      </c>
      <c r="C487" s="553">
        <f t="shared" ref="C487:H487" si="70">C375</f>
        <v>41699</v>
      </c>
      <c r="D487" s="553">
        <f t="shared" si="70"/>
        <v>41791</v>
      </c>
      <c r="E487" s="553">
        <f t="shared" si="70"/>
        <v>41883</v>
      </c>
      <c r="F487" s="553">
        <f t="shared" si="70"/>
        <v>41974</v>
      </c>
      <c r="G487" s="553">
        <f t="shared" si="70"/>
        <v>42064</v>
      </c>
      <c r="H487" s="553">
        <f t="shared" si="70"/>
        <v>42156</v>
      </c>
      <c r="I487" s="553"/>
      <c r="J487" s="553">
        <f>J375</f>
        <v>42248</v>
      </c>
      <c r="K487" s="553">
        <f>K375</f>
        <v>42339</v>
      </c>
      <c r="L487" s="553">
        <f>L375</f>
        <v>42430</v>
      </c>
    </row>
    <row r="488" spans="2:25">
      <c r="B488" t="s">
        <v>2067</v>
      </c>
      <c r="G488" s="16">
        <v>66.769000000000005</v>
      </c>
      <c r="H488" s="16"/>
      <c r="I488" s="16"/>
      <c r="J488" s="16"/>
      <c r="K488" s="16"/>
      <c r="L488" s="16">
        <v>53.954000000000001</v>
      </c>
      <c r="Y488" s="5">
        <f>L488/G488-1</f>
        <v>-0.19193038685617581</v>
      </c>
    </row>
    <row r="489" spans="2:25">
      <c r="B489" t="s">
        <v>1412</v>
      </c>
      <c r="G489" s="16">
        <v>95.364999999999995</v>
      </c>
      <c r="H489" s="16"/>
      <c r="I489" s="16"/>
      <c r="J489" s="16"/>
      <c r="K489" s="16"/>
      <c r="L489" s="16">
        <v>111.724</v>
      </c>
      <c r="Y489" s="5">
        <f>L489/G489-1</f>
        <v>0.17154092172180579</v>
      </c>
    </row>
    <row r="490" spans="2:25">
      <c r="B490" s="3" t="s">
        <v>2061</v>
      </c>
      <c r="C490" s="3"/>
      <c r="D490" s="3"/>
      <c r="E490" s="3"/>
      <c r="F490" s="3"/>
      <c r="G490" s="64">
        <v>-3</v>
      </c>
      <c r="H490" s="64"/>
      <c r="I490" s="64"/>
      <c r="J490" s="64"/>
      <c r="K490" s="64"/>
      <c r="L490" s="64">
        <v>-2.6</v>
      </c>
    </row>
    <row r="491" spans="2:25">
      <c r="B491" t="s">
        <v>16</v>
      </c>
      <c r="G491" s="16">
        <f>SUM(G488:G490)</f>
        <v>159.13400000000001</v>
      </c>
      <c r="H491" s="16">
        <f>455.9-J491-G491</f>
        <v>143.76599999999996</v>
      </c>
      <c r="I491" s="16"/>
      <c r="J491" s="16">
        <v>153</v>
      </c>
      <c r="K491" s="16"/>
      <c r="L491" s="16">
        <f>SUM(L488:L490)</f>
        <v>163.078</v>
      </c>
      <c r="W491" s="5"/>
      <c r="X491" s="5"/>
      <c r="Y491" s="5">
        <f>L491/G491-1</f>
        <v>2.4784144180376222E-2</v>
      </c>
    </row>
    <row r="492" spans="2:25">
      <c r="B492" t="s">
        <v>2068</v>
      </c>
      <c r="C492" s="599">
        <v>129</v>
      </c>
      <c r="D492" s="16">
        <f>406.579-E492-C492</f>
        <v>131.779</v>
      </c>
      <c r="E492" s="16">
        <v>145.80000000000001</v>
      </c>
      <c r="G492" s="599">
        <v>150</v>
      </c>
      <c r="H492" s="16">
        <f>455.9-J492-G492</f>
        <v>152.89999999999998</v>
      </c>
      <c r="I492" s="16"/>
      <c r="J492" s="16">
        <v>153</v>
      </c>
      <c r="K492" s="16"/>
      <c r="L492" s="16"/>
      <c r="U492" s="5">
        <f>G492/C492-1</f>
        <v>0.16279069767441867</v>
      </c>
      <c r="V492" s="5">
        <f>H492/D492-1</f>
        <v>0.16027591649655859</v>
      </c>
      <c r="W492" s="5">
        <f>J492/E492-1</f>
        <v>4.9382716049382713E-2</v>
      </c>
      <c r="X492" s="5"/>
      <c r="Y492" s="5"/>
    </row>
    <row r="493" spans="2:25">
      <c r="G493" s="16"/>
      <c r="H493" s="16"/>
      <c r="I493" s="16"/>
      <c r="J493" s="16"/>
      <c r="K493" s="16"/>
      <c r="L493" s="16"/>
    </row>
    <row r="494" spans="2:25">
      <c r="B494" s="12" t="s">
        <v>8</v>
      </c>
      <c r="C494" s="12"/>
      <c r="G494" s="16"/>
      <c r="H494" s="16"/>
      <c r="I494" s="16"/>
      <c r="J494" s="16"/>
      <c r="K494" s="16"/>
      <c r="L494" s="16"/>
    </row>
    <row r="495" spans="2:25">
      <c r="B495" t="str">
        <f>B488</f>
        <v>Colombus Networks</v>
      </c>
      <c r="G495" s="16">
        <v>25.7</v>
      </c>
      <c r="H495" s="16"/>
      <c r="I495" s="16"/>
      <c r="J495" s="16"/>
      <c r="K495" s="16"/>
      <c r="L495" s="16">
        <v>23.3</v>
      </c>
      <c r="Y495" s="5">
        <f>L495/G495-1</f>
        <v>-9.3385214007782102E-2</v>
      </c>
    </row>
    <row r="496" spans="2:25">
      <c r="B496" t="str">
        <f>B489</f>
        <v>FLOW</v>
      </c>
      <c r="G496" s="16">
        <v>40.4</v>
      </c>
      <c r="H496" s="16"/>
      <c r="I496" s="16"/>
      <c r="J496" s="16"/>
      <c r="K496" s="16"/>
      <c r="L496" s="16">
        <v>58</v>
      </c>
      <c r="Y496" s="5">
        <f>L496/G496-1</f>
        <v>0.43564356435643559</v>
      </c>
    </row>
    <row r="497" spans="2:25">
      <c r="B497" s="3" t="str">
        <f>B490</f>
        <v>Other/elims</v>
      </c>
      <c r="C497" s="3"/>
      <c r="D497" s="3"/>
      <c r="E497" s="3"/>
      <c r="F497" s="3"/>
      <c r="G497" s="64">
        <v>-2</v>
      </c>
      <c r="H497" s="64"/>
      <c r="I497" s="64"/>
      <c r="J497" s="64"/>
      <c r="K497" s="64"/>
      <c r="L497" s="64">
        <v>-4</v>
      </c>
    </row>
    <row r="498" spans="2:25">
      <c r="B498" t="str">
        <f>B491</f>
        <v>Total</v>
      </c>
      <c r="G498" s="16">
        <f>SUM(G495:G497)</f>
        <v>64.099999999999994</v>
      </c>
      <c r="H498" s="16"/>
      <c r="I498" s="16"/>
      <c r="J498" s="16"/>
      <c r="K498" s="16"/>
      <c r="L498" s="16">
        <f>SUM(L495:L497)</f>
        <v>77.3</v>
      </c>
      <c r="Y498" s="5">
        <f>L498/G498-1</f>
        <v>0.20592823712948527</v>
      </c>
    </row>
    <row r="500" spans="2:25">
      <c r="B500" s="12" t="s">
        <v>18</v>
      </c>
      <c r="C500" s="12"/>
    </row>
    <row r="501" spans="2:25">
      <c r="B501" t="str">
        <f>B495</f>
        <v>Colombus Networks</v>
      </c>
      <c r="G501" s="5">
        <f>G495/G488</f>
        <v>0.38490916443259593</v>
      </c>
      <c r="L501" s="5">
        <f>L495/L488</f>
        <v>0.43184935315268563</v>
      </c>
    </row>
    <row r="502" spans="2:25">
      <c r="B502" s="3" t="str">
        <f>B496</f>
        <v>FLOW</v>
      </c>
      <c r="C502" s="3"/>
      <c r="D502" s="3"/>
      <c r="E502" s="3"/>
      <c r="F502" s="3"/>
      <c r="G502" s="512">
        <f>G496/G489</f>
        <v>0.42363550568866987</v>
      </c>
      <c r="H502" s="3"/>
      <c r="I502" s="3"/>
      <c r="J502" s="3"/>
      <c r="K502" s="3"/>
      <c r="L502" s="512">
        <f>L496/L489</f>
        <v>0.5191364433783251</v>
      </c>
    </row>
    <row r="503" spans="2:25">
      <c r="B503" t="str">
        <f>B498</f>
        <v>Total</v>
      </c>
      <c r="G503" s="5">
        <f>G498/G491</f>
        <v>0.40280518305327578</v>
      </c>
      <c r="L503" s="5">
        <f>L498/L491</f>
        <v>0.47400630373195646</v>
      </c>
    </row>
    <row r="505" spans="2:25">
      <c r="B505" s="552" t="s">
        <v>1618</v>
      </c>
      <c r="C505" s="552"/>
      <c r="D505" s="553">
        <f>W267</f>
        <v>42248</v>
      </c>
      <c r="E505" s="553">
        <f>X267</f>
        <v>42339</v>
      </c>
    </row>
    <row r="506" spans="2:25">
      <c r="B506" t="s">
        <v>0</v>
      </c>
      <c r="D506" s="6">
        <f>W285</f>
        <v>-3.4398894682493575E-2</v>
      </c>
      <c r="E506" s="6">
        <f>X285</f>
        <v>-1.6712155147365904E-3</v>
      </c>
    </row>
    <row r="507" spans="2:25">
      <c r="B507" t="s">
        <v>2</v>
      </c>
      <c r="D507" s="6">
        <f>W312</f>
        <v>-6.282020208773853E-2</v>
      </c>
      <c r="E507" s="6">
        <f>X312</f>
        <v>-6.1025941551738239E-2</v>
      </c>
    </row>
    <row r="508" spans="2:25">
      <c r="B508" t="s">
        <v>1415</v>
      </c>
      <c r="D508" s="6">
        <f>W339</f>
        <v>6.8426764989174549E-2</v>
      </c>
      <c r="E508" s="6">
        <f>X339</f>
        <v>3.5685089600709041E-2</v>
      </c>
    </row>
    <row r="509" spans="2:25">
      <c r="B509" s="7" t="s">
        <v>3</v>
      </c>
      <c r="C509" s="7"/>
      <c r="D509" s="7">
        <f>W366</f>
        <v>7.0211493909274392E-2</v>
      </c>
      <c r="E509" s="7">
        <f>X366</f>
        <v>0.18993236212278886</v>
      </c>
    </row>
    <row r="510" spans="2:25">
      <c r="B510" t="s">
        <v>90</v>
      </c>
      <c r="D510" s="6">
        <f>W393</f>
        <v>1.4600573228501723E-2</v>
      </c>
      <c r="E510" s="6">
        <f>X393</f>
        <v>1.2520157090812889E-2</v>
      </c>
    </row>
    <row r="512" spans="2:25">
      <c r="B512" s="13" t="s">
        <v>1605</v>
      </c>
      <c r="C512" s="13"/>
      <c r="L512" s="5"/>
      <c r="M512" s="5"/>
      <c r="N512" s="5"/>
      <c r="O512" s="5"/>
      <c r="P512" s="5"/>
      <c r="Q512" s="5"/>
      <c r="R512" s="5"/>
      <c r="S512" s="5"/>
      <c r="T512" s="5"/>
      <c r="U512" s="5"/>
    </row>
    <row r="513" spans="2:5">
      <c r="B513" t="s">
        <v>1571</v>
      </c>
    </row>
    <row r="514" spans="2:5">
      <c r="B514" t="s">
        <v>1572</v>
      </c>
    </row>
    <row r="515" spans="2:5">
      <c r="B515" t="s">
        <v>1573</v>
      </c>
    </row>
    <row r="517" spans="2:5">
      <c r="B517" t="s">
        <v>1574</v>
      </c>
    </row>
    <row r="518" spans="2:5">
      <c r="D518" t="s">
        <v>1575</v>
      </c>
    </row>
    <row r="519" spans="2:5">
      <c r="D519" t="s">
        <v>1576</v>
      </c>
    </row>
    <row r="520" spans="2:5">
      <c r="D520" t="s">
        <v>1577</v>
      </c>
    </row>
    <row r="521" spans="2:5">
      <c r="E521" t="s">
        <v>1578</v>
      </c>
    </row>
    <row r="522" spans="2:5">
      <c r="B522" t="s">
        <v>1579</v>
      </c>
    </row>
    <row r="524" spans="2:5">
      <c r="B524" t="s">
        <v>1580</v>
      </c>
    </row>
    <row r="525" spans="2:5">
      <c r="D525" t="s">
        <v>1581</v>
      </c>
    </row>
    <row r="527" spans="2:5">
      <c r="B527" t="s">
        <v>1582</v>
      </c>
      <c r="D527" t="s">
        <v>1583</v>
      </c>
    </row>
    <row r="529" spans="2:5">
      <c r="B529" t="s">
        <v>52</v>
      </c>
    </row>
    <row r="530" spans="2:5">
      <c r="D530" s="5" t="s">
        <v>1585</v>
      </c>
    </row>
    <row r="531" spans="2:5">
      <c r="D531" t="s">
        <v>1584</v>
      </c>
    </row>
    <row r="533" spans="2:5">
      <c r="B533" t="s">
        <v>1586</v>
      </c>
    </row>
    <row r="534" spans="2:5">
      <c r="D534" t="s">
        <v>1587</v>
      </c>
    </row>
    <row r="535" spans="2:5">
      <c r="D535" t="s">
        <v>1588</v>
      </c>
    </row>
    <row r="536" spans="2:5">
      <c r="D536" t="s">
        <v>1589</v>
      </c>
    </row>
    <row r="538" spans="2:5">
      <c r="D538" t="s">
        <v>1593</v>
      </c>
    </row>
    <row r="539" spans="2:5">
      <c r="E539" t="s">
        <v>1590</v>
      </c>
    </row>
    <row r="540" spans="2:5">
      <c r="E540" t="s">
        <v>1591</v>
      </c>
    </row>
    <row r="541" spans="2:5">
      <c r="E541" t="s">
        <v>1592</v>
      </c>
    </row>
    <row r="543" spans="2:5">
      <c r="B543" t="s">
        <v>399</v>
      </c>
    </row>
    <row r="544" spans="2:5">
      <c r="D544" t="s">
        <v>1594</v>
      </c>
    </row>
    <row r="545" spans="2:4">
      <c r="D545" t="s">
        <v>1595</v>
      </c>
    </row>
    <row r="547" spans="2:4">
      <c r="B547" t="s">
        <v>8</v>
      </c>
    </row>
    <row r="548" spans="2:4">
      <c r="D548" t="s">
        <v>1596</v>
      </c>
    </row>
    <row r="549" spans="2:4">
      <c r="D549" t="s">
        <v>1597</v>
      </c>
    </row>
    <row r="551" spans="2:4">
      <c r="B551" t="s">
        <v>1598</v>
      </c>
    </row>
    <row r="552" spans="2:4">
      <c r="D552" t="s">
        <v>1599</v>
      </c>
    </row>
    <row r="553" spans="2:4">
      <c r="D553" t="s">
        <v>1600</v>
      </c>
    </row>
    <row r="555" spans="2:4">
      <c r="B555" s="13" t="s">
        <v>428</v>
      </c>
      <c r="C555" s="13"/>
    </row>
    <row r="557" spans="2:4">
      <c r="B557" t="s">
        <v>1601</v>
      </c>
    </row>
    <row r="558" spans="2:4">
      <c r="D558" t="s">
        <v>1602</v>
      </c>
    </row>
    <row r="559" spans="2:4">
      <c r="D559" t="s">
        <v>1603</v>
      </c>
    </row>
    <row r="560" spans="2:4">
      <c r="D560" t="s">
        <v>1604</v>
      </c>
    </row>
    <row r="562" spans="2:23">
      <c r="D562" t="s">
        <v>1606</v>
      </c>
    </row>
    <row r="564" spans="2:23">
      <c r="B564" s="12" t="s">
        <v>358</v>
      </c>
      <c r="C564" s="12"/>
    </row>
    <row r="565" spans="2:23">
      <c r="B565" t="s">
        <v>1607</v>
      </c>
    </row>
    <row r="566" spans="2:23">
      <c r="D566" t="s">
        <v>1608</v>
      </c>
    </row>
    <row r="567" spans="2:23">
      <c r="D567" t="s">
        <v>1609</v>
      </c>
    </row>
    <row r="569" spans="2:23">
      <c r="B569" s="12" t="s">
        <v>1450</v>
      </c>
      <c r="C569" s="12"/>
    </row>
    <row r="570" spans="2:23">
      <c r="B570" t="s">
        <v>1610</v>
      </c>
    </row>
    <row r="571" spans="2:23">
      <c r="B571" t="s">
        <v>1611</v>
      </c>
    </row>
    <row r="573" spans="2:23">
      <c r="B573" s="570" t="s">
        <v>1783</v>
      </c>
      <c r="C573" s="570"/>
      <c r="D573" s="570"/>
      <c r="E573" s="570"/>
      <c r="F573" s="570"/>
      <c r="G573" s="570"/>
      <c r="H573" s="570"/>
      <c r="I573" s="570"/>
      <c r="J573" s="570"/>
      <c r="K573" s="570"/>
      <c r="L573" s="570"/>
    </row>
    <row r="574" spans="2:23">
      <c r="B574" s="12"/>
      <c r="C574" s="12"/>
      <c r="W574" t="s">
        <v>2096</v>
      </c>
    </row>
    <row r="575" spans="2:23">
      <c r="B575" s="3" t="s">
        <v>2000</v>
      </c>
      <c r="C575" s="32">
        <f>G375</f>
        <v>42064</v>
      </c>
      <c r="D575" s="32">
        <f>H375</f>
        <v>42156</v>
      </c>
      <c r="E575" s="32">
        <f>J375</f>
        <v>42248</v>
      </c>
      <c r="F575" s="32">
        <f>K375</f>
        <v>42339</v>
      </c>
      <c r="G575" s="32">
        <f>L375</f>
        <v>42430</v>
      </c>
      <c r="H575" s="32">
        <v>42522</v>
      </c>
      <c r="I575" s="32">
        <v>42614</v>
      </c>
      <c r="J575" s="32">
        <f>N375</f>
        <v>42614</v>
      </c>
      <c r="K575" s="32">
        <f>O375</f>
        <v>42705</v>
      </c>
      <c r="L575" s="32"/>
      <c r="N575" s="32">
        <f>G575</f>
        <v>42430</v>
      </c>
      <c r="O575" s="32">
        <f>H575</f>
        <v>42522</v>
      </c>
      <c r="P575" s="32">
        <f>J575</f>
        <v>42614</v>
      </c>
      <c r="Q575" s="32">
        <f>K575</f>
        <v>42705</v>
      </c>
      <c r="W575" s="32" t="s">
        <v>2097</v>
      </c>
    </row>
    <row r="576" spans="2:23">
      <c r="B576" t="s">
        <v>2087</v>
      </c>
      <c r="C576" s="16">
        <f>G403</f>
        <v>608.959649343975</v>
      </c>
      <c r="D576" s="16">
        <f>H403</f>
        <v>583</v>
      </c>
      <c r="E576" s="16">
        <f>J403</f>
        <v>596</v>
      </c>
      <c r="F576" s="16">
        <f>K403</f>
        <v>595</v>
      </c>
      <c r="G576" s="16">
        <f>L403</f>
        <v>605</v>
      </c>
      <c r="H576" s="16"/>
      <c r="I576" s="16"/>
      <c r="J576" s="16"/>
      <c r="K576" s="16"/>
      <c r="L576" s="16"/>
      <c r="W576" s="16">
        <v>285.60000000000002</v>
      </c>
    </row>
    <row r="577" spans="2:25">
      <c r="B577" s="3" t="s">
        <v>2091</v>
      </c>
      <c r="C577" s="611">
        <f>'LiLAC valuation'!J166+22</f>
        <v>309.61017274779465</v>
      </c>
      <c r="D577" s="611">
        <f>'LiLAC valuation'!K166+14</f>
        <v>325.39999999999998</v>
      </c>
      <c r="E577" s="64">
        <f>'LiLAC valuation'!L166</f>
        <v>308.8</v>
      </c>
      <c r="F577" s="64">
        <f>'LiLAC valuation'!M166</f>
        <v>309.2</v>
      </c>
      <c r="G577" s="64">
        <f>'LiLAC valuation'!N166</f>
        <v>304</v>
      </c>
      <c r="H577" s="64">
        <f>'LiLAC valuation'!O166</f>
        <v>317.29999999999995</v>
      </c>
      <c r="I577" s="64">
        <f>I580-I582</f>
        <v>325.60000000000014</v>
      </c>
      <c r="J577" s="64" t="e">
        <f>'LiLAC valuation'!#REF!</f>
        <v>#REF!</v>
      </c>
      <c r="K577" s="64" t="e">
        <f>'LiLAC valuation'!#REF!</f>
        <v>#REF!</v>
      </c>
      <c r="L577" s="64"/>
      <c r="N577" s="7">
        <f>G577/C577-1</f>
        <v>-1.8120117624056964E-2</v>
      </c>
      <c r="O577" s="7">
        <f>H577/D577-1</f>
        <v>-2.4892440073755462E-2</v>
      </c>
      <c r="P577" s="7" t="e">
        <f>J577/E577-1</f>
        <v>#REF!</v>
      </c>
      <c r="Q577" s="7" t="e">
        <f>K577/F577-1</f>
        <v>#REF!</v>
      </c>
      <c r="W577" s="64">
        <f>'LiLAC valuation'!O166</f>
        <v>317.29999999999995</v>
      </c>
    </row>
    <row r="578" spans="2:25">
      <c r="B578" t="s">
        <v>2148</v>
      </c>
      <c r="C578" s="16">
        <f>C576+C577</f>
        <v>918.56982209176965</v>
      </c>
      <c r="D578" s="16">
        <f>D576+D577</f>
        <v>908.4</v>
      </c>
      <c r="E578" s="16">
        <f>E576+E577</f>
        <v>904.8</v>
      </c>
      <c r="F578" s="16">
        <f>F576+F577</f>
        <v>904.2</v>
      </c>
      <c r="G578" s="16">
        <f>G576+G577</f>
        <v>909</v>
      </c>
      <c r="H578" s="16"/>
      <c r="I578" s="16"/>
      <c r="J578" s="16"/>
      <c r="K578" s="16"/>
      <c r="L578" s="16"/>
      <c r="W578" s="16">
        <f>W576+W577</f>
        <v>602.9</v>
      </c>
    </row>
    <row r="579" spans="2:25">
      <c r="B579" s="3"/>
      <c r="C579" s="3"/>
      <c r="D579" s="3"/>
      <c r="E579" s="3"/>
      <c r="F579" s="3"/>
      <c r="G579" s="3"/>
      <c r="H579" s="3"/>
      <c r="I579" s="3"/>
      <c r="J579" s="3"/>
      <c r="K579" s="3"/>
    </row>
    <row r="580" spans="2:25">
      <c r="B580" s="3" t="s">
        <v>2150</v>
      </c>
      <c r="C580" s="65">
        <f>1829.3-D580</f>
        <v>919.9</v>
      </c>
      <c r="D580" s="65">
        <v>909.4</v>
      </c>
      <c r="E580" s="65">
        <v>904.8</v>
      </c>
      <c r="F580" s="64">
        <f>F582+F577</f>
        <v>904.2</v>
      </c>
      <c r="G580" s="65">
        <f>1800.7-H580</f>
        <v>908.90000000000009</v>
      </c>
      <c r="H580" s="65">
        <v>891.8</v>
      </c>
      <c r="I580" s="65">
        <f>2694.8-G580-H580</f>
        <v>894.10000000000014</v>
      </c>
      <c r="J580" s="64" t="e">
        <f>J577+J582</f>
        <v>#REF!</v>
      </c>
      <c r="K580" s="64" t="e">
        <f>K577+K582</f>
        <v>#REF!</v>
      </c>
      <c r="N580" s="6">
        <f>G580/C580-1</f>
        <v>-1.195782150233704E-2</v>
      </c>
      <c r="O580" s="6">
        <f>H580/D580-1</f>
        <v>-1.9353419837255359E-2</v>
      </c>
      <c r="P580" s="6" t="e">
        <f>J580/E580-1</f>
        <v>#REF!</v>
      </c>
      <c r="Q580" s="6" t="e">
        <f>K580/F580-1</f>
        <v>#REF!</v>
      </c>
    </row>
    <row r="581" spans="2:25" hidden="1">
      <c r="B581" t="s">
        <v>2099</v>
      </c>
      <c r="C581" s="16">
        <f>C580-C578</f>
        <v>1.3301779082303256</v>
      </c>
      <c r="D581" s="16">
        <f>D580-D578</f>
        <v>1</v>
      </c>
      <c r="G581" s="16"/>
    </row>
    <row r="582" spans="2:25">
      <c r="B582" t="s">
        <v>2098</v>
      </c>
      <c r="C582" s="16">
        <f>C576+C581</f>
        <v>610.28982725220533</v>
      </c>
      <c r="D582" s="16">
        <f>D576+D581</f>
        <v>584</v>
      </c>
      <c r="E582" s="16">
        <f>(1+E583)*E576</f>
        <v>596</v>
      </c>
      <c r="F582" s="16">
        <f>(1+F583)*F576</f>
        <v>595</v>
      </c>
      <c r="G582" s="16">
        <f>G576+G581</f>
        <v>605</v>
      </c>
      <c r="H582" s="16">
        <f>H580-H577</f>
        <v>574.5</v>
      </c>
      <c r="I582" s="16">
        <v>568.5</v>
      </c>
      <c r="J582" s="16">
        <f>(1+P582)*E582</f>
        <v>590.04</v>
      </c>
      <c r="K582" s="16">
        <f>Master!H52-Master!H47-Master!H48-J582-H582-G582</f>
        <v>577.1420498148882</v>
      </c>
      <c r="N582" s="6">
        <f>G582/C582-1</f>
        <v>-8.6677296851276342E-3</v>
      </c>
      <c r="O582" s="6">
        <f>H582/D582-1</f>
        <v>-1.6267123287671215E-2</v>
      </c>
      <c r="P582" s="35">
        <v>-0.01</v>
      </c>
      <c r="Q582" s="5">
        <f>K582/F582-1</f>
        <v>-3.001336165565005E-2</v>
      </c>
    </row>
    <row r="583" spans="2:25">
      <c r="B583" t="s">
        <v>260</v>
      </c>
      <c r="C583" s="6">
        <f>C581/C576</f>
        <v>2.1843449063715641E-3</v>
      </c>
      <c r="D583" s="6">
        <f>D581/D576</f>
        <v>1.7152658662092624E-3</v>
      </c>
      <c r="E583" s="6">
        <f>E581/E576</f>
        <v>0</v>
      </c>
      <c r="F583" s="35">
        <f>E583</f>
        <v>0</v>
      </c>
      <c r="G583" s="6"/>
      <c r="I583" s="5" t="e">
        <f>I580/J580-1</f>
        <v>#REF!</v>
      </c>
      <c r="L583" s="5"/>
    </row>
    <row r="584" spans="2:25">
      <c r="D584" s="6"/>
      <c r="L584" s="5"/>
    </row>
    <row r="585" spans="2:25">
      <c r="B585" t="s">
        <v>8</v>
      </c>
      <c r="L585" s="5"/>
    </row>
    <row r="586" spans="2:25">
      <c r="B586" t="s">
        <v>29</v>
      </c>
      <c r="C586" s="16">
        <f>G407</f>
        <v>240.11511511511517</v>
      </c>
      <c r="D586" s="16">
        <f>H407</f>
        <v>200</v>
      </c>
      <c r="E586" s="16">
        <f>J407</f>
        <v>227</v>
      </c>
      <c r="F586" s="16">
        <f>K407</f>
        <v>238</v>
      </c>
      <c r="G586" s="16">
        <f>L407</f>
        <v>285</v>
      </c>
      <c r="H586" s="16">
        <f>H591</f>
        <v>201.4</v>
      </c>
      <c r="I586" s="16">
        <f>I591</f>
        <v>215</v>
      </c>
      <c r="J586" s="16"/>
      <c r="K586" s="16"/>
      <c r="L586" s="5"/>
    </row>
    <row r="587" spans="2:25">
      <c r="B587" s="3" t="s">
        <v>467</v>
      </c>
      <c r="C587" s="64">
        <f>'LiLAC valuation'!J167</f>
        <v>108.2</v>
      </c>
      <c r="D587" s="64">
        <f>'LiLAC valuation'!K167</f>
        <v>127.59999999999998</v>
      </c>
      <c r="E587" s="64">
        <f>'LiLAC valuation'!L167</f>
        <v>127.80000000000001</v>
      </c>
      <c r="F587" s="64">
        <f>'LiLAC valuation'!M167</f>
        <v>127.4</v>
      </c>
      <c r="G587" s="64">
        <f>'LiLAC valuation'!N167</f>
        <v>121.89999999999999</v>
      </c>
      <c r="H587" s="64">
        <f>'LiLAC valuation'!O167</f>
        <v>128.4</v>
      </c>
      <c r="I587" s="64">
        <f>I594-I591</f>
        <v>135</v>
      </c>
      <c r="J587" s="64" t="e">
        <f>'LiLAC valuation'!#REF!</f>
        <v>#REF!</v>
      </c>
      <c r="K587" s="64" t="e">
        <f>'LiLAC valuation'!#REF!</f>
        <v>#REF!</v>
      </c>
      <c r="L587" s="5"/>
    </row>
    <row r="588" spans="2:25">
      <c r="B588" t="str">
        <f>B578</f>
        <v>Group (old)</v>
      </c>
      <c r="C588" s="16">
        <f>SUM(C586:C587)</f>
        <v>348.31511511511519</v>
      </c>
      <c r="D588" s="16">
        <f>SUM(D586:D587)</f>
        <v>327.59999999999997</v>
      </c>
      <c r="E588" s="16">
        <f>SUM(E586:E587)</f>
        <v>354.8</v>
      </c>
      <c r="F588" s="16">
        <f>SUM(F586:F587)</f>
        <v>365.4</v>
      </c>
      <c r="G588" s="16">
        <f>SUM(G586:G587)</f>
        <v>406.9</v>
      </c>
      <c r="H588" s="16"/>
      <c r="I588" s="16"/>
      <c r="J588" s="16"/>
      <c r="K588" s="16"/>
      <c r="L588" s="5"/>
    </row>
    <row r="589" spans="2:25">
      <c r="L589" s="5"/>
      <c r="M589" s="3"/>
      <c r="N589" s="32">
        <f>G575</f>
        <v>42430</v>
      </c>
      <c r="O589" s="32">
        <f>H575</f>
        <v>42522</v>
      </c>
      <c r="P589" s="32">
        <f>I575</f>
        <v>42614</v>
      </c>
      <c r="Q589" s="4" t="s">
        <v>2345</v>
      </c>
    </row>
    <row r="590" spans="2:25">
      <c r="I590" s="5"/>
      <c r="L590" s="5"/>
      <c r="M590" t="s">
        <v>29</v>
      </c>
      <c r="N590" s="16">
        <f>G590</f>
        <v>0</v>
      </c>
      <c r="O590" s="16">
        <f>H591</f>
        <v>201.4</v>
      </c>
      <c r="P590" s="16">
        <f>I591</f>
        <v>215</v>
      </c>
      <c r="Q590">
        <v>225</v>
      </c>
      <c r="R590" s="16">
        <f>SUM(N590:Q590)</f>
        <v>641.4</v>
      </c>
    </row>
    <row r="591" spans="2:25">
      <c r="B591" t="s">
        <v>2147</v>
      </c>
      <c r="C591" s="16">
        <f>(1+C593)*C586</f>
        <v>244.55724474474485</v>
      </c>
      <c r="D591" s="16">
        <f>199.3+4.4</f>
        <v>203.70000000000002</v>
      </c>
      <c r="E591" s="16">
        <f>211.4+17.9</f>
        <v>229.3</v>
      </c>
      <c r="F591" s="16">
        <f>223.2+19.9</f>
        <v>243.1</v>
      </c>
      <c r="G591" s="16">
        <f>267.8+0.3</f>
        <v>268.10000000000002</v>
      </c>
      <c r="H591" s="16">
        <v>201.4</v>
      </c>
      <c r="I591" s="16">
        <v>215</v>
      </c>
      <c r="J591" s="16">
        <f>J597*J582</f>
        <v>218.31479999999999</v>
      </c>
      <c r="K591" s="16">
        <f>Master!H74-Master!H70-Master!H69-G591-H591-J591</f>
        <v>280.33619999999996</v>
      </c>
      <c r="L591" s="5"/>
      <c r="M591" s="3" t="s">
        <v>2106</v>
      </c>
      <c r="N591" s="64">
        <f>G587</f>
        <v>121.89999999999999</v>
      </c>
      <c r="O591" s="64">
        <f>H587</f>
        <v>128.4</v>
      </c>
      <c r="P591" s="64">
        <f>I587</f>
        <v>135</v>
      </c>
      <c r="Q591" s="64" t="e">
        <f>K587</f>
        <v>#REF!</v>
      </c>
      <c r="R591" s="64" t="e">
        <f>SUM(N591:Q591)</f>
        <v>#REF!</v>
      </c>
      <c r="X591">
        <v>100</v>
      </c>
      <c r="Y591">
        <f>X591</f>
        <v>100</v>
      </c>
    </row>
    <row r="592" spans="2:25">
      <c r="B592" t="s">
        <v>260</v>
      </c>
      <c r="C592" s="16">
        <f>C591-C586</f>
        <v>4.4421296296296759</v>
      </c>
      <c r="D592" s="16">
        <f>D591-D586</f>
        <v>3.7000000000000171</v>
      </c>
      <c r="E592" s="16">
        <f>E591-E586</f>
        <v>2.3000000000000114</v>
      </c>
      <c r="F592" s="16">
        <f>F591-F586</f>
        <v>5.0999999999999943</v>
      </c>
      <c r="G592" s="16">
        <f>G591-G586</f>
        <v>-16.899999999999977</v>
      </c>
      <c r="H592" s="5"/>
      <c r="I592" s="5"/>
      <c r="K592" s="5"/>
      <c r="L592" s="5"/>
      <c r="N592" s="16">
        <f>SUM(N590:N591)</f>
        <v>121.89999999999999</v>
      </c>
      <c r="O592" s="16">
        <f>SUM(O590:O591)</f>
        <v>329.8</v>
      </c>
      <c r="P592" s="16">
        <f>SUM(P590:P591)</f>
        <v>350</v>
      </c>
      <c r="Q592" s="16" t="e">
        <f>SUM(Q590:Q591)</f>
        <v>#REF!</v>
      </c>
      <c r="R592" s="16" t="e">
        <f>SUM(N592:Q592)</f>
        <v>#REF!</v>
      </c>
      <c r="X592">
        <f>X591/X593</f>
        <v>11.764705882352942</v>
      </c>
      <c r="Y592">
        <f>X592*0.95</f>
        <v>11.176470588235295</v>
      </c>
    </row>
    <row r="593" spans="2:25">
      <c r="B593" s="3" t="s">
        <v>2145</v>
      </c>
      <c r="C593" s="512">
        <f>D593</f>
        <v>1.8500000000000086E-2</v>
      </c>
      <c r="D593" s="512">
        <f>D592/D586</f>
        <v>1.8500000000000086E-2</v>
      </c>
      <c r="E593" s="512">
        <f>E592/E586</f>
        <v>1.0132158590308421E-2</v>
      </c>
      <c r="F593" s="512">
        <f>F592/F586</f>
        <v>2.1428571428571404E-2</v>
      </c>
      <c r="G593" s="512">
        <f>G592/G586</f>
        <v>-5.929824561403501E-2</v>
      </c>
      <c r="H593" s="512"/>
      <c r="I593" s="512"/>
      <c r="J593" s="3"/>
      <c r="K593" s="512"/>
      <c r="L593" s="5"/>
      <c r="X593">
        <v>8.5</v>
      </c>
      <c r="Y593">
        <f>Y591/Y592</f>
        <v>8.9473684210526301</v>
      </c>
    </row>
    <row r="594" spans="2:25">
      <c r="B594" s="548" t="s">
        <v>2149</v>
      </c>
      <c r="C594" s="549">
        <f t="shared" ref="C594:H594" si="71">C587+C591</f>
        <v>352.75724474474487</v>
      </c>
      <c r="D594" s="549">
        <f t="shared" si="71"/>
        <v>331.3</v>
      </c>
      <c r="E594" s="549">
        <f t="shared" si="71"/>
        <v>357.1</v>
      </c>
      <c r="F594" s="549">
        <f t="shared" si="71"/>
        <v>370.5</v>
      </c>
      <c r="G594" s="549">
        <f t="shared" si="71"/>
        <v>390</v>
      </c>
      <c r="H594" s="549">
        <f t="shared" si="71"/>
        <v>329.8</v>
      </c>
      <c r="I594" s="629">
        <f>355-5</f>
        <v>350</v>
      </c>
      <c r="J594" s="549" t="e">
        <f>J587+J591</f>
        <v>#REF!</v>
      </c>
      <c r="K594" s="549" t="e">
        <f>K587+K591</f>
        <v>#REF!</v>
      </c>
      <c r="L594" s="5"/>
      <c r="R594" s="558" t="e">
        <f ca="1">Valuation!G15/R592</f>
        <v>#REF!</v>
      </c>
    </row>
    <row r="595" spans="2:25">
      <c r="D595" s="5"/>
      <c r="E595" s="6"/>
      <c r="H595" s="5"/>
      <c r="I595" s="5"/>
      <c r="K595" s="5"/>
      <c r="L595" s="5"/>
    </row>
    <row r="596" spans="2:25">
      <c r="B596" t="s">
        <v>2146</v>
      </c>
      <c r="L596" s="5"/>
    </row>
    <row r="597" spans="2:25">
      <c r="B597" t="str">
        <f>B586</f>
        <v>CWC</v>
      </c>
      <c r="C597" s="6">
        <f t="shared" ref="C597:I597" si="72">C591/C582</f>
        <v>0.40072312174340136</v>
      </c>
      <c r="D597" s="6">
        <f t="shared" si="72"/>
        <v>0.34880136986301374</v>
      </c>
      <c r="E597" s="6">
        <f t="shared" si="72"/>
        <v>0.38473154362416107</v>
      </c>
      <c r="F597" s="6">
        <f t="shared" si="72"/>
        <v>0.40857142857142859</v>
      </c>
      <c r="G597" s="6">
        <f t="shared" si="72"/>
        <v>0.44314049586776866</v>
      </c>
      <c r="H597" s="6">
        <f t="shared" si="72"/>
        <v>0.35056570931244563</v>
      </c>
      <c r="I597" s="6">
        <f t="shared" si="72"/>
        <v>0.3781882145998241</v>
      </c>
      <c r="J597" s="35">
        <v>0.37</v>
      </c>
      <c r="K597" s="6">
        <f>K591/K582</f>
        <v>0.48573171906277601</v>
      </c>
      <c r="L597" s="5"/>
    </row>
    <row r="598" spans="2:25">
      <c r="B598" s="3" t="str">
        <f>B587</f>
        <v>LiLAC</v>
      </c>
      <c r="C598" s="7">
        <f t="shared" ref="C598:K598" si="73">C587/C577</f>
        <v>0.34947172129301657</v>
      </c>
      <c r="D598" s="7">
        <f t="shared" si="73"/>
        <v>0.39213275968039335</v>
      </c>
      <c r="E598" s="7">
        <f t="shared" si="73"/>
        <v>0.41386010362694303</v>
      </c>
      <c r="F598" s="7">
        <f t="shared" si="73"/>
        <v>0.4120310478654593</v>
      </c>
      <c r="G598" s="7">
        <f t="shared" si="73"/>
        <v>0.40098684210526314</v>
      </c>
      <c r="H598" s="7">
        <f t="shared" si="73"/>
        <v>0.40466435549952734</v>
      </c>
      <c r="I598" s="7">
        <f t="shared" si="73"/>
        <v>0.41461916461916443</v>
      </c>
      <c r="J598" s="7" t="e">
        <f t="shared" si="73"/>
        <v>#REF!</v>
      </c>
      <c r="K598" s="7" t="e">
        <f t="shared" si="73"/>
        <v>#REF!</v>
      </c>
      <c r="L598" s="5"/>
    </row>
    <row r="599" spans="2:25">
      <c r="B599" t="str">
        <f>B588</f>
        <v>Group (old)</v>
      </c>
      <c r="C599" s="6">
        <f t="shared" ref="C599:K599" si="74">C594/C580</f>
        <v>0.38347346966490364</v>
      </c>
      <c r="D599" s="6">
        <f t="shared" si="74"/>
        <v>0.36430613591378935</v>
      </c>
      <c r="E599" s="6">
        <f t="shared" si="74"/>
        <v>0.39467285587975248</v>
      </c>
      <c r="F599" s="6">
        <f t="shared" si="74"/>
        <v>0.40975447909754475</v>
      </c>
      <c r="G599" s="6">
        <f t="shared" si="74"/>
        <v>0.42909010892287375</v>
      </c>
      <c r="H599" s="6">
        <f t="shared" si="74"/>
        <v>0.36981385960977803</v>
      </c>
      <c r="I599" s="6">
        <f t="shared" si="74"/>
        <v>0.39145509450844418</v>
      </c>
      <c r="J599" s="6" t="e">
        <f t="shared" si="74"/>
        <v>#REF!</v>
      </c>
      <c r="K599" s="6" t="e">
        <f t="shared" si="74"/>
        <v>#REF!</v>
      </c>
      <c r="L599" s="5"/>
    </row>
    <row r="600" spans="2:25">
      <c r="L600" s="5"/>
    </row>
    <row r="601" spans="2:25">
      <c r="B601" t="s">
        <v>19</v>
      </c>
      <c r="L601" s="5"/>
    </row>
    <row r="602" spans="2:25">
      <c r="B602" t="str">
        <f>B586</f>
        <v>CWC</v>
      </c>
      <c r="D602" s="16">
        <f>H417</f>
        <v>133</v>
      </c>
      <c r="E602" s="16">
        <f>J417</f>
        <v>131</v>
      </c>
      <c r="F602" s="16">
        <f>K417</f>
        <v>135</v>
      </c>
      <c r="G602" s="16">
        <f>L417</f>
        <v>129</v>
      </c>
      <c r="H602">
        <v>120</v>
      </c>
      <c r="J602" s="16"/>
      <c r="L602" s="5"/>
    </row>
    <row r="603" spans="2:25">
      <c r="B603" s="3" t="str">
        <f>B587</f>
        <v>LiLAC</v>
      </c>
      <c r="C603" s="3"/>
      <c r="D603" s="64">
        <f>'LiLAC valuation'!K192</f>
        <v>61.6</v>
      </c>
      <c r="E603" s="64">
        <f>'LiLAC valuation'!L192</f>
        <v>58.4</v>
      </c>
      <c r="F603" s="64">
        <f>'LiLAC valuation'!M192</f>
        <v>57.4</v>
      </c>
      <c r="G603" s="64">
        <f>'LiLAC valuation'!N192</f>
        <v>50</v>
      </c>
      <c r="H603" s="64">
        <f>H604-H602</f>
        <v>74.628325041459334</v>
      </c>
      <c r="I603" s="64"/>
      <c r="J603" s="64"/>
      <c r="K603" s="3"/>
      <c r="L603" s="5"/>
    </row>
    <row r="604" spans="2:25">
      <c r="B604" t="s">
        <v>90</v>
      </c>
      <c r="D604" s="16">
        <f>SUM(D602:D603)</f>
        <v>194.6</v>
      </c>
      <c r="E604" s="16">
        <f>SUM(E602:E603)</f>
        <v>189.4</v>
      </c>
      <c r="F604" s="16">
        <f>SUM(F602:F603)</f>
        <v>192.4</v>
      </c>
      <c r="G604" s="16">
        <f>SUM(G602:G603)</f>
        <v>179</v>
      </c>
      <c r="H604" s="63">
        <f>131.6/603*H580</f>
        <v>194.62832504145933</v>
      </c>
      <c r="I604" s="16">
        <v>160.9</v>
      </c>
      <c r="J604" s="16" t="e">
        <f>J609*J580</f>
        <v>#REF!</v>
      </c>
      <c r="K604" s="16" t="e">
        <f>Master!H121-G604-H604-J604</f>
        <v>#REF!</v>
      </c>
      <c r="L604" s="5"/>
    </row>
    <row r="605" spans="2:25">
      <c r="L605" s="5"/>
    </row>
    <row r="606" spans="2:25">
      <c r="B606" t="s">
        <v>20</v>
      </c>
      <c r="L606" s="5"/>
    </row>
    <row r="607" spans="2:25">
      <c r="B607" t="str">
        <f>B602</f>
        <v>CWC</v>
      </c>
      <c r="D607" s="6">
        <f>D602/D582</f>
        <v>0.22773972602739725</v>
      </c>
      <c r="E607" s="6">
        <f>E602/E582</f>
        <v>0.21979865771812079</v>
      </c>
      <c r="F607" s="6">
        <f>F602/F582</f>
        <v>0.22689075630252101</v>
      </c>
      <c r="G607" s="6">
        <f>G602/G582</f>
        <v>0.21322314049586777</v>
      </c>
      <c r="H607" s="6">
        <f>H602/H582</f>
        <v>0.20887728459530025</v>
      </c>
      <c r="I607" s="6"/>
      <c r="L607" s="5"/>
    </row>
    <row r="608" spans="2:25">
      <c r="B608" s="3" t="str">
        <f>B603</f>
        <v>LiLAC</v>
      </c>
      <c r="C608" s="3"/>
      <c r="D608" s="7">
        <f>D603/D577</f>
        <v>0.18930547019053473</v>
      </c>
      <c r="E608" s="7">
        <f>E603/E577</f>
        <v>0.18911917098445594</v>
      </c>
      <c r="F608" s="7">
        <f>F603/F577</f>
        <v>0.18564036222509703</v>
      </c>
      <c r="G608" s="7">
        <f>G603/G577</f>
        <v>0.16447368421052633</v>
      </c>
      <c r="H608" s="7">
        <f>H603/H577</f>
        <v>0.23519799887002629</v>
      </c>
      <c r="I608" s="7"/>
      <c r="J608" s="3"/>
      <c r="K608" s="3"/>
      <c r="L608" s="5"/>
    </row>
    <row r="609" spans="2:17">
      <c r="B609" t="str">
        <f>B604</f>
        <v>Group</v>
      </c>
      <c r="D609" s="6">
        <f t="shared" ref="D609:I609" si="75">D604/D580</f>
        <v>0.21398724433692545</v>
      </c>
      <c r="E609" s="6">
        <f t="shared" si="75"/>
        <v>0.20932802829354555</v>
      </c>
      <c r="F609" s="6">
        <f t="shared" si="75"/>
        <v>0.21278478212784782</v>
      </c>
      <c r="G609" s="6">
        <f t="shared" si="75"/>
        <v>0.19694135768511387</v>
      </c>
      <c r="H609" s="6">
        <f t="shared" si="75"/>
        <v>0.21824212271973464</v>
      </c>
      <c r="I609" s="6">
        <f t="shared" si="75"/>
        <v>0.17995749916116763</v>
      </c>
      <c r="J609" s="35">
        <v>0.21</v>
      </c>
      <c r="K609" s="6" t="e">
        <f>K604/K580</f>
        <v>#REF!</v>
      </c>
      <c r="L609" s="5"/>
    </row>
    <row r="610" spans="2:17">
      <c r="L610" s="5"/>
    </row>
    <row r="611" spans="2:17">
      <c r="B611" t="s">
        <v>115</v>
      </c>
      <c r="L611" s="5"/>
    </row>
    <row r="612" spans="2:17">
      <c r="B612" t="s">
        <v>29</v>
      </c>
      <c r="C612" s="486">
        <f>Quarts!G436</f>
        <v>2366</v>
      </c>
      <c r="D612" s="486">
        <f>Quarts!H436</f>
        <v>2605</v>
      </c>
      <c r="E612" s="486">
        <f>Quarts!J436</f>
        <v>2832</v>
      </c>
      <c r="F612" s="486">
        <f>Quarts!K436</f>
        <v>2865</v>
      </c>
      <c r="G612" s="486">
        <f>Quarts!L436</f>
        <v>2861</v>
      </c>
      <c r="H612" s="486">
        <v>3258.3</v>
      </c>
      <c r="I612" s="486"/>
      <c r="L612" s="5"/>
    </row>
    <row r="613" spans="2:17">
      <c r="B613" s="3" t="s">
        <v>467</v>
      </c>
      <c r="C613" s="487">
        <f>D613</f>
        <v>1890.6</v>
      </c>
      <c r="D613" s="487">
        <f>'LiLAC valuation'!K207</f>
        <v>1890.6</v>
      </c>
      <c r="E613" s="487">
        <f>'LiLAC valuation'!L207</f>
        <v>2001.6999999999998</v>
      </c>
      <c r="F613" s="487">
        <f>'LiLAC valuation'!M207</f>
        <v>1973.5</v>
      </c>
      <c r="G613" s="487">
        <f>'LiLAC valuation'!N207</f>
        <v>2072.2000000000003</v>
      </c>
      <c r="H613" s="487">
        <f>H614-H612</f>
        <v>2216.7999999999993</v>
      </c>
      <c r="I613" s="486"/>
      <c r="L613" s="5"/>
    </row>
    <row r="614" spans="2:17">
      <c r="B614" t="s">
        <v>90</v>
      </c>
      <c r="C614" s="486">
        <f>C612+C613</f>
        <v>4256.6000000000004</v>
      </c>
      <c r="D614" s="486">
        <f>D612+D613</f>
        <v>4495.6000000000004</v>
      </c>
      <c r="E614" s="486">
        <f>E612+E613</f>
        <v>4833.7</v>
      </c>
      <c r="F614" s="486">
        <f>F612+F613</f>
        <v>4838.5</v>
      </c>
      <c r="G614" s="486">
        <f>G612+G613</f>
        <v>4933.2000000000007</v>
      </c>
      <c r="H614" s="486">
        <f>'LiLAC valuation'!O207</f>
        <v>5475.0999999999995</v>
      </c>
      <c r="I614" s="486">
        <f>'LiLAC valuation'!P207</f>
        <v>5531.2</v>
      </c>
      <c r="L614" s="5"/>
    </row>
    <row r="615" spans="2:17">
      <c r="G615" s="486"/>
      <c r="H615" s="486">
        <f>H614-G614</f>
        <v>541.89999999999873</v>
      </c>
      <c r="I615" s="486"/>
      <c r="J615" s="486">
        <f>H614-H615</f>
        <v>4933.2000000000007</v>
      </c>
      <c r="M615" t="s">
        <v>2181</v>
      </c>
      <c r="N615" s="486">
        <f>G614</f>
        <v>4933.2000000000007</v>
      </c>
      <c r="P615" s="486">
        <f>G614</f>
        <v>4933.2000000000007</v>
      </c>
      <c r="Q615">
        <v>0</v>
      </c>
    </row>
    <row r="616" spans="2:17">
      <c r="B616" t="s">
        <v>2163</v>
      </c>
      <c r="G616" s="486" t="s">
        <v>2177</v>
      </c>
      <c r="H616">
        <v>194</v>
      </c>
      <c r="J616" s="62">
        <f>J615/174</f>
        <v>28.35172413793104</v>
      </c>
      <c r="M616" s="486" t="str">
        <f>G616</f>
        <v>CWC dividend</v>
      </c>
      <c r="N616" s="486">
        <f>N615+H616</f>
        <v>5127.2000000000007</v>
      </c>
      <c r="P616" s="486">
        <f>N616-H616</f>
        <v>4933.2000000000007</v>
      </c>
      <c r="Q616">
        <f>H616</f>
        <v>194</v>
      </c>
    </row>
    <row r="617" spans="2:17">
      <c r="G617" s="486" t="s">
        <v>2178</v>
      </c>
      <c r="H617">
        <v>75</v>
      </c>
      <c r="M617" s="486" t="str">
        <f>G617</f>
        <v>CWC deal fees</v>
      </c>
      <c r="N617" s="486">
        <f>N616+H617</f>
        <v>5202.2000000000007</v>
      </c>
      <c r="P617" s="486">
        <f>N617-H617</f>
        <v>5127.2000000000007</v>
      </c>
      <c r="Q617">
        <f>H617</f>
        <v>75</v>
      </c>
    </row>
    <row r="618" spans="2:17">
      <c r="G618" s="486" t="s">
        <v>2179</v>
      </c>
      <c r="H618">
        <v>80</v>
      </c>
      <c r="M618" s="486" t="str">
        <f>G618</f>
        <v>CWC finance and other fees</v>
      </c>
      <c r="N618" s="486">
        <f>N617+H618</f>
        <v>5282.2000000000007</v>
      </c>
      <c r="P618" s="486">
        <f>N618-H618</f>
        <v>5202.2000000000007</v>
      </c>
      <c r="Q618">
        <f>H618</f>
        <v>80</v>
      </c>
    </row>
    <row r="619" spans="2:17">
      <c r="G619" s="486" t="s">
        <v>2180</v>
      </c>
      <c r="H619" s="36">
        <v>15</v>
      </c>
      <c r="I619" s="36"/>
      <c r="M619" s="486" t="str">
        <f>G619</f>
        <v>Underlying FCF</v>
      </c>
      <c r="N619" s="486">
        <f>N618</f>
        <v>5282.2000000000007</v>
      </c>
      <c r="P619" s="486">
        <f>N619-H619</f>
        <v>5267.2000000000007</v>
      </c>
      <c r="Q619">
        <f>H619</f>
        <v>15</v>
      </c>
    </row>
    <row r="620" spans="2:17">
      <c r="G620" s="486" t="s">
        <v>2182</v>
      </c>
      <c r="H620" s="486">
        <f>H615-H616-H617-H618-H619</f>
        <v>177.89999999999873</v>
      </c>
      <c r="I620" s="486"/>
      <c r="M620" s="486" t="str">
        <f>G620</f>
        <v>Other (inc LiLAC fees)</v>
      </c>
      <c r="N620" s="486">
        <f>N619+H620</f>
        <v>5460.0999999999995</v>
      </c>
      <c r="P620" s="486">
        <f>N620-H620-H619</f>
        <v>5267.2000000000007</v>
      </c>
      <c r="Q620" s="16">
        <f>H620</f>
        <v>177.89999999999873</v>
      </c>
    </row>
    <row r="621" spans="2:17">
      <c r="G621" s="486"/>
      <c r="M621" t="s">
        <v>2183</v>
      </c>
      <c r="P621" s="486">
        <f>N620-H619</f>
        <v>5445.0999999999995</v>
      </c>
      <c r="Q621">
        <v>0</v>
      </c>
    </row>
    <row r="622" spans="2:17">
      <c r="B622" t="s">
        <v>273</v>
      </c>
      <c r="D622" s="1">
        <f>D575</f>
        <v>42156</v>
      </c>
      <c r="E622" s="1">
        <f>E575</f>
        <v>42248</v>
      </c>
      <c r="F622" s="1">
        <f>F575</f>
        <v>42339</v>
      </c>
      <c r="G622" s="1">
        <f>G575</f>
        <v>42430</v>
      </c>
      <c r="H622" s="1">
        <f>H575</f>
        <v>42522</v>
      </c>
      <c r="I622" s="1"/>
      <c r="J622" s="1"/>
    </row>
    <row r="623" spans="2:17">
      <c r="B623" t="str">
        <f>B612</f>
        <v>CWC</v>
      </c>
      <c r="G623" s="62">
        <f>G612/SUM(D586:G586)</f>
        <v>3.0115789473684211</v>
      </c>
      <c r="H623" s="62">
        <f>H612/SUM(E586:H586)</f>
        <v>3.4247424847593022</v>
      </c>
      <c r="I623" s="62"/>
      <c r="L623" s="62">
        <f>L612/(SUM(E586:G586)+L586)</f>
        <v>0</v>
      </c>
      <c r="M623" s="62">
        <f t="shared" ref="M623:N625" si="76">M612/SUM(F586:M586)</f>
        <v>0</v>
      </c>
      <c r="N623" s="62">
        <f t="shared" si="76"/>
        <v>0</v>
      </c>
      <c r="O623" s="62" t="e">
        <f>O612/SUM(L586:O586)</f>
        <v>#DIV/0!</v>
      </c>
    </row>
    <row r="624" spans="2:17">
      <c r="B624" s="3" t="str">
        <f>B613</f>
        <v>LiLAC</v>
      </c>
      <c r="C624" s="3"/>
      <c r="D624" s="3"/>
      <c r="E624" s="3"/>
      <c r="F624" s="3"/>
      <c r="G624" s="554">
        <f>G613/SUM(D587:G587)</f>
        <v>4.1058054289677051</v>
      </c>
      <c r="H624" s="3"/>
      <c r="L624" s="554">
        <f>L613/(SUM(E587:G587)+L587)</f>
        <v>0</v>
      </c>
      <c r="M624" s="554" t="e">
        <f t="shared" si="76"/>
        <v>#REF!</v>
      </c>
      <c r="N624" s="554" t="e">
        <f t="shared" si="76"/>
        <v>#REF!</v>
      </c>
      <c r="O624" s="554" t="e">
        <f>O613/SUM(L587:O587)</f>
        <v>#DIV/0!</v>
      </c>
    </row>
    <row r="625" spans="2:15">
      <c r="B625" t="str">
        <f>B614</f>
        <v>Group</v>
      </c>
      <c r="D625" s="62">
        <f>D614/(D594*4)</f>
        <v>3.3923936009658919</v>
      </c>
      <c r="E625" s="62">
        <f>E614/(E594*4)</f>
        <v>3.3839960795295432</v>
      </c>
      <c r="F625" s="62">
        <f>F614/(F594*4)</f>
        <v>3.2648448043184883</v>
      </c>
      <c r="G625" s="62">
        <f>G614/(G594*4)</f>
        <v>3.1623076923076927</v>
      </c>
      <c r="H625" s="62">
        <f>H614/(H594*4)</f>
        <v>4.1503183747725885</v>
      </c>
      <c r="I625" s="62"/>
      <c r="L625" s="62">
        <f>L614/(SUM(E588:G588)+L588)</f>
        <v>0</v>
      </c>
      <c r="M625" s="62">
        <f t="shared" si="76"/>
        <v>0</v>
      </c>
      <c r="N625" s="62">
        <f t="shared" si="76"/>
        <v>0</v>
      </c>
      <c r="O625" s="62" t="e">
        <f>O614/SUM(L588:O588)</f>
        <v>#DIV/0!</v>
      </c>
    </row>
    <row r="627" spans="2:15">
      <c r="B627" s="8" t="s">
        <v>1814</v>
      </c>
      <c r="C627" s="8"/>
      <c r="G627" s="573">
        <f>Valuation!F13</f>
        <v>0</v>
      </c>
      <c r="H627" s="8"/>
      <c r="I627" s="8"/>
      <c r="J627" s="8"/>
      <c r="K627" s="8"/>
      <c r="L627" s="573" t="e">
        <f>Valuation!G13</f>
        <v>#REF!</v>
      </c>
    </row>
    <row r="629" spans="2:15">
      <c r="B629" s="12" t="s">
        <v>115</v>
      </c>
    </row>
    <row r="630" spans="2:15">
      <c r="B630" s="3"/>
      <c r="C630" s="3"/>
      <c r="D630" s="4" t="s">
        <v>2092</v>
      </c>
    </row>
    <row r="631" spans="2:15">
      <c r="B631" t="s">
        <v>707</v>
      </c>
      <c r="D631">
        <v>500.6</v>
      </c>
    </row>
    <row r="632" spans="2:15">
      <c r="B632" t="s">
        <v>2158</v>
      </c>
      <c r="D632">
        <v>148.80000000000001</v>
      </c>
    </row>
    <row r="633" spans="2:15">
      <c r="B633" s="3" t="s">
        <v>2159</v>
      </c>
      <c r="C633" s="3"/>
      <c r="D633" s="3">
        <v>5838.9</v>
      </c>
    </row>
    <row r="634" spans="2:15">
      <c r="B634" t="s">
        <v>2160</v>
      </c>
      <c r="D634">
        <f>D633+D632-D631</f>
        <v>5487.0999999999995</v>
      </c>
    </row>
    <row r="635" spans="2:15">
      <c r="B635" t="s">
        <v>2161</v>
      </c>
    </row>
    <row r="638" spans="2:15">
      <c r="B638" s="570" t="s">
        <v>2100</v>
      </c>
    </row>
    <row r="640" spans="2:15" ht="15.75">
      <c r="B640" s="50" t="s">
        <v>325</v>
      </c>
      <c r="C640" s="51" t="s">
        <v>2092</v>
      </c>
      <c r="D640" s="51" t="s">
        <v>1779</v>
      </c>
      <c r="E640" s="51" t="s">
        <v>934</v>
      </c>
    </row>
    <row r="641" spans="2:5" ht="15.75">
      <c r="B641" s="53" t="s">
        <v>2101</v>
      </c>
      <c r="C641" s="481">
        <f>W578</f>
        <v>602.9</v>
      </c>
      <c r="D641" s="481" t="e">
        <f>#REF!</f>
        <v>#REF!</v>
      </c>
      <c r="E641" s="56" t="e">
        <f>C641/D641-1</f>
        <v>#REF!</v>
      </c>
    </row>
    <row r="642" spans="2:5" ht="15.75">
      <c r="B642" s="53" t="s">
        <v>2102</v>
      </c>
      <c r="C642" s="481">
        <f>H578</f>
        <v>0</v>
      </c>
      <c r="D642" s="481" t="e">
        <f>#REF!</f>
        <v>#REF!</v>
      </c>
      <c r="E642" s="56" t="e">
        <f>C642/D642-1</f>
        <v>#REF!</v>
      </c>
    </row>
    <row r="643" spans="2:5" ht="15.75">
      <c r="B643" s="605" t="s">
        <v>2105</v>
      </c>
      <c r="C643" s="481"/>
      <c r="D643" s="481"/>
      <c r="E643" s="53"/>
    </row>
    <row r="644" spans="2:5" ht="15.75">
      <c r="B644" s="53" t="s">
        <v>29</v>
      </c>
      <c r="C644" s="481">
        <f>H576</f>
        <v>0</v>
      </c>
      <c r="D644" s="481" t="e">
        <f>#REF!</f>
        <v>#REF!</v>
      </c>
      <c r="E644" s="56" t="e">
        <f>C644/D644-1</f>
        <v>#REF!</v>
      </c>
    </row>
    <row r="645" spans="2:5" ht="15.75">
      <c r="B645" s="53" t="s">
        <v>2106</v>
      </c>
      <c r="C645" s="481">
        <f>H577</f>
        <v>317.29999999999995</v>
      </c>
      <c r="D645" s="481" t="e">
        <f>#REF!</f>
        <v>#REF!</v>
      </c>
      <c r="E645" s="56" t="e">
        <f>C645/D645-1</f>
        <v>#REF!</v>
      </c>
    </row>
    <row r="646" spans="2:5" ht="15.75">
      <c r="B646" s="53"/>
      <c r="C646" s="53"/>
      <c r="D646" s="53"/>
      <c r="E646" s="53"/>
    </row>
    <row r="647" spans="2:5" ht="15.75">
      <c r="B647" s="53" t="s">
        <v>2103</v>
      </c>
      <c r="C647" s="481">
        <f>H588</f>
        <v>0</v>
      </c>
      <c r="D647" s="481">
        <f>J588</f>
        <v>0</v>
      </c>
      <c r="E647" s="56" t="e">
        <f>C647/D647-1</f>
        <v>#DIV/0!</v>
      </c>
    </row>
    <row r="648" spans="2:5" ht="15.75">
      <c r="B648" s="53" t="s">
        <v>2112</v>
      </c>
      <c r="C648" s="481">
        <f>K588</f>
        <v>0</v>
      </c>
      <c r="D648" s="481">
        <f>L588</f>
        <v>0</v>
      </c>
      <c r="E648" s="56" t="e">
        <f>C648/D648-1</f>
        <v>#DIV/0!</v>
      </c>
    </row>
    <row r="649" spans="2:5" ht="15.75">
      <c r="B649" s="605" t="s">
        <v>2105</v>
      </c>
      <c r="C649" s="53"/>
      <c r="D649" s="53"/>
      <c r="E649" s="53"/>
    </row>
    <row r="650" spans="2:5" ht="15.75">
      <c r="B650" s="53" t="s">
        <v>29</v>
      </c>
      <c r="C650" s="481">
        <f>K586</f>
        <v>0</v>
      </c>
      <c r="D650" s="481">
        <f>L586</f>
        <v>0</v>
      </c>
      <c r="E650" s="56" t="e">
        <f>C650/D650-1</f>
        <v>#DIV/0!</v>
      </c>
    </row>
    <row r="651" spans="2:5" ht="15.75">
      <c r="B651" s="53" t="s">
        <v>2106</v>
      </c>
      <c r="C651" s="481">
        <f>H587</f>
        <v>128.4</v>
      </c>
      <c r="D651" s="481" t="e">
        <f>J587</f>
        <v>#REF!</v>
      </c>
      <c r="E651" s="56" t="e">
        <f>C651/D651-1</f>
        <v>#REF!</v>
      </c>
    </row>
    <row r="652" spans="2:5" ht="15.75">
      <c r="B652" s="53"/>
      <c r="C652" s="53"/>
      <c r="D652" s="53"/>
      <c r="E652" s="53"/>
    </row>
    <row r="653" spans="2:5" ht="15.75">
      <c r="B653" s="53" t="s">
        <v>18</v>
      </c>
      <c r="C653" s="56">
        <f>C647/C641</f>
        <v>0</v>
      </c>
      <c r="D653" s="56" t="e">
        <f>D647/D641</f>
        <v>#REF!</v>
      </c>
      <c r="E653" s="53"/>
    </row>
    <row r="654" spans="2:5" ht="15.75">
      <c r="B654" s="605" t="s">
        <v>2105</v>
      </c>
      <c r="C654" s="53"/>
      <c r="D654" s="53"/>
      <c r="E654" s="53"/>
    </row>
    <row r="655" spans="2:5" ht="15.75">
      <c r="B655" s="53" t="s">
        <v>29</v>
      </c>
      <c r="C655" s="56">
        <f>H597</f>
        <v>0.35056570931244563</v>
      </c>
      <c r="D655" s="56">
        <f>J597</f>
        <v>0.37</v>
      </c>
      <c r="E655" s="53"/>
    </row>
    <row r="656" spans="2:5" ht="15.75">
      <c r="B656" s="53" t="s">
        <v>2106</v>
      </c>
      <c r="C656" s="56">
        <f>H598</f>
        <v>0.40466435549952734</v>
      </c>
      <c r="D656" s="56" t="e">
        <f>J598</f>
        <v>#REF!</v>
      </c>
      <c r="E656" s="53"/>
    </row>
    <row r="657" spans="2:14" ht="15.75">
      <c r="B657" s="53"/>
      <c r="C657" s="53"/>
      <c r="D657" s="53"/>
      <c r="E657" s="53"/>
    </row>
    <row r="658" spans="2:14" ht="15.75">
      <c r="B658" s="53" t="s">
        <v>2104</v>
      </c>
      <c r="C658" s="481">
        <f>H604</f>
        <v>194.62832504145933</v>
      </c>
      <c r="D658" s="481" t="e">
        <f>J604</f>
        <v>#REF!</v>
      </c>
      <c r="E658" s="53"/>
    </row>
    <row r="659" spans="2:14" ht="15.75">
      <c r="B659" s="53" t="s">
        <v>91</v>
      </c>
      <c r="C659" s="56">
        <f>H609</f>
        <v>0.21824212271973464</v>
      </c>
      <c r="D659" s="56">
        <f>J609</f>
        <v>0.21</v>
      </c>
      <c r="E659" s="53"/>
    </row>
    <row r="661" spans="2:14">
      <c r="B661" t="s">
        <v>2108</v>
      </c>
    </row>
    <row r="662" spans="2:14">
      <c r="B662" s="3" t="s">
        <v>935</v>
      </c>
      <c r="C662" s="32">
        <f t="shared" ref="C662:F663" si="77">V402</f>
        <v>42156</v>
      </c>
      <c r="D662" s="32">
        <f t="shared" si="77"/>
        <v>42248</v>
      </c>
      <c r="E662" s="32">
        <f t="shared" si="77"/>
        <v>42339</v>
      </c>
      <c r="F662" s="32">
        <f t="shared" si="77"/>
        <v>42430</v>
      </c>
      <c r="G662" s="32">
        <f>AA402</f>
        <v>42522</v>
      </c>
    </row>
    <row r="663" spans="2:14">
      <c r="B663" t="s">
        <v>2107</v>
      </c>
      <c r="C663" s="5">
        <f t="shared" si="77"/>
        <v>0.04</v>
      </c>
      <c r="D663" s="5">
        <f t="shared" si="77"/>
        <v>4.3010028942586098E-2</v>
      </c>
      <c r="E663" s="5">
        <f t="shared" si="77"/>
        <v>1.0000000000000009E-2</v>
      </c>
      <c r="F663" s="5">
        <f t="shared" si="77"/>
        <v>-6.502318089943504E-3</v>
      </c>
      <c r="G663" s="5">
        <v>-0.01</v>
      </c>
    </row>
    <row r="664" spans="2:14">
      <c r="B664" t="s">
        <v>2109</v>
      </c>
      <c r="C664" s="5">
        <f>C663</f>
        <v>0.04</v>
      </c>
      <c r="D664" s="5">
        <f>D663</f>
        <v>4.3010028942586098E-2</v>
      </c>
      <c r="E664" s="5">
        <f>X404</f>
        <v>3.0730820562381966E-2</v>
      </c>
      <c r="F664" s="5">
        <f>F663+2%</f>
        <v>1.3497681910056496E-2</v>
      </c>
      <c r="G664" s="5">
        <f>G663+2%</f>
        <v>0.01</v>
      </c>
    </row>
    <row r="665" spans="2:14">
      <c r="B665" s="3" t="s">
        <v>2110</v>
      </c>
      <c r="C665" s="512">
        <f>'LiLAC valuation'!G460</f>
        <v>7.4239906049627935E-2</v>
      </c>
      <c r="D665" s="512">
        <f>'LiLAC valuation'!H460</f>
        <v>7.1690805910405997E-2</v>
      </c>
      <c r="E665" s="512">
        <f>'LiLAC valuation'!I460</f>
        <v>7.4798224658066514E-2</v>
      </c>
      <c r="F665" s="512">
        <f>'LiLAC valuation'!J460</f>
        <v>6.3579311599765598E-2</v>
      </c>
      <c r="G665" s="512">
        <f>'LiLAC valuation'!K460</f>
        <v>3.5544316771609408E-2</v>
      </c>
    </row>
    <row r="666" spans="2:14">
      <c r="B666" t="s">
        <v>90</v>
      </c>
      <c r="C666" s="5"/>
      <c r="D666" s="5"/>
      <c r="E666" s="5"/>
      <c r="F666" s="5"/>
      <c r="G666" s="5">
        <v>0.01</v>
      </c>
    </row>
    <row r="669" spans="2:14">
      <c r="B669" s="570" t="s">
        <v>2410</v>
      </c>
    </row>
    <row r="670" spans="2:14">
      <c r="D670" t="s">
        <v>2405</v>
      </c>
      <c r="E670" t="s">
        <v>2405</v>
      </c>
      <c r="H670" s="8" t="s">
        <v>2404</v>
      </c>
      <c r="I670" t="s">
        <v>2405</v>
      </c>
      <c r="J670" t="s">
        <v>2405</v>
      </c>
    </row>
    <row r="671" spans="2:14">
      <c r="B671" s="3" t="s">
        <v>935</v>
      </c>
      <c r="C671" s="3"/>
      <c r="D671" s="4" t="s">
        <v>882</v>
      </c>
      <c r="E671" s="4" t="s">
        <v>883</v>
      </c>
      <c r="F671" s="4" t="s">
        <v>2403</v>
      </c>
      <c r="H671" s="4" t="s">
        <v>2092</v>
      </c>
      <c r="I671" s="4" t="s">
        <v>2092</v>
      </c>
      <c r="J671" s="4" t="s">
        <v>1559</v>
      </c>
      <c r="K671" s="4" t="s">
        <v>2056</v>
      </c>
      <c r="M671" s="4" t="s">
        <v>2092</v>
      </c>
      <c r="N671" s="4" t="s">
        <v>1559</v>
      </c>
    </row>
    <row r="672" spans="2:14">
      <c r="B672" t="s">
        <v>32</v>
      </c>
      <c r="D672">
        <f>155.6-E672</f>
        <v>74.899999999999991</v>
      </c>
      <c r="E672">
        <v>80.7</v>
      </c>
      <c r="I672">
        <f>158.1-J672</f>
        <v>79</v>
      </c>
      <c r="J672">
        <v>79.099999999999994</v>
      </c>
      <c r="M672" s="606">
        <v>0.124</v>
      </c>
      <c r="N672" s="606">
        <v>7.0999999999999994E-2</v>
      </c>
    </row>
    <row r="673" spans="2:15">
      <c r="B673" t="s">
        <v>1413</v>
      </c>
      <c r="D673">
        <f>316.8-E673</f>
        <v>154.4</v>
      </c>
      <c r="E673">
        <v>162.4</v>
      </c>
      <c r="I673">
        <f>318.2-J673</f>
        <v>156.6</v>
      </c>
      <c r="J673">
        <v>161.6</v>
      </c>
      <c r="M673" s="612">
        <v>2.4E-2</v>
      </c>
      <c r="N673" s="612">
        <v>1.2E-2</v>
      </c>
    </row>
    <row r="674" spans="2:15">
      <c r="B674" t="s">
        <v>1382</v>
      </c>
      <c r="D674">
        <f>87.7-E674</f>
        <v>43.2</v>
      </c>
      <c r="E674">
        <v>44.5</v>
      </c>
      <c r="I674">
        <f>81.8-J674</f>
        <v>41.4</v>
      </c>
      <c r="J674">
        <v>40.4</v>
      </c>
      <c r="M674" s="606">
        <v>-1E-3</v>
      </c>
      <c r="N674" s="606">
        <v>-4.5999999999999999E-2</v>
      </c>
    </row>
    <row r="675" spans="2:15">
      <c r="B675" t="s">
        <v>0</v>
      </c>
      <c r="D675">
        <f>335.4-E675</f>
        <v>163.99999999999997</v>
      </c>
      <c r="E675">
        <v>171.4</v>
      </c>
      <c r="I675">
        <f>322.2-J675</f>
        <v>163.1</v>
      </c>
      <c r="J675">
        <v>159.1</v>
      </c>
      <c r="M675" s="606">
        <v>-6.0000000000000001E-3</v>
      </c>
      <c r="N675" s="606">
        <v>-7.1999999999999995E-2</v>
      </c>
    </row>
    <row r="676" spans="2:15">
      <c r="B676" t="s">
        <v>31</v>
      </c>
      <c r="D676">
        <f>161.9-E676</f>
        <v>82.100000000000009</v>
      </c>
      <c r="E676">
        <v>79.8</v>
      </c>
      <c r="I676">
        <f>147.1-J676</f>
        <v>76</v>
      </c>
      <c r="J676">
        <v>71.099999999999994</v>
      </c>
      <c r="M676" s="606">
        <v>-8.2000000000000003E-2</v>
      </c>
      <c r="N676" s="606">
        <v>-0.10199999999999999</v>
      </c>
    </row>
    <row r="677" spans="2:15">
      <c r="B677" s="3" t="s">
        <v>33</v>
      </c>
      <c r="C677" s="3"/>
      <c r="D677" s="3">
        <f>127.1-E677</f>
        <v>64.599999999999994</v>
      </c>
      <c r="E677" s="3">
        <v>62.5</v>
      </c>
      <c r="I677" s="3">
        <f>113.8-J677</f>
        <v>58.099999999999994</v>
      </c>
      <c r="J677" s="3">
        <v>55.7</v>
      </c>
      <c r="M677" s="607">
        <v>-0.10100000000000001</v>
      </c>
      <c r="N677" s="607">
        <v>-0.10299999999999999</v>
      </c>
    </row>
    <row r="678" spans="2:15">
      <c r="B678" t="s">
        <v>1961</v>
      </c>
      <c r="D678">
        <f>SUM(D672:D677)</f>
        <v>583.20000000000005</v>
      </c>
      <c r="E678">
        <f>SUM(E672:E677)</f>
        <v>601.29999999999995</v>
      </c>
      <c r="F678" s="633"/>
      <c r="I678">
        <f>SUM(I672:I677)</f>
        <v>574.20000000000005</v>
      </c>
      <c r="J678">
        <f>SUM(J672:J677)</f>
        <v>567</v>
      </c>
      <c r="M678" s="606">
        <v>-3.0000000000000001E-3</v>
      </c>
      <c r="N678" s="606">
        <v>-3.6999999999999998E-2</v>
      </c>
    </row>
    <row r="679" spans="2:15">
      <c r="B679" t="s">
        <v>899</v>
      </c>
      <c r="F679" s="633"/>
      <c r="M679" s="606"/>
      <c r="N679" s="606"/>
    </row>
    <row r="680" spans="2:15">
      <c r="B680" t="s">
        <v>984</v>
      </c>
      <c r="F680" s="633"/>
      <c r="M680" s="606"/>
      <c r="N680" s="606"/>
    </row>
    <row r="681" spans="2:15">
      <c r="B681" t="s">
        <v>1993</v>
      </c>
      <c r="F681" s="633"/>
      <c r="M681" s="606"/>
      <c r="N681" s="606"/>
    </row>
    <row r="682" spans="2:15">
      <c r="C682" s="606"/>
      <c r="O682" s="8"/>
    </row>
    <row r="683" spans="2:15">
      <c r="B683" s="3" t="s">
        <v>935</v>
      </c>
      <c r="C683" s="634" t="s">
        <v>2092</v>
      </c>
      <c r="M683" s="4" t="s">
        <v>2092</v>
      </c>
      <c r="N683" s="4" t="s">
        <v>1559</v>
      </c>
      <c r="O683" s="4" t="s">
        <v>2056</v>
      </c>
    </row>
    <row r="684" spans="2:15">
      <c r="B684" t="s">
        <v>2064</v>
      </c>
      <c r="C684" s="10">
        <v>0.126</v>
      </c>
      <c r="D684" s="62">
        <f t="shared" ref="D684:D690" si="78">F684-E684</f>
        <v>68.126435803624631</v>
      </c>
      <c r="E684" s="62">
        <f t="shared" ref="E684:F689" si="79">J684/(1+N684)</f>
        <v>68.395303326810179</v>
      </c>
      <c r="F684" s="62">
        <f t="shared" si="79"/>
        <v>136.52173913043481</v>
      </c>
      <c r="H684" s="8">
        <v>88.6</v>
      </c>
      <c r="I684">
        <f t="shared" ref="I684:I690" si="80">K684-J684</f>
        <v>71.400000000000006</v>
      </c>
      <c r="J684">
        <v>69.900000000000006</v>
      </c>
      <c r="K684">
        <v>141.30000000000001</v>
      </c>
      <c r="M684" s="606">
        <f t="shared" ref="M684:M690" si="81">I684/D684-1</f>
        <v>4.8051305748791462E-2</v>
      </c>
      <c r="N684" s="606">
        <v>2.1999999999999999E-2</v>
      </c>
      <c r="O684" s="6">
        <v>3.5000000000000003E-2</v>
      </c>
    </row>
    <row r="685" spans="2:15">
      <c r="B685" t="s">
        <v>2184</v>
      </c>
      <c r="C685" s="10">
        <v>4.3999999999999997E-2</v>
      </c>
      <c r="D685" s="62">
        <f t="shared" si="78"/>
        <v>85.237609824765769</v>
      </c>
      <c r="E685" s="62">
        <f t="shared" si="79"/>
        <v>96.719576719576736</v>
      </c>
      <c r="F685" s="62">
        <f t="shared" si="79"/>
        <v>181.95718654434251</v>
      </c>
      <c r="H685" s="8">
        <v>88.3</v>
      </c>
      <c r="I685">
        <f t="shared" si="80"/>
        <v>87.1</v>
      </c>
      <c r="J685">
        <v>91.4</v>
      </c>
      <c r="K685">
        <v>178.5</v>
      </c>
      <c r="M685" s="612">
        <f t="shared" si="81"/>
        <v>2.1849394640030217E-2</v>
      </c>
      <c r="N685" s="612">
        <v>-5.5E-2</v>
      </c>
      <c r="O685" s="6">
        <v>-1.9E-2</v>
      </c>
    </row>
    <row r="686" spans="2:15">
      <c r="B686" t="s">
        <v>2185</v>
      </c>
      <c r="C686" s="10">
        <v>-6.0000000000000001E-3</v>
      </c>
      <c r="D686" s="62">
        <f t="shared" si="78"/>
        <v>48.925172463114357</v>
      </c>
      <c r="E686" s="62">
        <f t="shared" si="79"/>
        <v>46.744930629669149</v>
      </c>
      <c r="F686" s="62">
        <f t="shared" si="79"/>
        <v>95.670103092783506</v>
      </c>
      <c r="H686" s="8">
        <v>47.8</v>
      </c>
      <c r="I686">
        <f t="shared" si="80"/>
        <v>49</v>
      </c>
      <c r="J686">
        <v>43.8</v>
      </c>
      <c r="K686">
        <v>92.8</v>
      </c>
      <c r="M686" s="606">
        <f t="shared" si="81"/>
        <v>1.5294281679243404E-3</v>
      </c>
      <c r="N686" s="606">
        <v>-6.3E-2</v>
      </c>
      <c r="O686" s="6">
        <v>-0.03</v>
      </c>
    </row>
    <row r="687" spans="2:15">
      <c r="B687" t="s">
        <v>1568</v>
      </c>
      <c r="C687" s="10">
        <v>-1.4999999999999999E-2</v>
      </c>
      <c r="D687" s="62">
        <f t="shared" si="78"/>
        <v>47.518255978508797</v>
      </c>
      <c r="E687" s="62">
        <f t="shared" si="79"/>
        <v>47.466390899689763</v>
      </c>
      <c r="F687" s="62">
        <f t="shared" si="79"/>
        <v>94.984646878198561</v>
      </c>
      <c r="H687" s="8">
        <v>46.8</v>
      </c>
      <c r="I687">
        <f t="shared" si="80"/>
        <v>46.9</v>
      </c>
      <c r="J687">
        <v>45.9</v>
      </c>
      <c r="K687">
        <v>92.8</v>
      </c>
      <c r="M687" s="606">
        <f t="shared" si="81"/>
        <v>-1.3010914769018833E-2</v>
      </c>
      <c r="N687" s="606">
        <v>-3.3000000000000002E-2</v>
      </c>
      <c r="O687" s="6">
        <v>-2.3E-2</v>
      </c>
    </row>
    <row r="688" spans="2:15">
      <c r="B688" t="s">
        <v>5</v>
      </c>
      <c r="C688" s="10">
        <v>-2.4E-2</v>
      </c>
      <c r="D688" s="62">
        <f t="shared" si="78"/>
        <v>231.25000000000003</v>
      </c>
      <c r="E688" s="62">
        <f t="shared" si="79"/>
        <v>232.99180327868854</v>
      </c>
      <c r="F688" s="62">
        <f t="shared" si="79"/>
        <v>464.24180327868856</v>
      </c>
      <c r="H688" s="8">
        <v>225.7</v>
      </c>
      <c r="I688">
        <f t="shared" si="80"/>
        <v>225.70000000000002</v>
      </c>
      <c r="J688">
        <v>227.4</v>
      </c>
      <c r="K688">
        <v>453.1</v>
      </c>
      <c r="M688" s="606">
        <f t="shared" si="81"/>
        <v>-2.4000000000000021E-2</v>
      </c>
      <c r="N688" s="606">
        <v>-2.4E-2</v>
      </c>
      <c r="O688" s="6">
        <v>-2.4E-2</v>
      </c>
    </row>
    <row r="689" spans="2:15">
      <c r="B689" s="3" t="s">
        <v>7</v>
      </c>
      <c r="C689" s="11">
        <v>-0.10299999999999999</v>
      </c>
      <c r="D689" s="554">
        <f t="shared" si="78"/>
        <v>96.469653568566414</v>
      </c>
      <c r="E689" s="554">
        <f t="shared" si="79"/>
        <v>97.273718647764454</v>
      </c>
      <c r="F689" s="554">
        <f t="shared" si="79"/>
        <v>193.74337221633087</v>
      </c>
      <c r="H689" s="9">
        <v>76.400000000000006</v>
      </c>
      <c r="I689" s="3">
        <f t="shared" si="80"/>
        <v>93.499999999999986</v>
      </c>
      <c r="J689" s="3">
        <v>89.2</v>
      </c>
      <c r="K689" s="3">
        <v>182.7</v>
      </c>
      <c r="M689" s="607">
        <f t="shared" si="81"/>
        <v>-3.0783292555888853E-2</v>
      </c>
      <c r="N689" s="607">
        <v>-8.3000000000000004E-2</v>
      </c>
      <c r="O689" s="7">
        <v>-5.7000000000000002E-2</v>
      </c>
    </row>
    <row r="690" spans="2:15">
      <c r="B690" t="s">
        <v>90</v>
      </c>
      <c r="C690" s="10">
        <v>-3.0000000000000001E-3</v>
      </c>
      <c r="D690" s="62">
        <f t="shared" si="78"/>
        <v>577.52712763858005</v>
      </c>
      <c r="E690" s="62">
        <f>SUM(E684:E689)</f>
        <v>589.59172350219876</v>
      </c>
      <c r="F690" s="62">
        <f>SUM(F684:F689)</f>
        <v>1167.1188511407788</v>
      </c>
      <c r="H690" s="8">
        <f>SUM(H684:H689)</f>
        <v>573.6</v>
      </c>
      <c r="I690">
        <f t="shared" si="80"/>
        <v>573.6</v>
      </c>
      <c r="J690">
        <f>SUM(J684:J689)</f>
        <v>567.6</v>
      </c>
      <c r="K690">
        <f>SUM(K684:K689)</f>
        <v>1141.2</v>
      </c>
      <c r="M690" s="606">
        <f t="shared" si="81"/>
        <v>-6.7999015988001732E-3</v>
      </c>
      <c r="N690" s="606">
        <v>-3.7000000000000005E-2</v>
      </c>
      <c r="O690" s="6">
        <v>-2.1999999999999999E-2</v>
      </c>
    </row>
    <row r="692" spans="2:15">
      <c r="D692" s="80" t="s">
        <v>1423</v>
      </c>
      <c r="E692" s="80" t="s">
        <v>1422</v>
      </c>
      <c r="F692" s="80"/>
      <c r="G692" s="80"/>
      <c r="H692" s="80"/>
      <c r="I692" s="80"/>
      <c r="J692" s="80" t="s">
        <v>1422</v>
      </c>
    </row>
    <row r="693" spans="2:15">
      <c r="D693" s="32">
        <f>D575</f>
        <v>42156</v>
      </c>
      <c r="E693" s="32">
        <f>D693</f>
        <v>42156</v>
      </c>
      <c r="F693" s="32">
        <f>E575</f>
        <v>42248</v>
      </c>
      <c r="G693" s="32">
        <f>F575</f>
        <v>42339</v>
      </c>
      <c r="H693" s="32">
        <f>G575</f>
        <v>42430</v>
      </c>
      <c r="I693" s="32"/>
      <c r="J693" s="32">
        <f>G662</f>
        <v>42522</v>
      </c>
    </row>
    <row r="694" spans="2:15">
      <c r="B694" s="3" t="s">
        <v>2111</v>
      </c>
      <c r="C694" s="32">
        <f>C575</f>
        <v>42064</v>
      </c>
      <c r="D694" s="6">
        <f>D597</f>
        <v>0.34880136986301374</v>
      </c>
      <c r="E694" s="35">
        <f>194.7/583</f>
        <v>0.33396226415094338</v>
      </c>
      <c r="F694" s="6">
        <f t="shared" ref="F694:H696" si="82">E597</f>
        <v>0.38473154362416107</v>
      </c>
      <c r="G694" s="6">
        <f t="shared" si="82"/>
        <v>0.40857142857142859</v>
      </c>
      <c r="H694" s="6">
        <f t="shared" si="82"/>
        <v>0.44314049586776866</v>
      </c>
      <c r="I694" s="6"/>
      <c r="J694" s="6">
        <f>H597</f>
        <v>0.35056570931244563</v>
      </c>
    </row>
    <row r="695" spans="2:15">
      <c r="B695" t="s">
        <v>29</v>
      </c>
      <c r="C695" s="6">
        <f>C597</f>
        <v>0.40072312174340136</v>
      </c>
      <c r="D695" s="7">
        <f>D598</f>
        <v>0.39213275968039335</v>
      </c>
      <c r="E695" s="7">
        <f>D695</f>
        <v>0.39213275968039335</v>
      </c>
      <c r="F695" s="7">
        <f t="shared" si="82"/>
        <v>0.41386010362694303</v>
      </c>
      <c r="G695" s="7">
        <f t="shared" si="82"/>
        <v>0.4120310478654593</v>
      </c>
      <c r="H695" s="7">
        <f t="shared" si="82"/>
        <v>0.40098684210526314</v>
      </c>
      <c r="I695" s="7"/>
      <c r="J695" s="7">
        <f>H598</f>
        <v>0.40466435549952734</v>
      </c>
    </row>
    <row r="696" spans="2:15">
      <c r="B696" s="3" t="s">
        <v>2106</v>
      </c>
      <c r="C696" s="7">
        <f>C598</f>
        <v>0.34947172129301657</v>
      </c>
      <c r="D696" s="6">
        <f>D599</f>
        <v>0.36430613591378935</v>
      </c>
      <c r="E696" s="6">
        <f>E592</f>
        <v>2.3000000000000114</v>
      </c>
      <c r="F696" s="6">
        <f t="shared" si="82"/>
        <v>0.39467285587975248</v>
      </c>
      <c r="G696" s="6">
        <f t="shared" si="82"/>
        <v>0.40975447909754475</v>
      </c>
      <c r="H696" s="6">
        <f t="shared" si="82"/>
        <v>0.42909010892287375</v>
      </c>
      <c r="I696" s="6"/>
      <c r="J696" s="6">
        <f>H599</f>
        <v>0.36981385960977803</v>
      </c>
    </row>
    <row r="697" spans="2:15">
      <c r="B697" t="s">
        <v>90</v>
      </c>
      <c r="C697" s="6">
        <f>C599</f>
        <v>0.38347346966490364</v>
      </c>
    </row>
    <row r="699" spans="2:15">
      <c r="B699" t="s">
        <v>2047</v>
      </c>
      <c r="D699" t="s">
        <v>72</v>
      </c>
    </row>
    <row r="701" spans="2:15">
      <c r="B701" s="3" t="s">
        <v>325</v>
      </c>
      <c r="C701" s="3"/>
      <c r="D701" s="38">
        <f>D375</f>
        <v>41791</v>
      </c>
      <c r="E701" s="38">
        <f>E375</f>
        <v>41883</v>
      </c>
      <c r="F701" s="38">
        <f>F375</f>
        <v>41974</v>
      </c>
      <c r="G701" s="38">
        <f>G375</f>
        <v>42064</v>
      </c>
      <c r="H701" s="38">
        <f>H375</f>
        <v>42156</v>
      </c>
      <c r="I701" s="38"/>
      <c r="J701" s="38">
        <f>J375</f>
        <v>42248</v>
      </c>
      <c r="K701" s="38">
        <f>K375</f>
        <v>42339</v>
      </c>
      <c r="L701" s="38">
        <f>L375</f>
        <v>42430</v>
      </c>
    </row>
    <row r="702" spans="2:15">
      <c r="B702" t="s">
        <v>15</v>
      </c>
      <c r="D702" s="16">
        <f>D403</f>
        <v>560.57692307692309</v>
      </c>
      <c r="E702" s="16">
        <f>E403</f>
        <v>571.42307692307691</v>
      </c>
      <c r="F702" s="16">
        <f>F403</f>
        <v>589.10891089108907</v>
      </c>
      <c r="G702" s="16">
        <f>G403</f>
        <v>608.959649343975</v>
      </c>
      <c r="H702" s="16">
        <f>H403</f>
        <v>583</v>
      </c>
      <c r="I702" s="16"/>
      <c r="J702" s="16">
        <f>J403</f>
        <v>596</v>
      </c>
      <c r="K702" s="16">
        <f>K403</f>
        <v>595</v>
      </c>
      <c r="L702" s="16">
        <f>L403</f>
        <v>605</v>
      </c>
    </row>
    <row r="703" spans="2:15">
      <c r="B703" t="s">
        <v>8</v>
      </c>
      <c r="D703" s="16">
        <f>D407</f>
        <v>210.56832694763719</v>
      </c>
      <c r="E703" s="16">
        <f>E407</f>
        <v>200</v>
      </c>
      <c r="F703" s="16">
        <f>F407</f>
        <v>205.17241379310346</v>
      </c>
      <c r="G703" s="16">
        <f>G407</f>
        <v>240.11511511511517</v>
      </c>
      <c r="H703" s="16">
        <f>H407</f>
        <v>200</v>
      </c>
      <c r="I703" s="16"/>
      <c r="J703" s="16">
        <f>J407</f>
        <v>227</v>
      </c>
      <c r="K703" s="16">
        <f>K407</f>
        <v>238</v>
      </c>
      <c r="L703" s="16">
        <f>L407</f>
        <v>285</v>
      </c>
    </row>
    <row r="704" spans="2:15">
      <c r="B704" t="s">
        <v>2048</v>
      </c>
      <c r="D704" s="6">
        <f>D703/D702</f>
        <v>0.37562789026679705</v>
      </c>
      <c r="E704" s="6">
        <f>E703/E702</f>
        <v>0.35000336541697519</v>
      </c>
      <c r="F704" s="6">
        <f>F703/F702</f>
        <v>0.34827586206896555</v>
      </c>
      <c r="G704" s="6">
        <f>G703/G702</f>
        <v>0.39430381860898062</v>
      </c>
      <c r="H704" s="6">
        <f>H703/H702</f>
        <v>0.34305317324185247</v>
      </c>
      <c r="I704" s="6"/>
      <c r="J704" s="6">
        <f>J703/J702</f>
        <v>0.38087248322147649</v>
      </c>
      <c r="K704" s="6">
        <f>K703/K702</f>
        <v>0.4</v>
      </c>
      <c r="L704" s="6">
        <f>L703/L702</f>
        <v>0.47107438016528924</v>
      </c>
    </row>
    <row r="706" spans="2:12">
      <c r="B706" t="s">
        <v>19</v>
      </c>
      <c r="D706" s="16">
        <f>D417</f>
        <v>136.32190942472462</v>
      </c>
      <c r="E706" s="16">
        <f>E417</f>
        <v>150</v>
      </c>
      <c r="F706" s="16">
        <f>F417</f>
        <v>177.63157894736841</v>
      </c>
      <c r="G706" s="16">
        <f>G417</f>
        <v>183.04651162790699</v>
      </c>
      <c r="H706" s="16">
        <f>H417</f>
        <v>133</v>
      </c>
      <c r="I706" s="16"/>
      <c r="J706" s="16">
        <f>J417</f>
        <v>131</v>
      </c>
      <c r="K706" s="16">
        <f>K417</f>
        <v>135</v>
      </c>
      <c r="L706" s="16">
        <f>L417</f>
        <v>129</v>
      </c>
    </row>
    <row r="707" spans="2:12">
      <c r="B707" t="s">
        <v>91</v>
      </c>
      <c r="D707" s="6">
        <f>D706/D702</f>
        <v>0.24318145077480893</v>
      </c>
      <c r="E707" s="6">
        <f>E706/E702</f>
        <v>0.26250252406273139</v>
      </c>
      <c r="F707" s="6">
        <f>F706/F702</f>
        <v>0.30152587350729765</v>
      </c>
      <c r="G707" s="6">
        <f>G706/G702</f>
        <v>0.300588900800079</v>
      </c>
      <c r="H707" s="6">
        <f>H706/H702</f>
        <v>0.22813036020583191</v>
      </c>
      <c r="I707" s="6"/>
      <c r="J707" s="6">
        <f>J706/J702</f>
        <v>0.21979865771812079</v>
      </c>
      <c r="K707" s="6">
        <f>K706/K702</f>
        <v>0.22689075630252101</v>
      </c>
      <c r="L707" s="6">
        <f>L706/L702</f>
        <v>0.21322314049586777</v>
      </c>
    </row>
    <row r="709" spans="2:12">
      <c r="B709" s="570" t="s">
        <v>2059</v>
      </c>
      <c r="C709" s="570"/>
    </row>
    <row r="711" spans="2:12">
      <c r="B711" s="12" t="s">
        <v>15</v>
      </c>
      <c r="C711" s="12"/>
    </row>
    <row r="712" spans="2:12">
      <c r="B712" s="3" t="s">
        <v>325</v>
      </c>
      <c r="C712" s="3"/>
      <c r="D712" s="32">
        <v>42430</v>
      </c>
    </row>
    <row r="713" spans="2:12">
      <c r="B713" s="6" t="str">
        <f>U428</f>
        <v>Panama</v>
      </c>
      <c r="C713" s="6"/>
      <c r="D713">
        <v>655</v>
      </c>
      <c r="E713" s="596">
        <f>H288+J288+K288+L288</f>
        <v>649</v>
      </c>
      <c r="F713" s="16">
        <f>D713*0.49</f>
        <v>320.95</v>
      </c>
      <c r="G713" s="5">
        <f>F713/F$726</f>
        <v>0.17943700556285466</v>
      </c>
    </row>
    <row r="714" spans="2:12">
      <c r="B714" s="6" t="s">
        <v>31</v>
      </c>
      <c r="C714" s="6"/>
      <c r="D714">
        <v>329</v>
      </c>
      <c r="E714" s="596">
        <f>H315+J315+K315+L315</f>
        <v>329</v>
      </c>
      <c r="F714" s="16">
        <f>D714*0.49</f>
        <v>161.21</v>
      </c>
      <c r="G714" s="5">
        <f>F714/F$726</f>
        <v>9.0129427221647615E-2</v>
      </c>
    </row>
    <row r="715" spans="2:12">
      <c r="B715" s="6"/>
      <c r="C715" s="6"/>
      <c r="E715" s="596"/>
    </row>
    <row r="716" spans="2:12">
      <c r="B716" s="6" t="s">
        <v>32</v>
      </c>
      <c r="C716" s="6"/>
      <c r="D716">
        <v>307</v>
      </c>
      <c r="F716" s="16">
        <f>D716*0.82</f>
        <v>251.73999999999998</v>
      </c>
      <c r="G716" s="5">
        <f>F716/F$726</f>
        <v>0.14074301847762277</v>
      </c>
      <c r="K716" s="5">
        <f>(D716+D717+D718)/D720</f>
        <v>0.59655485040797829</v>
      </c>
    </row>
    <row r="717" spans="2:12">
      <c r="B717" s="6" t="s">
        <v>2060</v>
      </c>
      <c r="C717" s="6"/>
      <c r="D717">
        <v>176</v>
      </c>
      <c r="F717">
        <f>D717</f>
        <v>176</v>
      </c>
      <c r="G717" s="5">
        <f>F717/F$726</f>
        <v>9.8398233304447483E-2</v>
      </c>
    </row>
    <row r="718" spans="2:12">
      <c r="B718" s="6" t="s">
        <v>33</v>
      </c>
      <c r="C718" s="6"/>
      <c r="D718">
        <v>175</v>
      </c>
      <c r="F718" s="16">
        <f>D718*0.81</f>
        <v>141.75</v>
      </c>
      <c r="G718" s="5">
        <f>F718/F$726</f>
        <v>7.9249713471053584E-2</v>
      </c>
    </row>
    <row r="719" spans="2:12">
      <c r="B719" s="7" t="s">
        <v>1930</v>
      </c>
      <c r="C719" s="7"/>
      <c r="D719" s="64">
        <f>D720-SUM(D716:D718)</f>
        <v>445</v>
      </c>
      <c r="F719" s="3">
        <f>D719</f>
        <v>445</v>
      </c>
      <c r="G719" s="512">
        <f>F719/F$726</f>
        <v>0.24879098761635871</v>
      </c>
    </row>
    <row r="720" spans="2:12">
      <c r="B720" s="6" t="str">
        <f>U430</f>
        <v>Caribbean</v>
      </c>
      <c r="C720" s="6"/>
      <c r="D720" s="16">
        <f>E720</f>
        <v>1103</v>
      </c>
      <c r="E720" s="596">
        <f>H342+J342+K342+L342</f>
        <v>1103</v>
      </c>
      <c r="F720" s="16">
        <f>SUM(F716:F719)</f>
        <v>1014.49</v>
      </c>
      <c r="G720" s="5">
        <f>F720/F$726</f>
        <v>0.56718195286948259</v>
      </c>
    </row>
    <row r="721" spans="2:7">
      <c r="B721" s="6"/>
      <c r="C721" s="6"/>
      <c r="D721" s="16"/>
      <c r="F721" s="5"/>
    </row>
    <row r="722" spans="2:7">
      <c r="B722" s="6" t="s">
        <v>3</v>
      </c>
      <c r="C722" s="6"/>
      <c r="D722">
        <v>56</v>
      </c>
      <c r="E722" s="596">
        <f>H369+J369+K369+L369</f>
        <v>56</v>
      </c>
      <c r="F722">
        <f>D722</f>
        <v>56</v>
      </c>
      <c r="G722" s="5">
        <f>F722/F$726</f>
        <v>3.1308528778687839E-2</v>
      </c>
    </row>
    <row r="723" spans="2:7">
      <c r="B723" s="6"/>
      <c r="C723" s="6"/>
      <c r="D723" s="16"/>
    </row>
    <row r="724" spans="2:7">
      <c r="B724" s="6" t="str">
        <f>U432</f>
        <v>Networks/Latam</v>
      </c>
      <c r="C724" s="6"/>
      <c r="D724" s="16">
        <f>E724</f>
        <v>263</v>
      </c>
      <c r="E724" s="596">
        <f>Quarts!H396+Quarts!J396+Quarts!K396+Quarts!L396</f>
        <v>263</v>
      </c>
      <c r="F724">
        <f>D724</f>
        <v>263</v>
      </c>
      <c r="G724" s="5">
        <f>F724/F$726</f>
        <v>0.14703826908562323</v>
      </c>
    </row>
    <row r="725" spans="2:7">
      <c r="B725" s="7" t="s">
        <v>2061</v>
      </c>
      <c r="C725" s="7"/>
      <c r="D725" s="64">
        <f>D726-D713-D714-D720-D724-D722</f>
        <v>-27</v>
      </c>
      <c r="E725" s="597"/>
      <c r="F725" s="3">
        <f>D725</f>
        <v>-27</v>
      </c>
      <c r="G725" s="512">
        <f>F725/F$726</f>
        <v>-1.509518351829592E-2</v>
      </c>
    </row>
    <row r="726" spans="2:7">
      <c r="B726" t="s">
        <v>90</v>
      </c>
      <c r="D726">
        <v>2379</v>
      </c>
      <c r="E726" s="596">
        <f>Quarts!H403+Quarts!J403+Quarts!K403+Quarts!L403</f>
        <v>2379</v>
      </c>
      <c r="F726" s="16">
        <f>F713+F714+F720+F722+F724+F725</f>
        <v>1788.65</v>
      </c>
      <c r="G726" s="5">
        <f>F726/F$726</f>
        <v>1</v>
      </c>
    </row>
    <row r="728" spans="2:7">
      <c r="B728" s="12" t="s">
        <v>8</v>
      </c>
      <c r="C728" s="12"/>
    </row>
    <row r="729" spans="2:7">
      <c r="B729" s="6" t="str">
        <f>B713</f>
        <v>Panama</v>
      </c>
      <c r="C729" s="6"/>
      <c r="E729" s="596">
        <f>H289+J289+K289+L289</f>
        <v>251</v>
      </c>
      <c r="F729" s="16">
        <f>E729*0.49</f>
        <v>122.99</v>
      </c>
      <c r="G729" s="5">
        <f t="shared" ref="G729:G735" si="83">F729/F$735</f>
        <v>0.17007301288788096</v>
      </c>
    </row>
    <row r="730" spans="2:7">
      <c r="B730" s="6" t="str">
        <f>B714</f>
        <v>Bahamas</v>
      </c>
      <c r="C730" s="6"/>
      <c r="E730" s="596">
        <f>H316+J316+K316+L316</f>
        <v>121</v>
      </c>
      <c r="F730" s="16">
        <f>E730*0.49</f>
        <v>59.29</v>
      </c>
      <c r="G730" s="5">
        <f t="shared" si="83"/>
        <v>8.1987388683002385E-2</v>
      </c>
    </row>
    <row r="731" spans="2:7">
      <c r="B731" s="6" t="str">
        <f>B720</f>
        <v>Caribbean</v>
      </c>
      <c r="C731" s="6"/>
      <c r="E731" s="596">
        <f>H343+J343+K343+L343</f>
        <v>464</v>
      </c>
      <c r="F731" s="16">
        <f>E731*0.92</f>
        <v>426.88</v>
      </c>
      <c r="G731" s="5">
        <f t="shared" si="83"/>
        <v>0.59029813595884728</v>
      </c>
    </row>
    <row r="732" spans="2:7">
      <c r="B732" s="6" t="str">
        <f>B722</f>
        <v>Seychelles</v>
      </c>
      <c r="C732" s="6"/>
      <c r="E732" s="596">
        <f>H370+J370+K370+L370</f>
        <v>22</v>
      </c>
      <c r="F732" s="16">
        <f>E732</f>
        <v>22</v>
      </c>
      <c r="G732" s="5">
        <f t="shared" si="83"/>
        <v>3.042203661706953E-2</v>
      </c>
    </row>
    <row r="733" spans="2:7">
      <c r="B733" s="6" t="str">
        <f>B724</f>
        <v>Networks/Latam</v>
      </c>
      <c r="C733" s="6"/>
      <c r="E733" s="596">
        <f>H397+J397+K397+L397</f>
        <v>125</v>
      </c>
      <c r="F733" s="16">
        <f>E733</f>
        <v>125</v>
      </c>
      <c r="G733" s="5">
        <f t="shared" si="83"/>
        <v>0.17285248077880414</v>
      </c>
    </row>
    <row r="734" spans="2:7">
      <c r="B734" s="7" t="str">
        <f>B725</f>
        <v>Other/elims</v>
      </c>
      <c r="C734" s="7"/>
      <c r="D734" s="3"/>
      <c r="E734" s="597">
        <f>E735-SUM(E729:E733)</f>
        <v>-33</v>
      </c>
      <c r="F734" s="64">
        <f>E734</f>
        <v>-33</v>
      </c>
      <c r="G734" s="512">
        <f t="shared" si="83"/>
        <v>-4.5633054925604294E-2</v>
      </c>
    </row>
    <row r="735" spans="2:7">
      <c r="B735" t="s">
        <v>90</v>
      </c>
      <c r="E735" s="596">
        <f>H407+J407+K407+L407</f>
        <v>950</v>
      </c>
      <c r="F735" s="16">
        <f>SUM(F729:F734)</f>
        <v>723.16</v>
      </c>
      <c r="G735" s="5">
        <f t="shared" si="83"/>
        <v>1</v>
      </c>
    </row>
    <row r="736" spans="2:7">
      <c r="E736" s="6">
        <f>E735/E726</f>
        <v>0.39932744850777635</v>
      </c>
      <c r="F736" s="6">
        <f>F735/F726</f>
        <v>0.40430492270706953</v>
      </c>
    </row>
    <row r="934" spans="2:8">
      <c r="B934" s="3" t="s">
        <v>2353</v>
      </c>
      <c r="C934" s="4" t="str">
        <f>'New quarts'!K208</f>
        <v>Q1 16</v>
      </c>
      <c r="D934" s="4" t="str">
        <f>'New quarts'!L208</f>
        <v>Q2 16</v>
      </c>
      <c r="E934" s="4" t="str">
        <f>'New quarts'!M208</f>
        <v>Q3 16</v>
      </c>
      <c r="F934" s="4" t="s">
        <v>1780</v>
      </c>
      <c r="G934" s="3" t="s">
        <v>2351</v>
      </c>
      <c r="H934" s="3" t="s">
        <v>2352</v>
      </c>
    </row>
    <row r="935" spans="2:8">
      <c r="B935" t="s">
        <v>29</v>
      </c>
      <c r="C935" s="16">
        <f>'New quarts'!K211</f>
        <v>268.10000000000002</v>
      </c>
      <c r="D935" s="16">
        <f>'New quarts'!L211</f>
        <v>201.4</v>
      </c>
      <c r="E935" s="16">
        <f>'New quarts'!M211</f>
        <v>215</v>
      </c>
      <c r="F935">
        <v>220</v>
      </c>
      <c r="G935" s="16">
        <f>SUM(C935:F935)</f>
        <v>904.5</v>
      </c>
      <c r="H935" s="16">
        <f>SUM(E935:F935)*2</f>
        <v>870</v>
      </c>
    </row>
    <row r="936" spans="2:8">
      <c r="B936" s="3" t="s">
        <v>2106</v>
      </c>
      <c r="C936" s="64">
        <f>'New quarts'!K232</f>
        <v>121.89999999999999</v>
      </c>
      <c r="D936" s="64">
        <f>'New quarts'!L232</f>
        <v>128.4</v>
      </c>
      <c r="E936" s="64">
        <f>'New quarts'!M232</f>
        <v>135</v>
      </c>
      <c r="F936" s="3">
        <v>133</v>
      </c>
      <c r="G936" s="64">
        <f>SUM(C936:F936)</f>
        <v>518.29999999999995</v>
      </c>
      <c r="H936" s="64">
        <f>G936</f>
        <v>518.29999999999995</v>
      </c>
    </row>
    <row r="937" spans="2:8">
      <c r="B937" t="s">
        <v>90</v>
      </c>
      <c r="C937" s="16">
        <f>SUM(C935:C936)</f>
        <v>390</v>
      </c>
      <c r="D937" s="16">
        <f>SUM(D935:D936)</f>
        <v>329.8</v>
      </c>
      <c r="E937" s="16">
        <f>SUM(E935:E936)</f>
        <v>350</v>
      </c>
      <c r="F937" s="16">
        <f>SUM(F935:F936)</f>
        <v>353</v>
      </c>
      <c r="G937" s="16">
        <f>SUM(C937:F937)</f>
        <v>1422.8</v>
      </c>
      <c r="H937" s="16">
        <f>SUM(H935:H936)</f>
        <v>1388.3</v>
      </c>
    </row>
  </sheetData>
  <sortState xmlns:xlrd2="http://schemas.microsoft.com/office/spreadsheetml/2017/richdata2" ref="B681:C685">
    <sortCondition descending="1" ref="C681:C685"/>
  </sortState>
  <pageMargins left="0.70866141732283472" right="0.70866141732283472" top="0.74803149606299213" bottom="0.74803149606299213" header="0.31496062992125984" footer="0.31496062992125984"/>
  <pageSetup paperSize="9" scale="11" fitToHeight="2"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Q62"/>
  <sheetViews>
    <sheetView showGridLines="0" zoomScale="70" zoomScaleNormal="70" workbookViewId="0"/>
  </sheetViews>
  <sheetFormatPr defaultRowHeight="15"/>
  <cols>
    <col min="2" max="2" width="12.42578125" bestFit="1" customWidth="1"/>
    <col min="3" max="3" width="17.140625" customWidth="1"/>
    <col min="4" max="4" width="12.7109375" customWidth="1"/>
    <col min="5" max="5" width="8.140625" customWidth="1"/>
    <col min="6" max="6" width="18.42578125" customWidth="1"/>
    <col min="7" max="7" width="8" customWidth="1"/>
    <col min="8" max="8" width="17.140625" customWidth="1"/>
    <col min="9" max="9" width="9.140625" customWidth="1"/>
    <col min="10" max="10" width="8.140625" customWidth="1"/>
    <col min="11" max="11" width="18.42578125" customWidth="1"/>
    <col min="12" max="12" width="8" customWidth="1"/>
    <col min="13" max="13" width="17.140625" customWidth="1"/>
    <col min="14" max="14" width="9.140625" customWidth="1"/>
    <col min="15" max="15" width="8.140625" customWidth="1"/>
    <col min="16" max="16" width="18.42578125" customWidth="1"/>
  </cols>
  <sheetData>
    <row r="4" spans="1:17">
      <c r="B4" s="84"/>
      <c r="C4" s="510" t="s">
        <v>29</v>
      </c>
      <c r="D4" s="80"/>
      <c r="E4" s="80"/>
      <c r="F4" s="84"/>
      <c r="G4" s="80" t="s">
        <v>482</v>
      </c>
      <c r="H4" s="510" t="s">
        <v>1394</v>
      </c>
      <c r="I4" s="80"/>
      <c r="J4" s="80"/>
      <c r="L4" s="80" t="s">
        <v>482</v>
      </c>
      <c r="M4" s="510" t="s">
        <v>467</v>
      </c>
      <c r="N4" s="80"/>
      <c r="O4" s="80"/>
      <c r="P4" s="84"/>
      <c r="Q4" s="80" t="s">
        <v>482</v>
      </c>
    </row>
    <row r="5" spans="1:17">
      <c r="B5" s="84"/>
      <c r="C5" s="83" t="s">
        <v>465</v>
      </c>
      <c r="D5" s="4" t="s">
        <v>1398</v>
      </c>
      <c r="E5" s="4" t="s">
        <v>1387</v>
      </c>
      <c r="F5" s="83" t="s">
        <v>466</v>
      </c>
      <c r="G5" s="4" t="s">
        <v>483</v>
      </c>
      <c r="H5" s="83" t="s">
        <v>465</v>
      </c>
      <c r="I5" s="4" t="s">
        <v>1372</v>
      </c>
      <c r="J5" s="4" t="s">
        <v>1387</v>
      </c>
      <c r="K5" s="3" t="s">
        <v>466</v>
      </c>
      <c r="L5" s="4" t="s">
        <v>483</v>
      </c>
      <c r="M5" s="83" t="s">
        <v>465</v>
      </c>
      <c r="N5" s="4" t="s">
        <v>1372</v>
      </c>
      <c r="O5" s="4" t="str">
        <f>J5</f>
        <v>GDP, $</v>
      </c>
      <c r="P5" s="83" t="s">
        <v>466</v>
      </c>
      <c r="Q5" s="4" t="s">
        <v>483</v>
      </c>
    </row>
    <row r="6" spans="1:17">
      <c r="A6" s="5">
        <f>B6/B$23</f>
        <v>0.35511505007026323</v>
      </c>
      <c r="B6" s="84">
        <f>D6*E6</f>
        <v>43006320</v>
      </c>
      <c r="C6" s="84" t="s">
        <v>0</v>
      </c>
      <c r="D6" s="486">
        <v>3864</v>
      </c>
      <c r="E6" s="486">
        <v>11130</v>
      </c>
      <c r="F6" s="84" t="s">
        <v>488</v>
      </c>
      <c r="G6" s="5">
        <v>0.36</v>
      </c>
      <c r="H6" s="84" t="s">
        <v>1382</v>
      </c>
      <c r="I6" s="502">
        <v>1224</v>
      </c>
      <c r="J6" s="502">
        <v>24209</v>
      </c>
      <c r="K6" t="s">
        <v>473</v>
      </c>
      <c r="L6" s="5">
        <f>0.43*F61</f>
        <v>0.25732943469785574</v>
      </c>
      <c r="M6" s="84" t="s">
        <v>468</v>
      </c>
      <c r="N6" s="486">
        <v>17620</v>
      </c>
      <c r="O6" s="502">
        <v>14910</v>
      </c>
      <c r="P6" s="84" t="s">
        <v>1384</v>
      </c>
      <c r="Q6" s="5">
        <v>0.67</v>
      </c>
    </row>
    <row r="7" spans="1:17">
      <c r="A7" s="5">
        <f t="shared" ref="A7:A22" si="0">B7/B$23</f>
        <v>7.0664941501535253E-2</v>
      </c>
      <c r="B7" s="84">
        <f t="shared" ref="B7:B22" si="1">D7*E7</f>
        <v>8557900</v>
      </c>
      <c r="C7" s="84" t="s">
        <v>31</v>
      </c>
      <c r="D7" s="486">
        <v>377</v>
      </c>
      <c r="E7" s="486">
        <v>22700</v>
      </c>
      <c r="F7" s="84" t="s">
        <v>1386</v>
      </c>
      <c r="G7" s="5">
        <v>0.2</v>
      </c>
      <c r="H7" s="501" t="s">
        <v>32</v>
      </c>
      <c r="I7" s="503">
        <f>D8</f>
        <v>2930</v>
      </c>
      <c r="J7" s="503">
        <f>E8</f>
        <v>8287</v>
      </c>
      <c r="K7" t="s">
        <v>473</v>
      </c>
      <c r="L7" s="5">
        <f>0.35*F61</f>
        <v>0.20945419103313839</v>
      </c>
      <c r="M7" s="84" t="s">
        <v>469</v>
      </c>
      <c r="N7" s="486">
        <v>3578</v>
      </c>
      <c r="O7" s="502">
        <v>19310</v>
      </c>
      <c r="P7" s="84" t="s">
        <v>1385</v>
      </c>
      <c r="Q7" s="5">
        <v>0.33</v>
      </c>
    </row>
    <row r="8" spans="1:17">
      <c r="A8" s="5">
        <f t="shared" si="0"/>
        <v>0.20049417319132526</v>
      </c>
      <c r="B8" s="84">
        <f t="shared" si="1"/>
        <v>24280910</v>
      </c>
      <c r="C8" s="84" t="s">
        <v>32</v>
      </c>
      <c r="D8" s="509">
        <v>2930</v>
      </c>
      <c r="E8" s="509">
        <v>8287</v>
      </c>
      <c r="F8" s="84" t="s">
        <v>470</v>
      </c>
      <c r="G8" s="5">
        <v>0.11</v>
      </c>
      <c r="H8" s="84" t="s">
        <v>37</v>
      </c>
      <c r="I8" s="502">
        <v>147</v>
      </c>
      <c r="J8" s="502">
        <v>38138</v>
      </c>
      <c r="K8" t="s">
        <v>474</v>
      </c>
      <c r="L8" s="5">
        <f>0.08*F61</f>
        <v>4.7875243664717348E-2</v>
      </c>
      <c r="N8" s="486"/>
      <c r="O8" s="80"/>
    </row>
    <row r="9" spans="1:17">
      <c r="A9" s="5">
        <f t="shared" si="0"/>
        <v>3.5356416850903696E-2</v>
      </c>
      <c r="B9" s="84">
        <f t="shared" si="1"/>
        <v>4281850</v>
      </c>
      <c r="C9" s="84" t="s">
        <v>33</v>
      </c>
      <c r="D9" s="509">
        <v>290</v>
      </c>
      <c r="E9" s="509">
        <v>14765</v>
      </c>
      <c r="F9" s="84" t="s">
        <v>471</v>
      </c>
      <c r="G9" s="5">
        <v>0.09</v>
      </c>
      <c r="H9" s="501" t="s">
        <v>33</v>
      </c>
      <c r="I9" s="503">
        <f>D9</f>
        <v>290</v>
      </c>
      <c r="J9" s="503">
        <f>E9</f>
        <v>14765</v>
      </c>
      <c r="K9" t="s">
        <v>472</v>
      </c>
      <c r="L9" s="5">
        <f>0.08*F61</f>
        <v>4.7875243664717348E-2</v>
      </c>
      <c r="N9" s="486"/>
      <c r="O9" s="80"/>
    </row>
    <row r="10" spans="1:17">
      <c r="A10" s="5">
        <f t="shared" si="0"/>
        <v>1.9622871217501892E-2</v>
      </c>
      <c r="B10" s="84">
        <f t="shared" si="1"/>
        <v>2376434</v>
      </c>
      <c r="C10" s="84" t="s">
        <v>42</v>
      </c>
      <c r="D10" s="486">
        <v>58</v>
      </c>
      <c r="E10" s="486">
        <v>40973</v>
      </c>
      <c r="F10" s="84" t="s">
        <v>471</v>
      </c>
      <c r="G10" s="5">
        <v>0.05</v>
      </c>
      <c r="H10" s="501" t="s">
        <v>34</v>
      </c>
      <c r="I10" s="503">
        <f>D11</f>
        <v>110</v>
      </c>
      <c r="J10" s="503">
        <f>E11</f>
        <v>7617</v>
      </c>
      <c r="K10" t="s">
        <v>473</v>
      </c>
      <c r="L10" s="5">
        <f>0.03*F61</f>
        <v>1.7953216374269006E-2</v>
      </c>
      <c r="N10" s="486"/>
      <c r="O10" s="80"/>
    </row>
    <row r="11" spans="1:17">
      <c r="A11" s="5">
        <f t="shared" si="0"/>
        <v>6.9185237658644459E-3</v>
      </c>
      <c r="B11" s="84">
        <f t="shared" si="1"/>
        <v>837870</v>
      </c>
      <c r="C11" s="84" t="s">
        <v>34</v>
      </c>
      <c r="D11" s="509">
        <v>110</v>
      </c>
      <c r="E11" s="509">
        <v>7617</v>
      </c>
      <c r="F11" s="87"/>
      <c r="G11" s="493"/>
      <c r="H11" s="501" t="s">
        <v>1388</v>
      </c>
      <c r="I11" s="503">
        <f>D13</f>
        <v>91</v>
      </c>
      <c r="J11" s="503">
        <f>E13</f>
        <v>13539</v>
      </c>
      <c r="K11" s="497"/>
      <c r="L11" s="495"/>
      <c r="N11" s="486"/>
      <c r="O11" s="80"/>
    </row>
    <row r="12" spans="1:17">
      <c r="A12" s="5">
        <f t="shared" si="0"/>
        <v>9.1303259481220946E-3</v>
      </c>
      <c r="B12" s="84">
        <f t="shared" si="1"/>
        <v>1105731</v>
      </c>
      <c r="C12" s="84" t="s">
        <v>36</v>
      </c>
      <c r="D12" s="486">
        <v>33</v>
      </c>
      <c r="E12" s="486">
        <v>33507</v>
      </c>
      <c r="F12" s="88"/>
      <c r="G12" s="494" t="s">
        <v>484</v>
      </c>
      <c r="H12" s="501" t="s">
        <v>1389</v>
      </c>
      <c r="I12" s="503">
        <f>D20</f>
        <v>163</v>
      </c>
      <c r="J12" s="503">
        <f>E20</f>
        <v>8233</v>
      </c>
      <c r="K12" s="498"/>
      <c r="L12" s="499" t="s">
        <v>487</v>
      </c>
      <c r="N12" s="486"/>
      <c r="O12" s="80"/>
    </row>
    <row r="13" spans="1:17">
      <c r="A13" s="5">
        <f t="shared" si="0"/>
        <v>1.0173368526393743E-2</v>
      </c>
      <c r="B13" s="84">
        <f t="shared" si="1"/>
        <v>1232049</v>
      </c>
      <c r="C13" s="84" t="s">
        <v>38</v>
      </c>
      <c r="D13" s="509">
        <v>91</v>
      </c>
      <c r="E13" s="509">
        <v>13539</v>
      </c>
      <c r="F13" s="88"/>
      <c r="G13" s="494" t="s">
        <v>485</v>
      </c>
      <c r="H13" s="501" t="s">
        <v>1390</v>
      </c>
      <c r="I13" s="503">
        <f>D21</f>
        <v>103</v>
      </c>
      <c r="J13" s="503">
        <f>E21</f>
        <v>7239</v>
      </c>
      <c r="K13" s="492"/>
      <c r="L13" s="494" t="s">
        <v>1381</v>
      </c>
      <c r="N13" s="486"/>
      <c r="O13" s="80"/>
    </row>
    <row r="14" spans="1:17">
      <c r="A14" s="5">
        <f t="shared" si="0"/>
        <v>1.4405973841858221E-3</v>
      </c>
      <c r="B14" s="84">
        <f t="shared" si="1"/>
        <v>174464</v>
      </c>
      <c r="C14" s="84" t="s">
        <v>39</v>
      </c>
      <c r="D14" s="486">
        <v>16</v>
      </c>
      <c r="E14" s="486">
        <v>10904</v>
      </c>
      <c r="F14" s="88"/>
      <c r="G14" s="494" t="s">
        <v>486</v>
      </c>
      <c r="J14" s="502"/>
      <c r="K14" s="492"/>
      <c r="L14" s="494" t="s">
        <v>1391</v>
      </c>
      <c r="N14" s="486"/>
      <c r="O14" s="80"/>
    </row>
    <row r="15" spans="1:17">
      <c r="A15" s="5">
        <f t="shared" si="0"/>
        <v>4.2182624272105642E-3</v>
      </c>
      <c r="B15" s="84">
        <f t="shared" si="1"/>
        <v>510854</v>
      </c>
      <c r="C15" s="84" t="s">
        <v>40</v>
      </c>
      <c r="D15" s="486">
        <v>73</v>
      </c>
      <c r="E15" s="486">
        <v>6998</v>
      </c>
      <c r="F15" s="88"/>
      <c r="G15" s="494"/>
      <c r="J15" s="502"/>
      <c r="K15" s="492"/>
      <c r="L15" s="494" t="s">
        <v>1392</v>
      </c>
      <c r="N15" s="486"/>
      <c r="O15" s="80"/>
    </row>
    <row r="16" spans="1:17">
      <c r="A16" s="5">
        <f t="shared" si="0"/>
        <v>4.6612322506241779E-4</v>
      </c>
      <c r="B16" s="84">
        <f t="shared" si="1"/>
        <v>56450</v>
      </c>
      <c r="C16" s="84" t="s">
        <v>41</v>
      </c>
      <c r="D16" s="486">
        <v>5</v>
      </c>
      <c r="E16" s="486">
        <v>11290</v>
      </c>
      <c r="F16" s="88"/>
      <c r="G16" s="494"/>
      <c r="J16" s="502"/>
      <c r="K16" s="500"/>
      <c r="L16" s="494"/>
      <c r="N16" s="486"/>
      <c r="O16" s="80"/>
    </row>
    <row r="17" spans="1:17">
      <c r="A17" s="5">
        <f t="shared" si="0"/>
        <v>6.7648558611981642E-3</v>
      </c>
      <c r="B17" s="84">
        <f t="shared" si="1"/>
        <v>819260</v>
      </c>
      <c r="C17" s="84" t="s">
        <v>489</v>
      </c>
      <c r="D17" s="486">
        <v>52</v>
      </c>
      <c r="E17" s="486">
        <v>15755</v>
      </c>
      <c r="F17" s="85"/>
      <c r="G17" s="494"/>
      <c r="J17" s="502"/>
      <c r="K17" s="500"/>
      <c r="L17" s="496"/>
      <c r="N17" s="486"/>
      <c r="O17" s="80"/>
    </row>
    <row r="18" spans="1:17">
      <c r="A18" s="5">
        <f t="shared" si="0"/>
        <v>5.8235016357457148E-3</v>
      </c>
      <c r="B18" s="84">
        <f t="shared" si="1"/>
        <v>705257</v>
      </c>
      <c r="C18" s="84" t="s">
        <v>490</v>
      </c>
      <c r="D18" s="486">
        <v>49</v>
      </c>
      <c r="E18" s="486">
        <v>14393</v>
      </c>
      <c r="F18" s="85"/>
      <c r="G18" s="81"/>
      <c r="H18" s="84"/>
      <c r="I18" s="84"/>
      <c r="J18" s="502"/>
      <c r="K18" s="505"/>
      <c r="L18" s="81"/>
      <c r="N18" s="486"/>
      <c r="O18" s="80"/>
    </row>
    <row r="19" spans="1:17">
      <c r="A19" s="5">
        <f t="shared" si="0"/>
        <v>1.1895051839797452E-2</v>
      </c>
      <c r="B19" s="84">
        <f t="shared" si="1"/>
        <v>1440554</v>
      </c>
      <c r="C19" s="84" t="s">
        <v>3</v>
      </c>
      <c r="D19" s="486">
        <v>89</v>
      </c>
      <c r="E19" s="486">
        <v>16186</v>
      </c>
      <c r="F19" s="85"/>
      <c r="G19" s="81"/>
      <c r="J19" s="502"/>
      <c r="K19" s="505"/>
      <c r="L19" s="81"/>
      <c r="N19" s="486"/>
      <c r="O19" s="80"/>
    </row>
    <row r="20" spans="1:17">
      <c r="A20" s="5">
        <f t="shared" si="0"/>
        <v>1.1081090867068882E-2</v>
      </c>
      <c r="B20" s="84">
        <f t="shared" si="1"/>
        <v>1341979</v>
      </c>
      <c r="C20" s="84" t="s">
        <v>43</v>
      </c>
      <c r="D20" s="509">
        <v>163</v>
      </c>
      <c r="E20" s="509">
        <v>8233</v>
      </c>
      <c r="F20" s="85"/>
      <c r="G20" s="81"/>
      <c r="J20" s="502"/>
      <c r="K20" s="505"/>
      <c r="L20" s="81"/>
      <c r="N20" s="486"/>
      <c r="O20" s="80"/>
    </row>
    <row r="21" spans="1:17">
      <c r="A21" s="5">
        <f t="shared" si="0"/>
        <v>6.1567652914325021E-3</v>
      </c>
      <c r="B21" s="84">
        <f t="shared" si="1"/>
        <v>745617</v>
      </c>
      <c r="C21" s="84" t="s">
        <v>1383</v>
      </c>
      <c r="D21" s="509">
        <v>103</v>
      </c>
      <c r="E21" s="509">
        <v>7239</v>
      </c>
      <c r="F21" s="85"/>
      <c r="G21" s="81"/>
      <c r="J21" s="502"/>
      <c r="K21" s="505"/>
      <c r="L21" s="81"/>
      <c r="N21" s="486"/>
      <c r="O21" s="80"/>
    </row>
    <row r="22" spans="1:17">
      <c r="A22" s="5">
        <f t="shared" si="0"/>
        <v>0.24467808039638889</v>
      </c>
      <c r="B22" s="84">
        <f t="shared" si="1"/>
        <v>29631816</v>
      </c>
      <c r="C22" s="83" t="s">
        <v>1393</v>
      </c>
      <c r="D22" s="487">
        <v>1224</v>
      </c>
      <c r="E22" s="487">
        <f>J6</f>
        <v>24209</v>
      </c>
      <c r="F22" s="86"/>
      <c r="G22" s="82"/>
      <c r="H22" s="9"/>
      <c r="I22" s="9"/>
      <c r="J22" s="507"/>
      <c r="K22" s="506"/>
      <c r="L22" s="82"/>
      <c r="M22" s="3"/>
      <c r="N22" s="486"/>
      <c r="O22" s="4"/>
      <c r="P22" s="3"/>
      <c r="Q22" s="3"/>
    </row>
    <row r="23" spans="1:17">
      <c r="B23" s="84">
        <f>SUM(B6:B22)</f>
        <v>121105315</v>
      </c>
      <c r="C23" s="84" t="s">
        <v>1399</v>
      </c>
      <c r="D23" s="508">
        <f>SUM(D6:D22)</f>
        <v>9527</v>
      </c>
      <c r="E23" s="487"/>
      <c r="F23" s="84"/>
      <c r="H23" s="8"/>
      <c r="I23" s="508">
        <f>SUM(I6:I22)</f>
        <v>5058</v>
      </c>
      <c r="J23" s="507"/>
      <c r="N23" s="508">
        <f>SUM(N6:N22)</f>
        <v>21198</v>
      </c>
      <c r="O23" s="4"/>
    </row>
    <row r="24" spans="1:17">
      <c r="B24" s="84"/>
      <c r="C24" s="84" t="s">
        <v>1397</v>
      </c>
      <c r="D24" s="84"/>
      <c r="E24" s="508">
        <f>E6*G6+E7*G7+E8*G8+E9*G9+E10*G10+0.19*10000</f>
        <v>14735.869999999999</v>
      </c>
      <c r="H24" s="8"/>
      <c r="I24" s="8"/>
      <c r="J24" s="504">
        <f>(J6*L6+J7*L7+J8*L8+J9*L9+J10*L10)/SUM(L6:L10)</f>
        <v>18320.690721649484</v>
      </c>
      <c r="O24" s="504">
        <f>(O6*Q6+O7*Q7)/SUM(Q6:Q7)</f>
        <v>16362</v>
      </c>
    </row>
    <row r="25" spans="1:17">
      <c r="C25" s="84" t="s">
        <v>1395</v>
      </c>
      <c r="D25" s="84"/>
    </row>
    <row r="26" spans="1:17">
      <c r="C26" s="84" t="s">
        <v>1396</v>
      </c>
      <c r="D26" s="84"/>
    </row>
    <row r="27" spans="1:17">
      <c r="C27" s="514"/>
      <c r="D27" s="84" t="s">
        <v>1420</v>
      </c>
    </row>
    <row r="28" spans="1:17">
      <c r="C28" s="84"/>
      <c r="D28" s="84"/>
    </row>
    <row r="29" spans="1:17">
      <c r="C29" s="84"/>
      <c r="D29" s="84"/>
      <c r="E29" s="513" t="s">
        <v>1985</v>
      </c>
      <c r="L29" s="513" t="s">
        <v>1984</v>
      </c>
    </row>
    <row r="53" spans="3:10">
      <c r="C53" s="3" t="s">
        <v>30</v>
      </c>
      <c r="D53" s="3"/>
      <c r="E53" s="3"/>
      <c r="F53" s="4" t="s">
        <v>477</v>
      </c>
    </row>
    <row r="54" spans="3:10">
      <c r="C54" t="s">
        <v>475</v>
      </c>
      <c r="F54" s="16">
        <f>307*(1+CWI!I232)</f>
        <v>363.53663366336633</v>
      </c>
    </row>
    <row r="55" spans="3:10">
      <c r="C55" t="s">
        <v>479</v>
      </c>
      <c r="F55" s="16">
        <f>'By product'!G17+'By product'!G25</f>
        <v>696</v>
      </c>
    </row>
    <row r="56" spans="3:10">
      <c r="C56" t="s">
        <v>481</v>
      </c>
      <c r="F56" s="16">
        <v>1204</v>
      </c>
      <c r="G56" s="5">
        <f>SUM(F54:F56)/F60</f>
        <v>0.60709477348252328</v>
      </c>
    </row>
    <row r="57" spans="3:10">
      <c r="C57" t="s">
        <v>478</v>
      </c>
      <c r="F57" s="16">
        <f>'By product'!G9</f>
        <v>929</v>
      </c>
      <c r="G57" s="5">
        <f>F57/F60</f>
        <v>0.24916364779680483</v>
      </c>
    </row>
    <row r="58" spans="3:10">
      <c r="C58" t="s">
        <v>480</v>
      </c>
      <c r="F58" s="16">
        <f>'By product'!G33</f>
        <v>292</v>
      </c>
    </row>
    <row r="59" spans="3:10">
      <c r="C59" t="s">
        <v>476</v>
      </c>
      <c r="F59" s="16">
        <f>206*(1+CWI!I232)</f>
        <v>243.93663366336634</v>
      </c>
      <c r="I59" s="16">
        <f>F59+F54</f>
        <v>607.47326732673264</v>
      </c>
      <c r="J59">
        <f>L7*I59</f>
        <v>127.2378217821782</v>
      </c>
    </row>
    <row r="60" spans="3:10">
      <c r="F60" s="16">
        <f>SUM(F54:F59)</f>
        <v>3728.4732673267322</v>
      </c>
      <c r="I60" s="16">
        <f>F55+F57+F58</f>
        <v>1917</v>
      </c>
      <c r="J60">
        <f>I60*G8</f>
        <v>210.87</v>
      </c>
    </row>
    <row r="61" spans="3:10">
      <c r="F61" s="5">
        <f>F54/(F54+F59)</f>
        <v>0.59844054580896688</v>
      </c>
      <c r="J61">
        <f>J59+J60</f>
        <v>338.10782178217823</v>
      </c>
    </row>
    <row r="62" spans="3:10">
      <c r="J62" s="5"/>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Q1065"/>
  <sheetViews>
    <sheetView showWhiteSpace="0" topLeftCell="A347" zoomScale="80" zoomScaleNormal="80" workbookViewId="0">
      <pane xSplit="1" topLeftCell="Q1" activePane="topRight" state="frozen"/>
      <selection activeCell="X339" sqref="X339"/>
      <selection pane="topRight" activeCell="AF383" sqref="AF383"/>
    </sheetView>
  </sheetViews>
  <sheetFormatPr defaultColWidth="9.140625" defaultRowHeight="15" outlineLevelRow="1" outlineLevelCol="1"/>
  <cols>
    <col min="1" max="1" width="30.7109375" style="92" customWidth="1"/>
    <col min="2" max="2" width="28.140625" style="92" customWidth="1"/>
    <col min="3" max="3" width="11.140625" style="92" customWidth="1"/>
    <col min="4" max="4" width="14.42578125" style="92" customWidth="1"/>
    <col min="5" max="7" width="11.140625" style="92" customWidth="1"/>
    <col min="8" max="8" width="8.85546875" style="92" customWidth="1"/>
    <col min="9" max="11" width="13.140625" style="92" customWidth="1"/>
    <col min="12" max="64" width="8.5703125" style="92" customWidth="1"/>
    <col min="65" max="66" width="8.85546875" style="92" customWidth="1"/>
    <col min="67" max="67" width="8.85546875" style="92" hidden="1" customWidth="1" outlineLevel="1"/>
    <col min="68" max="69" width="11.140625" style="92" hidden="1" customWidth="1" outlineLevel="1"/>
    <col min="70" max="78" width="8.7109375" style="92" hidden="1" customWidth="1" outlineLevel="1"/>
    <col min="79" max="83" width="9.140625" style="92" hidden="1" customWidth="1" outlineLevel="1"/>
    <col min="84" max="84" width="9.140625" style="92" collapsed="1"/>
    <col min="85" max="16384" width="9.140625" style="92"/>
  </cols>
  <sheetData>
    <row r="1" spans="1:78" ht="24" customHeight="1">
      <c r="A1" s="301" t="s">
        <v>813</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c r="BO1" s="302"/>
      <c r="BP1" s="91"/>
      <c r="BQ1" s="91"/>
      <c r="BR1" s="91"/>
      <c r="BS1" s="91"/>
      <c r="BT1" s="91"/>
      <c r="BU1" s="91"/>
      <c r="BV1" s="91"/>
      <c r="BW1" s="91"/>
      <c r="BX1" s="91"/>
      <c r="BY1" s="91"/>
      <c r="BZ1" s="91"/>
    </row>
    <row r="2" spans="1:78">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c r="A4" s="303" t="s">
        <v>814</v>
      </c>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91"/>
      <c r="BQ4" s="91"/>
      <c r="BR4" s="91"/>
      <c r="BS4" s="91"/>
      <c r="BT4" s="91"/>
      <c r="BU4" s="91"/>
      <c r="BV4" s="91"/>
      <c r="BW4" s="91"/>
      <c r="BX4" s="91"/>
      <c r="BY4" s="91"/>
      <c r="BZ4" s="91"/>
    </row>
    <row r="5" spans="1:78">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row>
    <row r="6" spans="1:78" ht="30">
      <c r="A6" s="305" t="s">
        <v>815</v>
      </c>
      <c r="B6" s="178" t="s">
        <v>816</v>
      </c>
      <c r="C6" s="178" t="s">
        <v>817</v>
      </c>
      <c r="D6" s="178" t="s">
        <v>2801</v>
      </c>
      <c r="E6" s="178" t="s">
        <v>331</v>
      </c>
      <c r="F6" s="306" t="s">
        <v>818</v>
      </c>
      <c r="G6" s="306" t="s">
        <v>819</v>
      </c>
      <c r="H6" s="306" t="s">
        <v>820</v>
      </c>
      <c r="I6" s="306" t="s">
        <v>821</v>
      </c>
      <c r="J6" s="306" t="s">
        <v>35</v>
      </c>
      <c r="K6" s="91"/>
      <c r="BR6" s="91"/>
      <c r="BS6" s="91"/>
      <c r="BT6" s="91"/>
      <c r="BU6" s="91"/>
      <c r="BV6" s="91"/>
      <c r="BW6" s="91"/>
      <c r="BX6" s="91"/>
      <c r="BY6" s="91"/>
      <c r="BZ6" s="91"/>
    </row>
    <row r="7" spans="1:78">
      <c r="A7" s="92" t="s">
        <v>492</v>
      </c>
      <c r="B7" s="91" t="s">
        <v>330</v>
      </c>
      <c r="C7" s="283">
        <f ca="1">E7/D7</f>
        <v>8.45597270985553</v>
      </c>
      <c r="D7" s="105">
        <f ca="1">K37/Forex!O38</f>
        <v>390.68284537168267</v>
      </c>
      <c r="E7" s="105">
        <f ca="1">K50/Forex!O38</f>
        <v>3303.6034786716564</v>
      </c>
      <c r="F7" s="105">
        <f>-H51/Forex!M38</f>
        <v>1343.094944512947</v>
      </c>
      <c r="G7" s="105">
        <f ca="1">E7-F7</f>
        <v>1960.5085341587094</v>
      </c>
      <c r="H7" s="307">
        <v>1</v>
      </c>
      <c r="I7" s="105">
        <f ca="1">G7*H7</f>
        <v>1960.5085341587094</v>
      </c>
      <c r="J7" s="105">
        <f ca="1">G7-I7</f>
        <v>0</v>
      </c>
      <c r="K7" s="91"/>
      <c r="BR7" s="91"/>
      <c r="BS7" s="91"/>
      <c r="BT7" s="91"/>
      <c r="BU7" s="91"/>
      <c r="BV7" s="91"/>
      <c r="BW7" s="91"/>
      <c r="BX7" s="91"/>
      <c r="BY7" s="91"/>
      <c r="BZ7" s="91"/>
    </row>
    <row r="8" spans="1:78">
      <c r="A8" s="175" t="s">
        <v>3014</v>
      </c>
      <c r="B8" s="156" t="s">
        <v>330</v>
      </c>
      <c r="C8" s="285">
        <f>E8/D8</f>
        <v>7.9774666534274958</v>
      </c>
      <c r="D8" s="308">
        <f>K64</f>
        <v>175.4895389080886</v>
      </c>
      <c r="E8" s="308">
        <f>K77</f>
        <v>1399.9619446646439</v>
      </c>
      <c r="F8" s="308">
        <f ca="1">-J78</f>
        <v>1006.9591716723145</v>
      </c>
      <c r="G8" s="308">
        <f ca="1">E8-F8</f>
        <v>393.00277299232937</v>
      </c>
      <c r="H8" s="309">
        <v>0.6</v>
      </c>
      <c r="I8" s="308">
        <f ca="1">G8*H8</f>
        <v>235.80166379539762</v>
      </c>
      <c r="J8" s="308">
        <f ca="1">G8-I8</f>
        <v>157.20110919693175</v>
      </c>
      <c r="K8" s="91"/>
      <c r="BP8" s="91"/>
      <c r="BQ8" s="91"/>
      <c r="BR8" s="91"/>
      <c r="BS8" s="91"/>
      <c r="BT8" s="91"/>
      <c r="BU8" s="91"/>
      <c r="BV8" s="91"/>
      <c r="BW8" s="91"/>
      <c r="BX8" s="91"/>
      <c r="BY8" s="91"/>
      <c r="BZ8" s="91"/>
    </row>
    <row r="9" spans="1:78">
      <c r="A9" s="130" t="s">
        <v>16</v>
      </c>
      <c r="B9" s="130"/>
      <c r="C9" s="310">
        <f ca="1">E9/D9</f>
        <v>8.3076560318633579</v>
      </c>
      <c r="D9" s="311">
        <f ca="1">SUM(D7:D8)</f>
        <v>566.17238427977122</v>
      </c>
      <c r="E9" s="311">
        <f ca="1">SUM(E7:E8)</f>
        <v>4703.5654233363002</v>
      </c>
      <c r="F9" s="311">
        <f ca="1">SUM(F7:F8)</f>
        <v>2350.0541161852616</v>
      </c>
      <c r="G9" s="311"/>
      <c r="H9" s="312"/>
      <c r="I9" s="312"/>
      <c r="J9" s="311">
        <f ca="1">SUM(J7:J8)</f>
        <v>157.20110919693175</v>
      </c>
      <c r="K9" s="91"/>
      <c r="BP9" s="91"/>
      <c r="BQ9" s="91"/>
      <c r="BR9" s="91"/>
      <c r="BS9" s="91"/>
      <c r="BT9" s="91"/>
      <c r="BU9" s="91"/>
      <c r="BV9" s="91"/>
      <c r="BW9" s="91"/>
      <c r="BX9" s="91"/>
      <c r="BY9" s="91"/>
      <c r="BZ9" s="91"/>
    </row>
    <row r="10" spans="1:78">
      <c r="A10" s="92" t="s">
        <v>3015</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row>
    <row r="11" spans="1:78">
      <c r="E11" s="313"/>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row>
    <row r="12" spans="1:78">
      <c r="A12" s="92" t="s">
        <v>822</v>
      </c>
      <c r="B12" s="105">
        <f>+LiLAC!S162</f>
        <v>-70.854672342659939</v>
      </c>
      <c r="E12" s="314"/>
      <c r="H12" s="91"/>
      <c r="I12" s="126"/>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row>
    <row r="13" spans="1:78">
      <c r="A13" s="92" t="s">
        <v>823</v>
      </c>
      <c r="B13" s="105">
        <f ca="1">E9+B12</f>
        <v>4632.7107509936404</v>
      </c>
      <c r="E13" s="313"/>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row>
    <row r="14" spans="1:78">
      <c r="A14" s="92" t="s">
        <v>824</v>
      </c>
      <c r="B14" s="105">
        <f ca="1">-F9</f>
        <v>-2350.0541161852616</v>
      </c>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row>
    <row r="15" spans="1:78">
      <c r="A15" s="92" t="s">
        <v>825</v>
      </c>
      <c r="B15" s="105">
        <f ca="1">LiLAC!T203</f>
        <v>17.321090810969999</v>
      </c>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row>
    <row r="16" spans="1:78">
      <c r="A16" s="92" t="s">
        <v>213</v>
      </c>
      <c r="B16" s="105">
        <f>LiLAC!P173</f>
        <v>6.8000000000000007</v>
      </c>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row>
    <row r="17" spans="1:78">
      <c r="A17" s="92" t="s">
        <v>674</v>
      </c>
      <c r="B17" s="105">
        <f ca="1">-J9</f>
        <v>-157.20110919693175</v>
      </c>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row>
    <row r="18" spans="1:78">
      <c r="A18" s="92" t="s">
        <v>58</v>
      </c>
      <c r="B18" s="315">
        <v>0</v>
      </c>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row>
    <row r="19" spans="1:78">
      <c r="A19" s="92" t="s">
        <v>826</v>
      </c>
      <c r="B19" s="105">
        <f ca="1">SUM(B13:B18)</f>
        <v>2149.5766164224174</v>
      </c>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row>
    <row r="20" spans="1:78">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row>
    <row r="21" spans="1:78">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row>
    <row r="22" spans="1:78" ht="30">
      <c r="A22" s="316" t="s">
        <v>827</v>
      </c>
      <c r="B22" s="306" t="s">
        <v>828</v>
      </c>
      <c r="C22" s="306" t="s">
        <v>829</v>
      </c>
      <c r="D22" s="306" t="s">
        <v>830</v>
      </c>
      <c r="E22" s="306" t="s">
        <v>831</v>
      </c>
      <c r="F22" s="306" t="s">
        <v>832</v>
      </c>
      <c r="G22" s="306" t="s">
        <v>337</v>
      </c>
      <c r="H22" s="91"/>
      <c r="I22" s="91"/>
      <c r="J22" s="91"/>
      <c r="N22" s="306" t="s">
        <v>834</v>
      </c>
      <c r="O22" s="306"/>
      <c r="P22" s="317" t="s">
        <v>817</v>
      </c>
      <c r="Q22" s="306" t="s">
        <v>835</v>
      </c>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17" t="s">
        <v>817</v>
      </c>
      <c r="BO22" s="306" t="s">
        <v>836</v>
      </c>
      <c r="BP22" s="306" t="s">
        <v>817</v>
      </c>
      <c r="BR22" s="91"/>
      <c r="BS22" s="91"/>
      <c r="BT22" s="91"/>
      <c r="BU22" s="91"/>
      <c r="BV22" s="91"/>
      <c r="BW22" s="91"/>
      <c r="BX22" s="91"/>
      <c r="BY22" s="91"/>
      <c r="BZ22" s="91"/>
    </row>
    <row r="23" spans="1:78">
      <c r="A23" s="92" t="s">
        <v>837</v>
      </c>
      <c r="B23" s="97">
        <v>12.630532000000001</v>
      </c>
      <c r="C23" s="97">
        <f ca="1">E23/B23</f>
        <v>48.935546190411145</v>
      </c>
      <c r="D23" s="318">
        <f>Valuation!B2</f>
        <v>6.8</v>
      </c>
      <c r="E23" s="105">
        <f ca="1">F23/F$26*E$26</f>
        <v>618.08198209546606</v>
      </c>
      <c r="F23" s="105">
        <f>B23*D23</f>
        <v>85.887617599999999</v>
      </c>
      <c r="G23" s="103">
        <f ca="1">C23/D23-1</f>
        <v>6.1964038515310511</v>
      </c>
      <c r="H23" s="91"/>
      <c r="I23" s="91"/>
      <c r="J23" s="91"/>
      <c r="N23" s="105">
        <v>326.17960426179593</v>
      </c>
      <c r="O23" s="105"/>
      <c r="P23" s="319">
        <f ca="1">E7/N23</f>
        <v>10.128173054070365</v>
      </c>
      <c r="Q23" s="105">
        <v>179.45205479452045</v>
      </c>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319">
        <f ca="1">E7/Q23</f>
        <v>18.409393430765729</v>
      </c>
      <c r="BO23" s="105">
        <v>139.07534246575335</v>
      </c>
      <c r="BP23" s="283">
        <f ca="1">E7/BO23</f>
        <v>23.754056039697716</v>
      </c>
      <c r="BR23" s="91"/>
      <c r="BS23" s="91"/>
      <c r="BT23" s="91"/>
      <c r="BU23" s="91"/>
      <c r="BV23" s="91"/>
      <c r="BW23" s="91"/>
      <c r="BX23" s="91"/>
      <c r="BY23" s="91"/>
      <c r="BZ23" s="91"/>
    </row>
    <row r="24" spans="1:78">
      <c r="A24" s="92" t="s">
        <v>838</v>
      </c>
      <c r="B24" s="97">
        <v>0.52342299999999997</v>
      </c>
      <c r="C24" s="97">
        <f ca="1">E24/B24</f>
        <v>48.935546190411145</v>
      </c>
      <c r="D24" s="107">
        <f>D23</f>
        <v>6.8</v>
      </c>
      <c r="E24" s="105">
        <f ca="1">F24/F$26*E$26</f>
        <v>25.61399039362357</v>
      </c>
      <c r="F24" s="105">
        <f>B24*D24</f>
        <v>3.5592763999999999</v>
      </c>
      <c r="G24" s="103">
        <f ca="1">C24/D24-1</f>
        <v>6.1964038515310511</v>
      </c>
      <c r="H24" s="91"/>
      <c r="I24" s="91"/>
      <c r="J24" s="91"/>
      <c r="N24" s="308">
        <f>G64</f>
        <v>166</v>
      </c>
      <c r="O24" s="308"/>
      <c r="P24" s="320">
        <f>E8/N24</f>
        <v>8.4335056907508665</v>
      </c>
      <c r="Q24" s="308">
        <f>G66</f>
        <v>87.9</v>
      </c>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c r="BN24" s="320">
        <f>E8/Q24</f>
        <v>15.92675704965465</v>
      </c>
      <c r="BO24" s="308">
        <f>G68</f>
        <v>53.619</v>
      </c>
      <c r="BP24" s="285">
        <f>E8/BO24</f>
        <v>26.109437786319102</v>
      </c>
      <c r="BR24" s="91"/>
      <c r="BS24" s="91"/>
      <c r="BT24" s="91"/>
      <c r="BU24" s="91"/>
      <c r="BV24" s="91"/>
      <c r="BW24" s="91"/>
      <c r="BX24" s="91"/>
      <c r="BY24" s="91"/>
      <c r="BZ24" s="91"/>
    </row>
    <row r="25" spans="1:78">
      <c r="A25" s="92" t="s">
        <v>839</v>
      </c>
      <c r="B25" s="153">
        <v>30.772735999999998</v>
      </c>
      <c r="C25" s="153">
        <f ca="1">E25/B25</f>
        <v>48.935546190411145</v>
      </c>
      <c r="D25" s="321">
        <f>D24</f>
        <v>6.8</v>
      </c>
      <c r="E25" s="308">
        <f ca="1">F25/F$26*E$26</f>
        <v>1505.8806439333277</v>
      </c>
      <c r="F25" s="308">
        <f>B25*D25</f>
        <v>209.25460479999998</v>
      </c>
      <c r="G25" s="136">
        <f ca="1">C25/D25-1</f>
        <v>6.1964038515310511</v>
      </c>
      <c r="H25" s="91"/>
      <c r="I25" s="91"/>
      <c r="J25" s="91"/>
      <c r="N25" s="105">
        <f>N23+N24</f>
        <v>492.17960426179593</v>
      </c>
      <c r="O25" s="105"/>
      <c r="P25" s="319">
        <f ca="1">E9/N25</f>
        <v>9.5566036922456874</v>
      </c>
      <c r="Q25" s="105">
        <f>Q23+Q24</f>
        <v>267.35205479452043</v>
      </c>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319">
        <f ca="1">E9/Q25</f>
        <v>17.593152321014827</v>
      </c>
      <c r="BO25" s="105">
        <f>BO23+BO24</f>
        <v>192.69434246575335</v>
      </c>
      <c r="BP25" s="283">
        <f ca="1">E9/BO25</f>
        <v>24.409463003161303</v>
      </c>
      <c r="BR25" s="91"/>
      <c r="BS25" s="91"/>
      <c r="BT25" s="91"/>
      <c r="BU25" s="91"/>
      <c r="BV25" s="91"/>
      <c r="BW25" s="91"/>
      <c r="BX25" s="91"/>
      <c r="BY25" s="91"/>
      <c r="BZ25" s="91"/>
    </row>
    <row r="26" spans="1:78">
      <c r="B26" s="97">
        <f>SUM(B23:B25)</f>
        <v>43.926690999999998</v>
      </c>
      <c r="C26" s="97">
        <f ca="1">E26/B26</f>
        <v>48.935546190411145</v>
      </c>
      <c r="D26" s="107">
        <f>F26/B26</f>
        <v>6.8</v>
      </c>
      <c r="E26" s="105">
        <f ca="1">B19</f>
        <v>2149.5766164224174</v>
      </c>
      <c r="F26" s="105">
        <f>SUM(F23:F25)</f>
        <v>298.70149879999997</v>
      </c>
      <c r="G26" s="103">
        <f ca="1">C26/D26-1</f>
        <v>6.1964038515310511</v>
      </c>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R26" s="91"/>
      <c r="BS26" s="91"/>
      <c r="BT26" s="91"/>
      <c r="BU26" s="91"/>
      <c r="BV26" s="91"/>
      <c r="BW26" s="91"/>
      <c r="BX26" s="91"/>
      <c r="BY26" s="91"/>
      <c r="BZ26" s="91"/>
    </row>
    <row r="27" spans="1:78">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R27" s="91"/>
      <c r="BS27" s="91"/>
      <c r="BT27" s="91"/>
      <c r="BU27" s="91"/>
      <c r="BV27" s="91"/>
      <c r="BW27" s="91"/>
      <c r="BX27" s="91"/>
      <c r="BY27" s="91"/>
      <c r="BZ27" s="91"/>
    </row>
    <row r="28" spans="1:78">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R28" s="91"/>
      <c r="BS28" s="91"/>
      <c r="BT28" s="91"/>
      <c r="BU28" s="91"/>
      <c r="BV28" s="91"/>
      <c r="BW28" s="91"/>
      <c r="BX28" s="91"/>
      <c r="BY28" s="91"/>
      <c r="BZ28" s="91"/>
    </row>
    <row r="29" spans="1:78">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R29" s="91"/>
      <c r="BS29" s="91"/>
      <c r="BT29" s="91"/>
      <c r="BU29" s="91"/>
      <c r="BV29" s="91"/>
      <c r="BW29" s="91"/>
      <c r="BX29" s="91"/>
      <c r="BY29" s="91"/>
      <c r="BZ29" s="91"/>
    </row>
    <row r="30" spans="1:78">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R30" s="91"/>
      <c r="BS30" s="91"/>
      <c r="BT30" s="91"/>
      <c r="BU30" s="91"/>
      <c r="BV30" s="91"/>
      <c r="BW30" s="91"/>
      <c r="BX30" s="91"/>
      <c r="BY30" s="91"/>
      <c r="BZ30" s="91"/>
    </row>
    <row r="31" spans="1:78">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R31" s="91"/>
      <c r="BS31" s="91"/>
      <c r="BT31" s="91"/>
      <c r="BU31" s="91"/>
      <c r="BV31" s="91"/>
      <c r="BW31" s="91"/>
      <c r="BX31" s="91"/>
      <c r="BY31" s="91"/>
      <c r="BZ31" s="91"/>
    </row>
    <row r="32" spans="1:78">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R32" s="91"/>
      <c r="BS32" s="91"/>
      <c r="BT32" s="91"/>
      <c r="BU32" s="91"/>
      <c r="BV32" s="91"/>
      <c r="BW32" s="91"/>
      <c r="BX32" s="91"/>
      <c r="BY32" s="91"/>
      <c r="BZ32" s="91"/>
    </row>
    <row r="33" spans="1:78">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R33" s="91"/>
      <c r="BS33" s="91"/>
      <c r="BT33" s="91"/>
      <c r="BU33" s="91"/>
      <c r="BV33" s="91"/>
      <c r="BW33" s="91"/>
      <c r="BX33" s="91"/>
      <c r="BY33" s="91"/>
      <c r="BZ33" s="91"/>
    </row>
    <row r="34" spans="1:78">
      <c r="A34" s="303" t="s">
        <v>840</v>
      </c>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4"/>
      <c r="BH34" s="304"/>
      <c r="BI34" s="304"/>
      <c r="BJ34" s="304"/>
      <c r="BK34" s="304"/>
      <c r="BL34" s="304"/>
      <c r="BM34" s="304"/>
      <c r="BN34" s="304"/>
      <c r="BO34" s="91"/>
      <c r="BP34" s="91"/>
      <c r="BR34" s="91"/>
      <c r="BS34" s="91"/>
      <c r="BT34" s="91"/>
      <c r="BU34" s="91"/>
      <c r="BV34" s="91"/>
      <c r="BW34" s="91"/>
      <c r="BX34" s="91"/>
      <c r="BY34" s="91"/>
      <c r="BZ34" s="91"/>
    </row>
    <row r="35" spans="1:78">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R35" s="91"/>
      <c r="BS35" s="91"/>
      <c r="BT35" s="91"/>
      <c r="BU35" s="91"/>
      <c r="BV35" s="91"/>
      <c r="BW35" s="91"/>
      <c r="BX35" s="91"/>
      <c r="BY35" s="91"/>
      <c r="BZ35" s="91"/>
    </row>
    <row r="36" spans="1:78">
      <c r="A36" s="93" t="s">
        <v>841</v>
      </c>
      <c r="B36" s="94">
        <f>VTR!K111</f>
        <v>2010</v>
      </c>
      <c r="C36" s="94">
        <f>VTR!L111</f>
        <v>2011</v>
      </c>
      <c r="D36" s="94">
        <f>VTR!M111</f>
        <v>2012</v>
      </c>
      <c r="E36" s="94">
        <f>VTR!N111</f>
        <v>2013</v>
      </c>
      <c r="F36" s="94">
        <f>VTR!O111</f>
        <v>2014</v>
      </c>
      <c r="G36" s="94">
        <f>VTR!P111</f>
        <v>2015</v>
      </c>
      <c r="H36" s="94">
        <f>VTR!Q111</f>
        <v>2016</v>
      </c>
      <c r="I36" s="94">
        <f>VTR!R111</f>
        <v>2017</v>
      </c>
      <c r="J36" s="94" t="str">
        <f>VTR!S111</f>
        <v>2018E</v>
      </c>
      <c r="K36" s="94" t="str">
        <f>VTR!T111</f>
        <v>2019E</v>
      </c>
      <c r="L36" s="94" t="str">
        <f>VTR!U111</f>
        <v>2020E</v>
      </c>
      <c r="M36" s="94" t="str">
        <f>VTR!V111</f>
        <v>2021E</v>
      </c>
      <c r="N36" s="94" t="str">
        <f>VTR!W111</f>
        <v>2022E</v>
      </c>
      <c r="O36" s="94" t="str">
        <f>VTR!X111</f>
        <v>2023E</v>
      </c>
      <c r="P36" s="94" t="str">
        <f>VTR!Y111</f>
        <v>2024E</v>
      </c>
      <c r="Q36" s="94" t="str">
        <f>VTR!Z111</f>
        <v>2025E</v>
      </c>
      <c r="R36" s="94"/>
      <c r="S36" s="94"/>
      <c r="T36" s="94"/>
      <c r="U36" s="94"/>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row>
    <row r="37" spans="1:78">
      <c r="A37" s="92" t="s">
        <v>653</v>
      </c>
      <c r="B37" s="116">
        <f>VTR!K119*1000</f>
        <v>170085.04967545375</v>
      </c>
      <c r="C37" s="116">
        <f>VTR!L119*1000</f>
        <v>164700.00000000003</v>
      </c>
      <c r="D37" s="116">
        <f>VTR!M119*1000</f>
        <v>152400.00000000003</v>
      </c>
      <c r="E37" s="116">
        <f>VTR!N119*1000</f>
        <v>174900</v>
      </c>
      <c r="F37" s="116">
        <f>VTR!O119*1000</f>
        <v>198899.99999999997</v>
      </c>
      <c r="G37" s="116">
        <f>VTR!P119*1000</f>
        <v>214299.99999999994</v>
      </c>
      <c r="H37" s="116">
        <f>VTR!Q119*1000</f>
        <v>229100</v>
      </c>
      <c r="I37" s="116">
        <f>VTR!R119*1000</f>
        <v>248200</v>
      </c>
      <c r="J37" s="116">
        <f>VTR!S119*1000</f>
        <v>260928.97289828511</v>
      </c>
      <c r="K37" s="116">
        <f ca="1">VTR!T119*1000</f>
        <v>274650.04029629292</v>
      </c>
      <c r="L37" s="116">
        <f ca="1">VTR!U119*1000</f>
        <v>288241.85010383069</v>
      </c>
      <c r="M37" s="116">
        <f ca="1">VTR!V119*1000</f>
        <v>302491.75938482769</v>
      </c>
      <c r="N37" s="116">
        <f ca="1">VTR!W119*1000</f>
        <v>316832.51245729148</v>
      </c>
      <c r="O37" s="116">
        <f ca="1">VTR!X119*1000</f>
        <v>332029.70748168638</v>
      </c>
      <c r="P37" s="116">
        <f ca="1">VTR!Y119*1000</f>
        <v>347497.59145726304</v>
      </c>
      <c r="Q37" s="116">
        <f ca="1">VTR!Z119*1000</f>
        <v>363483.85716313357</v>
      </c>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row>
    <row r="38" spans="1:78">
      <c r="A38" s="92" t="s">
        <v>19</v>
      </c>
      <c r="B38" s="116">
        <f>VTR!K122*1000</f>
        <v>92374.359517816934</v>
      </c>
      <c r="C38" s="116">
        <f>VTR!L122*1000</f>
        <v>131400</v>
      </c>
      <c r="D38" s="116">
        <f>VTR!M122*1000</f>
        <v>118500</v>
      </c>
      <c r="E38" s="116">
        <f>VTR!N122*1000</f>
        <v>92900</v>
      </c>
      <c r="F38" s="116">
        <f>VTR!O122*1000</f>
        <v>111700</v>
      </c>
      <c r="G38" s="116">
        <f>VTR!P122*1000</f>
        <v>96400</v>
      </c>
      <c r="H38" s="116">
        <f>VTR!Q122*1000</f>
        <v>132000</v>
      </c>
      <c r="I38" s="116">
        <f>VTR!R122*1000</f>
        <v>137900</v>
      </c>
      <c r="J38" s="116">
        <f>VTR!S122*1000</f>
        <v>136352.59826999999</v>
      </c>
      <c r="K38" s="116">
        <f ca="1">VTR!T122*1000</f>
        <v>143116.91778694154</v>
      </c>
      <c r="L38" s="116">
        <f ca="1">VTR!U122*1000</f>
        <v>142451.23598618887</v>
      </c>
      <c r="M38" s="116">
        <f ca="1">VTR!V122*1000</f>
        <v>141346.60599784329</v>
      </c>
      <c r="N38" s="116">
        <f ca="1">VTR!W122*1000</f>
        <v>146774.17712139213</v>
      </c>
      <c r="O38" s="116">
        <f ca="1">VTR!X122*1000</f>
        <v>152331.19399143101</v>
      </c>
      <c r="P38" s="116">
        <f ca="1">VTR!Y122*1000</f>
        <v>158025.36925839909</v>
      </c>
      <c r="Q38" s="116">
        <f ca="1">VTR!Z122*1000</f>
        <v>163864.58715140959</v>
      </c>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row>
    <row r="39" spans="1:78">
      <c r="A39" s="92" t="s">
        <v>27</v>
      </c>
      <c r="B39" s="116">
        <f t="shared" ref="B39:Q39" si="0">B37-B38</f>
        <v>77710.690157636811</v>
      </c>
      <c r="C39" s="116">
        <f t="shared" si="0"/>
        <v>33300.000000000029</v>
      </c>
      <c r="D39" s="116">
        <f t="shared" si="0"/>
        <v>33900.000000000029</v>
      </c>
      <c r="E39" s="116">
        <f t="shared" si="0"/>
        <v>82000</v>
      </c>
      <c r="F39" s="116">
        <f t="shared" si="0"/>
        <v>87199.999999999971</v>
      </c>
      <c r="G39" s="116">
        <f t="shared" si="0"/>
        <v>117899.99999999994</v>
      </c>
      <c r="H39" s="116">
        <f t="shared" si="0"/>
        <v>97100</v>
      </c>
      <c r="I39" s="116">
        <f t="shared" si="0"/>
        <v>110300</v>
      </c>
      <c r="J39" s="116">
        <f t="shared" si="0"/>
        <v>124576.37462828512</v>
      </c>
      <c r="K39" s="116">
        <f t="shared" ca="1" si="0"/>
        <v>131533.12250935138</v>
      </c>
      <c r="L39" s="116">
        <f t="shared" ca="1" si="0"/>
        <v>145790.61411764182</v>
      </c>
      <c r="M39" s="116">
        <f t="shared" ca="1" si="0"/>
        <v>161145.1533869844</v>
      </c>
      <c r="N39" s="116">
        <f t="shared" ca="1" si="0"/>
        <v>170058.33533589935</v>
      </c>
      <c r="O39" s="116">
        <f t="shared" ca="1" si="0"/>
        <v>179698.51349025537</v>
      </c>
      <c r="P39" s="116">
        <f t="shared" ca="1" si="0"/>
        <v>189472.22219886395</v>
      </c>
      <c r="Q39" s="116">
        <f t="shared" ca="1" si="0"/>
        <v>199619.27001172397</v>
      </c>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row>
    <row r="40" spans="1:78">
      <c r="A40" s="92" t="s">
        <v>392</v>
      </c>
      <c r="B40" s="322">
        <v>0.17</v>
      </c>
      <c r="C40" s="322">
        <v>0.2</v>
      </c>
      <c r="D40" s="322">
        <v>0.185</v>
      </c>
      <c r="E40" s="322">
        <v>0.2</v>
      </c>
      <c r="F40" s="322">
        <v>0.2</v>
      </c>
      <c r="G40" s="322">
        <v>0.22500000000000001</v>
      </c>
      <c r="H40" s="323">
        <v>0.24</v>
      </c>
      <c r="I40" s="323">
        <v>0.255</v>
      </c>
      <c r="J40" s="323">
        <v>0.27</v>
      </c>
      <c r="K40" s="323">
        <v>0.35</v>
      </c>
      <c r="L40" s="323">
        <v>0.35</v>
      </c>
      <c r="M40" s="323">
        <v>0.35</v>
      </c>
      <c r="N40" s="323">
        <v>0.35</v>
      </c>
      <c r="O40" s="323">
        <v>0.35</v>
      </c>
      <c r="P40" s="323">
        <v>0.35</v>
      </c>
      <c r="Q40" s="323">
        <v>0.35</v>
      </c>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23"/>
      <c r="BG40" s="323"/>
      <c r="BH40" s="323"/>
      <c r="BI40" s="323"/>
      <c r="BJ40" s="323"/>
      <c r="BK40" s="323"/>
      <c r="BL40" s="323"/>
    </row>
    <row r="41" spans="1:78">
      <c r="A41" s="92" t="s">
        <v>377</v>
      </c>
      <c r="B41" s="116">
        <f t="shared" ref="B41:Q41" si="1">B39*(1-B40)</f>
        <v>64499.872830838547</v>
      </c>
      <c r="C41" s="116">
        <f t="shared" si="1"/>
        <v>26640.000000000025</v>
      </c>
      <c r="D41" s="116">
        <f t="shared" si="1"/>
        <v>27628.500000000022</v>
      </c>
      <c r="E41" s="116">
        <f t="shared" si="1"/>
        <v>65600</v>
      </c>
      <c r="F41" s="116">
        <f t="shared" si="1"/>
        <v>69759.999999999985</v>
      </c>
      <c r="G41" s="116">
        <f t="shared" si="1"/>
        <v>91372.499999999956</v>
      </c>
      <c r="H41" s="116">
        <f t="shared" si="1"/>
        <v>73796</v>
      </c>
      <c r="I41" s="116">
        <f t="shared" si="1"/>
        <v>82173.5</v>
      </c>
      <c r="J41" s="116">
        <f t="shared" si="1"/>
        <v>90940.753478648141</v>
      </c>
      <c r="K41" s="116">
        <f t="shared" ca="1" si="1"/>
        <v>85496.529631078403</v>
      </c>
      <c r="L41" s="116">
        <f t="shared" ca="1" si="1"/>
        <v>94763.899176467181</v>
      </c>
      <c r="M41" s="116">
        <f t="shared" ca="1" si="1"/>
        <v>104744.34970153986</v>
      </c>
      <c r="N41" s="116">
        <f t="shared" ca="1" si="1"/>
        <v>110537.91796833459</v>
      </c>
      <c r="O41" s="116">
        <f t="shared" ca="1" si="1"/>
        <v>116804.03376866599</v>
      </c>
      <c r="P41" s="116">
        <f t="shared" ca="1" si="1"/>
        <v>123156.94442926157</v>
      </c>
      <c r="Q41" s="116">
        <f t="shared" ca="1" si="1"/>
        <v>129752.52550762059</v>
      </c>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row>
    <row r="42" spans="1:78">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row>
    <row r="43" spans="1:78">
      <c r="A43" s="92" t="s">
        <v>378</v>
      </c>
      <c r="B43" s="324">
        <v>7.1999999999999995E-2</v>
      </c>
      <c r="C43" s="324">
        <v>7.1999999999999995E-2</v>
      </c>
      <c r="D43" s="324">
        <v>7.1999999999999995E-2</v>
      </c>
      <c r="E43" s="324">
        <v>7.1999999999999995E-2</v>
      </c>
      <c r="F43" s="324">
        <v>7.1999999999999995E-2</v>
      </c>
      <c r="G43" s="324">
        <v>7.1999999999999995E-2</v>
      </c>
      <c r="H43" s="324">
        <v>7.1999999999999995E-2</v>
      </c>
      <c r="I43" s="324">
        <v>7.1999999999999995E-2</v>
      </c>
      <c r="J43" s="324">
        <v>7.1999999999999995E-2</v>
      </c>
      <c r="K43" s="324">
        <v>7.1999999999999995E-2</v>
      </c>
      <c r="L43" s="324">
        <v>7.1999999999999995E-2</v>
      </c>
      <c r="M43" s="324">
        <v>7.1999999999999995E-2</v>
      </c>
      <c r="N43" s="324">
        <v>7.1999999999999995E-2</v>
      </c>
      <c r="O43" s="324">
        <v>7.1999999999999995E-2</v>
      </c>
      <c r="P43" s="324">
        <v>7.1999999999999995E-2</v>
      </c>
      <c r="Q43" s="324">
        <v>7.1999999999999995E-2</v>
      </c>
      <c r="R43" s="324"/>
      <c r="S43" s="324"/>
      <c r="T43" s="324"/>
      <c r="U43" s="324"/>
      <c r="V43" s="324"/>
      <c r="W43" s="324"/>
      <c r="X43" s="324"/>
      <c r="Y43" s="324"/>
      <c r="Z43" s="324"/>
      <c r="AA43" s="324"/>
      <c r="AB43" s="324"/>
      <c r="AC43" s="324"/>
      <c r="AD43" s="324"/>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4"/>
      <c r="BA43" s="324"/>
      <c r="BB43" s="324"/>
      <c r="BC43" s="324"/>
      <c r="BD43" s="324"/>
      <c r="BE43" s="324"/>
      <c r="BF43" s="324"/>
      <c r="BG43" s="324"/>
      <c r="BH43" s="324"/>
      <c r="BI43" s="324"/>
      <c r="BJ43" s="324"/>
      <c r="BK43" s="324"/>
      <c r="BL43" s="324"/>
    </row>
    <row r="44" spans="1:78">
      <c r="A44" s="92" t="s">
        <v>842</v>
      </c>
      <c r="B44" s="325">
        <v>2.75E-2</v>
      </c>
      <c r="C44" s="325">
        <v>2.75E-2</v>
      </c>
      <c r="D44" s="325">
        <v>2.75E-2</v>
      </c>
      <c r="E44" s="325">
        <v>2.75E-2</v>
      </c>
      <c r="F44" s="325">
        <v>2.75E-2</v>
      </c>
      <c r="G44" s="325">
        <v>2.75E-2</v>
      </c>
      <c r="H44" s="325">
        <v>2.75E-2</v>
      </c>
      <c r="I44" s="325">
        <v>2.75E-2</v>
      </c>
      <c r="J44" s="325">
        <v>2.75E-2</v>
      </c>
      <c r="K44" s="325">
        <v>2.75E-2</v>
      </c>
      <c r="L44" s="325">
        <v>2.75E-2</v>
      </c>
      <c r="M44" s="325">
        <v>2.75E-2</v>
      </c>
      <c r="N44" s="325">
        <v>2.75E-2</v>
      </c>
      <c r="O44" s="325">
        <v>2.75E-2</v>
      </c>
      <c r="P44" s="325">
        <v>2.75E-2</v>
      </c>
      <c r="Q44" s="325">
        <v>2.75E-2</v>
      </c>
      <c r="R44" s="325"/>
      <c r="S44" s="325"/>
      <c r="T44" s="325"/>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row>
    <row r="45" spans="1:78">
      <c r="A45" s="92" t="s">
        <v>843</v>
      </c>
      <c r="B45" s="283">
        <f t="shared" ref="B45:Q45" si="2">1/(B43-B44)</f>
        <v>22.471910112359552</v>
      </c>
      <c r="C45" s="283">
        <f t="shared" si="2"/>
        <v>22.471910112359552</v>
      </c>
      <c r="D45" s="283">
        <f t="shared" si="2"/>
        <v>22.471910112359552</v>
      </c>
      <c r="E45" s="283">
        <f t="shared" si="2"/>
        <v>22.471910112359552</v>
      </c>
      <c r="F45" s="283">
        <f t="shared" si="2"/>
        <v>22.471910112359552</v>
      </c>
      <c r="G45" s="283">
        <f t="shared" si="2"/>
        <v>22.471910112359552</v>
      </c>
      <c r="H45" s="283">
        <f t="shared" si="2"/>
        <v>22.471910112359552</v>
      </c>
      <c r="I45" s="283">
        <f t="shared" si="2"/>
        <v>22.471910112359552</v>
      </c>
      <c r="J45" s="283">
        <f t="shared" si="2"/>
        <v>22.471910112359552</v>
      </c>
      <c r="K45" s="283">
        <f t="shared" si="2"/>
        <v>22.471910112359552</v>
      </c>
      <c r="L45" s="283">
        <f t="shared" si="2"/>
        <v>22.471910112359552</v>
      </c>
      <c r="M45" s="283">
        <f t="shared" si="2"/>
        <v>22.471910112359552</v>
      </c>
      <c r="N45" s="283">
        <f t="shared" si="2"/>
        <v>22.471910112359552</v>
      </c>
      <c r="O45" s="283">
        <f t="shared" si="2"/>
        <v>22.471910112359552</v>
      </c>
      <c r="P45" s="283">
        <f t="shared" si="2"/>
        <v>22.471910112359552</v>
      </c>
      <c r="Q45" s="283">
        <f t="shared" si="2"/>
        <v>22.471910112359552</v>
      </c>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row>
    <row r="46" spans="1:78">
      <c r="A46" s="92" t="s">
        <v>389</v>
      </c>
      <c r="B46" s="326"/>
      <c r="C46" s="326"/>
      <c r="D46" s="326"/>
      <c r="E46" s="326"/>
      <c r="F46" s="326"/>
      <c r="G46" s="326">
        <v>0</v>
      </c>
      <c r="H46" s="326">
        <v>0</v>
      </c>
      <c r="I46" s="326">
        <v>0</v>
      </c>
      <c r="J46" s="326">
        <v>0</v>
      </c>
      <c r="K46" s="326">
        <v>0</v>
      </c>
      <c r="L46" s="326">
        <v>0</v>
      </c>
      <c r="M46" s="326">
        <v>0</v>
      </c>
      <c r="N46" s="326">
        <v>0</v>
      </c>
      <c r="O46" s="326">
        <v>0</v>
      </c>
      <c r="P46" s="326">
        <v>0</v>
      </c>
      <c r="Q46" s="116">
        <f ca="1">Q45*Q41</f>
        <v>2915787.0900588902</v>
      </c>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row>
    <row r="47" spans="1:78">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row>
    <row r="48" spans="1:78">
      <c r="A48" s="92" t="s">
        <v>844</v>
      </c>
      <c r="B48" s="116"/>
      <c r="C48" s="116"/>
      <c r="D48" s="116"/>
      <c r="E48" s="116"/>
      <c r="F48" s="116"/>
      <c r="G48" s="116">
        <f ca="1">NPV(G43,H41:$U41)</f>
        <v>680388.88305462291</v>
      </c>
      <c r="H48" s="116">
        <f ca="1">NPV(H43,I41:$U41)</f>
        <v>655580.88263455557</v>
      </c>
      <c r="I48" s="116">
        <f ca="1">NPV(I43,J41:$U41)</f>
        <v>620609.20618424355</v>
      </c>
      <c r="J48" s="116">
        <f ca="1">NPV(J43,K41:$U41)</f>
        <v>574352.31555086107</v>
      </c>
      <c r="K48" s="116">
        <f ca="1">NPV(K43,L41:$U41)</f>
        <v>530209.15263944468</v>
      </c>
      <c r="L48" s="116">
        <f ca="1">NPV(L43,N41:$U41)</f>
        <v>402976.62524809502</v>
      </c>
      <c r="M48" s="116">
        <f ca="1">NPV(M43,O41:$U41)</f>
        <v>321453.02429762325</v>
      </c>
      <c r="N48" s="116">
        <f ca="1">NPV(N43,O41:$U41)</f>
        <v>321453.02429762325</v>
      </c>
      <c r="O48" s="116">
        <f ca="1">NPV(O43,P41:$U41)</f>
        <v>227793.60827838621</v>
      </c>
      <c r="P48" s="116">
        <f ca="1">NPV(P43,Q41:$Q41)</f>
        <v>121037.80364516846</v>
      </c>
      <c r="Q48" s="116">
        <f ca="1">NPV(Q43,$Q41:BO41)</f>
        <v>121037.80364516846</v>
      </c>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row>
    <row r="49" spans="1:64" ht="15.75" thickBot="1">
      <c r="A49" s="92" t="s">
        <v>845</v>
      </c>
      <c r="B49" s="133"/>
      <c r="C49" s="133"/>
      <c r="D49" s="133"/>
      <c r="E49" s="133"/>
      <c r="F49" s="133"/>
      <c r="G49" s="116">
        <f ca="1">NPV(G43,G46:$U46)</f>
        <v>1357104.1226829928</v>
      </c>
      <c r="H49" s="133">
        <f ca="1">NPV(H43,H46:$U46)</f>
        <v>1454815.6195161685</v>
      </c>
      <c r="I49" s="133">
        <f ca="1">NPV(I43,I46:$U46)</f>
        <v>1559562.3441213327</v>
      </c>
      <c r="J49" s="133">
        <f ca="1">NPV(J43,J46:$U46)</f>
        <v>1671850.8328980687</v>
      </c>
      <c r="K49" s="133">
        <f ca="1">NPV(K43,K46:$U46)</f>
        <v>1792224.0928667297</v>
      </c>
      <c r="L49" s="133">
        <f ca="1">NPV(L43,L46:$U46)</f>
        <v>1921264.2275531346</v>
      </c>
      <c r="M49" s="133">
        <f ca="1">NPV(M43,M46:$U46)</f>
        <v>2059595.25193696</v>
      </c>
      <c r="N49" s="133">
        <f ca="1">NPV(N43,N46:$U46)</f>
        <v>2207886.1100764214</v>
      </c>
      <c r="O49" s="133">
        <f ca="1">NPV(O43,O46:$U46)</f>
        <v>2366853.9100019238</v>
      </c>
      <c r="P49" s="133">
        <f ca="1">NPV(P43,P46:$U46)</f>
        <v>2537267.3915220625</v>
      </c>
      <c r="Q49" s="133">
        <f ca="1">NPV(Q43,Q46:$Q46)</f>
        <v>2719950.6437116512</v>
      </c>
      <c r="R49" s="133"/>
      <c r="S49" s="133"/>
      <c r="T49" s="133"/>
      <c r="U49" s="133"/>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row>
    <row r="50" spans="1:64" ht="15.75" thickBot="1">
      <c r="A50" s="92" t="s">
        <v>331</v>
      </c>
      <c r="B50" s="116"/>
      <c r="C50" s="116"/>
      <c r="D50" s="116"/>
      <c r="E50" s="116"/>
      <c r="F50" s="116"/>
      <c r="G50" s="327">
        <f ca="1">G48+G49</f>
        <v>2037493.0057376157</v>
      </c>
      <c r="H50" s="116">
        <f ca="1">H48+H49</f>
        <v>2110396.5021507242</v>
      </c>
      <c r="I50" s="116">
        <f t="shared" ref="I50:N50" ca="1" si="3">I48+I49</f>
        <v>2180171.5503055761</v>
      </c>
      <c r="J50" s="116">
        <f t="shared" ca="1" si="3"/>
        <v>2246203.1484489297</v>
      </c>
      <c r="K50" s="116">
        <f t="shared" ca="1" si="3"/>
        <v>2322433.2455061744</v>
      </c>
      <c r="L50" s="116">
        <f t="shared" ca="1" si="3"/>
        <v>2324240.8528012298</v>
      </c>
      <c r="M50" s="116">
        <f ca="1">M48+M49</f>
        <v>2381048.2762345835</v>
      </c>
      <c r="N50" s="116">
        <f t="shared" ca="1" si="3"/>
        <v>2529339.1343740448</v>
      </c>
      <c r="O50" s="116">
        <f ca="1">O48+O49</f>
        <v>2594647.5182803101</v>
      </c>
      <c r="P50" s="116">
        <f ca="1">P48+P49</f>
        <v>2658305.1951672309</v>
      </c>
      <c r="Q50" s="116">
        <f ca="1">Q48+Q49</f>
        <v>2840988.4473568196</v>
      </c>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row>
    <row r="51" spans="1:64">
      <c r="A51" s="92" t="s">
        <v>115</v>
      </c>
      <c r="B51" s="116"/>
      <c r="C51" s="116"/>
      <c r="D51" s="116"/>
      <c r="E51" s="116"/>
      <c r="F51" s="116"/>
      <c r="G51" s="116">
        <f>-VTR!P228*1000</f>
        <v>-802400.00000000012</v>
      </c>
      <c r="H51" s="116">
        <f>-VTR!Q228*1000</f>
        <v>-871400</v>
      </c>
      <c r="I51" s="116">
        <f>-VTR!R228*1000</f>
        <v>-985802.31</v>
      </c>
      <c r="J51" s="116">
        <f>-VTR!S228*1000</f>
        <v>-1027269.6671117148</v>
      </c>
      <c r="K51" s="116">
        <f ca="1">-VTR!T228*1000</f>
        <v>-1063093.6272487391</v>
      </c>
      <c r="L51" s="116">
        <f ca="1">-VTR!U228*1000</f>
        <v>-1076241.7329581184</v>
      </c>
      <c r="M51" s="116">
        <f ca="1">-VTR!V228*1000</f>
        <v>-1079146.1144179751</v>
      </c>
      <c r="N51" s="116">
        <f ca="1">-VTR!W228*1000</f>
        <v>-1080004.2882558061</v>
      </c>
      <c r="O51" s="116">
        <f ca="1">-VTR!X228*1000</f>
        <v>-1076390.0510062447</v>
      </c>
      <c r="P51" s="116">
        <f ca="1">-VTR!Y228*1000</f>
        <v>-1041873.0160201351</v>
      </c>
      <c r="Q51" s="116">
        <f ca="1">-VTR!Z228*1000</f>
        <v>-966774.2178650978</v>
      </c>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row>
    <row r="52" spans="1:64">
      <c r="A52" s="92" t="s">
        <v>846</v>
      </c>
      <c r="B52" s="133"/>
      <c r="C52" s="133"/>
      <c r="D52" s="315">
        <v>-11</v>
      </c>
      <c r="E52" s="315">
        <f>D52-15.8</f>
        <v>-26.8</v>
      </c>
      <c r="F52" s="315">
        <f>E52-0</f>
        <v>-26.8</v>
      </c>
      <c r="G52" s="328">
        <f>F52-0</f>
        <v>-26.8</v>
      </c>
      <c r="H52" s="328">
        <f t="shared" ref="H52:M52" si="4">G52-0</f>
        <v>-26.8</v>
      </c>
      <c r="I52" s="328">
        <f t="shared" si="4"/>
        <v>-26.8</v>
      </c>
      <c r="J52" s="328">
        <f t="shared" si="4"/>
        <v>-26.8</v>
      </c>
      <c r="K52" s="328">
        <f>J52-0</f>
        <v>-26.8</v>
      </c>
      <c r="L52" s="328">
        <f t="shared" si="4"/>
        <v>-26.8</v>
      </c>
      <c r="M52" s="328">
        <f t="shared" si="4"/>
        <v>-26.8</v>
      </c>
      <c r="N52" s="328">
        <f>M52-0</f>
        <v>-26.8</v>
      </c>
      <c r="O52" s="328">
        <f>N52-0</f>
        <v>-26.8</v>
      </c>
      <c r="P52" s="328">
        <f>O52-0</f>
        <v>-26.8</v>
      </c>
      <c r="Q52" s="328">
        <f>P52-0</f>
        <v>-26.8</v>
      </c>
      <c r="R52" s="328"/>
      <c r="S52" s="328"/>
      <c r="T52" s="328"/>
      <c r="U52" s="328"/>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row>
    <row r="53" spans="1:64">
      <c r="A53" s="92" t="s">
        <v>826</v>
      </c>
      <c r="B53" s="116">
        <f t="shared" ref="B53:Q53" si="5">B50+B51+B52</f>
        <v>0</v>
      </c>
      <c r="C53" s="116">
        <f t="shared" si="5"/>
        <v>0</v>
      </c>
      <c r="D53" s="116">
        <f t="shared" si="5"/>
        <v>-11</v>
      </c>
      <c r="E53" s="116">
        <f t="shared" si="5"/>
        <v>-26.8</v>
      </c>
      <c r="F53" s="116">
        <f t="shared" si="5"/>
        <v>-26.8</v>
      </c>
      <c r="G53" s="116">
        <f t="shared" ca="1" si="5"/>
        <v>1235066.2057376157</v>
      </c>
      <c r="H53" s="116">
        <f t="shared" ca="1" si="5"/>
        <v>1238969.7021507241</v>
      </c>
      <c r="I53" s="116">
        <f t="shared" ca="1" si="5"/>
        <v>1194342.440305576</v>
      </c>
      <c r="J53" s="116">
        <f t="shared" ca="1" si="5"/>
        <v>1218906.6813372148</v>
      </c>
      <c r="K53" s="116">
        <f t="shared" ca="1" si="5"/>
        <v>1259312.8182574352</v>
      </c>
      <c r="L53" s="116">
        <f t="shared" ca="1" si="5"/>
        <v>1247972.3198431113</v>
      </c>
      <c r="M53" s="116">
        <f t="shared" ca="1" si="5"/>
        <v>1301875.3618166083</v>
      </c>
      <c r="N53" s="116">
        <f t="shared" ca="1" si="5"/>
        <v>1449308.0461182387</v>
      </c>
      <c r="O53" s="116">
        <f t="shared" ca="1" si="5"/>
        <v>1518230.6672740653</v>
      </c>
      <c r="P53" s="116">
        <f t="shared" ca="1" si="5"/>
        <v>1616405.3791470958</v>
      </c>
      <c r="Q53" s="116">
        <f t="shared" ca="1" si="5"/>
        <v>1874187.4294917218</v>
      </c>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row>
    <row r="54" spans="1:64">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row>
    <row r="55" spans="1:64">
      <c r="A55" s="329" t="s">
        <v>847</v>
      </c>
      <c r="B55" s="330"/>
      <c r="C55" s="330"/>
      <c r="D55" s="330"/>
      <c r="E55" s="330"/>
      <c r="F55" s="330"/>
      <c r="G55" s="283">
        <f t="shared" ref="G55:L55" ca="1" si="6">G50/G37</f>
        <v>9.5076668489856111</v>
      </c>
      <c r="H55" s="283">
        <f t="shared" ca="1" si="6"/>
        <v>9.2116826807102754</v>
      </c>
      <c r="I55" s="283">
        <f ca="1">I50/I37</f>
        <v>8.7839305008282675</v>
      </c>
      <c r="J55" s="283">
        <f t="shared" ca="1" si="6"/>
        <v>8.6084849968904784</v>
      </c>
      <c r="K55" s="283">
        <f t="shared" ca="1" si="6"/>
        <v>8.45597270985553</v>
      </c>
      <c r="L55" s="283">
        <f t="shared" ca="1" si="6"/>
        <v>8.0635093480144882</v>
      </c>
      <c r="M55" s="283">
        <f ca="1">M50/M37</f>
        <v>7.8714484026833675</v>
      </c>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row>
    <row r="56" spans="1:64">
      <c r="A56" s="329" t="s">
        <v>848</v>
      </c>
      <c r="B56" s="330"/>
      <c r="C56" s="330"/>
      <c r="D56" s="330"/>
      <c r="E56" s="330"/>
      <c r="F56" s="330"/>
      <c r="G56" s="283">
        <f t="shared" ref="G56:L56" ca="1" si="7">G50/G39</f>
        <v>17.281535247986572</v>
      </c>
      <c r="H56" s="283">
        <f t="shared" ca="1" si="7"/>
        <v>21.734258518545047</v>
      </c>
      <c r="I56" s="283">
        <f ca="1">I50/I39</f>
        <v>19.765834544928161</v>
      </c>
      <c r="J56" s="283">
        <f t="shared" ca="1" si="7"/>
        <v>18.030731389890104</v>
      </c>
      <c r="K56" s="283">
        <f t="shared" ca="1" si="7"/>
        <v>17.656641925618853</v>
      </c>
      <c r="L56" s="283">
        <f t="shared" ca="1" si="7"/>
        <v>15.942321574458463</v>
      </c>
      <c r="M56" s="283">
        <f ca="1">M50/M39</f>
        <v>14.775798255108425</v>
      </c>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row>
    <row r="57" spans="1:64">
      <c r="A57" s="329" t="s">
        <v>849</v>
      </c>
      <c r="B57" s="330"/>
      <c r="C57" s="330"/>
      <c r="D57" s="330"/>
      <c r="E57" s="330"/>
      <c r="F57" s="330"/>
      <c r="G57" s="283">
        <f t="shared" ref="G57:L57" ca="1" si="8">G50/G41</f>
        <v>22.298755158692348</v>
      </c>
      <c r="H57" s="283">
        <f t="shared" ca="1" si="8"/>
        <v>28.597708577032957</v>
      </c>
      <c r="I57" s="283">
        <f ca="1">I50/I41</f>
        <v>26.531321536816321</v>
      </c>
      <c r="J57" s="283">
        <f t="shared" ca="1" si="8"/>
        <v>24.699632040945346</v>
      </c>
      <c r="K57" s="283">
        <f t="shared" ca="1" si="8"/>
        <v>27.16406450095208</v>
      </c>
      <c r="L57" s="283">
        <f t="shared" ca="1" si="8"/>
        <v>24.526648576089944</v>
      </c>
      <c r="M57" s="283">
        <f ca="1">M50/M41</f>
        <v>22.731997315551421</v>
      </c>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row>
    <row r="58" spans="1:64">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row>
    <row r="59" spans="1:64">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row>
    <row r="60" spans="1:64">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row>
    <row r="61" spans="1:64">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row>
    <row r="62" spans="1:64">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row>
    <row r="63" spans="1:64">
      <c r="A63" s="93" t="s">
        <v>850</v>
      </c>
      <c r="B63" s="94">
        <f>PR!K107</f>
        <v>2010</v>
      </c>
      <c r="C63" s="94">
        <f>PR!L107</f>
        <v>2011</v>
      </c>
      <c r="D63" s="94">
        <f>PR!M107</f>
        <v>2012</v>
      </c>
      <c r="E63" s="94">
        <f>PR!N107</f>
        <v>2013</v>
      </c>
      <c r="F63" s="94">
        <f>PR!O107</f>
        <v>2014</v>
      </c>
      <c r="G63" s="94">
        <f>PR!P107</f>
        <v>2015</v>
      </c>
      <c r="H63" s="94">
        <f>PR!Q107</f>
        <v>2016</v>
      </c>
      <c r="I63" s="94" t="str">
        <f>PR!R107</f>
        <v>2017E</v>
      </c>
      <c r="J63" s="94" t="str">
        <f>PR!S107</f>
        <v>2018E</v>
      </c>
      <c r="K63" s="94" t="str">
        <f>PR!T107</f>
        <v>2019E</v>
      </c>
      <c r="L63" s="94" t="str">
        <f>PR!U107</f>
        <v>2020E</v>
      </c>
      <c r="M63" s="94" t="str">
        <f>PR!V107</f>
        <v>2021E</v>
      </c>
      <c r="N63" s="94" t="str">
        <f>PR!W107</f>
        <v>2022E</v>
      </c>
      <c r="O63" s="94" t="str">
        <f>PR!X107</f>
        <v>2023E</v>
      </c>
      <c r="P63" s="94" t="str">
        <f>PR!Y107</f>
        <v>2024E</v>
      </c>
      <c r="Q63" s="94" t="str">
        <f>PR!Z107</f>
        <v>2025E</v>
      </c>
      <c r="R63" s="94"/>
      <c r="S63" s="94"/>
      <c r="T63" s="94"/>
      <c r="U63" s="94"/>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D63" s="312"/>
      <c r="BE63" s="312"/>
      <c r="BF63" s="312"/>
      <c r="BG63" s="312"/>
      <c r="BH63" s="312"/>
      <c r="BI63" s="312"/>
      <c r="BJ63" s="312"/>
      <c r="BK63" s="312"/>
      <c r="BL63" s="312"/>
    </row>
    <row r="64" spans="1:64">
      <c r="A64" s="92" t="s">
        <v>653</v>
      </c>
      <c r="B64" s="116">
        <f>PR!K115</f>
        <v>0</v>
      </c>
      <c r="C64" s="116">
        <f>PR!L115</f>
        <v>41.4</v>
      </c>
      <c r="D64" s="116">
        <f>PR!M115</f>
        <v>52.9</v>
      </c>
      <c r="E64" s="116">
        <f>PR!N115</f>
        <v>107.30000000000001</v>
      </c>
      <c r="F64" s="116">
        <f>PR!O115</f>
        <v>128.60000000000002</v>
      </c>
      <c r="G64" s="116">
        <f>PR!P115</f>
        <v>166</v>
      </c>
      <c r="H64" s="116">
        <f>PR!Q115</f>
        <v>198.8</v>
      </c>
      <c r="I64" s="116">
        <f>PR!R115</f>
        <v>133</v>
      </c>
      <c r="J64" s="116">
        <f>PR!S115</f>
        <v>133.90433788681116</v>
      </c>
      <c r="K64" s="116">
        <f>PR!T115</f>
        <v>175.4895389080886</v>
      </c>
      <c r="L64" s="116">
        <f>PR!U115</f>
        <v>178.84196515334364</v>
      </c>
      <c r="M64" s="116">
        <f>PR!V115</f>
        <v>186.11183838081476</v>
      </c>
      <c r="N64" s="116">
        <f>PR!W115</f>
        <v>193.39772441721604</v>
      </c>
      <c r="O64" s="116">
        <f>PR!X115</f>
        <v>196.51722141672974</v>
      </c>
      <c r="P64" s="116">
        <f>PR!Y115</f>
        <v>199.5229374064445</v>
      </c>
      <c r="Q64" s="116">
        <f>PR!Z115</f>
        <v>202.42148051403356</v>
      </c>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row>
    <row r="65" spans="1:64">
      <c r="A65" s="92" t="s">
        <v>19</v>
      </c>
      <c r="B65" s="116">
        <f>PR!K118</f>
        <v>0</v>
      </c>
      <c r="C65" s="116">
        <f>PR!L118</f>
        <v>0</v>
      </c>
      <c r="D65" s="116">
        <f>PR!M118</f>
        <v>25.5</v>
      </c>
      <c r="E65" s="116">
        <f>PR!N118</f>
        <v>65.8</v>
      </c>
      <c r="F65" s="116">
        <f>PR!O118</f>
        <v>60.4</v>
      </c>
      <c r="G65" s="116">
        <f>PR!P118</f>
        <v>78.099999999999994</v>
      </c>
      <c r="H65" s="116">
        <f>PR!Q118</f>
        <v>91</v>
      </c>
      <c r="I65" s="116">
        <f>PR!R118</f>
        <v>132</v>
      </c>
      <c r="J65" s="116">
        <f>PR!S118</f>
        <v>155.81595681374387</v>
      </c>
      <c r="K65" s="116">
        <f>PR!T118</f>
        <v>85.794885688398878</v>
      </c>
      <c r="L65" s="116">
        <f>PR!U118</f>
        <v>75.511051953633995</v>
      </c>
      <c r="M65" s="116">
        <f>PR!V118</f>
        <v>76.872281070336541</v>
      </c>
      <c r="N65" s="116">
        <f>PR!W118</f>
        <v>74.06721360659337</v>
      </c>
      <c r="O65" s="116">
        <f>PR!X118</f>
        <v>75.26191458513054</v>
      </c>
      <c r="P65" s="116">
        <f>PR!Y118</f>
        <v>76.41303985778724</v>
      </c>
      <c r="Q65" s="116">
        <f>PR!Z118</f>
        <v>77.523120196863914</v>
      </c>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row>
    <row r="66" spans="1:64">
      <c r="A66" s="92" t="s">
        <v>27</v>
      </c>
      <c r="B66" s="116">
        <f t="shared" ref="B66:Q66" si="9">B64-B65</f>
        <v>0</v>
      </c>
      <c r="C66" s="116">
        <f t="shared" si="9"/>
        <v>41.4</v>
      </c>
      <c r="D66" s="116">
        <f t="shared" si="9"/>
        <v>27.4</v>
      </c>
      <c r="E66" s="116">
        <f t="shared" si="9"/>
        <v>41.500000000000014</v>
      </c>
      <c r="F66" s="116">
        <f t="shared" si="9"/>
        <v>68.200000000000017</v>
      </c>
      <c r="G66" s="116">
        <f t="shared" si="9"/>
        <v>87.9</v>
      </c>
      <c r="H66" s="116">
        <f t="shared" si="9"/>
        <v>107.80000000000001</v>
      </c>
      <c r="I66" s="116">
        <f t="shared" si="9"/>
        <v>1</v>
      </c>
      <c r="J66" s="116">
        <f t="shared" si="9"/>
        <v>-21.911618926932704</v>
      </c>
      <c r="K66" s="116">
        <f t="shared" si="9"/>
        <v>89.694653219689727</v>
      </c>
      <c r="L66" s="116">
        <f t="shared" si="9"/>
        <v>103.33091319970964</v>
      </c>
      <c r="M66" s="116">
        <f t="shared" si="9"/>
        <v>109.23955731047822</v>
      </c>
      <c r="N66" s="116">
        <f t="shared" si="9"/>
        <v>119.33051081062267</v>
      </c>
      <c r="O66" s="116">
        <f t="shared" si="9"/>
        <v>121.2553068315992</v>
      </c>
      <c r="P66" s="116">
        <f t="shared" si="9"/>
        <v>123.10989754865726</v>
      </c>
      <c r="Q66" s="116">
        <f t="shared" si="9"/>
        <v>124.89836031716965</v>
      </c>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row>
    <row r="67" spans="1:64">
      <c r="A67" s="92" t="s">
        <v>392</v>
      </c>
      <c r="B67" s="322">
        <v>0.39</v>
      </c>
      <c r="C67" s="322">
        <v>0.39</v>
      </c>
      <c r="D67" s="322">
        <v>0.39</v>
      </c>
      <c r="E67" s="322">
        <v>0.39</v>
      </c>
      <c r="F67" s="322">
        <v>0.39</v>
      </c>
      <c r="G67" s="322">
        <v>0.39</v>
      </c>
      <c r="H67" s="323">
        <f t="shared" ref="H67:N67" si="10">G67</f>
        <v>0.39</v>
      </c>
      <c r="I67" s="323">
        <f t="shared" si="10"/>
        <v>0.39</v>
      </c>
      <c r="J67" s="323">
        <f t="shared" si="10"/>
        <v>0.39</v>
      </c>
      <c r="K67" s="323">
        <f t="shared" si="10"/>
        <v>0.39</v>
      </c>
      <c r="L67" s="323">
        <f t="shared" si="10"/>
        <v>0.39</v>
      </c>
      <c r="M67" s="323">
        <f t="shared" si="10"/>
        <v>0.39</v>
      </c>
      <c r="N67" s="323">
        <f t="shared" si="10"/>
        <v>0.39</v>
      </c>
      <c r="O67" s="323">
        <f>N67</f>
        <v>0.39</v>
      </c>
      <c r="P67" s="323">
        <f>O67</f>
        <v>0.39</v>
      </c>
      <c r="Q67" s="323">
        <f>P67</f>
        <v>0.39</v>
      </c>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323"/>
      <c r="BE67" s="323"/>
      <c r="BF67" s="323"/>
      <c r="BG67" s="323"/>
      <c r="BH67" s="323"/>
      <c r="BI67" s="323"/>
      <c r="BJ67" s="323"/>
      <c r="BK67" s="323"/>
      <c r="BL67" s="323"/>
    </row>
    <row r="68" spans="1:64">
      <c r="A68" s="92" t="s">
        <v>377</v>
      </c>
      <c r="B68" s="116">
        <f t="shared" ref="B68:Q68" si="11">B66*(1-B67)</f>
        <v>0</v>
      </c>
      <c r="C68" s="116">
        <f t="shared" si="11"/>
        <v>25.253999999999998</v>
      </c>
      <c r="D68" s="116">
        <f t="shared" si="11"/>
        <v>16.713999999999999</v>
      </c>
      <c r="E68" s="116">
        <f t="shared" si="11"/>
        <v>25.315000000000008</v>
      </c>
      <c r="F68" s="116">
        <f t="shared" si="11"/>
        <v>41.602000000000011</v>
      </c>
      <c r="G68" s="116">
        <f t="shared" si="11"/>
        <v>53.619</v>
      </c>
      <c r="H68" s="116">
        <f t="shared" si="11"/>
        <v>65.75800000000001</v>
      </c>
      <c r="I68" s="116">
        <f t="shared" si="11"/>
        <v>0.61</v>
      </c>
      <c r="J68" s="116">
        <f t="shared" si="11"/>
        <v>-13.366087545428949</v>
      </c>
      <c r="K68" s="116">
        <f t="shared" si="11"/>
        <v>54.713738464010731</v>
      </c>
      <c r="L68" s="116">
        <f t="shared" si="11"/>
        <v>63.031857051822882</v>
      </c>
      <c r="M68" s="116">
        <f t="shared" si="11"/>
        <v>66.63612995939171</v>
      </c>
      <c r="N68" s="116">
        <f t="shared" si="11"/>
        <v>72.791611594479832</v>
      </c>
      <c r="O68" s="116">
        <f t="shared" si="11"/>
        <v>73.965737167275506</v>
      </c>
      <c r="P68" s="116">
        <f t="shared" si="11"/>
        <v>75.097037504680927</v>
      </c>
      <c r="Q68" s="116">
        <f t="shared" si="11"/>
        <v>76.18799979347348</v>
      </c>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row>
    <row r="69" spans="1:64">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row>
    <row r="70" spans="1:64">
      <c r="A70" s="92" t="s">
        <v>378</v>
      </c>
      <c r="B70" s="324">
        <v>6.7500000000000004E-2</v>
      </c>
      <c r="C70" s="324">
        <v>6.7500000000000004E-2</v>
      </c>
      <c r="D70" s="324">
        <v>6.7500000000000004E-2</v>
      </c>
      <c r="E70" s="324">
        <v>6.7500000000000004E-2</v>
      </c>
      <c r="F70" s="324">
        <v>6.7500000000000004E-2</v>
      </c>
      <c r="G70" s="324">
        <v>6.7500000000000004E-2</v>
      </c>
      <c r="H70" s="324">
        <v>6.7500000000000004E-2</v>
      </c>
      <c r="I70" s="324">
        <v>6.7500000000000004E-2</v>
      </c>
      <c r="J70" s="324">
        <v>6.7500000000000004E-2</v>
      </c>
      <c r="K70" s="324">
        <v>6.7500000000000004E-2</v>
      </c>
      <c r="L70" s="324">
        <v>6.7500000000000004E-2</v>
      </c>
      <c r="M70" s="324">
        <v>6.7500000000000004E-2</v>
      </c>
      <c r="N70" s="324">
        <v>6.7500000000000004E-2</v>
      </c>
      <c r="O70" s="324">
        <v>6.7500000000000004E-2</v>
      </c>
      <c r="P70" s="324">
        <v>6.7500000000000004E-2</v>
      </c>
      <c r="Q70" s="324">
        <v>6.7500000000000004E-2</v>
      </c>
      <c r="R70" s="324"/>
      <c r="S70" s="324"/>
      <c r="T70" s="324"/>
      <c r="U70" s="324"/>
      <c r="V70" s="324"/>
      <c r="W70" s="324"/>
      <c r="X70" s="324"/>
      <c r="Y70" s="324"/>
      <c r="Z70" s="324"/>
      <c r="AA70" s="324"/>
      <c r="AB70" s="324"/>
      <c r="AC70" s="324"/>
      <c r="AD70" s="324"/>
      <c r="AE70" s="324"/>
      <c r="AF70" s="324"/>
      <c r="AG70" s="324"/>
      <c r="AH70" s="324"/>
      <c r="AI70" s="324"/>
      <c r="AJ70" s="324"/>
      <c r="AK70" s="324"/>
      <c r="AL70" s="324"/>
      <c r="AM70" s="324"/>
      <c r="AN70" s="324"/>
      <c r="AO70" s="324"/>
      <c r="AP70" s="324"/>
      <c r="AQ70" s="324"/>
      <c r="AR70" s="324"/>
      <c r="AS70" s="324"/>
      <c r="AT70" s="324"/>
      <c r="AU70" s="324"/>
      <c r="AV70" s="324"/>
      <c r="AW70" s="324"/>
      <c r="AX70" s="324"/>
      <c r="AY70" s="324"/>
      <c r="AZ70" s="324"/>
      <c r="BA70" s="324"/>
      <c r="BB70" s="324"/>
      <c r="BC70" s="324"/>
      <c r="BD70" s="324"/>
      <c r="BE70" s="324"/>
      <c r="BF70" s="324"/>
      <c r="BG70" s="324"/>
      <c r="BH70" s="324"/>
      <c r="BI70" s="324"/>
      <c r="BJ70" s="324"/>
      <c r="BK70" s="324"/>
      <c r="BL70" s="324"/>
    </row>
    <row r="71" spans="1:64">
      <c r="A71" s="92" t="s">
        <v>842</v>
      </c>
      <c r="B71" s="325">
        <v>2.1999999999999999E-2</v>
      </c>
      <c r="C71" s="325">
        <v>2.1999999999999999E-2</v>
      </c>
      <c r="D71" s="325">
        <v>2.1999999999999999E-2</v>
      </c>
      <c r="E71" s="325">
        <v>2.1999999999999999E-2</v>
      </c>
      <c r="F71" s="325">
        <v>2.1999999999999999E-2</v>
      </c>
      <c r="G71" s="325">
        <v>2.1999999999999999E-2</v>
      </c>
      <c r="H71" s="325">
        <v>2.1999999999999999E-2</v>
      </c>
      <c r="I71" s="325">
        <v>2.1999999999999999E-2</v>
      </c>
      <c r="J71" s="325">
        <v>2.1999999999999999E-2</v>
      </c>
      <c r="K71" s="325">
        <v>2.1999999999999999E-2</v>
      </c>
      <c r="L71" s="325">
        <v>2.1999999999999999E-2</v>
      </c>
      <c r="M71" s="325">
        <v>2.1999999999999999E-2</v>
      </c>
      <c r="N71" s="325">
        <v>2.1999999999999999E-2</v>
      </c>
      <c r="O71" s="325">
        <v>2.1999999999999999E-2</v>
      </c>
      <c r="P71" s="325">
        <v>2.1999999999999999E-2</v>
      </c>
      <c r="Q71" s="325">
        <v>2.1999999999999999E-2</v>
      </c>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row>
    <row r="72" spans="1:64">
      <c r="A72" s="92" t="s">
        <v>843</v>
      </c>
      <c r="B72" s="283">
        <f t="shared" ref="B72:Q72" si="12">1/(B70-B71)</f>
        <v>21.978021978021975</v>
      </c>
      <c r="C72" s="283">
        <f t="shared" si="12"/>
        <v>21.978021978021975</v>
      </c>
      <c r="D72" s="283">
        <f t="shared" si="12"/>
        <v>21.978021978021975</v>
      </c>
      <c r="E72" s="283">
        <f t="shared" si="12"/>
        <v>21.978021978021975</v>
      </c>
      <c r="F72" s="283">
        <f t="shared" si="12"/>
        <v>21.978021978021975</v>
      </c>
      <c r="G72" s="283">
        <f t="shared" si="12"/>
        <v>21.978021978021975</v>
      </c>
      <c r="H72" s="283">
        <f t="shared" si="12"/>
        <v>21.978021978021975</v>
      </c>
      <c r="I72" s="283">
        <f t="shared" si="12"/>
        <v>21.978021978021975</v>
      </c>
      <c r="J72" s="283">
        <f t="shared" si="12"/>
        <v>21.978021978021975</v>
      </c>
      <c r="K72" s="283">
        <f t="shared" si="12"/>
        <v>21.978021978021975</v>
      </c>
      <c r="L72" s="283">
        <f t="shared" si="12"/>
        <v>21.978021978021975</v>
      </c>
      <c r="M72" s="283">
        <f t="shared" si="12"/>
        <v>21.978021978021975</v>
      </c>
      <c r="N72" s="283">
        <f t="shared" si="12"/>
        <v>21.978021978021975</v>
      </c>
      <c r="O72" s="283">
        <f t="shared" si="12"/>
        <v>21.978021978021975</v>
      </c>
      <c r="P72" s="283">
        <f t="shared" si="12"/>
        <v>21.978021978021975</v>
      </c>
      <c r="Q72" s="283">
        <f t="shared" si="12"/>
        <v>21.978021978021975</v>
      </c>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3"/>
      <c r="BC72" s="283"/>
      <c r="BD72" s="283"/>
      <c r="BE72" s="283"/>
      <c r="BF72" s="283"/>
      <c r="BG72" s="283"/>
      <c r="BH72" s="283"/>
      <c r="BI72" s="283"/>
      <c r="BJ72" s="283"/>
      <c r="BK72" s="283"/>
      <c r="BL72" s="283"/>
    </row>
    <row r="73" spans="1:64">
      <c r="A73" s="92" t="s">
        <v>389</v>
      </c>
      <c r="B73" s="326"/>
      <c r="C73" s="326"/>
      <c r="D73" s="326"/>
      <c r="E73" s="326"/>
      <c r="F73" s="326"/>
      <c r="G73" s="326">
        <v>0</v>
      </c>
      <c r="H73" s="326">
        <v>0</v>
      </c>
      <c r="I73" s="326">
        <v>0</v>
      </c>
      <c r="J73" s="326">
        <v>0</v>
      </c>
      <c r="K73" s="326">
        <v>0</v>
      </c>
      <c r="L73" s="326">
        <v>0</v>
      </c>
      <c r="M73" s="326">
        <v>0</v>
      </c>
      <c r="N73" s="326">
        <v>0</v>
      </c>
      <c r="O73" s="326">
        <v>0</v>
      </c>
      <c r="P73" s="326">
        <v>0</v>
      </c>
      <c r="Q73" s="116">
        <f>Q72*Q68</f>
        <v>1674.4615339224938</v>
      </c>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326"/>
      <c r="AQ73" s="326"/>
      <c r="AR73" s="326"/>
      <c r="AS73" s="326"/>
      <c r="AT73" s="326"/>
      <c r="AU73" s="326"/>
      <c r="AV73" s="326"/>
      <c r="AW73" s="326"/>
      <c r="AX73" s="326"/>
      <c r="AY73" s="326"/>
      <c r="AZ73" s="326"/>
      <c r="BA73" s="326"/>
      <c r="BB73" s="326"/>
      <c r="BC73" s="326"/>
      <c r="BD73" s="326"/>
      <c r="BE73" s="326"/>
      <c r="BF73" s="326"/>
      <c r="BG73" s="326"/>
      <c r="BH73" s="326"/>
      <c r="BI73" s="326"/>
      <c r="BJ73" s="326"/>
      <c r="BK73" s="326"/>
      <c r="BL73" s="326"/>
    </row>
    <row r="74" spans="1:64">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row>
    <row r="75" spans="1:64">
      <c r="A75" s="92" t="s">
        <v>844</v>
      </c>
      <c r="B75" s="116"/>
      <c r="C75" s="116"/>
      <c r="D75" s="116"/>
      <c r="E75" s="116"/>
      <c r="F75" s="116"/>
      <c r="G75" s="116">
        <f>NPV(G70,H68:$U68)</f>
        <v>355.08548128121146</v>
      </c>
      <c r="H75" s="116">
        <f>NPV(H70,I68:$U68)</f>
        <v>313.29575126769322</v>
      </c>
      <c r="I75" s="116">
        <f>NPV(I70,J68:$U68)</f>
        <v>333.83321447826256</v>
      </c>
      <c r="J75" s="116">
        <f>NPV(J70,K68:$U68)</f>
        <v>369.73304400097413</v>
      </c>
      <c r="K75" s="116">
        <f>NPV(K70,L68:$U68)</f>
        <v>339.97628600702905</v>
      </c>
      <c r="L75" s="116">
        <f>NPV(L70,N68:$U68)</f>
        <v>253.4994642088848</v>
      </c>
      <c r="M75" s="116">
        <f>NPV(M70,O68:$U68)</f>
        <v>197.81906644850469</v>
      </c>
      <c r="N75" s="116">
        <f>NPV(N70,O68:$U68)</f>
        <v>197.81906644850469</v>
      </c>
      <c r="O75" s="116">
        <f>NPV(O70,P68:$U68)</f>
        <v>137.20611626650319</v>
      </c>
      <c r="P75" s="116">
        <f>NPV(P70,Q68:$Q68)</f>
        <v>71.370491609811225</v>
      </c>
      <c r="Q75" s="116">
        <f>NPV(Q70,$Q68:BO68)</f>
        <v>71.370491609811225</v>
      </c>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row>
    <row r="76" spans="1:64" ht="15.75" thickBot="1">
      <c r="A76" s="92" t="s">
        <v>845</v>
      </c>
      <c r="B76" s="133"/>
      <c r="C76" s="133"/>
      <c r="D76" s="133"/>
      <c r="E76" s="133"/>
      <c r="F76" s="133"/>
      <c r="G76" s="116">
        <f>NPV(G70,G73:$U73)</f>
        <v>816.25988678440979</v>
      </c>
      <c r="H76" s="133">
        <f>NPV(H70,H73:$U73)</f>
        <v>871.35742914235743</v>
      </c>
      <c r="I76" s="133">
        <f>NPV(I70,I73:$U73)</f>
        <v>930.17405560946634</v>
      </c>
      <c r="J76" s="133">
        <f>NPV(J70,J73:$U73)</f>
        <v>992.96080436310524</v>
      </c>
      <c r="K76" s="133">
        <f>NPV(K70,K73:$U73)</f>
        <v>1059.9856586576147</v>
      </c>
      <c r="L76" s="133">
        <f>NPV(L70,L73:$U73)</f>
        <v>1131.5346906170037</v>
      </c>
      <c r="M76" s="133">
        <f>NPV(M70,M73:$U73)</f>
        <v>1207.9132822336514</v>
      </c>
      <c r="N76" s="133">
        <f>NPV(N70,N73:$U73)</f>
        <v>1289.4474287844225</v>
      </c>
      <c r="O76" s="133">
        <f>NPV(O70,O73:$U73)</f>
        <v>1376.485130227371</v>
      </c>
      <c r="P76" s="133">
        <f>NPV(P70,P73:$U73)</f>
        <v>1469.3978765177183</v>
      </c>
      <c r="Q76" s="133">
        <f>NPV(Q70,Q73:$Q73)</f>
        <v>1568.5822331826641</v>
      </c>
      <c r="R76" s="133"/>
      <c r="S76" s="133"/>
      <c r="T76" s="133"/>
      <c r="U76" s="133"/>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row>
    <row r="77" spans="1:64" ht="15.75" thickBot="1">
      <c r="A77" s="92" t="s">
        <v>331</v>
      </c>
      <c r="B77" s="116"/>
      <c r="C77" s="116"/>
      <c r="D77" s="116"/>
      <c r="E77" s="116"/>
      <c r="F77" s="116"/>
      <c r="G77" s="327">
        <f t="shared" ref="G77:Q77" si="13">G75+G76</f>
        <v>1171.3453680656212</v>
      </c>
      <c r="H77" s="116">
        <f t="shared" si="13"/>
        <v>1184.6531804100507</v>
      </c>
      <c r="I77" s="116">
        <f t="shared" si="13"/>
        <v>1264.007270087729</v>
      </c>
      <c r="J77" s="116">
        <f t="shared" si="13"/>
        <v>1362.6938483640793</v>
      </c>
      <c r="K77" s="116">
        <f t="shared" si="13"/>
        <v>1399.9619446646439</v>
      </c>
      <c r="L77" s="116">
        <f t="shared" si="13"/>
        <v>1385.0341548258884</v>
      </c>
      <c r="M77" s="116">
        <f t="shared" si="13"/>
        <v>1405.732348682156</v>
      </c>
      <c r="N77" s="116">
        <f t="shared" si="13"/>
        <v>1487.2664952329271</v>
      </c>
      <c r="O77" s="116">
        <f t="shared" si="13"/>
        <v>1513.6912464938741</v>
      </c>
      <c r="P77" s="116">
        <f t="shared" si="13"/>
        <v>1540.7683681275296</v>
      </c>
      <c r="Q77" s="116">
        <f t="shared" si="13"/>
        <v>1639.9527247924755</v>
      </c>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row>
    <row r="78" spans="1:64">
      <c r="A78" s="92" t="s">
        <v>115</v>
      </c>
      <c r="B78" s="116"/>
      <c r="C78" s="116"/>
      <c r="D78" s="116"/>
      <c r="E78" s="116"/>
      <c r="F78" s="116"/>
      <c r="G78" s="116">
        <f>-PR!P220</f>
        <v>-868.8</v>
      </c>
      <c r="H78" s="116">
        <f>-PR!Q220</f>
        <v>-848.90000000000009</v>
      </c>
      <c r="I78" s="116">
        <f ca="1">-PR!R220</f>
        <v>-916.44456783233682</v>
      </c>
      <c r="J78" s="116">
        <f ca="1">-PR!S220</f>
        <v>-1006.9591716723145</v>
      </c>
      <c r="K78" s="116">
        <f ca="1">-PR!T220</f>
        <v>-867.43570097681129</v>
      </c>
      <c r="L78" s="116">
        <f ca="1">-PR!U220</f>
        <v>-834.42654598023205</v>
      </c>
      <c r="M78" s="116">
        <f ca="1">-PR!V220</f>
        <v>-795.73569351759136</v>
      </c>
      <c r="N78" s="116">
        <f ca="1">-PR!W220</f>
        <v>-737.5771216508432</v>
      </c>
      <c r="O78" s="116">
        <f ca="1">-PR!X220</f>
        <v>-663.16046373809763</v>
      </c>
      <c r="P78" s="116">
        <f ca="1">-PR!Y220</f>
        <v>-582.15197204398191</v>
      </c>
      <c r="Q78" s="116">
        <f ca="1">-PR!Z220</f>
        <v>-499.48217105201581</v>
      </c>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row>
    <row r="79" spans="1:64">
      <c r="A79" s="92" t="s">
        <v>846</v>
      </c>
      <c r="B79" s="133"/>
      <c r="C79" s="133"/>
      <c r="D79" s="315">
        <v>0</v>
      </c>
      <c r="E79" s="315">
        <f t="shared" ref="E79:Q79" si="14">D79-0</f>
        <v>0</v>
      </c>
      <c r="F79" s="315">
        <f t="shared" si="14"/>
        <v>0</v>
      </c>
      <c r="G79" s="328">
        <f t="shared" si="14"/>
        <v>0</v>
      </c>
      <c r="H79" s="328">
        <f t="shared" si="14"/>
        <v>0</v>
      </c>
      <c r="I79" s="328">
        <f t="shared" si="14"/>
        <v>0</v>
      </c>
      <c r="J79" s="328">
        <f t="shared" si="14"/>
        <v>0</v>
      </c>
      <c r="K79" s="328">
        <f t="shared" si="14"/>
        <v>0</v>
      </c>
      <c r="L79" s="328">
        <f t="shared" si="14"/>
        <v>0</v>
      </c>
      <c r="M79" s="328">
        <f t="shared" si="14"/>
        <v>0</v>
      </c>
      <c r="N79" s="328">
        <f t="shared" si="14"/>
        <v>0</v>
      </c>
      <c r="O79" s="328">
        <f t="shared" si="14"/>
        <v>0</v>
      </c>
      <c r="P79" s="328">
        <f t="shared" si="14"/>
        <v>0</v>
      </c>
      <c r="Q79" s="328">
        <f t="shared" si="14"/>
        <v>0</v>
      </c>
      <c r="R79" s="328"/>
      <c r="S79" s="328"/>
      <c r="T79" s="328"/>
      <c r="U79" s="328"/>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row>
    <row r="80" spans="1:64">
      <c r="A80" s="92" t="s">
        <v>826</v>
      </c>
      <c r="B80" s="116">
        <f t="shared" ref="B80:Q80" si="15">B77+B78+B79</f>
        <v>0</v>
      </c>
      <c r="C80" s="116">
        <f t="shared" si="15"/>
        <v>0</v>
      </c>
      <c r="D80" s="116">
        <f t="shared" si="15"/>
        <v>0</v>
      </c>
      <c r="E80" s="116">
        <f t="shared" si="15"/>
        <v>0</v>
      </c>
      <c r="F80" s="116">
        <f t="shared" si="15"/>
        <v>0</v>
      </c>
      <c r="G80" s="116">
        <f t="shared" si="15"/>
        <v>302.54536806562123</v>
      </c>
      <c r="H80" s="116">
        <f t="shared" si="15"/>
        <v>335.75318041005062</v>
      </c>
      <c r="I80" s="116">
        <f t="shared" ca="1" si="15"/>
        <v>347.5627022553922</v>
      </c>
      <c r="J80" s="116">
        <f t="shared" ca="1" si="15"/>
        <v>355.73467669176478</v>
      </c>
      <c r="K80" s="116">
        <f t="shared" ca="1" si="15"/>
        <v>532.52624368783256</v>
      </c>
      <c r="L80" s="116">
        <f t="shared" ca="1" si="15"/>
        <v>550.60760884565639</v>
      </c>
      <c r="M80" s="116">
        <f t="shared" ca="1" si="15"/>
        <v>609.99665516456469</v>
      </c>
      <c r="N80" s="116">
        <f t="shared" ca="1" si="15"/>
        <v>749.68937358208393</v>
      </c>
      <c r="O80" s="116">
        <f t="shared" ca="1" si="15"/>
        <v>850.5307827557765</v>
      </c>
      <c r="P80" s="116">
        <f t="shared" ca="1" si="15"/>
        <v>958.61639608354767</v>
      </c>
      <c r="Q80" s="116">
        <f t="shared" ca="1" si="15"/>
        <v>1140.4705537404598</v>
      </c>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row>
    <row r="81" spans="1:64">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row>
    <row r="82" spans="1:64">
      <c r="A82" s="329" t="s">
        <v>847</v>
      </c>
      <c r="B82" s="330"/>
      <c r="C82" s="330"/>
      <c r="D82" s="330"/>
      <c r="E82" s="330"/>
      <c r="F82" s="330"/>
      <c r="G82" s="283">
        <f t="shared" ref="G82:L82" si="16">G77/G64</f>
        <v>7.05629739798567</v>
      </c>
      <c r="H82" s="283">
        <f t="shared" si="16"/>
        <v>5.9590200221833536</v>
      </c>
      <c r="I82" s="283">
        <f t="shared" si="16"/>
        <v>9.5038140608099919</v>
      </c>
      <c r="J82" s="283">
        <f t="shared" si="16"/>
        <v>10.176622130912287</v>
      </c>
      <c r="K82" s="283">
        <f t="shared" si="16"/>
        <v>7.9774666534274958</v>
      </c>
      <c r="L82" s="283">
        <f t="shared" si="16"/>
        <v>7.7444583749587244</v>
      </c>
      <c r="M82" s="283">
        <f>M77/M64</f>
        <v>7.5531592235728793</v>
      </c>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row>
    <row r="83" spans="1:64">
      <c r="A83" s="329" t="s">
        <v>848</v>
      </c>
      <c r="B83" s="330"/>
      <c r="C83" s="330"/>
      <c r="D83" s="330"/>
      <c r="E83" s="330"/>
      <c r="F83" s="330"/>
      <c r="G83" s="283">
        <f t="shared" ref="G83:L83" si="17">G77/G66</f>
        <v>13.32588587105371</v>
      </c>
      <c r="H83" s="283">
        <f t="shared" si="17"/>
        <v>10.989361599351119</v>
      </c>
      <c r="I83" s="283">
        <f t="shared" si="17"/>
        <v>1264.007270087729</v>
      </c>
      <c r="J83" s="283">
        <f t="shared" si="17"/>
        <v>-62.190468577797411</v>
      </c>
      <c r="K83" s="283">
        <f t="shared" si="17"/>
        <v>15.608086930619013</v>
      </c>
      <c r="L83" s="283">
        <f t="shared" si="17"/>
        <v>13.403870264351641</v>
      </c>
      <c r="M83" s="283">
        <f>M77/M66</f>
        <v>12.868345343864908</v>
      </c>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row>
    <row r="84" spans="1:64">
      <c r="A84" s="329" t="s">
        <v>849</v>
      </c>
      <c r="B84" s="330"/>
      <c r="C84" s="330"/>
      <c r="D84" s="330"/>
      <c r="E84" s="330"/>
      <c r="F84" s="330"/>
      <c r="G84" s="283">
        <f t="shared" ref="G84:L84" si="18">G77/G68</f>
        <v>21.845714542711001</v>
      </c>
      <c r="H84" s="283">
        <f t="shared" si="18"/>
        <v>18.015346884182161</v>
      </c>
      <c r="I84" s="283">
        <f t="shared" si="18"/>
        <v>2072.1430657175888</v>
      </c>
      <c r="J84" s="283">
        <f t="shared" si="18"/>
        <v>-101.95158783245478</v>
      </c>
      <c r="K84" s="283">
        <f t="shared" si="18"/>
        <v>25.587027755113137</v>
      </c>
      <c r="L84" s="283">
        <f t="shared" si="18"/>
        <v>21.973557810412522</v>
      </c>
      <c r="M84" s="283">
        <f>M77/M68</f>
        <v>21.095648104696568</v>
      </c>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row>
    <row r="89" spans="1:64">
      <c r="A89" s="303" t="s">
        <v>851</v>
      </c>
      <c r="B89" s="304"/>
      <c r="C89" s="304"/>
      <c r="D89" s="304"/>
      <c r="E89" s="304"/>
      <c r="F89" s="304"/>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row>
    <row r="90" spans="1:64">
      <c r="A90" s="331"/>
      <c r="B90" s="332"/>
      <c r="C90" s="332"/>
      <c r="D90" s="332"/>
      <c r="E90" s="332"/>
      <c r="F90" s="332"/>
      <c r="G90" s="332"/>
      <c r="H90" s="332"/>
      <c r="I90" s="332"/>
      <c r="J90" s="332"/>
      <c r="K90" s="332"/>
      <c r="L90" s="332"/>
      <c r="M90" s="332"/>
      <c r="N90" s="332"/>
      <c r="O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c r="BI90" s="332"/>
      <c r="BJ90" s="332"/>
      <c r="BK90" s="332"/>
      <c r="BL90" s="332"/>
    </row>
    <row r="91" spans="1:64">
      <c r="A91" s="93" t="s">
        <v>852</v>
      </c>
      <c r="B91" s="94">
        <v>2010</v>
      </c>
      <c r="C91" s="94">
        <v>2011</v>
      </c>
      <c r="D91" s="94">
        <v>2012</v>
      </c>
      <c r="E91" s="94">
        <v>2013</v>
      </c>
      <c r="F91" s="94">
        <v>2014</v>
      </c>
      <c r="G91" s="94">
        <v>2015</v>
      </c>
      <c r="H91" s="94">
        <v>2016</v>
      </c>
      <c r="I91" s="94">
        <v>2017</v>
      </c>
      <c r="J91" s="94">
        <v>2018</v>
      </c>
      <c r="K91" s="94">
        <v>2019</v>
      </c>
      <c r="L91" s="94">
        <v>2020</v>
      </c>
      <c r="M91" s="94">
        <v>2020</v>
      </c>
      <c r="N91" s="94">
        <v>2022</v>
      </c>
      <c r="O91" s="94">
        <v>2023</v>
      </c>
      <c r="P91" s="94">
        <v>2024</v>
      </c>
      <c r="Q91" s="94">
        <v>2025</v>
      </c>
      <c r="R91" s="94"/>
      <c r="S91" s="94"/>
      <c r="T91" s="94"/>
      <c r="U91" s="94"/>
      <c r="V91" s="312"/>
      <c r="W91" s="312"/>
      <c r="X91" s="312"/>
      <c r="Y91" s="312"/>
      <c r="Z91" s="312"/>
      <c r="AA91" s="312"/>
      <c r="AB91" s="312"/>
      <c r="AC91" s="312"/>
      <c r="AD91" s="312"/>
      <c r="AE91" s="312"/>
      <c r="AF91" s="312"/>
      <c r="AG91" s="312"/>
      <c r="AH91" s="312"/>
      <c r="AI91" s="312"/>
      <c r="AJ91" s="312"/>
      <c r="AK91" s="312"/>
      <c r="AL91" s="312"/>
      <c r="AM91" s="312"/>
      <c r="AN91" s="312"/>
      <c r="AO91" s="312"/>
      <c r="AP91" s="312"/>
      <c r="AQ91" s="312"/>
      <c r="AR91" s="312"/>
      <c r="AS91" s="312"/>
      <c r="AT91" s="312"/>
      <c r="AU91" s="312"/>
      <c r="AV91" s="312"/>
      <c r="AW91" s="312"/>
      <c r="AX91" s="312"/>
      <c r="AY91" s="312"/>
      <c r="AZ91" s="312"/>
      <c r="BA91" s="312"/>
      <c r="BB91" s="312"/>
      <c r="BC91" s="312"/>
      <c r="BD91" s="312"/>
      <c r="BE91" s="312"/>
      <c r="BF91" s="312"/>
      <c r="BG91" s="312"/>
      <c r="BH91" s="312"/>
      <c r="BI91" s="312"/>
      <c r="BJ91" s="312"/>
      <c r="BK91" s="312"/>
      <c r="BL91" s="312"/>
    </row>
    <row r="92" spans="1:64">
      <c r="A92" s="92" t="s">
        <v>853</v>
      </c>
      <c r="G92" s="283">
        <f ca="1">G$145/G129</f>
        <v>2.1135264950018944</v>
      </c>
      <c r="H92" s="283">
        <f t="shared" ref="H92:N93" ca="1" si="19">H$145/H129</f>
        <v>2.1065307198119867</v>
      </c>
      <c r="I92" s="283">
        <f t="shared" ca="1" si="19"/>
        <v>2.2825126749738107</v>
      </c>
      <c r="J92" s="283">
        <f t="shared" ca="1" si="19"/>
        <v>2.2550665055500234</v>
      </c>
      <c r="K92" s="283">
        <f t="shared" ca="1" si="19"/>
        <v>2.1537615102431489</v>
      </c>
      <c r="L92" s="283">
        <f t="shared" ca="1" si="19"/>
        <v>2.0715964652315586</v>
      </c>
      <c r="M92" s="283">
        <f ca="1">M$145/M129</f>
        <v>1.9652806702390739</v>
      </c>
      <c r="N92" s="283">
        <f t="shared" ca="1" si="19"/>
        <v>1.8963763431920733</v>
      </c>
      <c r="O92" s="283">
        <f t="shared" ref="O92:Q93" ca="1" si="20">O$145/O129</f>
        <v>1.7275030219790029</v>
      </c>
      <c r="P92" s="283">
        <f t="shared" ca="1" si="20"/>
        <v>1.5930147826309922</v>
      </c>
      <c r="Q92" s="283">
        <f t="shared" ca="1" si="20"/>
        <v>1.4156089166617287</v>
      </c>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row>
    <row r="93" spans="1:64">
      <c r="A93" s="92" t="s">
        <v>298</v>
      </c>
      <c r="G93" s="283">
        <f ca="1">G$145/G130</f>
        <v>5.2068824142290602</v>
      </c>
      <c r="H93" s="283">
        <f t="shared" ca="1" si="19"/>
        <v>5.0132328896106442</v>
      </c>
      <c r="I93" s="283">
        <f t="shared" ca="1" si="19"/>
        <v>5.6355784016961668</v>
      </c>
      <c r="J93" s="283">
        <f t="shared" ca="1" si="19"/>
        <v>5.5756621014223215</v>
      </c>
      <c r="K93" s="283">
        <f ca="1">K$145/K130</f>
        <v>5.1712827044627927</v>
      </c>
      <c r="L93" s="283">
        <f t="shared" ca="1" si="19"/>
        <v>4.9491573095809729</v>
      </c>
      <c r="M93" s="283">
        <f ca="1">M$145/M130</f>
        <v>4.6544053252907549</v>
      </c>
      <c r="N93" s="283">
        <f t="shared" ca="1" si="19"/>
        <v>4.434959628966797</v>
      </c>
      <c r="O93" s="283">
        <f t="shared" ca="1" si="20"/>
        <v>4.0422923622470162</v>
      </c>
      <c r="P93" s="283">
        <f t="shared" ca="1" si="20"/>
        <v>3.7199965942395479</v>
      </c>
      <c r="Q93" s="283">
        <f t="shared" ca="1" si="20"/>
        <v>3.3006707823242603</v>
      </c>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row>
    <row r="94" spans="1:64">
      <c r="A94" s="92" t="s">
        <v>299</v>
      </c>
      <c r="G94" s="283">
        <f ca="1">G$145/G132</f>
        <v>9.585568093136974</v>
      </c>
      <c r="H94" s="283">
        <f t="shared" ref="H94:N95" ca="1" si="21">H$145/H132</f>
        <v>10.720660042722916</v>
      </c>
      <c r="I94" s="283">
        <f t="shared" ca="1" si="21"/>
        <v>16.990241208690062</v>
      </c>
      <c r="J94" s="283">
        <f t="shared" ca="1" si="21"/>
        <v>17.504117514268298</v>
      </c>
      <c r="K94" s="283">
        <f t="shared" ca="1" si="21"/>
        <v>10.577552718167253</v>
      </c>
      <c r="L94" s="283">
        <f t="shared" ca="1" si="21"/>
        <v>9.3466551584193649</v>
      </c>
      <c r="M94" s="283">
        <f ca="1">M$145/M132</f>
        <v>8.462247542582416</v>
      </c>
      <c r="N94" s="283">
        <f t="shared" ca="1" si="21"/>
        <v>7.8543222334198024</v>
      </c>
      <c r="O94" s="283">
        <f t="shared" ref="O94:Q95" ca="1" si="22">O$145/O132</f>
        <v>7.1475163559249815</v>
      </c>
      <c r="P94" s="283">
        <f t="shared" ca="1" si="22"/>
        <v>6.5487040368858107</v>
      </c>
      <c r="Q94" s="283">
        <f t="shared" ca="1" si="22"/>
        <v>5.7877126813910209</v>
      </c>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row>
    <row r="95" spans="1:64">
      <c r="A95" s="92" t="s">
        <v>300</v>
      </c>
      <c r="G95" s="283">
        <f ca="1">G$145/G133</f>
        <v>12.61258959623286</v>
      </c>
      <c r="H95" s="283">
        <f t="shared" ca="1" si="21"/>
        <v>14.106131635161731</v>
      </c>
      <c r="I95" s="283">
        <f t="shared" ca="1" si="21"/>
        <v>22.355580537750079</v>
      </c>
      <c r="J95" s="283">
        <f t="shared" ca="1" si="21"/>
        <v>23.031733571405656</v>
      </c>
      <c r="K95" s="283">
        <f t="shared" ca="1" si="21"/>
        <v>13.917832523904279</v>
      </c>
      <c r="L95" s="283">
        <f t="shared" ca="1" si="21"/>
        <v>12.298230471604427</v>
      </c>
      <c r="M95" s="283">
        <f ca="1">M$145/M133</f>
        <v>11.134536240240021</v>
      </c>
      <c r="N95" s="283">
        <f t="shared" ca="1" si="21"/>
        <v>10.334634517657635</v>
      </c>
      <c r="O95" s="283">
        <f t="shared" ca="1" si="22"/>
        <v>9.4046267841118176</v>
      </c>
      <c r="P95" s="283">
        <f t="shared" ca="1" si="22"/>
        <v>8.6167158380076447</v>
      </c>
      <c r="Q95" s="283">
        <f t="shared" ca="1" si="22"/>
        <v>7.6154114228829224</v>
      </c>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row>
    <row r="96" spans="1:64">
      <c r="A96" s="92" t="s">
        <v>301</v>
      </c>
      <c r="G96" s="283">
        <f ca="1">G$147/G134</f>
        <v>7.6210387375710464</v>
      </c>
      <c r="H96" s="283">
        <f t="shared" ref="H96:N97" ca="1" si="23">H$147/H134</f>
        <v>-5.6494209151308104</v>
      </c>
      <c r="I96" s="283">
        <f t="shared" ca="1" si="23"/>
        <v>-2.3021160109841925</v>
      </c>
      <c r="J96" s="283">
        <f t="shared" ca="1" si="23"/>
        <v>-2.1492606897724187</v>
      </c>
      <c r="K96" s="283">
        <f t="shared" ca="1" si="23"/>
        <v>-15.843856096050024</v>
      </c>
      <c r="L96" s="283">
        <f t="shared" ca="1" si="23"/>
        <v>10.659725516732106</v>
      </c>
      <c r="M96" s="283">
        <f t="shared" ca="1" si="23"/>
        <v>6.9675927445774342</v>
      </c>
      <c r="N96" s="283">
        <f t="shared" ca="1" si="23"/>
        <v>5.167923528615078</v>
      </c>
      <c r="O96" s="283">
        <f t="shared" ref="O96:Q97" ca="1" si="24">O$147/O134</f>
        <v>3.9831426292925363</v>
      </c>
      <c r="P96" s="283">
        <f t="shared" ca="1" si="24"/>
        <v>2.5410684541019428</v>
      </c>
      <c r="Q96" s="283">
        <f t="shared" ca="1" si="24"/>
        <v>2.1921802845296954</v>
      </c>
      <c r="R96" s="283"/>
      <c r="S96" s="283"/>
      <c r="T96" s="283"/>
      <c r="U96" s="283"/>
      <c r="V96" s="283"/>
      <c r="W96" s="283"/>
      <c r="X96" s="283"/>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row>
    <row r="97" spans="1:64">
      <c r="A97" s="92" t="s">
        <v>854</v>
      </c>
      <c r="G97" s="283">
        <f ca="1">G$147/G135</f>
        <v>4.7021590434202087</v>
      </c>
      <c r="H97" s="283">
        <f t="shared" ca="1" si="23"/>
        <v>7.019352350023409</v>
      </c>
      <c r="I97" s="283">
        <f t="shared" ca="1" si="23"/>
        <v>12.060595231600225</v>
      </c>
      <c r="J97" s="283">
        <f t="shared" ca="1" si="23"/>
        <v>7.3702575157352053</v>
      </c>
      <c r="K97" s="283">
        <f t="shared" ca="1" si="23"/>
        <v>3.702648932043155</v>
      </c>
      <c r="L97" s="283">
        <f t="shared" ca="1" si="23"/>
        <v>2.7786674742493571</v>
      </c>
      <c r="M97" s="283">
        <f ca="1">M$147/M135</f>
        <v>2.4912888125411308</v>
      </c>
      <c r="N97" s="283">
        <f t="shared" ca="1" si="23"/>
        <v>2.2973233258977404</v>
      </c>
      <c r="O97" s="283">
        <f t="shared" ca="1" si="24"/>
        <v>1.8540132502598214</v>
      </c>
      <c r="P97" s="283">
        <f t="shared" ca="1" si="24"/>
        <v>1.4174266040839356</v>
      </c>
      <c r="Q97" s="283">
        <f t="shared" ca="1" si="24"/>
        <v>1.2563504178324671</v>
      </c>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row>
    <row r="98" spans="1:64">
      <c r="A98" s="92" t="s">
        <v>303</v>
      </c>
    </row>
    <row r="99" spans="1:64">
      <c r="A99" s="92" t="s">
        <v>855</v>
      </c>
      <c r="G99" s="103">
        <f ca="1">1/G96</f>
        <v>0.1312157088337694</v>
      </c>
      <c r="H99" s="103">
        <f t="shared" ref="H99:N100" ca="1" si="25">1/H96</f>
        <v>-0.17700929263771195</v>
      </c>
      <c r="I99" s="103">
        <f t="shared" ca="1" si="25"/>
        <v>-0.43438297428481182</v>
      </c>
      <c r="J99" s="103">
        <f t="shared" ca="1" si="25"/>
        <v>-0.465276271398184</v>
      </c>
      <c r="K99" s="103">
        <f t="shared" ca="1" si="25"/>
        <v>-6.3115948159192539E-2</v>
      </c>
      <c r="L99" s="103">
        <f t="shared" ca="1" si="25"/>
        <v>9.381104592518294E-2</v>
      </c>
      <c r="M99" s="103">
        <f ca="1">1/M96</f>
        <v>0.14352159155373356</v>
      </c>
      <c r="N99" s="103">
        <f t="shared" ca="1" si="25"/>
        <v>0.19350131526965225</v>
      </c>
      <c r="O99" s="103">
        <f t="shared" ref="O99:Q100" ca="1" si="26">1/O96</f>
        <v>0.2510580446318626</v>
      </c>
      <c r="P99" s="103">
        <f t="shared" ca="1" si="26"/>
        <v>0.39353524631961051</v>
      </c>
      <c r="Q99" s="103">
        <f t="shared" ca="1" si="26"/>
        <v>0.45616686139230439</v>
      </c>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3"/>
      <c r="BK99" s="103"/>
      <c r="BL99" s="103"/>
    </row>
    <row r="100" spans="1:64">
      <c r="A100" s="92" t="s">
        <v>856</v>
      </c>
      <c r="G100" s="103">
        <f ca="1">1/G97</f>
        <v>0.21266826382644644</v>
      </c>
      <c r="H100" s="103">
        <f t="shared" ca="1" si="25"/>
        <v>0.14246328580394815</v>
      </c>
      <c r="I100" s="103">
        <f t="shared" ca="1" si="25"/>
        <v>8.2914647311923592E-2</v>
      </c>
      <c r="J100" s="103">
        <f t="shared" ca="1" si="25"/>
        <v>0.13568046949038617</v>
      </c>
      <c r="K100" s="103">
        <f t="shared" ca="1" si="25"/>
        <v>0.270076914758481</v>
      </c>
      <c r="L100" s="103">
        <f t="shared" ca="1" si="25"/>
        <v>0.35988473225647299</v>
      </c>
      <c r="M100" s="103">
        <f ca="1">1/M97</f>
        <v>0.40139866360174975</v>
      </c>
      <c r="N100" s="103">
        <f t="shared" ca="1" si="25"/>
        <v>0.43528918577850739</v>
      </c>
      <c r="O100" s="103">
        <f t="shared" ca="1" si="26"/>
        <v>0.53937047098226509</v>
      </c>
      <c r="P100" s="103">
        <f t="shared" ca="1" si="26"/>
        <v>0.70550390201423308</v>
      </c>
      <c r="Q100" s="103">
        <f t="shared" ca="1" si="26"/>
        <v>0.79595627605653319</v>
      </c>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row>
    <row r="103" spans="1:64">
      <c r="A103" s="93" t="s">
        <v>857</v>
      </c>
      <c r="B103" s="94">
        <v>2010</v>
      </c>
      <c r="C103" s="94">
        <v>2011</v>
      </c>
      <c r="D103" s="94">
        <v>2012</v>
      </c>
      <c r="E103" s="94">
        <v>2013</v>
      </c>
      <c r="F103" s="94">
        <v>2014</v>
      </c>
      <c r="G103" s="94">
        <v>2015</v>
      </c>
      <c r="H103" s="94">
        <v>2016</v>
      </c>
      <c r="I103" s="94">
        <v>2017</v>
      </c>
      <c r="J103" s="94">
        <v>2018</v>
      </c>
      <c r="K103" s="94">
        <v>2019</v>
      </c>
      <c r="L103" s="94">
        <v>2020</v>
      </c>
      <c r="M103" s="94">
        <v>2020</v>
      </c>
      <c r="N103" s="94">
        <v>2022</v>
      </c>
      <c r="O103" s="94">
        <v>2023</v>
      </c>
      <c r="P103" s="94">
        <v>2024</v>
      </c>
      <c r="Q103" s="94">
        <v>2025</v>
      </c>
      <c r="R103" s="94"/>
      <c r="S103" s="94"/>
      <c r="T103" s="94"/>
      <c r="U103" s="94"/>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2"/>
      <c r="AY103" s="312"/>
      <c r="AZ103" s="312"/>
      <c r="BA103" s="312"/>
      <c r="BB103" s="312"/>
      <c r="BC103" s="312"/>
      <c r="BD103" s="312"/>
      <c r="BE103" s="312"/>
      <c r="BF103" s="312"/>
      <c r="BG103" s="312"/>
      <c r="BH103" s="312"/>
      <c r="BI103" s="312"/>
      <c r="BJ103" s="312"/>
      <c r="BK103" s="312"/>
      <c r="BL103" s="312"/>
    </row>
    <row r="104" spans="1:64">
      <c r="A104" s="92" t="s">
        <v>853</v>
      </c>
      <c r="G104" s="283">
        <f ca="1">G$156/G129</f>
        <v>3.5808942226064171</v>
      </c>
      <c r="H104" s="283">
        <f t="shared" ref="H104:L105" ca="1" si="27">H$156/H129</f>
        <v>3.5531948438505996</v>
      </c>
      <c r="I104" s="283">
        <f t="shared" ca="1" si="27"/>
        <v>3.736561541463125</v>
      </c>
      <c r="J104" s="283">
        <f t="shared" ca="1" si="27"/>
        <v>3.640746035111357</v>
      </c>
      <c r="K104" s="283">
        <f t="shared" ca="1" si="27"/>
        <v>3.5152932363070368</v>
      </c>
      <c r="L104" s="283">
        <f t="shared" ca="1" si="27"/>
        <v>3.4989259161865127</v>
      </c>
      <c r="M104" s="283">
        <f t="shared" ref="M104:O105" ca="1" si="28">M$156/M129</f>
        <v>3.3043991999285409</v>
      </c>
      <c r="N104" s="283">
        <f t="shared" ca="1" si="28"/>
        <v>3.3189870743704826</v>
      </c>
      <c r="O104" s="283">
        <f t="shared" ca="1" si="28"/>
        <v>3.0198062254073346</v>
      </c>
      <c r="P104" s="283">
        <f ca="1">P$156/P129</f>
        <v>2.855110926900231</v>
      </c>
      <c r="Q104" s="283">
        <f ca="1">Q$156/Q129</f>
        <v>2.6357077749581266</v>
      </c>
      <c r="R104" s="283"/>
      <c r="S104" s="283"/>
      <c r="T104" s="283"/>
      <c r="U104" s="283"/>
      <c r="V104" s="283"/>
      <c r="W104" s="283"/>
      <c r="X104" s="283"/>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row>
    <row r="105" spans="1:64">
      <c r="A105" s="92" t="s">
        <v>298</v>
      </c>
      <c r="G105" s="283">
        <f ca="1">G$156/G130</f>
        <v>8.8218885351078047</v>
      </c>
      <c r="H105" s="283">
        <f t="shared" ca="1" si="27"/>
        <v>8.4560804581936697</v>
      </c>
      <c r="I105" s="283">
        <f t="shared" ca="1" si="27"/>
        <v>9.2256598399479799</v>
      </c>
      <c r="J105" s="283">
        <f t="shared" ca="1" si="27"/>
        <v>9.0017609852809173</v>
      </c>
      <c r="K105" s="283">
        <f t="shared" ca="1" si="27"/>
        <v>8.4403844286256859</v>
      </c>
      <c r="L105" s="283">
        <f t="shared" ca="1" si="27"/>
        <v>8.3591254688886316</v>
      </c>
      <c r="M105" s="283">
        <f t="shared" ca="1" si="28"/>
        <v>7.8258609398335715</v>
      </c>
      <c r="N105" s="283">
        <f t="shared" ca="1" si="28"/>
        <v>7.761947535750739</v>
      </c>
      <c r="O105" s="283">
        <f t="shared" ca="1" si="28"/>
        <v>7.0662334508949014</v>
      </c>
      <c r="P105" s="283">
        <f ca="1">P$156/P130</f>
        <v>6.6672343785181569</v>
      </c>
      <c r="Q105" s="283">
        <f ca="1">Q$156/Q130</f>
        <v>6.1454851980336995</v>
      </c>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3"/>
      <c r="AY105" s="283"/>
      <c r="AZ105" s="283"/>
      <c r="BA105" s="283"/>
      <c r="BB105" s="283"/>
      <c r="BC105" s="283"/>
      <c r="BD105" s="283"/>
      <c r="BE105" s="283"/>
      <c r="BF105" s="283"/>
      <c r="BG105" s="283"/>
      <c r="BH105" s="283"/>
      <c r="BI105" s="283"/>
      <c r="BJ105" s="283"/>
      <c r="BK105" s="283"/>
      <c r="BL105" s="283"/>
    </row>
    <row r="106" spans="1:64">
      <c r="A106" s="92" t="s">
        <v>299</v>
      </c>
      <c r="G106" s="283">
        <f ca="1">G$156/G132</f>
        <v>16.240584391199619</v>
      </c>
      <c r="H106" s="283">
        <f t="shared" ref="H106:N107" ca="1" si="29">H$156/H132</f>
        <v>18.08309445868327</v>
      </c>
      <c r="I106" s="283">
        <f t="shared" ca="1" si="29"/>
        <v>27.813682077932675</v>
      </c>
      <c r="J106" s="283">
        <f t="shared" ca="1" si="29"/>
        <v>28.259941017860104</v>
      </c>
      <c r="K106" s="283">
        <f t="shared" ca="1" si="29"/>
        <v>17.264306818565373</v>
      </c>
      <c r="L106" s="283">
        <f t="shared" ca="1" si="29"/>
        <v>15.786498245350293</v>
      </c>
      <c r="M106" s="283">
        <f ca="1">M$156/M132</f>
        <v>14.228320887064429</v>
      </c>
      <c r="N106" s="283">
        <f ca="1">N$156/N132</f>
        <v>13.746424365736093</v>
      </c>
      <c r="O106" s="283">
        <f ca="1">O$156/O132</f>
        <v>12.494400364693171</v>
      </c>
      <c r="P106" s="283">
        <f ca="1">P$156/P132</f>
        <v>11.737038887905532</v>
      </c>
      <c r="Q106" s="283">
        <f ca="1">Q$156/Q132</f>
        <v>10.776083093302031</v>
      </c>
      <c r="R106" s="283"/>
      <c r="S106" s="283"/>
      <c r="T106" s="283"/>
      <c r="U106" s="283"/>
      <c r="V106" s="283"/>
      <c r="W106" s="283"/>
      <c r="X106" s="283"/>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row>
    <row r="107" spans="1:64">
      <c r="A107" s="92" t="s">
        <v>300</v>
      </c>
      <c r="G107" s="283">
        <f ca="1">G$156/G133</f>
        <v>21.369189988420548</v>
      </c>
      <c r="H107" s="283">
        <f t="shared" ca="1" si="29"/>
        <v>23.793545340372724</v>
      </c>
      <c r="I107" s="283">
        <f t="shared" ca="1" si="29"/>
        <v>36.596950102542991</v>
      </c>
      <c r="J107" s="283">
        <f t="shared" ca="1" si="29"/>
        <v>37.184132918236983</v>
      </c>
      <c r="K107" s="283">
        <f t="shared" ca="1" si="29"/>
        <v>22.716193182322861</v>
      </c>
      <c r="L107" s="283">
        <f t="shared" ca="1" si="29"/>
        <v>20.771708217566175</v>
      </c>
      <c r="M107" s="283">
        <f ca="1">M$156/M133</f>
        <v>18.721474851400565</v>
      </c>
      <c r="N107" s="283">
        <f t="shared" ca="1" si="29"/>
        <v>18.0874004812317</v>
      </c>
      <c r="O107" s="283">
        <f ca="1">O$156/O133</f>
        <v>16.440000479859432</v>
      </c>
      <c r="P107" s="283">
        <f ca="1">P$156/P133</f>
        <v>15.443472220928331</v>
      </c>
      <c r="Q107" s="283">
        <f ca="1">Q$156/Q133</f>
        <v>14.179056701713201</v>
      </c>
      <c r="R107" s="283"/>
      <c r="S107" s="283"/>
      <c r="T107" s="283"/>
      <c r="U107" s="283"/>
      <c r="V107" s="283"/>
      <c r="W107" s="283"/>
      <c r="X107" s="283"/>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row>
    <row r="108" spans="1:64">
      <c r="A108" s="92" t="s">
        <v>301</v>
      </c>
      <c r="G108" s="283">
        <f ca="1">G$158/G134</f>
        <v>65.114239545015764</v>
      </c>
      <c r="H108" s="283">
        <f t="shared" ref="H108:N109" ca="1" si="30">H$158/H134</f>
        <v>-44.781245260014401</v>
      </c>
      <c r="I108" s="283">
        <f t="shared" ca="1" si="30"/>
        <v>-18.283476592210842</v>
      </c>
      <c r="J108" s="283">
        <f t="shared" ca="1" si="30"/>
        <v>-17.086080452165351</v>
      </c>
      <c r="K108" s="283">
        <f t="shared" ca="1" si="30"/>
        <v>-120.06219604711202</v>
      </c>
      <c r="L108" s="283">
        <f t="shared" ca="1" si="30"/>
        <v>81.072428908632958</v>
      </c>
      <c r="M108" s="283">
        <f ca="1">M$158/M134</f>
        <v>50.141611262976852</v>
      </c>
      <c r="N108" s="283">
        <f t="shared" ca="1" si="30"/>
        <v>37.190464785743487</v>
      </c>
      <c r="O108" s="283">
        <f t="shared" ref="O108:Q109" ca="1" si="31">O$158/O134</f>
        <v>28.664302958638324</v>
      </c>
      <c r="P108" s="283">
        <f t="shared" ca="1" si="31"/>
        <v>18.286554810103276</v>
      </c>
      <c r="Q108" s="283">
        <f t="shared" ca="1" si="31"/>
        <v>15.775814642839935</v>
      </c>
      <c r="R108" s="283"/>
      <c r="S108" s="283"/>
      <c r="T108" s="283"/>
      <c r="U108" s="283"/>
      <c r="V108" s="283"/>
      <c r="W108" s="283"/>
      <c r="X108" s="283"/>
      <c r="Y108" s="283"/>
      <c r="Z108" s="283"/>
      <c r="AA108" s="28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c r="AW108" s="283"/>
      <c r="AX108" s="283"/>
      <c r="AY108" s="283"/>
      <c r="AZ108" s="283"/>
      <c r="BA108" s="283"/>
      <c r="BB108" s="283"/>
      <c r="BC108" s="283"/>
      <c r="BD108" s="283"/>
      <c r="BE108" s="283"/>
      <c r="BF108" s="283"/>
      <c r="BG108" s="283"/>
      <c r="BH108" s="283"/>
      <c r="BI108" s="283"/>
      <c r="BJ108" s="283"/>
      <c r="BK108" s="283"/>
      <c r="BL108" s="283"/>
    </row>
    <row r="109" spans="1:64">
      <c r="A109" s="92" t="s">
        <v>854</v>
      </c>
      <c r="G109" s="283">
        <f ca="1">G$158/G135</f>
        <v>40.175299047175507</v>
      </c>
      <c r="H109" s="283">
        <f t="shared" ca="1" si="30"/>
        <v>55.640276034482454</v>
      </c>
      <c r="I109" s="283">
        <f t="shared" ca="1" si="30"/>
        <v>95.785620513025719</v>
      </c>
      <c r="J109" s="283">
        <f t="shared" ca="1" si="30"/>
        <v>58.591688512370474</v>
      </c>
      <c r="K109" s="283">
        <f t="shared" ca="1" si="30"/>
        <v>28.05807874532665</v>
      </c>
      <c r="L109" s="283">
        <f t="shared" ca="1" si="30"/>
        <v>21.133125887079363</v>
      </c>
      <c r="M109" s="283">
        <f ca="1">M$158/M135</f>
        <v>17.928320405847209</v>
      </c>
      <c r="N109" s="283">
        <f t="shared" ca="1" si="30"/>
        <v>16.532466430702623</v>
      </c>
      <c r="O109" s="283">
        <f t="shared" ca="1" si="31"/>
        <v>13.342228094959381</v>
      </c>
      <c r="P109" s="283">
        <f t="shared" ca="1" si="31"/>
        <v>10.200374272892212</v>
      </c>
      <c r="Q109" s="283">
        <f t="shared" ca="1" si="31"/>
        <v>9.0412049857622119</v>
      </c>
      <c r="R109" s="283"/>
      <c r="S109" s="283"/>
      <c r="T109" s="283"/>
      <c r="U109" s="283"/>
      <c r="V109" s="283"/>
      <c r="W109" s="283"/>
      <c r="X109" s="283"/>
      <c r="Y109" s="283"/>
      <c r="Z109" s="283"/>
      <c r="AA109" s="283"/>
      <c r="AB109" s="283"/>
      <c r="AC109" s="283"/>
      <c r="AD109" s="283"/>
      <c r="AE109" s="283"/>
      <c r="AF109" s="283"/>
      <c r="AG109" s="283"/>
      <c r="AH109" s="283"/>
      <c r="AI109" s="283"/>
      <c r="AJ109" s="283"/>
      <c r="AK109" s="283"/>
      <c r="AL109" s="283"/>
      <c r="AM109" s="283"/>
      <c r="AN109" s="283"/>
      <c r="AO109" s="283"/>
      <c r="AP109" s="283"/>
      <c r="AQ109" s="283"/>
      <c r="AR109" s="283"/>
      <c r="AS109" s="283"/>
      <c r="AT109" s="283"/>
      <c r="AU109" s="283"/>
      <c r="AV109" s="283"/>
      <c r="AW109" s="283"/>
      <c r="AX109" s="283"/>
      <c r="AY109" s="283"/>
      <c r="AZ109" s="283"/>
      <c r="BA109" s="283"/>
      <c r="BB109" s="283"/>
      <c r="BC109" s="283"/>
      <c r="BD109" s="283"/>
      <c r="BE109" s="283"/>
      <c r="BF109" s="283"/>
      <c r="BG109" s="283"/>
      <c r="BH109" s="283"/>
      <c r="BI109" s="283"/>
      <c r="BJ109" s="283"/>
      <c r="BK109" s="283"/>
      <c r="BL109" s="283"/>
    </row>
    <row r="110" spans="1:64">
      <c r="A110" s="92" t="s">
        <v>303</v>
      </c>
      <c r="G110" s="283"/>
    </row>
    <row r="111" spans="1:64">
      <c r="A111" s="92" t="s">
        <v>855</v>
      </c>
      <c r="G111" s="103">
        <f ca="1">1/G108</f>
        <v>1.5357623877472528E-2</v>
      </c>
      <c r="H111" s="103">
        <f t="shared" ref="H111:N112" ca="1" si="32">1/H108</f>
        <v>-2.2330776962401926E-2</v>
      </c>
      <c r="I111" s="103">
        <f t="shared" ca="1" si="32"/>
        <v>-5.469419313972386E-2</v>
      </c>
      <c r="J111" s="103">
        <f t="shared" ca="1" si="32"/>
        <v>-5.852717378919213E-2</v>
      </c>
      <c r="K111" s="103">
        <f t="shared" ca="1" si="32"/>
        <v>-8.3290164008627925E-3</v>
      </c>
      <c r="L111" s="103">
        <f t="shared" ca="1" si="32"/>
        <v>1.2334649565353227E-2</v>
      </c>
      <c r="M111" s="103">
        <f ca="1">1/M108</f>
        <v>1.9943515471717035E-2</v>
      </c>
      <c r="N111" s="103">
        <f t="shared" ca="1" si="32"/>
        <v>2.6888612598983647E-2</v>
      </c>
      <c r="O111" s="103">
        <f t="shared" ref="O111:Q112" ca="1" si="33">1/O108</f>
        <v>3.4886597502230152E-2</v>
      </c>
      <c r="P111" s="103">
        <f t="shared" ca="1" si="33"/>
        <v>5.4684986340210046E-2</v>
      </c>
      <c r="Q111" s="103">
        <f t="shared" ca="1" si="33"/>
        <v>6.3388168702518538E-2</v>
      </c>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row>
    <row r="112" spans="1:64">
      <c r="A112" s="92" t="s">
        <v>856</v>
      </c>
      <c r="G112" s="103">
        <f ca="1">1/G109</f>
        <v>2.489091615287688E-2</v>
      </c>
      <c r="H112" s="103">
        <f t="shared" ca="1" si="32"/>
        <v>1.7972592360617708E-2</v>
      </c>
      <c r="I112" s="103">
        <f t="shared" ca="1" si="32"/>
        <v>1.0439980392088306E-2</v>
      </c>
      <c r="J112" s="103">
        <f t="shared" ca="1" si="32"/>
        <v>1.7067267139585333E-2</v>
      </c>
      <c r="K112" s="103">
        <f t="shared" ca="1" si="32"/>
        <v>3.5640359023746765E-2</v>
      </c>
      <c r="L112" s="103">
        <f t="shared" ca="1" si="32"/>
        <v>4.7319076474691926E-2</v>
      </c>
      <c r="M112" s="103">
        <f ca="1">1/M109</f>
        <v>5.577767338840376E-2</v>
      </c>
      <c r="N112" s="103">
        <f t="shared" ca="1" si="32"/>
        <v>6.0487042522759285E-2</v>
      </c>
      <c r="O112" s="103">
        <f t="shared" ca="1" si="33"/>
        <v>7.4950000320995441E-2</v>
      </c>
      <c r="P112" s="103">
        <f t="shared" ca="1" si="33"/>
        <v>9.8035618424073781E-2</v>
      </c>
      <c r="Q112" s="103">
        <f t="shared" ca="1" si="33"/>
        <v>0.11060472598229623</v>
      </c>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row>
    <row r="117" spans="1:64">
      <c r="A117" s="93" t="s">
        <v>858</v>
      </c>
      <c r="B117" s="94">
        <v>2010</v>
      </c>
      <c r="C117" s="94">
        <v>2011</v>
      </c>
      <c r="D117" s="94">
        <v>2012</v>
      </c>
      <c r="E117" s="94">
        <v>2013</v>
      </c>
      <c r="F117" s="94">
        <v>2014</v>
      </c>
      <c r="G117" s="94">
        <v>2015</v>
      </c>
      <c r="H117" s="94">
        <v>2016</v>
      </c>
      <c r="I117" s="94">
        <v>2017</v>
      </c>
      <c r="J117" s="94">
        <v>2018</v>
      </c>
      <c r="K117" s="94">
        <v>2019</v>
      </c>
      <c r="L117" s="94">
        <v>2020</v>
      </c>
      <c r="M117" s="94">
        <v>2020</v>
      </c>
      <c r="N117" s="94">
        <v>2022</v>
      </c>
      <c r="O117" s="94">
        <v>2023</v>
      </c>
      <c r="P117" s="94">
        <v>2024</v>
      </c>
      <c r="Q117" s="94">
        <v>2025</v>
      </c>
      <c r="R117" s="94">
        <v>2026</v>
      </c>
      <c r="S117" s="94"/>
      <c r="T117" s="94"/>
      <c r="U117" s="94"/>
      <c r="V117" s="312"/>
      <c r="W117" s="312"/>
      <c r="X117" s="312"/>
      <c r="Y117" s="312"/>
      <c r="Z117" s="312"/>
      <c r="AA117" s="312"/>
      <c r="AB117" s="312"/>
      <c r="AC117" s="312"/>
      <c r="AD117" s="312"/>
      <c r="AE117" s="312"/>
      <c r="AF117" s="312"/>
      <c r="AG117" s="312"/>
      <c r="AH117" s="312"/>
      <c r="AI117" s="312"/>
      <c r="AJ117" s="312"/>
      <c r="AK117" s="312"/>
      <c r="AL117" s="312"/>
      <c r="AM117" s="312"/>
      <c r="AN117" s="312"/>
      <c r="AO117" s="312"/>
      <c r="AP117" s="312"/>
      <c r="AQ117" s="312"/>
      <c r="AR117" s="312"/>
      <c r="AS117" s="312"/>
      <c r="AT117" s="312"/>
      <c r="AU117" s="312"/>
      <c r="AV117" s="312"/>
      <c r="AW117" s="312"/>
      <c r="AX117" s="312"/>
      <c r="AY117" s="312"/>
      <c r="AZ117" s="312"/>
      <c r="BA117" s="312"/>
      <c r="BB117" s="312"/>
      <c r="BC117" s="312"/>
      <c r="BD117" s="312"/>
      <c r="BE117" s="312"/>
      <c r="BF117" s="312"/>
      <c r="BG117" s="312"/>
      <c r="BH117" s="312"/>
      <c r="BI117" s="312"/>
      <c r="BJ117" s="312"/>
      <c r="BK117" s="312"/>
      <c r="BL117" s="312"/>
    </row>
    <row r="118" spans="1:64">
      <c r="A118" s="92" t="s">
        <v>859</v>
      </c>
      <c r="B118" s="91"/>
      <c r="C118" s="91"/>
      <c r="D118" s="91"/>
      <c r="E118" s="91"/>
      <c r="F118" s="91"/>
      <c r="G118" s="333">
        <f ca="1">C23</f>
        <v>48.935546190411145</v>
      </c>
      <c r="H118" s="107">
        <f t="shared" ref="H118:N118" ca="1" si="34">G118</f>
        <v>48.935546190411145</v>
      </c>
      <c r="I118" s="107">
        <f t="shared" ca="1" si="34"/>
        <v>48.935546190411145</v>
      </c>
      <c r="J118" s="107">
        <f t="shared" ca="1" si="34"/>
        <v>48.935546190411145</v>
      </c>
      <c r="K118" s="107">
        <f t="shared" ca="1" si="34"/>
        <v>48.935546190411145</v>
      </c>
      <c r="L118" s="107">
        <f t="shared" ca="1" si="34"/>
        <v>48.935546190411145</v>
      </c>
      <c r="M118" s="107">
        <f t="shared" ca="1" si="34"/>
        <v>48.935546190411145</v>
      </c>
      <c r="N118" s="107">
        <f t="shared" ca="1" si="34"/>
        <v>48.935546190411145</v>
      </c>
      <c r="O118" s="107">
        <f t="shared" ref="O118:O126" ca="1" si="35">N118</f>
        <v>48.935546190411145</v>
      </c>
      <c r="P118" s="107">
        <f t="shared" ref="P118:R126" ca="1" si="36">O118</f>
        <v>48.935546190411145</v>
      </c>
      <c r="Q118" s="107">
        <f t="shared" ca="1" si="36"/>
        <v>48.935546190411145</v>
      </c>
      <c r="R118" s="107">
        <f t="shared" ca="1" si="36"/>
        <v>48.935546190411145</v>
      </c>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row>
    <row r="119" spans="1:64">
      <c r="A119" s="92" t="s">
        <v>860</v>
      </c>
      <c r="B119" s="91"/>
      <c r="C119" s="91"/>
      <c r="D119" s="91"/>
      <c r="E119" s="91"/>
      <c r="F119" s="91"/>
      <c r="G119" s="333">
        <f ca="1">C24</f>
        <v>48.935546190411145</v>
      </c>
      <c r="H119" s="107">
        <f t="shared" ref="H119:N126" ca="1" si="37">G119</f>
        <v>48.935546190411145</v>
      </c>
      <c r="I119" s="107">
        <f t="shared" ca="1" si="37"/>
        <v>48.935546190411145</v>
      </c>
      <c r="J119" s="107">
        <f t="shared" ca="1" si="37"/>
        <v>48.935546190411145</v>
      </c>
      <c r="K119" s="107">
        <f t="shared" ref="K119:K126" ca="1" si="38">J119</f>
        <v>48.935546190411145</v>
      </c>
      <c r="L119" s="107">
        <f t="shared" ca="1" si="37"/>
        <v>48.935546190411145</v>
      </c>
      <c r="M119" s="107">
        <f t="shared" ca="1" si="37"/>
        <v>48.935546190411145</v>
      </c>
      <c r="N119" s="107">
        <f t="shared" ca="1" si="37"/>
        <v>48.935546190411145</v>
      </c>
      <c r="O119" s="107">
        <f t="shared" ca="1" si="35"/>
        <v>48.935546190411145</v>
      </c>
      <c r="P119" s="107">
        <f t="shared" ca="1" si="36"/>
        <v>48.935546190411145</v>
      </c>
      <c r="Q119" s="107">
        <f t="shared" ca="1" si="36"/>
        <v>48.935546190411145</v>
      </c>
      <c r="R119" s="107">
        <f t="shared" ca="1" si="36"/>
        <v>48.935546190411145</v>
      </c>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row>
    <row r="120" spans="1:64">
      <c r="A120" s="92" t="s">
        <v>861</v>
      </c>
      <c r="B120" s="91"/>
      <c r="C120" s="91"/>
      <c r="D120" s="91"/>
      <c r="E120" s="91"/>
      <c r="F120" s="91"/>
      <c r="G120" s="333">
        <f ca="1">C25</f>
        <v>48.935546190411145</v>
      </c>
      <c r="H120" s="107">
        <f t="shared" ca="1" si="37"/>
        <v>48.935546190411145</v>
      </c>
      <c r="I120" s="107">
        <f t="shared" ca="1" si="37"/>
        <v>48.935546190411145</v>
      </c>
      <c r="J120" s="107">
        <f t="shared" ca="1" si="37"/>
        <v>48.935546190411145</v>
      </c>
      <c r="K120" s="107">
        <f t="shared" ca="1" si="38"/>
        <v>48.935546190411145</v>
      </c>
      <c r="L120" s="107">
        <f t="shared" ca="1" si="37"/>
        <v>48.935546190411145</v>
      </c>
      <c r="M120" s="107">
        <f t="shared" ca="1" si="37"/>
        <v>48.935546190411145</v>
      </c>
      <c r="N120" s="107">
        <f t="shared" ca="1" si="37"/>
        <v>48.935546190411145</v>
      </c>
      <c r="O120" s="107">
        <f t="shared" ca="1" si="35"/>
        <v>48.935546190411145</v>
      </c>
      <c r="P120" s="107">
        <f t="shared" ca="1" si="36"/>
        <v>48.935546190411145</v>
      </c>
      <c r="Q120" s="107">
        <f t="shared" ca="1" si="36"/>
        <v>48.935546190411145</v>
      </c>
      <c r="R120" s="107">
        <f t="shared" ca="1" si="36"/>
        <v>48.935546190411145</v>
      </c>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row>
    <row r="121" spans="1:64">
      <c r="A121" s="92" t="s">
        <v>862</v>
      </c>
      <c r="B121" s="91"/>
      <c r="C121" s="91"/>
      <c r="D121" s="91"/>
      <c r="E121" s="91"/>
      <c r="F121" s="91"/>
      <c r="G121" s="334">
        <f>D23</f>
        <v>6.8</v>
      </c>
      <c r="H121" s="107">
        <f t="shared" si="37"/>
        <v>6.8</v>
      </c>
      <c r="I121" s="107">
        <f t="shared" si="37"/>
        <v>6.8</v>
      </c>
      <c r="J121" s="107">
        <f t="shared" si="37"/>
        <v>6.8</v>
      </c>
      <c r="K121" s="107">
        <f t="shared" si="38"/>
        <v>6.8</v>
      </c>
      <c r="L121" s="107">
        <f t="shared" si="37"/>
        <v>6.8</v>
      </c>
      <c r="M121" s="107">
        <f t="shared" si="37"/>
        <v>6.8</v>
      </c>
      <c r="N121" s="107">
        <f t="shared" si="37"/>
        <v>6.8</v>
      </c>
      <c r="O121" s="107">
        <f t="shared" si="35"/>
        <v>6.8</v>
      </c>
      <c r="P121" s="107">
        <f t="shared" si="36"/>
        <v>6.8</v>
      </c>
      <c r="Q121" s="107">
        <f t="shared" si="36"/>
        <v>6.8</v>
      </c>
      <c r="R121" s="107">
        <f t="shared" si="36"/>
        <v>6.8</v>
      </c>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row>
    <row r="122" spans="1:64">
      <c r="A122" s="92" t="s">
        <v>863</v>
      </c>
      <c r="B122" s="91"/>
      <c r="C122" s="91"/>
      <c r="D122" s="91"/>
      <c r="E122" s="91"/>
      <c r="F122" s="91"/>
      <c r="G122" s="334">
        <f>D24</f>
        <v>6.8</v>
      </c>
      <c r="H122" s="107">
        <f t="shared" si="37"/>
        <v>6.8</v>
      </c>
      <c r="I122" s="107">
        <f t="shared" si="37"/>
        <v>6.8</v>
      </c>
      <c r="J122" s="107">
        <f t="shared" si="37"/>
        <v>6.8</v>
      </c>
      <c r="K122" s="107">
        <f t="shared" si="38"/>
        <v>6.8</v>
      </c>
      <c r="L122" s="107">
        <f t="shared" si="37"/>
        <v>6.8</v>
      </c>
      <c r="M122" s="107">
        <f t="shared" si="37"/>
        <v>6.8</v>
      </c>
      <c r="N122" s="107">
        <f t="shared" si="37"/>
        <v>6.8</v>
      </c>
      <c r="O122" s="107">
        <f t="shared" si="35"/>
        <v>6.8</v>
      </c>
      <c r="P122" s="107">
        <f t="shared" si="36"/>
        <v>6.8</v>
      </c>
      <c r="Q122" s="107">
        <f t="shared" si="36"/>
        <v>6.8</v>
      </c>
      <c r="R122" s="107">
        <f t="shared" si="36"/>
        <v>6.8</v>
      </c>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row>
    <row r="123" spans="1:64">
      <c r="A123" s="92" t="s">
        <v>864</v>
      </c>
      <c r="B123" s="91"/>
      <c r="C123" s="91"/>
      <c r="D123" s="91"/>
      <c r="E123" s="91"/>
      <c r="F123" s="91"/>
      <c r="G123" s="334">
        <f>D25</f>
        <v>6.8</v>
      </c>
      <c r="H123" s="107">
        <f t="shared" si="37"/>
        <v>6.8</v>
      </c>
      <c r="I123" s="107">
        <f t="shared" si="37"/>
        <v>6.8</v>
      </c>
      <c r="J123" s="107">
        <f t="shared" si="37"/>
        <v>6.8</v>
      </c>
      <c r="K123" s="107">
        <f t="shared" si="38"/>
        <v>6.8</v>
      </c>
      <c r="L123" s="107">
        <f t="shared" si="37"/>
        <v>6.8</v>
      </c>
      <c r="M123" s="107">
        <f t="shared" si="37"/>
        <v>6.8</v>
      </c>
      <c r="N123" s="107">
        <f t="shared" si="37"/>
        <v>6.8</v>
      </c>
      <c r="O123" s="107">
        <f t="shared" si="35"/>
        <v>6.8</v>
      </c>
      <c r="P123" s="107">
        <f t="shared" si="36"/>
        <v>6.8</v>
      </c>
      <c r="Q123" s="107">
        <f t="shared" si="36"/>
        <v>6.8</v>
      </c>
      <c r="R123" s="107">
        <f t="shared" si="36"/>
        <v>6.8</v>
      </c>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row>
    <row r="124" spans="1:64">
      <c r="A124" s="92" t="s">
        <v>865</v>
      </c>
      <c r="B124" s="91"/>
      <c r="C124" s="91"/>
      <c r="D124" s="91"/>
      <c r="E124" s="91"/>
      <c r="F124" s="91"/>
      <c r="G124" s="333">
        <f>B23</f>
        <v>12.630532000000001</v>
      </c>
      <c r="H124" s="107">
        <f t="shared" si="37"/>
        <v>12.630532000000001</v>
      </c>
      <c r="I124" s="107">
        <f t="shared" si="37"/>
        <v>12.630532000000001</v>
      </c>
      <c r="J124" s="107">
        <f t="shared" si="37"/>
        <v>12.630532000000001</v>
      </c>
      <c r="K124" s="107">
        <f t="shared" si="38"/>
        <v>12.630532000000001</v>
      </c>
      <c r="L124" s="107">
        <f t="shared" si="37"/>
        <v>12.630532000000001</v>
      </c>
      <c r="M124" s="107">
        <f t="shared" si="37"/>
        <v>12.630532000000001</v>
      </c>
      <c r="N124" s="107">
        <f t="shared" si="37"/>
        <v>12.630532000000001</v>
      </c>
      <c r="O124" s="107">
        <f t="shared" si="35"/>
        <v>12.630532000000001</v>
      </c>
      <c r="P124" s="107">
        <f t="shared" si="36"/>
        <v>12.630532000000001</v>
      </c>
      <c r="Q124" s="107">
        <f t="shared" si="36"/>
        <v>12.630532000000001</v>
      </c>
      <c r="R124" s="107">
        <f t="shared" si="36"/>
        <v>12.630532000000001</v>
      </c>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row>
    <row r="125" spans="1:64">
      <c r="A125" s="92" t="s">
        <v>866</v>
      </c>
      <c r="B125" s="91"/>
      <c r="C125" s="91"/>
      <c r="D125" s="91"/>
      <c r="E125" s="91"/>
      <c r="F125" s="91"/>
      <c r="G125" s="333">
        <f>B24</f>
        <v>0.52342299999999997</v>
      </c>
      <c r="H125" s="107">
        <f t="shared" si="37"/>
        <v>0.52342299999999997</v>
      </c>
      <c r="I125" s="107">
        <f t="shared" si="37"/>
        <v>0.52342299999999997</v>
      </c>
      <c r="J125" s="107">
        <f t="shared" si="37"/>
        <v>0.52342299999999997</v>
      </c>
      <c r="K125" s="107">
        <f t="shared" si="38"/>
        <v>0.52342299999999997</v>
      </c>
      <c r="L125" s="107">
        <f t="shared" si="37"/>
        <v>0.52342299999999997</v>
      </c>
      <c r="M125" s="107">
        <f t="shared" si="37"/>
        <v>0.52342299999999997</v>
      </c>
      <c r="N125" s="107">
        <f t="shared" si="37"/>
        <v>0.52342299999999997</v>
      </c>
      <c r="O125" s="107">
        <f t="shared" si="35"/>
        <v>0.52342299999999997</v>
      </c>
      <c r="P125" s="107">
        <f t="shared" si="36"/>
        <v>0.52342299999999997</v>
      </c>
      <c r="Q125" s="107">
        <f t="shared" si="36"/>
        <v>0.52342299999999997</v>
      </c>
      <c r="R125" s="107">
        <f t="shared" si="36"/>
        <v>0.52342299999999997</v>
      </c>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row>
    <row r="126" spans="1:64">
      <c r="A126" s="92" t="s">
        <v>867</v>
      </c>
      <c r="B126" s="91"/>
      <c r="C126" s="91"/>
      <c r="D126" s="91"/>
      <c r="E126" s="91"/>
      <c r="F126" s="91"/>
      <c r="G126" s="333">
        <f>B25</f>
        <v>30.772735999999998</v>
      </c>
      <c r="H126" s="107">
        <f t="shared" si="37"/>
        <v>30.772735999999998</v>
      </c>
      <c r="I126" s="107">
        <f t="shared" si="37"/>
        <v>30.772735999999998</v>
      </c>
      <c r="J126" s="107">
        <f t="shared" si="37"/>
        <v>30.772735999999998</v>
      </c>
      <c r="K126" s="107">
        <f t="shared" si="38"/>
        <v>30.772735999999998</v>
      </c>
      <c r="L126" s="107">
        <f t="shared" si="37"/>
        <v>30.772735999999998</v>
      </c>
      <c r="M126" s="107">
        <f t="shared" si="37"/>
        <v>30.772735999999998</v>
      </c>
      <c r="N126" s="107">
        <f t="shared" si="37"/>
        <v>30.772735999999998</v>
      </c>
      <c r="O126" s="107">
        <f t="shared" si="35"/>
        <v>30.772735999999998</v>
      </c>
      <c r="P126" s="107">
        <f t="shared" si="36"/>
        <v>30.772735999999998</v>
      </c>
      <c r="Q126" s="107">
        <f t="shared" si="36"/>
        <v>30.772735999999998</v>
      </c>
      <c r="R126" s="107">
        <f t="shared" si="36"/>
        <v>30.772735999999998</v>
      </c>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row>
    <row r="129" spans="1:64">
      <c r="A129" s="92" t="s">
        <v>647</v>
      </c>
      <c r="B129" s="116"/>
      <c r="C129" s="116">
        <f>LiLAC!L109</f>
        <v>1004.4905391994707</v>
      </c>
      <c r="D129" s="116">
        <f>LiLAC!M109</f>
        <v>1085.532081602435</v>
      </c>
      <c r="E129" s="116">
        <f>LiLAC!N109</f>
        <v>1288.218266222626</v>
      </c>
      <c r="F129" s="116">
        <f>LiLAC!O109</f>
        <v>1203.8503679304786</v>
      </c>
      <c r="G129" s="116">
        <f>LiLAC!P109</f>
        <v>1212.5333333333333</v>
      </c>
      <c r="H129" s="116">
        <f>LiLAC!Q109</f>
        <v>1279.4090119933155</v>
      </c>
      <c r="I129" s="116">
        <f>LiLAC!R109</f>
        <v>1272.9112207151666</v>
      </c>
      <c r="J129" s="116">
        <f>LiLAC!S109</f>
        <v>1335.7165766952999</v>
      </c>
      <c r="K129" s="116">
        <f ca="1">LiLAC!T109</f>
        <v>1359.4065288314603</v>
      </c>
      <c r="L129" s="116">
        <f ca="1">LiLAC!U109</f>
        <v>1296.7399477283195</v>
      </c>
      <c r="M129" s="116">
        <f ca="1">LiLAC!V109</f>
        <v>1382.1592910461954</v>
      </c>
      <c r="N129" s="116">
        <f ca="1">LiLAC!W109</f>
        <v>1301.0411611961185</v>
      </c>
      <c r="O129" s="116">
        <f ca="1">LiLAC!X109</f>
        <v>1432.2297683022516</v>
      </c>
      <c r="P129" s="116">
        <f ca="1">LiLAC!Y109</f>
        <v>1466.5088123647542</v>
      </c>
      <c r="Q129" s="116">
        <f ca="1">LiLAC!Z109</f>
        <v>1516.9878285164214</v>
      </c>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row>
    <row r="130" spans="1:64">
      <c r="A130" s="92" t="s">
        <v>8</v>
      </c>
      <c r="B130" s="116"/>
      <c r="C130" s="116">
        <f>LiLAC!L115</f>
        <v>381.91438967912671</v>
      </c>
      <c r="D130" s="116">
        <f>LiLAC!M115</f>
        <v>366.31257763336492</v>
      </c>
      <c r="E130" s="116">
        <f>LiLAC!N115</f>
        <v>460.3124129579171</v>
      </c>
      <c r="F130" s="116">
        <f>LiLAC!O115</f>
        <v>477.08272478800194</v>
      </c>
      <c r="G130" s="116">
        <f>LiLAC!P115</f>
        <v>492.17960426179599</v>
      </c>
      <c r="H130" s="116">
        <f>LiLAC!Q115</f>
        <v>537.60007689918814</v>
      </c>
      <c r="I130" s="116">
        <f>LiLAC!R115</f>
        <v>515.55240443896423</v>
      </c>
      <c r="J130" s="116">
        <f>LiLAC!S115</f>
        <v>540.22816630963553</v>
      </c>
      <c r="K130" s="116">
        <f ca="1">LiLAC!T115</f>
        <v>566.17238427977122</v>
      </c>
      <c r="L130" s="116">
        <f ca="1">LiLAC!U115</f>
        <v>542.78369508242281</v>
      </c>
      <c r="M130" s="116">
        <f ca="1">LiLAC!V115</f>
        <v>583.60429486547662</v>
      </c>
      <c r="N130" s="116">
        <f ca="1">LiLAC!W115</f>
        <v>556.32156457448002</v>
      </c>
      <c r="O130" s="116">
        <f ca="1">LiLAC!X115</f>
        <v>612.0738014939343</v>
      </c>
      <c r="P130" s="116">
        <f ca="1">LiLAC!Y115</f>
        <v>628.00332144745948</v>
      </c>
      <c r="Q130" s="116">
        <f ca="1">LiLAC!Z115</f>
        <v>650.61365950679999</v>
      </c>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row>
    <row r="131" spans="1:64">
      <c r="A131" s="92" t="s">
        <v>19</v>
      </c>
      <c r="B131" s="116"/>
      <c r="C131" s="116">
        <f>LiLAC!L118</f>
        <v>0</v>
      </c>
      <c r="D131" s="116">
        <f>LiLAC!M118</f>
        <v>269.19678772673058</v>
      </c>
      <c r="E131" s="116">
        <f>LiLAC!N118</f>
        <v>253.30630739731555</v>
      </c>
      <c r="F131" s="116">
        <f>LiLAC!O118</f>
        <v>256.10397364916952</v>
      </c>
      <c r="G131" s="116">
        <f>LiLAC!P118</f>
        <v>224.8275494672755</v>
      </c>
      <c r="H131" s="116">
        <f>LiLAC!Q118</f>
        <v>286.20563138669939</v>
      </c>
      <c r="I131" s="116">
        <f>LiLAC!R118</f>
        <v>344.54623921085084</v>
      </c>
      <c r="J131" s="116">
        <f>LiLAC!S118</f>
        <v>368.14695681374383</v>
      </c>
      <c r="K131" s="116">
        <f ca="1">LiLAC!T118</f>
        <v>289.3751385858975</v>
      </c>
      <c r="L131" s="116">
        <f ca="1">LiLAC!U118</f>
        <v>255.37372365336742</v>
      </c>
      <c r="M131" s="116">
        <f ca="1">LiLAC!V118</f>
        <v>262.61026529877711</v>
      </c>
      <c r="N131" s="116">
        <f ca="1">LiLAC!W118</f>
        <v>242.1934187857367</v>
      </c>
      <c r="O131" s="116">
        <f ca="1">LiLAC!X118</f>
        <v>265.91422245926196</v>
      </c>
      <c r="P131" s="116">
        <f ca="1">LiLAC!Y118</f>
        <v>271.26552969551733</v>
      </c>
      <c r="Q131" s="116">
        <f ca="1">LiLAC!Z118</f>
        <v>279.57563209749225</v>
      </c>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row>
    <row r="132" spans="1:64">
      <c r="A132" s="92" t="s">
        <v>27</v>
      </c>
      <c r="B132" s="116"/>
      <c r="C132" s="116">
        <f>LiLAC!L120</f>
        <v>381.91438967912671</v>
      </c>
      <c r="D132" s="116">
        <f>LiLAC!M120</f>
        <v>97.115789906634348</v>
      </c>
      <c r="E132" s="116">
        <f>LiLAC!N120</f>
        <v>207.00610556060155</v>
      </c>
      <c r="F132" s="116">
        <f>LiLAC!O120</f>
        <v>220.97875113883242</v>
      </c>
      <c r="G132" s="116">
        <f>LiLAC!P120</f>
        <v>267.35205479452048</v>
      </c>
      <c r="H132" s="116">
        <f>LiLAC!Q120</f>
        <v>251.39444551248874</v>
      </c>
      <c r="I132" s="116">
        <f>LiLAC!R120</f>
        <v>171.00616522811339</v>
      </c>
      <c r="J132" s="116">
        <f>LiLAC!S120</f>
        <v>172.0812094958917</v>
      </c>
      <c r="K132" s="116">
        <f ca="1">LiLAC!T120</f>
        <v>276.79724569387372</v>
      </c>
      <c r="L132" s="116">
        <f ca="1">LiLAC!U120</f>
        <v>287.40997142905542</v>
      </c>
      <c r="M132" s="116">
        <f ca="1">LiLAC!V120</f>
        <v>320.99402956669951</v>
      </c>
      <c r="N132" s="116">
        <f ca="1">LiLAC!W120</f>
        <v>314.12814578874332</v>
      </c>
      <c r="O132" s="116">
        <f ca="1">LiLAC!X120</f>
        <v>346.15957903467233</v>
      </c>
      <c r="P132" s="116">
        <f ca="1">LiLAC!Y120</f>
        <v>356.73779175194215</v>
      </c>
      <c r="Q132" s="116">
        <f ca="1">LiLAC!Z120</f>
        <v>371.03802740930774</v>
      </c>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row>
    <row r="133" spans="1:64">
      <c r="A133" s="92" t="s">
        <v>868</v>
      </c>
      <c r="B133" s="116"/>
      <c r="C133" s="116">
        <v>290.2549361561363</v>
      </c>
      <c r="D133" s="116">
        <v>73.808000329042102</v>
      </c>
      <c r="E133" s="116">
        <v>157.32464022605717</v>
      </c>
      <c r="F133" s="116">
        <v>167.94385086551264</v>
      </c>
      <c r="G133" s="116">
        <v>203.18756164383558</v>
      </c>
      <c r="H133" s="116">
        <v>191.05977858949146</v>
      </c>
      <c r="I133" s="116">
        <v>129.96468557336618</v>
      </c>
      <c r="J133" s="116">
        <v>130.78171921687769</v>
      </c>
      <c r="K133" s="116">
        <v>210.36590672734403</v>
      </c>
      <c r="L133" s="116">
        <v>218.43157828608213</v>
      </c>
      <c r="M133" s="116">
        <v>243.95546247069163</v>
      </c>
      <c r="N133" s="116">
        <v>238.73739079944494</v>
      </c>
      <c r="O133" s="116">
        <v>263.08128006635098</v>
      </c>
      <c r="P133" s="116">
        <v>271.12072173147607</v>
      </c>
      <c r="Q133" s="116">
        <v>281.98890083107386</v>
      </c>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row>
    <row r="134" spans="1:64">
      <c r="A134" s="92" t="s">
        <v>869</v>
      </c>
      <c r="B134" s="116"/>
      <c r="C134" s="116"/>
      <c r="D134" s="116">
        <f>LiLAC!M195</f>
        <v>46.775951137251752</v>
      </c>
      <c r="E134" s="116">
        <f>LiLAC!N195</f>
        <v>158.30977898879814</v>
      </c>
      <c r="F134" s="116">
        <f>LiLAC!O195</f>
        <v>77.311906931109377</v>
      </c>
      <c r="G134" s="116">
        <f>LiLAC!P195</f>
        <v>32.192939193302834</v>
      </c>
      <c r="H134" s="116">
        <f>LiLAC!Q195</f>
        <v>-47.298462277402507</v>
      </c>
      <c r="I134" s="116">
        <f>LiLAC!R195</f>
        <v>-115.81461467033324</v>
      </c>
      <c r="J134" s="116">
        <f>LiLAC!S195</f>
        <v>-123.91360055655517</v>
      </c>
      <c r="K134" s="116">
        <f ca="1">LiLAC!T195</f>
        <v>-17.75959124364806</v>
      </c>
      <c r="L134" s="116">
        <f ca="1">LiLAC!U195</f>
        <v>26.286096520408734</v>
      </c>
      <c r="M134" s="116">
        <f ca="1">LiLAC!V195</f>
        <v>42.870114507261633</v>
      </c>
      <c r="N134" s="116">
        <f ca="1">LiLAC!W195</f>
        <v>57.799132890816452</v>
      </c>
      <c r="O134" s="116">
        <f ca="1">LiLAC!X195</f>
        <v>74.991414217334636</v>
      </c>
      <c r="P134" s="116">
        <f ca="1">LiLAC!Y195</f>
        <v>117.54956790629484</v>
      </c>
      <c r="Q134" s="116">
        <f ca="1">LiLAC!Z195</f>
        <v>136.25772520077317</v>
      </c>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row>
    <row r="135" spans="1:64">
      <c r="A135" s="92" t="s">
        <v>228</v>
      </c>
      <c r="B135" s="116"/>
      <c r="C135" s="116"/>
      <c r="D135" s="116">
        <f>LiLAC!M189</f>
        <v>94.911380742812568</v>
      </c>
      <c r="E135" s="116">
        <f>LiLAC!N189</f>
        <v>68.091421939650829</v>
      </c>
      <c r="F135" s="116">
        <f>LiLAC!O189</f>
        <v>116.73712944144647</v>
      </c>
      <c r="G135" s="116">
        <f>LiLAC!P189</f>
        <v>52.176805251141509</v>
      </c>
      <c r="H135" s="116">
        <f>LiLAC!Q189</f>
        <v>38.067461030445671</v>
      </c>
      <c r="I135" s="116">
        <f>LiLAC!R189</f>
        <v>22.106593714377013</v>
      </c>
      <c r="J135" s="116">
        <f>LiLAC!S189</f>
        <v>36.134779556315031</v>
      </c>
      <c r="K135" s="116">
        <f ca="1">LiLAC!T189</f>
        <v>75.994352463159856</v>
      </c>
      <c r="L135" s="116">
        <f ca="1">LiLAC!U189</f>
        <v>100.84062825458426</v>
      </c>
      <c r="M135" s="116">
        <f ca="1">LiLAC!V189</f>
        <v>119.89838243415966</v>
      </c>
      <c r="N135" s="116">
        <f ca="1">LiLAC!W189</f>
        <v>130.02153220347179</v>
      </c>
      <c r="O135" s="116">
        <f ca="1">LiLAC!X189</f>
        <v>161.11076809086447</v>
      </c>
      <c r="P135" s="116">
        <f ca="1">LiLAC!Y189</f>
        <v>210.73507294089973</v>
      </c>
      <c r="Q135" s="116">
        <f ca="1">LiLAC!Z189</f>
        <v>237.75333263735297</v>
      </c>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row>
    <row r="138" spans="1:64">
      <c r="A138" s="130" t="s">
        <v>870</v>
      </c>
    </row>
    <row r="139" spans="1:64">
      <c r="A139" s="92" t="s">
        <v>871</v>
      </c>
      <c r="G139" s="116">
        <f>G121*G124+G122*G125+G123*G126</f>
        <v>298.70149879999997</v>
      </c>
      <c r="H139" s="116">
        <f t="shared" ref="H139:N139" si="39">H121*H124+H122*H125+H123*H126</f>
        <v>298.70149879999997</v>
      </c>
      <c r="I139" s="116">
        <f t="shared" si="39"/>
        <v>298.70149879999997</v>
      </c>
      <c r="J139" s="116">
        <f t="shared" si="39"/>
        <v>298.70149879999997</v>
      </c>
      <c r="K139" s="116">
        <f t="shared" si="39"/>
        <v>298.70149879999997</v>
      </c>
      <c r="L139" s="116">
        <f t="shared" si="39"/>
        <v>298.70149879999997</v>
      </c>
      <c r="M139" s="116">
        <f>M121*M124+M122*M125+M123*M126</f>
        <v>298.70149879999997</v>
      </c>
      <c r="N139" s="116">
        <f t="shared" si="39"/>
        <v>298.70149879999997</v>
      </c>
      <c r="O139" s="116">
        <f>O121*O124+O122*O125+O123*O126</f>
        <v>298.70149879999997</v>
      </c>
      <c r="P139" s="116">
        <f>P121*P124+P122*P125+P123*P126</f>
        <v>298.70149879999997</v>
      </c>
      <c r="Q139" s="116">
        <f>Q121*Q124+Q122*Q125+Q123*Q126</f>
        <v>298.70149879999997</v>
      </c>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row>
    <row r="140" spans="1:64">
      <c r="A140" s="92" t="s">
        <v>115</v>
      </c>
      <c r="G140" s="116">
        <f>N207</f>
        <v>2072.2000000000003</v>
      </c>
      <c r="H140" s="116">
        <f>LiLAC!Q218</f>
        <v>2187.7453680660878</v>
      </c>
      <c r="I140" s="116">
        <f ca="1">LiLAC!R218</f>
        <v>2404.3460086405676</v>
      </c>
      <c r="J140" s="116">
        <f ca="1">LiLAC!S218</f>
        <v>2517.7513008695528</v>
      </c>
      <c r="K140" s="116">
        <f ca="1">LiLAC!T218</f>
        <v>2425.6031483225202</v>
      </c>
      <c r="L140" s="116">
        <f ca="1">LiLAC!U218</f>
        <v>2193.317622947553</v>
      </c>
      <c r="M140" s="116">
        <f ca="1">LiLAC!V218</f>
        <v>2213.7989187711723</v>
      </c>
      <c r="N140" s="116">
        <f ca="1">LiLAC!W218</f>
        <v>1974.6954358041148</v>
      </c>
      <c r="O140" s="116">
        <f ca="1">LiLAC!X218</f>
        <v>1992.6483583876432</v>
      </c>
      <c r="P140" s="116">
        <f ca="1">LiLAC!Y218</f>
        <v>1866.8289338443956</v>
      </c>
      <c r="Q140" s="116">
        <f ca="1">LiLAC!Z218</f>
        <v>1691.5588885182278</v>
      </c>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row>
    <row r="141" spans="1:64">
      <c r="A141" s="92" t="s">
        <v>872</v>
      </c>
      <c r="G141" s="116">
        <f>-LiLAC!P162</f>
        <v>87.976580207601543</v>
      </c>
      <c r="H141" s="116">
        <f>-LiLAC!Q162</f>
        <v>82.958987661718439</v>
      </c>
      <c r="I141" s="116">
        <f>-LiLAC!R162</f>
        <v>77.270198822715301</v>
      </c>
      <c r="J141" s="116">
        <f>-LiLAC!S162</f>
        <v>70.854672342659939</v>
      </c>
      <c r="K141" s="116">
        <f>-LiLAC!T162</f>
        <v>63.652793061960836</v>
      </c>
      <c r="L141" s="116">
        <f>-LiLAC!U162</f>
        <v>55.600586080174175</v>
      </c>
      <c r="M141" s="116">
        <f>-LiLAC!V162</f>
        <v>46.629411116326025</v>
      </c>
      <c r="N141" s="116">
        <f>-LiLAC!W162</f>
        <v>36.665635810417193</v>
      </c>
      <c r="O141" s="116">
        <f>-LiLAC!X162</f>
        <v>25.630286525851997</v>
      </c>
      <c r="P141" s="116">
        <f>-LiLAC!Y162</f>
        <v>13.438675114346152</v>
      </c>
      <c r="Q141" s="116">
        <f>-LiLAC!Z162</f>
        <v>0</v>
      </c>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row>
    <row r="142" spans="1:64">
      <c r="A142" s="92" t="s">
        <v>873</v>
      </c>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row>
    <row r="143" spans="1:64">
      <c r="A143" s="92" t="s">
        <v>874</v>
      </c>
      <c r="G143" s="116">
        <f ca="1">$J$9</f>
        <v>157.20110919693175</v>
      </c>
      <c r="H143" s="116">
        <f ca="1">G143</f>
        <v>157.20110919693175</v>
      </c>
      <c r="I143" s="116">
        <f t="shared" ref="I143:N143" ca="1" si="40">H143</f>
        <v>157.20110919693175</v>
      </c>
      <c r="J143" s="116">
        <f t="shared" ca="1" si="40"/>
        <v>157.20110919693175</v>
      </c>
      <c r="K143" s="116">
        <f ca="1">J143</f>
        <v>157.20110919693175</v>
      </c>
      <c r="L143" s="116">
        <f t="shared" ca="1" si="40"/>
        <v>157.20110919693175</v>
      </c>
      <c r="M143" s="116">
        <f t="shared" ca="1" si="40"/>
        <v>157.20110919693175</v>
      </c>
      <c r="N143" s="116">
        <f t="shared" ca="1" si="40"/>
        <v>157.20110919693175</v>
      </c>
      <c r="O143" s="116">
        <f ca="1">N143</f>
        <v>157.20110919693175</v>
      </c>
      <c r="P143" s="116">
        <f ca="1">O143</f>
        <v>157.20110919693175</v>
      </c>
      <c r="Q143" s="116">
        <f ca="1">P143</f>
        <v>157.20110919693175</v>
      </c>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row>
    <row r="144" spans="1:64">
      <c r="A144" s="92" t="s">
        <v>875</v>
      </c>
      <c r="B144" s="175"/>
      <c r="C144" s="175"/>
      <c r="D144" s="175"/>
      <c r="E144" s="175"/>
      <c r="F144" s="175"/>
      <c r="G144" s="133">
        <f ca="1">-LiLAC!P203</f>
        <v>-53.357862131569867</v>
      </c>
      <c r="H144" s="133">
        <f ca="1">-LiLAC!Q203</f>
        <v>-31.492576756516623</v>
      </c>
      <c r="I144" s="133">
        <f ca="1">-LiLAC!R203</f>
        <v>-32.082820061461078</v>
      </c>
      <c r="J144" s="133">
        <f ca="1">-LiLAC!S203</f>
        <v>-32.378868195634233</v>
      </c>
      <c r="K144" s="133">
        <f ca="1">-LiLAC!T203</f>
        <v>-17.321090810969999</v>
      </c>
      <c r="L144" s="133">
        <f ca="1">-LiLAC!U203</f>
        <v>-18.498924986115959</v>
      </c>
      <c r="M144" s="133">
        <f>-LiLAC!V203</f>
        <v>0</v>
      </c>
      <c r="N144" s="133">
        <f>-LiLAC!W203</f>
        <v>0</v>
      </c>
      <c r="O144" s="133">
        <f>-LiLAC!X203</f>
        <v>0</v>
      </c>
      <c r="P144" s="133">
        <f>-LiLAC!Y203</f>
        <v>0</v>
      </c>
      <c r="Q144" s="133">
        <f>-LiLAC!Z203</f>
        <v>0</v>
      </c>
      <c r="R144" s="133"/>
      <c r="S144" s="133"/>
      <c r="T144" s="133"/>
      <c r="U144" s="133"/>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row>
    <row r="145" spans="1:64">
      <c r="A145" s="92" t="s">
        <v>876</v>
      </c>
      <c r="G145" s="116">
        <f ca="1">SUM(G139:G144)</f>
        <v>2562.7213260729636</v>
      </c>
      <c r="H145" s="116">
        <f t="shared" ref="H145:N145" ca="1" si="41">SUM(H139:H144)</f>
        <v>2695.1143869682214</v>
      </c>
      <c r="I145" s="116">
        <f t="shared" ca="1" si="41"/>
        <v>2905.4359953987537</v>
      </c>
      <c r="J145" s="116">
        <f t="shared" ca="1" si="41"/>
        <v>3012.1297130135099</v>
      </c>
      <c r="K145" s="116">
        <f t="shared" ca="1" si="41"/>
        <v>2927.8374585704428</v>
      </c>
      <c r="L145" s="116">
        <f t="shared" ca="1" si="41"/>
        <v>2686.321892038543</v>
      </c>
      <c r="M145" s="116">
        <f ca="1">SUM(M139:M144)</f>
        <v>2716.3309378844301</v>
      </c>
      <c r="N145" s="116">
        <f t="shared" ca="1" si="41"/>
        <v>2467.2636796114639</v>
      </c>
      <c r="O145" s="116">
        <f ca="1">SUM(O139:O144)</f>
        <v>2474.1812529104268</v>
      </c>
      <c r="P145" s="116">
        <f ca="1">SUM(P139:P144)</f>
        <v>2336.1702169556734</v>
      </c>
      <c r="Q145" s="116">
        <f ca="1">SUM(Q139:Q144)</f>
        <v>2147.4614965151595</v>
      </c>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row>
    <row r="146" spans="1:64">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row>
    <row r="147" spans="1:64">
      <c r="A147" s="92" t="s">
        <v>877</v>
      </c>
      <c r="G147" s="116">
        <f ca="1">G139+G144</f>
        <v>245.34363666843009</v>
      </c>
      <c r="H147" s="116">
        <f t="shared" ref="H147:N147" ca="1" si="42">H139+H144</f>
        <v>267.20892204348337</v>
      </c>
      <c r="I147" s="116">
        <f t="shared" ca="1" si="42"/>
        <v>266.6186787385389</v>
      </c>
      <c r="J147" s="116">
        <f t="shared" ca="1" si="42"/>
        <v>266.32263060436571</v>
      </c>
      <c r="K147" s="116">
        <f t="shared" ca="1" si="42"/>
        <v>281.38040798902995</v>
      </c>
      <c r="L147" s="116">
        <f t="shared" ca="1" si="42"/>
        <v>280.20257381388399</v>
      </c>
      <c r="M147" s="116">
        <f>M139+M144</f>
        <v>298.70149879999997</v>
      </c>
      <c r="N147" s="116">
        <f t="shared" si="42"/>
        <v>298.70149879999997</v>
      </c>
      <c r="O147" s="116">
        <f>O139+O144</f>
        <v>298.70149879999997</v>
      </c>
      <c r="P147" s="116">
        <f>P139+P144</f>
        <v>298.70149879999997</v>
      </c>
      <c r="Q147" s="116">
        <f>Q139+Q144</f>
        <v>298.70149879999997</v>
      </c>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row>
    <row r="149" spans="1:64">
      <c r="A149" s="130" t="s">
        <v>878</v>
      </c>
    </row>
    <row r="150" spans="1:64">
      <c r="A150" s="92" t="s">
        <v>871</v>
      </c>
      <c r="G150" s="116">
        <f ca="1">G118*G124+G119*G125+G120*G126</f>
        <v>2149.5766164224174</v>
      </c>
      <c r="H150" s="116">
        <f t="shared" ref="H150:N150" ca="1" si="43">H118*H124+H119*H125+H120*H126</f>
        <v>2149.5766164224174</v>
      </c>
      <c r="I150" s="116">
        <f t="shared" ca="1" si="43"/>
        <v>2149.5766164224174</v>
      </c>
      <c r="J150" s="116">
        <f t="shared" ca="1" si="43"/>
        <v>2149.5766164224174</v>
      </c>
      <c r="K150" s="116">
        <f t="shared" ca="1" si="43"/>
        <v>2149.5766164224174</v>
      </c>
      <c r="L150" s="116">
        <f t="shared" ca="1" si="43"/>
        <v>2149.5766164224174</v>
      </c>
      <c r="M150" s="116">
        <f ca="1">M118*M124+M119*M125+M120*M126</f>
        <v>2149.5766164224174</v>
      </c>
      <c r="N150" s="116">
        <f t="shared" ca="1" si="43"/>
        <v>2149.5766164224174</v>
      </c>
      <c r="O150" s="116">
        <f ca="1">O118*O124+O119*O125+O120*O126</f>
        <v>2149.5766164224174</v>
      </c>
      <c r="P150" s="116">
        <f ca="1">P118*P124+P119*P125+P120*P126</f>
        <v>2149.5766164224174</v>
      </c>
      <c r="Q150" s="116">
        <f ca="1">Q118*Q124+Q119*Q125+Q120*Q126</f>
        <v>2149.5766164224174</v>
      </c>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row>
    <row r="151" spans="1:64">
      <c r="A151" s="92" t="s">
        <v>115</v>
      </c>
      <c r="G151" s="116">
        <f>LiLAC!P216</f>
        <v>2000.5571643556539</v>
      </c>
      <c r="H151" s="116">
        <f>LiLAC!Q216</f>
        <v>2187.7453680660878</v>
      </c>
      <c r="I151" s="116">
        <f ca="1">LiLAC!R216</f>
        <v>2404.3460086405676</v>
      </c>
      <c r="J151" s="116">
        <f ca="1">LiLAC!S216</f>
        <v>2517.7513008695528</v>
      </c>
      <c r="K151" s="116">
        <f ca="1">LiLAC!T216</f>
        <v>2425.6031483225202</v>
      </c>
      <c r="L151" s="116">
        <f ca="1">LiLAC!U216</f>
        <v>2193.317622947553</v>
      </c>
      <c r="M151" s="116">
        <f ca="1">LiLAC!V216</f>
        <v>2213.7989187711723</v>
      </c>
      <c r="N151" s="116">
        <f ca="1">LiLAC!W216</f>
        <v>1974.6954358041148</v>
      </c>
      <c r="O151" s="116">
        <f ca="1">LiLAC!X216</f>
        <v>1992.6483583876432</v>
      </c>
      <c r="P151" s="116">
        <f ca="1">LiLAC!Y216</f>
        <v>1866.8289338443956</v>
      </c>
      <c r="Q151" s="116">
        <f ca="1">LiLAC!Z216</f>
        <v>1691.5588885182278</v>
      </c>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row>
    <row r="152" spans="1:64">
      <c r="A152" s="92" t="s">
        <v>872</v>
      </c>
      <c r="G152" s="116">
        <f>+G141</f>
        <v>87.976580207601543</v>
      </c>
      <c r="H152" s="116">
        <f t="shared" ref="H152:N152" si="44">+H141</f>
        <v>82.958987661718439</v>
      </c>
      <c r="I152" s="116">
        <f t="shared" si="44"/>
        <v>77.270198822715301</v>
      </c>
      <c r="J152" s="116">
        <f t="shared" si="44"/>
        <v>70.854672342659939</v>
      </c>
      <c r="K152" s="116">
        <f t="shared" si="44"/>
        <v>63.652793061960836</v>
      </c>
      <c r="L152" s="116">
        <f t="shared" si="44"/>
        <v>55.600586080174175</v>
      </c>
      <c r="M152" s="116">
        <f>+M141</f>
        <v>46.629411116326025</v>
      </c>
      <c r="N152" s="116">
        <f t="shared" si="44"/>
        <v>36.665635810417193</v>
      </c>
      <c r="O152" s="116">
        <f>+O141</f>
        <v>25.630286525851997</v>
      </c>
      <c r="P152" s="116">
        <f>+P141</f>
        <v>13.438675114346152</v>
      </c>
      <c r="Q152" s="116">
        <f>+Q141</f>
        <v>0</v>
      </c>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row>
    <row r="153" spans="1:64">
      <c r="A153" s="92" t="s">
        <v>873</v>
      </c>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row>
    <row r="154" spans="1:64">
      <c r="A154" s="92" t="s">
        <v>874</v>
      </c>
      <c r="G154" s="116">
        <f ca="1">$J$9</f>
        <v>157.20110919693175</v>
      </c>
      <c r="H154" s="116">
        <f ca="1">G154</f>
        <v>157.20110919693175</v>
      </c>
      <c r="I154" s="116">
        <f t="shared" ref="I154:N154" ca="1" si="45">H154</f>
        <v>157.20110919693175</v>
      </c>
      <c r="J154" s="116">
        <f t="shared" ca="1" si="45"/>
        <v>157.20110919693175</v>
      </c>
      <c r="K154" s="116">
        <f ca="1">J154</f>
        <v>157.20110919693175</v>
      </c>
      <c r="L154" s="116">
        <f t="shared" ca="1" si="45"/>
        <v>157.20110919693175</v>
      </c>
      <c r="M154" s="116">
        <f t="shared" ca="1" si="45"/>
        <v>157.20110919693175</v>
      </c>
      <c r="N154" s="116">
        <f t="shared" ca="1" si="45"/>
        <v>157.20110919693175</v>
      </c>
      <c r="O154" s="116">
        <f ca="1">N154</f>
        <v>157.20110919693175</v>
      </c>
      <c r="P154" s="116">
        <f ca="1">O154</f>
        <v>157.20110919693175</v>
      </c>
      <c r="Q154" s="116">
        <f ca="1">P154</f>
        <v>157.20110919693175</v>
      </c>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row>
    <row r="155" spans="1:64">
      <c r="A155" s="92" t="s">
        <v>875</v>
      </c>
      <c r="B155" s="175"/>
      <c r="C155" s="175"/>
      <c r="D155" s="175"/>
      <c r="E155" s="175"/>
      <c r="F155" s="175"/>
      <c r="G155" s="133">
        <f ca="1">-LiLAC!P203</f>
        <v>-53.357862131569867</v>
      </c>
      <c r="H155" s="133">
        <f ca="1">-LiLAC!Q203</f>
        <v>-31.492576756516623</v>
      </c>
      <c r="I155" s="133">
        <f ca="1">-LiLAC!R203</f>
        <v>-32.082820061461078</v>
      </c>
      <c r="J155" s="133">
        <f ca="1">-LiLAC!S203</f>
        <v>-32.378868195634233</v>
      </c>
      <c r="K155" s="133">
        <f ca="1">-LiLAC!T203</f>
        <v>-17.321090810969999</v>
      </c>
      <c r="L155" s="133">
        <f ca="1">-LiLAC!U203</f>
        <v>-18.498924986115959</v>
      </c>
      <c r="M155" s="133">
        <f>-LiLAC!V203</f>
        <v>0</v>
      </c>
      <c r="N155" s="133">
        <f>-LiLAC!W203</f>
        <v>0</v>
      </c>
      <c r="O155" s="133">
        <f>-LiLAC!X203</f>
        <v>0</v>
      </c>
      <c r="P155" s="133">
        <f>-LiLAC!Y203</f>
        <v>0</v>
      </c>
      <c r="Q155" s="133">
        <f>-LiLAC!Z203</f>
        <v>0</v>
      </c>
      <c r="R155" s="133"/>
      <c r="S155" s="133"/>
      <c r="T155" s="133"/>
      <c r="U155" s="133"/>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row>
    <row r="156" spans="1:64">
      <c r="A156" s="92" t="s">
        <v>1313</v>
      </c>
      <c r="G156" s="116">
        <f ca="1">SUM(G150:G155)</f>
        <v>4341.9536080510343</v>
      </c>
      <c r="H156" s="116">
        <f t="shared" ref="H156:N156" ca="1" si="46">SUM(H150:H155)</f>
        <v>4545.9895045906387</v>
      </c>
      <c r="I156" s="116">
        <f t="shared" ca="1" si="46"/>
        <v>4756.311113021171</v>
      </c>
      <c r="J156" s="116">
        <f t="shared" ca="1" si="46"/>
        <v>4863.0048306359276</v>
      </c>
      <c r="K156" s="116">
        <f t="shared" ca="1" si="46"/>
        <v>4778.7125761928592</v>
      </c>
      <c r="L156" s="116">
        <f t="shared" ca="1" si="46"/>
        <v>4537.1970096609612</v>
      </c>
      <c r="M156" s="116">
        <f ca="1">SUM(M150:M155)</f>
        <v>4567.2060555068474</v>
      </c>
      <c r="N156" s="116">
        <f t="shared" ca="1" si="46"/>
        <v>4318.1387972338807</v>
      </c>
      <c r="O156" s="116">
        <f ca="1">SUM(O150:O155)</f>
        <v>4325.0563705328441</v>
      </c>
      <c r="P156" s="116">
        <f ca="1">SUM(P150:P155)</f>
        <v>4187.0453345780907</v>
      </c>
      <c r="Q156" s="116">
        <f ca="1">SUM(Q150:Q155)</f>
        <v>3998.3366141375768</v>
      </c>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row>
    <row r="158" spans="1:64">
      <c r="A158" s="92" t="s">
        <v>877</v>
      </c>
      <c r="G158" s="116">
        <f ca="1">G150+G155</f>
        <v>2096.2187542908473</v>
      </c>
      <c r="H158" s="116">
        <f t="shared" ref="H158:N158" ca="1" si="47">H150+H155</f>
        <v>2118.0840396659009</v>
      </c>
      <c r="I158" s="116">
        <f t="shared" ca="1" si="47"/>
        <v>2117.4937963609564</v>
      </c>
      <c r="J158" s="116">
        <f t="shared" ca="1" si="47"/>
        <v>2117.197748226783</v>
      </c>
      <c r="K158" s="116">
        <f t="shared" ca="1" si="47"/>
        <v>2132.2555256114474</v>
      </c>
      <c r="L158" s="116">
        <f t="shared" ca="1" si="47"/>
        <v>2131.0776914363014</v>
      </c>
      <c r="M158" s="116">
        <f ca="1">M150+M155</f>
        <v>2149.5766164224174</v>
      </c>
      <c r="N158" s="116">
        <f t="shared" ca="1" si="47"/>
        <v>2149.5766164224174</v>
      </c>
      <c r="O158" s="116">
        <f ca="1">O150+O155</f>
        <v>2149.5766164224174</v>
      </c>
      <c r="P158" s="116">
        <f ca="1">P150+P155</f>
        <v>2149.5766164224174</v>
      </c>
      <c r="Q158" s="116">
        <f ca="1">Q150+Q155</f>
        <v>2149.5766164224174</v>
      </c>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row>
    <row r="160" spans="1:64">
      <c r="A160" s="303" t="s">
        <v>879</v>
      </c>
      <c r="K160" s="92">
        <v>136.4</v>
      </c>
    </row>
    <row r="161" spans="1:79">
      <c r="K161" s="92">
        <v>46.6</v>
      </c>
    </row>
    <row r="162" spans="1:79">
      <c r="K162" s="236">
        <f>K163-K160-K161</f>
        <v>0.80000000000000426</v>
      </c>
    </row>
    <row r="163" spans="1:79">
      <c r="A163" s="303" t="s">
        <v>880</v>
      </c>
      <c r="J163" s="236">
        <f>J166-J167</f>
        <v>179.41017274779466</v>
      </c>
      <c r="K163" s="236">
        <f>K166-K167</f>
        <v>183.8</v>
      </c>
    </row>
    <row r="164" spans="1:79">
      <c r="A164" s="335"/>
      <c r="J164" s="236"/>
      <c r="K164" s="236"/>
    </row>
    <row r="165" spans="1:79">
      <c r="A165" s="175" t="s">
        <v>881</v>
      </c>
      <c r="B165" s="336" t="s">
        <v>548</v>
      </c>
      <c r="C165" s="336" t="s">
        <v>549</v>
      </c>
      <c r="D165" s="336" t="s">
        <v>550</v>
      </c>
      <c r="E165" s="336" t="s">
        <v>551</v>
      </c>
      <c r="F165" s="336" t="s">
        <v>552</v>
      </c>
      <c r="G165" s="336" t="s">
        <v>553</v>
      </c>
      <c r="H165" s="336" t="s">
        <v>554</v>
      </c>
      <c r="I165" s="336" t="s">
        <v>555</v>
      </c>
      <c r="J165" s="336" t="s">
        <v>556</v>
      </c>
      <c r="K165" s="336" t="s">
        <v>882</v>
      </c>
      <c r="L165" s="336" t="s">
        <v>883</v>
      </c>
      <c r="M165" s="336" t="s">
        <v>1619</v>
      </c>
      <c r="N165" s="336" t="s">
        <v>1636</v>
      </c>
      <c r="O165" s="336" t="s">
        <v>2092</v>
      </c>
      <c r="P165" s="336" t="s">
        <v>1559</v>
      </c>
      <c r="Q165" s="336" t="s">
        <v>1560</v>
      </c>
      <c r="R165" s="336" t="s">
        <v>2570</v>
      </c>
      <c r="S165" s="336" t="s">
        <v>2866</v>
      </c>
      <c r="T165" s="336" t="s">
        <v>3156</v>
      </c>
      <c r="U165" s="336" t="s">
        <v>3165</v>
      </c>
      <c r="V165" s="336" t="s">
        <v>3482</v>
      </c>
      <c r="W165" s="336" t="s">
        <v>3779</v>
      </c>
      <c r="X165" s="336" t="s">
        <v>3859</v>
      </c>
      <c r="Y165" s="336" t="s">
        <v>3860</v>
      </c>
      <c r="Z165" s="336" t="s">
        <v>4078</v>
      </c>
      <c r="AA165" s="336" t="s">
        <v>4356</v>
      </c>
      <c r="AB165" s="336" t="s">
        <v>4427</v>
      </c>
      <c r="AC165" s="336" t="s">
        <v>4535</v>
      </c>
      <c r="AD165" s="336" t="s">
        <v>4755</v>
      </c>
      <c r="AE165" s="336" t="s">
        <v>4922</v>
      </c>
      <c r="AF165" s="336" t="s">
        <v>5188</v>
      </c>
      <c r="AG165" s="336" t="s">
        <v>5371</v>
      </c>
      <c r="AH165" s="336" t="s">
        <v>5556</v>
      </c>
      <c r="AI165" s="336" t="s">
        <v>5696</v>
      </c>
      <c r="AJ165" s="336" t="s">
        <v>5878</v>
      </c>
      <c r="AK165" s="336" t="s">
        <v>5920</v>
      </c>
      <c r="AL165" s="336" t="s">
        <v>5949</v>
      </c>
      <c r="AM165" s="336"/>
      <c r="AN165" s="336"/>
      <c r="AO165" s="336"/>
      <c r="AP165" s="336" t="s">
        <v>4931</v>
      </c>
      <c r="AQ165" s="336" t="s">
        <v>4932</v>
      </c>
      <c r="AR165" s="336" t="s">
        <v>6142</v>
      </c>
      <c r="AS165" s="336" t="s">
        <v>6143</v>
      </c>
      <c r="AT165" s="336" t="s">
        <v>6144</v>
      </c>
      <c r="AU165" s="336" t="s">
        <v>6145</v>
      </c>
      <c r="AV165" s="356"/>
      <c r="AW165" s="356"/>
      <c r="AX165" s="356"/>
      <c r="AY165" s="356"/>
      <c r="AZ165" s="356"/>
      <c r="BA165" s="356"/>
      <c r="BB165" s="356"/>
      <c r="BC165" s="356"/>
      <c r="BD165" s="356"/>
      <c r="BE165" s="356"/>
      <c r="BF165" s="356"/>
      <c r="BG165" s="356"/>
      <c r="BH165" s="356"/>
      <c r="BI165" s="356"/>
      <c r="BJ165" s="356"/>
      <c r="BK165" s="356"/>
      <c r="BL165" s="356"/>
      <c r="BP165" s="336" t="str">
        <f t="shared" ref="BP165:BX165" si="48">F165</f>
        <v>Q1 14</v>
      </c>
      <c r="BQ165" s="336" t="str">
        <f t="shared" si="48"/>
        <v>Q2 14</v>
      </c>
      <c r="BR165" s="336" t="str">
        <f t="shared" si="48"/>
        <v>Q3 14</v>
      </c>
      <c r="BS165" s="336" t="str">
        <f t="shared" si="48"/>
        <v>Q4 14</v>
      </c>
      <c r="BT165" s="336" t="str">
        <f t="shared" si="48"/>
        <v>Q1 15</v>
      </c>
      <c r="BU165" s="336" t="str">
        <f t="shared" si="48"/>
        <v>Q2 15</v>
      </c>
      <c r="BV165" s="336" t="str">
        <f t="shared" si="48"/>
        <v>Q3 15</v>
      </c>
      <c r="BW165" s="336" t="str">
        <f t="shared" si="48"/>
        <v>Q4 15</v>
      </c>
      <c r="BX165" s="336" t="str">
        <f t="shared" si="48"/>
        <v>Q1 16</v>
      </c>
      <c r="BY165" s="356"/>
      <c r="BZ165" s="356"/>
      <c r="CA165" s="356"/>
    </row>
    <row r="166" spans="1:79">
      <c r="A166" s="92" t="s">
        <v>15</v>
      </c>
      <c r="B166" s="236">
        <f>LiLAC!BX54</f>
        <v>323.60000000000002</v>
      </c>
      <c r="C166" s="236">
        <f>LiLAC!BY54</f>
        <v>326.79999999999995</v>
      </c>
      <c r="D166" s="236">
        <f>LiLAC!BZ54</f>
        <v>319.5</v>
      </c>
      <c r="E166" s="236">
        <f>LiLAC!CA54</f>
        <v>318.89999999999998</v>
      </c>
      <c r="F166" s="236">
        <f>LiLAC!CB54</f>
        <v>300</v>
      </c>
      <c r="G166" s="236">
        <f>LiLAC!CC54</f>
        <v>306.45811894932302</v>
      </c>
      <c r="H166" s="236">
        <f>LiLAC!CD54</f>
        <v>299.87969785591912</v>
      </c>
      <c r="I166" s="236">
        <f>LiLAC!CE54</f>
        <v>297.88666187699448</v>
      </c>
      <c r="J166" s="236">
        <f>LiLAC!CF54</f>
        <v>287.61017274779465</v>
      </c>
      <c r="K166" s="236">
        <f>K316+K351</f>
        <v>311.39999999999998</v>
      </c>
      <c r="L166" s="236">
        <f>L316+L351</f>
        <v>308.8</v>
      </c>
      <c r="M166" s="236">
        <f>M316+M351</f>
        <v>309.2</v>
      </c>
      <c r="N166" s="92">
        <v>304</v>
      </c>
      <c r="O166" s="92">
        <f>602.9-285.6</f>
        <v>317.29999999999995</v>
      </c>
      <c r="P166" s="236">
        <f t="shared" ref="P166:V166" si="49">P316+P351</f>
        <v>326.10000000000002</v>
      </c>
      <c r="Q166" s="236">
        <f t="shared" si="49"/>
        <v>332.8</v>
      </c>
      <c r="R166" s="236">
        <f t="shared" si="49"/>
        <v>336</v>
      </c>
      <c r="S166" s="236">
        <f t="shared" si="49"/>
        <v>339.4</v>
      </c>
      <c r="T166" s="236">
        <f t="shared" si="49"/>
        <v>330.79999999999995</v>
      </c>
      <c r="U166" s="236">
        <f t="shared" si="49"/>
        <v>267.2</v>
      </c>
      <c r="V166" s="236">
        <f t="shared" si="49"/>
        <v>325.60000000000002</v>
      </c>
      <c r="W166" s="236">
        <f>W316+W351</f>
        <v>359.79999999999995</v>
      </c>
      <c r="X166" s="236">
        <f>X316+X351</f>
        <v>334.5</v>
      </c>
      <c r="Y166" s="236">
        <f>Y316+Y351</f>
        <v>335.1</v>
      </c>
      <c r="Z166" s="236">
        <f>Z316+Z351</f>
        <v>342.1</v>
      </c>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P166" s="124">
        <f t="shared" ref="BP166:BX166" si="50">F166/B166-1</f>
        <v>-7.2929542645241097E-2</v>
      </c>
      <c r="BQ166" s="124">
        <f t="shared" si="50"/>
        <v>-6.2245658049806973E-2</v>
      </c>
      <c r="BR166" s="124">
        <f t="shared" si="50"/>
        <v>-6.1409396382099746E-2</v>
      </c>
      <c r="BS166" s="124">
        <f t="shared" si="50"/>
        <v>-6.5893189473206326E-2</v>
      </c>
      <c r="BT166" s="124">
        <f t="shared" si="50"/>
        <v>-4.1299424174017885E-2</v>
      </c>
      <c r="BU166" s="124">
        <f t="shared" si="50"/>
        <v>1.6125795810598698E-2</v>
      </c>
      <c r="BV166" s="124">
        <f t="shared" si="50"/>
        <v>2.9746268946712062E-2</v>
      </c>
      <c r="BW166" s="124">
        <f t="shared" si="50"/>
        <v>3.7978666287774576E-2</v>
      </c>
      <c r="BX166" s="124">
        <f t="shared" si="50"/>
        <v>5.6986257111905303E-2</v>
      </c>
      <c r="BY166" s="124"/>
      <c r="BZ166" s="124"/>
      <c r="CA166" s="124"/>
    </row>
    <row r="167" spans="1:79">
      <c r="A167" s="92" t="s">
        <v>653</v>
      </c>
      <c r="B167" s="236">
        <f>B317+B382</f>
        <v>108.80186548221252</v>
      </c>
      <c r="C167" s="236">
        <f>C317+C382</f>
        <v>110.74561125790785</v>
      </c>
      <c r="D167" s="236">
        <f>D317+D382</f>
        <v>111.51771708170747</v>
      </c>
      <c r="E167" s="236">
        <f>E317+E382</f>
        <v>129.94238726463843</v>
      </c>
      <c r="F167" s="92">
        <v>111.4</v>
      </c>
      <c r="G167" s="236">
        <f>G317+G382</f>
        <v>118.92246911074098</v>
      </c>
      <c r="H167" s="236">
        <f>H317+H382</f>
        <v>119.54548597383787</v>
      </c>
      <c r="I167" s="236">
        <f>I317+I382</f>
        <v>126.21321516792538</v>
      </c>
      <c r="J167" s="92">
        <v>108.2</v>
      </c>
      <c r="K167" s="337">
        <f>K317+K382-0.8</f>
        <v>127.59999999999998</v>
      </c>
      <c r="L167" s="337">
        <f>L317+L382-1.1</f>
        <v>127.80000000000001</v>
      </c>
      <c r="M167" s="337">
        <f>M317+M382-1.1</f>
        <v>127.4</v>
      </c>
      <c r="N167" s="337">
        <f>N317+N382-1.2</f>
        <v>121.89999999999999</v>
      </c>
      <c r="O167" s="337">
        <f>231.1-101-1.7</f>
        <v>128.4</v>
      </c>
      <c r="P167" s="337">
        <f>P317+P382-2.9</f>
        <v>135.1</v>
      </c>
      <c r="Q167" s="337">
        <f>Q317+Q382</f>
        <v>145.19999999999999</v>
      </c>
      <c r="R167" s="236">
        <f t="shared" ref="R167:X167" si="51">R317+R382+R435</f>
        <v>140.79999999999998</v>
      </c>
      <c r="S167" s="236">
        <f t="shared" si="51"/>
        <v>146.1</v>
      </c>
      <c r="T167" s="236">
        <f t="shared" si="51"/>
        <v>137.6</v>
      </c>
      <c r="U167" s="236">
        <f t="shared" si="51"/>
        <v>89.300000000000011</v>
      </c>
      <c r="V167" s="236">
        <f t="shared" si="51"/>
        <v>123</v>
      </c>
      <c r="W167" s="236">
        <f t="shared" si="51"/>
        <v>140.80000000000001</v>
      </c>
      <c r="X167" s="236">
        <f t="shared" si="51"/>
        <v>139.1</v>
      </c>
      <c r="Y167" s="236">
        <f>Y317+Y382+Y435</f>
        <v>144</v>
      </c>
      <c r="Z167" s="236">
        <f>Z317+Z382+Z435</f>
        <v>142.80000000000001</v>
      </c>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row>
    <row r="168" spans="1:79">
      <c r="A168" s="92" t="s">
        <v>251</v>
      </c>
      <c r="B168" s="124">
        <f t="shared" ref="B168:J168" si="52">B167/B166</f>
        <v>0.33622331731215238</v>
      </c>
      <c r="C168" s="124">
        <f t="shared" si="52"/>
        <v>0.33887885941832274</v>
      </c>
      <c r="D168" s="124">
        <f t="shared" si="52"/>
        <v>0.34903823812740992</v>
      </c>
      <c r="E168" s="124">
        <f t="shared" si="52"/>
        <v>0.40747064052881293</v>
      </c>
      <c r="F168" s="124">
        <f t="shared" si="52"/>
        <v>0.37133333333333335</v>
      </c>
      <c r="G168" s="124">
        <f t="shared" si="52"/>
        <v>0.38805455544288064</v>
      </c>
      <c r="H168" s="124">
        <f t="shared" si="52"/>
        <v>0.39864481266509399</v>
      </c>
      <c r="I168" s="124">
        <f t="shared" si="52"/>
        <v>0.42369542285865175</v>
      </c>
      <c r="J168" s="124">
        <f t="shared" si="52"/>
        <v>0.37620366124838212</v>
      </c>
      <c r="K168" s="124">
        <f t="shared" ref="K168:R168" si="53">K167/K166</f>
        <v>0.40976236351958895</v>
      </c>
      <c r="L168" s="124">
        <f t="shared" si="53"/>
        <v>0.41386010362694303</v>
      </c>
      <c r="M168" s="124">
        <f t="shared" si="53"/>
        <v>0.4120310478654593</v>
      </c>
      <c r="N168" s="124">
        <f t="shared" si="53"/>
        <v>0.40098684210526314</v>
      </c>
      <c r="O168" s="124">
        <f t="shared" si="53"/>
        <v>0.40466435549952734</v>
      </c>
      <c r="P168" s="124">
        <f t="shared" si="53"/>
        <v>0.41429009506286413</v>
      </c>
      <c r="Q168" s="124">
        <f t="shared" si="53"/>
        <v>0.43629807692307687</v>
      </c>
      <c r="R168" s="124">
        <f t="shared" si="53"/>
        <v>0.419047619047619</v>
      </c>
      <c r="S168" s="124">
        <f t="shared" ref="S168:Z168" si="54">S167/S166</f>
        <v>0.4304655274012964</v>
      </c>
      <c r="T168" s="124">
        <f t="shared" si="54"/>
        <v>0.41596130592503028</v>
      </c>
      <c r="U168" s="124">
        <f t="shared" si="54"/>
        <v>0.33420658682634735</v>
      </c>
      <c r="V168" s="124">
        <f t="shared" si="54"/>
        <v>0.37776412776412771</v>
      </c>
      <c r="W168" s="124">
        <f t="shared" si="54"/>
        <v>0.39132851584213463</v>
      </c>
      <c r="X168" s="124">
        <f t="shared" si="54"/>
        <v>0.41584454409566518</v>
      </c>
      <c r="Y168" s="124">
        <f t="shared" si="54"/>
        <v>0.42972247090420768</v>
      </c>
      <c r="Z168" s="124">
        <f t="shared" si="54"/>
        <v>0.41742180648933064</v>
      </c>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row>
    <row r="169" spans="1:79">
      <c r="A169" s="92" t="s">
        <v>884</v>
      </c>
      <c r="F169" s="92">
        <v>-2.2999999999999998</v>
      </c>
      <c r="G169" s="92">
        <f>-1.5-0.4</f>
        <v>-1.9</v>
      </c>
      <c r="H169" s="92">
        <f>-1.9-0.5</f>
        <v>-2.4</v>
      </c>
      <c r="J169" s="338">
        <f>-0.7+1.8</f>
        <v>1.1000000000000001</v>
      </c>
      <c r="K169" s="92">
        <f>-1.3-0.3</f>
        <v>-1.6</v>
      </c>
      <c r="L169" s="92">
        <f>-1.5-0.2</f>
        <v>-1.7</v>
      </c>
      <c r="M169" s="92">
        <v>-0.2</v>
      </c>
      <c r="N169" s="92">
        <v>-1.8</v>
      </c>
    </row>
    <row r="170" spans="1:79">
      <c r="A170" s="92" t="s">
        <v>56</v>
      </c>
      <c r="F170" s="92">
        <v>-51.9</v>
      </c>
      <c r="G170" s="236">
        <v>-52</v>
      </c>
      <c r="H170" s="92">
        <v>-54.1</v>
      </c>
      <c r="J170" s="92">
        <v>-52.2</v>
      </c>
      <c r="K170" s="92">
        <v>-54.3</v>
      </c>
      <c r="L170" s="92">
        <v>-54.3</v>
      </c>
      <c r="M170" s="92">
        <f>-216.4-J170-K170-L170</f>
        <v>-55.599999999999994</v>
      </c>
      <c r="N170" s="92">
        <v>-52.3</v>
      </c>
    </row>
    <row r="171" spans="1:79">
      <c r="A171" s="92" t="s">
        <v>885</v>
      </c>
      <c r="F171" s="236">
        <v>0</v>
      </c>
      <c r="G171" s="236">
        <v>0</v>
      </c>
      <c r="H171" s="236">
        <v>0</v>
      </c>
      <c r="I171" s="236"/>
      <c r="J171" s="236">
        <v>0</v>
      </c>
      <c r="K171" s="236">
        <v>0</v>
      </c>
      <c r="L171" s="92">
        <v>-2.1</v>
      </c>
      <c r="M171" s="236">
        <f>-4.3-J171-K171-L171</f>
        <v>-2.1999999999999997</v>
      </c>
      <c r="N171" s="92">
        <v>-2.1</v>
      </c>
    </row>
    <row r="172" spans="1:79">
      <c r="A172" s="175" t="s">
        <v>4</v>
      </c>
      <c r="B172" s="175"/>
      <c r="C172" s="175"/>
      <c r="D172" s="175"/>
      <c r="E172" s="175"/>
      <c r="F172" s="238">
        <f>-2.8-G172</f>
        <v>-0.99999999999999978</v>
      </c>
      <c r="G172" s="175">
        <v>-1.8</v>
      </c>
      <c r="H172" s="175">
        <v>-3.7</v>
      </c>
      <c r="I172" s="175"/>
      <c r="J172" s="175">
        <f>-10.9-K172</f>
        <v>-5.1000000000000005</v>
      </c>
      <c r="K172" s="175">
        <v>-5.8</v>
      </c>
      <c r="L172" s="175">
        <f>-2.8</f>
        <v>-2.8</v>
      </c>
      <c r="M172" s="175">
        <f>-19.8-J172-K172-L172</f>
        <v>-6.0999999999999988</v>
      </c>
      <c r="N172" s="175">
        <v>-5.7</v>
      </c>
    </row>
    <row r="173" spans="1:79">
      <c r="A173" s="92" t="s">
        <v>83</v>
      </c>
      <c r="F173" s="236">
        <f>SUM(F169:F172)+F167</f>
        <v>56.20000000000001</v>
      </c>
      <c r="G173" s="236">
        <f>SUM(G169:G172)+G167</f>
        <v>63.222469110740981</v>
      </c>
      <c r="H173" s="236">
        <f>SUM(H169:H172)+H167</f>
        <v>59.345485973837867</v>
      </c>
      <c r="J173" s="236">
        <f>SUM(J169:J172)+J167</f>
        <v>52</v>
      </c>
      <c r="K173" s="236">
        <f>SUM(K169:K172)+K167</f>
        <v>65.899999999999977</v>
      </c>
      <c r="L173" s="236">
        <f>SUM(L169:L172)+L167</f>
        <v>66.900000000000006</v>
      </c>
      <c r="M173" s="236">
        <f>SUM(M169:M172)+M167</f>
        <v>63.300000000000011</v>
      </c>
      <c r="N173" s="236">
        <f>SUM(N169:N172)+N167</f>
        <v>59.999999999999993</v>
      </c>
      <c r="O173" s="236"/>
      <c r="P173" s="236"/>
    </row>
    <row r="174" spans="1:79">
      <c r="N174" s="236"/>
      <c r="O174" s="236"/>
      <c r="P174" s="236"/>
    </row>
    <row r="175" spans="1:79">
      <c r="A175" s="92" t="s">
        <v>159</v>
      </c>
      <c r="F175" s="236">
        <f>F282*1000/F314+F389</f>
        <v>31.055796500176061</v>
      </c>
      <c r="G175" s="236">
        <f>G282*1000/G314+G389</f>
        <v>36.875580499541591</v>
      </c>
      <c r="H175" s="92">
        <v>36.200000000000003</v>
      </c>
      <c r="J175" s="236">
        <f>J282*1000/J314+J389</f>
        <v>38.70111737714106</v>
      </c>
      <c r="K175" s="236">
        <f>K282*1000/K314+K389</f>
        <v>39.880067950169874</v>
      </c>
      <c r="L175" s="92">
        <v>38.9</v>
      </c>
      <c r="M175" s="236">
        <f>157.9+3-J175-K175-L175</f>
        <v>43.418814672689074</v>
      </c>
      <c r="N175" s="92">
        <v>54.1</v>
      </c>
      <c r="O175" s="92">
        <v>76.400000000000006</v>
      </c>
    </row>
    <row r="176" spans="1:79">
      <c r="A176" s="92" t="s">
        <v>160</v>
      </c>
      <c r="F176" s="339">
        <f>(F284+F285)*1000/F313</f>
        <v>133.21928403734503</v>
      </c>
      <c r="G176" s="339">
        <f>(G284+G285)*1000/G313</f>
        <v>-1.4467854236368567</v>
      </c>
      <c r="H176" s="92">
        <f>-150.6-0.6</f>
        <v>-151.19999999999999</v>
      </c>
      <c r="J176" s="339">
        <f>(J284+J285)*1000/J313</f>
        <v>-79.962897215691925</v>
      </c>
      <c r="K176" s="339">
        <f>(K284+K285)*1000/K313</f>
        <v>-3.755163349605708</v>
      </c>
      <c r="L176" s="92">
        <f>-145.2-0.5</f>
        <v>-145.69999999999999</v>
      </c>
      <c r="M176" s="236">
        <f>-227.3-J176-K176-L176</f>
        <v>2.1180605652976112</v>
      </c>
      <c r="N176" s="92">
        <f>144.7</f>
        <v>144.69999999999999</v>
      </c>
      <c r="O176" s="236" t="e">
        <f>O175+#REF!</f>
        <v>#REF!</v>
      </c>
      <c r="P176" s="236"/>
    </row>
    <row r="177" spans="1:66">
      <c r="A177" s="175" t="s">
        <v>886</v>
      </c>
      <c r="B177" s="175"/>
      <c r="C177" s="175"/>
      <c r="D177" s="175"/>
      <c r="E177" s="175"/>
      <c r="F177" s="340">
        <f>F283*1000/F314</f>
        <v>-26.651943130056555</v>
      </c>
      <c r="G177" s="340">
        <f>G283*1000/G314</f>
        <v>4.5064457426705777</v>
      </c>
      <c r="H177" s="175">
        <f>103.9+9.5</f>
        <v>113.4</v>
      </c>
      <c r="I177" s="175"/>
      <c r="J177" s="340">
        <f>J283*1000/J314</f>
        <v>42.433310148466546</v>
      </c>
      <c r="K177" s="340">
        <f>K283*1000/K314</f>
        <v>32.519009868953241</v>
      </c>
      <c r="L177" s="340">
        <v>125.3</v>
      </c>
      <c r="M177" s="340">
        <f>223.4-J177-K177-L177</f>
        <v>23.147679982580215</v>
      </c>
      <c r="N177" s="175">
        <f>-87.6-0.3</f>
        <v>-87.899999999999991</v>
      </c>
      <c r="BM177" s="92">
        <v>2860.1</v>
      </c>
      <c r="BN177" s="92">
        <v>3506.1</v>
      </c>
    </row>
    <row r="178" spans="1:66">
      <c r="A178" s="92" t="s">
        <v>16</v>
      </c>
      <c r="F178" s="236">
        <f>SUM(F175:F177)</f>
        <v>137.62313740746453</v>
      </c>
      <c r="G178" s="236">
        <f>SUM(G175:G177)</f>
        <v>39.935240818575316</v>
      </c>
      <c r="H178" s="236">
        <f>SUM(H175:H177)</f>
        <v>-1.5999999999999801</v>
      </c>
      <c r="J178" s="236">
        <f>SUM(J175:J177)</f>
        <v>1.1715303099156813</v>
      </c>
      <c r="K178" s="236">
        <f>SUM(K175:K177)</f>
        <v>68.643914469517398</v>
      </c>
      <c r="L178" s="236">
        <f>SUM(L175:L177)</f>
        <v>18.500000000000014</v>
      </c>
      <c r="M178" s="236">
        <f>SUM(M175:M177)</f>
        <v>68.684555220566892</v>
      </c>
      <c r="N178" s="236">
        <f>SUM(N175:N177)</f>
        <v>110.89999999999999</v>
      </c>
      <c r="O178" s="236"/>
      <c r="P178" s="236"/>
      <c r="BN178" s="254">
        <v>6.8000000000000005E-2</v>
      </c>
    </row>
    <row r="179" spans="1:66">
      <c r="F179" s="339"/>
      <c r="J179" s="339"/>
      <c r="BN179" s="92">
        <f>BN178*AVERAGE(BM177:BN177)/4</f>
        <v>54.112700000000004</v>
      </c>
    </row>
    <row r="180" spans="1:66">
      <c r="A180" s="92" t="s">
        <v>66</v>
      </c>
      <c r="F180" s="236">
        <f>F173-F178</f>
        <v>-81.423137407464509</v>
      </c>
      <c r="G180" s="236">
        <f>G173-G178</f>
        <v>23.287228292165665</v>
      </c>
      <c r="H180" s="236">
        <f>H173-H178</f>
        <v>60.945485973837847</v>
      </c>
      <c r="J180" s="236">
        <f>J173-J178</f>
        <v>50.828469690084319</v>
      </c>
      <c r="K180" s="236">
        <f>K173-K178</f>
        <v>-2.7439144695174207</v>
      </c>
      <c r="L180" s="236">
        <f>L173-L178</f>
        <v>48.399999999999991</v>
      </c>
      <c r="M180" s="236">
        <f>M173-M178</f>
        <v>-5.384555220566881</v>
      </c>
      <c r="N180" s="236">
        <f>N173-N178</f>
        <v>-50.9</v>
      </c>
      <c r="O180" s="236"/>
      <c r="P180" s="236"/>
    </row>
    <row r="181" spans="1:66">
      <c r="F181" s="236"/>
      <c r="G181" s="236"/>
      <c r="J181" s="236"/>
      <c r="K181" s="236"/>
    </row>
    <row r="182" spans="1:66">
      <c r="A182" s="92" t="s">
        <v>887</v>
      </c>
      <c r="F182" s="236">
        <f>F288*1000/F314</f>
        <v>-13.960541639553433</v>
      </c>
      <c r="G182" s="236">
        <f>G288*1000/G314</f>
        <v>6.6695396991524554</v>
      </c>
      <c r="H182" s="92">
        <v>2.1</v>
      </c>
      <c r="J182" s="236">
        <f>J288*1000/J314</f>
        <v>16.332821264692786</v>
      </c>
      <c r="K182" s="236">
        <f>K288*1000/K314</f>
        <v>1.4560750687591004</v>
      </c>
      <c r="L182" s="92">
        <v>18.3</v>
      </c>
      <c r="M182" s="236">
        <f>40.6-J182-K182-L182</f>
        <v>4.511103666548113</v>
      </c>
      <c r="N182" s="92">
        <v>-12</v>
      </c>
      <c r="R182" s="562"/>
      <c r="S182" s="562"/>
      <c r="T182" s="562"/>
      <c r="U182" s="562"/>
      <c r="V182" s="562"/>
      <c r="W182" s="562"/>
      <c r="X182" s="562"/>
      <c r="Y182" s="562"/>
      <c r="Z182" s="562"/>
      <c r="AA182" s="562"/>
      <c r="AB182" s="562"/>
      <c r="AC182" s="562"/>
      <c r="AD182" s="562"/>
      <c r="AE182" s="562"/>
      <c r="AF182" s="562"/>
      <c r="AG182" s="562"/>
      <c r="AH182" s="562"/>
      <c r="AI182" s="562"/>
      <c r="AJ182" s="562"/>
      <c r="AK182" s="562"/>
      <c r="AL182" s="562"/>
      <c r="AM182" s="562"/>
      <c r="AN182" s="562"/>
      <c r="AO182" s="562"/>
      <c r="AP182" s="562"/>
      <c r="AQ182" s="562"/>
      <c r="AR182" s="562"/>
      <c r="AS182" s="562"/>
      <c r="AT182" s="562"/>
      <c r="AU182" s="562"/>
      <c r="AV182" s="562"/>
      <c r="AW182" s="562"/>
      <c r="AX182" s="562"/>
      <c r="AY182" s="562"/>
      <c r="AZ182" s="562"/>
      <c r="BA182" s="562"/>
      <c r="BB182" s="562"/>
      <c r="BC182" s="562"/>
      <c r="BD182" s="562"/>
      <c r="BE182" s="562"/>
      <c r="BF182" s="562"/>
      <c r="BG182" s="562"/>
      <c r="BH182" s="562"/>
      <c r="BI182" s="562"/>
      <c r="BJ182" s="562"/>
      <c r="BK182" s="562"/>
      <c r="BL182" s="562"/>
    </row>
    <row r="183" spans="1:66">
      <c r="A183" s="92" t="s">
        <v>674</v>
      </c>
      <c r="F183" s="92">
        <f>2.6-G183</f>
        <v>3.8</v>
      </c>
      <c r="G183" s="92">
        <v>-1.2</v>
      </c>
      <c r="H183" s="92">
        <v>-0.5</v>
      </c>
      <c r="J183" s="92">
        <f>-5-K183</f>
        <v>-1.7999999999999998</v>
      </c>
      <c r="K183" s="92">
        <v>-3.2</v>
      </c>
      <c r="L183" s="92">
        <v>-0.3</v>
      </c>
      <c r="M183" s="92">
        <f>-7.8-J183-K183-L183</f>
        <v>-2.5</v>
      </c>
      <c r="N183" s="92">
        <v>0.4</v>
      </c>
    </row>
    <row r="184" spans="1:66">
      <c r="J184" s="236"/>
      <c r="K184" s="236"/>
    </row>
    <row r="185" spans="1:66" ht="15.75" thickBot="1">
      <c r="A185" s="341" t="s">
        <v>69</v>
      </c>
      <c r="B185" s="341"/>
      <c r="C185" s="341"/>
      <c r="D185" s="341"/>
      <c r="E185" s="341"/>
      <c r="F185" s="342">
        <f>F180-F182+F183</f>
        <v>-63.662595767911071</v>
      </c>
      <c r="G185" s="342">
        <f>G180-G182+G183</f>
        <v>15.41768859301321</v>
      </c>
      <c r="H185" s="342">
        <f>H180-H182+H183</f>
        <v>58.345485973837846</v>
      </c>
      <c r="I185" s="341"/>
      <c r="J185" s="342">
        <f>J180-J182+J183</f>
        <v>32.695648425391539</v>
      </c>
      <c r="K185" s="342">
        <f>K180-K182+K183</f>
        <v>-7.3999895382765208</v>
      </c>
      <c r="L185" s="342">
        <f>L180-L182+L183</f>
        <v>29.79999999999999</v>
      </c>
      <c r="M185" s="342">
        <f>M180-M182+M183</f>
        <v>-12.395658887114994</v>
      </c>
      <c r="N185" s="342">
        <f>N180-N182+N183</f>
        <v>-38.5</v>
      </c>
      <c r="O185" s="236"/>
      <c r="P185" s="236"/>
    </row>
    <row r="186" spans="1:66" ht="15.75" thickTop="1">
      <c r="A186" s="92" t="s">
        <v>68</v>
      </c>
      <c r="F186" s="236">
        <f>F185-F176-F177</f>
        <v>-170.22993667519955</v>
      </c>
      <c r="G186" s="236">
        <f>G185-G176-G177</f>
        <v>12.358028273979489</v>
      </c>
      <c r="H186" s="236">
        <f>H185-H176-H177</f>
        <v>96.145485973837822</v>
      </c>
      <c r="J186" s="236">
        <f>J185-J176-J177</f>
        <v>70.225235492616918</v>
      </c>
      <c r="K186" s="236">
        <f>K185-K176-K177</f>
        <v>-36.163836057624053</v>
      </c>
      <c r="L186" s="236">
        <f>L185-L176-L177</f>
        <v>50.199999999999974</v>
      </c>
      <c r="M186" s="236">
        <f>M185-M176-M177</f>
        <v>-37.661399434992816</v>
      </c>
      <c r="N186" s="236">
        <f>N185-N176-N177</f>
        <v>-95.3</v>
      </c>
      <c r="O186" s="236"/>
      <c r="P186" s="236"/>
    </row>
    <row r="187" spans="1:66">
      <c r="F187" s="236"/>
      <c r="G187" s="236"/>
      <c r="J187" s="236"/>
      <c r="K187" s="236"/>
    </row>
    <row r="188" spans="1:66">
      <c r="A188" s="343" t="s">
        <v>114</v>
      </c>
      <c r="F188" s="236"/>
      <c r="G188" s="236"/>
      <c r="J188" s="236"/>
      <c r="K188" s="236"/>
    </row>
    <row r="189" spans="1:66">
      <c r="A189" s="344" t="s">
        <v>888</v>
      </c>
      <c r="F189" s="339">
        <f>-59.3-G189</f>
        <v>-66.899999999999991</v>
      </c>
      <c r="G189" s="339">
        <v>7.6</v>
      </c>
      <c r="H189" s="344"/>
      <c r="I189" s="344"/>
      <c r="J189" s="339">
        <f>25-K189</f>
        <v>32.5</v>
      </c>
      <c r="K189" s="339">
        <v>-7.5</v>
      </c>
    </row>
    <row r="190" spans="1:66">
      <c r="A190" s="344" t="s">
        <v>889</v>
      </c>
      <c r="F190" s="339">
        <f>F396+F289*1000/F314</f>
        <v>-68.78614141560746</v>
      </c>
      <c r="G190" s="339">
        <f>G396+G289*1000/G314</f>
        <v>14.185812525957363</v>
      </c>
      <c r="H190" s="344"/>
      <c r="I190" s="344"/>
      <c r="J190" s="339">
        <f>J396+J289*1000/J314</f>
        <v>32.747304887501251</v>
      </c>
      <c r="K190" s="339">
        <f>K396+K289*1000/K314</f>
        <v>-7.9481319060440629</v>
      </c>
    </row>
    <row r="192" spans="1:66">
      <c r="A192" s="92" t="s">
        <v>19</v>
      </c>
      <c r="F192" s="92">
        <f>107.6-G192</f>
        <v>40.099999999999994</v>
      </c>
      <c r="G192" s="92">
        <v>67.5</v>
      </c>
      <c r="H192" s="92">
        <v>68</v>
      </c>
      <c r="J192" s="92">
        <f>111.4-K192</f>
        <v>49.800000000000004</v>
      </c>
      <c r="K192" s="92">
        <v>61.6</v>
      </c>
      <c r="L192" s="236">
        <v>58.4</v>
      </c>
      <c r="M192" s="236">
        <v>57.4</v>
      </c>
      <c r="N192" s="236">
        <v>50</v>
      </c>
      <c r="O192" s="236"/>
      <c r="P192" s="236"/>
      <c r="R192" s="236"/>
      <c r="S192" s="236"/>
      <c r="T192" s="236"/>
      <c r="U192" s="236"/>
      <c r="V192" s="236"/>
      <c r="W192" s="236"/>
      <c r="X192" s="236"/>
      <c r="Y192" s="236"/>
      <c r="Z192" s="236"/>
      <c r="AA192" s="236"/>
      <c r="AB192" s="236"/>
      <c r="AC192" s="236"/>
      <c r="AD192" s="236"/>
      <c r="AE192" s="236"/>
      <c r="AF192" s="236"/>
      <c r="AG192" s="236"/>
      <c r="AH192" s="236"/>
      <c r="AI192" s="236"/>
      <c r="AJ192" s="236"/>
      <c r="AK192" s="236"/>
      <c r="AL192" s="236"/>
      <c r="AM192" s="236"/>
      <c r="AN192" s="236"/>
      <c r="AO192" s="236"/>
      <c r="AP192" s="236"/>
      <c r="AQ192" s="236"/>
      <c r="AR192" s="236"/>
      <c r="AS192" s="236"/>
      <c r="AT192" s="236"/>
      <c r="AU192" s="236"/>
      <c r="AV192" s="236"/>
      <c r="AW192" s="236"/>
      <c r="AX192" s="236"/>
      <c r="AY192" s="236"/>
      <c r="AZ192" s="236"/>
      <c r="BA192" s="236"/>
      <c r="BB192" s="236"/>
      <c r="BC192" s="236"/>
      <c r="BD192" s="236"/>
      <c r="BE192" s="236"/>
      <c r="BF192" s="236"/>
      <c r="BG192" s="236"/>
      <c r="BH192" s="236"/>
      <c r="BI192" s="236"/>
      <c r="BJ192" s="236"/>
      <c r="BK192" s="236"/>
      <c r="BL192" s="236"/>
      <c r="BM192" s="563">
        <v>60</v>
      </c>
    </row>
    <row r="193" spans="1:65">
      <c r="A193" s="92" t="s">
        <v>91</v>
      </c>
      <c r="F193" s="124">
        <f>F192/F166</f>
        <v>0.13366666666666666</v>
      </c>
      <c r="G193" s="124">
        <f>G192/G166</f>
        <v>0.22025848175085233</v>
      </c>
      <c r="H193" s="124">
        <f>H192/H166</f>
        <v>0.22675759808412049</v>
      </c>
      <c r="J193" s="124">
        <f>J192/J166</f>
        <v>0.17315103817162136</v>
      </c>
      <c r="K193" s="124">
        <f>K192/K166</f>
        <v>0.19781631342324985</v>
      </c>
      <c r="L193" s="124">
        <f>L192/L166</f>
        <v>0.18911917098445594</v>
      </c>
      <c r="M193" s="124">
        <f>M192/M166</f>
        <v>0.18564036222509703</v>
      </c>
      <c r="N193" s="124">
        <f>N192/N166</f>
        <v>0.16447368421052633</v>
      </c>
      <c r="O193" s="124"/>
      <c r="P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c r="BF193" s="124"/>
      <c r="BG193" s="124"/>
      <c r="BH193" s="124"/>
      <c r="BI193" s="124"/>
      <c r="BJ193" s="124"/>
      <c r="BK193" s="124"/>
      <c r="BL193" s="124"/>
      <c r="BM193" s="124" t="e">
        <f>BM192/BM166</f>
        <v>#DIV/0!</v>
      </c>
    </row>
    <row r="194" spans="1:65">
      <c r="K194" s="124"/>
      <c r="M194" s="124"/>
    </row>
    <row r="195" spans="1:65">
      <c r="A195" s="92" t="s">
        <v>1809</v>
      </c>
      <c r="J195" s="92">
        <v>-0.3</v>
      </c>
      <c r="K195" s="92">
        <f>-7.7-J195</f>
        <v>-7.4</v>
      </c>
      <c r="L195" s="92">
        <f>-27.6-J195-K195</f>
        <v>-19.899999999999999</v>
      </c>
      <c r="M195" s="92">
        <f>-18.6-J195-K195-L195</f>
        <v>8.9999999999999982</v>
      </c>
      <c r="N195" s="92">
        <v>6.1</v>
      </c>
    </row>
    <row r="196" spans="1:65">
      <c r="A196" s="92" t="s">
        <v>1810</v>
      </c>
      <c r="J196" s="236">
        <f>J182+J195</f>
        <v>16.032821264692785</v>
      </c>
      <c r="K196" s="236">
        <f>K182+K195</f>
        <v>-5.9439249312409004</v>
      </c>
      <c r="L196" s="236">
        <f>L182+L195</f>
        <v>-1.5999999999999979</v>
      </c>
      <c r="M196" s="236">
        <f>M182+M195</f>
        <v>13.511103666548111</v>
      </c>
      <c r="N196" s="92">
        <f>N182+N195</f>
        <v>-5.9</v>
      </c>
    </row>
    <row r="197" spans="1:65">
      <c r="A197" s="92" t="s">
        <v>1811</v>
      </c>
      <c r="J197" s="92">
        <v>6.1</v>
      </c>
      <c r="K197" s="92">
        <f>14.4-J197</f>
        <v>8.3000000000000007</v>
      </c>
      <c r="L197" s="92">
        <f>18-J197-K197</f>
        <v>3.5999999999999996</v>
      </c>
      <c r="M197" s="92">
        <f>22.5-J197-K197-L197</f>
        <v>4.4999999999999982</v>
      </c>
      <c r="N197" s="92">
        <v>4.3</v>
      </c>
    </row>
    <row r="198" spans="1:65">
      <c r="K198" s="124"/>
      <c r="M198" s="124"/>
      <c r="N198" s="236"/>
      <c r="O198" s="236"/>
      <c r="P198" s="236"/>
    </row>
    <row r="199" spans="1:65">
      <c r="A199" s="92" t="s">
        <v>249</v>
      </c>
      <c r="F199" s="345">
        <f>F167-F182-F175-F192</f>
        <v>54.204745139377394</v>
      </c>
      <c r="G199" s="345">
        <f>G167-G182-G175-G192</f>
        <v>7.8773489120469264</v>
      </c>
      <c r="H199" s="345">
        <f>H167-H182-H175-H192</f>
        <v>13.245485973837873</v>
      </c>
      <c r="J199" s="345">
        <f>J167-J197-J175-J192</f>
        <v>13.598882622858945</v>
      </c>
      <c r="K199" s="345">
        <f>K167-K197-K175-K192</f>
        <v>17.819932049830108</v>
      </c>
      <c r="L199" s="345">
        <f>L167-L197-L175-L192</f>
        <v>26.900000000000013</v>
      </c>
      <c r="M199" s="345">
        <f>M167-M197-M175-M192</f>
        <v>22.081185327310926</v>
      </c>
      <c r="N199" s="345">
        <f>N167-N197-N175-N192</f>
        <v>13.499999999999993</v>
      </c>
      <c r="O199" s="345"/>
      <c r="P199" s="345"/>
      <c r="R199" s="345"/>
      <c r="S199" s="345"/>
      <c r="T199" s="345"/>
      <c r="U199" s="345"/>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c r="AS199" s="345"/>
      <c r="AT199" s="345"/>
      <c r="AU199" s="345"/>
      <c r="AV199" s="345"/>
      <c r="AW199" s="345"/>
      <c r="AX199" s="345"/>
      <c r="AY199" s="345"/>
      <c r="AZ199" s="345"/>
      <c r="BA199" s="345"/>
      <c r="BB199" s="345"/>
      <c r="BC199" s="345"/>
      <c r="BD199" s="345"/>
      <c r="BE199" s="345"/>
      <c r="BF199" s="345"/>
      <c r="BG199" s="345"/>
      <c r="BH199" s="345"/>
      <c r="BI199" s="345"/>
      <c r="BJ199" s="345"/>
      <c r="BK199" s="345"/>
      <c r="BL199" s="345"/>
      <c r="BM199" s="345">
        <f>BM167-BM182-BM175-BM192</f>
        <v>-60</v>
      </c>
    </row>
    <row r="200" spans="1:65">
      <c r="A200" s="92" t="s">
        <v>890</v>
      </c>
      <c r="F200" s="345"/>
      <c r="G200" s="345"/>
      <c r="J200" s="345"/>
      <c r="K200" s="345">
        <v>276.10000000000002</v>
      </c>
    </row>
    <row r="201" spans="1:65">
      <c r="A201" s="92" t="s">
        <v>891</v>
      </c>
      <c r="F201" s="345">
        <f>F199-F200</f>
        <v>54.204745139377394</v>
      </c>
      <c r="G201" s="345">
        <f>G199-G200</f>
        <v>7.8773489120469264</v>
      </c>
      <c r="J201" s="345">
        <f>J199-J200</f>
        <v>13.598882622858945</v>
      </c>
      <c r="K201" s="345">
        <f>K199-K200</f>
        <v>-258.28006795016989</v>
      </c>
    </row>
    <row r="202" spans="1:65">
      <c r="K202" s="345"/>
    </row>
    <row r="203" spans="1:65">
      <c r="K203" s="345"/>
    </row>
    <row r="204" spans="1:65">
      <c r="A204" s="92" t="s">
        <v>164</v>
      </c>
      <c r="K204" s="345">
        <v>2333.5</v>
      </c>
      <c r="L204" s="345">
        <v>2333.6999999999998</v>
      </c>
      <c r="M204" s="345">
        <f>2304.6+0.8</f>
        <v>2305.4</v>
      </c>
      <c r="N204" s="345">
        <v>2343</v>
      </c>
      <c r="O204" s="345">
        <v>5932.9</v>
      </c>
      <c r="P204" s="345">
        <f>5852.5+158.7</f>
        <v>6011.2</v>
      </c>
    </row>
    <row r="205" spans="1:65">
      <c r="A205" s="92" t="s">
        <v>707</v>
      </c>
      <c r="K205" s="345">
        <v>232.9</v>
      </c>
      <c r="L205" s="345">
        <v>238.6</v>
      </c>
      <c r="M205" s="345">
        <v>274.5</v>
      </c>
      <c r="N205" s="345">
        <v>295.60000000000002</v>
      </c>
      <c r="O205" s="345">
        <v>500.6</v>
      </c>
      <c r="P205" s="345">
        <v>471</v>
      </c>
    </row>
    <row r="206" spans="1:65">
      <c r="A206" s="92" t="s">
        <v>892</v>
      </c>
      <c r="K206" s="345">
        <f>K301</f>
        <v>210</v>
      </c>
      <c r="L206" s="345">
        <f>L301</f>
        <v>93.4</v>
      </c>
      <c r="M206" s="345">
        <f>M301</f>
        <v>57.4</v>
      </c>
      <c r="N206" s="345">
        <f>N301</f>
        <v>-24.8</v>
      </c>
      <c r="O206" s="345">
        <f>O301</f>
        <v>-42.8</v>
      </c>
      <c r="P206" s="345">
        <v>9</v>
      </c>
      <c r="R206" s="236"/>
      <c r="S206" s="236"/>
      <c r="T206" s="236"/>
      <c r="U206" s="236"/>
      <c r="V206" s="236"/>
      <c r="W206" s="236"/>
      <c r="X206" s="236"/>
      <c r="Y206" s="236"/>
      <c r="Z206" s="236"/>
      <c r="AA206" s="236"/>
      <c r="AB206" s="236"/>
      <c r="AC206" s="236"/>
      <c r="AD206" s="236"/>
      <c r="AE206" s="236"/>
      <c r="AF206" s="236"/>
      <c r="AG206" s="236"/>
      <c r="AH206" s="236"/>
      <c r="AI206" s="236"/>
      <c r="AJ206" s="236"/>
      <c r="AK206" s="236"/>
      <c r="AL206" s="236"/>
      <c r="AM206" s="236"/>
      <c r="AN206" s="236"/>
      <c r="AO206" s="236"/>
      <c r="AP206" s="236"/>
      <c r="AQ206" s="236"/>
      <c r="AR206" s="236"/>
      <c r="AS206" s="236"/>
      <c r="AT206" s="236"/>
      <c r="AU206" s="236"/>
      <c r="AV206" s="236"/>
      <c r="AW206" s="236"/>
      <c r="AX206" s="236"/>
      <c r="AY206" s="236"/>
      <c r="AZ206" s="236"/>
      <c r="BA206" s="236"/>
      <c r="BB206" s="236"/>
      <c r="BC206" s="236"/>
      <c r="BD206" s="236"/>
      <c r="BE206" s="236"/>
      <c r="BF206" s="236"/>
      <c r="BG206" s="236"/>
      <c r="BH206" s="236"/>
      <c r="BI206" s="236"/>
      <c r="BJ206" s="236"/>
      <c r="BK206" s="236"/>
      <c r="BL206" s="236"/>
    </row>
    <row r="207" spans="1:65">
      <c r="A207" s="92" t="s">
        <v>893</v>
      </c>
      <c r="J207" s="345"/>
      <c r="K207" s="345">
        <f t="shared" ref="K207:P207" si="55">K204-K205-K206</f>
        <v>1890.6</v>
      </c>
      <c r="L207" s="345">
        <f t="shared" si="55"/>
        <v>2001.6999999999998</v>
      </c>
      <c r="M207" s="345">
        <f t="shared" si="55"/>
        <v>1973.5</v>
      </c>
      <c r="N207" s="345">
        <f t="shared" si="55"/>
        <v>2072.2000000000003</v>
      </c>
      <c r="O207" s="345">
        <f t="shared" si="55"/>
        <v>5475.0999999999995</v>
      </c>
      <c r="P207" s="345">
        <f t="shared" si="55"/>
        <v>5531.2</v>
      </c>
      <c r="R207" s="345"/>
      <c r="S207" s="345"/>
      <c r="T207" s="345"/>
      <c r="U207" s="345"/>
      <c r="V207" s="345"/>
      <c r="W207" s="345"/>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c r="AS207" s="345"/>
      <c r="AT207" s="345"/>
      <c r="AU207" s="345"/>
      <c r="AV207" s="345"/>
      <c r="AW207" s="345"/>
      <c r="AX207" s="345"/>
      <c r="AY207" s="345"/>
      <c r="AZ207" s="345"/>
      <c r="BA207" s="345"/>
      <c r="BB207" s="345"/>
      <c r="BC207" s="345"/>
      <c r="BD207" s="345"/>
      <c r="BE207" s="345"/>
      <c r="BF207" s="345"/>
      <c r="BG207" s="345"/>
      <c r="BH207" s="345"/>
      <c r="BI207" s="345"/>
      <c r="BJ207" s="345"/>
      <c r="BK207" s="345"/>
      <c r="BL207" s="345"/>
      <c r="BM207" s="345"/>
    </row>
    <row r="208" spans="1:65">
      <c r="J208" s="345"/>
      <c r="K208" s="345"/>
      <c r="L208" s="345"/>
      <c r="M208" s="345"/>
    </row>
    <row r="209" spans="1:80">
      <c r="A209" s="92" t="s">
        <v>894</v>
      </c>
      <c r="J209" s="345"/>
      <c r="K209" s="345">
        <f>(K167+2.9*2)*4</f>
        <v>533.59999999999991</v>
      </c>
      <c r="L209" s="345">
        <f>L167*4</f>
        <v>511.20000000000005</v>
      </c>
      <c r="M209" s="345">
        <f>M167*4</f>
        <v>509.6</v>
      </c>
      <c r="N209" s="345">
        <f>N167*4</f>
        <v>487.59999999999997</v>
      </c>
      <c r="O209" s="345">
        <f>Quarts!H594*4</f>
        <v>1319.2</v>
      </c>
      <c r="P209" s="345">
        <f>Quarts!I594*4</f>
        <v>1400</v>
      </c>
    </row>
    <row r="210" spans="1:80">
      <c r="A210" s="92" t="s">
        <v>895</v>
      </c>
      <c r="K210" s="236">
        <f t="shared" ref="K210:P210" si="56">K207/K209</f>
        <v>3.5431034482758625</v>
      </c>
      <c r="L210" s="236">
        <f t="shared" si="56"/>
        <v>3.9156885758998428</v>
      </c>
      <c r="M210" s="236">
        <f t="shared" si="56"/>
        <v>3.872645211930926</v>
      </c>
      <c r="N210" s="236">
        <f t="shared" si="56"/>
        <v>4.2497949138638234</v>
      </c>
      <c r="O210" s="236">
        <f t="shared" si="56"/>
        <v>4.1503183747725885</v>
      </c>
      <c r="P210" s="236">
        <f t="shared" si="56"/>
        <v>3.9508571428571426</v>
      </c>
    </row>
    <row r="211" spans="1:80" ht="15.75" thickBot="1">
      <c r="J211" s="236"/>
      <c r="K211" s="236"/>
      <c r="BW211" s="92" t="s">
        <v>72</v>
      </c>
    </row>
    <row r="212" spans="1:80">
      <c r="A212" s="346"/>
      <c r="B212" s="347"/>
      <c r="C212" s="347"/>
      <c r="D212" s="347"/>
      <c r="E212" s="347"/>
      <c r="F212" s="347"/>
      <c r="G212" s="347"/>
      <c r="H212" s="347"/>
      <c r="I212" s="347"/>
      <c r="J212" s="347"/>
      <c r="K212" s="347"/>
      <c r="L212" s="347"/>
      <c r="M212" s="347"/>
      <c r="N212" s="347"/>
      <c r="O212" s="347"/>
      <c r="BO212" s="347"/>
      <c r="BP212" s="347" t="str">
        <f t="shared" ref="BP212:BY212" si="57">F223</f>
        <v>Q1 14</v>
      </c>
      <c r="BQ212" s="347" t="str">
        <f t="shared" si="57"/>
        <v>Q2 14</v>
      </c>
      <c r="BR212" s="347" t="str">
        <f t="shared" si="57"/>
        <v>Q3 14</v>
      </c>
      <c r="BS212" s="347" t="str">
        <f t="shared" si="57"/>
        <v>Q4 14</v>
      </c>
      <c r="BT212" s="347" t="str">
        <f t="shared" si="57"/>
        <v>Q1 15</v>
      </c>
      <c r="BU212" s="347" t="str">
        <f t="shared" si="57"/>
        <v>Q2 15</v>
      </c>
      <c r="BV212" s="347" t="str">
        <f t="shared" si="57"/>
        <v>Q3 15</v>
      </c>
      <c r="BW212" s="347" t="str">
        <f t="shared" si="57"/>
        <v>Q4 15</v>
      </c>
      <c r="BX212" s="347" t="str">
        <f t="shared" si="57"/>
        <v>Q1 16</v>
      </c>
      <c r="BY212" s="347" t="str">
        <f t="shared" si="57"/>
        <v>Q2 16</v>
      </c>
    </row>
    <row r="213" spans="1:80">
      <c r="A213" s="348" t="s">
        <v>896</v>
      </c>
      <c r="F213" s="345">
        <f>F266*1000/B314+F351</f>
        <v>338.00312873828182</v>
      </c>
      <c r="G213" s="345">
        <f>G266*1000/C314+G351</f>
        <v>339.61224312074228</v>
      </c>
      <c r="H213" s="345">
        <f>H266*1000/D314+H351</f>
        <v>331.13105249898609</v>
      </c>
      <c r="I213" s="345">
        <f>I266*1000/E314+I351</f>
        <v>332.56628093140523</v>
      </c>
      <c r="J213" s="345">
        <f>J266*1000/F314+J351</f>
        <v>315.24137345893666</v>
      </c>
      <c r="K213" s="345">
        <f>K266*1000/G314+(K351-K217)</f>
        <v>329.20954090826649</v>
      </c>
      <c r="L213" s="345">
        <f>L266*1000/H314+(L351-L217)</f>
        <v>321.37831507137901</v>
      </c>
      <c r="M213" s="345">
        <f>M266*1000/I314+(M351-M217)</f>
        <v>320.16805533471143</v>
      </c>
      <c r="N213" s="345">
        <f>N266*1000/J314+(N351-N217)</f>
        <v>305.8962295401891</v>
      </c>
      <c r="O213" s="345">
        <f>O266*1000/K314+(O351-(O217-K217))</f>
        <v>322.46850024267917</v>
      </c>
      <c r="P213" s="345"/>
      <c r="BP213" s="124">
        <f t="shared" ref="BP213:BY213" si="58">F213/B166-1</f>
        <v>4.4509050489127899E-2</v>
      </c>
      <c r="BQ213" s="124">
        <f t="shared" si="58"/>
        <v>3.9205150308269099E-2</v>
      </c>
      <c r="BR213" s="124">
        <f t="shared" si="58"/>
        <v>3.640392018462002E-2</v>
      </c>
      <c r="BS213" s="124">
        <f t="shared" si="58"/>
        <v>4.2854440048307518E-2</v>
      </c>
      <c r="BT213" s="124">
        <f t="shared" si="58"/>
        <v>5.0804578196455452E-2</v>
      </c>
      <c r="BU213" s="124">
        <f t="shared" si="58"/>
        <v>7.4239906049627935E-2</v>
      </c>
      <c r="BV213" s="124">
        <f t="shared" si="58"/>
        <v>7.1690805910405997E-2</v>
      </c>
      <c r="BW213" s="124">
        <f t="shared" si="58"/>
        <v>7.4798224658066514E-2</v>
      </c>
      <c r="BX213" s="124">
        <f t="shared" si="58"/>
        <v>6.3579311599765598E-2</v>
      </c>
      <c r="BY213" s="124">
        <f t="shared" si="58"/>
        <v>3.5544316771609408E-2</v>
      </c>
      <c r="BZ213" s="124"/>
      <c r="CA213" s="124"/>
    </row>
    <row r="214" spans="1:80" ht="15.75" thickBot="1">
      <c r="A214" s="349" t="s">
        <v>897</v>
      </c>
      <c r="B214" s="350"/>
      <c r="C214" s="350"/>
      <c r="D214" s="350"/>
      <c r="E214" s="350"/>
      <c r="F214" s="351">
        <f>F272*1000/B314+F382</f>
        <v>126.03189212250898</v>
      </c>
      <c r="G214" s="351">
        <f>G272*1000/C314+G382</f>
        <v>131.28495331949222</v>
      </c>
      <c r="H214" s="351">
        <f>H272*1000/D314+H382</f>
        <v>131.61606602321365</v>
      </c>
      <c r="I214" s="351">
        <f>I272*1000/E314+I382</f>
        <v>140.88214293567088</v>
      </c>
      <c r="J214" s="351">
        <f>J272*1000/F314+J382</f>
        <v>119.43891866426399</v>
      </c>
      <c r="K214" s="351">
        <f>K272*1000/G314+K382-K218</f>
        <v>134.40161133860573</v>
      </c>
      <c r="L214" s="351">
        <f>L272*1000/H314+L382-L218</f>
        <v>130.50563383939681</v>
      </c>
      <c r="M214" s="351">
        <f>M272*1000/I314+M382-M218</f>
        <v>131.14713639121183</v>
      </c>
      <c r="N214" s="351">
        <f>N272*1000/J314+N382-N218</f>
        <v>121.44531156958212</v>
      </c>
      <c r="O214" s="351">
        <f>O272*1000/K314+O382-(O218-K218)</f>
        <v>132.59488755864746</v>
      </c>
      <c r="P214" s="345"/>
      <c r="BO214" s="350"/>
      <c r="BP214" s="352">
        <f t="shared" ref="BP214:BV214" si="59">F214/B167-1</f>
        <v>0.1583615001813854</v>
      </c>
      <c r="BQ214" s="352">
        <f t="shared" si="59"/>
        <v>0.18546416267234012</v>
      </c>
      <c r="BR214" s="352">
        <f t="shared" si="59"/>
        <v>0.18022561318019448</v>
      </c>
      <c r="BS214" s="352">
        <f t="shared" si="59"/>
        <v>8.4189277273725382E-2</v>
      </c>
      <c r="BT214" s="352">
        <f t="shared" si="59"/>
        <v>7.2162645101113032E-2</v>
      </c>
      <c r="BU214" s="352">
        <f t="shared" si="59"/>
        <v>0.13016162835847722</v>
      </c>
      <c r="BV214" s="352">
        <f t="shared" si="59"/>
        <v>9.1681821160169319E-2</v>
      </c>
      <c r="BW214" s="557">
        <f>2%+3/I214</f>
        <v>4.1294394999157907E-2</v>
      </c>
      <c r="BX214" s="352">
        <f>N214/J167-1</f>
        <v>0.12241507920131345</v>
      </c>
      <c r="BY214" s="352">
        <f>O214/K167-1</f>
        <v>3.9144886823256009E-2</v>
      </c>
      <c r="BZ214" s="124"/>
      <c r="CA214" s="124"/>
    </row>
    <row r="216" spans="1:80">
      <c r="A216" s="353" t="s">
        <v>898</v>
      </c>
    </row>
    <row r="217" spans="1:80">
      <c r="A217" s="92" t="s">
        <v>482</v>
      </c>
      <c r="K217" s="92">
        <v>7.4</v>
      </c>
      <c r="L217" s="92">
        <v>22.6</v>
      </c>
      <c r="M217" s="236">
        <v>23</v>
      </c>
      <c r="N217" s="236">
        <v>22.5</v>
      </c>
      <c r="O217" s="236">
        <v>22.5</v>
      </c>
      <c r="P217" s="236"/>
      <c r="R217" s="563"/>
      <c r="S217" s="563"/>
      <c r="T217" s="563"/>
      <c r="U217" s="563"/>
      <c r="V217" s="563"/>
      <c r="W217" s="563"/>
      <c r="X217" s="563"/>
      <c r="Y217" s="563"/>
      <c r="Z217" s="563"/>
      <c r="AA217" s="563"/>
      <c r="AB217" s="563"/>
      <c r="AC217" s="563"/>
      <c r="AD217" s="563"/>
      <c r="AE217" s="563"/>
      <c r="AF217" s="563"/>
      <c r="AG217" s="563"/>
      <c r="AH217" s="563"/>
      <c r="AI217" s="563"/>
      <c r="AJ217" s="563"/>
      <c r="AK217" s="563"/>
      <c r="AL217" s="563"/>
      <c r="AM217" s="563"/>
      <c r="AN217" s="563"/>
      <c r="AO217" s="563"/>
      <c r="AP217" s="563"/>
      <c r="AQ217" s="563"/>
      <c r="AR217" s="563"/>
      <c r="AS217" s="563"/>
      <c r="AT217" s="563"/>
      <c r="AU217" s="563"/>
      <c r="AV217" s="563"/>
      <c r="AW217" s="563"/>
      <c r="AX217" s="563"/>
      <c r="AY217" s="563"/>
      <c r="AZ217" s="563"/>
      <c r="BA217" s="563"/>
      <c r="BB217" s="563"/>
      <c r="BC217" s="563"/>
      <c r="BD217" s="563"/>
      <c r="BE217" s="563"/>
      <c r="BF217" s="563"/>
      <c r="BG217" s="563"/>
      <c r="BH217" s="563"/>
      <c r="BI217" s="563"/>
      <c r="BJ217" s="563"/>
      <c r="BK217" s="563"/>
      <c r="BL217" s="563"/>
    </row>
    <row r="218" spans="1:80">
      <c r="A218" s="92" t="s">
        <v>8</v>
      </c>
      <c r="I218" s="236"/>
      <c r="K218" s="236">
        <f>K217-3.4</f>
        <v>4</v>
      </c>
      <c r="L218" s="236">
        <f>L217-10</f>
        <v>12.600000000000001</v>
      </c>
      <c r="M218" s="236">
        <v>11</v>
      </c>
      <c r="N218" s="236">
        <v>11</v>
      </c>
      <c r="O218" s="236">
        <v>11</v>
      </c>
      <c r="P218" s="236"/>
      <c r="R218" s="563"/>
      <c r="S218" s="563"/>
      <c r="T218" s="563"/>
      <c r="U218" s="563"/>
      <c r="V218" s="563"/>
      <c r="W218" s="563"/>
      <c r="X218" s="563"/>
      <c r="Y218" s="563"/>
      <c r="Z218" s="563"/>
      <c r="AA218" s="563"/>
      <c r="AB218" s="563"/>
      <c r="AC218" s="563"/>
      <c r="AD218" s="563"/>
      <c r="AE218" s="563"/>
      <c r="AF218" s="563"/>
      <c r="AG218" s="563"/>
      <c r="AH218" s="563"/>
      <c r="AI218" s="563"/>
      <c r="AJ218" s="563"/>
      <c r="AK218" s="563"/>
      <c r="AL218" s="563"/>
      <c r="AM218" s="563"/>
      <c r="AN218" s="563"/>
      <c r="AO218" s="563"/>
      <c r="AP218" s="563"/>
      <c r="AQ218" s="563"/>
      <c r="AR218" s="563"/>
      <c r="AS218" s="563"/>
      <c r="AT218" s="563"/>
      <c r="AU218" s="563"/>
      <c r="AV218" s="563"/>
      <c r="AW218" s="563"/>
      <c r="AX218" s="563"/>
      <c r="AY218" s="563"/>
      <c r="AZ218" s="563"/>
      <c r="BA218" s="563"/>
      <c r="BB218" s="563"/>
      <c r="BC218" s="563"/>
      <c r="BD218" s="563"/>
      <c r="BE218" s="563"/>
      <c r="BF218" s="563"/>
      <c r="BG218" s="563"/>
      <c r="BH218" s="563"/>
      <c r="BI218" s="563"/>
      <c r="BJ218" s="563"/>
      <c r="BK218" s="563"/>
      <c r="BL218" s="563"/>
    </row>
    <row r="219" spans="1:80">
      <c r="A219" s="92" t="s">
        <v>251</v>
      </c>
      <c r="K219" s="313">
        <f>K218/K217</f>
        <v>0.54054054054054046</v>
      </c>
      <c r="L219" s="313">
        <f>L218/L217</f>
        <v>0.55752212389380529</v>
      </c>
      <c r="M219" s="313">
        <f>M218/M217</f>
        <v>0.47826086956521741</v>
      </c>
      <c r="N219" s="313">
        <f>N218/N217</f>
        <v>0.48888888888888887</v>
      </c>
      <c r="O219" s="313">
        <f>O218/O217</f>
        <v>0.48888888888888887</v>
      </c>
      <c r="P219" s="313"/>
      <c r="AG219" s="563"/>
      <c r="AH219" s="563"/>
      <c r="AI219" s="563"/>
      <c r="AJ219" s="563"/>
      <c r="AK219" s="563"/>
    </row>
    <row r="220" spans="1:80">
      <c r="AG220" s="563"/>
      <c r="AH220" s="563"/>
      <c r="AI220" s="563"/>
      <c r="AJ220" s="563"/>
      <c r="AK220" s="563"/>
    </row>
    <row r="221" spans="1:80">
      <c r="A221" s="303" t="s">
        <v>899</v>
      </c>
      <c r="AG221" s="563"/>
      <c r="AH221" s="563"/>
      <c r="AI221" s="563"/>
      <c r="AJ221" s="563"/>
      <c r="AK221" s="563"/>
    </row>
    <row r="222" spans="1:80">
      <c r="O222" s="313"/>
      <c r="P222" s="313"/>
      <c r="AG222" s="563"/>
      <c r="AH222" s="563"/>
      <c r="AI222" s="563"/>
      <c r="AJ222" s="563"/>
      <c r="AK222" s="563"/>
    </row>
    <row r="223" spans="1:80">
      <c r="A223" s="175" t="s">
        <v>900</v>
      </c>
      <c r="B223" s="336" t="str">
        <f t="shared" ref="B223:M223" si="60">B165</f>
        <v>Q1 13</v>
      </c>
      <c r="C223" s="336" t="str">
        <f t="shared" si="60"/>
        <v>Q2 13</v>
      </c>
      <c r="D223" s="336" t="str">
        <f t="shared" si="60"/>
        <v>Q3 13</v>
      </c>
      <c r="E223" s="336" t="str">
        <f t="shared" si="60"/>
        <v>Q4 13</v>
      </c>
      <c r="F223" s="336" t="str">
        <f t="shared" si="60"/>
        <v>Q1 14</v>
      </c>
      <c r="G223" s="336" t="str">
        <f t="shared" si="60"/>
        <v>Q2 14</v>
      </c>
      <c r="H223" s="336" t="str">
        <f t="shared" si="60"/>
        <v>Q3 14</v>
      </c>
      <c r="I223" s="336" t="str">
        <f t="shared" si="60"/>
        <v>Q4 14</v>
      </c>
      <c r="J223" s="336" t="str">
        <f t="shared" si="60"/>
        <v>Q1 15</v>
      </c>
      <c r="K223" s="336" t="str">
        <f t="shared" si="60"/>
        <v>Q2 15</v>
      </c>
      <c r="L223" s="336" t="str">
        <f t="shared" si="60"/>
        <v>Q3 15</v>
      </c>
      <c r="M223" s="336" t="str">
        <f t="shared" si="60"/>
        <v>Q4 15</v>
      </c>
      <c r="N223" s="336" t="str">
        <f t="shared" ref="N223:V223" si="61">N165</f>
        <v>Q1 16</v>
      </c>
      <c r="O223" s="336" t="str">
        <f t="shared" si="61"/>
        <v>Q2 16</v>
      </c>
      <c r="P223" s="336" t="str">
        <f t="shared" si="61"/>
        <v>Q3 16</v>
      </c>
      <c r="Q223" s="336" t="str">
        <f t="shared" si="61"/>
        <v>Q4 16</v>
      </c>
      <c r="R223" s="336" t="str">
        <f t="shared" si="61"/>
        <v>Q1 17</v>
      </c>
      <c r="S223" s="336" t="str">
        <f t="shared" si="61"/>
        <v>Q2 17</v>
      </c>
      <c r="T223" s="336" t="str">
        <f t="shared" si="61"/>
        <v>Q3 17</v>
      </c>
      <c r="U223" s="336" t="str">
        <f t="shared" si="61"/>
        <v>Q4 17</v>
      </c>
      <c r="V223" s="336" t="str">
        <f t="shared" si="61"/>
        <v>Q1 18</v>
      </c>
      <c r="W223" s="336" t="str">
        <f t="shared" ref="W223:AE223" si="62">W165</f>
        <v>Q2 18</v>
      </c>
      <c r="X223" s="336" t="str">
        <f t="shared" si="62"/>
        <v>Q3 18</v>
      </c>
      <c r="Y223" s="336" t="str">
        <f t="shared" si="62"/>
        <v>Q4 18</v>
      </c>
      <c r="Z223" s="336" t="str">
        <f t="shared" si="62"/>
        <v>Q1 19</v>
      </c>
      <c r="AA223" s="336" t="str">
        <f t="shared" si="62"/>
        <v>Q2 19</v>
      </c>
      <c r="AB223" s="336" t="str">
        <f t="shared" si="62"/>
        <v>Q3 19</v>
      </c>
      <c r="AC223" s="336" t="str">
        <f t="shared" si="62"/>
        <v>Q4 19</v>
      </c>
      <c r="AD223" s="336" t="str">
        <f t="shared" si="62"/>
        <v>Q1 20</v>
      </c>
      <c r="AE223" s="336" t="str">
        <f t="shared" si="62"/>
        <v>Q2 20</v>
      </c>
      <c r="AF223" s="336" t="s">
        <v>5188</v>
      </c>
      <c r="AG223" s="336" t="s">
        <v>5371</v>
      </c>
      <c r="AH223" s="336" t="s">
        <v>5556</v>
      </c>
      <c r="AI223" s="336" t="s">
        <v>5696</v>
      </c>
      <c r="AJ223" s="336" t="s">
        <v>5878</v>
      </c>
      <c r="AK223" s="336" t="s">
        <v>5920</v>
      </c>
      <c r="AL223" s="336" t="str">
        <f>'New quarts'!AM4</f>
        <v>Q1 22</v>
      </c>
      <c r="AM223" s="336" t="str">
        <f>'New quarts'!AN4</f>
        <v>Q2 22</v>
      </c>
      <c r="AN223" s="336" t="str">
        <f>'New quarts'!AO4</f>
        <v>Q3 22</v>
      </c>
      <c r="AO223" s="336" t="str">
        <f>'New quarts'!AP4</f>
        <v>Q4 22</v>
      </c>
      <c r="AP223" s="336" t="str">
        <f>'New quarts'!AR4</f>
        <v>Q1 23</v>
      </c>
      <c r="AQ223" s="336" t="str">
        <f>'New quarts'!AS4</f>
        <v>Q2 23</v>
      </c>
      <c r="AR223" s="336" t="str">
        <f>'New quarts'!AT4</f>
        <v>Q3 23</v>
      </c>
      <c r="AS223" s="336" t="str">
        <f>'New quarts'!AU4</f>
        <v>Q4 23</v>
      </c>
      <c r="AT223" s="336" t="str">
        <f>'New quarts'!AW4</f>
        <v>Q1 24</v>
      </c>
      <c r="AV223" s="356"/>
      <c r="AW223" s="356"/>
      <c r="AX223" s="356"/>
      <c r="AY223" s="356"/>
      <c r="AZ223" s="356"/>
      <c r="BA223" s="356"/>
      <c r="BB223" s="356"/>
      <c r="BC223" s="356"/>
      <c r="BD223" s="356"/>
      <c r="BE223" s="356"/>
      <c r="BF223" s="356"/>
      <c r="BG223" s="356"/>
      <c r="BH223" s="356"/>
      <c r="BI223" s="356"/>
      <c r="BJ223" s="356"/>
      <c r="BK223" s="356"/>
      <c r="BL223" s="356"/>
    </row>
    <row r="224" spans="1:80">
      <c r="A224" s="92" t="s">
        <v>557</v>
      </c>
      <c r="B224" s="92">
        <f>VTR!BV4</f>
        <v>2867.8</v>
      </c>
      <c r="C224" s="92">
        <f>VTR!BW4</f>
        <v>2887.4</v>
      </c>
      <c r="D224" s="92">
        <f>VTR!BX4</f>
        <v>2905.6</v>
      </c>
      <c r="E224" s="92">
        <f>VTR!BY4</f>
        <v>2927.3</v>
      </c>
      <c r="F224" s="92">
        <f>VTR!BZ4</f>
        <v>2933.2</v>
      </c>
      <c r="G224" s="92">
        <f>VTR!CA4</f>
        <v>2948.2</v>
      </c>
      <c r="H224" s="92">
        <f>VTR!CB4</f>
        <v>2968.9</v>
      </c>
      <c r="I224" s="92">
        <f>VTR!CC4</f>
        <v>2978.8</v>
      </c>
      <c r="J224" s="92">
        <f>VTR!CD4</f>
        <v>2985.8</v>
      </c>
      <c r="K224" s="92">
        <v>2999.3</v>
      </c>
      <c r="L224" s="92">
        <v>3034.9</v>
      </c>
      <c r="M224" s="92">
        <v>3061.5</v>
      </c>
      <c r="N224" s="92">
        <v>3081</v>
      </c>
      <c r="O224" s="92">
        <v>3150.6</v>
      </c>
      <c r="P224" s="92">
        <v>3198.4</v>
      </c>
      <c r="Q224" s="92">
        <v>3216.6</v>
      </c>
      <c r="R224" s="92">
        <v>3271.5</v>
      </c>
      <c r="S224" s="92">
        <v>3319.3</v>
      </c>
      <c r="T224" s="92">
        <v>3360.7</v>
      </c>
      <c r="U224" s="92">
        <v>3394.7</v>
      </c>
      <c r="V224" s="92">
        <v>3432.5</v>
      </c>
      <c r="W224" s="92">
        <v>3469.9</v>
      </c>
      <c r="X224" s="92">
        <v>3504.4</v>
      </c>
      <c r="Y224" s="92">
        <v>3517.7</v>
      </c>
      <c r="Z224" s="92">
        <v>3558.5</v>
      </c>
      <c r="AA224" s="236">
        <v>3610</v>
      </c>
      <c r="AB224" s="236">
        <v>3664</v>
      </c>
      <c r="AC224" s="92">
        <v>3699.3</v>
      </c>
      <c r="AD224" s="92">
        <v>3721.5</v>
      </c>
      <c r="AE224" s="92">
        <v>3725.7</v>
      </c>
      <c r="AF224" s="92">
        <v>3737.1</v>
      </c>
      <c r="AG224" s="92">
        <v>3848.6</v>
      </c>
      <c r="AH224" s="92">
        <v>3924.6</v>
      </c>
      <c r="AI224" s="92">
        <v>4041.6</v>
      </c>
      <c r="AJ224" s="92">
        <v>4127</v>
      </c>
      <c r="AK224" s="92">
        <v>4175.8999999999996</v>
      </c>
      <c r="AL224" s="92">
        <v>4240.3</v>
      </c>
      <c r="AM224" s="92">
        <v>4271.3</v>
      </c>
      <c r="AN224" s="92">
        <v>4292.1000000000004</v>
      </c>
      <c r="AP224" s="364"/>
      <c r="AQ224" s="364"/>
      <c r="AR224" s="364"/>
      <c r="AS224" s="364"/>
      <c r="AT224" s="364"/>
      <c r="AU224" s="364"/>
      <c r="AV224" s="364"/>
      <c r="AW224" s="364"/>
      <c r="AX224" s="364"/>
      <c r="AY224" s="364"/>
      <c r="AZ224" s="364"/>
      <c r="BA224" s="364"/>
      <c r="BB224" s="364"/>
      <c r="BC224" s="364"/>
      <c r="BD224" s="364"/>
      <c r="BE224" s="364"/>
      <c r="BF224" s="364"/>
      <c r="BG224" s="364"/>
      <c r="BH224" s="364"/>
      <c r="BI224" s="364"/>
      <c r="BJ224" s="364"/>
      <c r="BK224" s="364"/>
      <c r="BL224" s="364"/>
      <c r="BX224" s="124">
        <f>N224/J224-1</f>
        <v>3.188425212673307E-2</v>
      </c>
      <c r="BY224" s="124">
        <f>O224/K224-1</f>
        <v>5.044510385756662E-2</v>
      </c>
      <c r="BZ224" s="124">
        <f>P224/L224-1</f>
        <v>5.3873274242973501E-2</v>
      </c>
      <c r="CA224" s="124">
        <f>Q224/M224-1</f>
        <v>5.0661440470357588E-2</v>
      </c>
      <c r="CB224" s="124">
        <f>R224/N224-1</f>
        <v>6.1830574488802359E-2</v>
      </c>
    </row>
    <row r="225" spans="1:64">
      <c r="A225" s="92" t="s">
        <v>558</v>
      </c>
      <c r="B225" s="236">
        <f>VTR!BV5</f>
        <v>2337.4</v>
      </c>
      <c r="C225" s="236">
        <f>VTR!BW5</f>
        <v>2361.3000000000002</v>
      </c>
      <c r="D225" s="236">
        <f>VTR!BX5</f>
        <v>2383.6999999999998</v>
      </c>
      <c r="E225" s="236">
        <f>VTR!BY5</f>
        <v>2406.1</v>
      </c>
      <c r="F225" s="236">
        <f>VTR!BZ5</f>
        <v>2412.3000000000002</v>
      </c>
      <c r="G225" s="236">
        <f>VTR!CA5</f>
        <v>2427.6999999999998</v>
      </c>
      <c r="H225" s="236">
        <f>VTR!CB5</f>
        <v>2449.1999999999998</v>
      </c>
      <c r="I225" s="236">
        <f>VTR!CC5</f>
        <v>2459.6999999999998</v>
      </c>
      <c r="J225" s="236">
        <f>VTR!CD5</f>
        <v>2467</v>
      </c>
      <c r="K225" s="92">
        <v>2481.1999999999998</v>
      </c>
      <c r="L225" s="236">
        <v>2518</v>
      </c>
      <c r="M225" s="236">
        <v>2545.1</v>
      </c>
      <c r="N225" s="92">
        <v>2568.3000000000002</v>
      </c>
      <c r="O225" s="92">
        <v>2638.6</v>
      </c>
      <c r="P225" s="92">
        <v>2698.3</v>
      </c>
      <c r="Q225" s="92">
        <v>2710.5</v>
      </c>
      <c r="R225" s="92">
        <v>2758.6</v>
      </c>
      <c r="S225" s="92">
        <v>2817.2</v>
      </c>
      <c r="T225" s="92">
        <v>2868.1</v>
      </c>
      <c r="U225" s="92">
        <v>2912.8</v>
      </c>
      <c r="V225" s="92">
        <v>2957.8</v>
      </c>
      <c r="W225" s="92">
        <v>2999.6</v>
      </c>
      <c r="X225" s="92">
        <v>3048.4</v>
      </c>
      <c r="Y225" s="92">
        <v>3062.7</v>
      </c>
      <c r="Z225" s="92">
        <v>3106.1</v>
      </c>
      <c r="AA225" s="92">
        <v>3158.2</v>
      </c>
      <c r="AB225" s="92">
        <v>3213.6</v>
      </c>
      <c r="AC225" s="92">
        <v>3264.3</v>
      </c>
      <c r="AD225" s="92">
        <v>3293.1</v>
      </c>
      <c r="AE225" s="92">
        <v>3298</v>
      </c>
      <c r="AF225" s="92">
        <v>3309.4</v>
      </c>
      <c r="AG225" s="92">
        <v>3424.7</v>
      </c>
      <c r="AH225" s="92">
        <v>3501.7</v>
      </c>
      <c r="AI225" s="92">
        <v>3632.2</v>
      </c>
      <c r="AJ225" s="92">
        <v>3757.6</v>
      </c>
      <c r="AK225" s="92">
        <v>3809.3</v>
      </c>
      <c r="AL225" s="92">
        <v>3874.3</v>
      </c>
      <c r="AM225" s="92">
        <v>3905.5</v>
      </c>
      <c r="AN225" s="92">
        <v>3926.5</v>
      </c>
    </row>
    <row r="226" spans="1:64">
      <c r="A226" s="92" t="s">
        <v>559</v>
      </c>
      <c r="B226" s="236">
        <f>VTR!BV6</f>
        <v>1167.9000000000001</v>
      </c>
      <c r="C226" s="236">
        <f>VTR!BW6</f>
        <v>1182.9000000000001</v>
      </c>
      <c r="D226" s="236">
        <f>VTR!BX6</f>
        <v>1193.8</v>
      </c>
      <c r="E226" s="236">
        <f>VTR!BY6</f>
        <v>1199.8</v>
      </c>
      <c r="F226" s="236">
        <f>VTR!BZ6</f>
        <v>1210.3</v>
      </c>
      <c r="G226" s="236">
        <f>VTR!CA6</f>
        <v>1224.7</v>
      </c>
      <c r="H226" s="236">
        <f>VTR!CB6</f>
        <v>1229.9000000000001</v>
      </c>
      <c r="I226" s="236">
        <f>VTR!CC6</f>
        <v>1225.3</v>
      </c>
      <c r="J226" s="236">
        <f>VTR!CD6</f>
        <v>1237.9000000000001</v>
      </c>
      <c r="K226" s="92">
        <v>1250.5999999999999</v>
      </c>
      <c r="L226" s="92">
        <v>1259.8</v>
      </c>
      <c r="M226" s="92">
        <v>1263.4000000000001</v>
      </c>
      <c r="N226" s="92">
        <v>1279.7</v>
      </c>
      <c r="O226" s="92">
        <v>1303.8</v>
      </c>
      <c r="P226" s="92">
        <v>1317.8</v>
      </c>
      <c r="Q226" s="92">
        <v>1328.9</v>
      </c>
      <c r="R226" s="92">
        <v>1352.8</v>
      </c>
      <c r="S226" s="92">
        <v>1375.5</v>
      </c>
      <c r="T226" s="92">
        <v>1395.3</v>
      </c>
      <c r="U226" s="92">
        <v>1406.9</v>
      </c>
      <c r="V226" s="92">
        <v>1427.7</v>
      </c>
      <c r="W226" s="92">
        <v>1449.8</v>
      </c>
      <c r="X226" s="92">
        <v>1462.7</v>
      </c>
      <c r="Y226" s="92">
        <v>1468.5</v>
      </c>
      <c r="Z226" s="92">
        <v>1476.8</v>
      </c>
      <c r="AA226" s="92">
        <v>1492.9</v>
      </c>
      <c r="AB226" s="92">
        <v>1502.8</v>
      </c>
      <c r="AC226" s="92">
        <v>1511.7</v>
      </c>
      <c r="AD226" s="92">
        <v>1524.7</v>
      </c>
      <c r="AE226" s="92">
        <v>1536.8</v>
      </c>
      <c r="AF226" s="92">
        <v>1494.7</v>
      </c>
      <c r="AG226" s="92">
        <v>1465.8</v>
      </c>
      <c r="AH226" s="92">
        <v>1455.3</v>
      </c>
      <c r="AI226" s="92">
        <v>1441.6</v>
      </c>
      <c r="AJ226" s="92">
        <v>1423.3</v>
      </c>
      <c r="AK226" s="92">
        <v>1388.8</v>
      </c>
      <c r="AL226" s="92">
        <v>1373.1</v>
      </c>
      <c r="AM226" s="92">
        <v>1342.2</v>
      </c>
      <c r="AN226" s="92">
        <v>1311.5</v>
      </c>
      <c r="AP226" s="236"/>
      <c r="AQ226" s="236"/>
      <c r="AR226" s="236"/>
      <c r="AS226" s="236"/>
      <c r="AT226" s="236"/>
      <c r="AU226" s="236"/>
      <c r="AV226" s="236"/>
      <c r="AW226" s="236"/>
      <c r="AX226" s="236"/>
      <c r="AY226" s="236"/>
      <c r="AZ226" s="236"/>
      <c r="BA226" s="236"/>
      <c r="BB226" s="236"/>
      <c r="BC226" s="236"/>
      <c r="BD226" s="236"/>
      <c r="BE226" s="236"/>
      <c r="BF226" s="236"/>
      <c r="BG226" s="236"/>
      <c r="BH226" s="236"/>
      <c r="BI226" s="236"/>
      <c r="BJ226" s="236"/>
      <c r="BK226" s="236"/>
      <c r="BL226" s="236"/>
    </row>
    <row r="227" spans="1:64">
      <c r="A227" s="92" t="s">
        <v>389</v>
      </c>
      <c r="B227" s="236">
        <f>VTR!BV12</f>
        <v>954.9</v>
      </c>
      <c r="C227" s="236">
        <f>VTR!BW12</f>
        <v>973.09999999999991</v>
      </c>
      <c r="D227" s="236">
        <f>VTR!BX12</f>
        <v>985.1</v>
      </c>
      <c r="E227" s="236">
        <f>VTR!BY12</f>
        <v>989.40000000000009</v>
      </c>
      <c r="F227" s="236">
        <f>VTR!BZ12</f>
        <v>998.8</v>
      </c>
      <c r="G227" s="236">
        <f>VTR!CA12</f>
        <v>1007.9</v>
      </c>
      <c r="H227" s="236">
        <f>VTR!CB12</f>
        <v>1009</v>
      </c>
      <c r="I227" s="236">
        <f>VTR!CC12</f>
        <v>1013.5</v>
      </c>
      <c r="J227" s="236">
        <f>VTR!CD12</f>
        <v>1008.4</v>
      </c>
      <c r="K227" s="92">
        <v>1022.9</v>
      </c>
      <c r="L227" s="92">
        <v>1026.2</v>
      </c>
      <c r="M227" s="236">
        <v>1026</v>
      </c>
      <c r="N227" s="92">
        <v>1030.4000000000001</v>
      </c>
      <c r="O227" s="92">
        <v>1040.7</v>
      </c>
      <c r="P227" s="92">
        <v>1044.8</v>
      </c>
      <c r="Q227" s="92">
        <v>1047.3</v>
      </c>
      <c r="R227" s="92">
        <v>1052.3</v>
      </c>
      <c r="S227" s="92">
        <v>1065.0999999999999</v>
      </c>
      <c r="T227" s="92">
        <v>1068.7</v>
      </c>
      <c r="U227" s="92">
        <v>1067.4000000000001</v>
      </c>
      <c r="V227" s="92">
        <v>1076.3</v>
      </c>
      <c r="W227" s="92">
        <v>1084.3</v>
      </c>
      <c r="X227" s="92">
        <v>1088.2</v>
      </c>
      <c r="Y227" s="92">
        <v>1079.4000000000001</v>
      </c>
      <c r="Z227" s="92">
        <v>1083.7</v>
      </c>
      <c r="AA227" s="92">
        <v>1092.3</v>
      </c>
      <c r="AB227" s="92">
        <v>1098.3</v>
      </c>
      <c r="AC227" s="92">
        <v>1099.7</v>
      </c>
      <c r="AD227" s="92">
        <v>1099.0999999999999</v>
      </c>
      <c r="AE227" s="92">
        <v>1096.5</v>
      </c>
      <c r="AF227" s="92">
        <v>1073.5</v>
      </c>
      <c r="AG227" s="92">
        <v>1065.5</v>
      </c>
      <c r="AH227" s="92">
        <v>1067.2</v>
      </c>
      <c r="AI227" s="92">
        <v>1068.9000000000001</v>
      </c>
      <c r="AJ227" s="92">
        <v>1070.5</v>
      </c>
      <c r="AK227" s="92">
        <v>1060.5</v>
      </c>
      <c r="AL227" s="92">
        <v>1037.5999999999999</v>
      </c>
      <c r="AM227" s="92">
        <v>997.9</v>
      </c>
      <c r="AN227" s="92">
        <v>967.9</v>
      </c>
      <c r="AP227" s="236"/>
      <c r="AR227" s="236"/>
      <c r="AS227" s="236"/>
      <c r="AT227" s="236"/>
    </row>
    <row r="228" spans="1:64">
      <c r="A228" s="92" t="s">
        <v>564</v>
      </c>
      <c r="B228" s="236">
        <f>VTR!BV13</f>
        <v>846.5</v>
      </c>
      <c r="C228" s="236">
        <f>VTR!BW13</f>
        <v>867.1</v>
      </c>
      <c r="D228" s="236">
        <f>VTR!BX13</f>
        <v>880.7</v>
      </c>
      <c r="E228" s="236">
        <f>VTR!BY13</f>
        <v>885.7</v>
      </c>
      <c r="F228" s="236">
        <f>VTR!BZ13</f>
        <v>899.4</v>
      </c>
      <c r="G228" s="236">
        <f>VTR!CA13</f>
        <v>921</v>
      </c>
      <c r="H228" s="236">
        <f>VTR!CB13</f>
        <v>932.6</v>
      </c>
      <c r="I228" s="236">
        <f>VTR!CC13</f>
        <v>932</v>
      </c>
      <c r="J228" s="236">
        <f>VTR!CD13</f>
        <v>954.9</v>
      </c>
      <c r="K228" s="92">
        <v>977.7</v>
      </c>
      <c r="L228" s="92">
        <v>993.6</v>
      </c>
      <c r="M228" s="92">
        <v>1003.1</v>
      </c>
      <c r="N228" s="92">
        <v>1026.4000000000001</v>
      </c>
      <c r="O228" s="92">
        <v>1056.2</v>
      </c>
      <c r="P228" s="92">
        <v>1076.8</v>
      </c>
      <c r="Q228" s="92">
        <v>1091.2</v>
      </c>
      <c r="R228" s="92">
        <v>1117.8</v>
      </c>
      <c r="S228" s="92">
        <v>1143.4000000000001</v>
      </c>
      <c r="T228" s="92">
        <v>1164.5</v>
      </c>
      <c r="U228" s="92">
        <v>1181.5999999999999</v>
      </c>
      <c r="V228" s="92">
        <v>1207.4000000000001</v>
      </c>
      <c r="W228" s="92">
        <v>1234.3</v>
      </c>
      <c r="X228" s="92">
        <v>1251.9000000000001</v>
      </c>
      <c r="Y228" s="236">
        <v>1259</v>
      </c>
      <c r="Z228" s="236">
        <v>1272.0999999999999</v>
      </c>
      <c r="AA228" s="236">
        <v>1290.5</v>
      </c>
      <c r="AB228" s="236">
        <v>1304.3</v>
      </c>
      <c r="AC228" s="236">
        <v>1317.1</v>
      </c>
      <c r="AD228" s="236">
        <v>1331.4</v>
      </c>
      <c r="AE228" s="236">
        <v>1350</v>
      </c>
      <c r="AF228" s="236">
        <v>1316</v>
      </c>
      <c r="AG228" s="236">
        <v>1286.0999999999999</v>
      </c>
      <c r="AH228" s="236">
        <v>1277.9000000000001</v>
      </c>
      <c r="AI228" s="236">
        <v>1266.3</v>
      </c>
      <c r="AJ228" s="236">
        <v>1249.5999999999999</v>
      </c>
      <c r="AK228" s="236">
        <v>1218.9000000000001</v>
      </c>
      <c r="AL228" s="236">
        <v>1209.7</v>
      </c>
      <c r="AM228" s="236">
        <v>1192</v>
      </c>
      <c r="AN228" s="236">
        <v>1171.8</v>
      </c>
      <c r="AO228" s="236"/>
      <c r="AP228" s="236"/>
      <c r="AR228" s="236"/>
      <c r="AS228" s="236"/>
      <c r="AT228" s="236"/>
    </row>
    <row r="229" spans="1:64">
      <c r="A229" s="92" t="s">
        <v>565</v>
      </c>
      <c r="B229" s="236">
        <f>VTR!BV14</f>
        <v>684.4</v>
      </c>
      <c r="C229" s="236">
        <f>VTR!BW14</f>
        <v>689.3</v>
      </c>
      <c r="D229" s="236">
        <f>VTR!BX14</f>
        <v>692.7</v>
      </c>
      <c r="E229" s="236">
        <f>VTR!BY14</f>
        <v>689.7</v>
      </c>
      <c r="F229" s="236">
        <f>VTR!BZ14</f>
        <v>698.4</v>
      </c>
      <c r="G229" s="236">
        <f>VTR!CA14</f>
        <v>708.9</v>
      </c>
      <c r="H229" s="236">
        <f>VTR!CB14</f>
        <v>705.4</v>
      </c>
      <c r="I229" s="236">
        <f>VTR!CC14</f>
        <v>693.8</v>
      </c>
      <c r="J229" s="236">
        <f>VTR!CD14</f>
        <v>701.6</v>
      </c>
      <c r="K229" s="92">
        <v>700.9</v>
      </c>
      <c r="L229" s="92">
        <v>699</v>
      </c>
      <c r="M229" s="92">
        <v>689.9</v>
      </c>
      <c r="N229" s="92">
        <v>678.4</v>
      </c>
      <c r="O229" s="92">
        <v>675.1</v>
      </c>
      <c r="P229" s="92">
        <v>663.6</v>
      </c>
      <c r="Q229" s="92">
        <v>657</v>
      </c>
      <c r="R229" s="92">
        <v>650.20000000000005</v>
      </c>
      <c r="S229" s="92">
        <v>646.20000000000005</v>
      </c>
      <c r="T229" s="92">
        <v>640.5</v>
      </c>
      <c r="U229" s="92">
        <v>628.4</v>
      </c>
      <c r="V229" s="92">
        <v>617.29999999999995</v>
      </c>
      <c r="W229" s="92">
        <v>604</v>
      </c>
      <c r="X229" s="92">
        <v>585.70000000000005</v>
      </c>
      <c r="Y229" s="92">
        <v>572.9</v>
      </c>
      <c r="Z229" s="92">
        <v>562.4</v>
      </c>
      <c r="AA229" s="92">
        <v>557.70000000000005</v>
      </c>
      <c r="AB229" s="92">
        <v>552.6</v>
      </c>
      <c r="AC229" s="92">
        <v>547.70000000000005</v>
      </c>
      <c r="AD229" s="236">
        <v>540</v>
      </c>
      <c r="AE229" s="236">
        <v>529.1</v>
      </c>
      <c r="AF229" s="236">
        <v>498.8</v>
      </c>
      <c r="AG229" s="236">
        <v>497.2</v>
      </c>
      <c r="AH229" s="236">
        <v>510.2</v>
      </c>
      <c r="AI229" s="236">
        <v>517.29999999999995</v>
      </c>
      <c r="AJ229" s="236">
        <v>536.79999999999995</v>
      </c>
      <c r="AK229" s="236">
        <v>544.9</v>
      </c>
      <c r="AL229" s="236">
        <v>532.29999999999995</v>
      </c>
      <c r="AM229" s="236">
        <v>503</v>
      </c>
      <c r="AN229" s="236">
        <v>486.1</v>
      </c>
      <c r="AO229" s="236"/>
      <c r="AP229" s="236"/>
      <c r="AR229" s="236"/>
      <c r="AS229" s="236"/>
      <c r="AT229" s="236"/>
    </row>
    <row r="230" spans="1:64">
      <c r="A230" s="175" t="s">
        <v>5</v>
      </c>
      <c r="B230" s="238">
        <f>VTR!BV15</f>
        <v>47.5</v>
      </c>
      <c r="C230" s="238">
        <f>VTR!BW15</f>
        <v>140.1</v>
      </c>
      <c r="D230" s="238">
        <f>VTR!BX15</f>
        <v>79.900000000000006</v>
      </c>
      <c r="E230" s="238">
        <f>VTR!BY15</f>
        <v>71.3</v>
      </c>
      <c r="F230" s="238">
        <f>VTR!BZ15</f>
        <v>83</v>
      </c>
      <c r="G230" s="238">
        <f>VTR!CA15</f>
        <v>89.7</v>
      </c>
      <c r="H230" s="238">
        <f>VTR!CB15</f>
        <v>100.7</v>
      </c>
      <c r="I230" s="238">
        <f>VTR!CC15</f>
        <v>110.5</v>
      </c>
      <c r="J230" s="238">
        <f>VTR!CD15</f>
        <v>117.5</v>
      </c>
      <c r="K230" s="175">
        <v>129.19999999999999</v>
      </c>
      <c r="L230" s="238">
        <v>134</v>
      </c>
      <c r="M230" s="238">
        <v>132</v>
      </c>
      <c r="N230" s="238">
        <v>132</v>
      </c>
      <c r="O230" s="238">
        <v>139</v>
      </c>
      <c r="P230" s="397">
        <v>150</v>
      </c>
      <c r="Q230" s="397">
        <v>165</v>
      </c>
      <c r="R230" s="238">
        <v>178.7</v>
      </c>
      <c r="S230" s="238">
        <v>193</v>
      </c>
      <c r="T230" s="238">
        <v>206.2</v>
      </c>
      <c r="U230" s="238">
        <v>214.9</v>
      </c>
      <c r="V230" s="238">
        <v>223.7</v>
      </c>
      <c r="W230" s="238">
        <v>236.3</v>
      </c>
      <c r="X230" s="238">
        <v>245.8</v>
      </c>
      <c r="Y230" s="238">
        <v>256.3</v>
      </c>
      <c r="Z230" s="238">
        <v>266.3</v>
      </c>
      <c r="AA230" s="238">
        <v>276.10000000000002</v>
      </c>
      <c r="AB230" s="238">
        <v>289.39999999999998</v>
      </c>
      <c r="AC230" s="238">
        <v>300.8</v>
      </c>
      <c r="AD230" s="238">
        <v>304.89999999999998</v>
      </c>
      <c r="AE230" s="238">
        <v>301.60000000000002</v>
      </c>
      <c r="AF230" s="238">
        <v>290.89999999999998</v>
      </c>
      <c r="AG230" s="238">
        <v>280.3</v>
      </c>
      <c r="AH230" s="238">
        <v>273.89999999999998</v>
      </c>
      <c r="AI230" s="238">
        <v>267.39999999999998</v>
      </c>
      <c r="AJ230" s="238">
        <v>260.7</v>
      </c>
      <c r="AK230" s="238">
        <v>252</v>
      </c>
      <c r="AL230" s="238">
        <v>245.6</v>
      </c>
      <c r="AM230" s="238">
        <v>253.6</v>
      </c>
      <c r="AN230" s="238">
        <v>264.2</v>
      </c>
      <c r="AO230" s="238"/>
      <c r="AP230" s="411"/>
      <c r="AQ230" s="411"/>
      <c r="AR230" s="411"/>
      <c r="AS230" s="411"/>
      <c r="AT230" s="411"/>
      <c r="AU230" s="236"/>
      <c r="AV230" s="117"/>
      <c r="AW230" s="117"/>
      <c r="AX230" s="117"/>
      <c r="AY230" s="117"/>
      <c r="AZ230" s="117"/>
      <c r="BA230" s="117"/>
      <c r="BB230" s="117"/>
      <c r="BC230" s="117"/>
      <c r="BD230" s="117"/>
      <c r="BE230" s="117"/>
      <c r="BF230" s="117"/>
      <c r="BG230" s="117"/>
      <c r="BH230" s="117"/>
      <c r="BI230" s="117"/>
      <c r="BJ230" s="117"/>
      <c r="BK230" s="117"/>
      <c r="BL230" s="117"/>
    </row>
    <row r="231" spans="1:64">
      <c r="A231" s="92" t="s">
        <v>1620</v>
      </c>
      <c r="B231" s="236">
        <f t="shared" ref="B231:M231" si="63">SUM(B227:B229)</f>
        <v>2485.8000000000002</v>
      </c>
      <c r="C231" s="236">
        <f t="shared" si="63"/>
        <v>2529.5</v>
      </c>
      <c r="D231" s="236">
        <f t="shared" si="63"/>
        <v>2558.5</v>
      </c>
      <c r="E231" s="236">
        <f t="shared" si="63"/>
        <v>2564.8000000000002</v>
      </c>
      <c r="F231" s="236">
        <f t="shared" si="63"/>
        <v>2596.6</v>
      </c>
      <c r="G231" s="236">
        <f t="shared" si="63"/>
        <v>2637.8</v>
      </c>
      <c r="H231" s="236">
        <f t="shared" si="63"/>
        <v>2647</v>
      </c>
      <c r="I231" s="236">
        <f t="shared" si="63"/>
        <v>2639.3</v>
      </c>
      <c r="J231" s="236">
        <f t="shared" si="63"/>
        <v>2664.9</v>
      </c>
      <c r="K231" s="236">
        <f t="shared" si="63"/>
        <v>2701.5</v>
      </c>
      <c r="L231" s="236">
        <f t="shared" si="63"/>
        <v>2718.8</v>
      </c>
      <c r="M231" s="236">
        <f t="shared" si="63"/>
        <v>2719</v>
      </c>
      <c r="N231" s="236">
        <f t="shared" ref="N231:S231" si="64">SUM(N227:N229)</f>
        <v>2735.2000000000003</v>
      </c>
      <c r="O231" s="236">
        <f t="shared" si="64"/>
        <v>2772</v>
      </c>
      <c r="P231" s="236">
        <f t="shared" si="64"/>
        <v>2785.2</v>
      </c>
      <c r="Q231" s="236">
        <f t="shared" si="64"/>
        <v>2795.5</v>
      </c>
      <c r="R231" s="236">
        <f t="shared" si="64"/>
        <v>2820.3</v>
      </c>
      <c r="S231" s="236">
        <f t="shared" si="64"/>
        <v>2854.7</v>
      </c>
      <c r="T231" s="236">
        <f t="shared" ref="T231:AM231" si="65">SUM(T227:T229)</f>
        <v>2873.7</v>
      </c>
      <c r="U231" s="236">
        <f t="shared" si="65"/>
        <v>2877.4</v>
      </c>
      <c r="V231" s="236">
        <f t="shared" si="65"/>
        <v>2901</v>
      </c>
      <c r="W231" s="236">
        <f t="shared" si="65"/>
        <v>2922.6</v>
      </c>
      <c r="X231" s="236">
        <f t="shared" si="65"/>
        <v>2925.8</v>
      </c>
      <c r="Y231" s="236">
        <f t="shared" si="65"/>
        <v>2911.3</v>
      </c>
      <c r="Z231" s="236">
        <f t="shared" si="65"/>
        <v>2918.2000000000003</v>
      </c>
      <c r="AA231" s="236">
        <f t="shared" si="65"/>
        <v>2940.5</v>
      </c>
      <c r="AB231" s="236">
        <f t="shared" si="65"/>
        <v>2955.2</v>
      </c>
      <c r="AC231" s="236">
        <f t="shared" si="65"/>
        <v>2964.5</v>
      </c>
      <c r="AD231" s="236">
        <f t="shared" si="65"/>
        <v>2970.5</v>
      </c>
      <c r="AE231" s="236">
        <f t="shared" si="65"/>
        <v>2975.6</v>
      </c>
      <c r="AF231" s="236">
        <f t="shared" si="65"/>
        <v>2888.3</v>
      </c>
      <c r="AG231" s="236">
        <f t="shared" si="65"/>
        <v>2848.7999999999997</v>
      </c>
      <c r="AH231" s="236">
        <f t="shared" si="65"/>
        <v>2855.3</v>
      </c>
      <c r="AI231" s="236">
        <f t="shared" si="65"/>
        <v>2852.5</v>
      </c>
      <c r="AJ231" s="236">
        <f t="shared" si="65"/>
        <v>2856.8999999999996</v>
      </c>
      <c r="AK231" s="236">
        <f t="shared" si="65"/>
        <v>2824.3</v>
      </c>
      <c r="AL231" s="236">
        <f t="shared" si="65"/>
        <v>2779.6000000000004</v>
      </c>
      <c r="AM231" s="236">
        <f t="shared" si="65"/>
        <v>2692.9</v>
      </c>
      <c r="AN231" s="236">
        <f>SUM(AN227:AN229)</f>
        <v>2625.7999999999997</v>
      </c>
      <c r="AO231" s="236"/>
      <c r="AP231" s="236"/>
      <c r="AQ231" s="236"/>
      <c r="AR231" s="236"/>
      <c r="AS231" s="236"/>
      <c r="AT231" s="236"/>
      <c r="AU231" s="236"/>
      <c r="AV231" s="236"/>
      <c r="AW231" s="236"/>
      <c r="AX231" s="236"/>
      <c r="AY231" s="236"/>
      <c r="AZ231" s="236"/>
      <c r="BA231" s="236"/>
      <c r="BB231" s="236"/>
      <c r="BC231" s="236"/>
      <c r="BD231" s="236"/>
      <c r="BE231" s="236"/>
      <c r="BF231" s="236"/>
      <c r="BG231" s="236"/>
      <c r="BH231" s="236"/>
      <c r="BI231" s="236"/>
      <c r="BJ231" s="236"/>
      <c r="BK231" s="236"/>
      <c r="BL231" s="236"/>
    </row>
    <row r="232" spans="1:64">
      <c r="A232" s="92" t="s">
        <v>1621</v>
      </c>
      <c r="B232" s="236">
        <f t="shared" ref="B232:M232" si="66">B231+B230</f>
        <v>2533.3000000000002</v>
      </c>
      <c r="C232" s="236">
        <f t="shared" si="66"/>
        <v>2669.6</v>
      </c>
      <c r="D232" s="236">
        <f t="shared" si="66"/>
        <v>2638.4</v>
      </c>
      <c r="E232" s="236">
        <f t="shared" si="66"/>
        <v>2636.1000000000004</v>
      </c>
      <c r="F232" s="236">
        <f t="shared" si="66"/>
        <v>2679.6</v>
      </c>
      <c r="G232" s="236">
        <f t="shared" si="66"/>
        <v>2727.5</v>
      </c>
      <c r="H232" s="236">
        <f t="shared" si="66"/>
        <v>2747.7</v>
      </c>
      <c r="I232" s="236">
        <f t="shared" si="66"/>
        <v>2749.8</v>
      </c>
      <c r="J232" s="236">
        <f t="shared" si="66"/>
        <v>2782.4</v>
      </c>
      <c r="K232" s="236">
        <f t="shared" si="66"/>
        <v>2830.7</v>
      </c>
      <c r="L232" s="236">
        <f t="shared" si="66"/>
        <v>2852.8</v>
      </c>
      <c r="M232" s="236">
        <f t="shared" si="66"/>
        <v>2851</v>
      </c>
      <c r="N232" s="236">
        <f t="shared" ref="N232:S232" si="67">N231+N230</f>
        <v>2867.2000000000003</v>
      </c>
      <c r="O232" s="236">
        <f t="shared" si="67"/>
        <v>2911</v>
      </c>
      <c r="P232" s="236">
        <f t="shared" si="67"/>
        <v>2935.2</v>
      </c>
      <c r="Q232" s="236">
        <f t="shared" si="67"/>
        <v>2960.5</v>
      </c>
      <c r="R232" s="236">
        <f t="shared" si="67"/>
        <v>2999</v>
      </c>
      <c r="S232" s="236">
        <f t="shared" si="67"/>
        <v>3047.7</v>
      </c>
      <c r="T232" s="236">
        <f t="shared" ref="T232:AM232" si="68">T231+T230</f>
        <v>3079.8999999999996</v>
      </c>
      <c r="U232" s="236">
        <f t="shared" si="68"/>
        <v>3092.3</v>
      </c>
      <c r="V232" s="236">
        <f t="shared" si="68"/>
        <v>3124.7</v>
      </c>
      <c r="W232" s="236">
        <f t="shared" si="68"/>
        <v>3158.9</v>
      </c>
      <c r="X232" s="236">
        <f t="shared" si="68"/>
        <v>3171.6000000000004</v>
      </c>
      <c r="Y232" s="236">
        <f t="shared" si="68"/>
        <v>3167.6000000000004</v>
      </c>
      <c r="Z232" s="236">
        <f t="shared" si="68"/>
        <v>3184.5000000000005</v>
      </c>
      <c r="AA232" s="236">
        <f t="shared" si="68"/>
        <v>3216.6</v>
      </c>
      <c r="AB232" s="236">
        <f t="shared" si="68"/>
        <v>3244.6</v>
      </c>
      <c r="AC232" s="236">
        <f t="shared" si="68"/>
        <v>3265.3</v>
      </c>
      <c r="AD232" s="236">
        <f t="shared" si="68"/>
        <v>3275.4</v>
      </c>
      <c r="AE232" s="236">
        <f t="shared" si="68"/>
        <v>3277.2</v>
      </c>
      <c r="AF232" s="236">
        <f t="shared" si="68"/>
        <v>3179.2000000000003</v>
      </c>
      <c r="AG232" s="236">
        <f t="shared" si="68"/>
        <v>3129.1</v>
      </c>
      <c r="AH232" s="236">
        <f t="shared" si="68"/>
        <v>3129.2000000000003</v>
      </c>
      <c r="AI232" s="236">
        <f t="shared" si="68"/>
        <v>3119.9</v>
      </c>
      <c r="AJ232" s="236">
        <f t="shared" si="68"/>
        <v>3117.5999999999995</v>
      </c>
      <c r="AK232" s="236">
        <f t="shared" si="68"/>
        <v>3076.3</v>
      </c>
      <c r="AL232" s="236">
        <f t="shared" si="68"/>
        <v>3025.2000000000003</v>
      </c>
      <c r="AM232" s="236">
        <f t="shared" si="68"/>
        <v>2946.5</v>
      </c>
      <c r="AN232" s="236">
        <f>AN231+AN230</f>
        <v>2889.9999999999995</v>
      </c>
      <c r="AO232" s="236"/>
      <c r="AP232" s="236"/>
      <c r="AQ232" s="236"/>
      <c r="AR232" s="236"/>
      <c r="AS232" s="236"/>
      <c r="AT232" s="236"/>
      <c r="AU232" s="236"/>
      <c r="AV232" s="236"/>
      <c r="AW232" s="236"/>
      <c r="AX232" s="236"/>
      <c r="AY232" s="236"/>
      <c r="AZ232" s="236"/>
      <c r="BA232" s="236"/>
      <c r="BB232" s="236"/>
      <c r="BC232" s="236"/>
      <c r="BD232" s="236"/>
      <c r="BE232" s="236"/>
      <c r="BF232" s="236"/>
      <c r="BG232" s="236"/>
      <c r="BH232" s="236"/>
      <c r="BI232" s="236"/>
      <c r="BJ232" s="236"/>
      <c r="BK232" s="236"/>
      <c r="BL232" s="236"/>
    </row>
    <row r="233" spans="1:64">
      <c r="A233" s="92" t="s">
        <v>1374</v>
      </c>
      <c r="B233" s="124">
        <f>B226/B224</f>
        <v>0.40724597252249112</v>
      </c>
      <c r="C233" s="124">
        <f t="shared" ref="C233:AG233" si="69">C226/C224</f>
        <v>0.40967652559396001</v>
      </c>
      <c r="D233" s="124">
        <f t="shared" si="69"/>
        <v>0.41086178414096913</v>
      </c>
      <c r="E233" s="124">
        <f t="shared" si="69"/>
        <v>0.40986574659242303</v>
      </c>
      <c r="F233" s="124">
        <f t="shared" si="69"/>
        <v>0.41262102822855584</v>
      </c>
      <c r="G233" s="124">
        <f t="shared" si="69"/>
        <v>0.4154060104470525</v>
      </c>
      <c r="H233" s="124">
        <f t="shared" si="69"/>
        <v>0.41426117417225239</v>
      </c>
      <c r="I233" s="124">
        <f t="shared" si="69"/>
        <v>0.4113401369679065</v>
      </c>
      <c r="J233" s="124">
        <f t="shared" si="69"/>
        <v>0.41459575323196463</v>
      </c>
      <c r="K233" s="124">
        <f t="shared" si="69"/>
        <v>0.41696395825692656</v>
      </c>
      <c r="L233" s="124">
        <f t="shared" si="69"/>
        <v>0.41510428679692901</v>
      </c>
      <c r="M233" s="124">
        <f t="shared" si="69"/>
        <v>0.41267352604932228</v>
      </c>
      <c r="N233" s="124">
        <f t="shared" si="69"/>
        <v>0.41535215839013306</v>
      </c>
      <c r="O233" s="124">
        <f t="shared" si="69"/>
        <v>0.41382593791658734</v>
      </c>
      <c r="P233" s="124">
        <f t="shared" si="69"/>
        <v>0.4120185092546273</v>
      </c>
      <c r="Q233" s="124">
        <f t="shared" si="69"/>
        <v>0.41313809612634461</v>
      </c>
      <c r="R233" s="124">
        <f t="shared" si="69"/>
        <v>0.41351062203882011</v>
      </c>
      <c r="S233" s="124">
        <f t="shared" si="69"/>
        <v>0.41439460127135236</v>
      </c>
      <c r="T233" s="124">
        <f t="shared" si="69"/>
        <v>0.41518136102597675</v>
      </c>
      <c r="U233" s="124">
        <f t="shared" si="69"/>
        <v>0.4144401567148791</v>
      </c>
      <c r="V233" s="124">
        <f t="shared" si="69"/>
        <v>0.41593590677348874</v>
      </c>
      <c r="W233" s="124">
        <f t="shared" si="69"/>
        <v>0.41782183924608773</v>
      </c>
      <c r="X233" s="124">
        <f t="shared" si="69"/>
        <v>0.4173895674009816</v>
      </c>
      <c r="Y233" s="124">
        <f t="shared" si="69"/>
        <v>0.41746027233703842</v>
      </c>
      <c r="Z233" s="124">
        <f t="shared" si="69"/>
        <v>0.41500632288885764</v>
      </c>
      <c r="AA233" s="124">
        <f t="shared" si="69"/>
        <v>0.41354570637119115</v>
      </c>
      <c r="AB233" s="124">
        <f t="shared" si="69"/>
        <v>0.41015283842794759</v>
      </c>
      <c r="AC233" s="124">
        <f t="shared" si="69"/>
        <v>0.40864487876084665</v>
      </c>
      <c r="AD233" s="124">
        <f t="shared" si="69"/>
        <v>0.40970038962783822</v>
      </c>
      <c r="AE233" s="124">
        <f t="shared" si="69"/>
        <v>0.41248624419572161</v>
      </c>
      <c r="AF233" s="124">
        <f t="shared" si="69"/>
        <v>0.39996253779668728</v>
      </c>
      <c r="AG233" s="124">
        <f t="shared" si="69"/>
        <v>0.38086576937068023</v>
      </c>
      <c r="AH233" s="124">
        <f t="shared" ref="AH233:AM233" si="70">AH226/AH224</f>
        <v>0.37081486011313253</v>
      </c>
      <c r="AI233" s="124">
        <f t="shared" si="70"/>
        <v>0.35669041963578779</v>
      </c>
      <c r="AJ233" s="124">
        <f t="shared" si="70"/>
        <v>0.34487521201841531</v>
      </c>
      <c r="AK233" s="124">
        <f t="shared" si="70"/>
        <v>0.33257501376948684</v>
      </c>
      <c r="AL233" s="124">
        <f t="shared" si="70"/>
        <v>0.32382142772917005</v>
      </c>
      <c r="AM233" s="124">
        <f t="shared" si="70"/>
        <v>0.31423688338444972</v>
      </c>
      <c r="AN233" s="124">
        <f>AN226/AN224</f>
        <v>0.3055613802101535</v>
      </c>
      <c r="AO233" s="124"/>
      <c r="AP233" s="124"/>
      <c r="AQ233" s="124"/>
      <c r="AR233" s="124"/>
      <c r="AS233" s="124"/>
      <c r="AT233" s="124"/>
      <c r="AU233" s="124"/>
      <c r="AV233" s="236"/>
      <c r="AW233" s="236"/>
      <c r="AX233" s="236"/>
      <c r="AY233" s="236"/>
      <c r="AZ233" s="236"/>
      <c r="BA233" s="236"/>
      <c r="BB233" s="236"/>
      <c r="BC233" s="236"/>
      <c r="BD233" s="236"/>
      <c r="BE233" s="236"/>
      <c r="BF233" s="236"/>
      <c r="BG233" s="236"/>
      <c r="BH233" s="236"/>
      <c r="BI233" s="236"/>
      <c r="BJ233" s="236"/>
      <c r="BK233" s="236"/>
      <c r="BL233" s="236"/>
    </row>
    <row r="234" spans="1:64">
      <c r="B234" s="236"/>
      <c r="C234" s="236"/>
      <c r="D234" s="236"/>
      <c r="E234" s="236"/>
      <c r="F234" s="236"/>
      <c r="G234" s="236"/>
      <c r="H234" s="236"/>
      <c r="I234" s="236"/>
      <c r="J234" s="236"/>
      <c r="L234" s="236"/>
      <c r="M234" s="236"/>
      <c r="N234" s="236"/>
      <c r="O234" s="236"/>
      <c r="P234" s="236"/>
      <c r="Q234" s="236"/>
    </row>
    <row r="235" spans="1:64">
      <c r="A235" s="92" t="s">
        <v>901</v>
      </c>
      <c r="B235" s="354">
        <f t="shared" ref="B235:I235" si="71">SUM(B227:B230)/B226</f>
        <v>2.1691069440876789</v>
      </c>
      <c r="C235" s="354">
        <f t="shared" si="71"/>
        <v>2.256826443486347</v>
      </c>
      <c r="D235" s="354">
        <f t="shared" si="71"/>
        <v>2.2100854414474789</v>
      </c>
      <c r="E235" s="354">
        <f t="shared" si="71"/>
        <v>2.1971161860310056</v>
      </c>
      <c r="F235" s="354">
        <f t="shared" si="71"/>
        <v>2.2139965297860034</v>
      </c>
      <c r="G235" s="354">
        <f t="shared" si="71"/>
        <v>2.2270760186168039</v>
      </c>
      <c r="H235" s="354">
        <f t="shared" si="71"/>
        <v>2.234084071875762</v>
      </c>
      <c r="I235" s="354">
        <f t="shared" si="71"/>
        <v>2.2441850975271365</v>
      </c>
      <c r="J235" s="354">
        <f t="shared" ref="J235:P235" si="72">SUM(J227:J230)/J226</f>
        <v>2.2476775183778979</v>
      </c>
      <c r="K235" s="354">
        <f t="shared" si="72"/>
        <v>2.2634735327043018</v>
      </c>
      <c r="L235" s="354">
        <f t="shared" si="72"/>
        <v>2.2644864264168918</v>
      </c>
      <c r="M235" s="354">
        <f t="shared" si="72"/>
        <v>2.2566091499129333</v>
      </c>
      <c r="N235" s="354">
        <f t="shared" si="72"/>
        <v>2.240525123075721</v>
      </c>
      <c r="O235" s="354">
        <f t="shared" si="72"/>
        <v>2.2327044025157234</v>
      </c>
      <c r="P235" s="354">
        <f t="shared" si="72"/>
        <v>2.2273486113218999</v>
      </c>
      <c r="Q235" s="354">
        <f t="shared" ref="Q235:AH235" si="73">SUM(Q227:Q230)/Q226</f>
        <v>2.2277823764015348</v>
      </c>
      <c r="R235" s="354">
        <f t="shared" si="73"/>
        <v>2.2168835008870493</v>
      </c>
      <c r="S235" s="354">
        <f t="shared" si="73"/>
        <v>2.2157033805888768</v>
      </c>
      <c r="T235" s="354">
        <f t="shared" si="73"/>
        <v>2.2073389235289902</v>
      </c>
      <c r="U235" s="354">
        <f t="shared" si="73"/>
        <v>2.1979529461937592</v>
      </c>
      <c r="V235" s="354">
        <f t="shared" si="73"/>
        <v>2.188625061287385</v>
      </c>
      <c r="W235" s="354">
        <f t="shared" si="73"/>
        <v>2.1788522554835152</v>
      </c>
      <c r="X235" s="354">
        <f t="shared" si="73"/>
        <v>2.1683188623777947</v>
      </c>
      <c r="Y235" s="354">
        <f t="shared" si="73"/>
        <v>2.1570309839972763</v>
      </c>
      <c r="Z235" s="354">
        <f t="shared" si="73"/>
        <v>2.1563515709642473</v>
      </c>
      <c r="AA235" s="354">
        <f t="shared" si="73"/>
        <v>2.1545984325808827</v>
      </c>
      <c r="AB235" s="354">
        <f t="shared" si="73"/>
        <v>2.1590364652648391</v>
      </c>
      <c r="AC235" s="354">
        <f t="shared" si="73"/>
        <v>2.1600185221935568</v>
      </c>
      <c r="AD235" s="354">
        <f t="shared" si="73"/>
        <v>2.1482258805010823</v>
      </c>
      <c r="AE235" s="354">
        <f t="shared" si="73"/>
        <v>2.1324830817282665</v>
      </c>
      <c r="AF235" s="354">
        <f t="shared" si="73"/>
        <v>2.1269820030775408</v>
      </c>
      <c r="AG235" s="354">
        <f t="shared" si="73"/>
        <v>2.1347387092372765</v>
      </c>
      <c r="AH235" s="354">
        <f t="shared" si="73"/>
        <v>2.1502095787810078</v>
      </c>
      <c r="AI235" s="354">
        <f t="shared" ref="AI235:AJ235" si="74">SUM(AI227:AI230)/AI226</f>
        <v>2.1641925638179802</v>
      </c>
      <c r="AJ235" s="354">
        <f t="shared" si="74"/>
        <v>2.1904025855406446</v>
      </c>
      <c r="AK235" s="354">
        <f>SUM(AK227:AK230)/AK226</f>
        <v>2.2150777649769586</v>
      </c>
      <c r="AL235" s="354">
        <f>SUM(AL227:AL230)/AL226</f>
        <v>2.2031898623552548</v>
      </c>
      <c r="AM235" s="354">
        <f>SUM(AM227:AM230)/AM226</f>
        <v>2.1952764118611237</v>
      </c>
      <c r="AN235" s="354">
        <f>SUM(AN227:AN230)/AN226</f>
        <v>2.203583682805947</v>
      </c>
      <c r="AO235" s="354"/>
      <c r="AP235" s="354"/>
      <c r="AQ235" s="1091"/>
      <c r="AR235" s="1091"/>
      <c r="AS235" s="1091"/>
      <c r="AT235" s="1091"/>
      <c r="AU235" s="1091"/>
      <c r="AV235" s="1091"/>
      <c r="AW235" s="1091"/>
      <c r="AX235" s="1091"/>
      <c r="AY235" s="1091"/>
      <c r="AZ235" s="1091"/>
      <c r="BA235" s="1091"/>
      <c r="BB235" s="1091"/>
      <c r="BC235" s="1091"/>
      <c r="BD235" s="1091"/>
      <c r="BE235" s="1091"/>
      <c r="BF235" s="1091"/>
      <c r="BG235" s="1091"/>
      <c r="BH235" s="1091"/>
      <c r="BI235" s="1091"/>
      <c r="BJ235" s="1091"/>
      <c r="BK235" s="1091"/>
      <c r="BL235" s="1091"/>
    </row>
    <row r="236" spans="1:64">
      <c r="K236" s="313"/>
    </row>
    <row r="237" spans="1:64">
      <c r="A237" s="175" t="s">
        <v>902</v>
      </c>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5"/>
      <c r="AL237" s="175"/>
      <c r="AM237" s="175"/>
      <c r="AN237" s="175"/>
      <c r="AO237" s="175"/>
      <c r="AP237" s="175"/>
      <c r="AQ237" s="175"/>
      <c r="AR237" s="175"/>
      <c r="AS237" s="175"/>
      <c r="AT237" s="175"/>
      <c r="AU237" s="236"/>
    </row>
    <row r="238" spans="1:64">
      <c r="A238" s="92" t="str">
        <f t="shared" ref="A238:A244" si="75">A224</f>
        <v>Homes passed</v>
      </c>
      <c r="C238" s="236">
        <f t="shared" ref="C238:AB238" si="76">C224-B224</f>
        <v>19.599999999999909</v>
      </c>
      <c r="D238" s="236">
        <f t="shared" si="76"/>
        <v>18.199999999999818</v>
      </c>
      <c r="E238" s="236">
        <f t="shared" si="76"/>
        <v>21.700000000000273</v>
      </c>
      <c r="F238" s="236">
        <f t="shared" si="76"/>
        <v>5.8999999999996362</v>
      </c>
      <c r="G238" s="236">
        <f t="shared" si="76"/>
        <v>15</v>
      </c>
      <c r="H238" s="236">
        <f t="shared" si="76"/>
        <v>20.700000000000273</v>
      </c>
      <c r="I238" s="236">
        <f t="shared" si="76"/>
        <v>9.9000000000000909</v>
      </c>
      <c r="J238" s="236">
        <f t="shared" si="76"/>
        <v>7</v>
      </c>
      <c r="K238" s="236">
        <f t="shared" si="76"/>
        <v>13.5</v>
      </c>
      <c r="L238" s="236">
        <f t="shared" si="76"/>
        <v>35.599999999999909</v>
      </c>
      <c r="M238" s="236">
        <f t="shared" si="76"/>
        <v>26.599999999999909</v>
      </c>
      <c r="N238" s="236">
        <f t="shared" si="76"/>
        <v>19.5</v>
      </c>
      <c r="O238" s="236">
        <f t="shared" si="76"/>
        <v>69.599999999999909</v>
      </c>
      <c r="P238" s="236">
        <f t="shared" si="76"/>
        <v>47.800000000000182</v>
      </c>
      <c r="Q238" s="236">
        <f t="shared" si="76"/>
        <v>18.199999999999818</v>
      </c>
      <c r="R238" s="236">
        <f t="shared" si="76"/>
        <v>54.900000000000091</v>
      </c>
      <c r="S238" s="236">
        <f t="shared" si="76"/>
        <v>47.800000000000182</v>
      </c>
      <c r="T238" s="236">
        <f t="shared" si="76"/>
        <v>41.399999999999636</v>
      </c>
      <c r="U238" s="236">
        <f t="shared" si="76"/>
        <v>34</v>
      </c>
      <c r="V238" s="236">
        <f t="shared" si="76"/>
        <v>37.800000000000182</v>
      </c>
      <c r="W238" s="236">
        <f t="shared" si="76"/>
        <v>37.400000000000091</v>
      </c>
      <c r="X238" s="236">
        <f t="shared" si="76"/>
        <v>34.5</v>
      </c>
      <c r="Y238" s="236">
        <f t="shared" si="76"/>
        <v>13.299999999999727</v>
      </c>
      <c r="Z238" s="236">
        <f t="shared" si="76"/>
        <v>40.800000000000182</v>
      </c>
      <c r="AA238" s="236">
        <f t="shared" si="76"/>
        <v>51.5</v>
      </c>
      <c r="AB238" s="236">
        <f t="shared" si="76"/>
        <v>54</v>
      </c>
      <c r="AC238" s="236">
        <f t="shared" ref="AC238:AN244" si="77">AC224-AB224</f>
        <v>35.300000000000182</v>
      </c>
      <c r="AD238" s="236">
        <f t="shared" si="77"/>
        <v>22.199999999999818</v>
      </c>
      <c r="AE238" s="236">
        <f t="shared" si="77"/>
        <v>4.1999999999998181</v>
      </c>
      <c r="AF238" s="236">
        <f t="shared" si="77"/>
        <v>11.400000000000091</v>
      </c>
      <c r="AG238" s="236">
        <f t="shared" si="77"/>
        <v>111.5</v>
      </c>
      <c r="AH238" s="236">
        <f t="shared" si="77"/>
        <v>76</v>
      </c>
      <c r="AI238" s="236">
        <f t="shared" si="77"/>
        <v>117</v>
      </c>
      <c r="AJ238" s="236">
        <f t="shared" si="77"/>
        <v>85.400000000000091</v>
      </c>
      <c r="AK238" s="236">
        <f t="shared" si="77"/>
        <v>48.899999999999636</v>
      </c>
      <c r="AL238" s="236">
        <f t="shared" si="77"/>
        <v>64.400000000000546</v>
      </c>
      <c r="AM238" s="236">
        <f t="shared" si="77"/>
        <v>31</v>
      </c>
      <c r="AN238" s="236">
        <f t="shared" si="77"/>
        <v>20.800000000000182</v>
      </c>
      <c r="AO238" s="236"/>
      <c r="AP238" s="563"/>
      <c r="AQ238" s="236"/>
      <c r="AR238" s="563"/>
      <c r="AS238" s="563"/>
      <c r="AT238" s="563"/>
      <c r="AU238" s="236"/>
      <c r="AV238" s="236"/>
      <c r="AW238" s="236"/>
      <c r="AX238" s="236"/>
      <c r="AY238" s="236"/>
      <c r="AZ238" s="236"/>
      <c r="BA238" s="236"/>
      <c r="BB238" s="236"/>
      <c r="BC238" s="236"/>
      <c r="BD238" s="236"/>
      <c r="BE238" s="236"/>
      <c r="BF238" s="236"/>
      <c r="BG238" s="236"/>
      <c r="BH238" s="236"/>
      <c r="BI238" s="236"/>
      <c r="BJ238" s="236"/>
      <c r="BK238" s="236"/>
      <c r="BL238" s="236"/>
    </row>
    <row r="239" spans="1:64">
      <c r="A239" s="92" t="str">
        <f t="shared" si="75"/>
        <v>Homes upgraded</v>
      </c>
      <c r="C239" s="236">
        <f t="shared" ref="C239:O239" si="78">C225-B225</f>
        <v>23.900000000000091</v>
      </c>
      <c r="D239" s="236">
        <f t="shared" si="78"/>
        <v>22.399999999999636</v>
      </c>
      <c r="E239" s="236">
        <f t="shared" si="78"/>
        <v>22.400000000000091</v>
      </c>
      <c r="F239" s="236">
        <f t="shared" si="78"/>
        <v>6.2000000000002728</v>
      </c>
      <c r="G239" s="236">
        <f t="shared" si="78"/>
        <v>15.399999999999636</v>
      </c>
      <c r="H239" s="236">
        <f t="shared" si="78"/>
        <v>21.5</v>
      </c>
      <c r="I239" s="236">
        <f t="shared" si="78"/>
        <v>10.5</v>
      </c>
      <c r="J239" s="236">
        <f t="shared" si="78"/>
        <v>7.3000000000001819</v>
      </c>
      <c r="K239" s="236">
        <f t="shared" si="78"/>
        <v>14.199999999999818</v>
      </c>
      <c r="L239" s="236">
        <f t="shared" si="78"/>
        <v>36.800000000000182</v>
      </c>
      <c r="M239" s="236">
        <f t="shared" si="78"/>
        <v>27.099999999999909</v>
      </c>
      <c r="N239" s="236">
        <f t="shared" si="78"/>
        <v>23.200000000000273</v>
      </c>
      <c r="O239" s="236">
        <f t="shared" si="78"/>
        <v>70.299999999999727</v>
      </c>
      <c r="P239" s="236">
        <f t="shared" ref="P239:AB239" si="79">P225-O225</f>
        <v>59.700000000000273</v>
      </c>
      <c r="Q239" s="236">
        <f t="shared" si="79"/>
        <v>12.199999999999818</v>
      </c>
      <c r="R239" s="236">
        <f t="shared" si="79"/>
        <v>48.099999999999909</v>
      </c>
      <c r="S239" s="236">
        <f t="shared" si="79"/>
        <v>58.599999999999909</v>
      </c>
      <c r="T239" s="236">
        <f t="shared" si="79"/>
        <v>50.900000000000091</v>
      </c>
      <c r="U239" s="236">
        <f t="shared" si="79"/>
        <v>44.700000000000273</v>
      </c>
      <c r="V239" s="236">
        <f t="shared" si="79"/>
        <v>45</v>
      </c>
      <c r="W239" s="236">
        <f t="shared" si="79"/>
        <v>41.799999999999727</v>
      </c>
      <c r="X239" s="236">
        <f t="shared" si="79"/>
        <v>48.800000000000182</v>
      </c>
      <c r="Y239" s="236">
        <f t="shared" si="79"/>
        <v>14.299999999999727</v>
      </c>
      <c r="Z239" s="236">
        <f t="shared" si="79"/>
        <v>43.400000000000091</v>
      </c>
      <c r="AA239" s="236">
        <f t="shared" si="79"/>
        <v>52.099999999999909</v>
      </c>
      <c r="AB239" s="236">
        <f t="shared" si="79"/>
        <v>55.400000000000091</v>
      </c>
      <c r="AC239" s="236">
        <f t="shared" si="77"/>
        <v>50.700000000000273</v>
      </c>
      <c r="AD239" s="236">
        <f t="shared" si="77"/>
        <v>28.799999999999727</v>
      </c>
      <c r="AE239" s="236">
        <f t="shared" si="77"/>
        <v>4.9000000000000909</v>
      </c>
      <c r="AF239" s="236">
        <f t="shared" si="77"/>
        <v>11.400000000000091</v>
      </c>
      <c r="AG239" s="236">
        <f t="shared" si="77"/>
        <v>115.29999999999973</v>
      </c>
      <c r="AH239" s="236">
        <f t="shared" si="77"/>
        <v>77</v>
      </c>
      <c r="AI239" s="236">
        <f t="shared" si="77"/>
        <v>130.5</v>
      </c>
      <c r="AJ239" s="236">
        <f t="shared" ref="AJ239:AM240" si="80">AJ225-AI225</f>
        <v>125.40000000000009</v>
      </c>
      <c r="AK239" s="236">
        <f t="shared" si="80"/>
        <v>51.700000000000273</v>
      </c>
      <c r="AL239" s="236">
        <f t="shared" si="80"/>
        <v>65</v>
      </c>
      <c r="AM239" s="236">
        <f t="shared" si="80"/>
        <v>31.199999999999818</v>
      </c>
      <c r="AN239" s="236">
        <f t="shared" ref="AN239:AN244" si="81">AN225-AM225</f>
        <v>21</v>
      </c>
      <c r="AO239" s="236"/>
    </row>
    <row r="240" spans="1:64">
      <c r="A240" s="92" t="str">
        <f t="shared" si="75"/>
        <v>Customers</v>
      </c>
      <c r="C240" s="236">
        <f t="shared" ref="C240:O240" si="82">C226-B226</f>
        <v>15</v>
      </c>
      <c r="D240" s="236">
        <f t="shared" si="82"/>
        <v>10.899999999999864</v>
      </c>
      <c r="E240" s="236">
        <f t="shared" si="82"/>
        <v>6</v>
      </c>
      <c r="F240" s="236">
        <f t="shared" si="82"/>
        <v>10.5</v>
      </c>
      <c r="G240" s="236">
        <f t="shared" si="82"/>
        <v>14.400000000000091</v>
      </c>
      <c r="H240" s="236">
        <f t="shared" si="82"/>
        <v>5.2000000000000455</v>
      </c>
      <c r="I240" s="236">
        <f t="shared" si="82"/>
        <v>-4.6000000000001364</v>
      </c>
      <c r="J240" s="236">
        <f t="shared" si="82"/>
        <v>12.600000000000136</v>
      </c>
      <c r="K240" s="236">
        <f t="shared" si="82"/>
        <v>12.699999999999818</v>
      </c>
      <c r="L240" s="236">
        <f t="shared" si="82"/>
        <v>9.2000000000000455</v>
      </c>
      <c r="M240" s="236">
        <f t="shared" si="82"/>
        <v>3.6000000000001364</v>
      </c>
      <c r="N240" s="236">
        <f t="shared" si="82"/>
        <v>16.299999999999955</v>
      </c>
      <c r="O240" s="236">
        <f t="shared" si="82"/>
        <v>24.099999999999909</v>
      </c>
      <c r="P240" s="236">
        <f t="shared" ref="P240:AB240" si="83">P226-O226</f>
        <v>14</v>
      </c>
      <c r="Q240" s="236">
        <f t="shared" si="83"/>
        <v>11.100000000000136</v>
      </c>
      <c r="R240" s="236">
        <f t="shared" si="83"/>
        <v>23.899999999999864</v>
      </c>
      <c r="S240" s="236">
        <f t="shared" si="83"/>
        <v>22.700000000000045</v>
      </c>
      <c r="T240" s="236">
        <f t="shared" si="83"/>
        <v>19.799999999999955</v>
      </c>
      <c r="U240" s="236">
        <f t="shared" si="83"/>
        <v>11.600000000000136</v>
      </c>
      <c r="V240" s="236">
        <f t="shared" si="83"/>
        <v>20.799999999999955</v>
      </c>
      <c r="W240" s="236">
        <f t="shared" si="83"/>
        <v>22.099999999999909</v>
      </c>
      <c r="X240" s="236">
        <f t="shared" si="83"/>
        <v>12.900000000000091</v>
      </c>
      <c r="Y240" s="236">
        <f t="shared" si="83"/>
        <v>5.7999999999999545</v>
      </c>
      <c r="Z240" s="236">
        <f t="shared" si="83"/>
        <v>8.2999999999999545</v>
      </c>
      <c r="AA240" s="236">
        <f t="shared" si="83"/>
        <v>16.100000000000136</v>
      </c>
      <c r="AB240" s="236">
        <f t="shared" si="83"/>
        <v>9.8999999999998636</v>
      </c>
      <c r="AC240" s="236">
        <f t="shared" si="77"/>
        <v>8.9000000000000909</v>
      </c>
      <c r="AD240" s="236">
        <f t="shared" si="77"/>
        <v>13</v>
      </c>
      <c r="AE240" s="236">
        <f t="shared" si="77"/>
        <v>12.099999999999909</v>
      </c>
      <c r="AF240" s="236">
        <f t="shared" si="77"/>
        <v>-42.099999999999909</v>
      </c>
      <c r="AG240" s="236">
        <f t="shared" si="77"/>
        <v>-28.900000000000091</v>
      </c>
      <c r="AH240" s="236">
        <f t="shared" si="77"/>
        <v>-10.5</v>
      </c>
      <c r="AI240" s="236">
        <f t="shared" si="77"/>
        <v>-13.700000000000045</v>
      </c>
      <c r="AJ240" s="236">
        <f t="shared" si="80"/>
        <v>-18.299999999999955</v>
      </c>
      <c r="AK240" s="236">
        <f t="shared" si="80"/>
        <v>-34.5</v>
      </c>
      <c r="AL240" s="236">
        <f t="shared" si="80"/>
        <v>-15.700000000000045</v>
      </c>
      <c r="AM240" s="236">
        <f t="shared" si="80"/>
        <v>-30.899999999999864</v>
      </c>
      <c r="AN240" s="236">
        <f t="shared" si="81"/>
        <v>-30.700000000000045</v>
      </c>
      <c r="AO240" s="236"/>
      <c r="AP240" s="563"/>
      <c r="AQ240" s="236"/>
      <c r="AR240" s="563"/>
      <c r="AS240" s="563"/>
      <c r="AT240" s="563"/>
      <c r="AU240" s="236"/>
      <c r="AV240" s="236"/>
      <c r="AW240" s="236"/>
      <c r="AX240" s="236"/>
      <c r="AY240" s="236"/>
      <c r="AZ240" s="236"/>
      <c r="BA240" s="236"/>
      <c r="BB240" s="236"/>
      <c r="BC240" s="236"/>
      <c r="BD240" s="236"/>
      <c r="BE240" s="236"/>
      <c r="BF240" s="236"/>
      <c r="BG240" s="236"/>
      <c r="BH240" s="236"/>
      <c r="BI240" s="236"/>
      <c r="BJ240" s="236"/>
      <c r="BK240" s="236"/>
      <c r="BL240" s="236"/>
    </row>
    <row r="241" spans="1:95">
      <c r="A241" s="92" t="str">
        <f t="shared" si="75"/>
        <v>TV</v>
      </c>
      <c r="C241" s="236">
        <f t="shared" ref="C241:O241" si="84">C227-B227</f>
        <v>18.199999999999932</v>
      </c>
      <c r="D241" s="236">
        <f t="shared" si="84"/>
        <v>12.000000000000114</v>
      </c>
      <c r="E241" s="236">
        <f t="shared" si="84"/>
        <v>4.3000000000000682</v>
      </c>
      <c r="F241" s="236">
        <f t="shared" si="84"/>
        <v>9.3999999999998636</v>
      </c>
      <c r="G241" s="236">
        <f t="shared" si="84"/>
        <v>9.1000000000000227</v>
      </c>
      <c r="H241" s="236">
        <f t="shared" si="84"/>
        <v>1.1000000000000227</v>
      </c>
      <c r="I241" s="236">
        <f t="shared" si="84"/>
        <v>4.5</v>
      </c>
      <c r="J241" s="236">
        <f t="shared" si="84"/>
        <v>-5.1000000000000227</v>
      </c>
      <c r="K241" s="236">
        <f t="shared" si="84"/>
        <v>14.5</v>
      </c>
      <c r="L241" s="236">
        <f t="shared" si="84"/>
        <v>3.3000000000000682</v>
      </c>
      <c r="M241" s="236">
        <f t="shared" si="84"/>
        <v>-0.20000000000004547</v>
      </c>
      <c r="N241" s="236">
        <f t="shared" si="84"/>
        <v>4.4000000000000909</v>
      </c>
      <c r="O241" s="236">
        <f t="shared" si="84"/>
        <v>10.299999999999955</v>
      </c>
      <c r="P241" s="236">
        <f t="shared" ref="P241:AB241" si="85">P227-O227</f>
        <v>4.0999999999999091</v>
      </c>
      <c r="Q241" s="236">
        <f t="shared" si="85"/>
        <v>2.5</v>
      </c>
      <c r="R241" s="236">
        <f t="shared" si="85"/>
        <v>5</v>
      </c>
      <c r="S241" s="236">
        <f t="shared" si="85"/>
        <v>12.799999999999955</v>
      </c>
      <c r="T241" s="236">
        <f t="shared" si="85"/>
        <v>3.6000000000001364</v>
      </c>
      <c r="U241" s="236">
        <f t="shared" si="85"/>
        <v>-1.2999999999999545</v>
      </c>
      <c r="V241" s="236">
        <f t="shared" si="85"/>
        <v>8.8999999999998636</v>
      </c>
      <c r="W241" s="236">
        <f t="shared" si="85"/>
        <v>8</v>
      </c>
      <c r="X241" s="236">
        <f t="shared" si="85"/>
        <v>3.9000000000000909</v>
      </c>
      <c r="Y241" s="236">
        <f t="shared" si="85"/>
        <v>-8.7999999999999545</v>
      </c>
      <c r="Z241" s="236">
        <f t="shared" si="85"/>
        <v>4.2999999999999545</v>
      </c>
      <c r="AA241" s="236">
        <f t="shared" si="85"/>
        <v>8.5999999999999091</v>
      </c>
      <c r="AB241" s="236">
        <f t="shared" si="85"/>
        <v>6</v>
      </c>
      <c r="AC241" s="236">
        <f t="shared" si="77"/>
        <v>1.4000000000000909</v>
      </c>
      <c r="AD241" s="236">
        <f t="shared" si="77"/>
        <v>-0.60000000000013642</v>
      </c>
      <c r="AE241" s="236">
        <f t="shared" si="77"/>
        <v>-2.5999999999999091</v>
      </c>
      <c r="AF241" s="236">
        <f t="shared" si="77"/>
        <v>-23</v>
      </c>
      <c r="AG241" s="236">
        <f t="shared" si="77"/>
        <v>-8</v>
      </c>
      <c r="AH241" s="236">
        <f t="shared" si="77"/>
        <v>1.7000000000000455</v>
      </c>
      <c r="AI241" s="236">
        <f t="shared" si="77"/>
        <v>1.7000000000000455</v>
      </c>
      <c r="AJ241" s="236">
        <f t="shared" si="77"/>
        <v>1.5999999999999091</v>
      </c>
      <c r="AK241" s="236">
        <f t="shared" si="77"/>
        <v>-10</v>
      </c>
      <c r="AL241" s="236">
        <f t="shared" si="77"/>
        <v>-22.900000000000091</v>
      </c>
      <c r="AM241" s="236">
        <f t="shared" si="77"/>
        <v>-39.699999999999932</v>
      </c>
      <c r="AN241" s="236">
        <f t="shared" si="81"/>
        <v>-30</v>
      </c>
      <c r="AO241" s="236"/>
      <c r="AP241" s="563"/>
      <c r="AQ241" s="236"/>
      <c r="AR241" s="563"/>
      <c r="AS241" s="563"/>
      <c r="AT241" s="563"/>
      <c r="AU241" s="236"/>
      <c r="AV241" s="236"/>
      <c r="AW241" s="236"/>
      <c r="AX241" s="236"/>
      <c r="AY241" s="236"/>
      <c r="AZ241" s="236"/>
      <c r="BA241" s="236"/>
      <c r="BB241" s="236"/>
      <c r="BC241" s="236"/>
      <c r="BD241" s="236"/>
      <c r="BE241" s="236"/>
      <c r="BF241" s="236"/>
      <c r="BG241" s="236"/>
      <c r="BH241" s="236"/>
      <c r="BI241" s="236"/>
      <c r="BJ241" s="236"/>
      <c r="BK241" s="236"/>
      <c r="BL241" s="236"/>
    </row>
    <row r="242" spans="1:95">
      <c r="A242" s="92" t="str">
        <f t="shared" si="75"/>
        <v>Broadband</v>
      </c>
      <c r="C242" s="236">
        <f t="shared" ref="C242:O242" si="86">C228-B228</f>
        <v>20.600000000000023</v>
      </c>
      <c r="D242" s="236">
        <f t="shared" si="86"/>
        <v>13.600000000000023</v>
      </c>
      <c r="E242" s="236">
        <f t="shared" si="86"/>
        <v>5</v>
      </c>
      <c r="F242" s="236">
        <f t="shared" si="86"/>
        <v>13.699999999999932</v>
      </c>
      <c r="G242" s="236">
        <f t="shared" si="86"/>
        <v>21.600000000000023</v>
      </c>
      <c r="H242" s="236">
        <f t="shared" si="86"/>
        <v>11.600000000000023</v>
      </c>
      <c r="I242" s="236">
        <f t="shared" si="86"/>
        <v>-0.60000000000002274</v>
      </c>
      <c r="J242" s="236">
        <f t="shared" si="86"/>
        <v>22.899999999999977</v>
      </c>
      <c r="K242" s="236">
        <f t="shared" si="86"/>
        <v>22.800000000000068</v>
      </c>
      <c r="L242" s="236">
        <f t="shared" si="86"/>
        <v>15.899999999999977</v>
      </c>
      <c r="M242" s="236">
        <f t="shared" si="86"/>
        <v>9.5</v>
      </c>
      <c r="N242" s="236">
        <f t="shared" si="86"/>
        <v>23.300000000000068</v>
      </c>
      <c r="O242" s="236">
        <f t="shared" si="86"/>
        <v>29.799999999999955</v>
      </c>
      <c r="P242" s="236">
        <f t="shared" ref="P242:AB242" si="87">P228-O228</f>
        <v>20.599999999999909</v>
      </c>
      <c r="Q242" s="236">
        <f t="shared" si="87"/>
        <v>14.400000000000091</v>
      </c>
      <c r="R242" s="236">
        <f t="shared" si="87"/>
        <v>26.599999999999909</v>
      </c>
      <c r="S242" s="236">
        <f t="shared" si="87"/>
        <v>25.600000000000136</v>
      </c>
      <c r="T242" s="236">
        <f t="shared" si="87"/>
        <v>21.099999999999909</v>
      </c>
      <c r="U242" s="236">
        <f t="shared" si="87"/>
        <v>17.099999999999909</v>
      </c>
      <c r="V242" s="236">
        <f t="shared" si="87"/>
        <v>25.800000000000182</v>
      </c>
      <c r="W242" s="236">
        <f t="shared" si="87"/>
        <v>26.899999999999864</v>
      </c>
      <c r="X242" s="236">
        <f t="shared" si="87"/>
        <v>17.600000000000136</v>
      </c>
      <c r="Y242" s="236">
        <f t="shared" si="87"/>
        <v>7.0999999999999091</v>
      </c>
      <c r="Z242" s="236">
        <f t="shared" si="87"/>
        <v>13.099999999999909</v>
      </c>
      <c r="AA242" s="236">
        <f t="shared" si="87"/>
        <v>18.400000000000091</v>
      </c>
      <c r="AB242" s="236">
        <f t="shared" si="87"/>
        <v>13.799999999999955</v>
      </c>
      <c r="AC242" s="236">
        <f t="shared" si="77"/>
        <v>12.799999999999955</v>
      </c>
      <c r="AD242" s="236">
        <f t="shared" si="77"/>
        <v>14.300000000000182</v>
      </c>
      <c r="AE242" s="236">
        <f t="shared" si="77"/>
        <v>18.599999999999909</v>
      </c>
      <c r="AF242" s="236">
        <f t="shared" si="77"/>
        <v>-34</v>
      </c>
      <c r="AG242" s="236">
        <f t="shared" si="77"/>
        <v>-29.900000000000091</v>
      </c>
      <c r="AH242" s="236">
        <f t="shared" si="77"/>
        <v>-8.1999999999998181</v>
      </c>
      <c r="AI242" s="236">
        <f t="shared" si="77"/>
        <v>-11.600000000000136</v>
      </c>
      <c r="AJ242" s="236">
        <f t="shared" si="77"/>
        <v>-16.700000000000045</v>
      </c>
      <c r="AK242" s="236">
        <f t="shared" si="77"/>
        <v>-30.699999999999818</v>
      </c>
      <c r="AL242" s="236">
        <f t="shared" si="77"/>
        <v>-9.2000000000000455</v>
      </c>
      <c r="AM242" s="236">
        <f t="shared" si="77"/>
        <v>-17.700000000000045</v>
      </c>
      <c r="AN242" s="236">
        <f t="shared" si="81"/>
        <v>-20.200000000000045</v>
      </c>
      <c r="AO242" s="236"/>
      <c r="AP242" s="563"/>
      <c r="AQ242" s="236"/>
      <c r="AR242" s="563"/>
      <c r="AS242" s="563"/>
      <c r="AT242" s="563"/>
      <c r="AU242" s="236"/>
      <c r="AV242" s="236"/>
      <c r="AW242" s="236"/>
      <c r="AX242" s="236"/>
      <c r="AY242" s="236"/>
      <c r="AZ242" s="236"/>
      <c r="BA242" s="236"/>
      <c r="BB242" s="236"/>
      <c r="BC242" s="236"/>
      <c r="BD242" s="236"/>
      <c r="BE242" s="236"/>
      <c r="BF242" s="236"/>
      <c r="BG242" s="236"/>
      <c r="BH242" s="236"/>
      <c r="BI242" s="236"/>
      <c r="BJ242" s="236"/>
      <c r="BK242" s="236"/>
      <c r="BL242" s="236"/>
    </row>
    <row r="243" spans="1:95">
      <c r="A243" s="92" t="str">
        <f t="shared" si="75"/>
        <v>Telephony</v>
      </c>
      <c r="C243" s="236">
        <f t="shared" ref="C243:O243" si="88">C229-B229</f>
        <v>4.8999999999999773</v>
      </c>
      <c r="D243" s="236">
        <f t="shared" si="88"/>
        <v>3.4000000000000909</v>
      </c>
      <c r="E243" s="236">
        <f t="shared" si="88"/>
        <v>-3</v>
      </c>
      <c r="F243" s="236">
        <f t="shared" si="88"/>
        <v>8.6999999999999318</v>
      </c>
      <c r="G243" s="236">
        <f t="shared" si="88"/>
        <v>10.5</v>
      </c>
      <c r="H243" s="236">
        <f t="shared" si="88"/>
        <v>-3.5</v>
      </c>
      <c r="I243" s="236">
        <f t="shared" si="88"/>
        <v>-11.600000000000023</v>
      </c>
      <c r="J243" s="236">
        <f t="shared" si="88"/>
        <v>7.8000000000000682</v>
      </c>
      <c r="K243" s="236">
        <f t="shared" si="88"/>
        <v>-0.70000000000004547</v>
      </c>
      <c r="L243" s="236">
        <f t="shared" si="88"/>
        <v>-1.8999999999999773</v>
      </c>
      <c r="M243" s="236">
        <f t="shared" si="88"/>
        <v>-9.1000000000000227</v>
      </c>
      <c r="N243" s="236">
        <f t="shared" si="88"/>
        <v>-11.5</v>
      </c>
      <c r="O243" s="236">
        <f t="shared" si="88"/>
        <v>-3.2999999999999545</v>
      </c>
      <c r="P243" s="236">
        <f t="shared" ref="P243:AB243" si="89">P229-O229</f>
        <v>-11.5</v>
      </c>
      <c r="Q243" s="236">
        <f t="shared" si="89"/>
        <v>-6.6000000000000227</v>
      </c>
      <c r="R243" s="236">
        <f t="shared" si="89"/>
        <v>-6.7999999999999545</v>
      </c>
      <c r="S243" s="236">
        <f t="shared" si="89"/>
        <v>-4</v>
      </c>
      <c r="T243" s="236">
        <f t="shared" si="89"/>
        <v>-5.7000000000000455</v>
      </c>
      <c r="U243" s="236">
        <f t="shared" si="89"/>
        <v>-12.100000000000023</v>
      </c>
      <c r="V243" s="236">
        <f t="shared" si="89"/>
        <v>-11.100000000000023</v>
      </c>
      <c r="W243" s="236">
        <f t="shared" si="89"/>
        <v>-13.299999999999955</v>
      </c>
      <c r="X243" s="236">
        <f t="shared" si="89"/>
        <v>-18.299999999999955</v>
      </c>
      <c r="Y243" s="236">
        <f t="shared" si="89"/>
        <v>-12.800000000000068</v>
      </c>
      <c r="Z243" s="236">
        <f t="shared" si="89"/>
        <v>-10.5</v>
      </c>
      <c r="AA243" s="236">
        <f t="shared" si="89"/>
        <v>-4.6999999999999318</v>
      </c>
      <c r="AB243" s="236">
        <f t="shared" si="89"/>
        <v>-5.1000000000000227</v>
      </c>
      <c r="AC243" s="236">
        <f t="shared" si="77"/>
        <v>-4.8999999999999773</v>
      </c>
      <c r="AD243" s="236">
        <f t="shared" si="77"/>
        <v>-7.7000000000000455</v>
      </c>
      <c r="AE243" s="236">
        <f t="shared" si="77"/>
        <v>-10.899999999999977</v>
      </c>
      <c r="AF243" s="236">
        <f t="shared" si="77"/>
        <v>-30.300000000000011</v>
      </c>
      <c r="AG243" s="236">
        <f t="shared" si="77"/>
        <v>-1.6000000000000227</v>
      </c>
      <c r="AH243" s="236">
        <f t="shared" si="77"/>
        <v>13</v>
      </c>
      <c r="AI243" s="236">
        <f t="shared" si="77"/>
        <v>7.0999999999999659</v>
      </c>
      <c r="AJ243" s="236">
        <f t="shared" si="77"/>
        <v>19.5</v>
      </c>
      <c r="AK243" s="236">
        <f t="shared" si="77"/>
        <v>8.1000000000000227</v>
      </c>
      <c r="AL243" s="236">
        <f t="shared" si="77"/>
        <v>-12.600000000000023</v>
      </c>
      <c r="AM243" s="236">
        <f t="shared" si="77"/>
        <v>-29.299999999999955</v>
      </c>
      <c r="AN243" s="236">
        <f t="shared" si="81"/>
        <v>-16.899999999999977</v>
      </c>
      <c r="AO243" s="236"/>
      <c r="AP243" s="563"/>
      <c r="AQ243" s="236"/>
      <c r="AR243" s="563"/>
      <c r="AS243" s="563"/>
      <c r="AT243" s="563"/>
      <c r="AU243" s="236"/>
      <c r="AV243" s="236"/>
      <c r="AW243" s="236"/>
      <c r="AX243" s="236"/>
      <c r="AY243" s="236"/>
      <c r="AZ243" s="236"/>
      <c r="BA243" s="236"/>
      <c r="BB243" s="236"/>
      <c r="BC243" s="236"/>
      <c r="BD243" s="236"/>
      <c r="BE243" s="236"/>
      <c r="BF243" s="236"/>
      <c r="BG243" s="236"/>
      <c r="BH243" s="236"/>
      <c r="BI243" s="236"/>
      <c r="BJ243" s="236"/>
      <c r="BK243" s="236"/>
      <c r="BL243" s="236"/>
    </row>
    <row r="244" spans="1:95">
      <c r="A244" s="92" t="str">
        <f t="shared" si="75"/>
        <v>Mobile</v>
      </c>
      <c r="C244" s="236">
        <f t="shared" ref="C244:O244" si="90">C230-B230</f>
        <v>92.6</v>
      </c>
      <c r="D244" s="236">
        <f t="shared" si="90"/>
        <v>-60.199999999999989</v>
      </c>
      <c r="E244" s="236">
        <f t="shared" si="90"/>
        <v>-8.6000000000000085</v>
      </c>
      <c r="F244" s="236">
        <f t="shared" si="90"/>
        <v>11.700000000000003</v>
      </c>
      <c r="G244" s="236">
        <f t="shared" si="90"/>
        <v>6.7000000000000028</v>
      </c>
      <c r="H244" s="236">
        <f t="shared" si="90"/>
        <v>11</v>
      </c>
      <c r="I244" s="236">
        <f t="shared" si="90"/>
        <v>9.7999999999999972</v>
      </c>
      <c r="J244" s="236">
        <f t="shared" si="90"/>
        <v>7</v>
      </c>
      <c r="K244" s="236">
        <f t="shared" si="90"/>
        <v>11.699999999999989</v>
      </c>
      <c r="L244" s="236">
        <f t="shared" si="90"/>
        <v>4.8000000000000114</v>
      </c>
      <c r="M244" s="236">
        <f t="shared" si="90"/>
        <v>-2</v>
      </c>
      <c r="N244" s="236">
        <f t="shared" si="90"/>
        <v>0</v>
      </c>
      <c r="O244" s="236">
        <f t="shared" si="90"/>
        <v>7</v>
      </c>
      <c r="P244" s="236">
        <f t="shared" ref="P244:AB244" si="91">P230-O230</f>
        <v>11</v>
      </c>
      <c r="Q244" s="236">
        <f t="shared" si="91"/>
        <v>15</v>
      </c>
      <c r="R244" s="236">
        <f t="shared" si="91"/>
        <v>13.699999999999989</v>
      </c>
      <c r="S244" s="236">
        <f t="shared" si="91"/>
        <v>14.300000000000011</v>
      </c>
      <c r="T244" s="236">
        <f t="shared" si="91"/>
        <v>13.199999999999989</v>
      </c>
      <c r="U244" s="236">
        <f t="shared" si="91"/>
        <v>8.7000000000000171</v>
      </c>
      <c r="V244" s="236">
        <f t="shared" si="91"/>
        <v>8.7999999999999829</v>
      </c>
      <c r="W244" s="236">
        <f t="shared" si="91"/>
        <v>12.600000000000023</v>
      </c>
      <c r="X244" s="236">
        <f t="shared" si="91"/>
        <v>9.5</v>
      </c>
      <c r="Y244" s="236">
        <f t="shared" si="91"/>
        <v>10.5</v>
      </c>
      <c r="Z244" s="236">
        <f t="shared" si="91"/>
        <v>10</v>
      </c>
      <c r="AA244" s="236">
        <f t="shared" si="91"/>
        <v>9.8000000000000114</v>
      </c>
      <c r="AB244" s="236">
        <f t="shared" si="91"/>
        <v>13.299999999999955</v>
      </c>
      <c r="AC244" s="236">
        <f t="shared" si="77"/>
        <v>11.400000000000034</v>
      </c>
      <c r="AD244" s="236">
        <f t="shared" si="77"/>
        <v>4.0999999999999659</v>
      </c>
      <c r="AE244" s="236">
        <f t="shared" si="77"/>
        <v>-3.2999999999999545</v>
      </c>
      <c r="AF244" s="236">
        <f t="shared" si="77"/>
        <v>-10.700000000000045</v>
      </c>
      <c r="AG244" s="236">
        <f t="shared" si="77"/>
        <v>-10.599999999999966</v>
      </c>
      <c r="AH244" s="236">
        <f t="shared" si="77"/>
        <v>-6.4000000000000341</v>
      </c>
      <c r="AI244" s="236">
        <f t="shared" si="77"/>
        <v>-6.5</v>
      </c>
      <c r="AJ244" s="236">
        <f t="shared" si="77"/>
        <v>-6.6999999999999886</v>
      </c>
      <c r="AK244" s="236">
        <f t="shared" si="77"/>
        <v>-8.6999999999999886</v>
      </c>
      <c r="AL244" s="236">
        <f t="shared" si="77"/>
        <v>-6.4000000000000057</v>
      </c>
      <c r="AM244" s="236">
        <f t="shared" si="77"/>
        <v>8</v>
      </c>
      <c r="AN244" s="236">
        <f t="shared" si="81"/>
        <v>10.599999999999994</v>
      </c>
      <c r="AO244" s="236"/>
      <c r="AP244" s="563"/>
      <c r="AQ244" s="236"/>
      <c r="AR244" s="563"/>
      <c r="AS244" s="563"/>
      <c r="AT244" s="563"/>
      <c r="AU244" s="236"/>
      <c r="AV244" s="236"/>
      <c r="AW244" s="236"/>
      <c r="AX244" s="236"/>
      <c r="AY244" s="236"/>
      <c r="AZ244" s="236"/>
      <c r="BA244" s="236"/>
      <c r="BB244" s="236"/>
      <c r="BC244" s="236"/>
      <c r="BD244" s="236"/>
      <c r="BE244" s="236"/>
      <c r="BF244" s="236"/>
      <c r="BG244" s="236"/>
      <c r="BH244" s="236"/>
      <c r="BI244" s="236"/>
      <c r="BJ244" s="236"/>
      <c r="BK244" s="236"/>
      <c r="BL244" s="236"/>
    </row>
    <row r="245" spans="1:95">
      <c r="T245" s="124"/>
      <c r="U245" s="124"/>
      <c r="V245" s="124"/>
      <c r="W245" s="124"/>
      <c r="X245" s="124"/>
      <c r="Y245" s="124"/>
      <c r="Z245" s="124"/>
      <c r="AA245" s="124"/>
      <c r="AB245" s="124"/>
      <c r="AC245" s="124"/>
      <c r="AD245" s="124"/>
      <c r="AE245" s="124"/>
      <c r="AF245" s="124"/>
      <c r="AG245" s="124"/>
      <c r="AH245" s="124"/>
      <c r="AI245" s="124"/>
      <c r="AJ245" s="124"/>
      <c r="AK245" s="124"/>
      <c r="AL245" s="124"/>
      <c r="AM245" s="124"/>
      <c r="AN245" s="124"/>
      <c r="AO245" s="124"/>
      <c r="AP245" s="124"/>
      <c r="AQ245" s="124"/>
      <c r="AW245" s="841" t="str">
        <f t="shared" ref="AW245:BD245" si="92">AD246</f>
        <v>Q1 20</v>
      </c>
      <c r="AX245" s="841" t="str">
        <f t="shared" si="92"/>
        <v>Q2 20</v>
      </c>
      <c r="AY245" s="841" t="str">
        <f t="shared" si="92"/>
        <v>Q3 20</v>
      </c>
      <c r="AZ245" s="841" t="str">
        <f t="shared" si="92"/>
        <v>Q4 20</v>
      </c>
      <c r="BA245" s="841" t="str">
        <f t="shared" si="92"/>
        <v>Q1 21</v>
      </c>
      <c r="BB245" s="841" t="str">
        <f t="shared" si="92"/>
        <v>Q2 21</v>
      </c>
      <c r="BC245" s="841" t="str">
        <f t="shared" si="92"/>
        <v>Q3 21</v>
      </c>
      <c r="BD245" s="841" t="str">
        <f t="shared" si="92"/>
        <v>Q4 21</v>
      </c>
      <c r="BE245" s="841" t="str">
        <f>AL246</f>
        <v>Q1 22</v>
      </c>
      <c r="BF245" s="841" t="str">
        <f t="shared" ref="BF245:BM245" si="93">AM246</f>
        <v>Q2 22</v>
      </c>
      <c r="BG245" s="841" t="str">
        <f t="shared" si="93"/>
        <v>Q3 22</v>
      </c>
      <c r="BH245" s="841" t="str">
        <f t="shared" si="93"/>
        <v>Q4 22</v>
      </c>
      <c r="BI245" s="841" t="str">
        <f t="shared" si="93"/>
        <v>Q1 23</v>
      </c>
      <c r="BJ245" s="841" t="str">
        <f t="shared" si="93"/>
        <v>Q2 23</v>
      </c>
      <c r="BK245" s="841" t="str">
        <f t="shared" si="93"/>
        <v>Q3 23</v>
      </c>
      <c r="BL245" s="841" t="str">
        <f t="shared" si="93"/>
        <v>Q4 23</v>
      </c>
      <c r="BM245" s="841" t="str">
        <f t="shared" si="93"/>
        <v>Q1 24</v>
      </c>
    </row>
    <row r="246" spans="1:95">
      <c r="A246" s="353" t="s">
        <v>903</v>
      </c>
      <c r="P246" s="336" t="str">
        <f t="shared" ref="P246:AB246" si="94">P223</f>
        <v>Q3 16</v>
      </c>
      <c r="Q246" s="336" t="str">
        <f t="shared" si="94"/>
        <v>Q4 16</v>
      </c>
      <c r="R246" s="336" t="str">
        <f t="shared" si="94"/>
        <v>Q1 17</v>
      </c>
      <c r="S246" s="336" t="str">
        <f t="shared" si="94"/>
        <v>Q2 17</v>
      </c>
      <c r="T246" s="336" t="str">
        <f t="shared" si="94"/>
        <v>Q3 17</v>
      </c>
      <c r="U246" s="336" t="str">
        <f t="shared" si="94"/>
        <v>Q4 17</v>
      </c>
      <c r="V246" s="336" t="str">
        <f t="shared" si="94"/>
        <v>Q1 18</v>
      </c>
      <c r="W246" s="336" t="str">
        <f t="shared" si="94"/>
        <v>Q2 18</v>
      </c>
      <c r="X246" s="336" t="str">
        <f t="shared" si="94"/>
        <v>Q3 18</v>
      </c>
      <c r="Y246" s="336" t="str">
        <f t="shared" si="94"/>
        <v>Q4 18</v>
      </c>
      <c r="Z246" s="336" t="str">
        <f t="shared" si="94"/>
        <v>Q1 19</v>
      </c>
      <c r="AA246" s="336" t="str">
        <f t="shared" si="94"/>
        <v>Q2 19</v>
      </c>
      <c r="AB246" s="336" t="str">
        <f t="shared" si="94"/>
        <v>Q3 19</v>
      </c>
      <c r="AC246" s="336" t="str">
        <f t="shared" ref="AC246:AL246" si="95">AC223</f>
        <v>Q4 19</v>
      </c>
      <c r="AD246" s="336" t="str">
        <f t="shared" si="95"/>
        <v>Q1 20</v>
      </c>
      <c r="AE246" s="336" t="str">
        <f t="shared" si="95"/>
        <v>Q2 20</v>
      </c>
      <c r="AF246" s="336" t="str">
        <f t="shared" si="95"/>
        <v>Q3 20</v>
      </c>
      <c r="AG246" s="336" t="str">
        <f t="shared" si="95"/>
        <v>Q4 20</v>
      </c>
      <c r="AH246" s="336" t="str">
        <f t="shared" si="95"/>
        <v>Q1 21</v>
      </c>
      <c r="AI246" s="336" t="str">
        <f t="shared" si="95"/>
        <v>Q2 21</v>
      </c>
      <c r="AJ246" s="336" t="str">
        <f t="shared" si="95"/>
        <v>Q3 21</v>
      </c>
      <c r="AK246" s="336" t="str">
        <f t="shared" si="95"/>
        <v>Q4 21</v>
      </c>
      <c r="AL246" s="336" t="str">
        <f t="shared" si="95"/>
        <v>Q1 22</v>
      </c>
      <c r="AM246" s="336" t="s">
        <v>5950</v>
      </c>
      <c r="AN246" s="336" t="s">
        <v>5951</v>
      </c>
      <c r="AO246" s="336" t="str">
        <f>AO223</f>
        <v>Q4 22</v>
      </c>
      <c r="AP246" s="336" t="str">
        <f t="shared" ref="AP246:AT246" si="96">AP223</f>
        <v>Q1 23</v>
      </c>
      <c r="AQ246" s="336" t="str">
        <f t="shared" si="96"/>
        <v>Q2 23</v>
      </c>
      <c r="AR246" s="336" t="str">
        <f t="shared" si="96"/>
        <v>Q3 23</v>
      </c>
      <c r="AS246" s="336" t="str">
        <f t="shared" si="96"/>
        <v>Q4 23</v>
      </c>
      <c r="AT246" s="336" t="str">
        <f t="shared" si="96"/>
        <v>Q1 24</v>
      </c>
      <c r="AU246" s="236"/>
      <c r="AV246" s="356"/>
      <c r="BE246" s="356"/>
      <c r="BF246" s="356"/>
      <c r="BG246" s="356"/>
      <c r="BH246" s="356"/>
      <c r="BI246" s="356"/>
      <c r="BJ246" s="356"/>
      <c r="BK246" s="356"/>
      <c r="BL246" s="356"/>
      <c r="BZ246" s="356" t="str">
        <f t="shared" ref="BZ246:CE246" si="97">P246</f>
        <v>Q3 16</v>
      </c>
      <c r="CA246" s="356" t="str">
        <f t="shared" si="97"/>
        <v>Q4 16</v>
      </c>
      <c r="CB246" s="356" t="str">
        <f t="shared" si="97"/>
        <v>Q1 17</v>
      </c>
      <c r="CC246" s="356" t="str">
        <f t="shared" si="97"/>
        <v>Q2 17</v>
      </c>
      <c r="CD246" s="356" t="str">
        <f t="shared" si="97"/>
        <v>Q3 17</v>
      </c>
      <c r="CE246" s="356" t="str">
        <f t="shared" si="97"/>
        <v>Q4 17</v>
      </c>
      <c r="CF246" s="356"/>
      <c r="CG246" s="356"/>
      <c r="CH246" s="356"/>
      <c r="CI246" s="356"/>
      <c r="CJ246" s="356"/>
      <c r="CK246" s="356"/>
      <c r="CL246" s="356"/>
      <c r="CM246" s="356"/>
      <c r="CN246" s="356"/>
      <c r="CO246" s="356"/>
      <c r="CP246" s="356"/>
      <c r="CQ246" s="356"/>
    </row>
    <row r="247" spans="1:95">
      <c r="A247" s="353" t="s">
        <v>7430</v>
      </c>
      <c r="P247" s="356"/>
      <c r="Q247" s="356"/>
      <c r="R247" s="356"/>
      <c r="S247" s="356"/>
      <c r="T247" s="356"/>
      <c r="U247" s="356"/>
      <c r="V247" s="356"/>
      <c r="W247" s="356"/>
      <c r="X247" s="356"/>
      <c r="Y247" s="356"/>
      <c r="Z247" s="356"/>
      <c r="AA247" s="356"/>
      <c r="AB247" s="356"/>
      <c r="AC247" s="356"/>
      <c r="AD247" s="356"/>
      <c r="AE247" s="356"/>
      <c r="AF247" s="356"/>
      <c r="AG247" s="356"/>
      <c r="AH247" s="356">
        <v>152.19999999999999</v>
      </c>
      <c r="AI247" s="356">
        <v>150</v>
      </c>
      <c r="AJ247" s="356">
        <v>149.1</v>
      </c>
      <c r="AK247" s="357">
        <f>AK266</f>
        <v>144.55960000000002</v>
      </c>
      <c r="AL247" s="356">
        <v>138.1</v>
      </c>
      <c r="AM247" s="356">
        <v>126.5</v>
      </c>
      <c r="AN247" s="356">
        <v>120.2</v>
      </c>
      <c r="AO247" s="356">
        <f>498.2-AL247-AM247-AN247</f>
        <v>113.40000000000002</v>
      </c>
      <c r="AP247" s="356">
        <v>111.5</v>
      </c>
      <c r="AQ247" s="358">
        <v>109</v>
      </c>
      <c r="AR247" s="356">
        <v>106.9</v>
      </c>
      <c r="AS247" s="356">
        <f>435.4-AP247-AQ247-AR247</f>
        <v>107.99999999999997</v>
      </c>
      <c r="AT247" s="356">
        <v>105.9</v>
      </c>
      <c r="AU247" s="236"/>
      <c r="AV247" s="356">
        <v>435.4</v>
      </c>
      <c r="AW247" s="1603">
        <f t="shared" ref="AW247:BG247" si="98">AD267</f>
        <v>1.9328644066248124E-2</v>
      </c>
      <c r="AX247" s="1603">
        <f t="shared" si="98"/>
        <v>-3.854665812484559E-2</v>
      </c>
      <c r="AY247" s="1603">
        <f t="shared" si="98"/>
        <v>-5.1701521850577969E-2</v>
      </c>
      <c r="AZ247" s="1603">
        <f t="shared" si="98"/>
        <v>-5.0541516245487195E-2</v>
      </c>
      <c r="BA247" s="1603">
        <f t="shared" si="98"/>
        <v>-8.1472540736270416E-2</v>
      </c>
      <c r="BB247" s="1603">
        <f t="shared" si="98"/>
        <v>-5.4820415879016982E-2</v>
      </c>
      <c r="BC247" s="1603">
        <f t="shared" si="98"/>
        <v>-5.3934010152284273E-2</v>
      </c>
      <c r="BD247" s="1603">
        <f t="shared" si="98"/>
        <v>-8.3906210392902358E-2</v>
      </c>
      <c r="BE247" s="1603">
        <f t="shared" si="98"/>
        <v>-9.3067044595926074E-2</v>
      </c>
      <c r="BF247" s="1603">
        <f t="shared" si="98"/>
        <v>-0.15531246153846134</v>
      </c>
      <c r="BG247" s="1603">
        <f t="shared" si="98"/>
        <v>-0.19386452045606961</v>
      </c>
      <c r="BH247" s="313">
        <f t="shared" ref="BH247:BL247" si="99">AO247/AK247-1</f>
        <v>-0.21554846582309295</v>
      </c>
      <c r="BI247" s="313">
        <f t="shared" si="99"/>
        <v>-0.19261404779145541</v>
      </c>
      <c r="BJ247" s="313">
        <f t="shared" si="99"/>
        <v>-0.13833992094861658</v>
      </c>
      <c r="BK247" s="313">
        <f t="shared" si="99"/>
        <v>-0.11064891846921798</v>
      </c>
      <c r="BL247" s="313">
        <f t="shared" si="99"/>
        <v>-4.7619047619048005E-2</v>
      </c>
      <c r="BM247" s="313">
        <f>AT247/AP247-1</f>
        <v>-5.0224215246636672E-2</v>
      </c>
      <c r="BZ247" s="356"/>
      <c r="CA247" s="356"/>
      <c r="CB247" s="356"/>
      <c r="CC247" s="356"/>
      <c r="CD247" s="356"/>
      <c r="CE247" s="356"/>
      <c r="CF247" s="356"/>
      <c r="CG247" s="356"/>
      <c r="CH247" s="356"/>
      <c r="CI247" s="356"/>
      <c r="CJ247" s="356"/>
      <c r="CK247" s="356"/>
      <c r="CL247" s="356"/>
      <c r="CM247" s="356"/>
      <c r="CN247" s="356"/>
      <c r="CO247" s="356"/>
      <c r="CP247" s="356"/>
      <c r="CQ247" s="356"/>
    </row>
    <row r="248" spans="1:95">
      <c r="A248" s="92" t="s">
        <v>7431</v>
      </c>
      <c r="P248" s="356"/>
      <c r="Q248" s="356"/>
      <c r="R248" s="356"/>
      <c r="S248" s="356"/>
      <c r="T248" s="356"/>
      <c r="U248" s="356"/>
      <c r="V248" s="356"/>
      <c r="W248" s="356"/>
      <c r="X248" s="356"/>
      <c r="Y248" s="356"/>
      <c r="Z248" s="356"/>
      <c r="AA248" s="356"/>
      <c r="AB248" s="356"/>
      <c r="AC248" s="356"/>
      <c r="AD248" s="356"/>
      <c r="AE248" s="356"/>
      <c r="AF248" s="356"/>
      <c r="AG248" s="356"/>
      <c r="AH248" s="356"/>
      <c r="AI248" s="356"/>
      <c r="AJ248" s="356"/>
      <c r="AK248" s="356"/>
      <c r="AL248" s="356">
        <v>-3.3</v>
      </c>
      <c r="AM248" s="356">
        <v>-13.6</v>
      </c>
      <c r="AN248" s="356">
        <v>-8.8000000000000007</v>
      </c>
      <c r="AO248" s="356">
        <f>-314-AL248-AM248-AN248</f>
        <v>-288.29999999999995</v>
      </c>
      <c r="AP248" s="356">
        <v>-31.9</v>
      </c>
      <c r="AQ248" s="356">
        <v>-21.3</v>
      </c>
      <c r="AR248" s="356">
        <v>-25.3</v>
      </c>
      <c r="AS248" s="356">
        <f>-101.8-AP248-AQ248-AR248</f>
        <v>-23.300000000000008</v>
      </c>
      <c r="AT248" s="356">
        <v>-27</v>
      </c>
      <c r="AU248" s="236"/>
      <c r="AV248" s="356"/>
      <c r="AW248" s="897"/>
      <c r="AX248" s="897"/>
      <c r="AY248" s="897"/>
      <c r="AZ248" s="897"/>
      <c r="BA248" s="897"/>
      <c r="BB248" s="897"/>
      <c r="BC248" s="897"/>
      <c r="BD248" s="897"/>
      <c r="BE248" s="356"/>
      <c r="BF248" s="356"/>
      <c r="BG248" s="356"/>
      <c r="BH248" s="356"/>
      <c r="BI248" s="356"/>
      <c r="BJ248" s="356"/>
      <c r="BK248" s="356"/>
      <c r="BL248" s="356"/>
      <c r="BZ248" s="356"/>
      <c r="CA248" s="356"/>
      <c r="CB248" s="356"/>
      <c r="CC248" s="356"/>
      <c r="CD248" s="356"/>
      <c r="CE248" s="356"/>
      <c r="CF248" s="356"/>
      <c r="CG248" s="356"/>
      <c r="CH248" s="356"/>
      <c r="CI248" s="356"/>
      <c r="CJ248" s="356"/>
      <c r="CK248" s="356"/>
      <c r="CL248" s="356"/>
      <c r="CM248" s="356"/>
      <c r="CN248" s="356"/>
      <c r="CO248" s="356"/>
      <c r="CP248" s="356"/>
      <c r="CQ248" s="356"/>
    </row>
    <row r="249" spans="1:95">
      <c r="A249" s="92" t="s">
        <v>7432</v>
      </c>
      <c r="P249" s="356"/>
      <c r="Q249" s="356"/>
      <c r="R249" s="356"/>
      <c r="S249" s="356"/>
      <c r="T249" s="356"/>
      <c r="U249" s="356"/>
      <c r="V249" s="356"/>
      <c r="W249" s="356"/>
      <c r="X249" s="356"/>
      <c r="Y249" s="356"/>
      <c r="Z249" s="356"/>
      <c r="AA249" s="356"/>
      <c r="AB249" s="356"/>
      <c r="AC249" s="356"/>
      <c r="AD249" s="356"/>
      <c r="AE249" s="356"/>
      <c r="AF249" s="356"/>
      <c r="AG249" s="356"/>
      <c r="AH249" s="356"/>
      <c r="AI249" s="356"/>
      <c r="AJ249" s="356"/>
      <c r="AK249" s="356"/>
      <c r="AL249" s="356">
        <v>0.7</v>
      </c>
      <c r="AM249" s="356">
        <v>2.2999999999999998</v>
      </c>
      <c r="AN249" s="356">
        <v>1.2</v>
      </c>
      <c r="AO249" s="356">
        <f>267.5-AL249-AM249-AN249</f>
        <v>263.3</v>
      </c>
      <c r="AP249" s="356">
        <v>5.5</v>
      </c>
      <c r="AQ249" s="356">
        <v>0.4</v>
      </c>
      <c r="AR249" s="356">
        <v>0.6</v>
      </c>
      <c r="AS249" s="356">
        <f>0.3-AP249-AQ249-AR249</f>
        <v>-6.2</v>
      </c>
      <c r="AT249" s="356">
        <v>0</v>
      </c>
      <c r="AU249" s="236"/>
      <c r="AV249" s="356"/>
      <c r="AW249" s="897"/>
      <c r="AX249" s="897"/>
      <c r="AY249" s="897"/>
      <c r="AZ249" s="897"/>
      <c r="BA249" s="897"/>
      <c r="BB249" s="897"/>
      <c r="BC249" s="897"/>
      <c r="BD249" s="897"/>
      <c r="BE249" s="356"/>
      <c r="BF249" s="356"/>
      <c r="BG249" s="356"/>
      <c r="BH249" s="356"/>
      <c r="BI249" s="356"/>
      <c r="BJ249" s="356"/>
      <c r="BK249" s="356"/>
      <c r="BL249" s="356"/>
      <c r="BZ249" s="356"/>
      <c r="CA249" s="356"/>
      <c r="CB249" s="356"/>
      <c r="CC249" s="356"/>
      <c r="CD249" s="356"/>
      <c r="CE249" s="356"/>
      <c r="CF249" s="356"/>
      <c r="CG249" s="356"/>
      <c r="CH249" s="356"/>
      <c r="CI249" s="356"/>
      <c r="CJ249" s="356"/>
      <c r="CK249" s="356"/>
      <c r="CL249" s="356"/>
      <c r="CM249" s="356"/>
      <c r="CN249" s="356"/>
      <c r="CO249" s="356"/>
      <c r="CP249" s="356"/>
      <c r="CQ249" s="356"/>
    </row>
    <row r="250" spans="1:95">
      <c r="A250" s="92" t="s">
        <v>56</v>
      </c>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v>33.4</v>
      </c>
      <c r="AM250" s="356">
        <v>33.200000000000003</v>
      </c>
      <c r="AN250" s="356">
        <v>33.1</v>
      </c>
      <c r="AO250" s="356">
        <f>132.3-AL250-AM250-AN250</f>
        <v>32.6</v>
      </c>
      <c r="AP250" s="356">
        <v>42.5</v>
      </c>
      <c r="AQ250" s="356">
        <v>34.9</v>
      </c>
      <c r="AR250" s="356">
        <v>38.200000000000003</v>
      </c>
      <c r="AS250" s="356">
        <f>153-AP250-AQ250-AR250</f>
        <v>37.399999999999991</v>
      </c>
      <c r="AT250" s="356">
        <v>37.700000000000003</v>
      </c>
      <c r="AU250" s="236"/>
      <c r="AV250" s="356"/>
      <c r="AW250" s="897"/>
      <c r="AX250" s="897"/>
      <c r="AY250" s="897"/>
      <c r="AZ250" s="897"/>
      <c r="BA250" s="897"/>
      <c r="BB250" s="897"/>
      <c r="BC250" s="897"/>
      <c r="BD250" s="897"/>
      <c r="BE250" s="356"/>
      <c r="BF250" s="356"/>
      <c r="BG250" s="356"/>
      <c r="BH250" s="356"/>
      <c r="BI250" s="356"/>
      <c r="BJ250" s="356"/>
      <c r="BK250" s="356"/>
      <c r="BL250" s="356"/>
      <c r="BZ250" s="356"/>
      <c r="CA250" s="356"/>
      <c r="CB250" s="356"/>
      <c r="CC250" s="356"/>
      <c r="CD250" s="356"/>
      <c r="CE250" s="356"/>
      <c r="CF250" s="356"/>
      <c r="CG250" s="356"/>
      <c r="CH250" s="356"/>
      <c r="CI250" s="356"/>
      <c r="CJ250" s="356"/>
      <c r="CK250" s="356"/>
      <c r="CL250" s="356"/>
      <c r="CM250" s="356"/>
      <c r="CN250" s="356"/>
      <c r="CO250" s="356"/>
      <c r="CP250" s="356"/>
      <c r="CQ250" s="356"/>
    </row>
    <row r="251" spans="1:95">
      <c r="A251" s="92" t="s">
        <v>8</v>
      </c>
      <c r="P251" s="356"/>
      <c r="Q251" s="356"/>
      <c r="R251" s="356"/>
      <c r="S251" s="356"/>
      <c r="T251" s="356"/>
      <c r="U251" s="356"/>
      <c r="V251" s="356"/>
      <c r="W251" s="356"/>
      <c r="X251" s="356"/>
      <c r="Y251" s="356"/>
      <c r="Z251" s="356"/>
      <c r="AA251" s="356"/>
      <c r="AB251" s="356"/>
      <c r="AC251" s="356"/>
      <c r="AD251" s="356"/>
      <c r="AE251" s="356"/>
      <c r="AF251" s="356"/>
      <c r="AG251" s="356"/>
      <c r="AH251" s="356"/>
      <c r="AI251" s="356"/>
      <c r="AJ251" s="356"/>
      <c r="AK251" s="356"/>
      <c r="AL251" s="356">
        <f t="shared" ref="AL251:AT251" si="100">AL248+AL249+AL250</f>
        <v>30.799999999999997</v>
      </c>
      <c r="AM251" s="356">
        <f t="shared" si="100"/>
        <v>21.900000000000002</v>
      </c>
      <c r="AN251" s="356">
        <f t="shared" si="100"/>
        <v>25.5</v>
      </c>
      <c r="AO251" s="356">
        <f t="shared" si="100"/>
        <v>7.6000000000000583</v>
      </c>
      <c r="AP251" s="356">
        <f t="shared" si="100"/>
        <v>16.100000000000001</v>
      </c>
      <c r="AQ251" s="356">
        <f t="shared" si="100"/>
        <v>13.999999999999996</v>
      </c>
      <c r="AR251" s="356">
        <f t="shared" si="100"/>
        <v>13.500000000000004</v>
      </c>
      <c r="AS251" s="356">
        <f t="shared" si="100"/>
        <v>7.8999999999999844</v>
      </c>
      <c r="AT251" s="356">
        <f t="shared" si="100"/>
        <v>10.700000000000003</v>
      </c>
      <c r="AU251" s="236"/>
      <c r="AV251" s="356"/>
      <c r="AW251" s="897"/>
      <c r="AX251" s="897"/>
      <c r="AY251" s="897"/>
      <c r="AZ251" s="897"/>
      <c r="BA251" s="897"/>
      <c r="BB251" s="897"/>
      <c r="BC251" s="897"/>
      <c r="BD251" s="897"/>
      <c r="BE251" s="356"/>
      <c r="BF251" s="356"/>
      <c r="BG251" s="356"/>
      <c r="BH251" s="356"/>
      <c r="BI251" s="356"/>
      <c r="BJ251" s="356"/>
      <c r="BK251" s="356"/>
      <c r="BL251" s="356"/>
      <c r="BZ251" s="356"/>
      <c r="CA251" s="356"/>
      <c r="CB251" s="356"/>
      <c r="CC251" s="356"/>
      <c r="CD251" s="356"/>
      <c r="CE251" s="356"/>
      <c r="CF251" s="356"/>
      <c r="CG251" s="356"/>
      <c r="CH251" s="356"/>
      <c r="CI251" s="356"/>
      <c r="CJ251" s="356"/>
      <c r="CK251" s="356"/>
      <c r="CL251" s="356"/>
      <c r="CM251" s="356"/>
      <c r="CN251" s="356"/>
      <c r="CO251" s="356"/>
      <c r="CP251" s="356"/>
      <c r="CQ251" s="356"/>
    </row>
    <row r="252" spans="1:95">
      <c r="A252" s="92" t="s">
        <v>251</v>
      </c>
      <c r="P252" s="356"/>
      <c r="Q252" s="356"/>
      <c r="R252" s="356"/>
      <c r="S252" s="356"/>
      <c r="T252" s="356"/>
      <c r="U252" s="356"/>
      <c r="V252" s="356"/>
      <c r="W252" s="356"/>
      <c r="X252" s="356"/>
      <c r="Y252" s="356"/>
      <c r="Z252" s="356"/>
      <c r="AA252" s="356"/>
      <c r="AB252" s="356"/>
      <c r="AC252" s="356"/>
      <c r="AD252" s="356"/>
      <c r="AE252" s="356"/>
      <c r="AF252" s="356"/>
      <c r="AG252" s="356"/>
      <c r="AH252" s="356"/>
      <c r="AI252" s="356"/>
      <c r="AJ252" s="356"/>
      <c r="AK252" s="356"/>
      <c r="AL252" s="1603">
        <f t="shared" ref="AL252:AT252" si="101">AL251/AL247</f>
        <v>0.22302679217957999</v>
      </c>
      <c r="AM252" s="1603">
        <f t="shared" si="101"/>
        <v>0.1731225296442688</v>
      </c>
      <c r="AN252" s="1603">
        <f t="shared" si="101"/>
        <v>0.21214642262895175</v>
      </c>
      <c r="AO252" s="1603">
        <f t="shared" si="101"/>
        <v>6.7019400352734182E-2</v>
      </c>
      <c r="AP252" s="1603">
        <f t="shared" si="101"/>
        <v>0.14439461883408072</v>
      </c>
      <c r="AQ252" s="1603">
        <f t="shared" si="101"/>
        <v>0.12844036697247704</v>
      </c>
      <c r="AR252" s="1603">
        <f t="shared" si="101"/>
        <v>0.1262862488306829</v>
      </c>
      <c r="AS252" s="1603">
        <f t="shared" si="101"/>
        <v>7.3148148148148018E-2</v>
      </c>
      <c r="AT252" s="1603">
        <f t="shared" si="101"/>
        <v>0.10103871576959397</v>
      </c>
      <c r="AU252" s="236"/>
      <c r="AV252" s="356"/>
      <c r="AW252" s="897"/>
      <c r="AX252" s="897"/>
      <c r="AY252" s="897"/>
      <c r="AZ252" s="897"/>
      <c r="BA252" s="897"/>
      <c r="BB252" s="897"/>
      <c r="BC252" s="897"/>
      <c r="BD252" s="897"/>
      <c r="BE252" s="356"/>
      <c r="BF252" s="356"/>
      <c r="BG252" s="356"/>
      <c r="BH252" s="356"/>
      <c r="BI252" s="356"/>
      <c r="BJ252" s="356"/>
      <c r="BK252" s="356"/>
      <c r="BL252" s="356"/>
      <c r="BZ252" s="356"/>
      <c r="CA252" s="356"/>
      <c r="CB252" s="356"/>
      <c r="CC252" s="356"/>
      <c r="CD252" s="356"/>
      <c r="CE252" s="356"/>
      <c r="CF252" s="356"/>
      <c r="CG252" s="356"/>
      <c r="CH252" s="356"/>
      <c r="CI252" s="356"/>
      <c r="CJ252" s="356"/>
      <c r="CK252" s="356"/>
      <c r="CL252" s="356"/>
      <c r="CM252" s="356"/>
      <c r="CN252" s="356"/>
      <c r="CO252" s="356"/>
      <c r="CP252" s="356"/>
      <c r="CQ252" s="356"/>
    </row>
    <row r="253" spans="1:95">
      <c r="P253" s="356"/>
      <c r="Q253" s="356"/>
      <c r="R253" s="356"/>
      <c r="S253" s="356"/>
      <c r="T253" s="356"/>
      <c r="U253" s="356"/>
      <c r="V253" s="356"/>
      <c r="W253" s="356"/>
      <c r="X253" s="356"/>
      <c r="Y253" s="356"/>
      <c r="Z253" s="356"/>
      <c r="AA253" s="356"/>
      <c r="AB253" s="356"/>
      <c r="AC253" s="356"/>
      <c r="AD253" s="356"/>
      <c r="AE253" s="356"/>
      <c r="AF253" s="356"/>
      <c r="AG253" s="356"/>
      <c r="AH253" s="356"/>
      <c r="AI253" s="356"/>
      <c r="AJ253" s="356"/>
      <c r="AK253" s="356"/>
      <c r="AL253" s="356"/>
      <c r="AM253" s="356"/>
      <c r="AN253" s="356"/>
      <c r="AO253" s="1603"/>
      <c r="AP253" s="1603"/>
      <c r="AQ253" s="356"/>
      <c r="AR253" s="356"/>
      <c r="AS253" s="1603"/>
      <c r="AT253" s="1603"/>
      <c r="AU253" s="236"/>
      <c r="AV253" s="356"/>
      <c r="AW253" s="897"/>
      <c r="AX253" s="897"/>
      <c r="AY253" s="897"/>
      <c r="AZ253" s="897"/>
      <c r="BA253" s="897"/>
      <c r="BB253" s="897"/>
      <c r="BC253" s="897"/>
      <c r="BD253" s="897"/>
      <c r="BE253" s="356"/>
      <c r="BF253" s="356"/>
      <c r="BG253" s="356"/>
      <c r="BH253" s="356"/>
      <c r="BI253" s="356"/>
      <c r="BJ253" s="356"/>
      <c r="BK253" s="356"/>
      <c r="BL253" s="356"/>
      <c r="BZ253" s="356"/>
      <c r="CA253" s="356"/>
      <c r="CB253" s="356"/>
      <c r="CC253" s="356"/>
      <c r="CD253" s="356"/>
      <c r="CE253" s="356"/>
      <c r="CF253" s="356"/>
      <c r="CG253" s="356"/>
      <c r="CH253" s="356"/>
      <c r="CI253" s="356"/>
      <c r="CJ253" s="356"/>
      <c r="CK253" s="356"/>
      <c r="CL253" s="356"/>
      <c r="CM253" s="356"/>
      <c r="CN253" s="356"/>
      <c r="CO253" s="356"/>
      <c r="CP253" s="356"/>
      <c r="CQ253" s="356"/>
    </row>
    <row r="254" spans="1:95">
      <c r="A254" s="92" t="s">
        <v>906</v>
      </c>
      <c r="P254" s="356"/>
      <c r="Q254" s="356"/>
      <c r="R254" s="356"/>
      <c r="S254" s="356"/>
      <c r="T254" s="356"/>
      <c r="U254" s="356"/>
      <c r="V254" s="356"/>
      <c r="W254" s="356"/>
      <c r="X254" s="356"/>
      <c r="Y254" s="356"/>
      <c r="Z254" s="356"/>
      <c r="AA254" s="356"/>
      <c r="AB254" s="356"/>
      <c r="AC254" s="356"/>
      <c r="AD254" s="356"/>
      <c r="AE254" s="356"/>
      <c r="AF254" s="356"/>
      <c r="AG254" s="356"/>
      <c r="AH254" s="356"/>
      <c r="AI254" s="356"/>
      <c r="AJ254" s="356"/>
      <c r="AK254" s="356"/>
      <c r="AL254" s="356"/>
      <c r="AM254" s="356">
        <v>3.2</v>
      </c>
      <c r="AN254" s="356">
        <v>1.6</v>
      </c>
      <c r="AO254" s="936">
        <f>9.1-AL254-AM254-AN254</f>
        <v>4.2999999999999989</v>
      </c>
      <c r="AP254" s="356">
        <v>0</v>
      </c>
      <c r="AQ254" s="356">
        <v>0</v>
      </c>
      <c r="AR254" s="356">
        <v>0</v>
      </c>
      <c r="AS254" s="356">
        <v>0</v>
      </c>
      <c r="AT254" s="356">
        <v>0</v>
      </c>
      <c r="AU254" s="236"/>
      <c r="AV254" s="356"/>
      <c r="AW254" s="897"/>
      <c r="AX254" s="897"/>
      <c r="AY254" s="897"/>
      <c r="AZ254" s="897"/>
      <c r="BA254" s="897"/>
      <c r="BB254" s="897"/>
      <c r="BC254" s="897"/>
      <c r="BD254" s="897"/>
      <c r="BE254" s="356"/>
      <c r="BF254" s="356"/>
      <c r="BG254" s="356"/>
      <c r="BH254" s="356"/>
      <c r="BI254" s="356"/>
      <c r="BJ254" s="356"/>
      <c r="BK254" s="356"/>
      <c r="BL254" s="356"/>
      <c r="BZ254" s="356"/>
      <c r="CA254" s="356"/>
      <c r="CB254" s="356"/>
      <c r="CC254" s="356"/>
      <c r="CD254" s="356"/>
      <c r="CE254" s="356"/>
      <c r="CF254" s="356"/>
      <c r="CG254" s="356"/>
      <c r="CH254" s="356"/>
      <c r="CI254" s="356"/>
      <c r="CJ254" s="356"/>
      <c r="CK254" s="356"/>
      <c r="CL254" s="356"/>
      <c r="CM254" s="356"/>
      <c r="CN254" s="356"/>
      <c r="CO254" s="356"/>
      <c r="CP254" s="356"/>
      <c r="CQ254" s="356"/>
    </row>
    <row r="255" spans="1:95">
      <c r="A255" s="92" t="s">
        <v>7434</v>
      </c>
      <c r="P255" s="356"/>
      <c r="Q255" s="356"/>
      <c r="R255" s="356"/>
      <c r="S255" s="356"/>
      <c r="T255" s="356"/>
      <c r="U255" s="356"/>
      <c r="V255" s="356"/>
      <c r="W255" s="356"/>
      <c r="X255" s="356"/>
      <c r="Y255" s="356"/>
      <c r="Z255" s="356"/>
      <c r="AA255" s="356"/>
      <c r="AB255" s="356"/>
      <c r="AC255" s="356"/>
      <c r="AD255" s="356"/>
      <c r="AE255" s="356"/>
      <c r="AF255" s="356"/>
      <c r="AG255" s="356"/>
      <c r="AH255" s="356"/>
      <c r="AI255" s="356"/>
      <c r="AJ255" s="356"/>
      <c r="AK255" s="356"/>
      <c r="AL255" s="356"/>
      <c r="AM255" s="356">
        <v>3.7</v>
      </c>
      <c r="AN255" s="356">
        <v>0.2</v>
      </c>
      <c r="AO255" s="356">
        <f>6-AL255-AM255-AN255</f>
        <v>2.0999999999999996</v>
      </c>
      <c r="AP255" s="356">
        <v>0.6</v>
      </c>
      <c r="AQ255" s="356">
        <v>0.5</v>
      </c>
      <c r="AR255" s="356">
        <v>0.4</v>
      </c>
      <c r="AS255" s="356">
        <f>1.7-AP255-AQ255-AR255</f>
        <v>0.20000000000000007</v>
      </c>
      <c r="AT255" s="356">
        <v>0.2</v>
      </c>
      <c r="AU255" s="236"/>
      <c r="AV255" s="356"/>
      <c r="AW255" s="897"/>
      <c r="AX255" s="897"/>
      <c r="AY255" s="897"/>
      <c r="AZ255" s="897"/>
      <c r="BA255" s="897"/>
      <c r="BB255" s="897"/>
      <c r="BC255" s="897"/>
      <c r="BD255" s="897"/>
      <c r="BE255" s="356"/>
      <c r="BF255" s="356"/>
      <c r="BG255" s="356"/>
      <c r="BH255" s="356"/>
      <c r="BI255" s="356"/>
      <c r="BJ255" s="356"/>
      <c r="BK255" s="356"/>
      <c r="BL255" s="356"/>
      <c r="BZ255" s="356"/>
      <c r="CA255" s="356"/>
      <c r="CB255" s="356"/>
      <c r="CC255" s="356"/>
      <c r="CD255" s="356"/>
      <c r="CE255" s="356"/>
      <c r="CF255" s="356"/>
      <c r="CG255" s="356"/>
      <c r="CH255" s="356"/>
      <c r="CI255" s="356"/>
      <c r="CJ255" s="356"/>
      <c r="CK255" s="356"/>
      <c r="CL255" s="356"/>
      <c r="CM255" s="356"/>
      <c r="CN255" s="356"/>
      <c r="CO255" s="356"/>
      <c r="CP255" s="356"/>
      <c r="CQ255" s="356"/>
    </row>
    <row r="256" spans="1:95">
      <c r="A256" s="92" t="s">
        <v>5960</v>
      </c>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f>AM251+AM254+AM255</f>
        <v>28.8</v>
      </c>
      <c r="AN256" s="356">
        <f>AN251+AN254+AN255</f>
        <v>27.3</v>
      </c>
      <c r="AO256" s="356">
        <f>114.7-AL256-AM256-AN256</f>
        <v>58.600000000000009</v>
      </c>
      <c r="AP256" s="356">
        <f>AP251+AP254+AP255</f>
        <v>16.700000000000003</v>
      </c>
      <c r="AQ256" s="356">
        <f>AQ251+AQ254+AQ255</f>
        <v>14.499999999999996</v>
      </c>
      <c r="AR256" s="356">
        <f>AR251+AR254+AR255</f>
        <v>13.900000000000004</v>
      </c>
      <c r="AS256" s="356">
        <f>62.5-AP256-AQ256-AR256</f>
        <v>17.399999999999999</v>
      </c>
      <c r="AT256" s="356">
        <f>AT251+AT254+AT255</f>
        <v>10.900000000000002</v>
      </c>
      <c r="AU256" s="236"/>
      <c r="AV256" s="356">
        <v>62.5</v>
      </c>
      <c r="AX256" s="897"/>
      <c r="AY256" s="897"/>
      <c r="AZ256" s="897"/>
      <c r="BA256" s="897"/>
      <c r="BB256" s="897"/>
      <c r="BC256" s="897"/>
      <c r="BD256" s="897"/>
      <c r="BE256" s="356"/>
      <c r="BF256" s="356"/>
      <c r="BG256" s="356"/>
      <c r="BH256" s="356"/>
      <c r="BI256" s="356"/>
      <c r="BJ256" s="356"/>
      <c r="BK256" s="356"/>
      <c r="BL256" s="356"/>
      <c r="BM256" s="124">
        <f>AT256/AP256-1</f>
        <v>-0.34730538922155685</v>
      </c>
      <c r="BZ256" s="356"/>
      <c r="CA256" s="356"/>
      <c r="CB256" s="356"/>
      <c r="CC256" s="356"/>
      <c r="CD256" s="356"/>
      <c r="CE256" s="356"/>
      <c r="CF256" s="356"/>
      <c r="CG256" s="356"/>
      <c r="CH256" s="356"/>
      <c r="CI256" s="356"/>
      <c r="CJ256" s="356"/>
      <c r="CK256" s="356"/>
      <c r="CL256" s="356"/>
      <c r="CM256" s="356"/>
      <c r="CN256" s="356"/>
      <c r="CO256" s="356"/>
      <c r="CP256" s="356"/>
      <c r="CQ256" s="356"/>
    </row>
    <row r="257" spans="1:95">
      <c r="A257" s="92" t="s">
        <v>251</v>
      </c>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1603">
        <f t="shared" ref="AM257:AT257" si="102">AM256/AM247</f>
        <v>0.22766798418972334</v>
      </c>
      <c r="AN257" s="1603">
        <f t="shared" si="102"/>
        <v>0.22712146422628951</v>
      </c>
      <c r="AO257" s="1603">
        <f t="shared" si="102"/>
        <v>0.51675485008818345</v>
      </c>
      <c r="AP257" s="1603">
        <f t="shared" si="102"/>
        <v>0.14977578475336326</v>
      </c>
      <c r="AQ257" s="1603">
        <f t="shared" si="102"/>
        <v>0.1330275229357798</v>
      </c>
      <c r="AR257" s="1603">
        <f t="shared" si="102"/>
        <v>0.13002806361085129</v>
      </c>
      <c r="AS257" s="1603">
        <f t="shared" si="102"/>
        <v>0.16111111111111115</v>
      </c>
      <c r="AT257" s="1603">
        <f t="shared" si="102"/>
        <v>0.10292728989612844</v>
      </c>
      <c r="AU257" s="236"/>
      <c r="AV257" s="1603">
        <f>AV256/AV247</f>
        <v>0.14354616444648599</v>
      </c>
      <c r="AW257" s="1603"/>
      <c r="AX257" s="897"/>
      <c r="AY257" s="897"/>
      <c r="AZ257" s="897"/>
      <c r="BA257" s="897"/>
      <c r="BB257" s="897"/>
      <c r="BC257" s="897"/>
      <c r="BD257" s="897"/>
      <c r="BE257" s="356"/>
      <c r="BF257" s="356"/>
      <c r="BG257" s="356"/>
      <c r="BH257" s="356"/>
      <c r="BI257" s="356"/>
      <c r="BJ257" s="356"/>
      <c r="BK257" s="356"/>
      <c r="BL257" s="356"/>
      <c r="BZ257" s="356"/>
      <c r="CA257" s="356"/>
      <c r="CB257" s="356"/>
      <c r="CC257" s="356"/>
      <c r="CD257" s="356"/>
      <c r="CE257" s="356"/>
      <c r="CF257" s="356"/>
      <c r="CG257" s="356"/>
      <c r="CH257" s="356"/>
      <c r="CI257" s="356"/>
      <c r="CJ257" s="356"/>
      <c r="CK257" s="356"/>
      <c r="CL257" s="356"/>
      <c r="CM257" s="356"/>
      <c r="CN257" s="356"/>
      <c r="CO257" s="356"/>
      <c r="CP257" s="356"/>
      <c r="CQ257" s="356"/>
    </row>
    <row r="258" spans="1:95">
      <c r="P258" s="356"/>
      <c r="Q258" s="356"/>
      <c r="R258" s="356"/>
      <c r="S258" s="356"/>
      <c r="T258" s="356"/>
      <c r="U258" s="356"/>
      <c r="V258" s="356"/>
      <c r="W258" s="356"/>
      <c r="X258" s="356"/>
      <c r="Y258" s="356"/>
      <c r="Z258" s="356"/>
      <c r="AA258" s="356"/>
      <c r="AB258" s="356"/>
      <c r="AC258" s="356"/>
      <c r="AD258" s="356"/>
      <c r="AE258" s="356"/>
      <c r="AF258" s="356"/>
      <c r="AG258" s="356"/>
      <c r="AH258" s="356"/>
      <c r="AI258" s="356"/>
      <c r="AJ258" s="356"/>
      <c r="AK258" s="356"/>
      <c r="AL258" s="356"/>
      <c r="AM258" s="356"/>
      <c r="AN258" s="356"/>
      <c r="AO258" s="356"/>
      <c r="AP258" s="1603"/>
      <c r="AQ258" s="356"/>
      <c r="AR258" s="356"/>
      <c r="AS258" s="356"/>
      <c r="AT258" s="1603"/>
      <c r="AU258" s="236"/>
      <c r="AV258" s="356"/>
      <c r="AW258" s="897"/>
      <c r="AX258" s="897"/>
      <c r="AY258" s="897"/>
      <c r="AZ258" s="897"/>
      <c r="BA258" s="897"/>
      <c r="BB258" s="897"/>
      <c r="BC258" s="897"/>
      <c r="BD258" s="897"/>
      <c r="BE258" s="356"/>
      <c r="BF258" s="356"/>
      <c r="BG258" s="356"/>
      <c r="BH258" s="356"/>
      <c r="BI258" s="356"/>
      <c r="BJ258" s="356"/>
      <c r="BK258" s="356"/>
      <c r="BL258" s="356"/>
      <c r="BZ258" s="356"/>
      <c r="CA258" s="356"/>
      <c r="CB258" s="356"/>
      <c r="CC258" s="356"/>
      <c r="CD258" s="356"/>
      <c r="CE258" s="356"/>
      <c r="CF258" s="356"/>
      <c r="CG258" s="356"/>
      <c r="CH258" s="356"/>
      <c r="CI258" s="356"/>
      <c r="CJ258" s="356"/>
      <c r="CK258" s="356"/>
      <c r="CL258" s="356"/>
      <c r="CM258" s="356"/>
      <c r="CN258" s="356"/>
      <c r="CO258" s="356"/>
      <c r="CP258" s="356"/>
      <c r="CQ258" s="356"/>
    </row>
    <row r="259" spans="1:95">
      <c r="A259" s="92" t="s">
        <v>2031</v>
      </c>
      <c r="P259" s="356"/>
      <c r="Q259" s="356"/>
      <c r="R259" s="356"/>
      <c r="S259" s="356"/>
      <c r="T259" s="356"/>
      <c r="U259" s="356"/>
      <c r="V259" s="356"/>
      <c r="W259" s="356"/>
      <c r="X259" s="356"/>
      <c r="Y259" s="356"/>
      <c r="Z259" s="356"/>
      <c r="AA259" s="356"/>
      <c r="AB259" s="356"/>
      <c r="AC259" s="356"/>
      <c r="AD259" s="356"/>
      <c r="AE259" s="356"/>
      <c r="AF259" s="356"/>
      <c r="AG259" s="356"/>
      <c r="AH259" s="356"/>
      <c r="AI259" s="356"/>
      <c r="AJ259" s="356"/>
      <c r="AK259" s="356"/>
      <c r="AL259" s="356"/>
      <c r="AM259" s="356"/>
      <c r="AN259" s="356"/>
      <c r="AO259" s="356"/>
      <c r="AP259" s="356">
        <v>180</v>
      </c>
      <c r="AQ259" s="356"/>
      <c r="AR259" s="356"/>
      <c r="AS259" s="356">
        <v>100</v>
      </c>
      <c r="AT259" s="356">
        <v>247</v>
      </c>
      <c r="AU259" s="236"/>
      <c r="AV259" s="356"/>
      <c r="AW259" s="897"/>
      <c r="AX259" s="897"/>
      <c r="AY259" s="897"/>
      <c r="AZ259" s="897"/>
      <c r="BA259" s="897"/>
      <c r="BB259" s="897"/>
      <c r="BC259" s="897"/>
      <c r="BD259" s="897"/>
      <c r="BE259" s="356"/>
      <c r="BF259" s="356"/>
      <c r="BG259" s="356"/>
      <c r="BH259" s="356"/>
      <c r="BI259" s="356"/>
      <c r="BJ259" s="356"/>
      <c r="BK259" s="356"/>
      <c r="BL259" s="356"/>
      <c r="BZ259" s="356"/>
      <c r="CA259" s="356"/>
      <c r="CB259" s="356"/>
      <c r="CC259" s="356"/>
      <c r="CD259" s="356"/>
      <c r="CE259" s="356"/>
      <c r="CF259" s="356"/>
      <c r="CG259" s="356"/>
      <c r="CH259" s="356"/>
      <c r="CI259" s="356"/>
      <c r="CJ259" s="356"/>
      <c r="CK259" s="356"/>
      <c r="CL259" s="356"/>
      <c r="CM259" s="356"/>
      <c r="CN259" s="356"/>
      <c r="CO259" s="356"/>
      <c r="CP259" s="356"/>
      <c r="CQ259" s="356"/>
    </row>
    <row r="260" spans="1:95">
      <c r="A260" s="92" t="s">
        <v>7433</v>
      </c>
      <c r="P260" s="356"/>
      <c r="Q260" s="356"/>
      <c r="R260" s="356"/>
      <c r="S260" s="356"/>
      <c r="T260" s="356"/>
      <c r="U260" s="356"/>
      <c r="V260" s="356"/>
      <c r="W260" s="356"/>
      <c r="X260" s="356"/>
      <c r="Y260" s="356"/>
      <c r="Z260" s="356"/>
      <c r="AA260" s="356"/>
      <c r="AB260" s="356"/>
      <c r="AC260" s="356"/>
      <c r="AD260" s="356"/>
      <c r="AE260" s="356"/>
      <c r="AF260" s="356"/>
      <c r="AG260" s="356"/>
      <c r="AH260" s="356"/>
      <c r="AI260" s="356"/>
      <c r="AJ260" s="356"/>
      <c r="AK260" s="356"/>
      <c r="AL260" s="356"/>
      <c r="AM260" s="356"/>
      <c r="AN260" s="356"/>
      <c r="AO260" s="356"/>
      <c r="AP260" s="356">
        <v>1175.5999999999999</v>
      </c>
      <c r="AQ260" s="356"/>
      <c r="AR260" s="356"/>
      <c r="AS260" s="356">
        <f>1368.5-AS259</f>
        <v>1268.5</v>
      </c>
      <c r="AT260" s="356">
        <v>1309.7</v>
      </c>
      <c r="AU260" s="236"/>
      <c r="AV260" s="356"/>
      <c r="AW260" s="897"/>
      <c r="AX260" s="897"/>
      <c r="AY260" s="897"/>
      <c r="AZ260" s="897"/>
      <c r="BA260" s="897"/>
      <c r="BB260" s="897"/>
      <c r="BC260" s="897"/>
      <c r="BD260" s="897"/>
      <c r="BE260" s="356"/>
      <c r="BF260" s="356"/>
      <c r="BG260" s="356"/>
      <c r="BH260" s="356"/>
      <c r="BI260" s="356"/>
      <c r="BJ260" s="356"/>
      <c r="BK260" s="356"/>
      <c r="BL260" s="356"/>
      <c r="BZ260" s="356"/>
      <c r="CA260" s="356"/>
      <c r="CB260" s="356"/>
      <c r="CC260" s="356"/>
      <c r="CD260" s="356"/>
      <c r="CE260" s="356"/>
      <c r="CF260" s="356"/>
      <c r="CG260" s="356"/>
      <c r="CH260" s="356"/>
      <c r="CI260" s="356"/>
      <c r="CJ260" s="356"/>
      <c r="CK260" s="356"/>
      <c r="CL260" s="356"/>
      <c r="CM260" s="356"/>
      <c r="CN260" s="356"/>
      <c r="CO260" s="356"/>
      <c r="CP260" s="356"/>
      <c r="CQ260" s="356"/>
    </row>
    <row r="261" spans="1:95">
      <c r="A261" s="92" t="s">
        <v>707</v>
      </c>
      <c r="P261" s="356"/>
      <c r="Q261" s="356"/>
      <c r="R261" s="356"/>
      <c r="S261" s="356"/>
      <c r="T261" s="356"/>
      <c r="U261" s="356"/>
      <c r="V261" s="356"/>
      <c r="W261" s="356"/>
      <c r="X261" s="356"/>
      <c r="Y261" s="356"/>
      <c r="Z261" s="356"/>
      <c r="AA261" s="356"/>
      <c r="AB261" s="356"/>
      <c r="AC261" s="356"/>
      <c r="AD261" s="356"/>
      <c r="AE261" s="356"/>
      <c r="AF261" s="356"/>
      <c r="AG261" s="356"/>
      <c r="AH261" s="356"/>
      <c r="AI261" s="356"/>
      <c r="AJ261" s="356"/>
      <c r="AK261" s="356"/>
      <c r="AL261" s="356"/>
      <c r="AM261" s="356"/>
      <c r="AN261" s="356"/>
      <c r="AO261" s="356"/>
      <c r="AP261" s="356">
        <v>7.6</v>
      </c>
      <c r="AQ261" s="356"/>
      <c r="AR261" s="356"/>
      <c r="AS261" s="356">
        <v>7.6</v>
      </c>
      <c r="AT261" s="356">
        <v>7.9</v>
      </c>
      <c r="AU261" s="236"/>
      <c r="AV261" s="356"/>
      <c r="AW261" s="897"/>
      <c r="AX261" s="897"/>
      <c r="AY261" s="897"/>
      <c r="AZ261" s="897"/>
      <c r="BA261" s="897"/>
      <c r="BB261" s="897"/>
      <c r="BC261" s="897"/>
      <c r="BD261" s="897"/>
      <c r="BE261" s="356"/>
      <c r="BF261" s="356"/>
      <c r="BG261" s="356"/>
      <c r="BH261" s="356"/>
      <c r="BI261" s="356"/>
      <c r="BJ261" s="356"/>
      <c r="BK261" s="356"/>
      <c r="BL261" s="356"/>
      <c r="BZ261" s="356"/>
      <c r="CA261" s="356"/>
      <c r="CB261" s="356"/>
      <c r="CC261" s="356"/>
      <c r="CD261" s="356"/>
      <c r="CE261" s="356"/>
      <c r="CF261" s="356"/>
      <c r="CG261" s="356"/>
      <c r="CH261" s="356"/>
      <c r="CI261" s="356"/>
      <c r="CJ261" s="356"/>
      <c r="CK261" s="356"/>
      <c r="CL261" s="356"/>
      <c r="CM261" s="356"/>
      <c r="CN261" s="356"/>
      <c r="CO261" s="356"/>
      <c r="CP261" s="356"/>
      <c r="CQ261" s="356"/>
    </row>
    <row r="262" spans="1:95">
      <c r="A262" s="92" t="s">
        <v>115</v>
      </c>
      <c r="P262" s="356"/>
      <c r="Q262" s="356"/>
      <c r="R262" s="356"/>
      <c r="S262" s="356"/>
      <c r="T262" s="356"/>
      <c r="U262" s="356"/>
      <c r="V262" s="356"/>
      <c r="W262" s="356"/>
      <c r="X262" s="356"/>
      <c r="Y262" s="356"/>
      <c r="Z262" s="356"/>
      <c r="AA262" s="356"/>
      <c r="AB262" s="356"/>
      <c r="AC262" s="356"/>
      <c r="AD262" s="356"/>
      <c r="AE262" s="356"/>
      <c r="AF262" s="356"/>
      <c r="AG262" s="356"/>
      <c r="AH262" s="356"/>
      <c r="AI262" s="356"/>
      <c r="AJ262" s="356"/>
      <c r="AK262" s="356"/>
      <c r="AL262" s="356"/>
      <c r="AM262" s="356"/>
      <c r="AN262" s="356"/>
      <c r="AO262" s="356"/>
      <c r="AP262" s="356">
        <f>AP259+AP260-AP261</f>
        <v>1348</v>
      </c>
      <c r="AQ262" s="356"/>
      <c r="AR262" s="356"/>
      <c r="AS262" s="356">
        <f>AS259+AS260-AS261</f>
        <v>1360.9</v>
      </c>
      <c r="AT262" s="356">
        <f>AT259+AT260-AT261</f>
        <v>1548.8</v>
      </c>
      <c r="AU262" s="236"/>
      <c r="AV262" s="356"/>
      <c r="AW262" s="897"/>
      <c r="AX262" s="897"/>
      <c r="AY262" s="897"/>
      <c r="AZ262" s="897"/>
      <c r="BA262" s="897"/>
      <c r="BB262" s="897"/>
      <c r="BC262" s="897"/>
      <c r="BD262" s="897"/>
      <c r="BE262" s="356"/>
      <c r="BF262" s="356"/>
      <c r="BG262" s="356"/>
      <c r="BH262" s="356"/>
      <c r="BI262" s="356"/>
      <c r="BJ262" s="356"/>
      <c r="BK262" s="356"/>
      <c r="BL262" s="356"/>
      <c r="BZ262" s="356"/>
      <c r="CA262" s="356"/>
      <c r="CB262" s="356"/>
      <c r="CC262" s="356"/>
      <c r="CD262" s="356"/>
      <c r="CE262" s="356"/>
      <c r="CF262" s="356"/>
      <c r="CG262" s="356"/>
      <c r="CH262" s="356"/>
      <c r="CI262" s="356"/>
      <c r="CJ262" s="356"/>
      <c r="CK262" s="356"/>
      <c r="CL262" s="356"/>
      <c r="CM262" s="356"/>
      <c r="CN262" s="356"/>
      <c r="CO262" s="356"/>
      <c r="CP262" s="356"/>
      <c r="CQ262" s="356"/>
    </row>
    <row r="263" spans="1:95">
      <c r="A263" s="92" t="s">
        <v>3091</v>
      </c>
      <c r="P263" s="356"/>
      <c r="Q263" s="356"/>
      <c r="R263" s="356"/>
      <c r="S263" s="356"/>
      <c r="T263" s="356"/>
      <c r="U263" s="356"/>
      <c r="V263" s="356"/>
      <c r="W263" s="356"/>
      <c r="X263" s="356"/>
      <c r="Y263" s="356"/>
      <c r="Z263" s="356"/>
      <c r="AA263" s="356"/>
      <c r="AB263" s="356"/>
      <c r="AC263" s="356"/>
      <c r="AD263" s="356"/>
      <c r="AE263" s="356"/>
      <c r="AF263" s="356"/>
      <c r="AG263" s="356"/>
      <c r="AH263" s="356"/>
      <c r="AI263" s="356"/>
      <c r="AJ263" s="356"/>
      <c r="AK263" s="356"/>
      <c r="AL263" s="356"/>
      <c r="AM263" s="356"/>
      <c r="AN263" s="356"/>
      <c r="AO263" s="356"/>
      <c r="AP263" s="356"/>
      <c r="AQ263" s="356"/>
      <c r="AR263" s="1604">
        <v>19.8</v>
      </c>
      <c r="AS263" s="1604">
        <v>18.36</v>
      </c>
      <c r="AT263" s="1604">
        <v>20.48</v>
      </c>
      <c r="AU263" s="236"/>
      <c r="AV263" s="356"/>
      <c r="AW263" s="897"/>
      <c r="AX263" s="897"/>
      <c r="AY263" s="897"/>
      <c r="AZ263" s="897"/>
      <c r="BA263" s="897"/>
      <c r="BB263" s="897"/>
      <c r="BC263" s="897"/>
      <c r="BD263" s="897"/>
      <c r="BE263" s="356"/>
      <c r="BF263" s="356"/>
      <c r="BG263" s="356"/>
      <c r="BH263" s="356"/>
      <c r="BI263" s="356"/>
      <c r="BJ263" s="356"/>
      <c r="BK263" s="356"/>
      <c r="BL263" s="356"/>
      <c r="BZ263" s="356"/>
      <c r="CA263" s="356"/>
      <c r="CB263" s="356"/>
      <c r="CC263" s="356"/>
      <c r="CD263" s="356"/>
      <c r="CE263" s="356"/>
      <c r="CF263" s="356"/>
      <c r="CG263" s="356"/>
      <c r="CH263" s="356"/>
      <c r="CI263" s="356"/>
      <c r="CJ263" s="356"/>
      <c r="CK263" s="356"/>
      <c r="CL263" s="356"/>
      <c r="CM263" s="356"/>
      <c r="CN263" s="356"/>
      <c r="CO263" s="356"/>
      <c r="CP263" s="356"/>
      <c r="CQ263" s="356"/>
    </row>
    <row r="264" spans="1:95">
      <c r="P264" s="356"/>
      <c r="Q264" s="356"/>
      <c r="R264" s="356"/>
      <c r="S264" s="356"/>
      <c r="T264" s="356"/>
      <c r="U264" s="356"/>
      <c r="V264" s="356"/>
      <c r="W264" s="356"/>
      <c r="X264" s="356"/>
      <c r="Y264" s="356"/>
      <c r="Z264" s="356"/>
      <c r="AA264" s="356"/>
      <c r="AB264" s="356"/>
      <c r="AC264" s="356"/>
      <c r="AD264" s="356"/>
      <c r="AE264" s="356"/>
      <c r="AF264" s="356"/>
      <c r="AG264" s="356"/>
      <c r="AH264" s="356"/>
      <c r="AI264" s="356"/>
      <c r="AJ264" s="356"/>
      <c r="AK264" s="356"/>
      <c r="AL264" s="356"/>
      <c r="AM264" s="356"/>
      <c r="AN264" s="356"/>
      <c r="AO264" s="356"/>
      <c r="AP264" s="356"/>
      <c r="AQ264" s="356"/>
      <c r="AR264" s="356"/>
      <c r="AS264" s="356"/>
      <c r="AT264" s="356"/>
      <c r="AU264" s="236"/>
      <c r="AV264" s="356"/>
      <c r="AW264" s="897"/>
      <c r="AX264" s="897"/>
      <c r="AY264" s="897"/>
      <c r="AZ264" s="897"/>
      <c r="BA264" s="897"/>
      <c r="BB264" s="897"/>
      <c r="BC264" s="897"/>
      <c r="BD264" s="897"/>
      <c r="BE264" s="356"/>
      <c r="BF264" s="356"/>
      <c r="BG264" s="356"/>
      <c r="BH264" s="356"/>
      <c r="BI264" s="356"/>
      <c r="BJ264" s="356"/>
      <c r="BK264" s="356"/>
      <c r="BL264" s="356"/>
      <c r="BZ264" s="356"/>
      <c r="CA264" s="356"/>
      <c r="CB264" s="356"/>
      <c r="CC264" s="356"/>
      <c r="CD264" s="356"/>
      <c r="CE264" s="356"/>
      <c r="CF264" s="356"/>
      <c r="CG264" s="356"/>
      <c r="CH264" s="356"/>
      <c r="CI264" s="356"/>
      <c r="CJ264" s="356"/>
      <c r="CK264" s="356"/>
      <c r="CL264" s="356"/>
      <c r="CM264" s="356"/>
      <c r="CN264" s="356"/>
      <c r="CO264" s="356"/>
      <c r="CP264" s="356"/>
      <c r="CQ264" s="356"/>
    </row>
    <row r="265" spans="1:95">
      <c r="A265" s="353"/>
      <c r="P265" s="356"/>
      <c r="Q265" s="356"/>
      <c r="R265" s="356"/>
      <c r="S265" s="356"/>
      <c r="T265" s="356"/>
      <c r="U265" s="356"/>
      <c r="V265" s="356"/>
      <c r="W265" s="356"/>
      <c r="X265" s="356"/>
      <c r="Y265" s="356"/>
      <c r="Z265" s="356"/>
      <c r="AA265" s="356"/>
      <c r="AB265" s="356"/>
      <c r="AC265" s="356"/>
      <c r="AD265" s="356"/>
      <c r="AE265" s="356"/>
      <c r="AF265" s="356"/>
      <c r="AG265" s="356"/>
      <c r="AH265" s="356"/>
      <c r="AI265" s="356"/>
      <c r="AJ265" s="356"/>
      <c r="AK265" s="356"/>
      <c r="AL265" s="356"/>
      <c r="AM265" s="356"/>
      <c r="AN265" s="356"/>
      <c r="AO265" s="356"/>
      <c r="AP265" s="356"/>
      <c r="AQ265" s="356"/>
      <c r="AR265" s="356"/>
      <c r="AS265" s="356"/>
      <c r="AT265" s="356"/>
      <c r="AU265" s="236"/>
      <c r="AV265" s="356"/>
      <c r="AW265" s="897"/>
      <c r="AX265" s="897"/>
      <c r="AY265" s="897"/>
      <c r="AZ265" s="897"/>
      <c r="BA265" s="897"/>
      <c r="BB265" s="897"/>
      <c r="BC265" s="897"/>
      <c r="BD265" s="897"/>
      <c r="BE265" s="356"/>
      <c r="BF265" s="356"/>
      <c r="BG265" s="356"/>
      <c r="BH265" s="356"/>
      <c r="BI265" s="356"/>
      <c r="BJ265" s="356"/>
      <c r="BK265" s="356"/>
      <c r="BL265" s="356"/>
      <c r="BZ265" s="356"/>
      <c r="CA265" s="356"/>
      <c r="CB265" s="356"/>
      <c r="CC265" s="356"/>
      <c r="CD265" s="356"/>
      <c r="CE265" s="356"/>
      <c r="CF265" s="356"/>
      <c r="CG265" s="356"/>
      <c r="CH265" s="356"/>
      <c r="CI265" s="356"/>
      <c r="CJ265" s="356"/>
      <c r="CK265" s="356"/>
      <c r="CL265" s="356"/>
      <c r="CM265" s="356"/>
      <c r="CN265" s="356"/>
      <c r="CO265" s="356"/>
      <c r="CP265" s="356"/>
      <c r="CQ265" s="356"/>
    </row>
    <row r="266" spans="1:95">
      <c r="A266" s="92" t="str">
        <f>A166</f>
        <v>Revenue</v>
      </c>
      <c r="B266" s="236">
        <f>VTR!BV113</f>
        <v>118.30148</v>
      </c>
      <c r="C266" s="236">
        <f>VTR!BW113</f>
        <v>122.67574199999999</v>
      </c>
      <c r="D266" s="236">
        <f>VTR!BX113</f>
        <v>124.07688</v>
      </c>
      <c r="E266" s="236">
        <f>VTR!BY113</f>
        <v>126.00264799999999</v>
      </c>
      <c r="F266" s="236">
        <f>VTR!BZ113</f>
        <v>124.39488900000001</v>
      </c>
      <c r="G266" s="236">
        <f>VTR!CA113</f>
        <v>127.5</v>
      </c>
      <c r="H266" s="236">
        <f>VTR!CB113</f>
        <v>129.19999999999999</v>
      </c>
      <c r="I266" s="236">
        <f>VTR!CC113</f>
        <v>131.30511099999998</v>
      </c>
      <c r="J266" s="236">
        <f>VTR!CD113</f>
        <v>130.30000000000001</v>
      </c>
      <c r="K266" s="236">
        <f t="shared" ref="K266:P266" si="103">K316*K314/1000</f>
        <v>136.47648000000001</v>
      </c>
      <c r="L266" s="236">
        <f t="shared" si="103"/>
        <v>138.31110000000001</v>
      </c>
      <c r="M266" s="236">
        <f t="shared" si="103"/>
        <v>142.46179999999998</v>
      </c>
      <c r="N266" s="236">
        <f t="shared" si="103"/>
        <v>140.19999999999999</v>
      </c>
      <c r="O266" s="236">
        <f t="shared" si="103"/>
        <v>142.57619999999997</v>
      </c>
      <c r="P266" s="236">
        <f t="shared" si="103"/>
        <v>146.50060000000002</v>
      </c>
      <c r="Q266" s="236">
        <f t="shared" ref="Q266:AB266" si="104">Q316*Q314/1000</f>
        <v>151.35400000000001</v>
      </c>
      <c r="R266" s="236">
        <f t="shared" si="104"/>
        <v>151.33799999999999</v>
      </c>
      <c r="S266" s="236">
        <f t="shared" si="104"/>
        <v>153.4504</v>
      </c>
      <c r="T266" s="236">
        <f t="shared" si="104"/>
        <v>155.4924</v>
      </c>
      <c r="U266" s="236">
        <f t="shared" si="104"/>
        <v>158.43989999999999</v>
      </c>
      <c r="V266" s="236">
        <f t="shared" si="104"/>
        <v>158.85171547692306</v>
      </c>
      <c r="W266" s="236">
        <f t="shared" si="104"/>
        <v>161.84440000000001</v>
      </c>
      <c r="X266" s="236">
        <f t="shared" si="104"/>
        <v>163.0317</v>
      </c>
      <c r="Y266" s="236">
        <f t="shared" si="104"/>
        <v>164.25720000000001</v>
      </c>
      <c r="Z266" s="236">
        <f t="shared" si="104"/>
        <v>162.55797476562506</v>
      </c>
      <c r="AA266" s="236">
        <f t="shared" si="104"/>
        <v>165.06261207692316</v>
      </c>
      <c r="AB266" s="236">
        <f t="shared" si="104"/>
        <v>166.19239999999999</v>
      </c>
      <c r="AC266" s="337">
        <v>166.2</v>
      </c>
      <c r="AD266" s="236">
        <v>165.7</v>
      </c>
      <c r="AE266" s="236">
        <v>158.69999999999999</v>
      </c>
      <c r="AF266" s="236">
        <v>157.6</v>
      </c>
      <c r="AG266" s="236">
        <v>157.80000000000001</v>
      </c>
      <c r="AH266" s="236">
        <v>152.19999999999999</v>
      </c>
      <c r="AI266" s="236">
        <v>150</v>
      </c>
      <c r="AJ266" s="236">
        <v>149.1</v>
      </c>
      <c r="AK266" s="236">
        <f>AK316*AK314/1000</f>
        <v>144.55960000000002</v>
      </c>
      <c r="AL266" s="236">
        <f>AL316*AL314/1000</f>
        <v>138.03519581250004</v>
      </c>
      <c r="AM266" s="236">
        <f>AM316*AM314/1000</f>
        <v>126.7031307692308</v>
      </c>
      <c r="AN266" s="236">
        <f>AN316*AN314/1000</f>
        <v>120.19480000000001</v>
      </c>
      <c r="AO266" s="236"/>
      <c r="AP266" s="236"/>
      <c r="AQ266" s="236"/>
      <c r="AR266" s="236"/>
      <c r="AS266" s="236"/>
      <c r="AT266" s="313">
        <f>AT247/AB266-1</f>
        <v>-0.36278674596431604</v>
      </c>
      <c r="AU266" s="236"/>
      <c r="AV266" s="236"/>
      <c r="AW266" s="124">
        <f t="shared" ref="AW266:BD266" si="105">AD276</f>
        <v>1.177164169324918E-2</v>
      </c>
      <c r="AX266" s="124">
        <f t="shared" si="105"/>
        <v>-0.12185955553732264</v>
      </c>
      <c r="AY266" s="124">
        <f t="shared" si="105"/>
        <v>-8.4882013556204838E-2</v>
      </c>
      <c r="AZ266" s="124">
        <f t="shared" si="105"/>
        <v>-0.1734693877551019</v>
      </c>
      <c r="BA266" s="124">
        <f t="shared" si="105"/>
        <v>-0.20592823712948516</v>
      </c>
      <c r="BB266" s="124">
        <f t="shared" si="105"/>
        <v>-0.17940199335548179</v>
      </c>
      <c r="BC266" s="124">
        <f t="shared" si="105"/>
        <v>-0.18476499189627238</v>
      </c>
      <c r="BD266" s="124">
        <f t="shared" si="105"/>
        <v>-0.19341975308641979</v>
      </c>
      <c r="BE266" s="236"/>
      <c r="BF266" s="236"/>
      <c r="BG266" s="236"/>
      <c r="BH266" s="236"/>
      <c r="BI266" s="236"/>
      <c r="BJ266" s="236"/>
      <c r="BK266" s="236"/>
      <c r="BL266" s="236"/>
      <c r="BM266" s="357"/>
      <c r="BP266" s="124">
        <f t="shared" ref="BP266:CE266" si="106">F266/B266-1</f>
        <v>5.1507462121353154E-2</v>
      </c>
      <c r="BQ266" s="124">
        <f t="shared" si="106"/>
        <v>3.9325280787786188E-2</v>
      </c>
      <c r="BR266" s="124">
        <f t="shared" si="106"/>
        <v>4.1289884142799105E-2</v>
      </c>
      <c r="BS266" s="124">
        <f t="shared" si="106"/>
        <v>4.208215528930781E-2</v>
      </c>
      <c r="BT266" s="124">
        <f t="shared" si="106"/>
        <v>4.7470688285272011E-2</v>
      </c>
      <c r="BU266" s="124">
        <f t="shared" si="106"/>
        <v>7.0403764705882388E-2</v>
      </c>
      <c r="BV266" s="124">
        <f t="shared" si="106"/>
        <v>7.0519349845201473E-2</v>
      </c>
      <c r="BW266" s="124">
        <f t="shared" si="106"/>
        <v>8.4967667404812541E-2</v>
      </c>
      <c r="BX266" s="124">
        <f t="shared" si="106"/>
        <v>7.5978511128165671E-2</v>
      </c>
      <c r="BY266" s="124">
        <f t="shared" si="106"/>
        <v>4.4694294577350968E-2</v>
      </c>
      <c r="BZ266" s="124">
        <f t="shared" si="106"/>
        <v>5.9210721337622285E-2</v>
      </c>
      <c r="CA266" s="124">
        <f t="shared" si="106"/>
        <v>6.241813594942669E-2</v>
      </c>
      <c r="CB266" s="124">
        <f t="shared" si="106"/>
        <v>7.9443651925820369E-2</v>
      </c>
      <c r="CC266" s="124">
        <f t="shared" si="106"/>
        <v>7.6269391385098251E-2</v>
      </c>
      <c r="CD266" s="124">
        <f t="shared" si="106"/>
        <v>6.1377223028437955E-2</v>
      </c>
      <c r="CE266" s="124">
        <f t="shared" si="106"/>
        <v>4.6816734278578576E-2</v>
      </c>
    </row>
    <row r="267" spans="1:95">
      <c r="A267" s="92" t="s">
        <v>935</v>
      </c>
      <c r="B267" s="236"/>
      <c r="C267" s="236"/>
      <c r="D267" s="236"/>
      <c r="E267" s="236"/>
      <c r="F267" s="236"/>
      <c r="G267" s="236"/>
      <c r="H267" s="236"/>
      <c r="I267" s="236"/>
      <c r="J267" s="236"/>
      <c r="K267" s="236"/>
      <c r="L267" s="236"/>
      <c r="M267" s="236"/>
      <c r="N267" s="236"/>
      <c r="O267" s="236"/>
      <c r="P267" s="236"/>
      <c r="Q267" s="236"/>
      <c r="R267" s="236"/>
      <c r="S267" s="236"/>
      <c r="T267" s="236"/>
      <c r="U267" s="236"/>
      <c r="V267" s="124">
        <f t="shared" ref="V267:AN267" si="107">V266/R266-1</f>
        <v>4.964857125720612E-2</v>
      </c>
      <c r="W267" s="124">
        <f t="shared" si="107"/>
        <v>5.4701714690870817E-2</v>
      </c>
      <c r="X267" s="124">
        <f t="shared" si="107"/>
        <v>4.8486614136768136E-2</v>
      </c>
      <c r="Y267" s="124">
        <f t="shared" si="107"/>
        <v>3.6716130217199217E-2</v>
      </c>
      <c r="Z267" s="124">
        <f t="shared" si="107"/>
        <v>2.3331566030462048E-2</v>
      </c>
      <c r="AA267" s="124">
        <f t="shared" si="107"/>
        <v>1.9884605688693213E-2</v>
      </c>
      <c r="AB267" s="124">
        <f t="shared" si="107"/>
        <v>1.9387027185510552E-2</v>
      </c>
      <c r="AC267" s="124">
        <f t="shared" si="107"/>
        <v>1.1827792023728412E-2</v>
      </c>
      <c r="AD267" s="124">
        <f t="shared" si="107"/>
        <v>1.9328644066248124E-2</v>
      </c>
      <c r="AE267" s="124">
        <f t="shared" si="107"/>
        <v>-3.854665812484559E-2</v>
      </c>
      <c r="AF267" s="124">
        <f t="shared" si="107"/>
        <v>-5.1701521850577969E-2</v>
      </c>
      <c r="AG267" s="124">
        <f t="shared" si="107"/>
        <v>-5.0541516245487195E-2</v>
      </c>
      <c r="AH267" s="124">
        <f t="shared" si="107"/>
        <v>-8.1472540736270416E-2</v>
      </c>
      <c r="AI267" s="124">
        <f t="shared" si="107"/>
        <v>-5.4820415879016982E-2</v>
      </c>
      <c r="AJ267" s="124">
        <f t="shared" si="107"/>
        <v>-5.3934010152284273E-2</v>
      </c>
      <c r="AK267" s="124">
        <f t="shared" si="107"/>
        <v>-8.3906210392902358E-2</v>
      </c>
      <c r="AL267" s="124">
        <f t="shared" si="107"/>
        <v>-9.3067044595926074E-2</v>
      </c>
      <c r="AM267" s="124">
        <f t="shared" si="107"/>
        <v>-0.15531246153846134</v>
      </c>
      <c r="AN267" s="124">
        <f t="shared" si="107"/>
        <v>-0.19386452045606961</v>
      </c>
      <c r="AO267" s="124"/>
      <c r="AP267" s="124"/>
      <c r="AQ267" s="124"/>
      <c r="AR267" s="124"/>
      <c r="AS267" s="124"/>
      <c r="AT267" s="124"/>
      <c r="AU267" s="124"/>
      <c r="AV267" s="236"/>
      <c r="AW267" s="236"/>
      <c r="AX267" s="236"/>
      <c r="AY267" s="236"/>
      <c r="AZ267" s="236"/>
      <c r="BA267" s="236"/>
      <c r="BB267" s="236"/>
      <c r="BC267" s="236"/>
      <c r="BD267" s="236"/>
      <c r="BE267" s="236"/>
      <c r="BF267" s="236"/>
      <c r="BG267" s="236"/>
      <c r="BH267" s="236"/>
      <c r="BI267" s="236"/>
      <c r="BJ267" s="236"/>
      <c r="BK267" s="236"/>
      <c r="BL267" s="236"/>
      <c r="BM267" s="357"/>
      <c r="BP267" s="124"/>
      <c r="BQ267" s="124"/>
      <c r="BR267" s="124"/>
      <c r="BS267" s="124"/>
      <c r="BT267" s="124"/>
      <c r="BU267" s="124"/>
      <c r="BV267" s="124"/>
      <c r="BW267" s="124"/>
      <c r="BX267" s="124"/>
      <c r="BY267" s="124"/>
      <c r="BZ267" s="124"/>
      <c r="CA267" s="124"/>
      <c r="CB267" s="124"/>
      <c r="CC267" s="124"/>
      <c r="CD267" s="124"/>
      <c r="CE267" s="124"/>
      <c r="CF267" s="124"/>
      <c r="CG267" s="124"/>
      <c r="CH267" s="124"/>
      <c r="CI267" s="124"/>
      <c r="CJ267" s="124"/>
      <c r="CK267" s="124"/>
      <c r="CL267" s="124"/>
      <c r="CM267" s="124"/>
      <c r="CN267" s="124"/>
      <c r="CO267" s="124"/>
      <c r="CP267" s="124"/>
      <c r="CQ267" s="124"/>
    </row>
    <row r="268" spans="1:95">
      <c r="A268" s="92" t="s">
        <v>904</v>
      </c>
      <c r="B268" s="337">
        <f>B266/AVERAGE(VTR!BU6,VTR!BV6)/3*1000</f>
        <v>34.107881041963985</v>
      </c>
      <c r="C268" s="236">
        <f t="shared" ref="C268:AN268" si="108">C266/AVERAGE(B226,C226)/3*1000</f>
        <v>34.789785604900452</v>
      </c>
      <c r="D268" s="236">
        <f t="shared" si="108"/>
        <v>34.803685782808095</v>
      </c>
      <c r="E268" s="236">
        <f t="shared" si="108"/>
        <v>35.094320409982181</v>
      </c>
      <c r="F268" s="236">
        <f t="shared" si="108"/>
        <v>34.409329903323517</v>
      </c>
      <c r="G268" s="236">
        <f t="shared" si="108"/>
        <v>34.907597535934286</v>
      </c>
      <c r="H268" s="236">
        <f t="shared" si="108"/>
        <v>35.090578234063926</v>
      </c>
      <c r="I268" s="236">
        <f t="shared" si="108"/>
        <v>35.653608938850866</v>
      </c>
      <c r="J268" s="236">
        <f t="shared" si="108"/>
        <v>35.265778932553864</v>
      </c>
      <c r="K268" s="236">
        <f t="shared" si="108"/>
        <v>36.561912798874822</v>
      </c>
      <c r="L268" s="236">
        <f t="shared" si="108"/>
        <v>36.730162523900582</v>
      </c>
      <c r="M268" s="236">
        <f t="shared" si="108"/>
        <v>37.640509406045233</v>
      </c>
      <c r="N268" s="236">
        <f t="shared" si="108"/>
        <v>36.753044184918664</v>
      </c>
      <c r="O268" s="236">
        <f t="shared" si="108"/>
        <v>36.791484420359971</v>
      </c>
      <c r="P268" s="236">
        <f t="shared" si="108"/>
        <v>37.254755365679991</v>
      </c>
      <c r="Q268" s="236">
        <f t="shared" si="108"/>
        <v>38.123953098827478</v>
      </c>
      <c r="R268" s="236">
        <f t="shared" si="108"/>
        <v>37.622403699146069</v>
      </c>
      <c r="S268" s="236">
        <f t="shared" si="108"/>
        <v>37.495974294126988</v>
      </c>
      <c r="T268" s="236">
        <f t="shared" si="108"/>
        <v>37.412155334199511</v>
      </c>
      <c r="U268" s="236">
        <f t="shared" si="108"/>
        <v>37.694168867318538</v>
      </c>
      <c r="V268" s="236">
        <f t="shared" si="108"/>
        <v>37.360172035307279</v>
      </c>
      <c r="W268" s="236">
        <f t="shared" si="108"/>
        <v>37.4965305531422</v>
      </c>
      <c r="X268" s="236">
        <f t="shared" si="108"/>
        <v>37.317699570815456</v>
      </c>
      <c r="Y268" s="236">
        <f t="shared" si="108"/>
        <v>37.358351528384283</v>
      </c>
      <c r="Z268" s="236">
        <f t="shared" si="108"/>
        <v>36.794887847446226</v>
      </c>
      <c r="AA268" s="236">
        <f t="shared" si="108"/>
        <v>37.054834287845722</v>
      </c>
      <c r="AB268" s="236">
        <f t="shared" si="108"/>
        <v>36.984655784402094</v>
      </c>
      <c r="AC268" s="236">
        <f t="shared" si="108"/>
        <v>36.755680875767126</v>
      </c>
      <c r="AD268" s="236">
        <f t="shared" si="108"/>
        <v>36.380801826724628</v>
      </c>
      <c r="AE268" s="236">
        <f t="shared" si="108"/>
        <v>34.558223093254938</v>
      </c>
      <c r="AF268" s="236">
        <f t="shared" si="108"/>
        <v>34.658309967562815</v>
      </c>
      <c r="AG268" s="236">
        <f t="shared" si="108"/>
        <v>35.53453808478298</v>
      </c>
      <c r="AH268" s="236">
        <f t="shared" si="108"/>
        <v>34.73577305353006</v>
      </c>
      <c r="AI268" s="236">
        <f t="shared" si="108"/>
        <v>34.519658945769621</v>
      </c>
      <c r="AJ268" s="236">
        <f t="shared" si="108"/>
        <v>34.695800900555</v>
      </c>
      <c r="AK268" s="236">
        <f t="shared" si="108"/>
        <v>34.270853336178185</v>
      </c>
      <c r="AL268" s="236">
        <f t="shared" si="108"/>
        <v>33.318897814910038</v>
      </c>
      <c r="AM268" s="236">
        <f t="shared" si="108"/>
        <v>31.108442472711619</v>
      </c>
      <c r="AN268" s="236">
        <f t="shared" si="108"/>
        <v>30.195525743929863</v>
      </c>
      <c r="AO268" s="236"/>
      <c r="AP268" s="563"/>
      <c r="AQ268" s="236"/>
      <c r="AR268" s="563"/>
      <c r="AS268" s="563"/>
      <c r="AT268" s="563"/>
      <c r="AU268" s="236"/>
      <c r="AV268" s="236"/>
      <c r="AW268" s="236"/>
      <c r="AX268" s="236"/>
      <c r="AY268" s="236"/>
      <c r="AZ268" s="236"/>
      <c r="BA268" s="236"/>
      <c r="BB268" s="236"/>
      <c r="BC268" s="236"/>
      <c r="BD268" s="236"/>
      <c r="BE268" s="236"/>
      <c r="BF268" s="236"/>
      <c r="BG268" s="236"/>
      <c r="BH268" s="236"/>
      <c r="BI268" s="236"/>
      <c r="BJ268" s="236"/>
      <c r="BK268" s="236"/>
      <c r="BL268" s="236"/>
      <c r="BP268" s="124">
        <f t="shared" ref="BP268:BZ268" si="109">F268/B268-1</f>
        <v>8.8380999390917925E-3</v>
      </c>
      <c r="BQ268" s="124">
        <f t="shared" si="109"/>
        <v>3.386394281695182E-3</v>
      </c>
      <c r="BR268" s="124">
        <f t="shared" si="109"/>
        <v>8.2431628950503377E-3</v>
      </c>
      <c r="BS268" s="124">
        <f t="shared" si="109"/>
        <v>1.5936724869862529E-2</v>
      </c>
      <c r="BT268" s="124">
        <f t="shared" si="109"/>
        <v>2.4890023480161449E-2</v>
      </c>
      <c r="BU268" s="124">
        <f t="shared" si="109"/>
        <v>4.7391266650119945E-2</v>
      </c>
      <c r="BV268" s="124">
        <f t="shared" si="109"/>
        <v>4.6724345176080373E-2</v>
      </c>
      <c r="BW268" s="124">
        <f t="shared" si="109"/>
        <v>5.5727891967460641E-2</v>
      </c>
      <c r="BX268" s="124">
        <f t="shared" si="109"/>
        <v>4.217304416298906E-2</v>
      </c>
      <c r="BY268" s="124">
        <f t="shared" si="109"/>
        <v>6.2789827968796619E-3</v>
      </c>
      <c r="BZ268" s="124">
        <f t="shared" si="109"/>
        <v>1.4282344692541304E-2</v>
      </c>
      <c r="CA268" s="124"/>
      <c r="CB268" s="124"/>
    </row>
    <row r="269" spans="1:95">
      <c r="A269" s="92" t="s">
        <v>905</v>
      </c>
      <c r="B269" s="236"/>
      <c r="C269" s="236">
        <f t="shared" ref="C269:L269" si="110">C268*1000/C314</f>
        <v>71.765800389290803</v>
      </c>
      <c r="D269" s="236">
        <f t="shared" si="110"/>
        <v>68.645974294713525</v>
      </c>
      <c r="E269" s="236">
        <f t="shared" si="110"/>
        <v>67.905075442031219</v>
      </c>
      <c r="F269" s="236">
        <f t="shared" si="110"/>
        <v>62.386088688893388</v>
      </c>
      <c r="G269" s="236">
        <f t="shared" si="110"/>
        <v>62.923677721067605</v>
      </c>
      <c r="H269" s="236">
        <f t="shared" si="110"/>
        <v>60.757470299737591</v>
      </c>
      <c r="I269" s="236">
        <f t="shared" si="110"/>
        <v>59.58078127425393</v>
      </c>
      <c r="J269" s="236">
        <f t="shared" si="110"/>
        <v>56.469574908389269</v>
      </c>
      <c r="K269" s="236">
        <f t="shared" si="110"/>
        <v>59.152099658428767</v>
      </c>
      <c r="L269" s="236">
        <f t="shared" si="110"/>
        <v>54.254302103250488</v>
      </c>
      <c r="M269" s="236">
        <f t="shared" ref="M269:AM269" si="111">M268*1000/M314</f>
        <v>53.926231240752479</v>
      </c>
      <c r="N269" s="236">
        <f t="shared" si="111"/>
        <v>52.429449621852584</v>
      </c>
      <c r="O269" s="236">
        <f t="shared" si="111"/>
        <v>54.344880975420935</v>
      </c>
      <c r="P269" s="236">
        <f t="shared" si="111"/>
        <v>56.276065507069475</v>
      </c>
      <c r="Q269" s="236">
        <f t="shared" si="111"/>
        <v>57.329252780191695</v>
      </c>
      <c r="R269" s="236">
        <f t="shared" si="111"/>
        <v>57.00364196840313</v>
      </c>
      <c r="S269" s="236">
        <f t="shared" si="111"/>
        <v>56.469840804408115</v>
      </c>
      <c r="T269" s="236">
        <f t="shared" si="111"/>
        <v>58.274385255762475</v>
      </c>
      <c r="U269" s="236">
        <f t="shared" si="111"/>
        <v>59.548450027359465</v>
      </c>
      <c r="V269" s="236">
        <f t="shared" si="111"/>
        <v>62.042851431124895</v>
      </c>
      <c r="W269" s="236">
        <f t="shared" si="111"/>
        <v>60.283811178685205</v>
      </c>
      <c r="X269" s="236">
        <f t="shared" si="111"/>
        <v>56.286123032904158</v>
      </c>
      <c r="Y269" s="236">
        <f t="shared" si="111"/>
        <v>54.858078602620097</v>
      </c>
      <c r="Z269" s="236">
        <f t="shared" si="111"/>
        <v>55.116060616349209</v>
      </c>
      <c r="AA269" s="236">
        <f t="shared" si="111"/>
        <v>54.214230393642453</v>
      </c>
      <c r="AB269" s="236">
        <f t="shared" si="111"/>
        <v>52.386197994903817</v>
      </c>
      <c r="AC269" s="236">
        <f t="shared" si="111"/>
        <v>48.683021027506122</v>
      </c>
      <c r="AD269" s="236">
        <f t="shared" si="111"/>
        <v>45.241312972361662</v>
      </c>
      <c r="AE269" s="236">
        <f t="shared" si="111"/>
        <v>41.990550538584365</v>
      </c>
      <c r="AF269" s="236">
        <f t="shared" si="111"/>
        <v>43.871278439952931</v>
      </c>
      <c r="AG269" s="236">
        <f t="shared" si="111"/>
        <v>46.771757564817563</v>
      </c>
      <c r="AH269" s="236">
        <f t="shared" si="111"/>
        <v>47.96593100489487</v>
      </c>
      <c r="AI269" s="236">
        <f t="shared" si="111"/>
        <v>48.187275312636778</v>
      </c>
      <c r="AJ269" s="236">
        <f t="shared" si="111"/>
        <v>44.847686240435372</v>
      </c>
      <c r="AK269" s="236">
        <f t="shared" si="111"/>
        <v>41.439967758377485</v>
      </c>
      <c r="AL269" s="236">
        <f t="shared" si="111"/>
        <v>41.227657289064297</v>
      </c>
      <c r="AM269" s="236">
        <f t="shared" si="111"/>
        <v>36.828343092844257</v>
      </c>
      <c r="AN269" s="236">
        <f>AN268*1000/AN314</f>
        <v>32.608559118714751</v>
      </c>
      <c r="AO269" s="236"/>
      <c r="AP269" s="236"/>
      <c r="AQ269" s="236"/>
      <c r="AR269" s="236"/>
      <c r="AS269" s="236"/>
      <c r="AT269" s="236"/>
      <c r="AU269" s="236"/>
      <c r="AV269" s="236"/>
      <c r="AW269" s="236"/>
      <c r="AX269" s="236"/>
      <c r="AY269" s="236"/>
      <c r="AZ269" s="236"/>
      <c r="BA269" s="236"/>
      <c r="BB269" s="236"/>
      <c r="BC269" s="236"/>
      <c r="BD269" s="236"/>
      <c r="BE269" s="236"/>
      <c r="BF269" s="236"/>
      <c r="BG269" s="236"/>
      <c r="BH269" s="236"/>
      <c r="BI269" s="236"/>
      <c r="BJ269" s="236"/>
      <c r="BK269" s="236"/>
      <c r="BL269" s="236"/>
      <c r="BP269" s="124"/>
      <c r="BQ269" s="124"/>
      <c r="BR269" s="124"/>
      <c r="BS269" s="124"/>
      <c r="BT269" s="124"/>
      <c r="BU269" s="124"/>
      <c r="BV269" s="124"/>
      <c r="BW269" s="124"/>
      <c r="BX269" s="124"/>
      <c r="BY269" s="124"/>
      <c r="BZ269" s="124"/>
      <c r="CA269" s="124"/>
      <c r="CB269" s="124"/>
    </row>
    <row r="270" spans="1:95">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c r="Z270" s="313">
        <f t="shared" ref="Z270:AN270" si="112">Z268/V268-1</f>
        <v>-1.5130663406122125E-2</v>
      </c>
      <c r="AA270" s="313">
        <f t="shared" si="112"/>
        <v>-1.1779656911736991E-2</v>
      </c>
      <c r="AB270" s="313">
        <f t="shared" si="112"/>
        <v>-8.9245529666523993E-3</v>
      </c>
      <c r="AC270" s="313">
        <f t="shared" si="112"/>
        <v>-1.613215326589712E-2</v>
      </c>
      <c r="AD270" s="313">
        <f t="shared" si="112"/>
        <v>-1.125390087988376E-2</v>
      </c>
      <c r="AE270" s="313">
        <f t="shared" si="112"/>
        <v>-6.7376126288863025E-2</v>
      </c>
      <c r="AF270" s="313">
        <f t="shared" si="112"/>
        <v>-6.2900296555426949E-2</v>
      </c>
      <c r="AG270" s="313">
        <f t="shared" si="112"/>
        <v>-3.3223239561567808E-2</v>
      </c>
      <c r="AH270" s="313">
        <f t="shared" si="112"/>
        <v>-4.5216946592588902E-2</v>
      </c>
      <c r="AI270" s="313">
        <f t="shared" si="112"/>
        <v>-1.1159181240670835E-3</v>
      </c>
      <c r="AJ270" s="313">
        <f t="shared" si="112"/>
        <v>1.0817299812735381E-3</v>
      </c>
      <c r="AK270" s="313">
        <f t="shared" si="112"/>
        <v>-3.5562154926278455E-2</v>
      </c>
      <c r="AL270" s="313">
        <f t="shared" si="112"/>
        <v>-4.0790087971743882E-2</v>
      </c>
      <c r="AM270" s="313">
        <f t="shared" si="112"/>
        <v>-9.8819530008017242E-2</v>
      </c>
      <c r="AN270" s="313">
        <f t="shared" si="112"/>
        <v>-0.12970662269834354</v>
      </c>
      <c r="AO270" s="313"/>
      <c r="AP270" s="313"/>
      <c r="AQ270" s="313"/>
      <c r="AR270" s="313"/>
      <c r="AS270" s="313"/>
      <c r="AT270" s="313"/>
      <c r="AU270" s="313"/>
      <c r="AV270" s="236"/>
      <c r="AW270" s="236"/>
      <c r="AX270" s="236"/>
      <c r="AY270" s="236"/>
      <c r="AZ270" s="236"/>
      <c r="BA270" s="236"/>
      <c r="BB270" s="236"/>
      <c r="BC270" s="236"/>
      <c r="BD270" s="236"/>
      <c r="BE270" s="236"/>
      <c r="BF270" s="236"/>
      <c r="BG270" s="236"/>
      <c r="BH270" s="236"/>
      <c r="BI270" s="236"/>
      <c r="BJ270" s="236"/>
      <c r="BK270" s="236"/>
      <c r="BL270" s="236"/>
      <c r="BP270" s="124"/>
      <c r="BQ270" s="124"/>
      <c r="BR270" s="124"/>
      <c r="BS270" s="124"/>
      <c r="BT270" s="124"/>
      <c r="BU270" s="124"/>
      <c r="BV270" s="124"/>
      <c r="BW270" s="124"/>
      <c r="BX270" s="124"/>
      <c r="BY270" s="124"/>
      <c r="BZ270" s="124"/>
      <c r="CA270" s="124"/>
      <c r="CB270" s="124"/>
    </row>
    <row r="271" spans="1:95">
      <c r="B271" s="236"/>
      <c r="C271" s="236"/>
      <c r="D271" s="236"/>
      <c r="E271" s="236"/>
      <c r="F271" s="236"/>
      <c r="G271" s="236"/>
      <c r="H271" s="236"/>
      <c r="I271" s="236"/>
      <c r="J271" s="236"/>
      <c r="K271" s="236"/>
      <c r="L271" s="236"/>
      <c r="M271" s="236"/>
      <c r="AE271" s="236"/>
      <c r="AM271" s="313"/>
      <c r="AN271" s="313"/>
      <c r="AO271" s="313"/>
      <c r="BP271" s="124"/>
      <c r="BQ271" s="124"/>
      <c r="BR271" s="124"/>
      <c r="BS271" s="124"/>
      <c r="BT271" s="124"/>
      <c r="BU271" s="124"/>
      <c r="BV271" s="124"/>
      <c r="BW271" s="124"/>
      <c r="BX271" s="124"/>
      <c r="BY271" s="124"/>
      <c r="BZ271" s="124"/>
      <c r="CA271" s="124"/>
      <c r="CB271" s="124"/>
    </row>
    <row r="272" spans="1:95">
      <c r="A272" s="92" t="str">
        <f>A167</f>
        <v>OCF</v>
      </c>
      <c r="B272" s="92">
        <f>VTR!BV119</f>
        <v>40.299999999999997</v>
      </c>
      <c r="C272" s="92">
        <f>VTR!BW119</f>
        <v>42.1</v>
      </c>
      <c r="D272" s="92">
        <f>VTR!BX119</f>
        <v>42.8</v>
      </c>
      <c r="E272" s="236">
        <f>VTR!BY119</f>
        <v>50.204583999999997</v>
      </c>
      <c r="F272" s="92">
        <v>45.7</v>
      </c>
      <c r="G272" s="236">
        <f>VTR!CA119</f>
        <v>47.5</v>
      </c>
      <c r="H272" s="236">
        <f>VTR!CB119</f>
        <v>50.1</v>
      </c>
      <c r="I272" s="236">
        <f>VTR!CC119</f>
        <v>55.59999999999998</v>
      </c>
      <c r="J272" s="92">
        <v>47.4</v>
      </c>
      <c r="K272" s="236">
        <f t="shared" ref="K272:P272" si="113">K317*K314/1000</f>
        <v>54.145559999999996</v>
      </c>
      <c r="L272" s="236">
        <f t="shared" si="113"/>
        <v>55.852499999999999</v>
      </c>
      <c r="M272" s="236">
        <f t="shared" si="113"/>
        <v>57.235999999999997</v>
      </c>
      <c r="N272" s="236">
        <f t="shared" si="113"/>
        <v>53.486299999999993</v>
      </c>
      <c r="O272" s="236">
        <f t="shared" si="113"/>
        <v>55.378599999999999</v>
      </c>
      <c r="P272" s="236">
        <f t="shared" si="113"/>
        <v>57.527800000000006</v>
      </c>
      <c r="Q272" s="236">
        <f t="shared" ref="Q272:W272" si="114">Q317*Q314/1000</f>
        <v>62.709499999999998</v>
      </c>
      <c r="R272" s="236">
        <f t="shared" si="114"/>
        <v>60.455999999999996</v>
      </c>
      <c r="S272" s="236">
        <f t="shared" si="114"/>
        <v>61.287199999999999</v>
      </c>
      <c r="T272" s="236">
        <f t="shared" si="114"/>
        <v>62.915999999999997</v>
      </c>
      <c r="U272" s="236">
        <f t="shared" si="114"/>
        <v>64.186199999999999</v>
      </c>
      <c r="V272" s="236">
        <f t="shared" si="114"/>
        <v>63.227559230769231</v>
      </c>
      <c r="W272" s="236">
        <f t="shared" si="114"/>
        <v>65.372199999999992</v>
      </c>
      <c r="X272" s="236">
        <f>X317*X314/1000</f>
        <v>66.36630000000001</v>
      </c>
      <c r="Y272" s="236">
        <f>Y317*Y314/1000</f>
        <v>68.712900000000005</v>
      </c>
      <c r="Z272" s="236">
        <f>Z317*Z314/1000</f>
        <v>63.354216859375022</v>
      </c>
      <c r="AA272" s="236">
        <f>AA317*AA314/1000</f>
        <v>68.553954415384652</v>
      </c>
      <c r="AB272" s="236">
        <f>AB317*AB314/1000</f>
        <v>67.423000000000002</v>
      </c>
      <c r="AC272" s="337">
        <v>68.599999999999994</v>
      </c>
      <c r="AD272" s="236">
        <v>64.099999999999994</v>
      </c>
      <c r="AE272" s="236">
        <v>60.2</v>
      </c>
      <c r="AF272" s="236">
        <v>61.7</v>
      </c>
      <c r="AG272" s="236">
        <v>56.7</v>
      </c>
      <c r="AH272" s="236">
        <v>50.9</v>
      </c>
      <c r="AI272" s="236">
        <v>49.4</v>
      </c>
      <c r="AJ272" s="236">
        <v>50.3</v>
      </c>
      <c r="AK272" s="236">
        <f>AK317*AK314/1000</f>
        <v>45.7331</v>
      </c>
      <c r="AL272" s="236">
        <f>AL317*AL314/1000</f>
        <v>37.579839609375007</v>
      </c>
      <c r="AM272" s="236">
        <f>AM317*AM314/1000</f>
        <v>32.01365770769231</v>
      </c>
      <c r="AN272" s="236">
        <f>AN317*AN314/1000</f>
        <v>28.891200000000001</v>
      </c>
      <c r="AO272" s="236"/>
      <c r="AP272" s="236"/>
      <c r="AQ272" s="1178"/>
      <c r="AR272" s="236"/>
      <c r="AS272" s="236"/>
      <c r="AT272" s="236"/>
      <c r="AU272" s="1178"/>
      <c r="AV272" s="236"/>
      <c r="AW272" s="236"/>
      <c r="AX272" s="236"/>
      <c r="AY272" s="236"/>
      <c r="AZ272" s="236"/>
      <c r="BA272" s="236"/>
      <c r="BB272" s="236"/>
      <c r="BC272" s="236"/>
      <c r="BD272" s="236"/>
      <c r="BE272" s="236"/>
      <c r="BF272" s="236"/>
      <c r="BG272" s="236"/>
      <c r="BH272" s="236"/>
      <c r="BI272" s="236"/>
      <c r="BJ272" s="236"/>
      <c r="BK272" s="236"/>
      <c r="BL272" s="236"/>
      <c r="BM272" s="236"/>
      <c r="BP272" s="124">
        <f t="shared" ref="BP272:BV272" si="115">F272/B272-1</f>
        <v>0.13399503722084383</v>
      </c>
      <c r="BQ272" s="124">
        <f t="shared" si="115"/>
        <v>0.12826603325415675</v>
      </c>
      <c r="BR272" s="124">
        <f t="shared" si="115"/>
        <v>0.17056074766355156</v>
      </c>
      <c r="BS272" s="124">
        <f t="shared" si="115"/>
        <v>0.10746859290777078</v>
      </c>
      <c r="BT272" s="124">
        <f t="shared" si="115"/>
        <v>3.7199124726476906E-2</v>
      </c>
      <c r="BU272" s="124">
        <f t="shared" si="115"/>
        <v>0.13990652631578948</v>
      </c>
      <c r="BV272" s="124">
        <f t="shared" si="115"/>
        <v>0.11482035928143697</v>
      </c>
      <c r="BW272" s="375">
        <f>0%+3/I272</f>
        <v>5.3956834532374119E-2</v>
      </c>
      <c r="BX272" s="124">
        <f>N272/J272-1</f>
        <v>0.12840295358649767</v>
      </c>
      <c r="BY272" s="124">
        <f>O272/K272-1</f>
        <v>2.2772689025656101E-2</v>
      </c>
      <c r="BZ272" s="124">
        <f>P272/L272-1</f>
        <v>2.9995076317085312E-2</v>
      </c>
      <c r="CA272" s="124"/>
      <c r="CB272" s="124"/>
    </row>
    <row r="273" spans="1:67">
      <c r="A273" s="92" t="s">
        <v>251</v>
      </c>
      <c r="B273" s="124">
        <f t="shared" ref="B273:R273" si="116">B272/B266</f>
        <v>0.34065507887137164</v>
      </c>
      <c r="C273" s="124">
        <f t="shared" si="116"/>
        <v>0.34318113193071215</v>
      </c>
      <c r="D273" s="124">
        <f t="shared" si="116"/>
        <v>0.34494742292037001</v>
      </c>
      <c r="E273" s="124">
        <f t="shared" si="116"/>
        <v>0.39844070578580221</v>
      </c>
      <c r="F273" s="124">
        <f t="shared" si="116"/>
        <v>0.36737843787135016</v>
      </c>
      <c r="G273" s="124">
        <f t="shared" si="116"/>
        <v>0.37254901960784315</v>
      </c>
      <c r="H273" s="124">
        <f t="shared" si="116"/>
        <v>0.38777089783281737</v>
      </c>
      <c r="I273" s="124">
        <f t="shared" si="116"/>
        <v>0.42344124746217982</v>
      </c>
      <c r="J273" s="124">
        <f t="shared" si="116"/>
        <v>0.36377590176515728</v>
      </c>
      <c r="K273" s="124">
        <f t="shared" si="116"/>
        <v>0.39673913043478254</v>
      </c>
      <c r="L273" s="124">
        <f t="shared" si="116"/>
        <v>0.40381791483113066</v>
      </c>
      <c r="M273" s="124">
        <f t="shared" si="116"/>
        <v>0.40176384125428716</v>
      </c>
      <c r="N273" s="124">
        <f t="shared" si="116"/>
        <v>0.38150000000000001</v>
      </c>
      <c r="O273" s="124">
        <f t="shared" si="116"/>
        <v>0.3884140550807218</v>
      </c>
      <c r="P273" s="124">
        <f t="shared" si="116"/>
        <v>0.39267962042476273</v>
      </c>
      <c r="Q273" s="124">
        <f t="shared" si="116"/>
        <v>0.41432337434094901</v>
      </c>
      <c r="R273" s="124">
        <f t="shared" si="116"/>
        <v>0.39947666812036631</v>
      </c>
      <c r="S273" s="124">
        <f t="shared" ref="S273:Y273" si="117">S272/S266</f>
        <v>0.39939420164430983</v>
      </c>
      <c r="T273" s="124">
        <f t="shared" si="117"/>
        <v>0.40462427745664736</v>
      </c>
      <c r="U273" s="124">
        <f t="shared" si="117"/>
        <v>0.40511386336396327</v>
      </c>
      <c r="V273" s="124">
        <f t="shared" si="117"/>
        <v>0.39802880970432147</v>
      </c>
      <c r="W273" s="124">
        <f t="shared" si="117"/>
        <v>0.40392006149116055</v>
      </c>
      <c r="X273" s="124">
        <f t="shared" si="117"/>
        <v>0.40707604717364787</v>
      </c>
      <c r="Y273" s="124">
        <f t="shared" si="117"/>
        <v>0.41832504145936983</v>
      </c>
      <c r="Z273" s="124">
        <f t="shared" ref="Z273:AE273" si="118">Z272/Z266</f>
        <v>0.3897330595482546</v>
      </c>
      <c r="AA273" s="124">
        <f t="shared" si="118"/>
        <v>0.41532091097308488</v>
      </c>
      <c r="AB273" s="124">
        <f t="shared" si="118"/>
        <v>0.40569243840271879</v>
      </c>
      <c r="AC273" s="124">
        <f t="shared" si="118"/>
        <v>0.41275571600481348</v>
      </c>
      <c r="AD273" s="124">
        <f t="shared" si="118"/>
        <v>0.38684369342184671</v>
      </c>
      <c r="AE273" s="124">
        <f t="shared" si="118"/>
        <v>0.37933207309388789</v>
      </c>
      <c r="AF273" s="124">
        <f t="shared" ref="AF273:AM273" si="119">AF272/AF266</f>
        <v>0.39149746192893403</v>
      </c>
      <c r="AG273" s="124">
        <f t="shared" si="119"/>
        <v>0.35931558935361219</v>
      </c>
      <c r="AH273" s="124">
        <f t="shared" si="119"/>
        <v>0.33442838370565048</v>
      </c>
      <c r="AI273" s="124">
        <f t="shared" si="119"/>
        <v>0.32933333333333331</v>
      </c>
      <c r="AJ273" s="124">
        <f t="shared" si="119"/>
        <v>0.33735747820254863</v>
      </c>
      <c r="AK273" s="124">
        <f t="shared" si="119"/>
        <v>0.31636155606407318</v>
      </c>
      <c r="AL273" s="124">
        <f t="shared" si="119"/>
        <v>0.27224824355971894</v>
      </c>
      <c r="AM273" s="124">
        <f t="shared" si="119"/>
        <v>0.25266666666666665</v>
      </c>
      <c r="AN273" s="124">
        <f>AN272/AN266</f>
        <v>0.24036979969183356</v>
      </c>
      <c r="AO273" s="124"/>
      <c r="AP273" s="561"/>
      <c r="AQ273" s="124"/>
      <c r="AR273" s="561"/>
      <c r="AS273" s="561"/>
      <c r="AT273" s="561"/>
      <c r="AU273" s="124"/>
      <c r="AV273" s="124"/>
      <c r="AW273" s="124"/>
      <c r="AX273" s="124"/>
      <c r="AY273" s="124"/>
      <c r="AZ273" s="124"/>
      <c r="BA273" s="124"/>
      <c r="BB273" s="124"/>
      <c r="BC273" s="124"/>
      <c r="BD273" s="124"/>
      <c r="BE273" s="124"/>
      <c r="BF273" s="124"/>
      <c r="BG273" s="124"/>
      <c r="BH273" s="124"/>
      <c r="BI273" s="124"/>
      <c r="BJ273" s="124"/>
      <c r="BK273" s="124"/>
      <c r="BL273" s="124"/>
      <c r="BM273" s="561"/>
    </row>
    <row r="274" spans="1:67">
      <c r="A274" s="92" t="s">
        <v>258</v>
      </c>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236">
        <f t="shared" ref="Z274:AG274" si="120">Z266-Z272</f>
        <v>99.203757906250047</v>
      </c>
      <c r="AA274" s="236">
        <f t="shared" si="120"/>
        <v>96.508657661538507</v>
      </c>
      <c r="AB274" s="236">
        <f t="shared" si="120"/>
        <v>98.76939999999999</v>
      </c>
      <c r="AC274" s="236">
        <f t="shared" si="120"/>
        <v>97.6</v>
      </c>
      <c r="AD274" s="236">
        <f t="shared" si="120"/>
        <v>101.6</v>
      </c>
      <c r="AE274" s="236">
        <f t="shared" si="120"/>
        <v>98.499999999999986</v>
      </c>
      <c r="AF274" s="236">
        <f t="shared" si="120"/>
        <v>95.899999999999991</v>
      </c>
      <c r="AG274" s="236">
        <f t="shared" si="120"/>
        <v>101.10000000000001</v>
      </c>
      <c r="AH274" s="236">
        <f t="shared" ref="AH274:AM274" si="121">AH266-AH272</f>
        <v>101.29999999999998</v>
      </c>
      <c r="AI274" s="236">
        <f t="shared" si="121"/>
        <v>100.6</v>
      </c>
      <c r="AJ274" s="236">
        <f t="shared" si="121"/>
        <v>98.8</v>
      </c>
      <c r="AK274" s="236">
        <f t="shared" si="121"/>
        <v>98.82650000000001</v>
      </c>
      <c r="AL274" s="236">
        <f t="shared" si="121"/>
        <v>100.45535620312504</v>
      </c>
      <c r="AM274" s="236">
        <f t="shared" si="121"/>
        <v>94.689473061538479</v>
      </c>
      <c r="AN274" s="236">
        <f>AN266-AN272</f>
        <v>91.303600000000017</v>
      </c>
      <c r="AO274" s="236"/>
      <c r="AP274" s="236"/>
      <c r="AQ274" s="236"/>
      <c r="AR274" s="236"/>
      <c r="AS274" s="236"/>
      <c r="AT274" s="236"/>
      <c r="AU274" s="236"/>
      <c r="AV274" s="124"/>
      <c r="AW274" s="124"/>
      <c r="AX274" s="124"/>
      <c r="AY274" s="124"/>
      <c r="AZ274" s="124"/>
      <c r="BA274" s="124"/>
      <c r="BB274" s="124"/>
      <c r="BC274" s="124"/>
      <c r="BD274" s="124"/>
      <c r="BE274" s="124"/>
      <c r="BF274" s="124"/>
      <c r="BG274" s="124"/>
      <c r="BH274" s="124"/>
      <c r="BI274" s="124"/>
      <c r="BJ274" s="124"/>
      <c r="BK274" s="124"/>
      <c r="BL274" s="124"/>
      <c r="BM274" s="561"/>
    </row>
    <row r="275" spans="1:67">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4"/>
      <c r="AY275" s="124"/>
      <c r="AZ275" s="124"/>
      <c r="BA275" s="124"/>
      <c r="BB275" s="124"/>
      <c r="BC275" s="124"/>
      <c r="BD275" s="124"/>
      <c r="BE275" s="124"/>
      <c r="BF275" s="124"/>
      <c r="BG275" s="124"/>
      <c r="BH275" s="124"/>
      <c r="BI275" s="124"/>
      <c r="BJ275" s="124"/>
      <c r="BK275" s="124"/>
      <c r="BL275" s="124"/>
      <c r="BM275" s="561"/>
    </row>
    <row r="276" spans="1:67" ht="15.75" thickBot="1">
      <c r="A276" s="92" t="str">
        <f>A169</f>
        <v xml:space="preserve">Share based comp </v>
      </c>
      <c r="F276" s="92">
        <v>-0.9</v>
      </c>
      <c r="G276" s="92">
        <v>-0.6</v>
      </c>
      <c r="I276" s="313"/>
      <c r="J276" s="92">
        <v>-0.1</v>
      </c>
      <c r="K276" s="92">
        <v>-0.5</v>
      </c>
      <c r="X276" s="124">
        <f t="shared" ref="X276:AN276" si="122">X272/T272-1</f>
        <v>5.4839786381842615E-2</v>
      </c>
      <c r="Y276" s="124">
        <f t="shared" si="122"/>
        <v>7.0524505267487436E-2</v>
      </c>
      <c r="Z276" s="124">
        <f t="shared" si="122"/>
        <v>2.0032028777754451E-3</v>
      </c>
      <c r="AA276" s="124">
        <f t="shared" si="122"/>
        <v>4.8671368186854025E-2</v>
      </c>
      <c r="AB276" s="124">
        <f t="shared" si="122"/>
        <v>1.5922237641694537E-2</v>
      </c>
      <c r="AC276" s="124">
        <f t="shared" si="122"/>
        <v>-1.643068477680476E-3</v>
      </c>
      <c r="AD276" s="124">
        <f t="shared" si="122"/>
        <v>1.177164169324918E-2</v>
      </c>
      <c r="AE276" s="124">
        <f t="shared" si="122"/>
        <v>-0.12185955553732264</v>
      </c>
      <c r="AF276" s="124">
        <f t="shared" si="122"/>
        <v>-8.4882013556204838E-2</v>
      </c>
      <c r="AG276" s="124">
        <f t="shared" si="122"/>
        <v>-0.1734693877551019</v>
      </c>
      <c r="AH276" s="124">
        <f t="shared" si="122"/>
        <v>-0.20592823712948516</v>
      </c>
      <c r="AI276" s="124">
        <f t="shared" si="122"/>
        <v>-0.17940199335548179</v>
      </c>
      <c r="AJ276" s="124">
        <f t="shared" si="122"/>
        <v>-0.18476499189627238</v>
      </c>
      <c r="AK276" s="124">
        <f t="shared" si="122"/>
        <v>-0.19341975308641979</v>
      </c>
      <c r="AL276" s="124">
        <f t="shared" si="122"/>
        <v>-0.26169273851915509</v>
      </c>
      <c r="AM276" s="124">
        <f t="shared" si="122"/>
        <v>-0.35195024883213943</v>
      </c>
      <c r="AN276" s="124">
        <f t="shared" si="122"/>
        <v>-0.4256222664015904</v>
      </c>
      <c r="AO276" s="124"/>
      <c r="AP276" s="124"/>
      <c r="AQ276" s="124"/>
      <c r="AR276" s="124"/>
      <c r="AS276" s="124"/>
      <c r="AT276" s="124"/>
      <c r="AU276" s="124"/>
      <c r="AV276" s="124"/>
      <c r="AW276" s="124"/>
      <c r="AX276" s="124"/>
      <c r="AY276" s="124"/>
      <c r="AZ276" s="124"/>
      <c r="BA276" s="124"/>
      <c r="BB276" s="124"/>
      <c r="BC276" s="124"/>
      <c r="BD276" s="124"/>
      <c r="BE276" s="124"/>
      <c r="BF276" s="124"/>
      <c r="BG276" s="124"/>
      <c r="BH276" s="124"/>
      <c r="BI276" s="124"/>
      <c r="BJ276" s="124"/>
      <c r="BK276" s="124"/>
      <c r="BL276" s="124"/>
    </row>
    <row r="277" spans="1:67" ht="15.75" thickBot="1">
      <c r="A277" s="92" t="s">
        <v>906</v>
      </c>
      <c r="F277" s="92">
        <v>-1.9</v>
      </c>
      <c r="G277" s="92">
        <v>-1.9</v>
      </c>
      <c r="J277" s="92">
        <v>-1.2</v>
      </c>
      <c r="K277" s="92">
        <v>-1.4</v>
      </c>
      <c r="N277" s="236">
        <f t="shared" ref="N277:T277" si="123">N266-N272</f>
        <v>86.713699999999989</v>
      </c>
      <c r="O277" s="236">
        <f t="shared" si="123"/>
        <v>87.197599999999966</v>
      </c>
      <c r="P277" s="236">
        <f t="shared" si="123"/>
        <v>88.972800000000007</v>
      </c>
      <c r="Q277" s="236">
        <f t="shared" si="123"/>
        <v>88.644500000000022</v>
      </c>
      <c r="R277" s="236">
        <f t="shared" si="123"/>
        <v>90.882000000000005</v>
      </c>
      <c r="S277" s="236">
        <f t="shared" si="123"/>
        <v>92.163200000000003</v>
      </c>
      <c r="T277" s="236">
        <f t="shared" si="123"/>
        <v>92.576400000000007</v>
      </c>
      <c r="U277" s="236"/>
      <c r="V277" s="236"/>
      <c r="W277" s="236"/>
      <c r="X277" s="236"/>
      <c r="Y277" s="236"/>
      <c r="Z277" s="236"/>
      <c r="AA277" s="236"/>
      <c r="AB277" s="236"/>
      <c r="AC277" s="236"/>
      <c r="AD277" s="236"/>
      <c r="AE277" s="236"/>
      <c r="AF277" s="236"/>
      <c r="AG277" s="1415">
        <f>86.6+7.7+1.2+126.7+14</f>
        <v>236.2</v>
      </c>
      <c r="AH277" s="236"/>
      <c r="AI277" s="236"/>
      <c r="AJ277" s="236"/>
      <c r="AK277" s="1415">
        <f>32+10.1+1.1+133.5+9.8+8.5</f>
        <v>195</v>
      </c>
      <c r="AL277" s="236"/>
      <c r="AM277" s="236"/>
      <c r="AN277" s="236"/>
      <c r="AO277" s="236"/>
    </row>
    <row r="278" spans="1:67">
      <c r="A278" s="92" t="str">
        <f>A170</f>
        <v>D&amp;A</v>
      </c>
      <c r="F278" s="92">
        <v>-20.9</v>
      </c>
      <c r="G278" s="92">
        <v>-20.7</v>
      </c>
      <c r="J278" s="236">
        <v>-23</v>
      </c>
      <c r="K278" s="92">
        <v>-22.8</v>
      </c>
      <c r="AK278" s="236">
        <f>SUM(AH272:AK272)</f>
        <v>196.3331</v>
      </c>
    </row>
    <row r="279" spans="1:67">
      <c r="A279" s="175" t="str">
        <f>A172</f>
        <v>Other</v>
      </c>
      <c r="B279" s="175"/>
      <c r="C279" s="175"/>
      <c r="D279" s="175"/>
      <c r="E279" s="175"/>
      <c r="F279" s="175">
        <v>-0.5</v>
      </c>
      <c r="G279" s="175">
        <v>-0.8</v>
      </c>
      <c r="H279" s="175"/>
      <c r="I279" s="175"/>
      <c r="J279" s="175">
        <v>-1.1000000000000001</v>
      </c>
      <c r="K279" s="175">
        <v>-1.4</v>
      </c>
    </row>
    <row r="280" spans="1:67">
      <c r="A280" s="92" t="str">
        <f>A173</f>
        <v>EBIT</v>
      </c>
      <c r="F280" s="236">
        <f>SUM(F276:F279)+F272</f>
        <v>21.500000000000004</v>
      </c>
      <c r="G280" s="236">
        <f>SUM(G276:G279)+G272</f>
        <v>23.5</v>
      </c>
      <c r="J280" s="236">
        <f>SUM(J276:J279)+J272</f>
        <v>21.999999999999996</v>
      </c>
      <c r="K280" s="236">
        <f>SUM(K276:K279)+K272</f>
        <v>28.045559999999998</v>
      </c>
    </row>
    <row r="281" spans="1:67">
      <c r="F281" s="236"/>
      <c r="J281" s="236"/>
    </row>
    <row r="282" spans="1:67">
      <c r="A282" s="92" t="s">
        <v>907</v>
      </c>
      <c r="F282" s="236">
        <f>25.3-1.1-G282</f>
        <v>10.399999999999999</v>
      </c>
      <c r="G282" s="92">
        <f>14.3-0.5</f>
        <v>13.8</v>
      </c>
      <c r="J282" s="236">
        <f>34.2-0.6-K282</f>
        <v>16.8</v>
      </c>
      <c r="K282" s="92">
        <f>17.3-0.5</f>
        <v>16.8</v>
      </c>
    </row>
    <row r="283" spans="1:67">
      <c r="A283" s="92" t="s">
        <v>908</v>
      </c>
      <c r="F283" s="236">
        <f>-12.2-G283</f>
        <v>-14.7</v>
      </c>
      <c r="G283" s="92">
        <v>2.5</v>
      </c>
      <c r="J283" s="236">
        <f>46.6-K283</f>
        <v>26.5</v>
      </c>
      <c r="K283" s="92">
        <v>20.100000000000001</v>
      </c>
      <c r="BO283" s="92" t="s">
        <v>909</v>
      </c>
    </row>
    <row r="284" spans="1:67">
      <c r="A284" s="92" t="s">
        <v>910</v>
      </c>
      <c r="F284" s="236">
        <f>70.6-G284</f>
        <v>71.599999999999994</v>
      </c>
      <c r="G284" s="236">
        <v>-1</v>
      </c>
      <c r="J284" s="236">
        <f>-52.7-K284</f>
        <v>-50.1</v>
      </c>
      <c r="K284" s="92">
        <v>-2.6</v>
      </c>
      <c r="BO284" s="92" t="s">
        <v>911</v>
      </c>
    </row>
    <row r="285" spans="1:67">
      <c r="A285" s="175" t="s">
        <v>4</v>
      </c>
      <c r="B285" s="175"/>
      <c r="C285" s="175"/>
      <c r="D285" s="175"/>
      <c r="E285" s="175"/>
      <c r="F285" s="238">
        <f>1.8-G285</f>
        <v>1.6</v>
      </c>
      <c r="G285" s="175">
        <v>0.2</v>
      </c>
      <c r="H285" s="175"/>
      <c r="I285" s="175"/>
      <c r="J285" s="238">
        <v>0.1</v>
      </c>
      <c r="K285" s="175">
        <v>0.2</v>
      </c>
    </row>
    <row r="286" spans="1:67">
      <c r="A286" s="92" t="s">
        <v>16</v>
      </c>
      <c r="F286" s="92">
        <f>SUM(F282:F285)</f>
        <v>68.899999999999991</v>
      </c>
      <c r="G286" s="92">
        <f>SUM(G282:G285)</f>
        <v>15.5</v>
      </c>
      <c r="J286" s="92">
        <f>SUM(J282:J285)</f>
        <v>-6.7000000000000046</v>
      </c>
      <c r="K286" s="92">
        <f>SUM(K282:K285)</f>
        <v>34.500000000000007</v>
      </c>
    </row>
    <row r="287" spans="1:67">
      <c r="F287" s="236"/>
      <c r="J287" s="236"/>
    </row>
    <row r="288" spans="1:67">
      <c r="A288" s="92" t="s">
        <v>67</v>
      </c>
      <c r="F288" s="236">
        <f>-4-G288</f>
        <v>-7.7</v>
      </c>
      <c r="G288" s="92">
        <v>3.7</v>
      </c>
      <c r="J288" s="236">
        <f>11.1-K288</f>
        <v>10.199999999999999</v>
      </c>
      <c r="K288" s="92">
        <v>0.9</v>
      </c>
    </row>
    <row r="289" spans="1:64" ht="15.75" thickBot="1">
      <c r="A289" s="341" t="s">
        <v>912</v>
      </c>
      <c r="B289" s="341"/>
      <c r="C289" s="341"/>
      <c r="D289" s="341"/>
      <c r="E289" s="341"/>
      <c r="F289" s="342">
        <f>F280-F286-F288</f>
        <v>-39.699999999999989</v>
      </c>
      <c r="G289" s="342">
        <f>G280-G286-G288</f>
        <v>4.3</v>
      </c>
      <c r="H289" s="341"/>
      <c r="I289" s="341"/>
      <c r="J289" s="342">
        <f>J280-J286-J288</f>
        <v>18.500000000000004</v>
      </c>
      <c r="K289" s="342">
        <f>K280-K286-K288</f>
        <v>-7.3544400000000092</v>
      </c>
    </row>
    <row r="290" spans="1:64" ht="15.75" thickTop="1">
      <c r="A290" s="92" t="s">
        <v>913</v>
      </c>
      <c r="F290" s="236">
        <f>F289+F283+F284+F285</f>
        <v>18.800000000000004</v>
      </c>
      <c r="G290" s="236">
        <f>G289+G283+G284+G285</f>
        <v>6</v>
      </c>
      <c r="J290" s="236">
        <f>J289+J283+J284+J285</f>
        <v>-5.0000000000000018</v>
      </c>
      <c r="K290" s="236">
        <f>K289+K283+K284+K285</f>
        <v>10.345559999999992</v>
      </c>
    </row>
    <row r="291" spans="1:64">
      <c r="F291" s="236"/>
      <c r="J291" s="236"/>
    </row>
    <row r="292" spans="1:64">
      <c r="A292" s="92" t="s">
        <v>19</v>
      </c>
      <c r="F292" s="236">
        <v>15.8</v>
      </c>
      <c r="J292" s="236">
        <v>23.8</v>
      </c>
      <c r="K292" s="236">
        <f>89.6-J292</f>
        <v>65.8</v>
      </c>
      <c r="R292" s="641"/>
      <c r="V292" s="556">
        <v>57</v>
      </c>
      <c r="W292" s="556">
        <v>59</v>
      </c>
      <c r="X292" s="641">
        <v>50</v>
      </c>
      <c r="Y292" s="641"/>
      <c r="Z292" s="641"/>
      <c r="AA292" s="641"/>
      <c r="AB292" s="641"/>
      <c r="AC292" s="641"/>
      <c r="AD292" s="641"/>
      <c r="AE292" s="641"/>
      <c r="AF292" s="641"/>
      <c r="AG292" s="641"/>
      <c r="AH292" s="641"/>
      <c r="AI292" s="641"/>
      <c r="AJ292" s="641"/>
      <c r="AK292" s="641"/>
      <c r="AL292" s="641"/>
      <c r="AM292" s="641"/>
      <c r="AN292" s="641"/>
      <c r="AO292" s="641"/>
      <c r="AP292" s="345"/>
      <c r="AQ292" s="345"/>
      <c r="AR292" s="345"/>
      <c r="AS292" s="345"/>
      <c r="AT292" s="345"/>
      <c r="AU292" s="345"/>
      <c r="AV292" s="345"/>
      <c r="AW292" s="345"/>
      <c r="AX292" s="345"/>
      <c r="AY292" s="345"/>
      <c r="AZ292" s="345"/>
      <c r="BA292" s="345"/>
      <c r="BB292" s="345"/>
      <c r="BC292" s="345"/>
      <c r="BD292" s="345"/>
      <c r="BE292" s="345"/>
      <c r="BF292" s="345"/>
      <c r="BG292" s="345"/>
      <c r="BH292" s="345"/>
      <c r="BI292" s="345"/>
      <c r="BJ292" s="345"/>
      <c r="BK292" s="345"/>
      <c r="BL292" s="345"/>
    </row>
    <row r="293" spans="1:64">
      <c r="A293" s="92" t="s">
        <v>91</v>
      </c>
      <c r="F293" s="313">
        <f>F292/F266</f>
        <v>0.12701486473451493</v>
      </c>
      <c r="J293" s="313">
        <f>J292/J266</f>
        <v>0.18265541059094398</v>
      </c>
      <c r="K293" s="313">
        <f>K292/K266</f>
        <v>0.48213435750980677</v>
      </c>
      <c r="V293" s="313">
        <f>V292/V316</f>
        <v>0.21607278241091735</v>
      </c>
      <c r="W293" s="313">
        <f>W292/W316</f>
        <v>0.22674865488086088</v>
      </c>
      <c r="X293" s="313">
        <f>X292/X316</f>
        <v>0.20333468889792597</v>
      </c>
      <c r="Y293" s="313"/>
      <c r="Z293" s="313"/>
      <c r="AA293" s="313"/>
      <c r="AB293" s="313"/>
      <c r="AC293" s="313"/>
      <c r="AD293" s="313"/>
      <c r="AE293" s="313"/>
      <c r="AF293" s="313"/>
      <c r="AG293" s="313"/>
      <c r="AH293" s="313"/>
      <c r="AI293" s="313"/>
      <c r="AJ293" s="313"/>
      <c r="AK293" s="313"/>
      <c r="AL293" s="313"/>
      <c r="AM293" s="313"/>
      <c r="AN293" s="313"/>
      <c r="AO293" s="313"/>
      <c r="AP293" s="313"/>
      <c r="AQ293" s="313"/>
      <c r="AR293" s="313"/>
      <c r="AS293" s="313"/>
      <c r="AT293" s="313"/>
      <c r="AU293" s="313"/>
      <c r="AV293" s="313"/>
      <c r="AW293" s="313"/>
      <c r="AX293" s="313"/>
      <c r="AY293" s="313"/>
      <c r="AZ293" s="313"/>
      <c r="BA293" s="313"/>
      <c r="BB293" s="313"/>
      <c r="BC293" s="313"/>
      <c r="BD293" s="313"/>
      <c r="BE293" s="313"/>
      <c r="BF293" s="313"/>
      <c r="BG293" s="313"/>
      <c r="BH293" s="313"/>
      <c r="BI293" s="313"/>
      <c r="BJ293" s="313"/>
      <c r="BK293" s="313"/>
      <c r="BL293" s="313"/>
    </row>
    <row r="294" spans="1:64">
      <c r="A294" s="92" t="s">
        <v>27</v>
      </c>
      <c r="F294" s="236">
        <f>F272-F292</f>
        <v>29.900000000000002</v>
      </c>
      <c r="J294" s="236">
        <f>J272-J292</f>
        <v>23.599999999999998</v>
      </c>
      <c r="K294" s="236">
        <f>K272-K292</f>
        <v>-11.654440000000001</v>
      </c>
    </row>
    <row r="295" spans="1:64">
      <c r="F295" s="236"/>
      <c r="J295" s="236"/>
    </row>
    <row r="296" spans="1:64">
      <c r="F296" s="236"/>
      <c r="J296" s="345"/>
      <c r="K296" s="345"/>
    </row>
    <row r="297" spans="1:64">
      <c r="A297" s="353" t="s">
        <v>645</v>
      </c>
      <c r="F297" s="236"/>
      <c r="J297" s="236"/>
    </row>
    <row r="298" spans="1:64">
      <c r="A298" s="92" t="s">
        <v>164</v>
      </c>
      <c r="F298" s="236"/>
      <c r="I298" s="345">
        <f>I306*I313/1000</f>
        <v>849.03000000000009</v>
      </c>
      <c r="J298" s="345">
        <f>J306*J313/1000</f>
        <v>875.40599999999995</v>
      </c>
      <c r="K298" s="345">
        <f>K306*K313/1000</f>
        <v>894.76800000000003</v>
      </c>
      <c r="L298" s="345">
        <f>L306*L313/1000</f>
        <v>974.4</v>
      </c>
      <c r="M298" s="345"/>
    </row>
    <row r="299" spans="1:64">
      <c r="A299" s="92" t="s">
        <v>914</v>
      </c>
      <c r="F299" s="236"/>
      <c r="J299" s="124">
        <f>J282/AVERAGE(I298:J298)*4</f>
        <v>7.7938525987627252E-2</v>
      </c>
      <c r="K299" s="124">
        <f>K282/AVERAGE(J298:K298)*4</f>
        <v>7.5924739601869656E-2</v>
      </c>
      <c r="L299" s="124">
        <f>L282/AVERAGE(K298:L298)*4</f>
        <v>0</v>
      </c>
      <c r="M299" s="124"/>
    </row>
    <row r="300" spans="1:64">
      <c r="F300" s="236"/>
      <c r="J300" s="124"/>
      <c r="K300" s="124"/>
    </row>
    <row r="301" spans="1:64">
      <c r="A301" s="92" t="s">
        <v>915</v>
      </c>
      <c r="F301" s="236"/>
      <c r="J301" s="124"/>
      <c r="K301" s="345">
        <v>210</v>
      </c>
      <c r="L301" s="92">
        <v>93.4</v>
      </c>
      <c r="M301" s="92">
        <v>57.4</v>
      </c>
      <c r="N301" s="92">
        <v>-24.8</v>
      </c>
      <c r="O301" s="236">
        <v>-42.8</v>
      </c>
      <c r="P301" s="236"/>
    </row>
    <row r="302" spans="1:64">
      <c r="A302" s="175" t="s">
        <v>916</v>
      </c>
      <c r="B302" s="175"/>
      <c r="C302" s="175"/>
      <c r="D302" s="175"/>
      <c r="E302" s="175"/>
      <c r="F302" s="238"/>
      <c r="G302" s="175"/>
      <c r="H302" s="175"/>
      <c r="I302" s="355">
        <v>51.7</v>
      </c>
      <c r="J302" s="355">
        <v>50</v>
      </c>
      <c r="K302" s="355">
        <v>60.7</v>
      </c>
      <c r="L302" s="175"/>
      <c r="M302" s="175"/>
      <c r="N302" s="175"/>
      <c r="O302" s="175"/>
    </row>
    <row r="303" spans="1:64">
      <c r="A303" s="92" t="s">
        <v>917</v>
      </c>
      <c r="F303" s="236"/>
      <c r="J303" s="124"/>
      <c r="K303" s="345">
        <f>K298-K301-K302</f>
        <v>624.06799999999998</v>
      </c>
      <c r="N303" s="92">
        <v>831.7</v>
      </c>
      <c r="O303" s="92">
        <v>840.8</v>
      </c>
    </row>
    <row r="304" spans="1:64">
      <c r="F304" s="236"/>
      <c r="J304" s="124"/>
      <c r="K304" s="124"/>
    </row>
    <row r="305" spans="1:80">
      <c r="A305" s="353" t="s">
        <v>325</v>
      </c>
      <c r="F305" s="236"/>
      <c r="J305" s="236"/>
    </row>
    <row r="306" spans="1:80">
      <c r="A306" s="92" t="s">
        <v>164</v>
      </c>
      <c r="F306" s="236"/>
      <c r="I306" s="92">
        <v>1400</v>
      </c>
      <c r="J306" s="345">
        <v>1400</v>
      </c>
      <c r="K306" s="345">
        <f>J306</f>
        <v>1400</v>
      </c>
      <c r="L306" s="345">
        <f>K306</f>
        <v>1400</v>
      </c>
      <c r="M306" s="345"/>
    </row>
    <row r="307" spans="1:80">
      <c r="A307" s="92" t="s">
        <v>918</v>
      </c>
      <c r="F307" s="236"/>
      <c r="I307" s="345"/>
      <c r="J307" s="345"/>
      <c r="K307" s="345">
        <f>K303/K313*1000</f>
        <v>976.44886719238957</v>
      </c>
      <c r="L307" s="345">
        <f>L303/L313*1000</f>
        <v>0</v>
      </c>
      <c r="M307" s="345"/>
      <c r="N307" s="345">
        <f>N303/N313*1000</f>
        <v>1245.6192901003444</v>
      </c>
      <c r="O307" s="345">
        <f>O303/O313*1000</f>
        <v>1268.1749622926093</v>
      </c>
      <c r="P307" s="345"/>
    </row>
    <row r="308" spans="1:80">
      <c r="F308" s="236"/>
      <c r="J308" s="124"/>
      <c r="K308" s="124"/>
    </row>
    <row r="309" spans="1:80">
      <c r="A309" s="92" t="s">
        <v>919</v>
      </c>
      <c r="F309" s="236"/>
      <c r="J309" s="124">
        <v>0.111</v>
      </c>
      <c r="K309" s="124">
        <v>0.111</v>
      </c>
      <c r="AM309" s="366"/>
      <c r="AN309" s="366"/>
      <c r="AO309" s="366"/>
    </row>
    <row r="310" spans="1:80">
      <c r="F310" s="236"/>
      <c r="J310" s="236">
        <f>J309/6.875%*J282</f>
        <v>27.124363636363636</v>
      </c>
      <c r="K310" s="236">
        <f>K309/6.875%*K282</f>
        <v>27.124363636363636</v>
      </c>
    </row>
    <row r="311" spans="1:80">
      <c r="F311" s="236"/>
      <c r="AQ311" s="345"/>
      <c r="AR311" s="345"/>
      <c r="AS311" s="345"/>
      <c r="AT311" s="345"/>
      <c r="AU311" s="345"/>
    </row>
    <row r="312" spans="1:80">
      <c r="F312" s="236"/>
      <c r="J312" s="236"/>
      <c r="AQ312" s="345"/>
      <c r="AR312" s="345"/>
      <c r="AS312" s="345"/>
      <c r="AT312" s="345"/>
      <c r="AU312" s="345"/>
    </row>
    <row r="313" spans="1:80">
      <c r="A313" s="92" t="s">
        <v>920</v>
      </c>
      <c r="E313" s="236">
        <v>525.45000000000005</v>
      </c>
      <c r="F313" s="236">
        <v>549.47</v>
      </c>
      <c r="G313" s="92">
        <v>552.95000000000005</v>
      </c>
      <c r="H313" s="92">
        <v>598.29999999999995</v>
      </c>
      <c r="I313" s="236">
        <v>606.45000000000005</v>
      </c>
      <c r="J313" s="236">
        <v>625.29</v>
      </c>
      <c r="K313" s="236">
        <v>639.12</v>
      </c>
      <c r="L313" s="92">
        <v>696</v>
      </c>
      <c r="M313" s="142">
        <v>709</v>
      </c>
      <c r="N313" s="345">
        <v>667.7</v>
      </c>
      <c r="O313" s="345">
        <v>663</v>
      </c>
      <c r="P313" s="345">
        <v>657</v>
      </c>
      <c r="Q313" s="92">
        <v>670</v>
      </c>
      <c r="R313" s="92">
        <v>656</v>
      </c>
      <c r="S313" s="142">
        <v>664</v>
      </c>
      <c r="T313" s="142">
        <v>642</v>
      </c>
      <c r="U313" s="142">
        <v>633</v>
      </c>
      <c r="V313" s="142">
        <v>604</v>
      </c>
      <c r="W313" s="142">
        <v>653</v>
      </c>
      <c r="X313" s="142">
        <v>657</v>
      </c>
      <c r="Y313" s="142">
        <v>694</v>
      </c>
      <c r="Z313" s="556">
        <v>667.58921875000021</v>
      </c>
      <c r="AA313" s="556">
        <v>683.48907692307728</v>
      </c>
      <c r="AB313" s="556">
        <v>728</v>
      </c>
      <c r="AC313" s="556">
        <v>770</v>
      </c>
      <c r="AD313" s="345">
        <v>855</v>
      </c>
      <c r="AE313" s="345">
        <v>826</v>
      </c>
      <c r="AF313" s="345">
        <v>777</v>
      </c>
      <c r="AG313" s="345">
        <v>712</v>
      </c>
      <c r="AH313" s="556">
        <v>719</v>
      </c>
      <c r="AI313" s="556">
        <v>733</v>
      </c>
      <c r="AJ313" s="556">
        <v>810</v>
      </c>
      <c r="AK313" s="556">
        <v>852</v>
      </c>
      <c r="AL313" s="556">
        <v>786</v>
      </c>
      <c r="AM313" s="556">
        <v>918</v>
      </c>
      <c r="AN313" s="556">
        <v>969</v>
      </c>
      <c r="AO313" s="556"/>
      <c r="AP313" s="641">
        <f>AQ314</f>
        <v>916.75</v>
      </c>
      <c r="AQ313" s="641">
        <f>AQ314</f>
        <v>916.75</v>
      </c>
      <c r="AR313" s="641">
        <f t="shared" ref="AR313:AU314" si="124">AQ313</f>
        <v>916.75</v>
      </c>
      <c r="AS313" s="641">
        <f t="shared" si="124"/>
        <v>916.75</v>
      </c>
      <c r="AT313" s="641">
        <f t="shared" si="124"/>
        <v>916.75</v>
      </c>
      <c r="AU313" s="641">
        <f t="shared" si="124"/>
        <v>916.75</v>
      </c>
      <c r="AV313" s="641"/>
      <c r="AW313" s="641"/>
      <c r="AX313" s="641"/>
      <c r="AY313" s="641"/>
      <c r="AZ313" s="641"/>
      <c r="BA313" s="641"/>
      <c r="BB313" s="641"/>
      <c r="BC313" s="641"/>
      <c r="BD313" s="641"/>
      <c r="BE313" s="641"/>
      <c r="BF313" s="641"/>
      <c r="BG313" s="641"/>
      <c r="BH313" s="641"/>
      <c r="BI313" s="641"/>
      <c r="BJ313" s="641"/>
      <c r="BK313" s="641"/>
      <c r="BL313" s="641"/>
      <c r="BM313" s="556"/>
    </row>
    <row r="314" spans="1:80">
      <c r="A314" s="92" t="s">
        <v>921</v>
      </c>
      <c r="B314" s="236">
        <v>472.43984375000002</v>
      </c>
      <c r="C314" s="236">
        <v>484.76830769230759</v>
      </c>
      <c r="D314" s="236">
        <v>507.00257575757587</v>
      </c>
      <c r="E314" s="236">
        <v>516.81439393939388</v>
      </c>
      <c r="F314" s="236">
        <v>551.55453124999997</v>
      </c>
      <c r="G314" s="236">
        <v>554.76092307692306</v>
      </c>
      <c r="H314" s="236">
        <v>577.55166666666639</v>
      </c>
      <c r="I314" s="236">
        <v>598.40787878787876</v>
      </c>
      <c r="J314" s="236">
        <v>624.50937499999998</v>
      </c>
      <c r="K314" s="236">
        <v>618.1</v>
      </c>
      <c r="L314" s="92">
        <v>677</v>
      </c>
      <c r="M314" s="556">
        <v>698</v>
      </c>
      <c r="N314" s="92">
        <v>701</v>
      </c>
      <c r="O314" s="92">
        <v>677</v>
      </c>
      <c r="P314" s="92">
        <v>662</v>
      </c>
      <c r="Q314" s="92">
        <v>665</v>
      </c>
      <c r="R314" s="92">
        <v>660</v>
      </c>
      <c r="S314" s="556">
        <v>664</v>
      </c>
      <c r="T314" s="556">
        <v>642</v>
      </c>
      <c r="U314" s="556">
        <v>633</v>
      </c>
      <c r="V314" s="556">
        <v>602.16723076923074</v>
      </c>
      <c r="W314" s="556">
        <v>622</v>
      </c>
      <c r="X314" s="556">
        <v>663</v>
      </c>
      <c r="Y314" s="556">
        <v>681</v>
      </c>
      <c r="Z314" s="556">
        <v>667.58921875000021</v>
      </c>
      <c r="AA314" s="556">
        <v>683.48907692307728</v>
      </c>
      <c r="AB314" s="556">
        <v>706</v>
      </c>
      <c r="AC314" s="556">
        <v>755</v>
      </c>
      <c r="AD314" s="556">
        <v>804.15</v>
      </c>
      <c r="AE314" s="556">
        <v>823</v>
      </c>
      <c r="AF314" s="556">
        <v>790</v>
      </c>
      <c r="AG314" s="345">
        <v>759.74348484848485</v>
      </c>
      <c r="AH314" s="556">
        <v>724.17593749999992</v>
      </c>
      <c r="AI314" s="556">
        <v>716.36461538461538</v>
      </c>
      <c r="AJ314" s="556">
        <v>773.63636363636351</v>
      </c>
      <c r="AK314" s="556">
        <v>827</v>
      </c>
      <c r="AL314" s="556">
        <v>808.16859375000013</v>
      </c>
      <c r="AM314" s="556">
        <v>844.68753846153857</v>
      </c>
      <c r="AN314" s="556">
        <v>926</v>
      </c>
      <c r="AO314" s="556">
        <v>913</v>
      </c>
      <c r="AP314" s="641">
        <v>924.9857575757577</v>
      </c>
      <c r="AQ314" s="641">
        <v>916.75</v>
      </c>
      <c r="AR314" s="641">
        <f t="shared" si="124"/>
        <v>916.75</v>
      </c>
      <c r="AS314" s="641">
        <f t="shared" si="124"/>
        <v>916.75</v>
      </c>
      <c r="AT314" s="641">
        <f t="shared" si="124"/>
        <v>916.75</v>
      </c>
      <c r="AU314" s="641">
        <f t="shared" si="124"/>
        <v>916.75</v>
      </c>
      <c r="AV314" s="641"/>
      <c r="AW314" s="641"/>
      <c r="AX314" s="641"/>
      <c r="AY314" s="641"/>
      <c r="AZ314" s="641"/>
      <c r="BA314" s="641"/>
      <c r="BB314" s="641"/>
      <c r="BC314" s="641"/>
      <c r="BD314" s="641"/>
      <c r="BE314" s="641"/>
      <c r="BF314" s="641"/>
      <c r="BG314" s="641"/>
      <c r="BH314" s="641"/>
      <c r="BI314" s="641"/>
      <c r="BJ314" s="641"/>
      <c r="BK314" s="641"/>
      <c r="BL314" s="641"/>
      <c r="BM314" s="556"/>
      <c r="BP314" s="124">
        <f>F314/B314-1</f>
        <v>0.16745981217846828</v>
      </c>
      <c r="BQ314" s="124">
        <f>G314/C314-1</f>
        <v>0.14438364528780467</v>
      </c>
      <c r="BR314" s="124">
        <f>H314/D314-1</f>
        <v>0.13914937375549674</v>
      </c>
      <c r="BS314" s="124">
        <f>I314/E314-1</f>
        <v>0.1578777329062806</v>
      </c>
      <c r="BT314" s="124">
        <f>J314/F314-1</f>
        <v>0.13227131610116749</v>
      </c>
    </row>
    <row r="315" spans="1:80">
      <c r="B315" s="236"/>
      <c r="C315" s="236"/>
      <c r="D315" s="236"/>
      <c r="E315" s="236"/>
      <c r="F315" s="236"/>
      <c r="G315" s="236"/>
      <c r="H315" s="236"/>
      <c r="I315" s="236"/>
      <c r="J315" s="236"/>
      <c r="K315" s="236"/>
      <c r="AP315" s="345"/>
      <c r="AQ315" s="345"/>
      <c r="AR315" s="345"/>
      <c r="AS315" s="345"/>
      <c r="AT315" s="345"/>
      <c r="AU315" s="345"/>
      <c r="BP315" s="124"/>
      <c r="BQ315" s="124"/>
      <c r="BR315" s="124"/>
      <c r="BS315" s="124"/>
      <c r="BT315" s="124"/>
    </row>
    <row r="316" spans="1:80">
      <c r="A316" s="92" t="s">
        <v>922</v>
      </c>
      <c r="B316" s="345">
        <f>B266*1000/B$314</f>
        <v>250.40538296046287</v>
      </c>
      <c r="C316" s="345">
        <f t="shared" ref="C316:J316" si="125">C266*1000/C314</f>
        <v>253.06056533271726</v>
      </c>
      <c r="D316" s="345">
        <f t="shared" si="125"/>
        <v>244.72633065936844</v>
      </c>
      <c r="E316" s="345">
        <f t="shared" si="125"/>
        <v>243.80638286706881</v>
      </c>
      <c r="F316" s="345">
        <f t="shared" si="125"/>
        <v>225.53506852365291</v>
      </c>
      <c r="G316" s="345">
        <f t="shared" si="125"/>
        <v>229.8287328761995</v>
      </c>
      <c r="H316" s="345">
        <f t="shared" si="125"/>
        <v>223.70292989660385</v>
      </c>
      <c r="I316" s="345">
        <f t="shared" si="125"/>
        <v>219.4241012768224</v>
      </c>
      <c r="J316" s="345">
        <f t="shared" si="125"/>
        <v>208.64378537151669</v>
      </c>
      <c r="K316" s="345">
        <v>220.8</v>
      </c>
      <c r="L316" s="345">
        <v>204.3</v>
      </c>
      <c r="M316" s="345">
        <v>204.1</v>
      </c>
      <c r="N316" s="345">
        <v>200</v>
      </c>
      <c r="O316" s="345">
        <v>210.6</v>
      </c>
      <c r="P316" s="345">
        <v>221.3</v>
      </c>
      <c r="Q316" s="92">
        <v>227.6</v>
      </c>
      <c r="R316" s="345">
        <v>229.3</v>
      </c>
      <c r="S316" s="345">
        <v>231.1</v>
      </c>
      <c r="T316" s="345">
        <v>242.2</v>
      </c>
      <c r="U316" s="345">
        <v>250.3</v>
      </c>
      <c r="V316" s="345">
        <v>263.8</v>
      </c>
      <c r="W316" s="345">
        <v>260.2</v>
      </c>
      <c r="X316" s="345">
        <v>245.9</v>
      </c>
      <c r="Y316" s="376">
        <f>273.8-32.6</f>
        <v>241.20000000000002</v>
      </c>
      <c r="Z316" s="345">
        <f>276.5-33</f>
        <v>243.5</v>
      </c>
      <c r="AA316" s="345">
        <f>274.5-33</f>
        <v>241.5</v>
      </c>
      <c r="AB316" s="345">
        <f>268.4-33</f>
        <v>235.39999999999998</v>
      </c>
      <c r="AC316" s="345">
        <f>254.4-33</f>
        <v>221.4</v>
      </c>
      <c r="AD316" s="345">
        <f>AD266*1000/AD314</f>
        <v>206.05608406391843</v>
      </c>
      <c r="AE316" s="345">
        <f>AE266*1000/AE314</f>
        <v>192.83110571081409</v>
      </c>
      <c r="AF316" s="345">
        <f>AF266*1000/AF314</f>
        <v>199.49367088607596</v>
      </c>
      <c r="AG316" s="345">
        <f>AG266/AG314*1000</f>
        <v>207.7016824059636</v>
      </c>
      <c r="AH316" s="345">
        <v>210.3</v>
      </c>
      <c r="AI316" s="345">
        <v>209.3</v>
      </c>
      <c r="AJ316" s="345">
        <v>193.1</v>
      </c>
      <c r="AK316" s="345">
        <f>'New quarts'!AK18</f>
        <v>174.8</v>
      </c>
      <c r="AL316" s="345">
        <v>170.8</v>
      </c>
      <c r="AM316" s="345">
        <v>150</v>
      </c>
      <c r="AN316" s="345">
        <v>129.80000000000001</v>
      </c>
      <c r="AO316" s="345">
        <f>AO266*1000/AO314</f>
        <v>0</v>
      </c>
      <c r="AP316" s="345">
        <f t="shared" ref="AP316:AU316" si="126">AP266/AP314*1000</f>
        <v>0</v>
      </c>
      <c r="AQ316" s="345">
        <f t="shared" si="126"/>
        <v>0</v>
      </c>
      <c r="AR316" s="345">
        <f t="shared" si="126"/>
        <v>0</v>
      </c>
      <c r="AS316" s="345">
        <f t="shared" si="126"/>
        <v>0</v>
      </c>
      <c r="AT316" s="345">
        <f t="shared" si="126"/>
        <v>-0.39573138365346722</v>
      </c>
      <c r="AU316" s="345">
        <f t="shared" si="126"/>
        <v>0</v>
      </c>
      <c r="AV316" s="345"/>
      <c r="AW316" s="345"/>
      <c r="AX316" s="345"/>
      <c r="AY316" s="345"/>
      <c r="AZ316" s="345"/>
      <c r="BA316" s="345"/>
      <c r="BB316" s="345"/>
      <c r="BC316" s="345"/>
      <c r="BD316" s="345"/>
      <c r="BE316" s="345"/>
      <c r="BF316" s="345"/>
      <c r="BG316" s="345"/>
      <c r="BH316" s="345"/>
      <c r="BI316" s="345"/>
      <c r="BJ316" s="345"/>
      <c r="BK316" s="345"/>
      <c r="BL316" s="345"/>
      <c r="BM316" s="345"/>
      <c r="BU316" s="124"/>
      <c r="BV316" s="124"/>
      <c r="BW316" s="124"/>
      <c r="BX316" s="124"/>
      <c r="BY316" s="124"/>
      <c r="BZ316" s="124"/>
      <c r="CA316" s="124"/>
      <c r="CB316" s="124"/>
    </row>
    <row r="317" spans="1:80">
      <c r="A317" s="92" t="s">
        <v>923</v>
      </c>
      <c r="B317" s="236">
        <f t="shared" ref="B317:J317" si="127">B272*1000/B$314</f>
        <v>85.30186548221252</v>
      </c>
      <c r="C317" s="236">
        <f t="shared" si="127"/>
        <v>86.845611257907848</v>
      </c>
      <c r="D317" s="236">
        <f t="shared" si="127"/>
        <v>84.41771708170748</v>
      </c>
      <c r="E317" s="236">
        <f t="shared" si="127"/>
        <v>97.142387264638415</v>
      </c>
      <c r="F317" s="236">
        <f t="shared" si="127"/>
        <v>82.856721159427522</v>
      </c>
      <c r="G317" s="236">
        <f t="shared" si="127"/>
        <v>85.62246911074098</v>
      </c>
      <c r="H317" s="236">
        <f t="shared" si="127"/>
        <v>86.745485973837873</v>
      </c>
      <c r="I317" s="236">
        <f t="shared" si="127"/>
        <v>92.913215167925358</v>
      </c>
      <c r="J317" s="236">
        <f t="shared" si="127"/>
        <v>75.89958117121941</v>
      </c>
      <c r="K317" s="92">
        <v>87.6</v>
      </c>
      <c r="L317" s="92">
        <v>82.5</v>
      </c>
      <c r="M317" s="236">
        <v>82</v>
      </c>
      <c r="N317" s="92">
        <v>76.3</v>
      </c>
      <c r="O317" s="92">
        <v>81.8</v>
      </c>
      <c r="P317" s="92">
        <v>86.9</v>
      </c>
      <c r="Q317" s="92">
        <v>94.3</v>
      </c>
      <c r="R317" s="236">
        <v>91.6</v>
      </c>
      <c r="S317" s="236">
        <v>92.3</v>
      </c>
      <c r="T317" s="236">
        <v>98</v>
      </c>
      <c r="U317" s="236">
        <v>101.4</v>
      </c>
      <c r="V317" s="236">
        <v>105</v>
      </c>
      <c r="W317" s="236">
        <v>105.1</v>
      </c>
      <c r="X317" s="236">
        <v>100.1</v>
      </c>
      <c r="Y317" s="749">
        <f>110.9-10</f>
        <v>100.9</v>
      </c>
      <c r="Z317" s="236">
        <f>106.9-12</f>
        <v>94.9</v>
      </c>
      <c r="AA317" s="236">
        <f>112.3-12</f>
        <v>100.3</v>
      </c>
      <c r="AB317" s="236">
        <f>108.5-13</f>
        <v>95.5</v>
      </c>
      <c r="AC317" s="236">
        <f>105.9-'New quarts'!AA233</f>
        <v>95.5</v>
      </c>
      <c r="AD317" s="236">
        <f>AD272*1000/AD314</f>
        <v>79.711496611328727</v>
      </c>
      <c r="AE317" s="236">
        <f>AE272*1000/AE314</f>
        <v>73.147023086269741</v>
      </c>
      <c r="AF317" s="236">
        <f>AF272*1000/AF314</f>
        <v>78.101265822784811</v>
      </c>
      <c r="AG317" s="236">
        <f>AG272/AG314*1000</f>
        <v>74.630452423435571</v>
      </c>
      <c r="AH317" s="236">
        <v>70.5</v>
      </c>
      <c r="AI317" s="236">
        <v>68.7</v>
      </c>
      <c r="AJ317" s="236">
        <v>65.099999999999994</v>
      </c>
      <c r="AK317" s="236">
        <f>'New quarts'!AK239</f>
        <v>55.3</v>
      </c>
      <c r="AL317" s="236">
        <v>46.5</v>
      </c>
      <c r="AM317" s="236">
        <v>37.9</v>
      </c>
      <c r="AN317" s="236">
        <v>31.2</v>
      </c>
      <c r="AO317" s="236">
        <f>AO272*1000/AO314</f>
        <v>0</v>
      </c>
      <c r="AP317" s="236">
        <f t="shared" ref="AP317:AU317" si="128">AP272/AP314*1000</f>
        <v>0</v>
      </c>
      <c r="AQ317" s="236">
        <f t="shared" si="128"/>
        <v>0</v>
      </c>
      <c r="AR317" s="236">
        <f t="shared" si="128"/>
        <v>0</v>
      </c>
      <c r="AS317" s="236">
        <f t="shared" si="128"/>
        <v>0</v>
      </c>
      <c r="AT317" s="236">
        <f t="shared" si="128"/>
        <v>0</v>
      </c>
      <c r="AU317" s="236">
        <f t="shared" si="128"/>
        <v>0</v>
      </c>
      <c r="AV317" s="236"/>
      <c r="AW317" s="236"/>
      <c r="AX317" s="236"/>
      <c r="AY317" s="236"/>
      <c r="AZ317" s="236"/>
      <c r="BA317" s="236"/>
      <c r="BB317" s="236"/>
      <c r="BC317" s="236"/>
      <c r="BD317" s="236"/>
      <c r="BE317" s="236"/>
      <c r="BF317" s="236"/>
      <c r="BG317" s="236"/>
      <c r="BH317" s="236"/>
      <c r="BI317" s="236"/>
      <c r="BJ317" s="236"/>
      <c r="BK317" s="236"/>
      <c r="BL317" s="236"/>
      <c r="BM317" s="236"/>
    </row>
    <row r="318" spans="1:80">
      <c r="A318" s="92" t="s">
        <v>924</v>
      </c>
      <c r="B318" s="236"/>
      <c r="C318" s="236"/>
      <c r="D318" s="236"/>
      <c r="E318" s="236"/>
      <c r="F318" s="236">
        <f>F294*1000/F$314</f>
        <v>54.210414938006195</v>
      </c>
      <c r="J318" s="236">
        <f>J294*1000/J$314</f>
        <v>37.789664886936244</v>
      </c>
    </row>
    <row r="320" spans="1:80">
      <c r="A320" s="303" t="s">
        <v>925</v>
      </c>
    </row>
    <row r="321" spans="1:80">
      <c r="R321" s="236"/>
      <c r="S321" s="236"/>
      <c r="T321" s="236"/>
      <c r="U321" s="236"/>
      <c r="V321" s="236"/>
      <c r="W321" s="236"/>
      <c r="X321" s="236"/>
      <c r="Y321" s="236"/>
      <c r="Z321" s="236"/>
      <c r="AA321" s="236"/>
      <c r="AB321" s="236"/>
      <c r="AC321" s="236"/>
      <c r="AD321" s="236"/>
      <c r="AE321" s="236"/>
      <c r="AF321" s="236"/>
      <c r="AG321" s="236"/>
      <c r="AH321" s="236"/>
      <c r="AI321" s="236"/>
      <c r="AJ321" s="236"/>
      <c r="AK321" s="236"/>
      <c r="AL321" s="236"/>
      <c r="AM321" s="236"/>
      <c r="AN321" s="236"/>
      <c r="AO321" s="236"/>
    </row>
    <row r="322" spans="1:80">
      <c r="A322" s="175" t="s">
        <v>926</v>
      </c>
      <c r="B322" s="336" t="str">
        <f t="shared" ref="B322:Y322" si="129">B165</f>
        <v>Q1 13</v>
      </c>
      <c r="C322" s="336" t="str">
        <f t="shared" si="129"/>
        <v>Q2 13</v>
      </c>
      <c r="D322" s="336" t="str">
        <f t="shared" si="129"/>
        <v>Q3 13</v>
      </c>
      <c r="E322" s="336" t="str">
        <f t="shared" si="129"/>
        <v>Q4 13</v>
      </c>
      <c r="F322" s="336" t="str">
        <f t="shared" si="129"/>
        <v>Q1 14</v>
      </c>
      <c r="G322" s="336" t="str">
        <f t="shared" si="129"/>
        <v>Q2 14</v>
      </c>
      <c r="H322" s="336" t="str">
        <f t="shared" si="129"/>
        <v>Q3 14</v>
      </c>
      <c r="I322" s="336" t="str">
        <f t="shared" si="129"/>
        <v>Q4 14</v>
      </c>
      <c r="J322" s="336" t="str">
        <f t="shared" si="129"/>
        <v>Q1 15</v>
      </c>
      <c r="K322" s="336" t="str">
        <f t="shared" si="129"/>
        <v>Q2 15</v>
      </c>
      <c r="L322" s="336" t="str">
        <f t="shared" si="129"/>
        <v>Q3 15</v>
      </c>
      <c r="M322" s="336" t="str">
        <f t="shared" si="129"/>
        <v>Q4 15</v>
      </c>
      <c r="N322" s="336" t="str">
        <f t="shared" si="129"/>
        <v>Q1 16</v>
      </c>
      <c r="O322" s="336" t="str">
        <f t="shared" si="129"/>
        <v>Q2 16</v>
      </c>
      <c r="P322" s="336" t="str">
        <f t="shared" si="129"/>
        <v>Q3 16</v>
      </c>
      <c r="Q322" s="336" t="str">
        <f t="shared" si="129"/>
        <v>Q4 16</v>
      </c>
      <c r="R322" s="336" t="str">
        <f t="shared" si="129"/>
        <v>Q1 17</v>
      </c>
      <c r="S322" s="336" t="str">
        <f t="shared" si="129"/>
        <v>Q2 17</v>
      </c>
      <c r="T322" s="336" t="str">
        <f t="shared" si="129"/>
        <v>Q3 17</v>
      </c>
      <c r="U322" s="336" t="str">
        <f t="shared" si="129"/>
        <v>Q4 17</v>
      </c>
      <c r="V322" s="336" t="str">
        <f t="shared" si="129"/>
        <v>Q1 18</v>
      </c>
      <c r="W322" s="336" t="str">
        <f t="shared" si="129"/>
        <v>Q2 18</v>
      </c>
      <c r="X322" s="336" t="str">
        <f t="shared" si="129"/>
        <v>Q3 18</v>
      </c>
      <c r="Y322" s="336" t="str">
        <f t="shared" si="129"/>
        <v>Q4 18</v>
      </c>
      <c r="Z322" s="336" t="str">
        <f t="shared" ref="Z322:AE322" si="130">Z223</f>
        <v>Q1 19</v>
      </c>
      <c r="AA322" s="336" t="str">
        <f t="shared" si="130"/>
        <v>Q2 19</v>
      </c>
      <c r="AB322" s="336" t="str">
        <f t="shared" si="130"/>
        <v>Q3 19</v>
      </c>
      <c r="AC322" s="336" t="str">
        <f t="shared" si="130"/>
        <v>Q4 19</v>
      </c>
      <c r="AD322" s="336" t="str">
        <f t="shared" si="130"/>
        <v>Q1 20</v>
      </c>
      <c r="AE322" s="336" t="str">
        <f t="shared" si="130"/>
        <v>Q2 20</v>
      </c>
      <c r="AF322" s="336" t="s">
        <v>5188</v>
      </c>
      <c r="AG322" s="336" t="s">
        <v>5371</v>
      </c>
      <c r="AH322" s="336" t="s">
        <v>5556</v>
      </c>
      <c r="AI322" s="336" t="s">
        <v>5696</v>
      </c>
      <c r="AJ322" s="336" t="s">
        <v>5878</v>
      </c>
      <c r="AK322" s="336" t="s">
        <v>5920</v>
      </c>
      <c r="AL322" s="336" t="s">
        <v>5949</v>
      </c>
      <c r="AM322" s="336" t="s">
        <v>5950</v>
      </c>
      <c r="AN322" s="336" t="s">
        <v>5951</v>
      </c>
      <c r="AO322" s="336" t="s">
        <v>5952</v>
      </c>
      <c r="AP322" s="336" t="s">
        <v>6525</v>
      </c>
      <c r="AQ322" s="336" t="s">
        <v>6526</v>
      </c>
      <c r="AR322" s="336" t="s">
        <v>6527</v>
      </c>
      <c r="AS322" s="336" t="s">
        <v>6528</v>
      </c>
      <c r="AT322" s="336" t="s">
        <v>7121</v>
      </c>
      <c r="AU322" s="336" t="s">
        <v>7451</v>
      </c>
      <c r="AV322" s="336" t="s">
        <v>7800</v>
      </c>
      <c r="AW322" s="356"/>
      <c r="AX322" s="356"/>
      <c r="AY322" s="356"/>
      <c r="AZ322" s="356"/>
      <c r="BA322" s="356"/>
      <c r="BB322" s="356"/>
      <c r="BC322" s="356"/>
      <c r="BD322" s="356"/>
      <c r="BE322" s="356"/>
      <c r="BF322" s="356"/>
      <c r="BG322" s="356"/>
      <c r="BH322" s="356"/>
      <c r="BI322" s="356"/>
      <c r="BJ322" s="356"/>
      <c r="BK322" s="356"/>
      <c r="BL322" s="356"/>
      <c r="BM322" s="356"/>
      <c r="BP322" s="356" t="str">
        <f t="shared" ref="BP322:BU322" si="131">F322</f>
        <v>Q1 14</v>
      </c>
      <c r="BQ322" s="356" t="str">
        <f t="shared" si="131"/>
        <v>Q2 14</v>
      </c>
      <c r="BR322" s="356" t="str">
        <f t="shared" si="131"/>
        <v>Q3 14</v>
      </c>
      <c r="BS322" s="356" t="str">
        <f t="shared" si="131"/>
        <v>Q4 14</v>
      </c>
      <c r="BT322" s="356" t="str">
        <f t="shared" si="131"/>
        <v>Q1 15</v>
      </c>
      <c r="BU322" s="356" t="str">
        <f t="shared" si="131"/>
        <v>Q2 15</v>
      </c>
      <c r="BV322" s="356"/>
      <c r="BW322" s="356"/>
      <c r="BX322" s="356"/>
      <c r="BY322" s="356"/>
      <c r="BZ322" s="356"/>
      <c r="CA322" s="356"/>
      <c r="CB322" s="356"/>
    </row>
    <row r="323" spans="1:80">
      <c r="A323" s="92" t="s">
        <v>1836</v>
      </c>
      <c r="B323" s="356"/>
      <c r="C323" s="356"/>
      <c r="D323" s="356"/>
      <c r="E323" s="356"/>
      <c r="F323" s="356"/>
      <c r="G323" s="356"/>
      <c r="H323" s="356"/>
      <c r="I323" s="356"/>
      <c r="J323" s="356"/>
      <c r="K323" s="356"/>
      <c r="L323" s="356"/>
      <c r="M323" s="356"/>
      <c r="N323" s="356"/>
      <c r="O323" s="356"/>
      <c r="P323" s="356"/>
      <c r="Q323" s="356"/>
      <c r="R323" s="356"/>
      <c r="S323" s="356"/>
      <c r="T323" s="356"/>
      <c r="U323" s="356"/>
      <c r="V323" s="356"/>
      <c r="W323" s="356"/>
      <c r="X323" s="356"/>
      <c r="Y323" s="356"/>
      <c r="Z323" s="356"/>
      <c r="AA323" s="356"/>
      <c r="AB323" s="356"/>
      <c r="AC323" s="356"/>
      <c r="AD323" s="356"/>
      <c r="AE323" s="356"/>
      <c r="AF323" s="356"/>
      <c r="AG323" s="356"/>
      <c r="AH323" s="356"/>
      <c r="AI323" s="356"/>
      <c r="AJ323" s="356"/>
      <c r="AK323" s="356"/>
      <c r="AL323" s="356"/>
      <c r="AM323" s="356"/>
      <c r="AN323" s="356"/>
      <c r="AO323" s="356"/>
      <c r="AP323" s="356"/>
      <c r="AQ323" s="356"/>
      <c r="AR323" s="356"/>
      <c r="AS323" s="356"/>
      <c r="AT323" s="356"/>
      <c r="AU323" s="356"/>
      <c r="AV323" s="356"/>
      <c r="AW323" s="356"/>
      <c r="AX323" s="356"/>
      <c r="AY323" s="356"/>
      <c r="AZ323" s="356"/>
      <c r="BA323" s="356"/>
      <c r="BB323" s="356"/>
      <c r="BC323" s="356"/>
      <c r="BD323" s="356"/>
      <c r="BE323" s="356"/>
      <c r="BF323" s="356"/>
      <c r="BG323" s="356"/>
      <c r="BH323" s="356"/>
      <c r="BI323" s="356"/>
      <c r="BJ323" s="356"/>
      <c r="BK323" s="356"/>
      <c r="BL323" s="356"/>
      <c r="BM323" s="356"/>
      <c r="BP323" s="356"/>
      <c r="BQ323" s="356"/>
      <c r="BR323" s="356"/>
      <c r="BS323" s="356"/>
      <c r="BT323" s="356"/>
      <c r="BU323" s="356"/>
      <c r="BV323" s="356"/>
      <c r="BW323" s="356"/>
      <c r="BX323" s="356"/>
      <c r="BY323" s="356"/>
      <c r="BZ323" s="356"/>
      <c r="CA323" s="356"/>
      <c r="CB323" s="356"/>
    </row>
    <row r="324" spans="1:80">
      <c r="A324" s="92" t="str">
        <f>PR!A4</f>
        <v>Homes passed</v>
      </c>
      <c r="B324" s="936">
        <f>PR!BV4</f>
        <v>703</v>
      </c>
      <c r="C324" s="936">
        <f>PR!BW4</f>
        <v>704.2</v>
      </c>
      <c r="D324" s="936">
        <f>PR!BX4</f>
        <v>704.3</v>
      </c>
      <c r="E324" s="936">
        <f>PR!BY4</f>
        <v>704.6</v>
      </c>
      <c r="F324" s="936">
        <f>PR!BZ4</f>
        <v>704.7</v>
      </c>
      <c r="G324" s="936">
        <f>PR!CA4</f>
        <v>704.8</v>
      </c>
      <c r="H324" s="936">
        <f>PR!CB4</f>
        <v>705.6</v>
      </c>
      <c r="I324" s="936">
        <f>PR!CC4</f>
        <v>706.5</v>
      </c>
      <c r="J324" s="936">
        <f>PR!CD4</f>
        <v>706.9</v>
      </c>
      <c r="K324" s="345">
        <v>1065.2</v>
      </c>
      <c r="L324" s="345">
        <v>1068.2</v>
      </c>
      <c r="M324" s="345">
        <v>1070.7</v>
      </c>
      <c r="N324" s="345">
        <v>1072.5</v>
      </c>
      <c r="O324" s="345">
        <v>1078.5999999999999</v>
      </c>
      <c r="P324" s="345">
        <v>1085.8</v>
      </c>
      <c r="Q324" s="345">
        <v>1092.3</v>
      </c>
      <c r="R324" s="345">
        <v>1095</v>
      </c>
      <c r="S324" s="345">
        <v>1103.5999999999999</v>
      </c>
      <c r="T324" s="345">
        <v>1106.9000000000001</v>
      </c>
      <c r="U324" s="345">
        <v>1076.9000000000001</v>
      </c>
      <c r="V324" s="345">
        <v>1076.9000000000001</v>
      </c>
      <c r="W324" s="345">
        <v>1076.9000000000001</v>
      </c>
      <c r="X324" s="345">
        <v>1076.9000000000001</v>
      </c>
      <c r="Y324" s="345">
        <v>1088.4000000000001</v>
      </c>
      <c r="Z324" s="345">
        <v>1093.8</v>
      </c>
      <c r="AA324" s="345">
        <v>1098.9000000000001</v>
      </c>
      <c r="AB324" s="345">
        <v>1102.4000000000001</v>
      </c>
      <c r="AC324" s="345">
        <v>1111</v>
      </c>
      <c r="AD324" s="345">
        <v>1118.4000000000001</v>
      </c>
      <c r="AE324" s="345">
        <v>1124.5999999999999</v>
      </c>
      <c r="AF324" s="345">
        <v>1129.8</v>
      </c>
      <c r="AG324" s="345">
        <v>1137.7</v>
      </c>
      <c r="AH324" s="345">
        <v>1140</v>
      </c>
      <c r="AI324" s="345">
        <v>1146.4000000000001</v>
      </c>
      <c r="AJ324" s="345">
        <v>1150.8</v>
      </c>
      <c r="AK324" s="345">
        <v>1160.2</v>
      </c>
      <c r="AL324" s="345">
        <v>1163.4000000000001</v>
      </c>
      <c r="AM324" s="345">
        <v>1166.5</v>
      </c>
      <c r="AN324" s="345">
        <v>1169.5</v>
      </c>
      <c r="AO324" s="345">
        <v>1173.5999999999999</v>
      </c>
      <c r="AP324" s="345">
        <v>1175.2</v>
      </c>
      <c r="AQ324" s="345">
        <v>1176</v>
      </c>
      <c r="AR324" s="345">
        <v>1177.7</v>
      </c>
      <c r="AS324" s="345">
        <v>1178.7</v>
      </c>
      <c r="AT324" s="345">
        <v>1179.7</v>
      </c>
      <c r="AU324" s="345">
        <v>1181.0999999999999</v>
      </c>
      <c r="AV324" s="236">
        <v>1184.5</v>
      </c>
      <c r="AW324" s="236"/>
      <c r="AX324" s="236"/>
      <c r="AY324" s="236"/>
      <c r="AZ324" s="236"/>
      <c r="BA324" s="236"/>
      <c r="BB324" s="236"/>
      <c r="BC324" s="236"/>
      <c r="BD324" s="236"/>
      <c r="BE324" s="236"/>
      <c r="BF324" s="236"/>
      <c r="BG324" s="236"/>
      <c r="BH324" s="236"/>
      <c r="BI324" s="236"/>
      <c r="BJ324" s="236"/>
      <c r="BK324" s="236"/>
      <c r="BL324" s="236"/>
      <c r="BO324" s="356"/>
      <c r="BP324" s="356"/>
      <c r="BQ324" s="356"/>
    </row>
    <row r="325" spans="1:80">
      <c r="A325" s="92" t="s">
        <v>5497</v>
      </c>
      <c r="B325" s="936"/>
      <c r="C325" s="936"/>
      <c r="D325" s="936"/>
      <c r="E325" s="936"/>
      <c r="F325" s="936"/>
      <c r="G325" s="936"/>
      <c r="H325" s="936"/>
      <c r="I325" s="936"/>
      <c r="J325" s="936"/>
      <c r="K325" s="345"/>
      <c r="L325" s="345"/>
      <c r="M325" s="345"/>
      <c r="N325" s="345"/>
      <c r="O325" s="345"/>
      <c r="P325" s="345"/>
      <c r="Q325" s="345"/>
      <c r="R325" s="345"/>
      <c r="S325" s="345"/>
      <c r="T325" s="345"/>
      <c r="U325" s="345"/>
      <c r="V325" s="345"/>
      <c r="W325" s="345"/>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c r="AS325" s="345"/>
      <c r="AT325" s="345"/>
      <c r="AU325" s="345"/>
      <c r="AV325" s="236"/>
      <c r="AW325" s="236"/>
      <c r="AX325" s="236"/>
      <c r="AY325" s="236"/>
      <c r="AZ325" s="236"/>
      <c r="BA325" s="236"/>
      <c r="BB325" s="236"/>
      <c r="BC325" s="236"/>
      <c r="BD325" s="236"/>
      <c r="BE325" s="236"/>
      <c r="BF325" s="236"/>
      <c r="BG325" s="236"/>
      <c r="BH325" s="236"/>
      <c r="BI325" s="236"/>
      <c r="BJ325" s="236"/>
      <c r="BK325" s="236"/>
      <c r="BL325" s="236"/>
      <c r="BO325" s="356"/>
      <c r="BP325" s="356"/>
      <c r="BQ325" s="356"/>
    </row>
    <row r="326" spans="1:80">
      <c r="A326" s="92" t="str">
        <f>PR!A6</f>
        <v>Customers</v>
      </c>
      <c r="B326" s="936">
        <f>PR!BV6</f>
        <v>273.2</v>
      </c>
      <c r="C326" s="936">
        <f>PR!BW6</f>
        <v>272.10000000000002</v>
      </c>
      <c r="D326" s="936">
        <f>PR!BX6</f>
        <v>271</v>
      </c>
      <c r="E326" s="936">
        <f>PR!BY6</f>
        <v>272.8</v>
      </c>
      <c r="F326" s="936">
        <f>PR!BZ6</f>
        <v>275.3</v>
      </c>
      <c r="G326" s="936">
        <f>PR!CA6</f>
        <v>275.7</v>
      </c>
      <c r="H326" s="936">
        <f>PR!CB6</f>
        <v>278.8</v>
      </c>
      <c r="I326" s="936">
        <f>PR!CC6</f>
        <v>281.60000000000002</v>
      </c>
      <c r="J326" s="936">
        <f>PR!CD6</f>
        <v>283.2</v>
      </c>
      <c r="K326" s="345">
        <v>398.9</v>
      </c>
      <c r="L326" s="345">
        <v>399.5</v>
      </c>
      <c r="M326" s="345">
        <v>400.9</v>
      </c>
      <c r="N326" s="345">
        <v>400.1</v>
      </c>
      <c r="O326" s="345">
        <v>396.8</v>
      </c>
      <c r="P326" s="345">
        <v>397.9</v>
      </c>
      <c r="Q326" s="345">
        <v>403.7</v>
      </c>
      <c r="R326" s="345">
        <v>406.7</v>
      </c>
      <c r="S326" s="345">
        <v>405.9</v>
      </c>
      <c r="T326" s="345">
        <v>408.2</v>
      </c>
      <c r="U326" s="345">
        <v>377.7</v>
      </c>
      <c r="V326" s="345">
        <v>370.3</v>
      </c>
      <c r="W326" s="345">
        <v>362.1</v>
      </c>
      <c r="X326" s="345">
        <v>358.2</v>
      </c>
      <c r="Y326" s="345">
        <v>376.1</v>
      </c>
      <c r="Z326" s="345">
        <v>387.3</v>
      </c>
      <c r="AA326" s="345">
        <v>392</v>
      </c>
      <c r="AB326" s="345">
        <v>397.5</v>
      </c>
      <c r="AC326" s="345">
        <v>404.6</v>
      </c>
      <c r="AD326" s="345">
        <v>409.8</v>
      </c>
      <c r="AE326" s="345">
        <v>430.1</v>
      </c>
      <c r="AF326" s="345">
        <v>456.3</v>
      </c>
      <c r="AG326" s="345">
        <v>480.5</v>
      </c>
      <c r="AH326" s="345">
        <v>492.3</v>
      </c>
      <c r="AI326" s="345">
        <v>508.6</v>
      </c>
      <c r="AJ326" s="345">
        <v>516.6</v>
      </c>
      <c r="AK326" s="345">
        <v>520.5</v>
      </c>
      <c r="AL326" s="345">
        <v>534.9</v>
      </c>
      <c r="AM326" s="345">
        <v>545.1</v>
      </c>
      <c r="AN326" s="345">
        <v>554.20000000000005</v>
      </c>
      <c r="AO326" s="345">
        <v>551.1</v>
      </c>
      <c r="AP326" s="345">
        <v>568.20000000000005</v>
      </c>
      <c r="AQ326" s="345">
        <v>551.9</v>
      </c>
      <c r="AR326" s="345">
        <v>577.79999999999995</v>
      </c>
      <c r="AS326" s="345">
        <v>580.79999999999995</v>
      </c>
      <c r="AT326" s="345">
        <v>583.20000000000005</v>
      </c>
      <c r="AU326" s="345">
        <v>581.70000000000005</v>
      </c>
      <c r="AV326" s="345">
        <v>576.20000000000005</v>
      </c>
      <c r="AW326" s="345"/>
      <c r="AX326" s="345"/>
      <c r="AY326" s="345"/>
      <c r="AZ326" s="345"/>
      <c r="BA326" s="345"/>
      <c r="BB326" s="345"/>
      <c r="BC326" s="345"/>
      <c r="BD326" s="345"/>
      <c r="BE326" s="345"/>
      <c r="BF326" s="345"/>
      <c r="BG326" s="345"/>
      <c r="BH326" s="345"/>
      <c r="BI326" s="345"/>
      <c r="BJ326" s="345"/>
      <c r="BK326" s="345"/>
      <c r="BL326" s="345"/>
      <c r="BO326" s="356"/>
      <c r="BP326" s="356"/>
      <c r="BQ326" s="356"/>
    </row>
    <row r="327" spans="1:80">
      <c r="A327" s="92" t="s">
        <v>2478</v>
      </c>
      <c r="B327" s="124">
        <f t="shared" ref="B327:J327" si="132">B326/B324</f>
        <v>0.38862019914651491</v>
      </c>
      <c r="C327" s="124">
        <f t="shared" si="132"/>
        <v>0.38639591025276909</v>
      </c>
      <c r="D327" s="124">
        <f t="shared" si="132"/>
        <v>0.38477921340337928</v>
      </c>
      <c r="E327" s="124">
        <f t="shared" si="132"/>
        <v>0.38717002554640934</v>
      </c>
      <c r="F327" s="124">
        <f t="shared" si="132"/>
        <v>0.39066269334468567</v>
      </c>
      <c r="G327" s="124">
        <f t="shared" si="132"/>
        <v>0.39117480136208854</v>
      </c>
      <c r="H327" s="124">
        <f t="shared" si="132"/>
        <v>0.39512471655328796</v>
      </c>
      <c r="I327" s="124">
        <f t="shared" si="132"/>
        <v>0.39858457183297952</v>
      </c>
      <c r="J327" s="124">
        <f t="shared" si="132"/>
        <v>0.40062243598811714</v>
      </c>
      <c r="K327" s="124">
        <f t="shared" ref="K327:X327" si="133">K326/K324</f>
        <v>0.3744836650394292</v>
      </c>
      <c r="L327" s="124">
        <f t="shared" si="133"/>
        <v>0.37399363415090803</v>
      </c>
      <c r="M327" s="124">
        <f t="shared" si="133"/>
        <v>0.37442794433548143</v>
      </c>
      <c r="N327" s="124">
        <f t="shared" si="133"/>
        <v>0.37305361305361306</v>
      </c>
      <c r="O327" s="124">
        <f t="shared" si="133"/>
        <v>0.36788429445577603</v>
      </c>
      <c r="P327" s="124">
        <f t="shared" si="133"/>
        <v>0.36645791121753546</v>
      </c>
      <c r="Q327" s="124">
        <f t="shared" si="133"/>
        <v>0.36958710976837866</v>
      </c>
      <c r="R327" s="124">
        <f t="shared" si="133"/>
        <v>0.37141552511415526</v>
      </c>
      <c r="S327" s="124">
        <f t="shared" si="133"/>
        <v>0.36779630300833638</v>
      </c>
      <c r="T327" s="124">
        <f t="shared" si="133"/>
        <v>0.36877766735929168</v>
      </c>
      <c r="U327" s="124">
        <f t="shared" si="133"/>
        <v>0.35072894419166123</v>
      </c>
      <c r="V327" s="124">
        <f t="shared" si="133"/>
        <v>0.34385736837217939</v>
      </c>
      <c r="W327" s="124">
        <f t="shared" si="133"/>
        <v>0.33624291949113194</v>
      </c>
      <c r="X327" s="124">
        <f t="shared" si="133"/>
        <v>0.33262141331599959</v>
      </c>
      <c r="Y327" s="124">
        <f t="shared" ref="Y327:AV327" si="134">Y326/Y324</f>
        <v>0.34555310547592794</v>
      </c>
      <c r="Z327" s="124">
        <f t="shared" si="134"/>
        <v>0.35408667032364238</v>
      </c>
      <c r="AA327" s="124">
        <f t="shared" si="134"/>
        <v>0.35672035672035668</v>
      </c>
      <c r="AB327" s="124">
        <f t="shared" si="134"/>
        <v>0.36057692307692307</v>
      </c>
      <c r="AC327" s="124">
        <f t="shared" si="134"/>
        <v>0.36417641764176417</v>
      </c>
      <c r="AD327" s="124">
        <f t="shared" si="134"/>
        <v>0.36641630901287553</v>
      </c>
      <c r="AE327" s="124">
        <f t="shared" si="134"/>
        <v>0.38244709229948431</v>
      </c>
      <c r="AF327" s="124">
        <f t="shared" si="134"/>
        <v>0.4038767923526288</v>
      </c>
      <c r="AG327" s="124">
        <f t="shared" si="134"/>
        <v>0.42234332425068116</v>
      </c>
      <c r="AH327" s="124">
        <f t="shared" si="134"/>
        <v>0.43184210526315792</v>
      </c>
      <c r="AI327" s="124">
        <f t="shared" si="134"/>
        <v>0.4436496859734822</v>
      </c>
      <c r="AJ327" s="124">
        <f t="shared" si="134"/>
        <v>0.44890510948905116</v>
      </c>
      <c r="AK327" s="124">
        <f t="shared" si="134"/>
        <v>0.44862954662989141</v>
      </c>
      <c r="AL327" s="124">
        <f t="shared" si="134"/>
        <v>0.45977307890665287</v>
      </c>
      <c r="AM327" s="124">
        <f t="shared" si="134"/>
        <v>0.46729532790398631</v>
      </c>
      <c r="AN327" s="124">
        <f t="shared" si="134"/>
        <v>0.47387772552372814</v>
      </c>
      <c r="AO327" s="124">
        <f t="shared" si="134"/>
        <v>0.46958077709611457</v>
      </c>
      <c r="AP327" s="124">
        <f t="shared" si="134"/>
        <v>0.48349217154526891</v>
      </c>
      <c r="AQ327" s="124">
        <f t="shared" si="134"/>
        <v>0.46930272108843535</v>
      </c>
      <c r="AR327" s="124">
        <f t="shared" si="134"/>
        <v>0.49061730491636235</v>
      </c>
      <c r="AS327" s="124">
        <f t="shared" si="134"/>
        <v>0.4927462458640875</v>
      </c>
      <c r="AT327" s="124">
        <f t="shared" si="134"/>
        <v>0.49436297363736548</v>
      </c>
      <c r="AU327" s="124">
        <f t="shared" si="134"/>
        <v>0.49250698501397011</v>
      </c>
      <c r="AV327" s="124">
        <f t="shared" si="134"/>
        <v>0.48644997889404817</v>
      </c>
      <c r="AW327" s="345"/>
      <c r="AX327" s="345"/>
      <c r="AY327" s="345"/>
      <c r="AZ327" s="345"/>
      <c r="BA327" s="345"/>
      <c r="BB327" s="345"/>
      <c r="BC327" s="345"/>
      <c r="BD327" s="345"/>
      <c r="BE327" s="345"/>
      <c r="BF327" s="345"/>
      <c r="BG327" s="345"/>
      <c r="BH327" s="345"/>
      <c r="BI327" s="345"/>
      <c r="BJ327" s="345"/>
      <c r="BK327" s="345"/>
      <c r="BL327" s="345"/>
      <c r="BO327" s="356"/>
      <c r="BP327" s="356"/>
      <c r="BQ327" s="356"/>
    </row>
    <row r="328" spans="1:80">
      <c r="B328" s="936"/>
      <c r="C328" s="936"/>
      <c r="D328" s="936"/>
      <c r="E328" s="936"/>
      <c r="F328" s="936"/>
      <c r="G328" s="936"/>
      <c r="H328" s="936"/>
      <c r="I328" s="936"/>
      <c r="J328" s="936"/>
      <c r="K328" s="345"/>
      <c r="L328" s="345"/>
      <c r="M328" s="345"/>
      <c r="N328" s="345"/>
      <c r="O328" s="345"/>
      <c r="P328" s="345"/>
      <c r="Q328" s="345"/>
      <c r="R328" s="345"/>
      <c r="S328" s="345"/>
      <c r="T328" s="345"/>
      <c r="U328" s="345"/>
      <c r="V328" s="345"/>
      <c r="W328" s="345"/>
      <c r="X328" s="345"/>
      <c r="Y328" s="345"/>
      <c r="Z328" s="345"/>
      <c r="AA328" s="345"/>
      <c r="AB328" s="345"/>
      <c r="AC328" s="345"/>
      <c r="AD328" s="345"/>
      <c r="AE328" s="345"/>
      <c r="AF328" s="345"/>
      <c r="AG328" s="345"/>
      <c r="AH328" s="345"/>
      <c r="AI328" s="345"/>
      <c r="AJ328" s="345"/>
      <c r="AK328" s="345"/>
      <c r="AL328" s="345"/>
      <c r="AM328" s="345"/>
      <c r="AN328" s="345"/>
      <c r="AO328" s="345"/>
      <c r="AP328" s="236"/>
      <c r="AQ328" s="236"/>
      <c r="AR328" s="236"/>
      <c r="AS328" s="236"/>
      <c r="AT328" s="236"/>
      <c r="AU328" s="236"/>
      <c r="AV328" s="236"/>
      <c r="AW328" s="236"/>
      <c r="AX328" s="236"/>
      <c r="AY328" s="236"/>
      <c r="AZ328" s="236"/>
      <c r="BA328" s="236"/>
      <c r="BB328" s="236"/>
      <c r="BC328" s="236"/>
      <c r="BD328" s="236"/>
      <c r="BE328" s="236"/>
      <c r="BF328" s="236"/>
      <c r="BG328" s="236"/>
      <c r="BH328" s="236"/>
      <c r="BI328" s="236"/>
      <c r="BJ328" s="236"/>
      <c r="BK328" s="236"/>
      <c r="BL328" s="236"/>
      <c r="BO328" s="356"/>
      <c r="BP328" s="356"/>
      <c r="BQ328" s="356"/>
    </row>
    <row r="329" spans="1:80">
      <c r="A329" s="92" t="s">
        <v>389</v>
      </c>
      <c r="B329" s="936">
        <f>PR!BV10</f>
        <v>205.4</v>
      </c>
      <c r="C329" s="936">
        <f>PR!BW10</f>
        <v>206.8</v>
      </c>
      <c r="D329" s="936">
        <f>PR!BX10</f>
        <v>209</v>
      </c>
      <c r="E329" s="936">
        <f>PR!BY10</f>
        <v>210.5</v>
      </c>
      <c r="F329" s="936">
        <f>PR!BZ10</f>
        <v>214.2</v>
      </c>
      <c r="G329" s="936">
        <f>PR!CA10</f>
        <v>215.4</v>
      </c>
      <c r="H329" s="936">
        <f>PR!CB10</f>
        <v>217.9</v>
      </c>
      <c r="I329" s="936">
        <f>PR!CC10</f>
        <v>219.9</v>
      </c>
      <c r="J329" s="936">
        <f>PR!CD10</f>
        <v>220.4</v>
      </c>
      <c r="K329" s="345">
        <v>267.8</v>
      </c>
      <c r="L329" s="345">
        <v>265</v>
      </c>
      <c r="M329" s="345">
        <v>263.89999999999998</v>
      </c>
      <c r="N329" s="345">
        <v>263</v>
      </c>
      <c r="O329" s="345">
        <v>261.39999999999998</v>
      </c>
      <c r="P329" s="345">
        <v>260.60000000000002</v>
      </c>
      <c r="Q329" s="345">
        <v>261.3</v>
      </c>
      <c r="R329" s="345">
        <v>260.89999999999998</v>
      </c>
      <c r="S329" s="345">
        <v>258.7</v>
      </c>
      <c r="T329" s="345">
        <v>255</v>
      </c>
      <c r="U329" s="345">
        <v>232.1</v>
      </c>
      <c r="V329" s="345">
        <v>222.2</v>
      </c>
      <c r="W329" s="345">
        <v>214.5</v>
      </c>
      <c r="X329" s="345">
        <v>208.1</v>
      </c>
      <c r="Y329" s="345">
        <v>217.1</v>
      </c>
      <c r="Z329" s="345">
        <v>221.7</v>
      </c>
      <c r="AA329" s="345">
        <v>220</v>
      </c>
      <c r="AB329" s="345">
        <v>219</v>
      </c>
      <c r="AC329" s="345">
        <v>221.7</v>
      </c>
      <c r="AD329" s="345">
        <v>221.6</v>
      </c>
      <c r="AE329" s="345">
        <v>225.3</v>
      </c>
      <c r="AF329" s="345">
        <v>231.1</v>
      </c>
      <c r="AG329" s="345">
        <v>235.2</v>
      </c>
      <c r="AH329" s="345">
        <v>238.4</v>
      </c>
      <c r="AI329" s="345">
        <v>242.2</v>
      </c>
      <c r="AJ329" s="345">
        <v>243.9</v>
      </c>
      <c r="AK329" s="345">
        <v>245.7</v>
      </c>
      <c r="AL329" s="345">
        <v>247</v>
      </c>
      <c r="AM329" s="345">
        <v>247.3</v>
      </c>
      <c r="AN329" s="345">
        <v>247.5</v>
      </c>
      <c r="AO329" s="345">
        <v>242.8</v>
      </c>
      <c r="AP329" s="345">
        <v>242.7</v>
      </c>
      <c r="AQ329" s="345">
        <v>241.4</v>
      </c>
      <c r="AR329" s="345">
        <v>238.9</v>
      </c>
      <c r="AS329" s="345">
        <v>237.1</v>
      </c>
      <c r="AT329" s="345">
        <v>235</v>
      </c>
      <c r="AU329" s="345">
        <v>232.1</v>
      </c>
      <c r="AV329" s="345">
        <v>230.8</v>
      </c>
      <c r="AW329" s="236"/>
      <c r="AX329" s="345"/>
      <c r="AY329" s="345"/>
      <c r="AZ329" s="345"/>
      <c r="BA329" s="345"/>
      <c r="BB329" s="345"/>
      <c r="BC329" s="345"/>
      <c r="BD329" s="345"/>
      <c r="BE329" s="345"/>
      <c r="BF329" s="345"/>
      <c r="BG329" s="345"/>
      <c r="BH329" s="345"/>
      <c r="BI329" s="345"/>
      <c r="BJ329" s="345"/>
      <c r="BK329" s="345"/>
      <c r="BL329" s="345"/>
      <c r="BO329" s="356"/>
      <c r="BP329" s="356"/>
      <c r="BQ329" s="356"/>
    </row>
    <row r="330" spans="1:80">
      <c r="A330" s="92" t="str">
        <f>PR!A11</f>
        <v>Broadband</v>
      </c>
      <c r="B330" s="936">
        <f>PR!BV11</f>
        <v>183.9</v>
      </c>
      <c r="C330" s="936">
        <f>PR!BW11</f>
        <v>186.5</v>
      </c>
      <c r="D330" s="936">
        <f>PR!BX11</f>
        <v>188.1</v>
      </c>
      <c r="E330" s="936">
        <f>PR!BY11</f>
        <v>192.2</v>
      </c>
      <c r="F330" s="936">
        <f>PR!BZ11</f>
        <v>197</v>
      </c>
      <c r="G330" s="936">
        <f>PR!CA11</f>
        <v>199.4</v>
      </c>
      <c r="H330" s="936">
        <f>PR!CB11</f>
        <v>205.3</v>
      </c>
      <c r="I330" s="936">
        <f>PR!CC11</f>
        <v>210.3</v>
      </c>
      <c r="J330" s="936">
        <f>PR!CD11</f>
        <v>214</v>
      </c>
      <c r="K330" s="345">
        <v>308.2</v>
      </c>
      <c r="L330" s="345">
        <v>313.5</v>
      </c>
      <c r="M330" s="345">
        <v>319</v>
      </c>
      <c r="N330" s="345">
        <v>321.2</v>
      </c>
      <c r="O330" s="345">
        <v>321.2</v>
      </c>
      <c r="P330" s="345">
        <v>323.39999999999998</v>
      </c>
      <c r="Q330" s="345">
        <v>329</v>
      </c>
      <c r="R330" s="345">
        <v>333.8</v>
      </c>
      <c r="S330" s="345">
        <v>334.2</v>
      </c>
      <c r="T330" s="345">
        <v>337.8</v>
      </c>
      <c r="U330" s="345">
        <v>313.10000000000002</v>
      </c>
      <c r="V330" s="345">
        <v>310.5</v>
      </c>
      <c r="W330" s="345">
        <v>307.7</v>
      </c>
      <c r="X330" s="345">
        <v>304.89999999999998</v>
      </c>
      <c r="Y330" s="345">
        <v>324</v>
      </c>
      <c r="Z330" s="345">
        <v>335.5</v>
      </c>
      <c r="AA330" s="345">
        <v>340.4</v>
      </c>
      <c r="AB330" s="345">
        <v>346.7</v>
      </c>
      <c r="AC330" s="345">
        <v>353.7</v>
      </c>
      <c r="AD330" s="345">
        <v>360.1</v>
      </c>
      <c r="AE330" s="345">
        <v>381.6</v>
      </c>
      <c r="AF330" s="345">
        <v>408.9</v>
      </c>
      <c r="AG330" s="345">
        <v>434.3</v>
      </c>
      <c r="AH330" s="345">
        <v>449.5</v>
      </c>
      <c r="AI330" s="345">
        <v>462.1</v>
      </c>
      <c r="AJ330" s="345">
        <v>471.2</v>
      </c>
      <c r="AK330" s="345">
        <v>478.9</v>
      </c>
      <c r="AL330" s="345">
        <v>496</v>
      </c>
      <c r="AM330" s="345">
        <v>503</v>
      </c>
      <c r="AN330" s="345">
        <v>513.6</v>
      </c>
      <c r="AO330" s="345">
        <v>524</v>
      </c>
      <c r="AP330" s="345">
        <v>531.5</v>
      </c>
      <c r="AQ330" s="345">
        <v>537.29999999999995</v>
      </c>
      <c r="AR330" s="345">
        <v>542.9</v>
      </c>
      <c r="AS330" s="345">
        <v>547.1</v>
      </c>
      <c r="AT330" s="345">
        <v>550.5</v>
      </c>
      <c r="AU330" s="345">
        <v>550.1</v>
      </c>
      <c r="AV330" s="345">
        <v>545.5</v>
      </c>
      <c r="AW330" s="236"/>
      <c r="AX330" s="345"/>
      <c r="AY330" s="345"/>
      <c r="AZ330" s="345"/>
      <c r="BA330" s="345"/>
      <c r="BB330" s="345"/>
      <c r="BC330" s="345"/>
      <c r="BD330" s="345"/>
      <c r="BE330" s="345"/>
      <c r="BF330" s="345"/>
      <c r="BG330" s="345"/>
      <c r="BH330" s="345"/>
      <c r="BI330" s="345"/>
      <c r="BJ330" s="345"/>
      <c r="BK330" s="345"/>
      <c r="BL330" s="345"/>
      <c r="BO330" s="356"/>
      <c r="BP330" s="356"/>
      <c r="BQ330" s="356"/>
    </row>
    <row r="331" spans="1:80">
      <c r="A331" s="175" t="str">
        <f>PR!A12</f>
        <v>Telephony</v>
      </c>
      <c r="B331" s="937">
        <f>PR!BV12</f>
        <v>102.5</v>
      </c>
      <c r="C331" s="937">
        <f>PR!BW12</f>
        <v>112.5</v>
      </c>
      <c r="D331" s="937">
        <f>PR!BX12</f>
        <v>122</v>
      </c>
      <c r="E331" s="937">
        <f>PR!BY12</f>
        <v>133.1</v>
      </c>
      <c r="F331" s="937">
        <f>PR!BZ12</f>
        <v>141.80000000000001</v>
      </c>
      <c r="G331" s="937">
        <f>PR!CA12</f>
        <v>147.1</v>
      </c>
      <c r="H331" s="937">
        <f>PR!CB12</f>
        <v>154.19999999999999</v>
      </c>
      <c r="I331" s="937">
        <f>PR!CC12</f>
        <v>160.69999999999999</v>
      </c>
      <c r="J331" s="937">
        <f>PR!CD12</f>
        <v>166.5</v>
      </c>
      <c r="K331" s="355">
        <v>187.1</v>
      </c>
      <c r="L331" s="355">
        <v>190.8</v>
      </c>
      <c r="M331" s="355">
        <v>194</v>
      </c>
      <c r="N331" s="355">
        <v>197.8</v>
      </c>
      <c r="O331" s="355">
        <v>201.8</v>
      </c>
      <c r="P331" s="355">
        <v>205.2</v>
      </c>
      <c r="Q331" s="355">
        <v>208.8</v>
      </c>
      <c r="R331" s="355">
        <v>210.9</v>
      </c>
      <c r="S331" s="355">
        <v>210.3</v>
      </c>
      <c r="T331" s="355">
        <v>210.7</v>
      </c>
      <c r="U331" s="355">
        <v>193.3</v>
      </c>
      <c r="V331" s="355">
        <v>190.4</v>
      </c>
      <c r="W331" s="355">
        <v>189</v>
      </c>
      <c r="X331" s="355">
        <v>185.6</v>
      </c>
      <c r="Y331" s="355">
        <v>197.5</v>
      </c>
      <c r="Z331" s="355">
        <v>203.7</v>
      </c>
      <c r="AA331" s="355">
        <v>205</v>
      </c>
      <c r="AB331" s="355">
        <v>206</v>
      </c>
      <c r="AC331" s="355">
        <v>209.7</v>
      </c>
      <c r="AD331" s="355">
        <v>212.4</v>
      </c>
      <c r="AE331" s="355">
        <v>220.7</v>
      </c>
      <c r="AF331" s="355">
        <v>230.3</v>
      </c>
      <c r="AG331" s="355">
        <v>236.1</v>
      </c>
      <c r="AH331" s="355">
        <v>242.3</v>
      </c>
      <c r="AI331" s="355">
        <v>247.7</v>
      </c>
      <c r="AJ331" s="355">
        <v>250.1</v>
      </c>
      <c r="AK331" s="355">
        <v>252.5</v>
      </c>
      <c r="AL331" s="355">
        <v>255.6</v>
      </c>
      <c r="AM331" s="355">
        <v>258</v>
      </c>
      <c r="AN331" s="355">
        <v>260.7</v>
      </c>
      <c r="AO331" s="355">
        <v>257.39999999999998</v>
      </c>
      <c r="AP331" s="355">
        <v>260.10000000000002</v>
      </c>
      <c r="AQ331" s="355">
        <v>262.39999999999998</v>
      </c>
      <c r="AR331" s="355">
        <v>263.3</v>
      </c>
      <c r="AS331" s="355">
        <v>268.8</v>
      </c>
      <c r="AT331" s="355">
        <v>274.2</v>
      </c>
      <c r="AU331" s="355">
        <v>275.39999999999998</v>
      </c>
      <c r="AV331" s="355">
        <v>280</v>
      </c>
      <c r="AW331" s="236"/>
      <c r="AX331" s="345"/>
      <c r="AY331" s="345"/>
      <c r="AZ331" s="345"/>
      <c r="BA331" s="345"/>
      <c r="BB331" s="345"/>
      <c r="BC331" s="345"/>
      <c r="BD331" s="345"/>
      <c r="BE331" s="345"/>
      <c r="BF331" s="345"/>
      <c r="BG331" s="345"/>
      <c r="BH331" s="345"/>
      <c r="BI331" s="345"/>
      <c r="BJ331" s="345"/>
      <c r="BK331" s="345"/>
      <c r="BL331" s="345"/>
      <c r="BO331" s="356"/>
      <c r="BP331" s="356"/>
      <c r="BQ331" s="356"/>
    </row>
    <row r="332" spans="1:80">
      <c r="A332" s="92" t="s">
        <v>4050</v>
      </c>
      <c r="B332" s="936">
        <f>B329+B330+B331</f>
        <v>491.8</v>
      </c>
      <c r="C332" s="936">
        <f t="shared" ref="C332:AO332" si="135">C329+C330+C331</f>
        <v>505.8</v>
      </c>
      <c r="D332" s="936">
        <f t="shared" si="135"/>
        <v>519.1</v>
      </c>
      <c r="E332" s="936">
        <f t="shared" si="135"/>
        <v>535.79999999999995</v>
      </c>
      <c r="F332" s="936">
        <f t="shared" si="135"/>
        <v>553</v>
      </c>
      <c r="G332" s="936">
        <f t="shared" si="135"/>
        <v>561.9</v>
      </c>
      <c r="H332" s="936">
        <f t="shared" si="135"/>
        <v>577.40000000000009</v>
      </c>
      <c r="I332" s="936">
        <f t="shared" si="135"/>
        <v>590.90000000000009</v>
      </c>
      <c r="J332" s="936">
        <f t="shared" si="135"/>
        <v>600.9</v>
      </c>
      <c r="K332" s="936">
        <f t="shared" si="135"/>
        <v>763.1</v>
      </c>
      <c r="L332" s="936">
        <f t="shared" si="135"/>
        <v>769.3</v>
      </c>
      <c r="M332" s="936">
        <f t="shared" si="135"/>
        <v>776.9</v>
      </c>
      <c r="N332" s="936">
        <f t="shared" si="135"/>
        <v>782</v>
      </c>
      <c r="O332" s="936">
        <f t="shared" si="135"/>
        <v>784.39999999999986</v>
      </c>
      <c r="P332" s="936">
        <f t="shared" si="135"/>
        <v>789.2</v>
      </c>
      <c r="Q332" s="936">
        <f t="shared" si="135"/>
        <v>799.09999999999991</v>
      </c>
      <c r="R332" s="936">
        <f t="shared" si="135"/>
        <v>805.6</v>
      </c>
      <c r="S332" s="936">
        <f t="shared" si="135"/>
        <v>803.2</v>
      </c>
      <c r="T332" s="936">
        <f t="shared" si="135"/>
        <v>803.5</v>
      </c>
      <c r="U332" s="936">
        <f t="shared" si="135"/>
        <v>738.5</v>
      </c>
      <c r="V332" s="936">
        <f t="shared" si="135"/>
        <v>723.1</v>
      </c>
      <c r="W332" s="936">
        <f t="shared" si="135"/>
        <v>711.2</v>
      </c>
      <c r="X332" s="936">
        <f t="shared" si="135"/>
        <v>698.6</v>
      </c>
      <c r="Y332" s="936">
        <f t="shared" si="135"/>
        <v>738.6</v>
      </c>
      <c r="Z332" s="936">
        <f t="shared" si="135"/>
        <v>760.90000000000009</v>
      </c>
      <c r="AA332" s="936">
        <f t="shared" si="135"/>
        <v>765.4</v>
      </c>
      <c r="AB332" s="936">
        <f t="shared" si="135"/>
        <v>771.7</v>
      </c>
      <c r="AC332" s="936">
        <f t="shared" si="135"/>
        <v>785.09999999999991</v>
      </c>
      <c r="AD332" s="936">
        <f t="shared" si="135"/>
        <v>794.1</v>
      </c>
      <c r="AE332" s="936">
        <f t="shared" si="135"/>
        <v>827.60000000000014</v>
      </c>
      <c r="AF332" s="936">
        <f t="shared" si="135"/>
        <v>870.3</v>
      </c>
      <c r="AG332" s="936">
        <f t="shared" si="135"/>
        <v>905.6</v>
      </c>
      <c r="AH332" s="936">
        <f t="shared" si="135"/>
        <v>930.2</v>
      </c>
      <c r="AI332" s="936">
        <f t="shared" si="135"/>
        <v>952</v>
      </c>
      <c r="AJ332" s="936">
        <f t="shared" si="135"/>
        <v>965.2</v>
      </c>
      <c r="AK332" s="936">
        <f t="shared" si="135"/>
        <v>977.09999999999991</v>
      </c>
      <c r="AL332" s="936">
        <f t="shared" si="135"/>
        <v>998.6</v>
      </c>
      <c r="AM332" s="936">
        <f t="shared" si="135"/>
        <v>1008.3</v>
      </c>
      <c r="AN332" s="936">
        <f t="shared" si="135"/>
        <v>1021.8</v>
      </c>
      <c r="AO332" s="936">
        <f t="shared" si="135"/>
        <v>1024.1999999999998</v>
      </c>
      <c r="AP332" s="345">
        <f t="shared" ref="AP332:AV332" si="136">SUM(AP329:AP331)</f>
        <v>1034.3000000000002</v>
      </c>
      <c r="AQ332" s="345">
        <f t="shared" si="136"/>
        <v>1041.0999999999999</v>
      </c>
      <c r="AR332" s="345">
        <f t="shared" si="136"/>
        <v>1045.0999999999999</v>
      </c>
      <c r="AS332" s="345">
        <f t="shared" si="136"/>
        <v>1053</v>
      </c>
      <c r="AT332" s="345">
        <f t="shared" si="136"/>
        <v>1059.7</v>
      </c>
      <c r="AU332" s="345">
        <f t="shared" si="136"/>
        <v>1057.5999999999999</v>
      </c>
      <c r="AV332" s="345">
        <f t="shared" si="136"/>
        <v>1056.3</v>
      </c>
      <c r="AW332" s="345"/>
      <c r="AX332" s="345"/>
      <c r="AY332" s="345"/>
      <c r="AZ332" s="345"/>
      <c r="BA332" s="345"/>
      <c r="BB332" s="345"/>
      <c r="BC332" s="345"/>
      <c r="BD332" s="345"/>
      <c r="BE332" s="345"/>
      <c r="BF332" s="345"/>
      <c r="BG332" s="345"/>
      <c r="BH332" s="345"/>
      <c r="BI332" s="345"/>
      <c r="BJ332" s="345"/>
      <c r="BK332" s="345"/>
      <c r="BL332" s="345"/>
      <c r="BO332" s="356"/>
      <c r="BP332" s="356"/>
      <c r="BQ332" s="356"/>
    </row>
    <row r="333" spans="1:80">
      <c r="B333" s="357"/>
      <c r="C333" s="356"/>
      <c r="D333" s="356"/>
      <c r="E333" s="356"/>
      <c r="F333" s="356"/>
      <c r="G333" s="356"/>
      <c r="H333" s="356"/>
      <c r="I333" s="356"/>
      <c r="J333" s="356"/>
      <c r="N333" s="345"/>
      <c r="O333" s="345"/>
      <c r="P333" s="345"/>
      <c r="R333" s="236"/>
      <c r="S333" s="236"/>
      <c r="T333" s="236"/>
      <c r="U333" s="236"/>
      <c r="V333" s="236"/>
      <c r="W333" s="236"/>
      <c r="X333" s="236"/>
      <c r="Y333" s="236"/>
      <c r="Z333" s="236"/>
      <c r="AA333" s="236"/>
      <c r="AB333" s="236"/>
      <c r="AC333" s="236"/>
      <c r="AD333" s="236"/>
      <c r="AE333" s="236"/>
      <c r="AF333" s="236"/>
      <c r="AG333" s="236"/>
      <c r="AH333" s="236"/>
      <c r="AI333" s="236"/>
      <c r="AJ333" s="236"/>
      <c r="AK333" s="236"/>
      <c r="AL333" s="236"/>
      <c r="AM333" s="236"/>
      <c r="AN333" s="236"/>
      <c r="AO333" s="236"/>
      <c r="AP333" s="236"/>
      <c r="AQ333" s="236"/>
      <c r="AR333" s="236"/>
      <c r="AS333" s="236"/>
      <c r="AT333" s="236"/>
      <c r="AU333" s="236"/>
      <c r="AV333" s="236"/>
      <c r="AW333" s="236"/>
      <c r="AX333" s="236"/>
      <c r="AY333" s="236"/>
      <c r="AZ333" s="236"/>
      <c r="BA333" s="236"/>
      <c r="BB333" s="236"/>
      <c r="BC333" s="236"/>
      <c r="BD333" s="236"/>
      <c r="BE333" s="236"/>
      <c r="BF333" s="236"/>
      <c r="BG333" s="236"/>
      <c r="BH333" s="236"/>
      <c r="BI333" s="236"/>
      <c r="BJ333" s="236"/>
      <c r="BK333" s="236"/>
      <c r="BL333" s="236"/>
      <c r="BO333" s="356"/>
      <c r="BP333" s="356"/>
      <c r="BQ333" s="356"/>
    </row>
    <row r="334" spans="1:80">
      <c r="A334" s="92" t="s">
        <v>1827</v>
      </c>
      <c r="B334" s="357"/>
      <c r="C334" s="356"/>
      <c r="D334" s="356"/>
      <c r="E334" s="356"/>
      <c r="F334" s="356"/>
      <c r="G334" s="356"/>
      <c r="H334" s="356"/>
      <c r="I334" s="356"/>
      <c r="J334" s="356"/>
      <c r="N334" s="345"/>
      <c r="O334" s="345"/>
      <c r="P334" s="345"/>
      <c r="R334" s="236"/>
      <c r="S334" s="236"/>
      <c r="T334" s="236"/>
      <c r="U334" s="236"/>
      <c r="V334" s="236"/>
      <c r="W334" s="236"/>
      <c r="X334" s="236"/>
      <c r="Y334" s="236"/>
      <c r="Z334" s="236"/>
      <c r="AA334" s="236"/>
      <c r="AB334" s="236"/>
      <c r="AC334" s="236"/>
      <c r="AD334" s="236"/>
      <c r="AE334" s="236"/>
      <c r="AF334" s="236"/>
      <c r="AG334" s="236"/>
      <c r="AH334" s="236"/>
      <c r="AI334" s="236">
        <v>797.5</v>
      </c>
      <c r="AJ334" s="236">
        <v>811.5</v>
      </c>
      <c r="AK334" s="236">
        <v>822.5</v>
      </c>
      <c r="AL334" s="236">
        <v>861.1</v>
      </c>
      <c r="AM334" s="236">
        <v>877.5</v>
      </c>
      <c r="AN334" s="236">
        <v>886.3</v>
      </c>
      <c r="AO334" s="236">
        <v>903.3</v>
      </c>
      <c r="AP334" s="236">
        <v>904.7</v>
      </c>
      <c r="AQ334" s="236">
        <v>901.3</v>
      </c>
      <c r="AR334" s="236">
        <v>894.5</v>
      </c>
      <c r="AS334" s="236">
        <v>864.1</v>
      </c>
      <c r="AT334" s="236">
        <f>AT336-AT335</f>
        <v>825.19999999999993</v>
      </c>
      <c r="AU334" s="236">
        <f>AU336-AU335</f>
        <v>739.59999999999991</v>
      </c>
      <c r="AV334" s="236">
        <f>AV336-AV335</f>
        <v>691.2</v>
      </c>
      <c r="AW334" s="236"/>
      <c r="AX334" s="236"/>
      <c r="AY334" s="236"/>
      <c r="AZ334" s="236"/>
      <c r="BA334" s="236"/>
      <c r="BB334" s="236"/>
      <c r="BC334" s="236"/>
      <c r="BD334" s="236"/>
      <c r="BE334" s="236"/>
      <c r="BF334" s="236"/>
      <c r="BG334" s="236"/>
      <c r="BH334" s="236"/>
      <c r="BI334" s="236"/>
      <c r="BJ334" s="236"/>
      <c r="BK334" s="236"/>
      <c r="BL334" s="236"/>
      <c r="BO334" s="356"/>
      <c r="BP334" s="356"/>
      <c r="BQ334" s="356"/>
    </row>
    <row r="335" spans="1:80">
      <c r="A335" s="92" t="s">
        <v>4714</v>
      </c>
      <c r="B335" s="357"/>
      <c r="C335" s="356"/>
      <c r="D335" s="356"/>
      <c r="E335" s="356"/>
      <c r="F335" s="356"/>
      <c r="G335" s="356"/>
      <c r="H335" s="356"/>
      <c r="I335" s="356"/>
      <c r="J335" s="356"/>
      <c r="N335" s="345"/>
      <c r="O335" s="345"/>
      <c r="P335" s="345"/>
      <c r="R335" s="236"/>
      <c r="S335" s="236"/>
      <c r="T335" s="236"/>
      <c r="U335" s="236"/>
      <c r="V335" s="236"/>
      <c r="W335" s="236"/>
      <c r="X335" s="236"/>
      <c r="Y335" s="236"/>
      <c r="Z335" s="236"/>
      <c r="AA335" s="236"/>
      <c r="AB335" s="236"/>
      <c r="AC335" s="236"/>
      <c r="AD335" s="236"/>
      <c r="AE335" s="236"/>
      <c r="AF335" s="236"/>
      <c r="AG335" s="236"/>
      <c r="AH335" s="236"/>
      <c r="AI335" s="236">
        <v>229.2</v>
      </c>
      <c r="AJ335" s="236">
        <v>212.2</v>
      </c>
      <c r="AK335" s="236">
        <v>199.9</v>
      </c>
      <c r="AL335" s="236">
        <v>191.5</v>
      </c>
      <c r="AM335" s="236">
        <v>159.5</v>
      </c>
      <c r="AN335" s="236">
        <v>187.6</v>
      </c>
      <c r="AO335" s="236">
        <v>182.3</v>
      </c>
      <c r="AP335" s="236">
        <v>166.6</v>
      </c>
      <c r="AQ335" s="236">
        <v>151</v>
      </c>
      <c r="AR335" s="236">
        <v>133.30000000000001</v>
      </c>
      <c r="AS335" s="236">
        <v>115.2</v>
      </c>
      <c r="AT335" s="236">
        <v>93.1</v>
      </c>
      <c r="AU335" s="236">
        <v>95.2</v>
      </c>
      <c r="AV335" s="236">
        <v>178.8</v>
      </c>
      <c r="AW335" s="236"/>
      <c r="AX335" s="236"/>
      <c r="AY335" s="236"/>
      <c r="AZ335" s="236"/>
      <c r="BA335" s="236"/>
      <c r="BB335" s="236"/>
      <c r="BC335" s="236"/>
      <c r="BD335" s="236"/>
      <c r="BE335" s="236"/>
      <c r="BF335" s="236"/>
      <c r="BG335" s="236"/>
      <c r="BH335" s="236"/>
      <c r="BI335" s="236"/>
      <c r="BJ335" s="236"/>
      <c r="BK335" s="236"/>
      <c r="BL335" s="236"/>
      <c r="BO335" s="356"/>
      <c r="BP335" s="356"/>
      <c r="BQ335" s="356"/>
    </row>
    <row r="336" spans="1:80">
      <c r="A336" s="92" t="s">
        <v>5</v>
      </c>
      <c r="B336" s="357"/>
      <c r="C336" s="356"/>
      <c r="D336" s="356"/>
      <c r="E336" s="356"/>
      <c r="F336" s="356"/>
      <c r="G336" s="356"/>
      <c r="H336" s="356"/>
      <c r="I336" s="356"/>
      <c r="J336" s="356"/>
      <c r="N336" s="345"/>
      <c r="O336" s="345"/>
      <c r="P336" s="345"/>
      <c r="R336" s="236"/>
      <c r="S336" s="236"/>
      <c r="T336" s="236"/>
      <c r="U336" s="236"/>
      <c r="V336" s="236"/>
      <c r="W336" s="236"/>
      <c r="X336" s="236"/>
      <c r="Y336" s="236"/>
      <c r="Z336" s="236"/>
      <c r="AA336" s="236"/>
      <c r="AB336" s="236"/>
      <c r="AC336" s="236"/>
      <c r="AD336" s="236"/>
      <c r="AE336" s="236"/>
      <c r="AF336" s="236"/>
      <c r="AG336" s="236">
        <v>1022.6</v>
      </c>
      <c r="AH336" s="236">
        <v>1020.7</v>
      </c>
      <c r="AI336" s="236">
        <f t="shared" ref="AI336:AS336" si="137">SUM(AI334:AI335)</f>
        <v>1026.7</v>
      </c>
      <c r="AJ336" s="236">
        <f t="shared" si="137"/>
        <v>1023.7</v>
      </c>
      <c r="AK336" s="236">
        <f t="shared" si="137"/>
        <v>1022.4</v>
      </c>
      <c r="AL336" s="236">
        <f t="shared" si="137"/>
        <v>1052.5999999999999</v>
      </c>
      <c r="AM336" s="236">
        <f t="shared" si="137"/>
        <v>1037</v>
      </c>
      <c r="AN336" s="236">
        <f t="shared" si="137"/>
        <v>1073.8999999999999</v>
      </c>
      <c r="AO336" s="236">
        <f t="shared" si="137"/>
        <v>1085.5999999999999</v>
      </c>
      <c r="AP336" s="236">
        <f t="shared" si="137"/>
        <v>1071.3</v>
      </c>
      <c r="AQ336" s="236">
        <f t="shared" si="137"/>
        <v>1052.3</v>
      </c>
      <c r="AR336" s="236">
        <f t="shared" si="137"/>
        <v>1027.8</v>
      </c>
      <c r="AS336" s="236">
        <f t="shared" si="137"/>
        <v>979.30000000000007</v>
      </c>
      <c r="AT336" s="236">
        <v>918.3</v>
      </c>
      <c r="AU336" s="236">
        <v>834.8</v>
      </c>
      <c r="AV336" s="236">
        <v>870</v>
      </c>
      <c r="AW336" s="236"/>
      <c r="AX336" s="236"/>
      <c r="AY336" s="236"/>
      <c r="AZ336" s="236"/>
      <c r="BA336" s="236"/>
      <c r="BB336" s="236"/>
      <c r="BC336" s="236"/>
      <c r="BD336" s="236"/>
      <c r="BE336" s="236"/>
      <c r="BF336" s="236"/>
      <c r="BG336" s="236"/>
      <c r="BH336" s="236"/>
      <c r="BI336" s="236"/>
      <c r="BJ336" s="236"/>
      <c r="BK336" s="236"/>
      <c r="BL336" s="236"/>
      <c r="BO336" s="356"/>
      <c r="BP336" s="356"/>
      <c r="BQ336" s="356"/>
    </row>
    <row r="337" spans="1:85">
      <c r="B337" s="357"/>
      <c r="C337" s="356"/>
      <c r="D337" s="356"/>
      <c r="E337" s="356"/>
      <c r="F337" s="356"/>
      <c r="G337" s="356"/>
      <c r="H337" s="356"/>
      <c r="I337" s="356"/>
      <c r="J337" s="356"/>
      <c r="N337" s="345"/>
      <c r="O337" s="345"/>
      <c r="P337" s="345"/>
      <c r="R337" s="236"/>
      <c r="S337" s="236"/>
      <c r="T337" s="236"/>
      <c r="U337" s="236"/>
      <c r="V337" s="236"/>
      <c r="W337" s="236"/>
      <c r="X337" s="236"/>
      <c r="Y337" s="236"/>
      <c r="Z337" s="236"/>
      <c r="AA337" s="236"/>
      <c r="AB337" s="236"/>
      <c r="AC337" s="236"/>
      <c r="AD337" s="236"/>
      <c r="AE337" s="236"/>
      <c r="AF337" s="236"/>
      <c r="AG337" s="236"/>
      <c r="AH337" s="236"/>
      <c r="AI337" s="236"/>
      <c r="AJ337" s="236"/>
      <c r="AK337" s="236"/>
      <c r="AL337" s="236"/>
      <c r="AM337" s="236"/>
      <c r="AN337" s="236"/>
      <c r="AO337" s="236"/>
      <c r="AP337" s="236"/>
      <c r="AQ337" s="236"/>
      <c r="AR337" s="236"/>
      <c r="AS337" s="236"/>
      <c r="AT337" s="236"/>
      <c r="AU337" s="236"/>
      <c r="AV337" s="236"/>
      <c r="AW337" s="236"/>
      <c r="AX337" s="236"/>
      <c r="AY337" s="236"/>
      <c r="AZ337" s="236"/>
      <c r="BA337" s="236"/>
      <c r="BB337" s="236"/>
      <c r="BC337" s="236"/>
      <c r="BD337" s="236"/>
      <c r="BE337" s="236"/>
      <c r="BF337" s="236"/>
      <c r="BG337" s="236"/>
      <c r="BH337" s="236"/>
      <c r="BI337" s="236"/>
      <c r="BJ337" s="236"/>
      <c r="BK337" s="236"/>
      <c r="BL337" s="236"/>
      <c r="BO337" s="356"/>
      <c r="BP337" s="356"/>
      <c r="BQ337" s="356"/>
    </row>
    <row r="338" spans="1:85">
      <c r="A338" s="92" t="s">
        <v>927</v>
      </c>
      <c r="B338" s="358">
        <f t="shared" ref="B338:AA338" si="138">SUM(B329:B331)/B326</f>
        <v>1.8001464128843339</v>
      </c>
      <c r="C338" s="358">
        <f t="shared" si="138"/>
        <v>1.8588754134509371</v>
      </c>
      <c r="D338" s="358">
        <f t="shared" si="138"/>
        <v>1.91549815498155</v>
      </c>
      <c r="E338" s="358">
        <f t="shared" si="138"/>
        <v>1.9640762463343107</v>
      </c>
      <c r="F338" s="358">
        <f t="shared" si="138"/>
        <v>2.0087177624409733</v>
      </c>
      <c r="G338" s="358">
        <f t="shared" si="138"/>
        <v>2.0380848748639826</v>
      </c>
      <c r="H338" s="358">
        <f t="shared" si="138"/>
        <v>2.0710186513629845</v>
      </c>
      <c r="I338" s="358">
        <f t="shared" si="138"/>
        <v>2.0983664772727275</v>
      </c>
      <c r="J338" s="358">
        <f t="shared" si="138"/>
        <v>2.1218220338983049</v>
      </c>
      <c r="K338" s="358">
        <f t="shared" si="138"/>
        <v>1.9130107796440212</v>
      </c>
      <c r="L338" s="358">
        <f t="shared" si="138"/>
        <v>1.9256570713391739</v>
      </c>
      <c r="M338" s="358">
        <f t="shared" si="138"/>
        <v>1.9378897480668495</v>
      </c>
      <c r="N338" s="358">
        <f t="shared" si="138"/>
        <v>1.9545113721569607</v>
      </c>
      <c r="O338" s="358">
        <f t="shared" si="138"/>
        <v>1.9768145161290318</v>
      </c>
      <c r="P338" s="358">
        <f t="shared" si="138"/>
        <v>1.9834129178185476</v>
      </c>
      <c r="Q338" s="358">
        <f t="shared" si="138"/>
        <v>1.97944017835026</v>
      </c>
      <c r="R338" s="358">
        <f t="shared" si="138"/>
        <v>1.9808212441603148</v>
      </c>
      <c r="S338" s="358">
        <f t="shared" si="138"/>
        <v>1.9788125153978815</v>
      </c>
      <c r="T338" s="358">
        <f t="shared" si="138"/>
        <v>1.9683978441940226</v>
      </c>
      <c r="U338" s="358">
        <f t="shared" si="138"/>
        <v>1.9552554937781308</v>
      </c>
      <c r="V338" s="358">
        <f t="shared" si="138"/>
        <v>1.9527410207939508</v>
      </c>
      <c r="W338" s="358">
        <f t="shared" si="138"/>
        <v>1.9640983153824911</v>
      </c>
      <c r="X338" s="358">
        <f t="shared" si="138"/>
        <v>1.9503070910106086</v>
      </c>
      <c r="Y338" s="358">
        <f t="shared" si="138"/>
        <v>1.9638394044137197</v>
      </c>
      <c r="Z338" s="358">
        <f t="shared" si="138"/>
        <v>1.964626904208624</v>
      </c>
      <c r="AA338" s="358">
        <f t="shared" si="138"/>
        <v>1.9525510204081633</v>
      </c>
      <c r="AB338" s="358">
        <f t="shared" ref="AB338:AP338" si="139">SUM(AB329:AB331)/AB326</f>
        <v>1.9413836477987423</v>
      </c>
      <c r="AC338" s="358">
        <f t="shared" si="139"/>
        <v>1.9404349975284227</v>
      </c>
      <c r="AD338" s="358">
        <f t="shared" si="139"/>
        <v>1.9377745241581259</v>
      </c>
      <c r="AE338" s="358">
        <f t="shared" si="139"/>
        <v>1.9242036735642876</v>
      </c>
      <c r="AF338" s="358">
        <f t="shared" si="139"/>
        <v>1.9072978303747532</v>
      </c>
      <c r="AG338" s="358">
        <f t="shared" si="139"/>
        <v>1.8847034339229969</v>
      </c>
      <c r="AH338" s="358">
        <f t="shared" si="139"/>
        <v>1.8894982734105221</v>
      </c>
      <c r="AI338" s="358">
        <f t="shared" si="139"/>
        <v>1.8718049547778215</v>
      </c>
      <c r="AJ338" s="358">
        <f t="shared" si="139"/>
        <v>1.8683701122725513</v>
      </c>
      <c r="AK338" s="358">
        <f t="shared" si="139"/>
        <v>1.8772334293948125</v>
      </c>
      <c r="AL338" s="358">
        <f t="shared" si="139"/>
        <v>1.8668910076649843</v>
      </c>
      <c r="AM338" s="358">
        <f t="shared" si="139"/>
        <v>1.8497523390203632</v>
      </c>
      <c r="AN338" s="358">
        <f>SUM(AN329:AN331)/AN326</f>
        <v>1.8437387224828579</v>
      </c>
      <c r="AO338" s="358">
        <f>SUM(AO329:AO331)/AO326</f>
        <v>1.8584648884050077</v>
      </c>
      <c r="AP338" s="358">
        <f t="shared" si="139"/>
        <v>1.8203097500879974</v>
      </c>
      <c r="AQ338" s="358">
        <f t="shared" ref="AQ338:AR338" si="140">SUM(AQ329:AQ331)/AQ326</f>
        <v>1.8863924624026092</v>
      </c>
      <c r="AR338" s="358">
        <f t="shared" si="140"/>
        <v>1.8087573554863274</v>
      </c>
      <c r="AS338" s="358">
        <f t="shared" ref="AS338:AT338" si="141">SUM(AS329:AS331)/AS326</f>
        <v>1.8130165289256199</v>
      </c>
      <c r="AT338" s="358">
        <f t="shared" si="141"/>
        <v>1.8170438957475994</v>
      </c>
      <c r="AU338" s="358">
        <f t="shared" ref="AU338:AV338" si="142">SUM(AU329:AU331)/AU326</f>
        <v>1.8181193054839262</v>
      </c>
      <c r="AV338" s="358">
        <f t="shared" si="142"/>
        <v>1.8332176327664003</v>
      </c>
      <c r="AW338" s="358"/>
      <c r="AX338" s="358"/>
      <c r="AY338" s="358"/>
      <c r="AZ338" s="358"/>
      <c r="BA338" s="358"/>
      <c r="BB338" s="358"/>
      <c r="BC338" s="358"/>
      <c r="BD338" s="358"/>
      <c r="BE338" s="358"/>
      <c r="BF338" s="358"/>
      <c r="BG338" s="358"/>
      <c r="BH338" s="358"/>
      <c r="BI338" s="358"/>
      <c r="BJ338" s="358"/>
      <c r="BK338" s="358"/>
      <c r="BL338" s="358"/>
      <c r="BO338" s="356"/>
      <c r="BP338" s="356"/>
      <c r="BQ338" s="356"/>
    </row>
    <row r="339" spans="1:85">
      <c r="A339" s="92" t="s">
        <v>3558</v>
      </c>
      <c r="B339" s="356"/>
      <c r="C339" s="356"/>
      <c r="D339" s="356"/>
      <c r="E339" s="356"/>
      <c r="F339" s="356"/>
      <c r="G339" s="356"/>
      <c r="H339" s="356"/>
      <c r="I339" s="356"/>
      <c r="J339" s="356"/>
      <c r="R339" s="345">
        <f>SUM(R329:R331)</f>
        <v>805.6</v>
      </c>
      <c r="S339" s="345">
        <f>SUM(S329:S331)</f>
        <v>803.2</v>
      </c>
      <c r="T339" s="345">
        <f>SUM(T329:T331)</f>
        <v>803.5</v>
      </c>
      <c r="U339" s="345">
        <v>340</v>
      </c>
      <c r="V339" s="345">
        <v>560</v>
      </c>
      <c r="W339" s="345">
        <v>646.70000000000005</v>
      </c>
      <c r="X339" s="345">
        <f t="shared" ref="X339:AC339" si="143">X329+X330+X331</f>
        <v>698.6</v>
      </c>
      <c r="Y339" s="345">
        <f t="shared" si="143"/>
        <v>738.6</v>
      </c>
      <c r="Z339" s="345">
        <f t="shared" si="143"/>
        <v>760.90000000000009</v>
      </c>
      <c r="AA339" s="345">
        <f t="shared" si="143"/>
        <v>765.4</v>
      </c>
      <c r="AB339" s="345">
        <f t="shared" si="143"/>
        <v>771.7</v>
      </c>
      <c r="AC339" s="345">
        <f t="shared" si="143"/>
        <v>785.09999999999991</v>
      </c>
      <c r="AD339" s="345">
        <f t="shared" ref="AD339:AM339" si="144">AD329+AD330+AD331</f>
        <v>794.1</v>
      </c>
      <c r="AE339" s="345">
        <f t="shared" si="144"/>
        <v>827.60000000000014</v>
      </c>
      <c r="AF339" s="345">
        <f t="shared" si="144"/>
        <v>870.3</v>
      </c>
      <c r="AG339" s="345">
        <f t="shared" si="144"/>
        <v>905.6</v>
      </c>
      <c r="AH339" s="345">
        <f t="shared" si="144"/>
        <v>930.2</v>
      </c>
      <c r="AI339" s="345">
        <f t="shared" si="144"/>
        <v>952</v>
      </c>
      <c r="AJ339" s="345">
        <f t="shared" si="144"/>
        <v>965.2</v>
      </c>
      <c r="AK339" s="345">
        <f t="shared" si="144"/>
        <v>977.09999999999991</v>
      </c>
      <c r="AL339" s="345">
        <f t="shared" si="144"/>
        <v>998.6</v>
      </c>
      <c r="AM339" s="345">
        <f t="shared" si="144"/>
        <v>1008.3</v>
      </c>
      <c r="AN339" s="345">
        <f>AN329+AN330+AN331</f>
        <v>1021.8</v>
      </c>
      <c r="AO339" s="345">
        <f>AO329+AO330+AO331</f>
        <v>1024.1999999999998</v>
      </c>
      <c r="AP339" s="556">
        <f t="shared" ref="AP339:AU339" si="145">AP332</f>
        <v>1034.3000000000002</v>
      </c>
      <c r="AQ339" s="556">
        <f t="shared" si="145"/>
        <v>1041.0999999999999</v>
      </c>
      <c r="AR339" s="556">
        <f t="shared" si="145"/>
        <v>1045.0999999999999</v>
      </c>
      <c r="AS339" s="556">
        <f t="shared" si="145"/>
        <v>1053</v>
      </c>
      <c r="AT339" s="556">
        <f t="shared" si="145"/>
        <v>1059.7</v>
      </c>
      <c r="AU339" s="556">
        <f t="shared" si="145"/>
        <v>1057.5999999999999</v>
      </c>
      <c r="AV339" s="556">
        <f t="shared" ref="AV339" si="146">AV332</f>
        <v>1056.3</v>
      </c>
      <c r="AW339" s="556"/>
      <c r="AX339" s="556"/>
      <c r="AY339" s="556"/>
      <c r="AZ339" s="556"/>
      <c r="BA339" s="556"/>
      <c r="BB339" s="556"/>
      <c r="BC339" s="556"/>
      <c r="BD339" s="556"/>
      <c r="BE339" s="556"/>
      <c r="BF339" s="556"/>
      <c r="BG339" s="556"/>
      <c r="BH339" s="556"/>
      <c r="BI339" s="556"/>
      <c r="BJ339" s="556"/>
      <c r="BK339" s="556"/>
      <c r="BL339" s="556"/>
      <c r="BO339" s="356"/>
      <c r="BP339" s="356"/>
      <c r="BQ339" s="356"/>
    </row>
    <row r="340" spans="1:85">
      <c r="A340" s="92" t="s">
        <v>4051</v>
      </c>
      <c r="B340" s="356"/>
      <c r="C340" s="356"/>
      <c r="D340" s="356"/>
      <c r="E340" s="356"/>
      <c r="F340" s="356"/>
      <c r="G340" s="356"/>
      <c r="H340" s="356"/>
      <c r="I340" s="356"/>
      <c r="J340" s="356"/>
      <c r="R340" s="345">
        <f>R332-R339</f>
        <v>0</v>
      </c>
      <c r="S340" s="345">
        <f t="shared" ref="S340:Z340" si="147">S332-S339</f>
        <v>0</v>
      </c>
      <c r="T340" s="345">
        <f t="shared" si="147"/>
        <v>0</v>
      </c>
      <c r="U340" s="345">
        <f t="shared" si="147"/>
        <v>398.5</v>
      </c>
      <c r="V340" s="345">
        <f t="shared" si="147"/>
        <v>163.10000000000002</v>
      </c>
      <c r="W340" s="345">
        <f t="shared" si="147"/>
        <v>64.5</v>
      </c>
      <c r="X340" s="345">
        <f t="shared" si="147"/>
        <v>0</v>
      </c>
      <c r="Y340" s="345">
        <f t="shared" si="147"/>
        <v>0</v>
      </c>
      <c r="Z340" s="345">
        <f t="shared" si="147"/>
        <v>0</v>
      </c>
      <c r="AA340" s="345">
        <f t="shared" ref="AA340:AH340" si="148">AA332-AA339</f>
        <v>0</v>
      </c>
      <c r="AB340" s="345">
        <f t="shared" si="148"/>
        <v>0</v>
      </c>
      <c r="AC340" s="345">
        <f t="shared" si="148"/>
        <v>0</v>
      </c>
      <c r="AD340" s="345">
        <f t="shared" si="148"/>
        <v>0</v>
      </c>
      <c r="AE340" s="345">
        <f t="shared" si="148"/>
        <v>0</v>
      </c>
      <c r="AF340" s="345">
        <f t="shared" si="148"/>
        <v>0</v>
      </c>
      <c r="AG340" s="345">
        <f t="shared" si="148"/>
        <v>0</v>
      </c>
      <c r="AH340" s="345">
        <f t="shared" si="148"/>
        <v>0</v>
      </c>
      <c r="AI340" s="345">
        <f t="shared" ref="AI340:AP340" si="149">AI332-AI339</f>
        <v>0</v>
      </c>
      <c r="AJ340" s="345">
        <f t="shared" si="149"/>
        <v>0</v>
      </c>
      <c r="AK340" s="345">
        <f>AK332-AK339</f>
        <v>0</v>
      </c>
      <c r="AL340" s="345">
        <f>AL332-AL339</f>
        <v>0</v>
      </c>
      <c r="AM340" s="345">
        <f>AM332-AM339</f>
        <v>0</v>
      </c>
      <c r="AN340" s="345">
        <f>AN332-AN339</f>
        <v>0</v>
      </c>
      <c r="AO340" s="345">
        <f>AO332-AO339</f>
        <v>0</v>
      </c>
      <c r="AP340" s="345">
        <f t="shared" si="149"/>
        <v>0</v>
      </c>
      <c r="AQ340" s="345">
        <f t="shared" ref="AQ340:AR340" si="150">AQ332-AQ339</f>
        <v>0</v>
      </c>
      <c r="AR340" s="345">
        <f t="shared" si="150"/>
        <v>0</v>
      </c>
      <c r="AS340" s="345">
        <f t="shared" ref="AS340:AT340" si="151">AS332-AS339</f>
        <v>0</v>
      </c>
      <c r="AT340" s="345">
        <f t="shared" si="151"/>
        <v>0</v>
      </c>
      <c r="AU340" s="345">
        <f t="shared" ref="AU340:AV340" si="152">AU332-AU339</f>
        <v>0</v>
      </c>
      <c r="AV340" s="345">
        <f t="shared" si="152"/>
        <v>0</v>
      </c>
      <c r="AW340" s="641"/>
      <c r="AX340" s="641"/>
      <c r="AY340" s="641"/>
      <c r="AZ340" s="641"/>
      <c r="BA340" s="641"/>
      <c r="BB340" s="641"/>
      <c r="BC340" s="641"/>
      <c r="BD340" s="641"/>
      <c r="BE340" s="641"/>
      <c r="BF340" s="641"/>
      <c r="BG340" s="641"/>
      <c r="BH340" s="641"/>
      <c r="BI340" s="641"/>
      <c r="BJ340" s="641"/>
      <c r="BK340" s="641"/>
      <c r="BL340" s="641"/>
      <c r="BO340" s="356"/>
      <c r="BP340" s="356"/>
      <c r="BQ340" s="356"/>
    </row>
    <row r="341" spans="1:85">
      <c r="B341" s="356"/>
      <c r="C341" s="356"/>
      <c r="D341" s="356"/>
      <c r="E341" s="356"/>
      <c r="F341" s="356"/>
      <c r="G341" s="356"/>
      <c r="H341" s="356"/>
      <c r="I341" s="356"/>
      <c r="J341" s="356"/>
      <c r="R341" s="236"/>
      <c r="S341" s="236"/>
      <c r="BO341" s="356"/>
      <c r="BP341" s="356"/>
      <c r="BQ341" s="356"/>
    </row>
    <row r="342" spans="1:85">
      <c r="A342" s="353" t="s">
        <v>902</v>
      </c>
      <c r="B342" s="356"/>
      <c r="C342" s="356"/>
      <c r="D342" s="356"/>
      <c r="E342" s="356"/>
      <c r="F342" s="356"/>
      <c r="G342" s="356"/>
      <c r="H342" s="356"/>
      <c r="I342" s="356"/>
      <c r="J342" s="356"/>
      <c r="BO342" s="356"/>
      <c r="BP342" s="356"/>
      <c r="BQ342" s="356"/>
    </row>
    <row r="343" spans="1:85">
      <c r="A343" s="92" t="str">
        <f>A324</f>
        <v>Homes passed</v>
      </c>
      <c r="B343" s="356"/>
      <c r="C343" s="357">
        <f t="shared" ref="C343:I343" si="153">C324-B324</f>
        <v>1.2000000000000455</v>
      </c>
      <c r="D343" s="357">
        <f t="shared" si="153"/>
        <v>9.9999999999909051E-2</v>
      </c>
      <c r="E343" s="357">
        <f t="shared" si="153"/>
        <v>0.30000000000006821</v>
      </c>
      <c r="F343" s="357">
        <f t="shared" si="153"/>
        <v>0.10000000000002274</v>
      </c>
      <c r="G343" s="357">
        <f t="shared" si="153"/>
        <v>9.9999999999909051E-2</v>
      </c>
      <c r="H343" s="357">
        <f t="shared" si="153"/>
        <v>0.80000000000006821</v>
      </c>
      <c r="I343" s="357">
        <f t="shared" si="153"/>
        <v>0.89999999999997726</v>
      </c>
      <c r="J343" s="357">
        <f t="shared" ref="J343:AV343" si="154">J324-I324</f>
        <v>0.39999999999997726</v>
      </c>
      <c r="K343" s="357">
        <f t="shared" si="154"/>
        <v>358.30000000000007</v>
      </c>
      <c r="L343" s="357">
        <f t="shared" si="154"/>
        <v>3</v>
      </c>
      <c r="M343" s="357">
        <f t="shared" si="154"/>
        <v>2.5</v>
      </c>
      <c r="N343" s="357">
        <f t="shared" si="154"/>
        <v>1.7999999999999545</v>
      </c>
      <c r="O343" s="357">
        <f t="shared" si="154"/>
        <v>6.0999999999999091</v>
      </c>
      <c r="P343" s="357">
        <f t="shared" si="154"/>
        <v>7.2000000000000455</v>
      </c>
      <c r="Q343" s="357">
        <f t="shared" si="154"/>
        <v>6.5</v>
      </c>
      <c r="R343" s="357">
        <f t="shared" si="154"/>
        <v>2.7000000000000455</v>
      </c>
      <c r="S343" s="357">
        <f t="shared" si="154"/>
        <v>8.5999999999999091</v>
      </c>
      <c r="T343" s="357">
        <f t="shared" si="154"/>
        <v>3.3000000000001819</v>
      </c>
      <c r="U343" s="357">
        <f t="shared" si="154"/>
        <v>-30</v>
      </c>
      <c r="V343" s="357">
        <f t="shared" si="154"/>
        <v>0</v>
      </c>
      <c r="W343" s="357">
        <f t="shared" si="154"/>
        <v>0</v>
      </c>
      <c r="X343" s="357">
        <f t="shared" si="154"/>
        <v>0</v>
      </c>
      <c r="Y343" s="357">
        <f t="shared" si="154"/>
        <v>11.5</v>
      </c>
      <c r="Z343" s="357">
        <f t="shared" si="154"/>
        <v>5.3999999999998636</v>
      </c>
      <c r="AA343" s="357">
        <f t="shared" si="154"/>
        <v>5.1000000000001364</v>
      </c>
      <c r="AB343" s="357">
        <f t="shared" si="154"/>
        <v>3.5</v>
      </c>
      <c r="AC343" s="357">
        <f t="shared" si="154"/>
        <v>8.5999999999999091</v>
      </c>
      <c r="AD343" s="357">
        <f t="shared" si="154"/>
        <v>7.4000000000000909</v>
      </c>
      <c r="AE343" s="357">
        <f t="shared" si="154"/>
        <v>6.1999999999998181</v>
      </c>
      <c r="AF343" s="357">
        <f t="shared" si="154"/>
        <v>5.2000000000000455</v>
      </c>
      <c r="AG343" s="357">
        <f t="shared" si="154"/>
        <v>7.9000000000000909</v>
      </c>
      <c r="AH343" s="357">
        <f t="shared" si="154"/>
        <v>2.2999999999999545</v>
      </c>
      <c r="AI343" s="357">
        <f t="shared" si="154"/>
        <v>6.4000000000000909</v>
      </c>
      <c r="AJ343" s="357">
        <f t="shared" si="154"/>
        <v>4.3999999999998636</v>
      </c>
      <c r="AK343" s="357">
        <f t="shared" si="154"/>
        <v>9.4000000000000909</v>
      </c>
      <c r="AL343" s="357">
        <f t="shared" si="154"/>
        <v>3.2000000000000455</v>
      </c>
      <c r="AM343" s="357">
        <f t="shared" si="154"/>
        <v>3.0999999999999091</v>
      </c>
      <c r="AN343" s="357">
        <f t="shared" si="154"/>
        <v>3</v>
      </c>
      <c r="AO343" s="357">
        <f t="shared" si="154"/>
        <v>4.0999999999999091</v>
      </c>
      <c r="AP343" s="357">
        <f t="shared" si="154"/>
        <v>1.6000000000001364</v>
      </c>
      <c r="AQ343" s="357">
        <f t="shared" si="154"/>
        <v>0.79999999999995453</v>
      </c>
      <c r="AR343" s="357">
        <f t="shared" si="154"/>
        <v>1.7000000000000455</v>
      </c>
      <c r="AS343" s="357">
        <f t="shared" si="154"/>
        <v>1</v>
      </c>
      <c r="AT343" s="357">
        <f t="shared" si="154"/>
        <v>1</v>
      </c>
      <c r="AU343" s="357">
        <f t="shared" si="154"/>
        <v>1.3999999999998636</v>
      </c>
      <c r="AV343" s="357">
        <f t="shared" si="154"/>
        <v>3.4000000000000909</v>
      </c>
      <c r="AW343" s="236"/>
      <c r="AX343" s="236"/>
      <c r="AY343" s="236"/>
      <c r="AZ343" s="236"/>
      <c r="BA343" s="236"/>
      <c r="BB343" s="236"/>
      <c r="BC343" s="236"/>
      <c r="BD343" s="236"/>
      <c r="BE343" s="236"/>
      <c r="BF343" s="236"/>
      <c r="BG343" s="236"/>
      <c r="BH343" s="236"/>
      <c r="BI343" s="236"/>
      <c r="BJ343" s="236"/>
      <c r="BK343" s="236"/>
      <c r="BL343" s="236"/>
      <c r="BO343" s="356"/>
      <c r="BP343" s="356"/>
      <c r="BQ343" s="356"/>
    </row>
    <row r="344" spans="1:85">
      <c r="A344" s="92" t="str">
        <f>A326</f>
        <v>Customers</v>
      </c>
      <c r="B344" s="356"/>
      <c r="C344" s="357">
        <f t="shared" ref="C344:I344" si="155">C326-B326</f>
        <v>-1.0999999999999659</v>
      </c>
      <c r="D344" s="357">
        <f t="shared" si="155"/>
        <v>-1.1000000000000227</v>
      </c>
      <c r="E344" s="357">
        <f t="shared" si="155"/>
        <v>1.8000000000000114</v>
      </c>
      <c r="F344" s="357">
        <f t="shared" si="155"/>
        <v>2.5</v>
      </c>
      <c r="G344" s="357">
        <f t="shared" si="155"/>
        <v>0.39999999999997726</v>
      </c>
      <c r="H344" s="357">
        <f t="shared" si="155"/>
        <v>3.1000000000000227</v>
      </c>
      <c r="I344" s="357">
        <f t="shared" si="155"/>
        <v>2.8000000000000114</v>
      </c>
      <c r="J344" s="357">
        <f t="shared" ref="J344:AL344" si="156">J326-I326</f>
        <v>1.5999999999999659</v>
      </c>
      <c r="K344" s="357">
        <f t="shared" si="156"/>
        <v>115.69999999999999</v>
      </c>
      <c r="L344" s="357">
        <f t="shared" si="156"/>
        <v>0.60000000000002274</v>
      </c>
      <c r="M344" s="357">
        <f t="shared" si="156"/>
        <v>1.3999999999999773</v>
      </c>
      <c r="N344" s="357">
        <f t="shared" si="156"/>
        <v>-0.79999999999995453</v>
      </c>
      <c r="O344" s="357">
        <f t="shared" si="156"/>
        <v>-3.3000000000000114</v>
      </c>
      <c r="P344" s="357">
        <f t="shared" si="156"/>
        <v>1.0999999999999659</v>
      </c>
      <c r="Q344" s="357">
        <f t="shared" si="156"/>
        <v>5.8000000000000114</v>
      </c>
      <c r="R344" s="357">
        <f t="shared" si="156"/>
        <v>3</v>
      </c>
      <c r="S344" s="357">
        <f t="shared" si="156"/>
        <v>-0.80000000000001137</v>
      </c>
      <c r="T344" s="357">
        <f t="shared" si="156"/>
        <v>2.3000000000000114</v>
      </c>
      <c r="U344" s="357">
        <f t="shared" si="156"/>
        <v>-30.5</v>
      </c>
      <c r="V344" s="357">
        <f t="shared" si="156"/>
        <v>-7.3999999999999773</v>
      </c>
      <c r="W344" s="357">
        <f t="shared" si="156"/>
        <v>-8.1999999999999886</v>
      </c>
      <c r="X344" s="357">
        <f t="shared" si="156"/>
        <v>-3.9000000000000341</v>
      </c>
      <c r="Y344" s="357">
        <f t="shared" si="156"/>
        <v>17.900000000000034</v>
      </c>
      <c r="Z344" s="357">
        <f t="shared" si="156"/>
        <v>11.199999999999989</v>
      </c>
      <c r="AA344" s="357">
        <f t="shared" si="156"/>
        <v>4.6999999999999886</v>
      </c>
      <c r="AB344" s="357">
        <f t="shared" si="156"/>
        <v>5.5</v>
      </c>
      <c r="AC344" s="357">
        <f t="shared" si="156"/>
        <v>7.1000000000000227</v>
      </c>
      <c r="AD344" s="357">
        <f t="shared" si="156"/>
        <v>5.1999999999999886</v>
      </c>
      <c r="AE344" s="357">
        <f t="shared" si="156"/>
        <v>20.300000000000011</v>
      </c>
      <c r="AF344" s="357">
        <f t="shared" si="156"/>
        <v>26.199999999999989</v>
      </c>
      <c r="AG344" s="357">
        <f t="shared" si="156"/>
        <v>24.199999999999989</v>
      </c>
      <c r="AH344" s="357">
        <f t="shared" si="156"/>
        <v>11.800000000000011</v>
      </c>
      <c r="AI344" s="357">
        <f t="shared" si="156"/>
        <v>16.300000000000011</v>
      </c>
      <c r="AJ344" s="357">
        <f t="shared" si="156"/>
        <v>8</v>
      </c>
      <c r="AK344" s="357">
        <f t="shared" si="156"/>
        <v>3.8999999999999773</v>
      </c>
      <c r="AL344" s="357">
        <f t="shared" si="156"/>
        <v>14.399999999999977</v>
      </c>
      <c r="AM344" s="357">
        <f t="shared" ref="AM344:AS344" si="157">AM326-AL326</f>
        <v>10.200000000000045</v>
      </c>
      <c r="AN344" s="357">
        <f t="shared" si="157"/>
        <v>9.1000000000000227</v>
      </c>
      <c r="AO344" s="357">
        <f t="shared" si="157"/>
        <v>-3.1000000000000227</v>
      </c>
      <c r="AP344" s="357">
        <f t="shared" si="157"/>
        <v>17.100000000000023</v>
      </c>
      <c r="AQ344" s="357">
        <f t="shared" si="157"/>
        <v>-16.300000000000068</v>
      </c>
      <c r="AR344" s="357">
        <f t="shared" si="157"/>
        <v>25.899999999999977</v>
      </c>
      <c r="AS344" s="357">
        <f t="shared" si="157"/>
        <v>3</v>
      </c>
      <c r="AT344" s="357">
        <f>AT326-AS326</f>
        <v>2.4000000000000909</v>
      </c>
      <c r="AU344" s="357">
        <f>AU326-AT326</f>
        <v>-1.5</v>
      </c>
      <c r="AV344" s="357">
        <f>AV326-AU326</f>
        <v>-5.5</v>
      </c>
      <c r="AW344" s="236"/>
      <c r="AX344" s="236"/>
      <c r="AY344" s="236"/>
      <c r="AZ344" s="236"/>
      <c r="BA344" s="236"/>
      <c r="BB344" s="236"/>
      <c r="BC344" s="236"/>
      <c r="BD344" s="236"/>
      <c r="BE344" s="236"/>
      <c r="BF344" s="236"/>
      <c r="BG344" s="236"/>
      <c r="BH344" s="236"/>
      <c r="BI344" s="236"/>
      <c r="BJ344" s="236"/>
      <c r="BK344" s="236"/>
      <c r="BL344" s="236"/>
      <c r="BO344" s="356"/>
      <c r="BP344" s="356"/>
      <c r="BQ344" s="356"/>
    </row>
    <row r="345" spans="1:85">
      <c r="A345" s="92" t="str">
        <f>A329</f>
        <v>TV</v>
      </c>
      <c r="B345" s="356"/>
      <c r="C345" s="357">
        <f t="shared" ref="C345:I347" si="158">C329-B329</f>
        <v>1.4000000000000057</v>
      </c>
      <c r="D345" s="357">
        <f t="shared" si="158"/>
        <v>2.1999999999999886</v>
      </c>
      <c r="E345" s="357">
        <f t="shared" si="158"/>
        <v>1.5</v>
      </c>
      <c r="F345" s="357">
        <f t="shared" si="158"/>
        <v>3.6999999999999886</v>
      </c>
      <c r="G345" s="357">
        <f t="shared" si="158"/>
        <v>1.2000000000000171</v>
      </c>
      <c r="H345" s="357">
        <f t="shared" si="158"/>
        <v>2.5</v>
      </c>
      <c r="I345" s="357">
        <f t="shared" si="158"/>
        <v>2</v>
      </c>
      <c r="J345" s="357">
        <f t="shared" ref="J345:X345" si="159">J329-I329</f>
        <v>0.5</v>
      </c>
      <c r="K345" s="357">
        <f t="shared" si="159"/>
        <v>47.400000000000006</v>
      </c>
      <c r="L345" s="357">
        <f t="shared" si="159"/>
        <v>-2.8000000000000114</v>
      </c>
      <c r="M345" s="357">
        <f t="shared" si="159"/>
        <v>-1.1000000000000227</v>
      </c>
      <c r="N345" s="357">
        <f t="shared" si="159"/>
        <v>-0.89999999999997726</v>
      </c>
      <c r="O345" s="357">
        <f t="shared" si="159"/>
        <v>-1.6000000000000227</v>
      </c>
      <c r="P345" s="357">
        <f t="shared" si="159"/>
        <v>-0.79999999999995453</v>
      </c>
      <c r="Q345" s="357">
        <f t="shared" si="159"/>
        <v>0.69999999999998863</v>
      </c>
      <c r="R345" s="357">
        <f t="shared" si="159"/>
        <v>-0.40000000000003411</v>
      </c>
      <c r="S345" s="357">
        <f t="shared" si="159"/>
        <v>-2.1999999999999886</v>
      </c>
      <c r="T345" s="357">
        <f t="shared" si="159"/>
        <v>-3.6999999999999886</v>
      </c>
      <c r="U345" s="357">
        <f t="shared" si="159"/>
        <v>-22.900000000000006</v>
      </c>
      <c r="V345" s="357">
        <f t="shared" si="159"/>
        <v>-9.9000000000000057</v>
      </c>
      <c r="W345" s="357">
        <f t="shared" si="159"/>
        <v>-7.6999999999999886</v>
      </c>
      <c r="X345" s="357">
        <f t="shared" si="159"/>
        <v>-6.4000000000000057</v>
      </c>
      <c r="Y345" s="357">
        <f t="shared" ref="Y345:AV345" si="160">Y329-X329</f>
        <v>9</v>
      </c>
      <c r="Z345" s="357">
        <f t="shared" si="160"/>
        <v>4.5999999999999943</v>
      </c>
      <c r="AA345" s="357">
        <f t="shared" si="160"/>
        <v>-1.6999999999999886</v>
      </c>
      <c r="AB345" s="357">
        <f t="shared" si="160"/>
        <v>-1</v>
      </c>
      <c r="AC345" s="357">
        <f t="shared" si="160"/>
        <v>2.6999999999999886</v>
      </c>
      <c r="AD345" s="357">
        <f t="shared" si="160"/>
        <v>-9.9999999999994316E-2</v>
      </c>
      <c r="AE345" s="357">
        <f t="shared" si="160"/>
        <v>3.7000000000000171</v>
      </c>
      <c r="AF345" s="357">
        <f t="shared" si="160"/>
        <v>5.7999999999999829</v>
      </c>
      <c r="AG345" s="357">
        <f t="shared" si="160"/>
        <v>4.0999999999999943</v>
      </c>
      <c r="AH345" s="357">
        <f t="shared" si="160"/>
        <v>3.2000000000000171</v>
      </c>
      <c r="AI345" s="357">
        <f t="shared" si="160"/>
        <v>3.7999999999999829</v>
      </c>
      <c r="AJ345" s="357">
        <f t="shared" si="160"/>
        <v>1.7000000000000171</v>
      </c>
      <c r="AK345" s="357">
        <f t="shared" si="160"/>
        <v>1.7999999999999829</v>
      </c>
      <c r="AL345" s="357">
        <f t="shared" si="160"/>
        <v>1.3000000000000114</v>
      </c>
      <c r="AM345" s="357">
        <f t="shared" si="160"/>
        <v>0.30000000000001137</v>
      </c>
      <c r="AN345" s="357">
        <f t="shared" si="160"/>
        <v>0.19999999999998863</v>
      </c>
      <c r="AO345" s="357">
        <f t="shared" si="160"/>
        <v>-4.6999999999999886</v>
      </c>
      <c r="AP345" s="357">
        <f t="shared" si="160"/>
        <v>-0.10000000000002274</v>
      </c>
      <c r="AQ345" s="357">
        <f t="shared" si="160"/>
        <v>-1.2999999999999829</v>
      </c>
      <c r="AR345" s="357">
        <f t="shared" si="160"/>
        <v>-2.5</v>
      </c>
      <c r="AS345" s="357">
        <f t="shared" si="160"/>
        <v>-1.8000000000000114</v>
      </c>
      <c r="AT345" s="357">
        <f t="shared" si="160"/>
        <v>-2.0999999999999943</v>
      </c>
      <c r="AU345" s="357">
        <f t="shared" si="160"/>
        <v>-2.9000000000000057</v>
      </c>
      <c r="AV345" s="357">
        <f t="shared" si="160"/>
        <v>-1.2999999999999829</v>
      </c>
      <c r="AW345" s="236"/>
      <c r="AX345" s="236"/>
      <c r="AY345" s="236"/>
      <c r="AZ345" s="236"/>
      <c r="BA345" s="236"/>
      <c r="BB345" s="236"/>
      <c r="BC345" s="236"/>
      <c r="BD345" s="236"/>
      <c r="BE345" s="236"/>
      <c r="BF345" s="236"/>
      <c r="BG345" s="236"/>
      <c r="BH345" s="236"/>
      <c r="BI345" s="236"/>
      <c r="BJ345" s="236"/>
      <c r="BK345" s="236"/>
      <c r="BL345" s="236"/>
      <c r="BO345" s="356"/>
      <c r="BP345" s="356"/>
      <c r="BQ345" s="356"/>
    </row>
    <row r="346" spans="1:85">
      <c r="A346" s="92" t="str">
        <f>A330</f>
        <v>Broadband</v>
      </c>
      <c r="B346" s="356"/>
      <c r="C346" s="357">
        <f t="shared" si="158"/>
        <v>2.5999999999999943</v>
      </c>
      <c r="D346" s="357">
        <f t="shared" si="158"/>
        <v>1.5999999999999943</v>
      </c>
      <c r="E346" s="357">
        <f t="shared" si="158"/>
        <v>4.0999999999999943</v>
      </c>
      <c r="F346" s="357">
        <f t="shared" si="158"/>
        <v>4.8000000000000114</v>
      </c>
      <c r="G346" s="357">
        <f t="shared" si="158"/>
        <v>2.4000000000000057</v>
      </c>
      <c r="H346" s="357">
        <f t="shared" si="158"/>
        <v>5.9000000000000057</v>
      </c>
      <c r="I346" s="357">
        <f t="shared" si="158"/>
        <v>5</v>
      </c>
      <c r="J346" s="357">
        <f t="shared" ref="J346:X346" si="161">J330-I330</f>
        <v>3.6999999999999886</v>
      </c>
      <c r="K346" s="357">
        <f t="shared" si="161"/>
        <v>94.199999999999989</v>
      </c>
      <c r="L346" s="357">
        <f t="shared" si="161"/>
        <v>5.3000000000000114</v>
      </c>
      <c r="M346" s="357">
        <f t="shared" si="161"/>
        <v>5.5</v>
      </c>
      <c r="N346" s="357">
        <f t="shared" si="161"/>
        <v>2.1999999999999886</v>
      </c>
      <c r="O346" s="357">
        <f t="shared" si="161"/>
        <v>0</v>
      </c>
      <c r="P346" s="357">
        <f t="shared" si="161"/>
        <v>2.1999999999999886</v>
      </c>
      <c r="Q346" s="357">
        <f t="shared" si="161"/>
        <v>5.6000000000000227</v>
      </c>
      <c r="R346" s="357">
        <f t="shared" si="161"/>
        <v>4.8000000000000114</v>
      </c>
      <c r="S346" s="357">
        <f t="shared" si="161"/>
        <v>0.39999999999997726</v>
      </c>
      <c r="T346" s="357">
        <f t="shared" si="161"/>
        <v>3.6000000000000227</v>
      </c>
      <c r="U346" s="357">
        <f t="shared" si="161"/>
        <v>-24.699999999999989</v>
      </c>
      <c r="V346" s="357">
        <f t="shared" si="161"/>
        <v>-2.6000000000000227</v>
      </c>
      <c r="W346" s="357">
        <f t="shared" si="161"/>
        <v>-2.8000000000000114</v>
      </c>
      <c r="X346" s="357">
        <f t="shared" si="161"/>
        <v>-2.8000000000000114</v>
      </c>
      <c r="Y346" s="357">
        <f t="shared" ref="Y346:AV346" si="162">Y330-X330</f>
        <v>19.100000000000023</v>
      </c>
      <c r="Z346" s="357">
        <f t="shared" si="162"/>
        <v>11.5</v>
      </c>
      <c r="AA346" s="357">
        <f t="shared" si="162"/>
        <v>4.8999999999999773</v>
      </c>
      <c r="AB346" s="357">
        <f t="shared" si="162"/>
        <v>6.3000000000000114</v>
      </c>
      <c r="AC346" s="357">
        <f t="shared" si="162"/>
        <v>7</v>
      </c>
      <c r="AD346" s="357">
        <f t="shared" si="162"/>
        <v>6.4000000000000341</v>
      </c>
      <c r="AE346" s="357">
        <f t="shared" si="162"/>
        <v>21.5</v>
      </c>
      <c r="AF346" s="357">
        <f t="shared" si="162"/>
        <v>27.299999999999955</v>
      </c>
      <c r="AG346" s="357">
        <f t="shared" si="162"/>
        <v>25.400000000000034</v>
      </c>
      <c r="AH346" s="357">
        <f t="shared" si="162"/>
        <v>15.199999999999989</v>
      </c>
      <c r="AI346" s="357">
        <f t="shared" si="162"/>
        <v>12.600000000000023</v>
      </c>
      <c r="AJ346" s="357">
        <f t="shared" si="162"/>
        <v>9.0999999999999659</v>
      </c>
      <c r="AK346" s="357">
        <f t="shared" si="162"/>
        <v>7.6999999999999886</v>
      </c>
      <c r="AL346" s="357">
        <f t="shared" si="162"/>
        <v>17.100000000000023</v>
      </c>
      <c r="AM346" s="357">
        <f t="shared" si="162"/>
        <v>7</v>
      </c>
      <c r="AN346" s="357">
        <f t="shared" si="162"/>
        <v>10.600000000000023</v>
      </c>
      <c r="AO346" s="357">
        <f t="shared" si="162"/>
        <v>10.399999999999977</v>
      </c>
      <c r="AP346" s="357">
        <f t="shared" si="162"/>
        <v>7.5</v>
      </c>
      <c r="AQ346" s="357">
        <f t="shared" si="162"/>
        <v>5.7999999999999545</v>
      </c>
      <c r="AR346" s="357">
        <f t="shared" si="162"/>
        <v>5.6000000000000227</v>
      </c>
      <c r="AS346" s="357">
        <f t="shared" si="162"/>
        <v>4.2000000000000455</v>
      </c>
      <c r="AT346" s="357">
        <f t="shared" si="162"/>
        <v>3.3999999999999773</v>
      </c>
      <c r="AU346" s="357">
        <f t="shared" si="162"/>
        <v>-0.39999999999997726</v>
      </c>
      <c r="AV346" s="357">
        <f t="shared" si="162"/>
        <v>-4.6000000000000227</v>
      </c>
      <c r="AW346" s="236"/>
      <c r="AX346" s="236"/>
      <c r="AY346" s="236"/>
      <c r="AZ346" s="236"/>
      <c r="BA346" s="236"/>
      <c r="BB346" s="236"/>
      <c r="BC346" s="236"/>
      <c r="BD346" s="236"/>
      <c r="BE346" s="236"/>
      <c r="BF346" s="236"/>
      <c r="BG346" s="236"/>
      <c r="BH346" s="236"/>
      <c r="BI346" s="236"/>
      <c r="BJ346" s="236"/>
      <c r="BK346" s="236"/>
      <c r="BL346" s="236"/>
      <c r="BO346" s="356"/>
      <c r="BP346" s="356"/>
      <c r="BQ346" s="356"/>
    </row>
    <row r="347" spans="1:85">
      <c r="A347" s="92" t="str">
        <f>A331</f>
        <v>Telephony</v>
      </c>
      <c r="B347" s="356"/>
      <c r="C347" s="357">
        <f t="shared" si="158"/>
        <v>10</v>
      </c>
      <c r="D347" s="357">
        <f t="shared" si="158"/>
        <v>9.5</v>
      </c>
      <c r="E347" s="357">
        <f t="shared" si="158"/>
        <v>11.099999999999994</v>
      </c>
      <c r="F347" s="357">
        <f t="shared" si="158"/>
        <v>8.7000000000000171</v>
      </c>
      <c r="G347" s="357">
        <f t="shared" si="158"/>
        <v>5.2999999999999829</v>
      </c>
      <c r="H347" s="357">
        <f t="shared" si="158"/>
        <v>7.0999999999999943</v>
      </c>
      <c r="I347" s="357">
        <f t="shared" si="158"/>
        <v>6.5</v>
      </c>
      <c r="J347" s="357">
        <f t="shared" ref="J347:AL347" si="163">J331-I331</f>
        <v>5.8000000000000114</v>
      </c>
      <c r="K347" s="357">
        <f t="shared" si="163"/>
        <v>20.599999999999994</v>
      </c>
      <c r="L347" s="357">
        <f t="shared" si="163"/>
        <v>3.7000000000000171</v>
      </c>
      <c r="M347" s="357">
        <f t="shared" si="163"/>
        <v>3.1999999999999886</v>
      </c>
      <c r="N347" s="357">
        <f t="shared" si="163"/>
        <v>3.8000000000000114</v>
      </c>
      <c r="O347" s="357">
        <f t="shared" si="163"/>
        <v>4</v>
      </c>
      <c r="P347" s="357">
        <f t="shared" si="163"/>
        <v>3.3999999999999773</v>
      </c>
      <c r="Q347" s="357">
        <f t="shared" si="163"/>
        <v>3.6000000000000227</v>
      </c>
      <c r="R347" s="357">
        <f t="shared" si="163"/>
        <v>2.0999999999999943</v>
      </c>
      <c r="S347" s="357">
        <f t="shared" si="163"/>
        <v>-0.59999999999999432</v>
      </c>
      <c r="T347" s="357">
        <f t="shared" si="163"/>
        <v>0.39999999999997726</v>
      </c>
      <c r="U347" s="357">
        <f t="shared" si="163"/>
        <v>-17.399999999999977</v>
      </c>
      <c r="V347" s="357">
        <f t="shared" si="163"/>
        <v>-2.9000000000000057</v>
      </c>
      <c r="W347" s="357">
        <f t="shared" si="163"/>
        <v>-1.4000000000000057</v>
      </c>
      <c r="X347" s="357">
        <f t="shared" si="163"/>
        <v>-3.4000000000000057</v>
      </c>
      <c r="Y347" s="357">
        <f t="shared" si="163"/>
        <v>11.900000000000006</v>
      </c>
      <c r="Z347" s="357">
        <f t="shared" si="163"/>
        <v>6.1999999999999886</v>
      </c>
      <c r="AA347" s="357">
        <f t="shared" si="163"/>
        <v>1.3000000000000114</v>
      </c>
      <c r="AB347" s="357">
        <f t="shared" si="163"/>
        <v>1</v>
      </c>
      <c r="AC347" s="357">
        <f t="shared" si="163"/>
        <v>3.6999999999999886</v>
      </c>
      <c r="AD347" s="357">
        <f t="shared" si="163"/>
        <v>2.7000000000000171</v>
      </c>
      <c r="AE347" s="357">
        <f t="shared" si="163"/>
        <v>8.2999999999999829</v>
      </c>
      <c r="AF347" s="357">
        <f t="shared" si="163"/>
        <v>9.6000000000000227</v>
      </c>
      <c r="AG347" s="357">
        <f t="shared" si="163"/>
        <v>5.7999999999999829</v>
      </c>
      <c r="AH347" s="357">
        <f t="shared" si="163"/>
        <v>6.2000000000000171</v>
      </c>
      <c r="AI347" s="357">
        <f t="shared" si="163"/>
        <v>5.3999999999999773</v>
      </c>
      <c r="AJ347" s="357">
        <f t="shared" si="163"/>
        <v>2.4000000000000057</v>
      </c>
      <c r="AK347" s="357">
        <f t="shared" si="163"/>
        <v>2.4000000000000057</v>
      </c>
      <c r="AL347" s="357">
        <f t="shared" si="163"/>
        <v>3.0999999999999943</v>
      </c>
      <c r="AM347" s="357">
        <f t="shared" ref="AM347:AS347" si="164">AM331-AL331</f>
        <v>2.4000000000000057</v>
      </c>
      <c r="AN347" s="357">
        <f t="shared" si="164"/>
        <v>2.6999999999999886</v>
      </c>
      <c r="AO347" s="357">
        <f t="shared" si="164"/>
        <v>-3.3000000000000114</v>
      </c>
      <c r="AP347" s="357">
        <f t="shared" si="164"/>
        <v>2.7000000000000455</v>
      </c>
      <c r="AQ347" s="357">
        <f t="shared" si="164"/>
        <v>2.2999999999999545</v>
      </c>
      <c r="AR347" s="357">
        <f t="shared" si="164"/>
        <v>0.90000000000003411</v>
      </c>
      <c r="AS347" s="357">
        <f t="shared" si="164"/>
        <v>5.5</v>
      </c>
      <c r="AT347" s="357">
        <f>AT331-AS331</f>
        <v>5.3999999999999773</v>
      </c>
      <c r="AU347" s="357">
        <f>AU331-AT331</f>
        <v>1.1999999999999886</v>
      </c>
      <c r="AV347" s="357">
        <f>AV331-AU331</f>
        <v>4.6000000000000227</v>
      </c>
      <c r="AW347" s="236"/>
      <c r="AX347" s="236"/>
      <c r="AY347" s="236"/>
      <c r="AZ347" s="236"/>
      <c r="BA347" s="236"/>
      <c r="BB347" s="236"/>
      <c r="BC347" s="236"/>
      <c r="BD347" s="236"/>
      <c r="BE347" s="236"/>
      <c r="BF347" s="236"/>
      <c r="BG347" s="236"/>
      <c r="BH347" s="236"/>
      <c r="BI347" s="236"/>
      <c r="BJ347" s="236"/>
      <c r="BK347" s="236"/>
      <c r="BL347" s="236"/>
      <c r="BO347" s="356"/>
      <c r="BP347" s="356"/>
      <c r="BQ347" s="356"/>
    </row>
    <row r="348" spans="1:85">
      <c r="A348" s="92" t="s">
        <v>54</v>
      </c>
      <c r="B348" s="356"/>
      <c r="C348" s="357"/>
      <c r="D348" s="357"/>
      <c r="E348" s="357"/>
      <c r="F348" s="357"/>
      <c r="G348" s="357"/>
      <c r="H348" s="357"/>
      <c r="I348" s="357"/>
      <c r="J348" s="357"/>
      <c r="K348" s="357"/>
      <c r="L348" s="357"/>
      <c r="M348" s="357"/>
      <c r="N348" s="357"/>
      <c r="O348" s="357"/>
      <c r="P348" s="357"/>
      <c r="Q348" s="357"/>
      <c r="R348" s="357"/>
      <c r="S348" s="357"/>
      <c r="T348" s="357"/>
      <c r="U348" s="357"/>
      <c r="V348" s="357"/>
      <c r="W348" s="357"/>
      <c r="X348" s="357"/>
      <c r="Y348" s="936">
        <f t="shared" ref="Y348:AL348" si="165">Y339-X339</f>
        <v>40</v>
      </c>
      <c r="Z348" s="936">
        <f t="shared" si="165"/>
        <v>22.300000000000068</v>
      </c>
      <c r="AA348" s="936">
        <f t="shared" si="165"/>
        <v>4.4999999999998863</v>
      </c>
      <c r="AB348" s="936">
        <f t="shared" si="165"/>
        <v>6.3000000000000682</v>
      </c>
      <c r="AC348" s="936">
        <f t="shared" si="165"/>
        <v>13.399999999999864</v>
      </c>
      <c r="AD348" s="936">
        <f t="shared" si="165"/>
        <v>9.0000000000001137</v>
      </c>
      <c r="AE348" s="936">
        <f t="shared" si="165"/>
        <v>33.500000000000114</v>
      </c>
      <c r="AF348" s="936">
        <f t="shared" si="165"/>
        <v>42.699999999999818</v>
      </c>
      <c r="AG348" s="936">
        <f t="shared" si="165"/>
        <v>35.300000000000068</v>
      </c>
      <c r="AH348" s="936">
        <f t="shared" si="165"/>
        <v>24.600000000000023</v>
      </c>
      <c r="AI348" s="936">
        <f t="shared" si="165"/>
        <v>21.799999999999955</v>
      </c>
      <c r="AJ348" s="936">
        <f t="shared" si="165"/>
        <v>13.200000000000045</v>
      </c>
      <c r="AK348" s="936">
        <f t="shared" si="165"/>
        <v>11.899999999999864</v>
      </c>
      <c r="AL348" s="936">
        <f t="shared" si="165"/>
        <v>21.500000000000114</v>
      </c>
      <c r="AM348" s="936">
        <f t="shared" ref="AM348:AV348" si="166">AM339-AL339</f>
        <v>9.6999999999999318</v>
      </c>
      <c r="AN348" s="936">
        <f t="shared" si="166"/>
        <v>13.5</v>
      </c>
      <c r="AO348" s="936">
        <f t="shared" si="166"/>
        <v>2.3999999999998636</v>
      </c>
      <c r="AP348" s="936">
        <f t="shared" si="166"/>
        <v>10.100000000000364</v>
      </c>
      <c r="AQ348" s="936">
        <f t="shared" si="166"/>
        <v>6.7999999999997272</v>
      </c>
      <c r="AR348" s="936">
        <f t="shared" si="166"/>
        <v>4</v>
      </c>
      <c r="AS348" s="936">
        <f t="shared" si="166"/>
        <v>7.9000000000000909</v>
      </c>
      <c r="AT348" s="936">
        <f t="shared" si="166"/>
        <v>6.7000000000000455</v>
      </c>
      <c r="AU348" s="936">
        <f t="shared" si="166"/>
        <v>-2.1000000000001364</v>
      </c>
      <c r="AV348" s="936">
        <f t="shared" si="166"/>
        <v>-1.2999999999999545</v>
      </c>
      <c r="AW348" s="936"/>
      <c r="AX348" s="936"/>
      <c r="AY348" s="936"/>
      <c r="AZ348" s="936"/>
      <c r="BA348" s="936"/>
      <c r="BB348" s="936"/>
      <c r="BC348" s="936"/>
      <c r="BD348" s="936"/>
      <c r="BE348" s="936"/>
      <c r="BF348" s="936"/>
      <c r="BG348" s="936"/>
      <c r="BH348" s="936"/>
      <c r="BI348" s="936"/>
      <c r="BJ348" s="936"/>
      <c r="BK348" s="936"/>
      <c r="BL348" s="936"/>
      <c r="BO348" s="356"/>
      <c r="BP348" s="356"/>
      <c r="BQ348" s="356"/>
    </row>
    <row r="349" spans="1:85">
      <c r="B349" s="356"/>
      <c r="C349" s="356"/>
      <c r="D349" s="356"/>
      <c r="E349" s="356"/>
      <c r="F349" s="356"/>
      <c r="G349" s="356"/>
      <c r="H349" s="356"/>
      <c r="I349" s="356"/>
      <c r="J349" s="356"/>
      <c r="BO349" s="356"/>
      <c r="BP349" s="356"/>
      <c r="BQ349" s="356"/>
    </row>
    <row r="350" spans="1:85">
      <c r="A350" s="353" t="s">
        <v>928</v>
      </c>
      <c r="B350" s="356"/>
      <c r="C350" s="356"/>
      <c r="D350" s="356"/>
      <c r="E350" s="356"/>
      <c r="F350" s="356"/>
      <c r="G350" s="356"/>
      <c r="H350" s="356"/>
      <c r="I350" s="356"/>
      <c r="J350" s="356"/>
      <c r="K350" s="313"/>
      <c r="AC350" s="313"/>
      <c r="AD350" s="313"/>
      <c r="AE350" s="313"/>
      <c r="AF350" s="313"/>
      <c r="AG350" s="313"/>
      <c r="AH350" s="313"/>
      <c r="AI350" s="313"/>
      <c r="AJ350" s="313"/>
      <c r="AK350" s="313"/>
      <c r="AL350" s="313"/>
      <c r="AM350" s="313"/>
      <c r="AN350" s="313"/>
      <c r="AO350" s="313"/>
      <c r="BO350" s="356"/>
      <c r="BP350" s="356"/>
      <c r="BQ350" s="356"/>
      <c r="BZ350" s="356" t="str">
        <f t="shared" ref="BZ350:CE350" si="167">P322</f>
        <v>Q3 16</v>
      </c>
      <c r="CA350" s="356" t="str">
        <f t="shared" si="167"/>
        <v>Q4 16</v>
      </c>
      <c r="CB350" s="356" t="str">
        <f t="shared" si="167"/>
        <v>Q1 17</v>
      </c>
      <c r="CC350" s="356" t="str">
        <f t="shared" si="167"/>
        <v>Q2 17</v>
      </c>
      <c r="CD350" s="356" t="str">
        <f t="shared" si="167"/>
        <v>Q3 17</v>
      </c>
      <c r="CE350" s="356" t="str">
        <f t="shared" si="167"/>
        <v>Q4 17</v>
      </c>
    </row>
    <row r="351" spans="1:85">
      <c r="A351" s="92" t="str">
        <f>A266</f>
        <v>Revenue</v>
      </c>
      <c r="B351" s="92">
        <f>PR!BV53</f>
        <v>73.2</v>
      </c>
      <c r="C351" s="92">
        <f>PR!BW53</f>
        <v>74.099999999999994</v>
      </c>
      <c r="D351" s="92">
        <f>PR!BX53</f>
        <v>74.7</v>
      </c>
      <c r="E351" s="92">
        <f>PR!BY53</f>
        <v>75.2</v>
      </c>
      <c r="F351" s="92">
        <f>PR!BZ53</f>
        <v>74.7</v>
      </c>
      <c r="G351" s="92">
        <f>PR!CA53</f>
        <v>76.599999999999994</v>
      </c>
      <c r="H351" s="92">
        <f>PR!CB53</f>
        <v>76.3</v>
      </c>
      <c r="I351" s="92">
        <f>PR!CC53</f>
        <v>78.5</v>
      </c>
      <c r="J351" s="236">
        <f>PR!CD53</f>
        <v>79</v>
      </c>
      <c r="K351" s="92">
        <v>90.6</v>
      </c>
      <c r="L351" s="92">
        <v>104.5</v>
      </c>
      <c r="M351" s="92">
        <v>105.1</v>
      </c>
      <c r="N351" s="92">
        <v>103.9</v>
      </c>
      <c r="O351" s="92">
        <v>106.9</v>
      </c>
      <c r="P351" s="92">
        <v>104.8</v>
      </c>
      <c r="Q351" s="92">
        <v>105.2</v>
      </c>
      <c r="R351" s="236">
        <v>106.7</v>
      </c>
      <c r="S351" s="236">
        <v>108.3</v>
      </c>
      <c r="T351" s="236">
        <v>88.6</v>
      </c>
      <c r="U351" s="236">
        <v>16.899999999999999</v>
      </c>
      <c r="V351" s="236">
        <v>61.8</v>
      </c>
      <c r="W351" s="236">
        <f>99.6</f>
        <v>99.6</v>
      </c>
      <c r="X351" s="236">
        <f>99.6-11</f>
        <v>88.6</v>
      </c>
      <c r="Y351" s="236">
        <v>93.9</v>
      </c>
      <c r="Z351" s="345">
        <v>98.6</v>
      </c>
      <c r="AA351" s="345">
        <v>103.8</v>
      </c>
      <c r="AB351" s="345">
        <v>104.3</v>
      </c>
      <c r="AC351" s="345">
        <v>105.4</v>
      </c>
      <c r="AD351" s="345">
        <v>104.6</v>
      </c>
      <c r="AE351" s="345">
        <v>109.1</v>
      </c>
      <c r="AF351" s="345">
        <v>114.4</v>
      </c>
      <c r="AG351" s="345">
        <f>297-174</f>
        <v>123</v>
      </c>
      <c r="AH351" s="345">
        <f>361-240</f>
        <v>121</v>
      </c>
      <c r="AI351" s="345">
        <f>360.4-236</f>
        <v>124.39999999999998</v>
      </c>
      <c r="AJ351" s="345">
        <f>'New quarts'!AJ56</f>
        <v>179.99999999999994</v>
      </c>
      <c r="AK351" s="345">
        <f>'New quarts'!AK56</f>
        <v>190.8</v>
      </c>
      <c r="AL351" s="345">
        <f>'New quarts'!AM56</f>
        <v>189.40000000000003</v>
      </c>
      <c r="AM351" s="345">
        <f>'New quarts'!AN56</f>
        <v>188.60000000000002</v>
      </c>
      <c r="AN351" s="345">
        <f>'New quarts'!AO56</f>
        <v>190.59999999999997</v>
      </c>
      <c r="AO351" s="345">
        <f>'New quarts'!AP56</f>
        <v>185.09999999999997</v>
      </c>
      <c r="AP351" s="345">
        <f>'New quarts'!AR56</f>
        <v>190.7</v>
      </c>
      <c r="AQ351" s="345">
        <f>'New quarts'!AS56</f>
        <v>194.3</v>
      </c>
      <c r="AR351" s="345">
        <f>'New quarts'!AT56</f>
        <v>193.1</v>
      </c>
      <c r="AS351" s="345">
        <f>'New quarts'!AU56</f>
        <v>195.70000000000002</v>
      </c>
      <c r="AT351" s="345">
        <f>'New quarts'!AW56</f>
        <v>188.90000000000003</v>
      </c>
      <c r="AU351" s="345">
        <f>'New quarts'!AX56</f>
        <v>186.00000000000003</v>
      </c>
      <c r="AV351" s="345">
        <f>'New quarts'!AY56</f>
        <v>183.2</v>
      </c>
      <c r="AW351" s="345"/>
      <c r="AX351" s="345"/>
      <c r="AY351" s="345"/>
      <c r="AZ351" s="345"/>
      <c r="BA351" s="345"/>
      <c r="BB351" s="345"/>
      <c r="BC351" s="345"/>
      <c r="BD351" s="345"/>
      <c r="BE351" s="345"/>
      <c r="BF351" s="345"/>
      <c r="BG351" s="345"/>
      <c r="BH351" s="345"/>
      <c r="BI351" s="345"/>
      <c r="BJ351" s="345"/>
      <c r="BK351" s="345"/>
      <c r="BL351" s="345"/>
      <c r="BM351" s="236"/>
      <c r="BP351" s="124">
        <f>F351/B351-1</f>
        <v>2.0491803278688492E-2</v>
      </c>
      <c r="BQ351" s="124">
        <f>G351/C351-1</f>
        <v>3.373819163292846E-2</v>
      </c>
      <c r="BR351" s="124">
        <f>H351/D351-1</f>
        <v>2.1419009370816422E-2</v>
      </c>
      <c r="BS351" s="124">
        <f>I351/E351-1</f>
        <v>4.3882978723404298E-2</v>
      </c>
      <c r="BT351" s="124">
        <f>J351/F351-1</f>
        <v>5.7563587684069661E-2</v>
      </c>
      <c r="BU351" s="124">
        <f>(K351-K217)/G351-1</f>
        <v>8.6161879895561233E-2</v>
      </c>
      <c r="BV351" s="124">
        <f>(L351-L217)/H351-1</f>
        <v>7.3394495412844041E-2</v>
      </c>
      <c r="BW351" s="124">
        <f>(M351-M217)/I351-1</f>
        <v>4.5859872611464958E-2</v>
      </c>
      <c r="BX351" s="124">
        <f>(N351-N217)/J351-1</f>
        <v>3.03797468354432E-2</v>
      </c>
      <c r="BY351" s="124">
        <f>(O351-O217)/(K351-K217)-1</f>
        <v>1.4423076923077094E-2</v>
      </c>
      <c r="BZ351" s="124">
        <f>P351/L351-1</f>
        <v>2.870813397129135E-3</v>
      </c>
      <c r="CA351" s="124">
        <f>Q351/M351-1</f>
        <v>9.5147478591828261E-4</v>
      </c>
      <c r="CB351" s="124">
        <f>R351/N351-1</f>
        <v>2.6948989412896918E-2</v>
      </c>
      <c r="CC351" s="124">
        <f>S351/O351-1</f>
        <v>1.3096351730589317E-2</v>
      </c>
      <c r="CD351" s="124">
        <f>T351/P351-1</f>
        <v>-0.15458015267175573</v>
      </c>
      <c r="CE351" s="124"/>
      <c r="CF351" s="124"/>
      <c r="CG351" s="124"/>
    </row>
    <row r="352" spans="1:85">
      <c r="A352" s="92" t="s">
        <v>935</v>
      </c>
      <c r="J352" s="236"/>
      <c r="R352" s="236"/>
      <c r="S352" s="236"/>
      <c r="T352" s="124">
        <f t="shared" ref="T352:AV352" si="168">T351/P351-1</f>
        <v>-0.15458015267175573</v>
      </c>
      <c r="U352" s="124">
        <f t="shared" si="168"/>
        <v>-0.83935361216730042</v>
      </c>
      <c r="V352" s="124">
        <f t="shared" si="168"/>
        <v>-0.42080599812558583</v>
      </c>
      <c r="W352" s="124">
        <f t="shared" si="168"/>
        <v>-8.0332409972299179E-2</v>
      </c>
      <c r="X352" s="124">
        <f t="shared" si="168"/>
        <v>0</v>
      </c>
      <c r="Y352" s="124">
        <f t="shared" si="168"/>
        <v>4.5562130177514799</v>
      </c>
      <c r="Z352" s="124">
        <f t="shared" si="168"/>
        <v>0.59546925566343045</v>
      </c>
      <c r="AA352" s="124">
        <f t="shared" si="168"/>
        <v>4.2168674698795261E-2</v>
      </c>
      <c r="AB352" s="124">
        <f t="shared" si="168"/>
        <v>0.17720090293453739</v>
      </c>
      <c r="AC352" s="124">
        <f t="shared" si="168"/>
        <v>0.1224707135250267</v>
      </c>
      <c r="AD352" s="124">
        <f t="shared" si="168"/>
        <v>6.0851926977687709E-2</v>
      </c>
      <c r="AE352" s="124">
        <f t="shared" si="168"/>
        <v>5.1059730250481605E-2</v>
      </c>
      <c r="AF352" s="124">
        <f t="shared" si="168"/>
        <v>9.6836049856184214E-2</v>
      </c>
      <c r="AG352" s="124">
        <f t="shared" si="168"/>
        <v>0.16698292220113853</v>
      </c>
      <c r="AH352" s="124">
        <f t="shared" si="168"/>
        <v>0.15678776290630991</v>
      </c>
      <c r="AI352" s="124">
        <f t="shared" si="168"/>
        <v>0.14023831347387694</v>
      </c>
      <c r="AJ352" s="124">
        <f t="shared" si="168"/>
        <v>0.57342657342657288</v>
      </c>
      <c r="AK352" s="124">
        <f t="shared" si="168"/>
        <v>0.551219512195122</v>
      </c>
      <c r="AL352" s="124">
        <f t="shared" si="168"/>
        <v>0.56528925619834736</v>
      </c>
      <c r="AM352" s="124">
        <f t="shared" si="168"/>
        <v>0.51607717041800694</v>
      </c>
      <c r="AN352" s="124">
        <f t="shared" si="168"/>
        <v>5.8888888888888991E-2</v>
      </c>
      <c r="AO352" s="124">
        <f t="shared" si="168"/>
        <v>-2.9874213836478258E-2</v>
      </c>
      <c r="AP352" s="124">
        <f t="shared" si="168"/>
        <v>6.8637803590283486E-3</v>
      </c>
      <c r="AQ352" s="124">
        <f t="shared" si="168"/>
        <v>3.022269353128304E-2</v>
      </c>
      <c r="AR352" s="124">
        <f t="shared" si="168"/>
        <v>1.3116474291710478E-2</v>
      </c>
      <c r="AS352" s="124">
        <f t="shared" si="168"/>
        <v>5.7266342517558355E-2</v>
      </c>
      <c r="AT352" s="124">
        <f t="shared" si="168"/>
        <v>-9.4389092815938547E-3</v>
      </c>
      <c r="AU352" s="124">
        <f t="shared" si="168"/>
        <v>-4.271744724652593E-2</v>
      </c>
      <c r="AV352" s="124">
        <f t="shared" si="168"/>
        <v>-5.1268772656654638E-2</v>
      </c>
      <c r="AW352" s="345"/>
      <c r="AX352" s="345"/>
      <c r="AY352" s="345"/>
      <c r="AZ352" s="345"/>
      <c r="BA352" s="345"/>
      <c r="BB352" s="345"/>
      <c r="BC352" s="345"/>
      <c r="BD352" s="345"/>
      <c r="BE352" s="345"/>
      <c r="BF352" s="345"/>
      <c r="BG352" s="345"/>
      <c r="BH352" s="345"/>
      <c r="BI352" s="345"/>
      <c r="BJ352" s="345"/>
      <c r="BK352" s="345"/>
      <c r="BL352" s="345"/>
      <c r="BM352" s="236"/>
      <c r="BP352" s="124"/>
      <c r="BQ352" s="124"/>
      <c r="BR352" s="124"/>
      <c r="BS352" s="124"/>
      <c r="BT352" s="124"/>
      <c r="BU352" s="124"/>
      <c r="BV352" s="124"/>
      <c r="BW352" s="124"/>
      <c r="BX352" s="124"/>
      <c r="BY352" s="124"/>
      <c r="BZ352" s="124"/>
      <c r="CA352" s="124"/>
      <c r="CB352" s="124"/>
      <c r="CC352" s="124"/>
      <c r="CD352" s="124"/>
      <c r="CE352" s="124"/>
      <c r="CF352" s="124"/>
      <c r="CG352" s="124"/>
    </row>
    <row r="353" spans="1:85">
      <c r="J353" s="236"/>
      <c r="R353" s="236"/>
      <c r="S353" s="236"/>
      <c r="T353" s="236"/>
      <c r="U353" s="236"/>
      <c r="V353" s="236"/>
      <c r="W353" s="236"/>
      <c r="X353" s="236"/>
      <c r="Y353" s="236"/>
      <c r="Z353" s="345"/>
      <c r="AA353" s="345"/>
      <c r="AB353" s="345"/>
      <c r="AC353" s="345"/>
      <c r="AD353" s="345"/>
      <c r="AE353" s="345"/>
      <c r="AF353" s="345"/>
      <c r="AG353" s="345"/>
      <c r="AH353" s="345"/>
      <c r="AI353" s="345"/>
      <c r="AJ353" s="345"/>
      <c r="AK353" s="345"/>
      <c r="AL353" s="345"/>
      <c r="AM353" s="345"/>
      <c r="AN353" s="345"/>
      <c r="AO353" s="345"/>
      <c r="AP353" s="345"/>
      <c r="AQ353" s="345"/>
      <c r="AR353" s="345"/>
      <c r="AS353" s="345"/>
      <c r="AT353" s="345"/>
      <c r="AU353" s="345"/>
      <c r="AV353" s="345"/>
      <c r="AW353" s="345"/>
      <c r="AX353" s="936" t="str">
        <f t="shared" ref="AX353:BD353" si="169">AD322</f>
        <v>Q1 20</v>
      </c>
      <c r="AY353" s="936" t="str">
        <f t="shared" si="169"/>
        <v>Q2 20</v>
      </c>
      <c r="AZ353" s="936" t="str">
        <f t="shared" si="169"/>
        <v>Q3 20</v>
      </c>
      <c r="BA353" s="936" t="str">
        <f t="shared" si="169"/>
        <v>Q4 20</v>
      </c>
      <c r="BB353" s="936" t="str">
        <f t="shared" si="169"/>
        <v>Q1 21</v>
      </c>
      <c r="BC353" s="936" t="str">
        <f t="shared" si="169"/>
        <v>Q2 21</v>
      </c>
      <c r="BD353" s="936" t="str">
        <f t="shared" si="169"/>
        <v>Q3 21</v>
      </c>
      <c r="BE353" s="936" t="e">
        <f>#REF!</f>
        <v>#REF!</v>
      </c>
      <c r="BF353" s="345"/>
      <c r="BG353" s="345"/>
      <c r="BH353" s="345"/>
      <c r="BI353" s="345"/>
      <c r="BJ353" s="345"/>
      <c r="BK353" s="345"/>
      <c r="BL353" s="345"/>
      <c r="BM353" s="236"/>
      <c r="BP353" s="124"/>
      <c r="BQ353" s="124"/>
      <c r="BR353" s="124"/>
      <c r="BS353" s="124"/>
      <c r="BT353" s="124"/>
      <c r="BU353" s="124"/>
      <c r="BV353" s="124"/>
      <c r="BW353" s="124"/>
      <c r="BX353" s="124"/>
      <c r="BY353" s="124"/>
      <c r="BZ353" s="124"/>
      <c r="CA353" s="124"/>
      <c r="CB353" s="124"/>
      <c r="CC353" s="124"/>
      <c r="CD353" s="124"/>
      <c r="CE353" s="124"/>
      <c r="CF353" s="124"/>
      <c r="CG353" s="124"/>
    </row>
    <row r="354" spans="1:85">
      <c r="A354" s="92" t="s">
        <v>1568</v>
      </c>
      <c r="B354" s="236"/>
      <c r="C354" s="236"/>
      <c r="D354" s="236"/>
      <c r="E354" s="236"/>
      <c r="F354" s="236"/>
      <c r="G354" s="236"/>
      <c r="H354" s="236"/>
      <c r="I354" s="236"/>
      <c r="J354" s="236">
        <v>37.799999999999997</v>
      </c>
      <c r="K354" s="236">
        <v>43.2</v>
      </c>
      <c r="L354" s="236">
        <v>46.7</v>
      </c>
      <c r="M354" s="236">
        <f>174.1-J354-K354-L354</f>
        <v>46.400000000000006</v>
      </c>
      <c r="N354" s="337">
        <f>130.6-O354-P354</f>
        <v>43.2</v>
      </c>
      <c r="O354" s="337">
        <v>44.6</v>
      </c>
      <c r="P354" s="337">
        <v>42.8</v>
      </c>
      <c r="Q354" s="337">
        <f>172.9-N354-O354-P354</f>
        <v>42.3</v>
      </c>
      <c r="R354" s="337">
        <f>119.7-S354-T354</f>
        <v>42.3</v>
      </c>
      <c r="S354" s="337">
        <v>42.7</v>
      </c>
      <c r="T354" s="337">
        <v>34.700000000000003</v>
      </c>
      <c r="U354" s="337">
        <f>124.5-R354-S354-T354</f>
        <v>4.7999999999999972</v>
      </c>
      <c r="V354" s="337">
        <v>23.3</v>
      </c>
      <c r="W354" s="337">
        <v>29.8</v>
      </c>
      <c r="X354" s="337">
        <v>32.200000000000003</v>
      </c>
      <c r="Y354" s="337">
        <f>118.9-V354-W354-X354</f>
        <v>33.600000000000009</v>
      </c>
      <c r="Z354" s="337">
        <v>35</v>
      </c>
      <c r="AA354" s="337">
        <v>35.299999999999997</v>
      </c>
      <c r="AB354" s="337">
        <v>35.299999999999997</v>
      </c>
      <c r="AC354" s="337">
        <f>140.9-Z354-AA354-AB354</f>
        <v>35.300000000000011</v>
      </c>
      <c r="AD354" s="337">
        <f>72-AE354</f>
        <v>35.299999999999997</v>
      </c>
      <c r="AE354" s="337">
        <v>36.700000000000003</v>
      </c>
      <c r="AF354" s="337">
        <v>37.1</v>
      </c>
      <c r="AG354" s="337">
        <f>147.2-AD354-AE354-AF354</f>
        <v>38.099999999999987</v>
      </c>
      <c r="AH354" s="337">
        <f>77.8-AI354</f>
        <v>38.599999999999994</v>
      </c>
      <c r="AI354" s="337">
        <v>39.200000000000003</v>
      </c>
      <c r="AJ354" s="337">
        <v>39.4</v>
      </c>
      <c r="AK354" s="337"/>
      <c r="AL354" s="337"/>
      <c r="AM354" s="337"/>
      <c r="AN354" s="337"/>
      <c r="AO354" s="337"/>
      <c r="AP354" s="357"/>
      <c r="AQ354" s="357"/>
      <c r="AR354" s="357"/>
      <c r="AS354" s="357"/>
      <c r="AT354" s="357"/>
      <c r="AU354" s="357"/>
      <c r="AV354" s="313"/>
      <c r="AW354" s="92" t="str">
        <f>A354</f>
        <v>Video</v>
      </c>
      <c r="AX354" s="124">
        <f t="shared" ref="AX354:BD357" si="170">AD354/Z354-1</f>
        <v>8.5714285714284522E-3</v>
      </c>
      <c r="AY354" s="124">
        <f t="shared" si="170"/>
        <v>3.9660056657224052E-2</v>
      </c>
      <c r="AZ354" s="124">
        <f t="shared" si="170"/>
        <v>5.0991501416430829E-2</v>
      </c>
      <c r="BA354" s="124">
        <f t="shared" si="170"/>
        <v>7.9320113314446772E-2</v>
      </c>
      <c r="BB354" s="124">
        <f t="shared" si="170"/>
        <v>9.3484419263456076E-2</v>
      </c>
      <c r="BC354" s="124">
        <f t="shared" si="170"/>
        <v>6.8119891008174394E-2</v>
      </c>
      <c r="BD354" s="124">
        <f t="shared" si="170"/>
        <v>6.1994609164420345E-2</v>
      </c>
      <c r="BE354" s="124" t="e">
        <f>#REF!/AG354-1</f>
        <v>#REF!</v>
      </c>
      <c r="BF354" s="313"/>
      <c r="BG354" s="313"/>
      <c r="BH354" s="313"/>
      <c r="BI354" s="313"/>
      <c r="BJ354" s="313"/>
      <c r="BK354" s="313"/>
      <c r="BL354" s="313"/>
      <c r="BM354" s="357"/>
      <c r="BP354" s="124"/>
      <c r="BQ354" s="124"/>
      <c r="BR354" s="124"/>
      <c r="BS354" s="124"/>
      <c r="BT354" s="124"/>
      <c r="BU354" s="124"/>
      <c r="BV354" s="124"/>
      <c r="BW354" s="124"/>
      <c r="BX354" s="124"/>
      <c r="BY354" s="124"/>
      <c r="BZ354" s="124">
        <f t="shared" ref="BZ354:CD356" si="171">P354/L354-1</f>
        <v>-8.351177730192727E-2</v>
      </c>
      <c r="CA354" s="124">
        <f t="shared" si="171"/>
        <v>-8.836206896551746E-2</v>
      </c>
      <c r="CB354" s="124">
        <f t="shared" si="171"/>
        <v>-2.0833333333333481E-2</v>
      </c>
      <c r="CC354" s="124">
        <f t="shared" si="171"/>
        <v>-4.2600896860986559E-2</v>
      </c>
      <c r="CD354" s="124">
        <f t="shared" si="171"/>
        <v>-0.18925233644859796</v>
      </c>
      <c r="CE354" s="124"/>
    </row>
    <row r="355" spans="1:85">
      <c r="A355" s="92" t="s">
        <v>1567</v>
      </c>
      <c r="B355" s="236"/>
      <c r="C355" s="236"/>
      <c r="D355" s="236"/>
      <c r="E355" s="236"/>
      <c r="F355" s="236"/>
      <c r="G355" s="236"/>
      <c r="H355" s="236"/>
      <c r="I355" s="236"/>
      <c r="J355" s="236">
        <v>26.4</v>
      </c>
      <c r="K355" s="236">
        <v>31.1</v>
      </c>
      <c r="L355" s="236">
        <v>39.5</v>
      </c>
      <c r="M355" s="236">
        <f>136.3-J355-K355-L355</f>
        <v>39.300000000000011</v>
      </c>
      <c r="N355" s="337">
        <f>112.9-O355-P355</f>
        <v>36.900000000000006</v>
      </c>
      <c r="O355" s="337">
        <v>38.299999999999997</v>
      </c>
      <c r="P355" s="337">
        <v>37.700000000000003</v>
      </c>
      <c r="Q355" s="337">
        <f>152.3-N355-O355-P355</f>
        <v>39.400000000000006</v>
      </c>
      <c r="R355" s="337">
        <f>115.3-S355-T355</f>
        <v>38.799999999999997</v>
      </c>
      <c r="S355" s="337">
        <v>41.5</v>
      </c>
      <c r="T355" s="337">
        <v>35</v>
      </c>
      <c r="U355" s="337">
        <f>119.9-R355-S355-T355</f>
        <v>4.6000000000000085</v>
      </c>
      <c r="V355" s="337">
        <v>25.3</v>
      </c>
      <c r="W355" s="337">
        <v>32.4</v>
      </c>
      <c r="X355" s="337">
        <v>36</v>
      </c>
      <c r="Y355" s="337">
        <f>132.5-V355-W355-X355</f>
        <v>38.800000000000011</v>
      </c>
      <c r="Z355" s="337">
        <v>41.8</v>
      </c>
      <c r="AA355" s="337">
        <v>43.6</v>
      </c>
      <c r="AB355" s="337">
        <v>44.4</v>
      </c>
      <c r="AC355" s="337">
        <f>175-Z355-AA355-AB355</f>
        <v>45.199999999999996</v>
      </c>
      <c r="AD355" s="337">
        <f>94.7-AE355</f>
        <v>45.5</v>
      </c>
      <c r="AE355" s="337">
        <v>49.2</v>
      </c>
      <c r="AF355" s="337">
        <v>52.1</v>
      </c>
      <c r="AG355" s="337">
        <f>204.7-AD355-AE355-AF355</f>
        <v>57.899999999999984</v>
      </c>
      <c r="AH355" s="337">
        <f>124.6-AI355</f>
        <v>61.399999999999991</v>
      </c>
      <c r="AI355" s="337">
        <v>63.2</v>
      </c>
      <c r="AJ355" s="337">
        <v>64.099999999999994</v>
      </c>
      <c r="AK355" s="337"/>
      <c r="AL355" s="337"/>
      <c r="AM355" s="337"/>
      <c r="AN355" s="337"/>
      <c r="AO355" s="337"/>
      <c r="AP355" s="357"/>
      <c r="AQ355" s="357"/>
      <c r="AR355" s="357"/>
      <c r="AS355" s="357"/>
      <c r="AT355" s="357"/>
      <c r="AU355" s="357"/>
      <c r="AV355" s="236"/>
      <c r="AW355" s="92" t="str">
        <f>A355</f>
        <v>BB</v>
      </c>
      <c r="AX355" s="124">
        <f t="shared" si="170"/>
        <v>8.8516746411483327E-2</v>
      </c>
      <c r="AY355" s="124">
        <f t="shared" si="170"/>
        <v>0.12844036697247718</v>
      </c>
      <c r="AZ355" s="124">
        <f t="shared" si="170"/>
        <v>0.17342342342342354</v>
      </c>
      <c r="BA355" s="124">
        <f t="shared" si="170"/>
        <v>0.28097345132743334</v>
      </c>
      <c r="BB355" s="124">
        <f t="shared" si="170"/>
        <v>0.34945054945054932</v>
      </c>
      <c r="BC355" s="124">
        <f t="shared" si="170"/>
        <v>0.28455284552845517</v>
      </c>
      <c r="BD355" s="124">
        <f t="shared" si="170"/>
        <v>0.23032629558541262</v>
      </c>
      <c r="BE355" s="124" t="e">
        <f>#REF!/AG355-1</f>
        <v>#REF!</v>
      </c>
      <c r="BF355" s="236"/>
      <c r="BG355" s="236"/>
      <c r="BH355" s="236"/>
      <c r="BI355" s="236"/>
      <c r="BJ355" s="236"/>
      <c r="BK355" s="236"/>
      <c r="BL355" s="236"/>
      <c r="BM355" s="357"/>
      <c r="BP355" s="124"/>
      <c r="BQ355" s="124"/>
      <c r="BR355" s="124"/>
      <c r="BS355" s="124"/>
      <c r="BT355" s="124"/>
      <c r="BU355" s="124"/>
      <c r="BV355" s="124"/>
      <c r="BW355" s="124"/>
      <c r="BX355" s="124"/>
      <c r="BY355" s="124"/>
      <c r="BZ355" s="124">
        <f t="shared" si="171"/>
        <v>-4.5569620253164467E-2</v>
      </c>
      <c r="CA355" s="124">
        <f t="shared" si="171"/>
        <v>2.5445292620862592E-3</v>
      </c>
      <c r="CB355" s="124">
        <f t="shared" si="171"/>
        <v>5.1490514905148776E-2</v>
      </c>
      <c r="CC355" s="124">
        <f t="shared" si="171"/>
        <v>8.3550913838120078E-2</v>
      </c>
      <c r="CD355" s="124">
        <f t="shared" si="171"/>
        <v>-7.1618037135278589E-2</v>
      </c>
      <c r="CE355" s="124"/>
    </row>
    <row r="356" spans="1:85">
      <c r="A356" s="175" t="s">
        <v>1870</v>
      </c>
      <c r="B356" s="238"/>
      <c r="C356" s="238"/>
      <c r="D356" s="238"/>
      <c r="E356" s="238"/>
      <c r="F356" s="238"/>
      <c r="G356" s="238"/>
      <c r="H356" s="238"/>
      <c r="I356" s="238"/>
      <c r="J356" s="238">
        <v>7.5</v>
      </c>
      <c r="K356" s="238">
        <v>7.8</v>
      </c>
      <c r="L356" s="238">
        <v>7.9</v>
      </c>
      <c r="M356" s="238">
        <f>31.5-J356-K356-L356</f>
        <v>8.2999999999999989</v>
      </c>
      <c r="N356" s="397">
        <f>19.3-O356-P356</f>
        <v>6.5000000000000009</v>
      </c>
      <c r="O356" s="397">
        <v>6.5</v>
      </c>
      <c r="P356" s="397">
        <v>6.3</v>
      </c>
      <c r="Q356" s="397">
        <f>25.6-N356-O356-P356</f>
        <v>6.3000000000000016</v>
      </c>
      <c r="R356" s="397">
        <f>17.5-S356-T356</f>
        <v>5.3999999999999995</v>
      </c>
      <c r="S356" s="397">
        <v>6.3</v>
      </c>
      <c r="T356" s="397">
        <v>5.8</v>
      </c>
      <c r="U356" s="397">
        <f>17.5-R356-S356-T356</f>
        <v>0</v>
      </c>
      <c r="V356" s="397">
        <v>3.5</v>
      </c>
      <c r="W356" s="397">
        <v>4.5999999999999996</v>
      </c>
      <c r="X356" s="397">
        <v>5.0999999999999996</v>
      </c>
      <c r="Y356" s="397">
        <f>18.6-V356-W356-X356</f>
        <v>5.4000000000000021</v>
      </c>
      <c r="Z356" s="397">
        <v>5.7</v>
      </c>
      <c r="AA356" s="397">
        <v>5.9</v>
      </c>
      <c r="AB356" s="397">
        <v>5.9</v>
      </c>
      <c r="AC356" s="397">
        <f>23.4-Z356-AA356-AB356</f>
        <v>5.8999999999999986</v>
      </c>
      <c r="AD356" s="397">
        <f>12.1-AE356</f>
        <v>5.8999999999999995</v>
      </c>
      <c r="AE356" s="397">
        <v>6.2</v>
      </c>
      <c r="AF356" s="397">
        <v>6.5</v>
      </c>
      <c r="AG356" s="397">
        <f>25.5-AD356-AE356-AF356</f>
        <v>6.9000000000000021</v>
      </c>
      <c r="AH356" s="397">
        <f>14.1-AI356</f>
        <v>7</v>
      </c>
      <c r="AI356" s="397">
        <v>7.1</v>
      </c>
      <c r="AJ356" s="397">
        <v>7.1</v>
      </c>
      <c r="AK356" s="397"/>
      <c r="AL356" s="397"/>
      <c r="AM356" s="397"/>
      <c r="AN356" s="397"/>
      <c r="AO356" s="337"/>
      <c r="AP356" s="357"/>
      <c r="AQ356" s="357"/>
      <c r="AR356" s="357"/>
      <c r="AS356" s="357"/>
      <c r="AT356" s="357"/>
      <c r="AU356" s="357"/>
      <c r="AV356" s="236"/>
      <c r="AW356" s="175" t="str">
        <f>A356</f>
        <v>Voice</v>
      </c>
      <c r="AX356" s="360">
        <f t="shared" si="170"/>
        <v>3.5087719298245501E-2</v>
      </c>
      <c r="AY356" s="360">
        <f t="shared" si="170"/>
        <v>5.0847457627118509E-2</v>
      </c>
      <c r="AZ356" s="360">
        <f t="shared" si="170"/>
        <v>0.10169491525423724</v>
      </c>
      <c r="BA356" s="360">
        <f t="shared" si="170"/>
        <v>0.16949152542372947</v>
      </c>
      <c r="BB356" s="360">
        <f t="shared" si="170"/>
        <v>0.18644067796610186</v>
      </c>
      <c r="BC356" s="360">
        <f t="shared" si="170"/>
        <v>0.14516129032258052</v>
      </c>
      <c r="BD356" s="360">
        <f t="shared" si="170"/>
        <v>9.2307692307692202E-2</v>
      </c>
      <c r="BE356" s="360" t="e">
        <f>#REF!/AG356-1</f>
        <v>#REF!</v>
      </c>
      <c r="BF356" s="236"/>
      <c r="BG356" s="236"/>
      <c r="BH356" s="236"/>
      <c r="BI356" s="236"/>
      <c r="BJ356" s="236"/>
      <c r="BK356" s="236"/>
      <c r="BL356" s="236"/>
      <c r="BM356" s="357"/>
      <c r="BP356" s="124"/>
      <c r="BQ356" s="124"/>
      <c r="BR356" s="124"/>
      <c r="BS356" s="124"/>
      <c r="BT356" s="124"/>
      <c r="BU356" s="124"/>
      <c r="BV356" s="124"/>
      <c r="BW356" s="124"/>
      <c r="BX356" s="124"/>
      <c r="BY356" s="124"/>
      <c r="BZ356" s="124">
        <f t="shared" si="171"/>
        <v>-0.20253164556962033</v>
      </c>
      <c r="CA356" s="124">
        <f t="shared" si="171"/>
        <v>-0.24096385542168641</v>
      </c>
      <c r="CB356" s="124">
        <f t="shared" si="171"/>
        <v>-0.16923076923076941</v>
      </c>
      <c r="CC356" s="124">
        <f t="shared" si="171"/>
        <v>-3.0769230769230771E-2</v>
      </c>
      <c r="CD356" s="124">
        <f t="shared" si="171"/>
        <v>-7.9365079365079416E-2</v>
      </c>
      <c r="CE356" s="124"/>
    </row>
    <row r="357" spans="1:85">
      <c r="A357" s="92" t="s">
        <v>3646</v>
      </c>
      <c r="B357" s="236"/>
      <c r="C357" s="236"/>
      <c r="D357" s="236"/>
      <c r="E357" s="236"/>
      <c r="F357" s="236"/>
      <c r="G357" s="236"/>
      <c r="H357" s="236"/>
      <c r="I357" s="236"/>
      <c r="J357" s="236"/>
      <c r="K357" s="236"/>
      <c r="L357" s="236"/>
      <c r="M357" s="236"/>
      <c r="N357" s="236">
        <f t="shared" ref="N357:V357" si="172">SUM(N354:N356)</f>
        <v>86.600000000000009</v>
      </c>
      <c r="O357" s="236">
        <f t="shared" si="172"/>
        <v>89.4</v>
      </c>
      <c r="P357" s="236">
        <f t="shared" si="172"/>
        <v>86.8</v>
      </c>
      <c r="Q357" s="236">
        <f t="shared" si="172"/>
        <v>88</v>
      </c>
      <c r="R357" s="236">
        <f t="shared" si="172"/>
        <v>86.5</v>
      </c>
      <c r="S357" s="236">
        <f t="shared" si="172"/>
        <v>90.5</v>
      </c>
      <c r="T357" s="236">
        <f t="shared" si="172"/>
        <v>75.5</v>
      </c>
      <c r="U357" s="236">
        <f t="shared" si="172"/>
        <v>9.4000000000000057</v>
      </c>
      <c r="V357" s="236">
        <f t="shared" si="172"/>
        <v>52.1</v>
      </c>
      <c r="W357" s="236">
        <f>SUM(W354:W356)</f>
        <v>66.8</v>
      </c>
      <c r="X357" s="236">
        <f>SUM(X354:X356)</f>
        <v>73.3</v>
      </c>
      <c r="Y357" s="236">
        <f>SUM(Y354:Y356)</f>
        <v>77.800000000000026</v>
      </c>
      <c r="Z357" s="236">
        <f t="shared" ref="Z357:AJ357" si="173">SUM(Z354:Z356)</f>
        <v>82.5</v>
      </c>
      <c r="AA357" s="236">
        <f t="shared" si="173"/>
        <v>84.800000000000011</v>
      </c>
      <c r="AB357" s="236">
        <f t="shared" si="173"/>
        <v>85.6</v>
      </c>
      <c r="AC357" s="236">
        <f t="shared" si="173"/>
        <v>86.4</v>
      </c>
      <c r="AD357" s="236">
        <f t="shared" si="173"/>
        <v>86.7</v>
      </c>
      <c r="AE357" s="236">
        <f t="shared" si="173"/>
        <v>92.100000000000009</v>
      </c>
      <c r="AF357" s="236">
        <f t="shared" si="173"/>
        <v>95.7</v>
      </c>
      <c r="AG357" s="236">
        <f t="shared" si="173"/>
        <v>102.89999999999998</v>
      </c>
      <c r="AH357" s="236">
        <f t="shared" si="173"/>
        <v>106.99999999999999</v>
      </c>
      <c r="AI357" s="236">
        <f t="shared" si="173"/>
        <v>109.5</v>
      </c>
      <c r="AJ357" s="236">
        <f t="shared" si="173"/>
        <v>110.6</v>
      </c>
      <c r="AK357" s="236"/>
      <c r="AL357" s="236"/>
      <c r="AM357" s="236"/>
      <c r="AN357" s="236"/>
      <c r="AO357" s="236"/>
      <c r="AP357" s="236"/>
      <c r="AQ357" s="236"/>
      <c r="AR357" s="236"/>
      <c r="AS357" s="236"/>
      <c r="AT357" s="236"/>
      <c r="AU357" s="236"/>
      <c r="AV357" s="236"/>
      <c r="AW357" s="92" t="s">
        <v>3631</v>
      </c>
      <c r="AX357" s="124">
        <f t="shared" si="170"/>
        <v>5.0909090909091015E-2</v>
      </c>
      <c r="AY357" s="124">
        <f t="shared" si="170"/>
        <v>8.6084905660377409E-2</v>
      </c>
      <c r="AZ357" s="124">
        <f t="shared" si="170"/>
        <v>0.1179906542056075</v>
      </c>
      <c r="BA357" s="124">
        <f t="shared" si="170"/>
        <v>0.19097222222222188</v>
      </c>
      <c r="BB357" s="124">
        <f t="shared" si="170"/>
        <v>0.23414071510957313</v>
      </c>
      <c r="BC357" s="124">
        <f t="shared" si="170"/>
        <v>0.18892508143322462</v>
      </c>
      <c r="BD357" s="124">
        <f t="shared" si="170"/>
        <v>0.15569487983281083</v>
      </c>
      <c r="BE357" s="124" t="e">
        <f>#REF!/AG357-1</f>
        <v>#REF!</v>
      </c>
      <c r="BF357" s="236"/>
      <c r="BG357" s="236"/>
      <c r="BH357" s="236"/>
      <c r="BI357" s="236"/>
      <c r="BJ357" s="236"/>
      <c r="BK357" s="236"/>
      <c r="BL357" s="236"/>
      <c r="BM357" s="357"/>
      <c r="BP357" s="124"/>
      <c r="BQ357" s="124"/>
      <c r="BR357" s="124"/>
      <c r="BS357" s="124"/>
      <c r="BT357" s="124"/>
      <c r="BU357" s="124"/>
      <c r="BV357" s="124"/>
      <c r="BW357" s="124"/>
      <c r="BX357" s="124"/>
      <c r="BY357" s="124"/>
      <c r="BZ357" s="124"/>
      <c r="CA357" s="124"/>
      <c r="CB357" s="124"/>
      <c r="CC357" s="124"/>
      <c r="CD357" s="124"/>
      <c r="CE357" s="124"/>
    </row>
    <row r="358" spans="1:85">
      <c r="A358" s="175" t="s">
        <v>4</v>
      </c>
      <c r="B358" s="238"/>
      <c r="C358" s="238"/>
      <c r="D358" s="238"/>
      <c r="E358" s="238"/>
      <c r="F358" s="238"/>
      <c r="G358" s="238"/>
      <c r="H358" s="238"/>
      <c r="I358" s="238"/>
      <c r="J358" s="238"/>
      <c r="K358" s="238"/>
      <c r="L358" s="238"/>
      <c r="M358" s="238"/>
      <c r="N358" s="397">
        <f>16.5-O358-P358</f>
        <v>6.6000000000000005</v>
      </c>
      <c r="O358" s="397">
        <v>4.5999999999999996</v>
      </c>
      <c r="P358" s="397">
        <v>5.3</v>
      </c>
      <c r="Q358" s="397">
        <f>22.5-N358-O358-P358</f>
        <v>5.9999999999999991</v>
      </c>
      <c r="R358" s="397">
        <f>16.1-S358-T358</f>
        <v>5.9000000000000012</v>
      </c>
      <c r="S358" s="397">
        <v>6</v>
      </c>
      <c r="T358" s="397">
        <v>4.2</v>
      </c>
      <c r="U358" s="397">
        <f>16.6-R358-S358-T358</f>
        <v>0.49999999999999911</v>
      </c>
      <c r="V358" s="397">
        <v>1.7</v>
      </c>
      <c r="W358" s="397">
        <v>3.4</v>
      </c>
      <c r="X358" s="397">
        <v>4</v>
      </c>
      <c r="Y358" s="397">
        <f>13.5-V358-W358-X358</f>
        <v>4.4000000000000004</v>
      </c>
      <c r="Z358" s="397">
        <v>5.3</v>
      </c>
      <c r="AA358" s="397">
        <v>5.6</v>
      </c>
      <c r="AB358" s="397">
        <v>5.3</v>
      </c>
      <c r="AC358" s="397">
        <f>21.7-Z358-AA358-AB358</f>
        <v>5.4999999999999991</v>
      </c>
      <c r="AD358" s="397">
        <f>8.4-AE358</f>
        <v>4.6000000000000005</v>
      </c>
      <c r="AE358" s="397">
        <v>3.8</v>
      </c>
      <c r="AF358" s="397">
        <v>4.2</v>
      </c>
      <c r="AG358" s="397">
        <f>17.7-AD358-AE358-AF358</f>
        <v>5.099999999999997</v>
      </c>
      <c r="AH358" s="397">
        <f>9.1-AI358</f>
        <v>4.1999999999999993</v>
      </c>
      <c r="AI358" s="397">
        <v>4.9000000000000004</v>
      </c>
      <c r="AJ358" s="397">
        <v>5</v>
      </c>
      <c r="AK358" s="397"/>
      <c r="AL358" s="397"/>
      <c r="AM358" s="397"/>
      <c r="AN358" s="397"/>
      <c r="AO358" s="337"/>
      <c r="AP358" s="1168"/>
      <c r="AQ358" s="1168"/>
      <c r="AR358" s="1168"/>
      <c r="AS358" s="1168"/>
      <c r="AT358" s="1168"/>
      <c r="AU358" s="1168"/>
      <c r="AV358" s="236"/>
      <c r="AX358" s="124"/>
      <c r="AY358" s="124"/>
      <c r="AZ358" s="124"/>
      <c r="BA358" s="124"/>
      <c r="BB358" s="124"/>
      <c r="BC358" s="124"/>
      <c r="BD358" s="124"/>
      <c r="BE358" s="124"/>
      <c r="BF358" s="236"/>
      <c r="BG358" s="236"/>
      <c r="BH358" s="236"/>
      <c r="BI358" s="236"/>
      <c r="BJ358" s="236"/>
      <c r="BK358" s="236"/>
      <c r="BL358" s="236"/>
      <c r="BM358" s="357"/>
      <c r="BP358" s="124"/>
      <c r="BQ358" s="124"/>
      <c r="BR358" s="124"/>
      <c r="BS358" s="124"/>
      <c r="BT358" s="124"/>
      <c r="BU358" s="124"/>
      <c r="BV358" s="124"/>
      <c r="BW358" s="124"/>
      <c r="BX358" s="124"/>
      <c r="BY358" s="124"/>
      <c r="BZ358" s="124"/>
      <c r="CA358" s="124"/>
      <c r="CB358" s="124"/>
      <c r="CC358" s="124"/>
      <c r="CD358" s="124"/>
      <c r="CE358" s="124"/>
    </row>
    <row r="359" spans="1:85">
      <c r="A359" s="92" t="s">
        <v>2304</v>
      </c>
      <c r="B359" s="236"/>
      <c r="C359" s="236"/>
      <c r="D359" s="236"/>
      <c r="E359" s="236"/>
      <c r="F359" s="236"/>
      <c r="G359" s="236"/>
      <c r="H359" s="236"/>
      <c r="I359" s="236"/>
      <c r="J359" s="236"/>
      <c r="K359" s="236"/>
      <c r="L359" s="236"/>
      <c r="M359" s="236"/>
      <c r="N359" s="236">
        <f t="shared" ref="N359:V359" si="174">N357+N358</f>
        <v>93.2</v>
      </c>
      <c r="O359" s="236">
        <f t="shared" si="174"/>
        <v>94</v>
      </c>
      <c r="P359" s="236">
        <f t="shared" si="174"/>
        <v>92.1</v>
      </c>
      <c r="Q359" s="236">
        <f t="shared" si="174"/>
        <v>94</v>
      </c>
      <c r="R359" s="236">
        <f t="shared" si="174"/>
        <v>92.4</v>
      </c>
      <c r="S359" s="236">
        <f t="shared" si="174"/>
        <v>96.5</v>
      </c>
      <c r="T359" s="236">
        <f t="shared" si="174"/>
        <v>79.7</v>
      </c>
      <c r="U359" s="236">
        <f t="shared" si="174"/>
        <v>9.9000000000000057</v>
      </c>
      <c r="V359" s="236">
        <f t="shared" si="174"/>
        <v>53.800000000000004</v>
      </c>
      <c r="W359" s="236">
        <f>W357+W358</f>
        <v>70.2</v>
      </c>
      <c r="X359" s="236">
        <f>X357+X358</f>
        <v>77.3</v>
      </c>
      <c r="Y359" s="236">
        <f>Y357+Y358</f>
        <v>82.200000000000031</v>
      </c>
      <c r="Z359" s="236">
        <f t="shared" ref="Z359:AJ359" si="175">Z357+Z358</f>
        <v>87.8</v>
      </c>
      <c r="AA359" s="236">
        <f t="shared" si="175"/>
        <v>90.4</v>
      </c>
      <c r="AB359" s="236">
        <f t="shared" si="175"/>
        <v>90.899999999999991</v>
      </c>
      <c r="AC359" s="236">
        <f t="shared" si="175"/>
        <v>91.9</v>
      </c>
      <c r="AD359" s="236">
        <f t="shared" si="175"/>
        <v>91.3</v>
      </c>
      <c r="AE359" s="236">
        <f t="shared" si="175"/>
        <v>95.9</v>
      </c>
      <c r="AF359" s="236">
        <f t="shared" si="175"/>
        <v>99.9</v>
      </c>
      <c r="AG359" s="236">
        <f t="shared" si="175"/>
        <v>107.99999999999997</v>
      </c>
      <c r="AH359" s="236">
        <f t="shared" si="175"/>
        <v>111.19999999999999</v>
      </c>
      <c r="AI359" s="236">
        <f t="shared" si="175"/>
        <v>114.4</v>
      </c>
      <c r="AJ359" s="236">
        <f t="shared" si="175"/>
        <v>115.6</v>
      </c>
      <c r="AK359" s="236"/>
      <c r="AL359" s="236"/>
      <c r="AM359" s="236"/>
      <c r="AN359" s="236"/>
      <c r="AO359" s="236"/>
      <c r="AP359" s="236"/>
      <c r="AQ359" s="236"/>
      <c r="AR359" s="236"/>
      <c r="AS359" s="236"/>
      <c r="AT359" s="236"/>
      <c r="AU359" s="236"/>
      <c r="AV359" s="236"/>
      <c r="AX359" s="124">
        <f t="shared" ref="AX359:BD359" si="176">AD359/Z359-1</f>
        <v>3.9863325740318922E-2</v>
      </c>
      <c r="AY359" s="124">
        <f t="shared" si="176"/>
        <v>6.0840707964601837E-2</v>
      </c>
      <c r="AZ359" s="124">
        <f t="shared" si="176"/>
        <v>9.9009900990099098E-2</v>
      </c>
      <c r="BA359" s="124">
        <f t="shared" si="176"/>
        <v>0.17519042437431942</v>
      </c>
      <c r="BB359" s="124">
        <f t="shared" si="176"/>
        <v>0.21796276013143467</v>
      </c>
      <c r="BC359" s="124">
        <f t="shared" si="176"/>
        <v>0.19290928050052147</v>
      </c>
      <c r="BD359" s="124">
        <f t="shared" si="176"/>
        <v>0.15715715715715706</v>
      </c>
      <c r="BE359" s="124" t="e">
        <f>#REF!/AG359-1</f>
        <v>#REF!</v>
      </c>
      <c r="BF359" s="236"/>
      <c r="BG359" s="236"/>
      <c r="BH359" s="236"/>
      <c r="BI359" s="236"/>
      <c r="BJ359" s="236"/>
      <c r="BK359" s="236"/>
      <c r="BL359" s="236"/>
      <c r="BM359" s="357"/>
      <c r="BP359" s="124"/>
      <c r="BQ359" s="124"/>
      <c r="BR359" s="124"/>
      <c r="BS359" s="124"/>
      <c r="BT359" s="124"/>
      <c r="BU359" s="124"/>
      <c r="BV359" s="124"/>
      <c r="BW359" s="124"/>
      <c r="BX359" s="124"/>
      <c r="BY359" s="124"/>
      <c r="BZ359" s="124"/>
      <c r="CA359" s="124"/>
      <c r="CB359" s="124"/>
      <c r="CC359" s="124"/>
      <c r="CD359" s="124"/>
      <c r="CE359" s="124"/>
    </row>
    <row r="360" spans="1:85">
      <c r="A360" s="92" t="s">
        <v>3648</v>
      </c>
      <c r="B360" s="236"/>
      <c r="C360" s="236"/>
      <c r="D360" s="236"/>
      <c r="E360" s="236"/>
      <c r="F360" s="236"/>
      <c r="G360" s="236"/>
      <c r="H360" s="236"/>
      <c r="I360" s="236"/>
      <c r="J360" s="236"/>
      <c r="K360" s="236"/>
      <c r="L360" s="236"/>
      <c r="M360" s="236"/>
      <c r="N360" s="337">
        <f>21.5-O360-P360</f>
        <v>7.3999999999999995</v>
      </c>
      <c r="O360" s="337">
        <v>6.9</v>
      </c>
      <c r="P360" s="337">
        <v>7.2</v>
      </c>
      <c r="Q360" s="337">
        <f>28.8-N360-O360-P360</f>
        <v>7.3000000000000016</v>
      </c>
      <c r="R360" s="337">
        <f>20.2-S360-T360</f>
        <v>9.6999999999999993</v>
      </c>
      <c r="S360" s="337">
        <v>6.8</v>
      </c>
      <c r="T360" s="337">
        <v>3.7</v>
      </c>
      <c r="U360" s="337">
        <f>26.4-R360-S360-T360</f>
        <v>6.1999999999999984</v>
      </c>
      <c r="V360" s="337">
        <v>4.3</v>
      </c>
      <c r="W360" s="337">
        <v>5.0999999999999996</v>
      </c>
      <c r="X360" s="337">
        <v>5.8</v>
      </c>
      <c r="Y360" s="337">
        <f>37.1-V360-W360-X360-V361-W361-X361-Y361</f>
        <v>6.1000000000000014</v>
      </c>
      <c r="Z360" s="337">
        <f>10.8-Z361</f>
        <v>6.8000000000000007</v>
      </c>
      <c r="AA360" s="337">
        <v>13.4</v>
      </c>
      <c r="AB360" s="337">
        <v>13.4</v>
      </c>
      <c r="AC360" s="337">
        <f>51.1-Z360-AA360-AB360-Z361-AA361-AB361-AC361</f>
        <v>13.5</v>
      </c>
      <c r="AD360" s="337">
        <f>26.5-AE360</f>
        <v>13.3</v>
      </c>
      <c r="AE360" s="337">
        <v>13.2</v>
      </c>
      <c r="AF360" s="337">
        <v>14.1</v>
      </c>
      <c r="AG360" s="337">
        <f>89.8-AD360-AE360-AF360</f>
        <v>49.199999999999996</v>
      </c>
      <c r="AH360" s="337">
        <f>104-AI360</f>
        <v>52.1</v>
      </c>
      <c r="AI360" s="337">
        <v>51.9</v>
      </c>
      <c r="AJ360" s="337">
        <v>51</v>
      </c>
      <c r="AK360" s="337"/>
      <c r="AL360" s="337"/>
      <c r="AM360" s="337"/>
      <c r="AN360" s="337"/>
      <c r="AO360" s="337"/>
      <c r="AP360" s="236"/>
      <c r="AQ360" s="236"/>
      <c r="AR360" s="236"/>
      <c r="AS360" s="236"/>
      <c r="AT360" s="236"/>
      <c r="AU360" s="236"/>
      <c r="AV360" s="236"/>
      <c r="AX360" s="124"/>
      <c r="AY360" s="124"/>
      <c r="AZ360" s="124"/>
      <c r="BA360" s="124"/>
      <c r="BB360" s="236"/>
      <c r="BC360" s="236"/>
      <c r="BD360" s="236"/>
      <c r="BE360" s="236"/>
      <c r="BF360" s="236"/>
      <c r="BG360" s="236"/>
      <c r="BH360" s="236"/>
      <c r="BI360" s="236"/>
      <c r="BJ360" s="236"/>
      <c r="BK360" s="236"/>
      <c r="BL360" s="236"/>
      <c r="BM360" s="357"/>
      <c r="BP360" s="124"/>
      <c r="BQ360" s="124"/>
      <c r="BR360" s="124"/>
      <c r="BS360" s="124"/>
      <c r="BT360" s="124"/>
      <c r="BU360" s="124"/>
      <c r="BV360" s="124"/>
      <c r="BW360" s="124"/>
      <c r="BX360" s="124"/>
      <c r="BY360" s="124"/>
      <c r="BZ360" s="124"/>
      <c r="CA360" s="124"/>
      <c r="CB360" s="124"/>
      <c r="CC360" s="124"/>
      <c r="CD360" s="124"/>
      <c r="CE360" s="124"/>
    </row>
    <row r="361" spans="1:85">
      <c r="A361" s="175" t="s">
        <v>3633</v>
      </c>
      <c r="B361" s="238"/>
      <c r="C361" s="238"/>
      <c r="D361" s="238"/>
      <c r="E361" s="238"/>
      <c r="F361" s="238"/>
      <c r="G361" s="238"/>
      <c r="H361" s="238"/>
      <c r="I361" s="238"/>
      <c r="J361" s="238"/>
      <c r="K361" s="238"/>
      <c r="L361" s="238"/>
      <c r="M361" s="238"/>
      <c r="N361" s="397">
        <f>9.4-O361-P361</f>
        <v>1.4000000000000008</v>
      </c>
      <c r="O361" s="397">
        <v>4.5999999999999996</v>
      </c>
      <c r="P361" s="397">
        <v>3.4</v>
      </c>
      <c r="Q361" s="397">
        <f>12.2-N361-O361-P361</f>
        <v>2.7999999999999994</v>
      </c>
      <c r="R361" s="397">
        <f>10.7-S361-T361</f>
        <v>3.3999999999999995</v>
      </c>
      <c r="S361" s="397">
        <v>3.8</v>
      </c>
      <c r="T361" s="397">
        <v>3.5</v>
      </c>
      <c r="U361" s="397">
        <f>11.4-R361-S361-T361</f>
        <v>0.70000000000000018</v>
      </c>
      <c r="V361" s="397">
        <v>3</v>
      </c>
      <c r="W361" s="397">
        <v>4</v>
      </c>
      <c r="X361" s="397">
        <v>4.3</v>
      </c>
      <c r="Y361" s="397">
        <v>4.5</v>
      </c>
      <c r="Z361" s="397">
        <v>4</v>
      </c>
      <c r="AA361" s="397"/>
      <c r="AB361" s="397"/>
      <c r="AC361" s="397"/>
      <c r="AD361" s="397"/>
      <c r="AE361" s="397"/>
      <c r="AF361" s="397"/>
      <c r="AG361" s="397"/>
      <c r="AH361" s="397"/>
      <c r="AI361" s="397"/>
      <c r="AJ361" s="397"/>
      <c r="AK361" s="337"/>
      <c r="AL361" s="337"/>
      <c r="AM361" s="337"/>
      <c r="AN361" s="337"/>
      <c r="AO361" s="337"/>
      <c r="AP361" s="236"/>
      <c r="AQ361" s="236"/>
      <c r="AR361" s="236"/>
      <c r="AS361" s="236"/>
      <c r="AT361" s="236"/>
      <c r="AU361" s="236"/>
      <c r="AV361" s="236"/>
      <c r="AX361" s="897"/>
      <c r="AY361" s="124"/>
      <c r="AZ361" s="124"/>
      <c r="BA361" s="124"/>
      <c r="BB361" s="236"/>
      <c r="BC361" s="236"/>
      <c r="BD361" s="236"/>
      <c r="BE361" s="236"/>
      <c r="BF361" s="236"/>
      <c r="BG361" s="236"/>
      <c r="BH361" s="236"/>
      <c r="BI361" s="236"/>
      <c r="BJ361" s="236"/>
      <c r="BK361" s="236"/>
      <c r="BL361" s="236"/>
      <c r="BM361" s="357"/>
      <c r="BP361" s="124"/>
      <c r="BQ361" s="124"/>
      <c r="BR361" s="124"/>
      <c r="BS361" s="124"/>
      <c r="BT361" s="124"/>
      <c r="BU361" s="124"/>
      <c r="BV361" s="124"/>
      <c r="BW361" s="124"/>
      <c r="BX361" s="124"/>
      <c r="BY361" s="124"/>
      <c r="BZ361" s="124"/>
      <c r="CA361" s="124"/>
      <c r="CB361" s="124"/>
      <c r="CC361" s="124"/>
      <c r="CD361" s="124"/>
      <c r="CE361" s="124"/>
    </row>
    <row r="362" spans="1:85">
      <c r="A362" s="92" t="s">
        <v>3647</v>
      </c>
      <c r="B362" s="236"/>
      <c r="C362" s="236"/>
      <c r="D362" s="236"/>
      <c r="E362" s="236"/>
      <c r="F362" s="236"/>
      <c r="G362" s="236"/>
      <c r="H362" s="236"/>
      <c r="I362" s="236"/>
      <c r="J362" s="236"/>
      <c r="K362" s="236"/>
      <c r="L362" s="236"/>
      <c r="M362" s="236"/>
      <c r="N362" s="236">
        <f t="shared" ref="N362:V362" si="177">N360+N361</f>
        <v>8.8000000000000007</v>
      </c>
      <c r="O362" s="236">
        <f t="shared" si="177"/>
        <v>11.5</v>
      </c>
      <c r="P362" s="236">
        <f t="shared" si="177"/>
        <v>10.6</v>
      </c>
      <c r="Q362" s="236">
        <f t="shared" si="177"/>
        <v>10.100000000000001</v>
      </c>
      <c r="R362" s="236">
        <f t="shared" si="177"/>
        <v>13.099999999999998</v>
      </c>
      <c r="S362" s="236">
        <f t="shared" si="177"/>
        <v>10.6</v>
      </c>
      <c r="T362" s="236">
        <f t="shared" si="177"/>
        <v>7.2</v>
      </c>
      <c r="U362" s="236">
        <f t="shared" si="177"/>
        <v>6.8999999999999986</v>
      </c>
      <c r="V362" s="236">
        <f t="shared" si="177"/>
        <v>7.3</v>
      </c>
      <c r="W362" s="236">
        <f t="shared" ref="W362:AC362" si="178">W360+W361</f>
        <v>9.1</v>
      </c>
      <c r="X362" s="236">
        <f t="shared" si="178"/>
        <v>10.1</v>
      </c>
      <c r="Y362" s="236">
        <f t="shared" si="178"/>
        <v>10.600000000000001</v>
      </c>
      <c r="Z362" s="236">
        <f t="shared" si="178"/>
        <v>10.8</v>
      </c>
      <c r="AA362" s="236">
        <f t="shared" si="178"/>
        <v>13.4</v>
      </c>
      <c r="AB362" s="236">
        <f t="shared" si="178"/>
        <v>13.4</v>
      </c>
      <c r="AC362" s="236">
        <f t="shared" si="178"/>
        <v>13.5</v>
      </c>
      <c r="AD362" s="236">
        <f t="shared" ref="AD362:AJ362" si="179">AD360+AD361</f>
        <v>13.3</v>
      </c>
      <c r="AE362" s="236">
        <f t="shared" si="179"/>
        <v>13.2</v>
      </c>
      <c r="AF362" s="236">
        <f t="shared" si="179"/>
        <v>14.1</v>
      </c>
      <c r="AG362" s="236">
        <f t="shared" si="179"/>
        <v>49.199999999999996</v>
      </c>
      <c r="AH362" s="236">
        <f t="shared" si="179"/>
        <v>52.1</v>
      </c>
      <c r="AI362" s="236">
        <f t="shared" si="179"/>
        <v>51.9</v>
      </c>
      <c r="AJ362" s="236">
        <f t="shared" si="179"/>
        <v>51</v>
      </c>
      <c r="AK362" s="236"/>
      <c r="AL362" s="236"/>
      <c r="AM362" s="236"/>
      <c r="AN362" s="236"/>
      <c r="AO362" s="236"/>
      <c r="AP362" s="236"/>
      <c r="AQ362" s="236"/>
      <c r="AR362" s="236"/>
      <c r="AS362" s="236"/>
      <c r="AT362" s="236"/>
      <c r="AU362" s="236"/>
      <c r="AV362" s="236"/>
      <c r="AX362" s="356"/>
      <c r="AY362" s="897"/>
      <c r="AZ362" s="124"/>
      <c r="BA362" s="124"/>
      <c r="BB362" s="236"/>
      <c r="BC362" s="236"/>
      <c r="BD362" s="236"/>
      <c r="BE362" s="236"/>
      <c r="BF362" s="236"/>
      <c r="BG362" s="236"/>
      <c r="BH362" s="236"/>
      <c r="BI362" s="236"/>
      <c r="BJ362" s="236"/>
      <c r="BK362" s="236"/>
      <c r="BL362" s="236"/>
      <c r="BM362" s="357"/>
      <c r="BP362" s="124"/>
      <c r="BQ362" s="124"/>
      <c r="BR362" s="124"/>
      <c r="BS362" s="124"/>
      <c r="BT362" s="124"/>
      <c r="BU362" s="124"/>
      <c r="BV362" s="124"/>
      <c r="BW362" s="124"/>
      <c r="BX362" s="124"/>
      <c r="BY362" s="124"/>
      <c r="BZ362" s="124"/>
      <c r="CA362" s="124"/>
      <c r="CB362" s="124"/>
      <c r="CC362" s="124"/>
      <c r="CD362" s="124"/>
      <c r="CE362" s="124"/>
    </row>
    <row r="363" spans="1:85">
      <c r="A363" s="92" t="s">
        <v>5490</v>
      </c>
      <c r="B363" s="236"/>
      <c r="C363" s="236"/>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c r="Z363" s="236"/>
      <c r="AA363" s="236"/>
      <c r="AB363" s="236"/>
      <c r="AC363" s="236"/>
      <c r="AD363" s="236"/>
      <c r="AE363" s="236"/>
      <c r="AF363" s="236"/>
      <c r="AG363" s="337">
        <v>82.9</v>
      </c>
      <c r="AH363" s="337">
        <f>232.1-AI363</f>
        <v>117.39999999999999</v>
      </c>
      <c r="AI363" s="337">
        <v>114.7</v>
      </c>
      <c r="AJ363" s="337">
        <v>114.2</v>
      </c>
      <c r="AK363" s="337"/>
      <c r="AL363" s="337"/>
      <c r="AM363" s="337"/>
      <c r="AN363" s="337"/>
      <c r="AO363" s="337"/>
      <c r="AP363" s="236"/>
      <c r="AQ363" s="236"/>
      <c r="AR363" s="236"/>
      <c r="AS363" s="236"/>
      <c r="AT363" s="236"/>
      <c r="AU363" s="236"/>
      <c r="AV363" s="236"/>
      <c r="AX363" s="124"/>
      <c r="AY363" s="124"/>
      <c r="AZ363" s="124"/>
      <c r="BA363" s="124"/>
      <c r="BB363" s="236"/>
      <c r="BC363" s="236"/>
      <c r="BD363" s="236"/>
      <c r="BE363" s="236"/>
      <c r="BF363" s="236"/>
      <c r="BG363" s="236"/>
      <c r="BH363" s="236"/>
      <c r="BI363" s="236"/>
      <c r="BJ363" s="236"/>
      <c r="BK363" s="236"/>
      <c r="BL363" s="236"/>
      <c r="BM363" s="357"/>
      <c r="BP363" s="124"/>
      <c r="BQ363" s="124"/>
      <c r="BR363" s="124"/>
      <c r="BS363" s="124"/>
      <c r="BT363" s="124"/>
      <c r="BU363" s="124"/>
      <c r="BV363" s="124"/>
      <c r="BW363" s="124"/>
      <c r="BX363" s="124"/>
      <c r="BY363" s="124"/>
      <c r="BZ363" s="124"/>
      <c r="CA363" s="124"/>
      <c r="CB363" s="124"/>
      <c r="CC363" s="124"/>
      <c r="CD363" s="124"/>
      <c r="CE363" s="124"/>
    </row>
    <row r="364" spans="1:85">
      <c r="A364" s="175" t="s">
        <v>5491</v>
      </c>
      <c r="B364" s="238"/>
      <c r="C364" s="238"/>
      <c r="D364" s="238"/>
      <c r="E364" s="238"/>
      <c r="F364" s="238"/>
      <c r="G364" s="238"/>
      <c r="H364" s="238"/>
      <c r="I364" s="238"/>
      <c r="J364" s="238"/>
      <c r="K364" s="238"/>
      <c r="L364" s="238"/>
      <c r="M364" s="238"/>
      <c r="N364" s="238"/>
      <c r="O364" s="238"/>
      <c r="P364" s="238"/>
      <c r="Q364" s="238"/>
      <c r="R364" s="238"/>
      <c r="S364" s="238"/>
      <c r="T364" s="238"/>
      <c r="U364" s="238"/>
      <c r="V364" s="238"/>
      <c r="W364" s="238"/>
      <c r="X364" s="238"/>
      <c r="Y364" s="238"/>
      <c r="Z364" s="238"/>
      <c r="AA364" s="238"/>
      <c r="AB364" s="238"/>
      <c r="AC364" s="238"/>
      <c r="AD364" s="238"/>
      <c r="AE364" s="238"/>
      <c r="AF364" s="238"/>
      <c r="AG364" s="397">
        <v>50.6</v>
      </c>
      <c r="AH364" s="397">
        <f>143-AI364</f>
        <v>72.099999999999994</v>
      </c>
      <c r="AI364" s="397">
        <v>70.900000000000006</v>
      </c>
      <c r="AJ364" s="397">
        <v>70.8</v>
      </c>
      <c r="AK364" s="337"/>
      <c r="AL364" s="337"/>
      <c r="AM364" s="337"/>
      <c r="AN364" s="337"/>
      <c r="AO364" s="337"/>
      <c r="AP364" s="236"/>
      <c r="AQ364" s="236"/>
      <c r="AR364" s="236"/>
      <c r="AS364" s="236"/>
      <c r="AT364" s="236"/>
      <c r="AU364" s="236"/>
      <c r="AV364" s="236"/>
      <c r="AX364" s="124"/>
      <c r="AY364" s="124"/>
      <c r="AZ364" s="124"/>
      <c r="BA364" s="124"/>
      <c r="BB364" s="236"/>
      <c r="BC364" s="236"/>
      <c r="BD364" s="236"/>
      <c r="BE364" s="236"/>
      <c r="BF364" s="236"/>
      <c r="BG364" s="236"/>
      <c r="BH364" s="236"/>
      <c r="BI364" s="236"/>
      <c r="BJ364" s="236"/>
      <c r="BK364" s="236"/>
      <c r="BL364" s="236"/>
      <c r="BM364" s="357"/>
      <c r="BP364" s="124"/>
      <c r="BQ364" s="124"/>
      <c r="BR364" s="124"/>
      <c r="BS364" s="124"/>
      <c r="BT364" s="124"/>
      <c r="BU364" s="124"/>
      <c r="BV364" s="124"/>
      <c r="BW364" s="124"/>
      <c r="BX364" s="124"/>
      <c r="BY364" s="124"/>
      <c r="BZ364" s="124"/>
      <c r="CA364" s="124"/>
      <c r="CB364" s="124"/>
      <c r="CC364" s="124"/>
      <c r="CD364" s="124"/>
      <c r="CE364" s="124"/>
    </row>
    <row r="365" spans="1:85">
      <c r="A365" s="92" t="s">
        <v>3643</v>
      </c>
      <c r="B365" s="236"/>
      <c r="C365" s="236"/>
      <c r="D365" s="236"/>
      <c r="E365" s="236"/>
      <c r="F365" s="236"/>
      <c r="G365" s="236"/>
      <c r="H365" s="236"/>
      <c r="I365" s="236"/>
      <c r="J365" s="236"/>
      <c r="K365" s="236"/>
      <c r="L365" s="236"/>
      <c r="M365" s="236"/>
      <c r="N365" s="236"/>
      <c r="O365" s="236"/>
      <c r="P365" s="236"/>
      <c r="Q365" s="236"/>
      <c r="R365" s="236"/>
      <c r="S365" s="236"/>
      <c r="T365" s="236"/>
      <c r="U365" s="236"/>
      <c r="V365" s="236"/>
      <c r="W365" s="236"/>
      <c r="X365" s="236"/>
      <c r="Y365" s="236"/>
      <c r="Z365" s="236"/>
      <c r="AA365" s="236"/>
      <c r="AB365" s="236"/>
      <c r="AC365" s="236"/>
      <c r="AD365" s="236"/>
      <c r="AE365" s="236"/>
      <c r="AF365" s="236"/>
      <c r="AG365" s="236">
        <f>AG363+AG364</f>
        <v>133.5</v>
      </c>
      <c r="AH365" s="236">
        <f>AH363+AH364</f>
        <v>189.5</v>
      </c>
      <c r="AI365" s="236">
        <f>AI363+AI364</f>
        <v>185.60000000000002</v>
      </c>
      <c r="AJ365" s="236">
        <f>AJ363+AJ364</f>
        <v>185</v>
      </c>
      <c r="AK365" s="236"/>
      <c r="AL365" s="236"/>
      <c r="AM365" s="236"/>
      <c r="AN365" s="236"/>
      <c r="AO365" s="236"/>
      <c r="AP365" s="236"/>
      <c r="AQ365" s="236"/>
      <c r="AR365" s="236"/>
      <c r="AS365" s="236"/>
      <c r="AT365" s="236"/>
      <c r="AU365" s="236"/>
      <c r="AV365" s="236"/>
      <c r="AX365" s="124"/>
      <c r="AY365" s="124"/>
      <c r="AZ365" s="124"/>
      <c r="BA365" s="124"/>
      <c r="BB365" s="236"/>
      <c r="BC365" s="236"/>
      <c r="BD365" s="236"/>
      <c r="BE365" s="236"/>
      <c r="BF365" s="236"/>
      <c r="BG365" s="236"/>
      <c r="BH365" s="236"/>
      <c r="BI365" s="236"/>
      <c r="BJ365" s="236"/>
      <c r="BK365" s="236"/>
      <c r="BL365" s="236"/>
      <c r="BM365" s="357"/>
      <c r="BP365" s="124"/>
      <c r="BQ365" s="124"/>
      <c r="BR365" s="124"/>
      <c r="BS365" s="124"/>
      <c r="BT365" s="124"/>
      <c r="BU365" s="124"/>
      <c r="BV365" s="124"/>
      <c r="BW365" s="124"/>
      <c r="BX365" s="124"/>
      <c r="BY365" s="124"/>
      <c r="BZ365" s="124"/>
      <c r="CA365" s="124"/>
      <c r="CB365" s="124"/>
      <c r="CC365" s="124"/>
      <c r="CD365" s="124"/>
      <c r="CE365" s="124"/>
    </row>
    <row r="366" spans="1:85">
      <c r="A366" s="175" t="s">
        <v>4</v>
      </c>
      <c r="B366" s="238"/>
      <c r="C366" s="238"/>
      <c r="D366" s="238"/>
      <c r="E366" s="238"/>
      <c r="F366" s="238"/>
      <c r="G366" s="238"/>
      <c r="H366" s="238"/>
      <c r="I366" s="238"/>
      <c r="J366" s="238">
        <v>1.4</v>
      </c>
      <c r="K366" s="238">
        <v>1.7</v>
      </c>
      <c r="L366" s="238">
        <v>2.6</v>
      </c>
      <c r="M366" s="238">
        <f>15.6-J366-K366-L366</f>
        <v>9.9</v>
      </c>
      <c r="N366" s="397">
        <f>5.4-O366-P366</f>
        <v>1.9</v>
      </c>
      <c r="O366" s="397">
        <v>1.4</v>
      </c>
      <c r="P366" s="397">
        <v>2.1</v>
      </c>
      <c r="Q366" s="397">
        <f>6.5-N366-O366-P366</f>
        <v>1.0999999999999996</v>
      </c>
      <c r="R366" s="397">
        <f>4.1-S366-T366</f>
        <v>1.1999999999999995</v>
      </c>
      <c r="S366" s="397">
        <v>1.2</v>
      </c>
      <c r="T366" s="397">
        <v>1.7</v>
      </c>
      <c r="U366" s="397">
        <f>4.2-R366-S366-T366</f>
        <v>0.10000000000000098</v>
      </c>
      <c r="V366" s="397">
        <v>0.7</v>
      </c>
      <c r="W366" s="397">
        <v>1</v>
      </c>
      <c r="X366" s="397">
        <v>12.2</v>
      </c>
      <c r="Y366" s="397">
        <f>15-V366-W366-X366</f>
        <v>1.1000000000000014</v>
      </c>
      <c r="Z366" s="238">
        <f t="shared" ref="Z366:AF366" si="180">Z367-Z362-Z359</f>
        <v>0</v>
      </c>
      <c r="AA366" s="238">
        <f t="shared" si="180"/>
        <v>0</v>
      </c>
      <c r="AB366" s="238">
        <f t="shared" si="180"/>
        <v>0</v>
      </c>
      <c r="AC366" s="238">
        <f t="shared" si="180"/>
        <v>0</v>
      </c>
      <c r="AD366" s="238">
        <f t="shared" si="180"/>
        <v>0</v>
      </c>
      <c r="AE366" s="238">
        <f t="shared" si="180"/>
        <v>0</v>
      </c>
      <c r="AF366" s="238">
        <f t="shared" si="180"/>
        <v>9.9999999999994316E-2</v>
      </c>
      <c r="AG366" s="238">
        <f>AG367-AG362-AG359-AG365</f>
        <v>5.5999999999999943</v>
      </c>
      <c r="AH366" s="238"/>
      <c r="AI366" s="238"/>
      <c r="AJ366" s="238"/>
      <c r="AK366" s="236"/>
      <c r="AL366" s="236"/>
      <c r="AM366" s="236"/>
      <c r="AN366" s="236"/>
      <c r="AO366" s="236"/>
      <c r="AP366" s="236"/>
      <c r="AQ366" s="236"/>
      <c r="AR366" s="236"/>
      <c r="AS366" s="236"/>
      <c r="AT366" s="236"/>
      <c r="AU366" s="236"/>
      <c r="AV366" s="236"/>
      <c r="AX366" s="124"/>
      <c r="AY366" s="124"/>
      <c r="AZ366" s="124"/>
      <c r="BA366" s="124"/>
      <c r="BB366" s="236"/>
      <c r="BC366" s="236"/>
      <c r="BD366" s="236"/>
      <c r="BE366" s="236"/>
      <c r="BF366" s="236"/>
      <c r="BG366" s="236"/>
      <c r="BH366" s="236"/>
      <c r="BI366" s="236"/>
      <c r="BJ366" s="236"/>
      <c r="BK366" s="236"/>
      <c r="BL366" s="236"/>
      <c r="BM366" s="357"/>
      <c r="BP366" s="124"/>
      <c r="BQ366" s="124"/>
      <c r="BR366" s="124"/>
      <c r="BS366" s="124"/>
      <c r="BT366" s="124"/>
      <c r="BU366" s="124"/>
      <c r="BV366" s="124"/>
      <c r="BW366" s="124"/>
      <c r="BX366" s="124"/>
      <c r="BY366" s="124"/>
      <c r="BZ366" s="124">
        <f t="shared" ref="BZ366:CD367" si="181">P366/L366-1</f>
        <v>-0.19230769230769229</v>
      </c>
      <c r="CA366" s="124">
        <f t="shared" si="181"/>
        <v>-0.88888888888888895</v>
      </c>
      <c r="CB366" s="124">
        <f t="shared" si="181"/>
        <v>-0.3684210526315792</v>
      </c>
      <c r="CC366" s="124">
        <f t="shared" si="181"/>
        <v>-0.14285714285714279</v>
      </c>
      <c r="CD366" s="124">
        <f t="shared" si="181"/>
        <v>-0.19047619047619058</v>
      </c>
      <c r="CE366" s="124"/>
    </row>
    <row r="367" spans="1:85">
      <c r="A367" s="92" t="s">
        <v>16</v>
      </c>
      <c r="B367" s="236"/>
      <c r="C367" s="236"/>
      <c r="D367" s="236"/>
      <c r="E367" s="236"/>
      <c r="F367" s="236"/>
      <c r="G367" s="236"/>
      <c r="H367" s="236"/>
      <c r="I367" s="236"/>
      <c r="J367" s="236">
        <v>5.9</v>
      </c>
      <c r="K367" s="236">
        <v>6.8</v>
      </c>
      <c r="L367" s="236">
        <v>7.8</v>
      </c>
      <c r="M367" s="236">
        <f>21.7-J367-K367-L367</f>
        <v>1.2000000000000002</v>
      </c>
      <c r="N367" s="236">
        <f t="shared" ref="N367:T367" si="182">N359+N362+N366</f>
        <v>103.9</v>
      </c>
      <c r="O367" s="236">
        <f t="shared" si="182"/>
        <v>106.9</v>
      </c>
      <c r="P367" s="236">
        <f t="shared" si="182"/>
        <v>104.79999999999998</v>
      </c>
      <c r="Q367" s="236">
        <f t="shared" si="182"/>
        <v>105.19999999999999</v>
      </c>
      <c r="R367" s="236">
        <f t="shared" si="182"/>
        <v>106.7</v>
      </c>
      <c r="S367" s="236">
        <f t="shared" si="182"/>
        <v>108.3</v>
      </c>
      <c r="T367" s="236">
        <f t="shared" si="182"/>
        <v>88.600000000000009</v>
      </c>
      <c r="U367" s="236">
        <f>U359+U362+U366</f>
        <v>16.900000000000006</v>
      </c>
      <c r="V367" s="236">
        <f>V359+V362+V366</f>
        <v>61.800000000000004</v>
      </c>
      <c r="W367" s="236">
        <f>W359+W362+W366</f>
        <v>80.3</v>
      </c>
      <c r="X367" s="236">
        <f>X359+X362+X366</f>
        <v>99.6</v>
      </c>
      <c r="Y367" s="236">
        <f>Y359+Y362+Y366</f>
        <v>93.900000000000034</v>
      </c>
      <c r="Z367" s="236">
        <v>98.6</v>
      </c>
      <c r="AA367" s="236">
        <v>103.8</v>
      </c>
      <c r="AB367" s="236">
        <v>104.3</v>
      </c>
      <c r="AC367" s="236">
        <f>412.1-Z367-AA367-AB367</f>
        <v>105.39999999999999</v>
      </c>
      <c r="AD367" s="236">
        <v>104.6</v>
      </c>
      <c r="AE367" s="236">
        <v>109.1</v>
      </c>
      <c r="AF367" s="236">
        <v>114.1</v>
      </c>
      <c r="AG367" s="236">
        <f>624.1-AD367-AE367-AF367</f>
        <v>296.29999999999995</v>
      </c>
      <c r="AH367" s="376">
        <f>721.7-AI367</f>
        <v>361.30000000000007</v>
      </c>
      <c r="AI367" s="376">
        <v>360.4</v>
      </c>
      <c r="AJ367" s="376">
        <v>359</v>
      </c>
      <c r="AK367" s="376"/>
      <c r="AL367" s="376"/>
      <c r="AM367" s="376"/>
      <c r="AN367" s="376"/>
      <c r="AO367" s="376"/>
      <c r="AP367" s="236"/>
      <c r="AQ367" s="236"/>
      <c r="AR367" s="236"/>
      <c r="AS367" s="236"/>
      <c r="AT367" s="236"/>
      <c r="AU367" s="236"/>
      <c r="AV367" s="236"/>
      <c r="AX367" s="124"/>
      <c r="AY367" s="124"/>
      <c r="AZ367" s="124"/>
      <c r="BA367" s="124"/>
      <c r="BB367" s="236"/>
      <c r="BC367" s="236"/>
      <c r="BD367" s="236"/>
      <c r="BE367" s="236"/>
      <c r="BF367" s="236"/>
      <c r="BG367" s="236"/>
      <c r="BH367" s="236"/>
      <c r="BI367" s="236"/>
      <c r="BJ367" s="236"/>
      <c r="BK367" s="236"/>
      <c r="BL367" s="236"/>
      <c r="BM367" s="357"/>
      <c r="BP367" s="124"/>
      <c r="BQ367" s="124"/>
      <c r="BR367" s="124"/>
      <c r="BS367" s="124"/>
      <c r="BT367" s="124"/>
      <c r="BU367" s="124"/>
      <c r="BV367" s="124"/>
      <c r="BW367" s="124"/>
      <c r="BX367" s="124"/>
      <c r="BY367" s="124"/>
      <c r="BZ367" s="124">
        <f t="shared" si="181"/>
        <v>12.435897435897434</v>
      </c>
      <c r="CA367" s="124">
        <f t="shared" si="181"/>
        <v>86.666666666666643</v>
      </c>
      <c r="CB367" s="124">
        <f t="shared" si="181"/>
        <v>2.6948989412896918E-2</v>
      </c>
      <c r="CC367" s="124">
        <f t="shared" si="181"/>
        <v>1.3096351730589317E-2</v>
      </c>
      <c r="CD367" s="124">
        <f t="shared" si="181"/>
        <v>-0.15458015267175551</v>
      </c>
      <c r="CE367" s="124"/>
    </row>
    <row r="368" spans="1:85">
      <c r="A368" s="92" t="s">
        <v>4534</v>
      </c>
      <c r="B368" s="236"/>
      <c r="C368" s="236"/>
      <c r="D368" s="236"/>
      <c r="E368" s="236"/>
      <c r="F368" s="236"/>
      <c r="G368" s="236"/>
      <c r="H368" s="236"/>
      <c r="I368" s="236"/>
      <c r="J368" s="236"/>
      <c r="K368" s="236"/>
      <c r="L368" s="236"/>
      <c r="M368" s="236"/>
      <c r="N368" s="236"/>
      <c r="O368" s="236"/>
      <c r="P368" s="236"/>
      <c r="Q368" s="236"/>
      <c r="R368" s="236"/>
      <c r="S368" s="236"/>
      <c r="T368" s="236"/>
      <c r="U368" s="236"/>
      <c r="V368" s="236"/>
      <c r="W368" s="236"/>
      <c r="X368" s="236"/>
      <c r="Y368" s="236"/>
      <c r="Z368" s="236"/>
      <c r="AA368" s="236"/>
      <c r="AB368" s="236"/>
      <c r="AC368" s="236"/>
      <c r="AD368" s="236"/>
      <c r="AE368" s="236"/>
      <c r="AF368" s="236"/>
      <c r="AG368" s="236">
        <f>AG367-AG369</f>
        <v>122.29999999999995</v>
      </c>
      <c r="AH368" s="236">
        <f>AH367-AH369</f>
        <v>361.30000000000007</v>
      </c>
      <c r="AI368" s="236">
        <f>AI367-AI369</f>
        <v>360.4</v>
      </c>
      <c r="AJ368" s="236">
        <f>AJ367-AJ369</f>
        <v>359</v>
      </c>
      <c r="AK368" s="236"/>
      <c r="AL368" s="236"/>
      <c r="AM368" s="236"/>
      <c r="AN368" s="236"/>
      <c r="AO368" s="236"/>
      <c r="AP368" s="236"/>
      <c r="AQ368" s="236"/>
      <c r="AR368" s="236"/>
      <c r="AS368" s="236"/>
      <c r="AT368" s="236"/>
      <c r="AU368" s="236"/>
      <c r="AV368" s="236"/>
      <c r="AX368" s="124"/>
      <c r="AY368" s="124"/>
      <c r="AZ368" s="124"/>
      <c r="BA368" s="124"/>
      <c r="BB368" s="236"/>
      <c r="BC368" s="236"/>
      <c r="BD368" s="236"/>
      <c r="BE368" s="236"/>
      <c r="BF368" s="236"/>
      <c r="BG368" s="236"/>
      <c r="BH368" s="236"/>
      <c r="BI368" s="236"/>
      <c r="BJ368" s="236"/>
      <c r="BK368" s="236"/>
      <c r="BL368" s="236"/>
      <c r="BM368" s="357"/>
      <c r="BP368" s="124"/>
      <c r="BQ368" s="124"/>
      <c r="BR368" s="124"/>
      <c r="BS368" s="124"/>
      <c r="BT368" s="124"/>
      <c r="BU368" s="124"/>
      <c r="BV368" s="124"/>
      <c r="BW368" s="124"/>
      <c r="BX368" s="124"/>
      <c r="BY368" s="124"/>
      <c r="BZ368" s="124"/>
      <c r="CA368" s="124"/>
      <c r="CB368" s="124"/>
      <c r="CC368" s="124"/>
      <c r="CD368" s="124"/>
      <c r="CE368" s="124"/>
    </row>
    <row r="369" spans="1:83">
      <c r="A369" s="92" t="s">
        <v>4389</v>
      </c>
      <c r="B369" s="236"/>
      <c r="C369" s="236"/>
      <c r="D369" s="236"/>
      <c r="E369" s="236"/>
      <c r="F369" s="236"/>
      <c r="G369" s="236"/>
      <c r="H369" s="236"/>
      <c r="I369" s="236"/>
      <c r="J369" s="236"/>
      <c r="K369" s="236"/>
      <c r="L369" s="236"/>
      <c r="M369" s="236"/>
      <c r="N369" s="236"/>
      <c r="O369" s="236"/>
      <c r="P369" s="236"/>
      <c r="Q369" s="236"/>
      <c r="R369" s="236"/>
      <c r="S369" s="236"/>
      <c r="T369" s="236"/>
      <c r="U369" s="236"/>
      <c r="V369" s="236"/>
      <c r="W369" s="236"/>
      <c r="X369" s="236"/>
      <c r="Y369" s="236"/>
      <c r="Z369" s="124"/>
      <c r="AA369" s="124"/>
      <c r="AB369" s="124"/>
      <c r="AC369" s="124"/>
      <c r="AD369" s="124"/>
      <c r="AE369" s="124"/>
      <c r="AF369" s="124"/>
      <c r="AG369" s="1099">
        <v>174</v>
      </c>
      <c r="AH369" s="1099"/>
      <c r="AI369" s="1099"/>
      <c r="AJ369" s="1099"/>
      <c r="AK369" s="1099"/>
      <c r="AL369" s="1099"/>
      <c r="AM369" s="1099"/>
      <c r="AN369" s="1099"/>
      <c r="AO369" s="1099"/>
      <c r="AP369" s="236"/>
      <c r="AQ369" s="236"/>
      <c r="AR369" s="236"/>
      <c r="AS369" s="236"/>
      <c r="AT369" s="236"/>
      <c r="AU369" s="236"/>
      <c r="AV369" s="236"/>
      <c r="AW369" s="124"/>
      <c r="AX369" s="236"/>
      <c r="AY369" s="236"/>
      <c r="AZ369" s="236"/>
      <c r="BA369" s="236"/>
      <c r="BB369" s="236"/>
      <c r="BC369" s="236"/>
      <c r="BD369" s="236"/>
      <c r="BE369" s="236"/>
      <c r="BF369" s="236"/>
      <c r="BG369" s="236"/>
      <c r="BH369" s="236"/>
      <c r="BI369" s="236"/>
      <c r="BJ369" s="236"/>
      <c r="BK369" s="236"/>
      <c r="BL369" s="236"/>
      <c r="BM369" s="357"/>
      <c r="BP369" s="124"/>
      <c r="BQ369" s="124"/>
      <c r="BR369" s="124"/>
      <c r="BS369" s="124"/>
      <c r="BT369" s="124"/>
      <c r="BU369" s="124"/>
      <c r="BV369" s="124"/>
      <c r="BW369" s="124"/>
      <c r="BX369" s="124"/>
      <c r="BY369" s="124"/>
      <c r="BZ369" s="124"/>
      <c r="CA369" s="124"/>
      <c r="CB369" s="124"/>
      <c r="CC369" s="124"/>
      <c r="CD369" s="124"/>
      <c r="CE369" s="124"/>
    </row>
    <row r="370" spans="1:83">
      <c r="A370" s="92" t="s">
        <v>5492</v>
      </c>
      <c r="B370" s="236"/>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c r="Z370" s="124"/>
      <c r="AA370" s="124"/>
      <c r="AB370" s="124"/>
      <c r="AC370" s="124"/>
      <c r="AD370" s="124"/>
      <c r="AE370" s="124"/>
      <c r="AF370" s="124"/>
      <c r="AG370" s="357">
        <f>AG369-AG365-AG366</f>
        <v>34.900000000000006</v>
      </c>
      <c r="AH370" s="357"/>
      <c r="AI370" s="357"/>
      <c r="AJ370" s="357"/>
      <c r="AK370" s="357"/>
      <c r="AL370" s="357"/>
      <c r="AM370" s="357"/>
      <c r="AN370" s="357"/>
      <c r="AO370" s="357"/>
      <c r="AP370" s="236"/>
      <c r="AQ370" s="236"/>
      <c r="AR370" s="236"/>
      <c r="AS370" s="236"/>
      <c r="AT370" s="236"/>
      <c r="AU370" s="236"/>
      <c r="AV370" s="236"/>
      <c r="AW370" s="124"/>
      <c r="AX370" s="236"/>
      <c r="AY370" s="236"/>
      <c r="AZ370" s="236"/>
      <c r="BA370" s="236"/>
      <c r="BB370" s="236"/>
      <c r="BC370" s="236"/>
      <c r="BD370" s="236"/>
      <c r="BE370" s="236"/>
      <c r="BF370" s="236"/>
      <c r="BG370" s="236"/>
      <c r="BH370" s="236"/>
      <c r="BI370" s="236"/>
      <c r="BJ370" s="236"/>
      <c r="BK370" s="236"/>
      <c r="BL370" s="236"/>
      <c r="BM370" s="357"/>
      <c r="BP370" s="124"/>
      <c r="BQ370" s="124"/>
      <c r="BR370" s="124"/>
      <c r="BS370" s="124"/>
      <c r="BT370" s="124"/>
      <c r="BU370" s="124"/>
      <c r="BV370" s="124"/>
      <c r="BW370" s="124"/>
      <c r="BX370" s="124"/>
      <c r="BY370" s="124"/>
      <c r="BZ370" s="124"/>
      <c r="CA370" s="124"/>
      <c r="CB370" s="124"/>
      <c r="CC370" s="124"/>
      <c r="CD370" s="124"/>
      <c r="CE370" s="124"/>
    </row>
    <row r="371" spans="1:83">
      <c r="B371" s="236"/>
      <c r="C371" s="236"/>
      <c r="D371" s="236"/>
      <c r="E371" s="236"/>
      <c r="F371" s="236"/>
      <c r="G371" s="236"/>
      <c r="H371" s="236"/>
      <c r="I371" s="236"/>
      <c r="J371" s="236"/>
      <c r="K371" s="236"/>
      <c r="L371" s="236"/>
      <c r="M371" s="236"/>
      <c r="N371" s="236"/>
      <c r="O371" s="236"/>
      <c r="P371" s="236"/>
      <c r="Q371" s="236"/>
      <c r="R371" s="236"/>
      <c r="S371" s="236"/>
      <c r="T371" s="236"/>
      <c r="U371" s="236"/>
      <c r="V371" s="236"/>
      <c r="W371" s="236"/>
      <c r="X371" s="236"/>
      <c r="Y371" s="236"/>
      <c r="Z371" s="124"/>
      <c r="AA371" s="124"/>
      <c r="AB371" s="124"/>
      <c r="AC371" s="124"/>
      <c r="AD371" s="124"/>
      <c r="AE371" s="124"/>
      <c r="AF371" s="124"/>
      <c r="AG371" s="357"/>
      <c r="AH371" s="357"/>
      <c r="AI371" s="357"/>
      <c r="AJ371" s="357"/>
      <c r="AK371" s="357"/>
      <c r="AL371" s="357"/>
      <c r="AM371" s="357"/>
      <c r="AN371" s="357"/>
      <c r="AO371" s="357"/>
      <c r="AP371" s="236"/>
      <c r="AQ371" s="236"/>
      <c r="AR371" s="236"/>
      <c r="AS371" s="236"/>
      <c r="AT371" s="236"/>
      <c r="AU371" s="236"/>
      <c r="AV371" s="236"/>
      <c r="AW371" s="124"/>
      <c r="AX371" s="236"/>
      <c r="AY371" s="236"/>
      <c r="AZ371" s="236"/>
      <c r="BA371" s="236"/>
      <c r="BB371" s="236"/>
      <c r="BC371" s="236"/>
      <c r="BD371" s="236"/>
      <c r="BE371" s="236"/>
      <c r="BF371" s="236"/>
      <c r="BG371" s="236"/>
      <c r="BH371" s="236"/>
      <c r="BI371" s="236"/>
      <c r="BJ371" s="236"/>
      <c r="BK371" s="236"/>
      <c r="BL371" s="236"/>
      <c r="BM371" s="357"/>
      <c r="BP371" s="124"/>
      <c r="BQ371" s="124"/>
      <c r="BR371" s="124"/>
      <c r="BS371" s="124"/>
      <c r="BT371" s="124"/>
      <c r="BU371" s="124"/>
      <c r="BV371" s="124"/>
      <c r="BW371" s="124"/>
      <c r="BX371" s="124"/>
      <c r="BY371" s="124"/>
      <c r="BZ371" s="124"/>
      <c r="CA371" s="124"/>
      <c r="CB371" s="124"/>
      <c r="CC371" s="124"/>
      <c r="CD371" s="124"/>
      <c r="CE371" s="124"/>
    </row>
    <row r="372" spans="1:83">
      <c r="A372" s="92" t="s">
        <v>2849</v>
      </c>
      <c r="B372" s="236"/>
      <c r="C372" s="236"/>
      <c r="D372" s="236"/>
      <c r="E372" s="236"/>
      <c r="F372" s="236"/>
      <c r="G372" s="236"/>
      <c r="H372" s="236"/>
      <c r="I372" s="236"/>
      <c r="J372" s="236">
        <f t="shared" ref="J372:Q372" si="183">J373-J366</f>
        <v>71.699999999999989</v>
      </c>
      <c r="K372" s="236">
        <f t="shared" si="183"/>
        <v>82.1</v>
      </c>
      <c r="L372" s="236">
        <f t="shared" si="183"/>
        <v>94.100000000000009</v>
      </c>
      <c r="M372" s="236">
        <f t="shared" si="183"/>
        <v>93.999999999999986</v>
      </c>
      <c r="N372" s="236">
        <f t="shared" si="183"/>
        <v>-1.9</v>
      </c>
      <c r="O372" s="236">
        <f t="shared" si="183"/>
        <v>-1.4</v>
      </c>
      <c r="P372" s="236">
        <f t="shared" si="183"/>
        <v>-2.1</v>
      </c>
      <c r="Q372" s="236">
        <f t="shared" si="183"/>
        <v>-1.0999999999999996</v>
      </c>
      <c r="R372" s="236">
        <f>R373-R366</f>
        <v>-1.1999999999999995</v>
      </c>
      <c r="S372" s="236">
        <f>S373-S366</f>
        <v>-1.2</v>
      </c>
      <c r="T372" s="236"/>
      <c r="U372" s="236"/>
      <c r="V372" s="236"/>
      <c r="W372" s="236"/>
      <c r="X372" s="236"/>
      <c r="Y372" s="236"/>
      <c r="Z372" s="124"/>
      <c r="AA372" s="124"/>
      <c r="AB372" s="124"/>
      <c r="AC372" s="124"/>
      <c r="AD372" s="124"/>
      <c r="AE372" s="124"/>
      <c r="AF372" s="124"/>
      <c r="AG372" s="124"/>
      <c r="AH372" s="124"/>
      <c r="AI372" s="124"/>
      <c r="AJ372" s="124"/>
      <c r="AK372" s="124"/>
      <c r="AL372" s="124"/>
      <c r="AM372" s="124"/>
      <c r="AN372" s="124"/>
      <c r="AO372" s="124"/>
      <c r="AP372" s="236"/>
      <c r="AQ372" s="236"/>
      <c r="AR372" s="236"/>
      <c r="AS372" s="236"/>
      <c r="AT372" s="236"/>
      <c r="AU372" s="236"/>
      <c r="AV372" s="236"/>
      <c r="AW372" s="124"/>
      <c r="AX372" s="236"/>
      <c r="AY372" s="236"/>
      <c r="AZ372" s="236"/>
      <c r="BA372" s="236"/>
      <c r="BB372" s="236"/>
      <c r="BC372" s="236"/>
      <c r="BD372" s="236"/>
      <c r="BE372" s="236"/>
      <c r="BF372" s="236"/>
      <c r="BG372" s="236"/>
      <c r="BH372" s="236"/>
      <c r="BI372" s="236"/>
      <c r="BJ372" s="236"/>
      <c r="BK372" s="236"/>
      <c r="BL372" s="236"/>
      <c r="BM372" s="357"/>
      <c r="BP372" s="124"/>
      <c r="BQ372" s="124"/>
      <c r="BR372" s="124"/>
      <c r="BS372" s="124"/>
      <c r="BT372" s="124"/>
      <c r="BU372" s="124"/>
      <c r="BV372" s="124"/>
      <c r="BW372" s="124"/>
      <c r="BX372" s="124">
        <f t="shared" ref="BX372:CD373" si="184">N372/J372-1</f>
        <v>-1.0264993026499303</v>
      </c>
      <c r="BY372" s="124">
        <f t="shared" si="184"/>
        <v>-1.0170523751522533</v>
      </c>
      <c r="BZ372" s="124">
        <f t="shared" si="184"/>
        <v>-1.0223166843783209</v>
      </c>
      <c r="CA372" s="124">
        <f t="shared" si="184"/>
        <v>-1.0117021276595746</v>
      </c>
      <c r="CB372" s="124">
        <f t="shared" si="184"/>
        <v>-0.3684210526315792</v>
      </c>
      <c r="CC372" s="124">
        <f t="shared" si="184"/>
        <v>-0.14285714285714279</v>
      </c>
      <c r="CD372" s="124">
        <f t="shared" si="184"/>
        <v>-1</v>
      </c>
      <c r="CE372" s="124"/>
    </row>
    <row r="373" spans="1:83">
      <c r="A373" s="92" t="s">
        <v>2108</v>
      </c>
      <c r="B373" s="236"/>
      <c r="C373" s="236"/>
      <c r="D373" s="236"/>
      <c r="E373" s="236"/>
      <c r="F373" s="236"/>
      <c r="G373" s="236"/>
      <c r="H373" s="236"/>
      <c r="I373" s="236"/>
      <c r="J373" s="236">
        <f t="shared" ref="J373:S373" si="185">J351-J367</f>
        <v>73.099999999999994</v>
      </c>
      <c r="K373" s="236">
        <f t="shared" si="185"/>
        <v>83.8</v>
      </c>
      <c r="L373" s="236">
        <f t="shared" si="185"/>
        <v>96.7</v>
      </c>
      <c r="M373" s="236">
        <f t="shared" si="185"/>
        <v>103.89999999999999</v>
      </c>
      <c r="N373" s="236">
        <f t="shared" si="185"/>
        <v>0</v>
      </c>
      <c r="O373" s="236">
        <f t="shared" si="185"/>
        <v>0</v>
      </c>
      <c r="P373" s="236">
        <f t="shared" si="185"/>
        <v>0</v>
      </c>
      <c r="Q373" s="236">
        <f t="shared" si="185"/>
        <v>0</v>
      </c>
      <c r="R373" s="236">
        <f t="shared" si="185"/>
        <v>0</v>
      </c>
      <c r="S373" s="236">
        <f t="shared" si="185"/>
        <v>0</v>
      </c>
      <c r="T373" s="236"/>
      <c r="U373" s="236"/>
      <c r="V373" s="236"/>
      <c r="W373" s="236"/>
      <c r="X373" s="236"/>
      <c r="Y373" s="236"/>
      <c r="AA373" s="124"/>
      <c r="AB373" s="124"/>
      <c r="AC373" s="124"/>
      <c r="AD373" s="124"/>
      <c r="AE373" s="124"/>
      <c r="AF373" s="124"/>
      <c r="AG373" s="124"/>
      <c r="AH373" s="124"/>
      <c r="AI373" s="124"/>
      <c r="AJ373" s="124"/>
      <c r="AK373" s="124"/>
      <c r="AL373" s="124"/>
      <c r="AM373" s="124"/>
      <c r="AN373" s="124"/>
      <c r="AO373" s="124"/>
      <c r="AP373" s="236"/>
      <c r="AQ373" s="236"/>
      <c r="AR373" s="236"/>
      <c r="AS373" s="236"/>
      <c r="AT373" s="236"/>
      <c r="AU373" s="236"/>
      <c r="AV373" s="236"/>
      <c r="AW373" s="124"/>
      <c r="AX373" s="236"/>
      <c r="AY373" s="236"/>
      <c r="AZ373" s="236"/>
      <c r="BA373" s="236"/>
      <c r="BB373" s="236"/>
      <c r="BC373" s="236"/>
      <c r="BD373" s="236"/>
      <c r="BE373" s="236"/>
      <c r="BF373" s="236"/>
      <c r="BG373" s="236"/>
      <c r="BH373" s="236"/>
      <c r="BI373" s="236"/>
      <c r="BJ373" s="236"/>
      <c r="BK373" s="236"/>
      <c r="BL373" s="236"/>
      <c r="BM373" s="357"/>
      <c r="BP373" s="124"/>
      <c r="BQ373" s="124"/>
      <c r="BR373" s="124"/>
      <c r="BS373" s="124"/>
      <c r="BT373" s="124"/>
      <c r="BU373" s="124"/>
      <c r="BV373" s="124"/>
      <c r="BW373" s="124"/>
      <c r="BX373" s="124">
        <f t="shared" si="184"/>
        <v>-1</v>
      </c>
      <c r="BY373" s="124">
        <f t="shared" si="184"/>
        <v>-1</v>
      </c>
      <c r="BZ373" s="124">
        <f t="shared" si="184"/>
        <v>-1</v>
      </c>
      <c r="CA373" s="124">
        <f t="shared" si="184"/>
        <v>-1</v>
      </c>
      <c r="CB373" s="124" t="e">
        <f t="shared" si="184"/>
        <v>#DIV/0!</v>
      </c>
      <c r="CC373" s="124" t="e">
        <f t="shared" si="184"/>
        <v>#DIV/0!</v>
      </c>
      <c r="CD373" s="124" t="e">
        <f t="shared" si="184"/>
        <v>#DIV/0!</v>
      </c>
      <c r="CE373" s="124"/>
    </row>
    <row r="374" spans="1:83">
      <c r="B374" s="236"/>
      <c r="C374" s="236"/>
      <c r="D374" s="236"/>
      <c r="E374" s="236"/>
      <c r="F374" s="236"/>
      <c r="G374" s="236"/>
      <c r="H374" s="236"/>
      <c r="I374" s="236"/>
      <c r="J374" s="236"/>
      <c r="K374" s="236"/>
      <c r="L374" s="236"/>
      <c r="M374" s="236"/>
      <c r="N374" s="236"/>
      <c r="O374" s="236"/>
      <c r="P374" s="236"/>
      <c r="Q374" s="236"/>
      <c r="Z374" s="236">
        <f>Z357*1000/AVERAGE(Y326,Z326)/3</f>
        <v>72.046109510086453</v>
      </c>
      <c r="AA374" s="236"/>
      <c r="AB374" s="236"/>
      <c r="AC374" s="236"/>
      <c r="AD374" s="236"/>
      <c r="AE374" s="236"/>
      <c r="AF374" s="236"/>
      <c r="AG374" s="236"/>
      <c r="AH374" s="236"/>
      <c r="AI374" s="236"/>
      <c r="AJ374" s="236"/>
      <c r="AK374" s="236"/>
      <c r="AL374" s="236"/>
      <c r="AM374" s="236"/>
      <c r="AN374" s="236"/>
      <c r="AO374" s="236"/>
      <c r="AP374" s="236"/>
      <c r="AQ374" s="236"/>
      <c r="AR374" s="236"/>
      <c r="AS374" s="236"/>
      <c r="AT374" s="236"/>
      <c r="AU374" s="236"/>
      <c r="AV374" s="236"/>
      <c r="AW374" s="124"/>
      <c r="AX374" s="236"/>
      <c r="AY374" s="236"/>
      <c r="AZ374" s="236"/>
      <c r="BA374" s="236"/>
      <c r="BB374" s="236"/>
      <c r="BC374" s="236"/>
      <c r="BD374" s="236"/>
      <c r="BE374" s="236"/>
      <c r="BF374" s="236"/>
      <c r="BG374" s="236"/>
      <c r="BH374" s="236"/>
      <c r="BI374" s="236"/>
      <c r="BJ374" s="236"/>
      <c r="BK374" s="236"/>
      <c r="BL374" s="236"/>
      <c r="BM374" s="357"/>
      <c r="BP374" s="124"/>
      <c r="BQ374" s="124"/>
      <c r="BR374" s="124"/>
      <c r="BS374" s="124"/>
      <c r="BT374" s="124"/>
      <c r="BU374" s="124"/>
      <c r="BV374" s="124"/>
      <c r="BW374" s="124"/>
      <c r="BX374" s="124"/>
      <c r="BY374" s="124"/>
      <c r="BZ374" s="124"/>
      <c r="CA374" s="124"/>
      <c r="CB374" s="124"/>
      <c r="CC374" s="124"/>
      <c r="CD374" s="124"/>
      <c r="CE374" s="124"/>
    </row>
    <row r="375" spans="1:83">
      <c r="A375" s="92" t="s">
        <v>3557</v>
      </c>
      <c r="B375" s="236"/>
      <c r="C375" s="236"/>
      <c r="D375" s="236"/>
      <c r="E375" s="236"/>
      <c r="F375" s="236"/>
      <c r="G375" s="236"/>
      <c r="H375" s="236"/>
      <c r="I375" s="236"/>
      <c r="J375" s="236"/>
      <c r="K375" s="236"/>
      <c r="L375" s="236"/>
      <c r="M375" s="236"/>
      <c r="N375" s="236"/>
      <c r="O375" s="236"/>
      <c r="P375" s="236"/>
      <c r="Q375" s="236"/>
      <c r="R375" s="236">
        <f t="shared" ref="R375:X375" si="186">R351*1000/AVERAGE(Q339,R339)/3</f>
        <v>44.149288315127443</v>
      </c>
      <c r="S375" s="236">
        <f t="shared" si="186"/>
        <v>44.878170064644451</v>
      </c>
      <c r="T375" s="236">
        <f t="shared" si="186"/>
        <v>36.762722765087858</v>
      </c>
      <c r="U375" s="236">
        <f t="shared" si="186"/>
        <v>9.8527911383180289</v>
      </c>
      <c r="V375" s="236">
        <f t="shared" si="186"/>
        <v>45.777777777777779</v>
      </c>
      <c r="W375" s="236">
        <f t="shared" si="186"/>
        <v>55.026104251263774</v>
      </c>
      <c r="X375" s="236">
        <f t="shared" si="186"/>
        <v>43.905944151242586</v>
      </c>
      <c r="Y375" s="236">
        <f t="shared" ref="Y375:AL375" si="187">Y351*1000/AVERAGE(X339,Y339)/3</f>
        <v>43.556916225994989</v>
      </c>
      <c r="Z375" s="236">
        <f t="shared" si="187"/>
        <v>43.836834500389017</v>
      </c>
      <c r="AA375" s="236">
        <f t="shared" si="187"/>
        <v>45.338400052414329</v>
      </c>
      <c r="AB375" s="236">
        <f t="shared" si="187"/>
        <v>45.236701147181925</v>
      </c>
      <c r="AC375" s="236">
        <f t="shared" si="187"/>
        <v>45.135320315176436</v>
      </c>
      <c r="AD375" s="236">
        <f t="shared" si="187"/>
        <v>44.157379263762245</v>
      </c>
      <c r="AE375" s="236">
        <f t="shared" si="187"/>
        <v>44.850054469589516</v>
      </c>
      <c r="AF375" s="236">
        <f t="shared" si="187"/>
        <v>44.918232326206883</v>
      </c>
      <c r="AG375" s="236">
        <f t="shared" si="187"/>
        <v>46.173771045666989</v>
      </c>
      <c r="AH375" s="236">
        <f t="shared" si="187"/>
        <v>43.940879543886403</v>
      </c>
      <c r="AI375" s="236">
        <f t="shared" si="187"/>
        <v>44.061913363794133</v>
      </c>
      <c r="AJ375" s="236">
        <f t="shared" si="187"/>
        <v>62.591278948466488</v>
      </c>
      <c r="AK375" s="236">
        <f t="shared" si="187"/>
        <v>65.489368274725834</v>
      </c>
      <c r="AL375" s="236">
        <f t="shared" si="187"/>
        <v>63.909837863373333</v>
      </c>
      <c r="AM375" s="236">
        <f>AM351*1000/AVERAGE(AL339,AM339)/3</f>
        <v>62.650522364509122</v>
      </c>
      <c r="AN375" s="236">
        <f>AN351*1000/AVERAGE(AM339,AN339)/3</f>
        <v>62.591333760241689</v>
      </c>
      <c r="AO375" s="236"/>
      <c r="AP375" s="563">
        <v>37</v>
      </c>
      <c r="AQ375" s="236">
        <f>AQ351*1000/AVERAGE(AP339,AQ339)/3</f>
        <v>62.413671260158679</v>
      </c>
      <c r="AR375" s="236">
        <f>AR351*1000/AVERAGE(AQ339,AR339)/3</f>
        <v>61.707091042725217</v>
      </c>
      <c r="AS375" s="236"/>
      <c r="AT375" s="236"/>
      <c r="AU375" s="236"/>
      <c r="AV375" s="236"/>
      <c r="AW375" s="124"/>
      <c r="AX375" s="236"/>
      <c r="AY375" s="236"/>
      <c r="AZ375" s="236"/>
      <c r="BA375" s="236"/>
      <c r="BB375" s="236"/>
      <c r="BC375" s="236"/>
      <c r="BD375" s="236"/>
      <c r="BE375" s="236"/>
      <c r="BF375" s="236"/>
      <c r="BG375" s="236"/>
      <c r="BH375" s="236"/>
      <c r="BI375" s="236"/>
      <c r="BJ375" s="236"/>
      <c r="BK375" s="236"/>
      <c r="BL375" s="236"/>
      <c r="BM375" s="357"/>
      <c r="BP375" s="124"/>
      <c r="BQ375" s="124"/>
      <c r="BR375" s="124"/>
      <c r="BS375" s="124"/>
      <c r="BT375" s="124"/>
      <c r="BU375" s="124"/>
      <c r="BV375" s="124"/>
      <c r="BW375" s="124"/>
      <c r="BX375" s="124"/>
      <c r="BY375" s="124"/>
      <c r="BZ375" s="124"/>
      <c r="CA375" s="124"/>
      <c r="CB375" s="124"/>
      <c r="CC375" s="124"/>
      <c r="CD375" s="124"/>
      <c r="CE375" s="124"/>
    </row>
    <row r="376" spans="1:83">
      <c r="A376" s="92" t="s">
        <v>904</v>
      </c>
      <c r="B376" s="337">
        <f>B351/AVERAGE(PR!BU6,PR!BV6)/3*1000</f>
        <v>89.705882352941174</v>
      </c>
      <c r="C376" s="236">
        <f t="shared" ref="C376:R376" si="188">C351/AVERAGE(B326,C326)/3*1000</f>
        <v>90.59233449477351</v>
      </c>
      <c r="D376" s="236">
        <f t="shared" si="188"/>
        <v>91.695820290922484</v>
      </c>
      <c r="E376" s="236">
        <f t="shared" si="188"/>
        <v>92.190756405541265</v>
      </c>
      <c r="F376" s="236">
        <f t="shared" si="188"/>
        <v>90.85933223864258</v>
      </c>
      <c r="G376" s="236">
        <f t="shared" si="188"/>
        <v>92.679975801572894</v>
      </c>
      <c r="H376" s="236">
        <f t="shared" si="188"/>
        <v>91.734295160805516</v>
      </c>
      <c r="I376" s="236">
        <f t="shared" si="188"/>
        <v>93.385676897454175</v>
      </c>
      <c r="J376" s="236">
        <f t="shared" si="188"/>
        <v>93.248347497639287</v>
      </c>
      <c r="K376" s="236">
        <f t="shared" si="188"/>
        <v>88.550065972731275</v>
      </c>
      <c r="L376" s="236">
        <f t="shared" si="188"/>
        <v>87.25784903139612</v>
      </c>
      <c r="M376" s="236">
        <f t="shared" si="188"/>
        <v>87.539563551557549</v>
      </c>
      <c r="N376" s="236">
        <f t="shared" si="188"/>
        <v>86.475239284228053</v>
      </c>
      <c r="O376" s="236">
        <f t="shared" si="188"/>
        <v>89.429874095453201</v>
      </c>
      <c r="P376" s="236">
        <f t="shared" si="188"/>
        <v>87.915775344993904</v>
      </c>
      <c r="Q376" s="236">
        <f t="shared" si="188"/>
        <v>87.491683300066555</v>
      </c>
      <c r="R376" s="236">
        <f t="shared" si="188"/>
        <v>87.775584073708458</v>
      </c>
      <c r="S376" s="236">
        <f>S351/AVERAGE(R326,S326)/3*1000</f>
        <v>88.850603002707359</v>
      </c>
      <c r="T376" s="236">
        <f>T351/AVERAGE(S326,T326)/3*1000</f>
        <v>72.554559226958204</v>
      </c>
      <c r="U376" s="236">
        <f>U351/AVERAGE(T326,U326)/3*1000</f>
        <v>14.336005429019806</v>
      </c>
      <c r="V376" s="236">
        <f>V351/AVERAGE(U326,V326)/3*1000</f>
        <v>55.080213903743314</v>
      </c>
      <c r="W376" s="236"/>
      <c r="X376" s="236"/>
      <c r="Y376" s="236"/>
      <c r="Z376" s="124"/>
      <c r="AA376" s="124"/>
      <c r="AB376" s="124"/>
      <c r="AC376" s="124"/>
      <c r="AD376" s="124"/>
      <c r="AE376" s="124"/>
      <c r="AF376" s="124"/>
      <c r="AG376" s="124"/>
      <c r="AH376" s="124"/>
      <c r="AI376" s="124"/>
      <c r="AJ376" s="124"/>
      <c r="AK376" s="124"/>
      <c r="AL376" s="124"/>
      <c r="AM376" s="124"/>
      <c r="AN376" s="124"/>
      <c r="AO376" s="124"/>
      <c r="AP376" s="236"/>
      <c r="AQ376" s="236"/>
      <c r="AR376" s="236"/>
      <c r="AS376" s="236"/>
      <c r="AT376" s="236"/>
      <c r="AU376" s="236"/>
      <c r="AV376" s="236"/>
      <c r="AW376" s="360"/>
      <c r="AX376" s="378" t="str">
        <f>AX353</f>
        <v>Q1 20</v>
      </c>
      <c r="AY376" s="378" t="str">
        <f>AY353</f>
        <v>Q2 20</v>
      </c>
      <c r="AZ376" s="378" t="str">
        <f>AZ353</f>
        <v>Q3 20</v>
      </c>
      <c r="BA376" s="378" t="str">
        <f>BA353</f>
        <v>Q4 20</v>
      </c>
      <c r="BB376" s="236"/>
      <c r="BC376" s="236"/>
      <c r="BD376" s="236"/>
      <c r="BE376" s="236"/>
      <c r="BF376" s="236"/>
      <c r="BG376" s="236"/>
      <c r="BH376" s="236"/>
      <c r="BI376" s="236"/>
      <c r="BJ376" s="236"/>
      <c r="BK376" s="236"/>
      <c r="BL376" s="236"/>
      <c r="BP376" s="124">
        <f t="shared" ref="BP376:CD376" si="189">F376/B376-1</f>
        <v>1.2858129873392743E-2</v>
      </c>
      <c r="BQ376" s="124">
        <f t="shared" si="189"/>
        <v>2.3044348271208603E-2</v>
      </c>
      <c r="BR376" s="124">
        <f t="shared" si="189"/>
        <v>4.1959240629463324E-4</v>
      </c>
      <c r="BS376" s="124">
        <f t="shared" si="189"/>
        <v>1.2961391559220159E-2</v>
      </c>
      <c r="BT376" s="124">
        <f t="shared" si="189"/>
        <v>2.629355950715051E-2</v>
      </c>
      <c r="BU376" s="124">
        <f t="shared" si="189"/>
        <v>-4.4560972239394259E-2</v>
      </c>
      <c r="BV376" s="124">
        <f t="shared" si="189"/>
        <v>-4.8797956332061188E-2</v>
      </c>
      <c r="BW376" s="124">
        <f t="shared" si="189"/>
        <v>-6.2601820109053574E-2</v>
      </c>
      <c r="BX376" s="124">
        <f t="shared" si="189"/>
        <v>-7.2635155422810072E-2</v>
      </c>
      <c r="BY376" s="124">
        <f t="shared" si="189"/>
        <v>9.9357139157056906E-3</v>
      </c>
      <c r="BZ376" s="124">
        <f t="shared" si="189"/>
        <v>7.5400244321981447E-3</v>
      </c>
      <c r="CA376" s="124">
        <f t="shared" si="189"/>
        <v>-5.4695556555739433E-4</v>
      </c>
      <c r="CB376" s="124">
        <f t="shared" si="189"/>
        <v>1.5037192151691192E-2</v>
      </c>
      <c r="CC376" s="124">
        <f t="shared" si="189"/>
        <v>-6.4773779299694967E-3</v>
      </c>
      <c r="CD376" s="124">
        <f t="shared" si="189"/>
        <v>-0.17472650451817229</v>
      </c>
      <c r="CE376" s="124"/>
    </row>
    <row r="377" spans="1:83">
      <c r="A377" s="92" t="s">
        <v>1568</v>
      </c>
      <c r="B377" s="236"/>
      <c r="C377" s="236"/>
      <c r="D377" s="236"/>
      <c r="E377" s="236"/>
      <c r="F377" s="236"/>
      <c r="G377" s="236"/>
      <c r="H377" s="236"/>
      <c r="I377" s="236"/>
      <c r="J377" s="236">
        <f t="shared" ref="J377:R377" si="190">J354/AVERAGE(I329,J329)/3*1000</f>
        <v>57.233704292527811</v>
      </c>
      <c r="K377" s="236">
        <f t="shared" si="190"/>
        <v>58.992216304793118</v>
      </c>
      <c r="L377" s="236">
        <f t="shared" si="190"/>
        <v>58.433433433433443</v>
      </c>
      <c r="M377" s="236">
        <f t="shared" si="190"/>
        <v>58.486166257011419</v>
      </c>
      <c r="N377" s="236">
        <f t="shared" si="190"/>
        <v>54.659328145758217</v>
      </c>
      <c r="O377" s="236">
        <f t="shared" si="190"/>
        <v>56.699720315280956</v>
      </c>
      <c r="P377" s="236">
        <f t="shared" si="190"/>
        <v>54.661558109833969</v>
      </c>
      <c r="Q377" s="236">
        <f t="shared" si="190"/>
        <v>54.033339720252904</v>
      </c>
      <c r="R377" s="236">
        <f t="shared" si="190"/>
        <v>54.002297970126378</v>
      </c>
      <c r="S377" s="236">
        <f t="shared" ref="S377:Y379" si="191">S354/AVERAGE(R329,S329)/3*1000</f>
        <v>54.785732614831936</v>
      </c>
      <c r="T377" s="236">
        <f t="shared" si="191"/>
        <v>45.032768801505419</v>
      </c>
      <c r="U377" s="236">
        <f t="shared" si="191"/>
        <v>6.5694929172654435</v>
      </c>
      <c r="V377" s="236">
        <f t="shared" si="191"/>
        <v>34.191796903661313</v>
      </c>
      <c r="W377" s="236">
        <f t="shared" si="191"/>
        <v>45.492710480116024</v>
      </c>
      <c r="X377" s="236">
        <f t="shared" si="191"/>
        <v>50.796655623915441</v>
      </c>
      <c r="Y377" s="236">
        <f t="shared" si="191"/>
        <v>52.681091251175935</v>
      </c>
      <c r="Z377" s="236">
        <f t="shared" ref="Z377:AJ377" si="192">Z354/AVERAGE(Y329,Z329)/3*1000</f>
        <v>53.175326648435131</v>
      </c>
      <c r="AA377" s="236">
        <f t="shared" si="192"/>
        <v>53.278997811485922</v>
      </c>
      <c r="AB377" s="236">
        <f t="shared" si="192"/>
        <v>53.606681852695516</v>
      </c>
      <c r="AC377" s="236">
        <f t="shared" si="192"/>
        <v>53.399894107858728</v>
      </c>
      <c r="AD377" s="236">
        <f t="shared" si="192"/>
        <v>53.086698247988572</v>
      </c>
      <c r="AE377" s="236">
        <f t="shared" si="192"/>
        <v>54.747519952263758</v>
      </c>
      <c r="AF377" s="236">
        <f t="shared" si="192"/>
        <v>54.192229038854812</v>
      </c>
      <c r="AG377" s="236">
        <f t="shared" si="192"/>
        <v>54.471370362427606</v>
      </c>
      <c r="AH377" s="236">
        <f t="shared" si="192"/>
        <v>54.335585585585569</v>
      </c>
      <c r="AI377" s="236">
        <f t="shared" si="192"/>
        <v>54.376473852129287</v>
      </c>
      <c r="AJ377" s="236">
        <f t="shared" si="192"/>
        <v>54.03552081190427</v>
      </c>
      <c r="AK377" s="236"/>
      <c r="AL377" s="236"/>
      <c r="AM377" s="236"/>
      <c r="AN377" s="236"/>
      <c r="AO377" s="236"/>
      <c r="AP377" s="236"/>
      <c r="AQ377" s="236"/>
      <c r="AR377" s="236"/>
      <c r="AS377" s="236"/>
      <c r="AT377" s="236"/>
      <c r="AU377" s="236"/>
      <c r="AV377" s="236"/>
      <c r="AW377" s="92" t="str">
        <f>AW354</f>
        <v>Video</v>
      </c>
      <c r="AX377" s="124">
        <f t="shared" ref="AX377:BA379" si="193">AD377/Z377-1</f>
        <v>-1.6667203763979233E-3</v>
      </c>
      <c r="AY377" s="124">
        <f t="shared" si="193"/>
        <v>2.7562870945392559E-2</v>
      </c>
      <c r="AZ377" s="124">
        <f t="shared" si="193"/>
        <v>1.0923026121413493E-2</v>
      </c>
      <c r="BA377" s="124">
        <f t="shared" si="193"/>
        <v>2.0065138189313325E-2</v>
      </c>
      <c r="BB377" s="236"/>
      <c r="BC377" s="236"/>
      <c r="BD377" s="236"/>
      <c r="BE377" s="236"/>
      <c r="BF377" s="236"/>
      <c r="BG377" s="236"/>
      <c r="BH377" s="236"/>
      <c r="BI377" s="236"/>
      <c r="BJ377" s="236"/>
      <c r="BK377" s="236"/>
      <c r="BL377" s="236"/>
      <c r="BP377" s="124"/>
      <c r="BQ377" s="124"/>
      <c r="BR377" s="124"/>
      <c r="BS377" s="124"/>
      <c r="BT377" s="124"/>
      <c r="BU377" s="124"/>
      <c r="BV377" s="124"/>
      <c r="BW377" s="124"/>
      <c r="BX377" s="124"/>
      <c r="BY377" s="124"/>
      <c r="BZ377" s="124">
        <f t="shared" ref="BZ377:CD379" si="194">P377/L377-1</f>
        <v>-6.4549952004725908E-2</v>
      </c>
      <c r="CA377" s="124">
        <f t="shared" si="194"/>
        <v>-7.6134696830546744E-2</v>
      </c>
      <c r="CB377" s="124">
        <f t="shared" si="194"/>
        <v>-1.2020458317375526E-2</v>
      </c>
      <c r="CC377" s="124">
        <f t="shared" si="194"/>
        <v>-3.3756563344690571E-2</v>
      </c>
      <c r="CD377" s="124">
        <f t="shared" si="194"/>
        <v>-0.17615285113133772</v>
      </c>
      <c r="CE377" s="124"/>
    </row>
    <row r="378" spans="1:83">
      <c r="A378" s="92" t="s">
        <v>1567</v>
      </c>
      <c r="B378" s="236"/>
      <c r="C378" s="236"/>
      <c r="D378" s="236"/>
      <c r="E378" s="236"/>
      <c r="F378" s="236"/>
      <c r="G378" s="236"/>
      <c r="H378" s="236"/>
      <c r="I378" s="236"/>
      <c r="J378" s="236">
        <f t="shared" ref="J378:R378" si="195">J355/AVERAGE(I330,J330)/3*1000</f>
        <v>41.480084845628092</v>
      </c>
      <c r="K378" s="236">
        <f t="shared" si="195"/>
        <v>39.703817183709944</v>
      </c>
      <c r="L378" s="236">
        <f t="shared" si="195"/>
        <v>42.356978178113771</v>
      </c>
      <c r="M378" s="236">
        <f t="shared" si="195"/>
        <v>41.422924901185787</v>
      </c>
      <c r="N378" s="236">
        <f t="shared" si="195"/>
        <v>38.425492033739459</v>
      </c>
      <c r="O378" s="236">
        <f t="shared" si="195"/>
        <v>39.746782897467824</v>
      </c>
      <c r="P378" s="236">
        <f t="shared" si="195"/>
        <v>38.990588478643097</v>
      </c>
      <c r="Q378" s="236">
        <f t="shared" si="195"/>
        <v>40.261598201512371</v>
      </c>
      <c r="R378" s="236">
        <f t="shared" si="195"/>
        <v>39.026352846509759</v>
      </c>
      <c r="S378" s="236">
        <f t="shared" si="191"/>
        <v>41.417165668662676</v>
      </c>
      <c r="T378" s="236">
        <f t="shared" si="191"/>
        <v>34.722222222222221</v>
      </c>
      <c r="U378" s="236">
        <f t="shared" si="191"/>
        <v>4.7114252061248614</v>
      </c>
      <c r="V378" s="236">
        <f t="shared" si="191"/>
        <v>27.047252512294204</v>
      </c>
      <c r="W378" s="236">
        <f t="shared" si="191"/>
        <v>34.940148819152377</v>
      </c>
      <c r="X378" s="236">
        <f t="shared" si="191"/>
        <v>39.177277179236043</v>
      </c>
      <c r="Y378" s="236">
        <f t="shared" si="191"/>
        <v>41.130015370753178</v>
      </c>
      <c r="Z378" s="236">
        <f t="shared" ref="Z378:AJ378" si="196">Z355/AVERAGE(Y330,Z330)/3*1000</f>
        <v>42.254233004801613</v>
      </c>
      <c r="AA378" s="236">
        <f t="shared" si="196"/>
        <v>43.00438920944913</v>
      </c>
      <c r="AB378" s="236">
        <f t="shared" si="196"/>
        <v>43.079609954882848</v>
      </c>
      <c r="AC378" s="236">
        <f t="shared" si="196"/>
        <v>43.023034456501044</v>
      </c>
      <c r="AD378" s="236">
        <f t="shared" si="196"/>
        <v>42.495563649948636</v>
      </c>
      <c r="AE378" s="236">
        <f t="shared" si="196"/>
        <v>44.2227315626264</v>
      </c>
      <c r="AF378" s="236">
        <f t="shared" si="196"/>
        <v>43.938435589289476</v>
      </c>
      <c r="AG378" s="236">
        <f t="shared" si="196"/>
        <v>45.777988614800748</v>
      </c>
      <c r="AH378" s="236">
        <f t="shared" si="196"/>
        <v>46.315154258127777</v>
      </c>
      <c r="AI378" s="236">
        <f t="shared" si="196"/>
        <v>46.219101945297652</v>
      </c>
      <c r="AJ378" s="236">
        <f t="shared" si="196"/>
        <v>45.787349548198151</v>
      </c>
      <c r="AK378" s="236"/>
      <c r="AL378" s="236"/>
      <c r="AM378" s="236"/>
      <c r="AN378" s="236"/>
      <c r="AO378" s="236"/>
      <c r="AP378" s="236"/>
      <c r="AQ378" s="236"/>
      <c r="AR378" s="236"/>
      <c r="AS378" s="236"/>
      <c r="AT378" s="236"/>
      <c r="AU378" s="236"/>
      <c r="AV378" s="236"/>
      <c r="AW378" s="92" t="str">
        <f>AW355</f>
        <v>BB</v>
      </c>
      <c r="AX378" s="124">
        <f t="shared" si="193"/>
        <v>5.7113957108061442E-3</v>
      </c>
      <c r="AY378" s="124">
        <f t="shared" si="193"/>
        <v>2.8330651256164519E-2</v>
      </c>
      <c r="AZ378" s="124">
        <f t="shared" si="193"/>
        <v>1.9935780182459339E-2</v>
      </c>
      <c r="BA378" s="124">
        <f t="shared" si="193"/>
        <v>6.4034399086497107E-2</v>
      </c>
      <c r="BB378" s="236"/>
      <c r="BC378" s="236"/>
      <c r="BD378" s="236"/>
      <c r="BE378" s="236"/>
      <c r="BF378" s="236"/>
      <c r="BG378" s="236"/>
      <c r="BH378" s="236"/>
      <c r="BI378" s="236"/>
      <c r="BJ378" s="236"/>
      <c r="BK378" s="236"/>
      <c r="BL378" s="236"/>
      <c r="BP378" s="124"/>
      <c r="BQ378" s="124"/>
      <c r="BR378" s="124"/>
      <c r="BS378" s="124"/>
      <c r="BT378" s="124"/>
      <c r="BU378" s="124"/>
      <c r="BV378" s="124"/>
      <c r="BW378" s="124"/>
      <c r="BX378" s="124"/>
      <c r="BY378" s="124"/>
      <c r="BZ378" s="124">
        <f t="shared" si="194"/>
        <v>-7.947662567699687E-2</v>
      </c>
      <c r="CA378" s="124">
        <f t="shared" si="194"/>
        <v>-2.8035844944405919E-2</v>
      </c>
      <c r="CB378" s="124">
        <f t="shared" si="194"/>
        <v>1.5637036273802751E-2</v>
      </c>
      <c r="CC378" s="124">
        <f t="shared" si="194"/>
        <v>4.202560935570121E-2</v>
      </c>
      <c r="CD378" s="124">
        <f t="shared" si="194"/>
        <v>-0.10947170645446536</v>
      </c>
      <c r="CE378" s="124"/>
    </row>
    <row r="379" spans="1:83">
      <c r="A379" s="92" t="s">
        <v>1870</v>
      </c>
      <c r="B379" s="236"/>
      <c r="C379" s="236"/>
      <c r="D379" s="236"/>
      <c r="E379" s="236"/>
      <c r="F379" s="236"/>
      <c r="G379" s="236"/>
      <c r="H379" s="236"/>
      <c r="I379" s="236"/>
      <c r="J379" s="236">
        <f t="shared" ref="J379:R379" si="197">J356/AVERAGE(I331,J331)/3*1000</f>
        <v>15.28117359413203</v>
      </c>
      <c r="K379" s="236">
        <f t="shared" si="197"/>
        <v>14.705882352941174</v>
      </c>
      <c r="L379" s="236">
        <f t="shared" si="197"/>
        <v>13.936667548734233</v>
      </c>
      <c r="M379" s="236">
        <f t="shared" si="197"/>
        <v>14.379764379764378</v>
      </c>
      <c r="N379" s="236">
        <f t="shared" si="197"/>
        <v>11.060064658839545</v>
      </c>
      <c r="O379" s="236">
        <f t="shared" si="197"/>
        <v>10.844177510844176</v>
      </c>
      <c r="P379" s="236">
        <f t="shared" si="197"/>
        <v>10.319410319410318</v>
      </c>
      <c r="Q379" s="236">
        <f t="shared" si="197"/>
        <v>10.144927536231886</v>
      </c>
      <c r="R379" s="236">
        <f t="shared" si="197"/>
        <v>8.5775553967119365</v>
      </c>
      <c r="S379" s="236">
        <f t="shared" si="191"/>
        <v>9.9715099715099704</v>
      </c>
      <c r="T379" s="236">
        <f t="shared" si="191"/>
        <v>9.1844813935075216</v>
      </c>
      <c r="U379" s="236">
        <f t="shared" si="191"/>
        <v>0</v>
      </c>
      <c r="V379" s="236">
        <f t="shared" si="191"/>
        <v>6.0811397793414992</v>
      </c>
      <c r="W379" s="236">
        <f t="shared" si="191"/>
        <v>8.0829379722368646</v>
      </c>
      <c r="X379" s="236">
        <f t="shared" si="191"/>
        <v>9.0763481046449535</v>
      </c>
      <c r="Y379" s="236">
        <f t="shared" si="191"/>
        <v>9.3970242756460483</v>
      </c>
      <c r="Z379" s="236">
        <f t="shared" ref="Z379:AJ379" si="198">Z356/AVERAGE(Y331,Z331)/3*1000</f>
        <v>9.4715852442671995</v>
      </c>
      <c r="AA379" s="236">
        <f t="shared" si="198"/>
        <v>9.6240110920805808</v>
      </c>
      <c r="AB379" s="236">
        <f t="shared" si="198"/>
        <v>9.5701540957015414</v>
      </c>
      <c r="AC379" s="236">
        <f t="shared" si="198"/>
        <v>9.4619517280089784</v>
      </c>
      <c r="AD379" s="236">
        <f t="shared" si="198"/>
        <v>9.3184869304272269</v>
      </c>
      <c r="AE379" s="236">
        <f t="shared" si="198"/>
        <v>9.5436004002155013</v>
      </c>
      <c r="AF379" s="236">
        <f t="shared" si="198"/>
        <v>9.608277900960827</v>
      </c>
      <c r="AG379" s="236">
        <f t="shared" si="198"/>
        <v>9.8627787307032619</v>
      </c>
      <c r="AH379" s="236">
        <f t="shared" si="198"/>
        <v>9.7547380156075825</v>
      </c>
      <c r="AI379" s="236">
        <f t="shared" si="198"/>
        <v>9.6598639455782305</v>
      </c>
      <c r="AJ379" s="236">
        <f t="shared" si="198"/>
        <v>9.50850408463908</v>
      </c>
      <c r="AK379" s="236"/>
      <c r="AL379" s="236"/>
      <c r="AM379" s="236"/>
      <c r="AN379" s="236"/>
      <c r="AO379" s="236"/>
      <c r="AP379" s="236"/>
      <c r="AQ379" s="236"/>
      <c r="AR379" s="236"/>
      <c r="AS379" s="236"/>
      <c r="AT379" s="236"/>
      <c r="AU379" s="236"/>
      <c r="AV379" s="236"/>
      <c r="AW379" s="92" t="str">
        <f>AW356</f>
        <v>Voice</v>
      </c>
      <c r="AX379" s="124">
        <f t="shared" si="193"/>
        <v>-1.6163958819104485E-2</v>
      </c>
      <c r="AY379" s="124">
        <f t="shared" si="193"/>
        <v>-8.3552160420147237E-3</v>
      </c>
      <c r="AZ379" s="124">
        <f t="shared" si="193"/>
        <v>3.9836145664999822E-3</v>
      </c>
      <c r="BA379" s="124">
        <f t="shared" si="193"/>
        <v>4.2361979242376391E-2</v>
      </c>
      <c r="BB379" s="236"/>
      <c r="BC379" s="236"/>
      <c r="BD379" s="236"/>
      <c r="BE379" s="236"/>
      <c r="BF379" s="236"/>
      <c r="BG379" s="236"/>
      <c r="BH379" s="236"/>
      <c r="BI379" s="236"/>
      <c r="BJ379" s="236"/>
      <c r="BK379" s="236"/>
      <c r="BL379" s="236"/>
      <c r="BP379" s="124"/>
      <c r="BQ379" s="124"/>
      <c r="BR379" s="124"/>
      <c r="BS379" s="124"/>
      <c r="BT379" s="124"/>
      <c r="BU379" s="124"/>
      <c r="BV379" s="124"/>
      <c r="BW379" s="124"/>
      <c r="BX379" s="124"/>
      <c r="BY379" s="124"/>
      <c r="BZ379" s="124">
        <f t="shared" si="194"/>
        <v>-0.25954965322053936</v>
      </c>
      <c r="CA379" s="124">
        <f t="shared" si="194"/>
        <v>-0.29449973808276564</v>
      </c>
      <c r="CB379" s="124">
        <f t="shared" si="194"/>
        <v>-0.22445702974652237</v>
      </c>
      <c r="CC379" s="124">
        <f t="shared" si="194"/>
        <v>-8.0473372781065033E-2</v>
      </c>
      <c r="CD379" s="124">
        <f t="shared" si="194"/>
        <v>-0.10998001734343765</v>
      </c>
      <c r="CE379" s="124"/>
    </row>
    <row r="380" spans="1:83">
      <c r="J380" s="236"/>
      <c r="Z380" s="124"/>
      <c r="AA380" s="124"/>
      <c r="AB380" s="124"/>
      <c r="AC380" s="124"/>
      <c r="AD380" s="124"/>
      <c r="AE380" s="124"/>
      <c r="AF380" s="124"/>
      <c r="AG380" s="124"/>
      <c r="AH380" s="124"/>
      <c r="AI380" s="124"/>
      <c r="AJ380" s="124"/>
      <c r="AK380" s="124"/>
      <c r="AL380" s="124"/>
      <c r="AM380" s="124"/>
      <c r="AN380" s="124"/>
      <c r="AO380" s="124"/>
      <c r="BP380" s="124"/>
      <c r="BQ380" s="124"/>
      <c r="BR380" s="124"/>
      <c r="BS380" s="124"/>
      <c r="BT380" s="124"/>
      <c r="BU380" s="124"/>
      <c r="BV380" s="124"/>
      <c r="BW380" s="124"/>
      <c r="BX380" s="124"/>
      <c r="BY380" s="124"/>
    </row>
    <row r="381" spans="1:83">
      <c r="A381" s="92" t="s">
        <v>258</v>
      </c>
      <c r="J381" s="236"/>
      <c r="R381" s="236">
        <f t="shared" ref="R381:AC381" si="199">R351-R382</f>
        <v>55.400000000000006</v>
      </c>
      <c r="S381" s="236">
        <f t="shared" si="199"/>
        <v>54.5</v>
      </c>
      <c r="T381" s="236">
        <f t="shared" si="199"/>
        <v>48.999999999999993</v>
      </c>
      <c r="U381" s="236">
        <f t="shared" si="199"/>
        <v>29</v>
      </c>
      <c r="V381" s="236">
        <f t="shared" si="199"/>
        <v>43.8</v>
      </c>
      <c r="W381" s="236">
        <f t="shared" si="199"/>
        <v>63.899999999999991</v>
      </c>
      <c r="X381" s="236">
        <f t="shared" si="199"/>
        <v>49.599999999999994</v>
      </c>
      <c r="Y381" s="236">
        <f t="shared" si="199"/>
        <v>50.800000000000011</v>
      </c>
      <c r="Z381" s="236">
        <f t="shared" si="199"/>
        <v>50.699999999999996</v>
      </c>
      <c r="AA381" s="236">
        <f t="shared" si="199"/>
        <v>52.199999999999996</v>
      </c>
      <c r="AB381" s="236">
        <f t="shared" si="199"/>
        <v>53.5</v>
      </c>
      <c r="AC381" s="236">
        <f t="shared" si="199"/>
        <v>52.500000000000007</v>
      </c>
      <c r="AD381" s="236"/>
      <c r="AE381" s="236"/>
      <c r="AF381" s="236"/>
      <c r="AG381" s="236"/>
      <c r="AH381" s="236"/>
      <c r="AI381" s="236"/>
      <c r="AJ381" s="236"/>
      <c r="AK381" s="236"/>
      <c r="AL381" s="236"/>
      <c r="AM381" s="236"/>
      <c r="AN381" s="236"/>
      <c r="AO381" s="236"/>
      <c r="AP381" s="236"/>
      <c r="AQ381" s="236"/>
      <c r="AR381" s="236"/>
      <c r="AS381" s="236"/>
      <c r="AT381" s="236"/>
      <c r="AU381" s="236"/>
      <c r="AV381" s="236"/>
      <c r="AW381" s="236"/>
      <c r="AX381" s="236"/>
      <c r="AY381" s="236"/>
      <c r="AZ381" s="236"/>
      <c r="BA381" s="236"/>
      <c r="BB381" s="236"/>
      <c r="BC381" s="236"/>
      <c r="BD381" s="236"/>
      <c r="BE381" s="236"/>
      <c r="BF381" s="236"/>
      <c r="BG381" s="236"/>
      <c r="BH381" s="236"/>
      <c r="BI381" s="236"/>
      <c r="BJ381" s="236"/>
      <c r="BK381" s="236"/>
      <c r="BL381" s="236"/>
      <c r="BP381" s="124"/>
      <c r="BQ381" s="124"/>
      <c r="BR381" s="124"/>
      <c r="BS381" s="124"/>
      <c r="BT381" s="124"/>
      <c r="BU381" s="124"/>
      <c r="BV381" s="124"/>
      <c r="BW381" s="124"/>
      <c r="BX381" s="124"/>
      <c r="BY381" s="124"/>
    </row>
    <row r="382" spans="1:83">
      <c r="A382" s="92" t="str">
        <f>A272</f>
        <v>OCF</v>
      </c>
      <c r="B382" s="92">
        <f>PR!BV115</f>
        <v>23.5</v>
      </c>
      <c r="C382" s="92">
        <f>PR!BW115</f>
        <v>23.9</v>
      </c>
      <c r="D382" s="92">
        <f>PR!BX115</f>
        <v>27.099999999999998</v>
      </c>
      <c r="E382" s="92">
        <f>PR!BY115</f>
        <v>32.800000000000018</v>
      </c>
      <c r="F382" s="92">
        <v>29.3</v>
      </c>
      <c r="G382" s="92">
        <f>PR!CA115</f>
        <v>33.299999999999997</v>
      </c>
      <c r="H382" s="92">
        <f>PR!CB115</f>
        <v>32.799999999999997</v>
      </c>
      <c r="I382" s="92">
        <f>PR!CC115</f>
        <v>33.300000000000026</v>
      </c>
      <c r="J382" s="92">
        <v>33.5</v>
      </c>
      <c r="K382" s="92">
        <v>40.799999999999997</v>
      </c>
      <c r="L382" s="92">
        <v>46.4</v>
      </c>
      <c r="M382" s="92">
        <v>46.5</v>
      </c>
      <c r="N382" s="92">
        <v>46.8</v>
      </c>
      <c r="O382" s="92">
        <v>50</v>
      </c>
      <c r="P382" s="376">
        <f>56.1-5</f>
        <v>51.1</v>
      </c>
      <c r="Q382" s="376">
        <f>58.9-8</f>
        <v>50.9</v>
      </c>
      <c r="R382" s="236">
        <v>51.3</v>
      </c>
      <c r="S382" s="236">
        <v>53.8</v>
      </c>
      <c r="T382" s="236">
        <v>39.6</v>
      </c>
      <c r="U382" s="236">
        <v>-12.1</v>
      </c>
      <c r="V382" s="236">
        <v>18</v>
      </c>
      <c r="W382" s="236">
        <v>35.700000000000003</v>
      </c>
      <c r="X382" s="337">
        <f>50-11</f>
        <v>39</v>
      </c>
      <c r="Y382" s="702">
        <f>92.1-49</f>
        <v>43.099999999999994</v>
      </c>
      <c r="Z382" s="236">
        <v>47.9</v>
      </c>
      <c r="AA382" s="236">
        <v>51.6</v>
      </c>
      <c r="AB382" s="236">
        <v>50.8</v>
      </c>
      <c r="AC382" s="236">
        <v>52.9</v>
      </c>
      <c r="AD382" s="236">
        <v>50.5</v>
      </c>
      <c r="AE382" s="236">
        <v>52.4</v>
      </c>
      <c r="AF382" s="236">
        <v>58.1</v>
      </c>
      <c r="AG382" s="236">
        <f>115.9-56</f>
        <v>59.900000000000006</v>
      </c>
      <c r="AH382" s="236">
        <f>149.9-86</f>
        <v>63.900000000000006</v>
      </c>
      <c r="AI382" s="236">
        <f>161.4-98</f>
        <v>63.400000000000006</v>
      </c>
      <c r="AJ382" s="236">
        <f>'New quarts'!AJ260</f>
        <v>86.300000000000011</v>
      </c>
      <c r="AK382" s="236">
        <f>'New quarts'!AK260</f>
        <v>85.300000000000011</v>
      </c>
      <c r="AL382" s="236">
        <f>'New quarts'!AM260</f>
        <v>88.300000000000011</v>
      </c>
      <c r="AM382" s="236">
        <f>'New quarts'!AN260</f>
        <v>90.800000000000011</v>
      </c>
      <c r="AN382" s="236">
        <f>'New quarts'!AO260</f>
        <v>89.5</v>
      </c>
      <c r="AO382" s="236"/>
      <c r="AP382" s="236">
        <f>AP383*AP351</f>
        <v>87.721999999999994</v>
      </c>
      <c r="AQ382" s="236">
        <f>'Puerto Rico'!J49-AL382-AM382-AP382</f>
        <v>87.977999999999994</v>
      </c>
      <c r="AR382" s="236">
        <f>'Puerto Rico'!K49-AM382-AN382-AQ382</f>
        <v>-268.27800000000002</v>
      </c>
      <c r="AS382" s="236"/>
      <c r="AT382" s="236"/>
      <c r="AU382" s="236"/>
      <c r="AV382" s="236"/>
      <c r="AW382" s="236"/>
      <c r="AX382" s="236"/>
      <c r="AY382" s="236"/>
      <c r="AZ382" s="236"/>
      <c r="BA382" s="236"/>
      <c r="BB382" s="236"/>
      <c r="BC382" s="236"/>
      <c r="BD382" s="236"/>
      <c r="BE382" s="236"/>
      <c r="BF382" s="236"/>
      <c r="BG382" s="236"/>
      <c r="BH382" s="236"/>
      <c r="BI382" s="236"/>
      <c r="BJ382" s="236"/>
      <c r="BK382" s="236"/>
      <c r="BL382" s="236"/>
      <c r="BM382" s="236"/>
      <c r="BP382" s="124">
        <f>F382/B382-1</f>
        <v>0.24680851063829801</v>
      </c>
      <c r="BQ382" s="124">
        <f>G382/C382-1</f>
        <v>0.39330543933054396</v>
      </c>
      <c r="BR382" s="124">
        <f>H382/D382-1</f>
        <v>0.21033210332103325</v>
      </c>
      <c r="BS382" s="124">
        <f>I382/E382-1</f>
        <v>1.5243902439024515E-2</v>
      </c>
      <c r="BT382" s="124">
        <f>J382/F382-1</f>
        <v>0.14334470989761083</v>
      </c>
      <c r="BU382" s="124">
        <f>(K382-K218)/G382-1</f>
        <v>0.10510510510510507</v>
      </c>
      <c r="BV382" s="124">
        <f>(L382-L218)/H382-1</f>
        <v>3.0487804878048808E-2</v>
      </c>
      <c r="BW382" s="124">
        <f>(M382-M218)/I382-1</f>
        <v>6.6066066066065243E-2</v>
      </c>
      <c r="BX382" s="124">
        <f>(N382-N218)/J382-1</f>
        <v>6.8656716417910379E-2</v>
      </c>
      <c r="BY382" s="124">
        <f>(O382-O218)/(K382-K218)-1</f>
        <v>5.9782608695652328E-2</v>
      </c>
      <c r="BZ382" s="124">
        <f>P382/L382-1</f>
        <v>0.10129310344827602</v>
      </c>
      <c r="CA382" s="124"/>
    </row>
    <row r="383" spans="1:83">
      <c r="A383" s="92" t="s">
        <v>251</v>
      </c>
      <c r="B383" s="124">
        <f t="shared" ref="B383:W383" si="200">B382/B351</f>
        <v>0.32103825136612019</v>
      </c>
      <c r="C383" s="124">
        <f t="shared" si="200"/>
        <v>0.32253711201079621</v>
      </c>
      <c r="D383" s="124">
        <f t="shared" si="200"/>
        <v>0.36278447121820612</v>
      </c>
      <c r="E383" s="124">
        <f t="shared" si="200"/>
        <v>0.43617021276595769</v>
      </c>
      <c r="F383" s="124">
        <f t="shared" si="200"/>
        <v>0.39223560910307897</v>
      </c>
      <c r="G383" s="124">
        <f t="shared" si="200"/>
        <v>0.43472584856396868</v>
      </c>
      <c r="H383" s="124">
        <f t="shared" si="200"/>
        <v>0.42988204456094364</v>
      </c>
      <c r="I383" s="124">
        <f t="shared" si="200"/>
        <v>0.42420382165605131</v>
      </c>
      <c r="J383" s="124">
        <f t="shared" si="200"/>
        <v>0.42405063291139239</v>
      </c>
      <c r="K383" s="124">
        <f t="shared" si="200"/>
        <v>0.45033112582781459</v>
      </c>
      <c r="L383" s="124">
        <f t="shared" si="200"/>
        <v>0.44401913875598087</v>
      </c>
      <c r="M383" s="124">
        <f t="shared" si="200"/>
        <v>0.44243577545195056</v>
      </c>
      <c r="N383" s="124">
        <f t="shared" si="200"/>
        <v>0.45043310875842152</v>
      </c>
      <c r="O383" s="124">
        <f t="shared" si="200"/>
        <v>0.46772684752104771</v>
      </c>
      <c r="P383" s="124">
        <f t="shared" si="200"/>
        <v>0.48759541984732829</v>
      </c>
      <c r="Q383" s="124">
        <f t="shared" si="200"/>
        <v>0.48384030418250951</v>
      </c>
      <c r="R383" s="124">
        <f t="shared" si="200"/>
        <v>0.48078725398313021</v>
      </c>
      <c r="S383" s="124">
        <f t="shared" si="200"/>
        <v>0.49676823638042472</v>
      </c>
      <c r="T383" s="124">
        <f t="shared" si="200"/>
        <v>0.44695259593679465</v>
      </c>
      <c r="U383" s="124">
        <f t="shared" si="200"/>
        <v>-0.71597633136094674</v>
      </c>
      <c r="V383" s="124">
        <f t="shared" si="200"/>
        <v>0.29126213592233013</v>
      </c>
      <c r="W383" s="124">
        <f t="shared" si="200"/>
        <v>0.35843373493975911</v>
      </c>
      <c r="X383" s="124">
        <f t="shared" ref="X383:AM383" si="201">X382/X351</f>
        <v>0.44018058690744921</v>
      </c>
      <c r="Y383" s="124">
        <f t="shared" si="201"/>
        <v>0.45899893503727363</v>
      </c>
      <c r="Z383" s="124">
        <f t="shared" si="201"/>
        <v>0.48580121703853957</v>
      </c>
      <c r="AA383" s="124">
        <f t="shared" si="201"/>
        <v>0.4971098265895954</v>
      </c>
      <c r="AB383" s="124">
        <f t="shared" si="201"/>
        <v>0.48705656759348032</v>
      </c>
      <c r="AC383" s="124">
        <f t="shared" si="201"/>
        <v>0.50189753320683106</v>
      </c>
      <c r="AD383" s="124">
        <f t="shared" si="201"/>
        <v>0.482791586998088</v>
      </c>
      <c r="AE383" s="124">
        <f t="shared" si="201"/>
        <v>0.48029330889092575</v>
      </c>
      <c r="AF383" s="124">
        <f t="shared" si="201"/>
        <v>0.50786713286713281</v>
      </c>
      <c r="AG383" s="124">
        <f t="shared" si="201"/>
        <v>0.48699186991869925</v>
      </c>
      <c r="AH383" s="124">
        <f t="shared" si="201"/>
        <v>0.52809917355371905</v>
      </c>
      <c r="AI383" s="124">
        <f t="shared" si="201"/>
        <v>0.50964630225080398</v>
      </c>
      <c r="AJ383" s="124">
        <f t="shared" si="201"/>
        <v>0.47944444444444467</v>
      </c>
      <c r="AK383" s="124">
        <f t="shared" si="201"/>
        <v>0.44706498951781976</v>
      </c>
      <c r="AL383" s="124">
        <f t="shared" si="201"/>
        <v>0.46620908130939809</v>
      </c>
      <c r="AM383" s="124">
        <f t="shared" si="201"/>
        <v>0.48144220572640511</v>
      </c>
      <c r="AN383" s="124">
        <f>AN382/AN351</f>
        <v>0.46956977964323199</v>
      </c>
      <c r="AO383" s="124"/>
      <c r="AP383" s="561">
        <v>0.46</v>
      </c>
      <c r="AQ383" s="124">
        <f>AQ382/AQ351</f>
        <v>0.45279464745239317</v>
      </c>
      <c r="AR383" s="124">
        <f>AR382/AR351</f>
        <v>-1.3893215950284827</v>
      </c>
      <c r="AS383" s="124"/>
      <c r="AT383" s="124"/>
      <c r="AU383" s="124"/>
      <c r="AV383" s="124"/>
      <c r="AW383" s="124"/>
      <c r="AX383" s="124"/>
      <c r="AY383" s="124"/>
      <c r="AZ383" s="124"/>
      <c r="BA383" s="124"/>
      <c r="BB383" s="124"/>
      <c r="BC383" s="124"/>
      <c r="BD383" s="124"/>
      <c r="BE383" s="124"/>
      <c r="BF383" s="124"/>
      <c r="BG383" s="124"/>
      <c r="BH383" s="124"/>
      <c r="BI383" s="124"/>
      <c r="BJ383" s="124"/>
      <c r="BK383" s="124"/>
      <c r="BL383" s="124"/>
      <c r="BM383" s="561"/>
    </row>
    <row r="384" spans="1:83">
      <c r="A384" s="92" t="str">
        <f>A276</f>
        <v xml:space="preserve">Share based comp </v>
      </c>
      <c r="F384" s="92">
        <v>-0.1</v>
      </c>
      <c r="G384" s="92">
        <v>-0.4</v>
      </c>
      <c r="J384" s="92">
        <v>-0.2</v>
      </c>
      <c r="K384" s="92">
        <v>-0.8</v>
      </c>
      <c r="AH384" s="124"/>
      <c r="AI384" s="124"/>
      <c r="AJ384" s="124"/>
      <c r="AK384" s="124"/>
      <c r="AL384" s="124"/>
      <c r="AM384" s="124"/>
      <c r="AN384" s="124"/>
      <c r="AO384" s="124"/>
    </row>
    <row r="385" spans="1:64">
      <c r="A385" s="92" t="str">
        <f>A278</f>
        <v>D&amp;A</v>
      </c>
      <c r="F385" s="92">
        <v>-14</v>
      </c>
      <c r="G385" s="92">
        <v>-14.6</v>
      </c>
      <c r="J385" s="92">
        <v>-15.3</v>
      </c>
      <c r="K385" s="92">
        <v>-17.5</v>
      </c>
      <c r="V385" s="563">
        <v>-20</v>
      </c>
      <c r="W385" s="563">
        <v>-20</v>
      </c>
      <c r="X385" s="563">
        <v>-20</v>
      </c>
      <c r="Y385" s="563">
        <v>-20</v>
      </c>
      <c r="Z385" s="563"/>
      <c r="AA385" s="563"/>
      <c r="AB385" s="563"/>
      <c r="AC385" s="563"/>
      <c r="AD385" s="563"/>
      <c r="AE385" s="563"/>
      <c r="AF385" s="563"/>
      <c r="AG385" s="563"/>
      <c r="AH385" s="563"/>
      <c r="AI385" s="563"/>
      <c r="AJ385" s="563"/>
      <c r="AK385" s="563"/>
      <c r="AL385" s="563"/>
      <c r="AM385" s="563"/>
      <c r="AN385" s="563"/>
      <c r="AO385" s="563"/>
      <c r="AP385" s="563"/>
      <c r="AQ385" s="563"/>
      <c r="AR385" s="563"/>
      <c r="AS385" s="563"/>
      <c r="AT385" s="563"/>
      <c r="AU385" s="563"/>
      <c r="AV385" s="563"/>
      <c r="AW385" s="563"/>
      <c r="AX385" s="563"/>
      <c r="AY385" s="563"/>
      <c r="AZ385" s="563"/>
      <c r="BA385" s="563"/>
      <c r="BB385" s="563"/>
      <c r="BC385" s="563"/>
      <c r="BD385" s="563"/>
      <c r="BE385" s="563"/>
      <c r="BF385" s="563"/>
      <c r="BG385" s="563"/>
      <c r="BH385" s="563"/>
      <c r="BI385" s="563"/>
      <c r="BJ385" s="563"/>
      <c r="BK385" s="563"/>
      <c r="BL385" s="563"/>
    </row>
    <row r="386" spans="1:64">
      <c r="A386" s="175" t="str">
        <f>A279</f>
        <v>Other</v>
      </c>
      <c r="B386" s="175"/>
      <c r="C386" s="175"/>
      <c r="D386" s="175"/>
      <c r="E386" s="175"/>
      <c r="F386" s="175">
        <v>-0.2</v>
      </c>
      <c r="G386" s="175">
        <v>-0.3</v>
      </c>
      <c r="H386" s="175"/>
      <c r="I386" s="175"/>
      <c r="J386" s="175">
        <v>-3.4</v>
      </c>
      <c r="K386" s="175">
        <v>-3.4</v>
      </c>
      <c r="L386" s="175"/>
      <c r="M386" s="175"/>
      <c r="N386" s="175"/>
      <c r="O386" s="175"/>
      <c r="P386" s="175"/>
      <c r="Q386" s="175"/>
      <c r="R386" s="175"/>
      <c r="S386" s="175"/>
      <c r="T386" s="175"/>
      <c r="U386" s="175"/>
      <c r="V386" s="175"/>
      <c r="W386" s="175"/>
      <c r="X386" s="175"/>
      <c r="Y386" s="175"/>
      <c r="Z386" s="175"/>
      <c r="AA386" s="175"/>
      <c r="AB386" s="175"/>
      <c r="AC386" s="175"/>
      <c r="AD386" s="175"/>
      <c r="AE386" s="175"/>
      <c r="AF386" s="175"/>
      <c r="AG386" s="175"/>
    </row>
    <row r="387" spans="1:64">
      <c r="A387" s="92" t="str">
        <f>A280</f>
        <v>EBIT</v>
      </c>
      <c r="F387" s="236">
        <f>SUM(F382:F386)</f>
        <v>15.392235609103079</v>
      </c>
      <c r="G387" s="236">
        <f>SUM(G382:G386)</f>
        <v>18.434725848563968</v>
      </c>
      <c r="J387" s="236">
        <f>SUM(J382:J386)</f>
        <v>15.024050632911392</v>
      </c>
      <c r="K387" s="236">
        <f>SUM(K382:K386)</f>
        <v>19.550331125827817</v>
      </c>
      <c r="V387" s="236">
        <f>V382+V385</f>
        <v>-2</v>
      </c>
      <c r="W387" s="236">
        <f>W382+W385</f>
        <v>15.700000000000003</v>
      </c>
      <c r="X387" s="236">
        <f>X382+X385</f>
        <v>19</v>
      </c>
      <c r="Y387" s="236">
        <f>Y382+Y385</f>
        <v>23.099999999999994</v>
      </c>
      <c r="Z387" s="236">
        <f>Z382+Z385</f>
        <v>47.9</v>
      </c>
      <c r="AA387" s="236"/>
      <c r="AB387" s="236"/>
      <c r="AC387" s="236"/>
      <c r="AD387" s="236"/>
      <c r="AE387" s="236"/>
      <c r="AF387" s="236"/>
      <c r="AG387" s="236"/>
      <c r="AH387" s="236"/>
      <c r="AI387" s="236"/>
      <c r="AJ387" s="236"/>
      <c r="AK387" s="236"/>
      <c r="AL387" s="236"/>
      <c r="AM387" s="236"/>
      <c r="AN387" s="236"/>
      <c r="AO387" s="236"/>
      <c r="AP387" s="236"/>
      <c r="AQ387" s="236"/>
      <c r="AR387" s="236"/>
      <c r="AS387" s="236"/>
      <c r="AT387" s="236"/>
      <c r="AU387" s="236"/>
      <c r="AV387" s="236"/>
      <c r="AW387" s="236"/>
      <c r="AX387" s="236"/>
      <c r="AY387" s="236"/>
      <c r="AZ387" s="236"/>
      <c r="BA387" s="236"/>
      <c r="BB387" s="236"/>
      <c r="BC387" s="236"/>
      <c r="BD387" s="236"/>
      <c r="BE387" s="236"/>
      <c r="BF387" s="236"/>
      <c r="BG387" s="236"/>
      <c r="BH387" s="236"/>
      <c r="BI387" s="236"/>
      <c r="BJ387" s="236"/>
      <c r="BK387" s="236"/>
      <c r="BL387" s="236"/>
    </row>
    <row r="389" spans="1:64">
      <c r="A389" s="92" t="s">
        <v>929</v>
      </c>
      <c r="F389" s="236">
        <f>24.2-G389</f>
        <v>12.2</v>
      </c>
      <c r="G389" s="236">
        <f>11.7+0.3</f>
        <v>12</v>
      </c>
      <c r="J389" s="92">
        <f>24.5-K389</f>
        <v>11.8</v>
      </c>
      <c r="K389" s="92">
        <f>12.1+0.6</f>
        <v>12.7</v>
      </c>
      <c r="N389" s="92">
        <v>12.9</v>
      </c>
      <c r="O389" s="92">
        <v>12.8</v>
      </c>
      <c r="R389" s="92">
        <v>12.5</v>
      </c>
      <c r="S389" s="92">
        <v>12.3</v>
      </c>
      <c r="T389" s="92">
        <f>36.4-R389-S389</f>
        <v>11.599999999999998</v>
      </c>
      <c r="U389" s="92">
        <f>48.7-S389-T389-R389</f>
        <v>12.300000000000008</v>
      </c>
      <c r="V389" s="563">
        <v>12</v>
      </c>
      <c r="W389" s="563">
        <v>12</v>
      </c>
      <c r="X389" s="563">
        <v>12</v>
      </c>
      <c r="Y389" s="563">
        <v>12</v>
      </c>
      <c r="Z389" s="563"/>
      <c r="AA389" s="563"/>
      <c r="AB389" s="563"/>
      <c r="AC389" s="563"/>
      <c r="AD389" s="563"/>
      <c r="AE389" s="563"/>
      <c r="AF389" s="563"/>
      <c r="AG389" s="563"/>
      <c r="AH389" s="563"/>
      <c r="AI389" s="563"/>
      <c r="AJ389" s="563"/>
      <c r="AK389" s="563"/>
      <c r="AL389" s="563"/>
      <c r="AM389" s="563"/>
      <c r="AN389" s="563"/>
      <c r="AO389" s="563"/>
      <c r="AP389" s="563"/>
      <c r="AQ389" s="563"/>
      <c r="AR389" s="563"/>
      <c r="AS389" s="563"/>
      <c r="AT389" s="563"/>
      <c r="AU389" s="563"/>
      <c r="AV389" s="563"/>
      <c r="AW389" s="563"/>
      <c r="AX389" s="563"/>
      <c r="AY389" s="563"/>
      <c r="AZ389" s="563"/>
      <c r="BA389" s="563"/>
      <c r="BB389" s="563"/>
      <c r="BC389" s="563"/>
      <c r="BD389" s="563"/>
      <c r="BE389" s="563"/>
      <c r="BF389" s="563"/>
      <c r="BG389" s="563"/>
      <c r="BH389" s="563"/>
      <c r="BI389" s="563"/>
      <c r="BJ389" s="563"/>
      <c r="BK389" s="563"/>
      <c r="BL389" s="563"/>
    </row>
    <row r="390" spans="1:64">
      <c r="A390" s="92" t="s">
        <v>930</v>
      </c>
      <c r="F390" s="124">
        <f>F389/F431*4</f>
        <v>7.2565055762081776E-2</v>
      </c>
      <c r="G390" s="124">
        <f>G389/G431*4</f>
        <v>7.1375464684014872E-2</v>
      </c>
      <c r="J390" s="124">
        <f>J389/J431*4</f>
        <v>7.0168483647175428E-2</v>
      </c>
      <c r="K390" s="124">
        <f>K389/K431*4</f>
        <v>6.6399442314395263E-2</v>
      </c>
      <c r="N390" s="124"/>
      <c r="O390" s="124"/>
      <c r="R390" s="124"/>
      <c r="S390" s="124">
        <f>S389/S431*4</f>
        <v>5.3920880970751213E-2</v>
      </c>
      <c r="T390" s="124">
        <f t="shared" ref="T390:Y390" si="202">T389*4/AVERAGE(S411,T411)</f>
        <v>5.2796267850031282E-2</v>
      </c>
      <c r="U390" s="124">
        <f t="shared" si="202"/>
        <v>5.4080791426216031E-2</v>
      </c>
      <c r="V390" s="124">
        <f t="shared" si="202"/>
        <v>5.0996015936254982E-2</v>
      </c>
      <c r="W390" s="124">
        <f t="shared" si="202"/>
        <v>5.0311828520517798E-2</v>
      </c>
      <c r="X390" s="124">
        <f t="shared" si="202"/>
        <v>5.0078247261345854E-2</v>
      </c>
      <c r="Y390" s="124">
        <f t="shared" si="202"/>
        <v>5.0505050505050504E-2</v>
      </c>
      <c r="Z390" s="124"/>
      <c r="AA390" s="124"/>
      <c r="AB390" s="124"/>
      <c r="AC390" s="124"/>
      <c r="AD390" s="124"/>
      <c r="AE390" s="124"/>
      <c r="AF390" s="124"/>
      <c r="AG390" s="124"/>
      <c r="AH390" s="124"/>
      <c r="AI390" s="124"/>
      <c r="AJ390" s="124"/>
      <c r="AK390" s="124"/>
      <c r="AL390" s="124"/>
      <c r="AM390" s="124"/>
      <c r="AN390" s="124"/>
      <c r="AO390" s="124"/>
      <c r="AP390" s="124"/>
      <c r="AQ390" s="124"/>
      <c r="AR390" s="124"/>
      <c r="AS390" s="124"/>
      <c r="AT390" s="124"/>
      <c r="AU390" s="124"/>
      <c r="AV390" s="124"/>
      <c r="AW390" s="124"/>
      <c r="AX390" s="124"/>
      <c r="AY390" s="124"/>
      <c r="AZ390" s="124"/>
      <c r="BA390" s="124"/>
      <c r="BB390" s="124"/>
      <c r="BC390" s="124"/>
      <c r="BD390" s="124"/>
      <c r="BE390" s="124"/>
      <c r="BF390" s="124"/>
      <c r="BG390" s="124"/>
      <c r="BH390" s="124"/>
      <c r="BI390" s="124"/>
      <c r="BJ390" s="124"/>
      <c r="BK390" s="124"/>
      <c r="BL390" s="124"/>
    </row>
    <row r="391" spans="1:64">
      <c r="A391" s="92" t="s">
        <v>66</v>
      </c>
      <c r="F391" s="124"/>
      <c r="G391" s="124"/>
      <c r="J391" s="124"/>
      <c r="K391" s="124"/>
      <c r="N391" s="124"/>
      <c r="O391" s="124"/>
      <c r="R391" s="124"/>
      <c r="S391" s="124"/>
      <c r="T391" s="124"/>
      <c r="U391" s="124"/>
      <c r="V391" s="345">
        <f>V387-V389</f>
        <v>-14</v>
      </c>
      <c r="W391" s="345">
        <f>W387-W389</f>
        <v>3.7000000000000028</v>
      </c>
      <c r="X391" s="345">
        <f>X387-X389</f>
        <v>7</v>
      </c>
      <c r="Y391" s="345"/>
      <c r="Z391" s="345"/>
      <c r="AA391" s="345"/>
      <c r="AB391" s="345"/>
      <c r="AC391" s="345"/>
      <c r="AD391" s="345"/>
      <c r="AE391" s="345"/>
      <c r="AF391" s="345"/>
      <c r="AG391" s="345"/>
      <c r="AH391" s="345"/>
      <c r="AI391" s="345"/>
      <c r="AJ391" s="345"/>
      <c r="AK391" s="345"/>
      <c r="AL391" s="345"/>
      <c r="AM391" s="345"/>
      <c r="AN391" s="345"/>
      <c r="AO391" s="345"/>
      <c r="AP391" s="345"/>
      <c r="AQ391" s="345"/>
      <c r="AR391" s="345"/>
      <c r="AS391" s="345"/>
      <c r="AT391" s="345"/>
      <c r="AU391" s="345"/>
      <c r="AV391" s="345"/>
      <c r="AW391" s="345"/>
      <c r="AX391" s="345"/>
      <c r="AY391" s="345"/>
      <c r="AZ391" s="345"/>
      <c r="BA391" s="345"/>
      <c r="BB391" s="345"/>
      <c r="BC391" s="345"/>
      <c r="BD391" s="345"/>
      <c r="BE391" s="345"/>
      <c r="BF391" s="345"/>
      <c r="BG391" s="345"/>
      <c r="BH391" s="345"/>
      <c r="BI391" s="345"/>
      <c r="BJ391" s="345"/>
      <c r="BK391" s="345"/>
      <c r="BL391" s="345"/>
    </row>
    <row r="392" spans="1:64">
      <c r="A392" s="92" t="s">
        <v>3673</v>
      </c>
      <c r="F392" s="124"/>
      <c r="G392" s="124"/>
      <c r="J392" s="124"/>
      <c r="K392" s="124"/>
      <c r="N392" s="124"/>
      <c r="O392" s="124"/>
      <c r="R392" s="124"/>
      <c r="S392" s="124"/>
      <c r="T392" s="124"/>
      <c r="U392" s="124"/>
      <c r="V392" s="345">
        <f>0.2*V391</f>
        <v>-2.8000000000000003</v>
      </c>
      <c r="W392" s="345">
        <f>0.2*W391</f>
        <v>0.74000000000000066</v>
      </c>
      <c r="X392" s="345">
        <f>0.2*X391</f>
        <v>1.4000000000000001</v>
      </c>
      <c r="Y392" s="345"/>
      <c r="Z392" s="345"/>
      <c r="AA392" s="345"/>
      <c r="AB392" s="345"/>
      <c r="AC392" s="345"/>
      <c r="AD392" s="345"/>
      <c r="AE392" s="345"/>
      <c r="AF392" s="345"/>
      <c r="AG392" s="345"/>
      <c r="AH392" s="345"/>
      <c r="AI392" s="345"/>
      <c r="AJ392" s="345"/>
      <c r="AK392" s="345"/>
      <c r="AL392" s="345"/>
      <c r="AM392" s="345"/>
      <c r="AN392" s="345"/>
      <c r="AO392" s="345"/>
      <c r="AP392" s="345"/>
      <c r="AQ392" s="345"/>
      <c r="AR392" s="345"/>
      <c r="AS392" s="345"/>
      <c r="AT392" s="345"/>
      <c r="AU392" s="345"/>
      <c r="AV392" s="345"/>
      <c r="AW392" s="345"/>
      <c r="AX392" s="345"/>
      <c r="AY392" s="345"/>
      <c r="AZ392" s="345"/>
      <c r="BA392" s="345"/>
      <c r="BB392" s="345"/>
      <c r="BC392" s="345"/>
      <c r="BD392" s="345"/>
      <c r="BE392" s="345"/>
      <c r="BF392" s="345"/>
      <c r="BG392" s="345"/>
      <c r="BH392" s="345"/>
      <c r="BI392" s="345"/>
      <c r="BJ392" s="345"/>
      <c r="BK392" s="345"/>
      <c r="BL392" s="345"/>
    </row>
    <row r="393" spans="1:64">
      <c r="A393" s="92" t="s">
        <v>3940</v>
      </c>
      <c r="F393" s="124"/>
      <c r="G393" s="124"/>
      <c r="J393" s="124"/>
      <c r="K393" s="124"/>
      <c r="N393" s="124"/>
      <c r="O393" s="124"/>
      <c r="R393" s="124"/>
      <c r="S393" s="124"/>
      <c r="T393" s="124"/>
      <c r="U393" s="124"/>
      <c r="V393" s="345">
        <f>IF(V391&lt;0,0,V392)</f>
        <v>0</v>
      </c>
      <c r="W393" s="345">
        <f>IF(W391&lt;0,0,W392)</f>
        <v>0.74000000000000066</v>
      </c>
      <c r="X393" s="345">
        <f>IF(X391&lt;0,0,X392)</f>
        <v>1.4000000000000001</v>
      </c>
      <c r="Y393" s="345"/>
      <c r="Z393" s="345"/>
      <c r="AA393" s="345"/>
      <c r="AB393" s="345"/>
      <c r="AC393" s="345"/>
      <c r="AD393" s="345"/>
      <c r="AE393" s="345"/>
      <c r="AF393" s="345"/>
      <c r="AG393" s="345"/>
      <c r="AH393" s="345"/>
      <c r="AI393" s="345"/>
      <c r="AJ393" s="345"/>
      <c r="AK393" s="345"/>
      <c r="AL393" s="345"/>
      <c r="AM393" s="345"/>
      <c r="AN393" s="345"/>
      <c r="AO393" s="345"/>
      <c r="AP393" s="345"/>
      <c r="AQ393" s="345"/>
      <c r="AR393" s="345"/>
      <c r="AS393" s="345"/>
      <c r="AT393" s="345"/>
      <c r="AU393" s="345"/>
      <c r="AV393" s="345"/>
      <c r="AW393" s="345"/>
      <c r="AX393" s="345"/>
      <c r="AY393" s="345"/>
      <c r="AZ393" s="345"/>
      <c r="BA393" s="345"/>
      <c r="BB393" s="345"/>
      <c r="BC393" s="345"/>
      <c r="BD393" s="345"/>
      <c r="BE393" s="345"/>
      <c r="BF393" s="345"/>
      <c r="BG393" s="345"/>
      <c r="BH393" s="345"/>
      <c r="BI393" s="345"/>
      <c r="BJ393" s="345"/>
      <c r="BK393" s="345"/>
      <c r="BL393" s="345"/>
    </row>
    <row r="394" spans="1:64">
      <c r="K394" s="124"/>
    </row>
    <row r="395" spans="1:64">
      <c r="A395" s="92" t="s">
        <v>65</v>
      </c>
      <c r="F395" s="92">
        <v>0</v>
      </c>
      <c r="G395" s="92">
        <v>0</v>
      </c>
      <c r="J395" s="92">
        <v>-0.1</v>
      </c>
      <c r="K395" s="92">
        <f>-3+0.1</f>
        <v>-2.9</v>
      </c>
    </row>
    <row r="396" spans="1:64" ht="15.75" thickBot="1">
      <c r="A396" s="341" t="s">
        <v>912</v>
      </c>
      <c r="B396" s="341"/>
      <c r="C396" s="341"/>
      <c r="D396" s="341"/>
      <c r="E396" s="341"/>
      <c r="F396" s="342">
        <f>F387-F389+F395</f>
        <v>3.1922356091030792</v>
      </c>
      <c r="G396" s="342">
        <f>G387-G389+G395</f>
        <v>6.4347258485639678</v>
      </c>
      <c r="H396" s="341"/>
      <c r="I396" s="341"/>
      <c r="J396" s="342">
        <f>J387-J389+J395</f>
        <v>3.1240506329113908</v>
      </c>
      <c r="K396" s="342">
        <f>K387-K389+K395</f>
        <v>3.9503311258278182</v>
      </c>
    </row>
    <row r="397" spans="1:64" ht="15.75" thickTop="1"/>
    <row r="398" spans="1:64">
      <c r="A398" s="92" t="s">
        <v>3622</v>
      </c>
      <c r="F398" s="92">
        <v>11.5</v>
      </c>
      <c r="J398" s="92">
        <v>11.7</v>
      </c>
      <c r="K398" s="92">
        <f>28.6-J398</f>
        <v>16.900000000000002</v>
      </c>
      <c r="R398" s="92">
        <v>26.9</v>
      </c>
      <c r="S398" s="92">
        <f>48.1-R398</f>
        <v>21.200000000000003</v>
      </c>
      <c r="T398" s="92">
        <f>69.9-R398-S398</f>
        <v>21.800000000000004</v>
      </c>
      <c r="U398" s="236">
        <f>90.9-R398-S398-T398</f>
        <v>20.999999999999993</v>
      </c>
      <c r="V398" s="563">
        <v>55</v>
      </c>
      <c r="W398" s="563">
        <v>45</v>
      </c>
      <c r="X398" s="563">
        <v>30</v>
      </c>
      <c r="Y398" s="563"/>
      <c r="Z398" s="563"/>
      <c r="AA398" s="563"/>
      <c r="AB398" s="563"/>
      <c r="AC398" s="563"/>
      <c r="AD398" s="563"/>
      <c r="AE398" s="563"/>
      <c r="AF398" s="563"/>
      <c r="AG398" s="563"/>
      <c r="AH398" s="563"/>
      <c r="AI398" s="563"/>
      <c r="AJ398" s="563"/>
      <c r="AK398" s="563"/>
      <c r="AL398" s="563"/>
      <c r="AM398" s="563"/>
      <c r="AN398" s="563"/>
      <c r="AO398" s="563"/>
      <c r="AP398" s="236"/>
      <c r="AQ398" s="236"/>
      <c r="AR398" s="236"/>
      <c r="AS398" s="236"/>
      <c r="AT398" s="236"/>
      <c r="AU398" s="236"/>
      <c r="AV398" s="236"/>
      <c r="AW398" s="236"/>
      <c r="AX398" s="236"/>
      <c r="AY398" s="236"/>
      <c r="AZ398" s="236"/>
      <c r="BA398" s="236"/>
      <c r="BB398" s="236"/>
      <c r="BC398" s="236"/>
      <c r="BD398" s="236"/>
      <c r="BE398" s="236"/>
      <c r="BF398" s="236"/>
      <c r="BG398" s="236"/>
      <c r="BH398" s="236"/>
      <c r="BI398" s="236"/>
      <c r="BJ398" s="236"/>
      <c r="BK398" s="236"/>
      <c r="BL398" s="236"/>
    </row>
    <row r="399" spans="1:64">
      <c r="A399" s="92" t="s">
        <v>3623</v>
      </c>
      <c r="R399" s="92">
        <v>23.3</v>
      </c>
      <c r="S399" s="92">
        <f>45.7-R399</f>
        <v>22.400000000000002</v>
      </c>
      <c r="T399" s="92">
        <f>65.6-R399-S399</f>
        <v>19.899999999999995</v>
      </c>
      <c r="U399" s="236">
        <f>132.2-R399-S399-T399</f>
        <v>66.599999999999994</v>
      </c>
      <c r="V399" s="236">
        <v>70</v>
      </c>
      <c r="W399" s="236">
        <v>45</v>
      </c>
      <c r="X399" s="563">
        <v>25</v>
      </c>
      <c r="Y399" s="563"/>
      <c r="Z399" s="563"/>
      <c r="AA399" s="563"/>
      <c r="AB399" s="563"/>
      <c r="AC399" s="563"/>
      <c r="AD399" s="563"/>
      <c r="AE399" s="563"/>
      <c r="AF399" s="563"/>
      <c r="AG399" s="563"/>
      <c r="AH399" s="563"/>
      <c r="AI399" s="563"/>
      <c r="AJ399" s="563"/>
      <c r="AK399" s="563"/>
      <c r="AL399" s="563"/>
      <c r="AM399" s="563"/>
      <c r="AN399" s="563"/>
      <c r="AO399" s="563"/>
      <c r="AP399" s="236"/>
      <c r="AQ399" s="236"/>
      <c r="AR399" s="236"/>
      <c r="AS399" s="236"/>
      <c r="AT399" s="236"/>
      <c r="AU399" s="236"/>
      <c r="AV399" s="236"/>
      <c r="AW399" s="236"/>
      <c r="AX399" s="236"/>
      <c r="AY399" s="236"/>
      <c r="AZ399" s="236"/>
      <c r="BA399" s="236"/>
      <c r="BB399" s="236"/>
      <c r="BC399" s="236"/>
      <c r="BD399" s="236"/>
      <c r="BE399" s="236"/>
      <c r="BF399" s="236"/>
      <c r="BG399" s="236"/>
      <c r="BH399" s="236"/>
      <c r="BI399" s="236"/>
      <c r="BJ399" s="236"/>
      <c r="BK399" s="236"/>
      <c r="BL399" s="236"/>
    </row>
    <row r="400" spans="1:64">
      <c r="A400" s="359" t="s">
        <v>3624</v>
      </c>
      <c r="U400" s="236">
        <v>50</v>
      </c>
      <c r="V400" s="236">
        <v>45</v>
      </c>
      <c r="W400" s="236">
        <f>142-V400-U400</f>
        <v>47</v>
      </c>
      <c r="X400" s="236">
        <f>142-W400-V400-U400</f>
        <v>0</v>
      </c>
      <c r="Y400" s="236"/>
      <c r="Z400" s="236"/>
      <c r="AA400" s="236"/>
      <c r="AB400" s="236"/>
      <c r="AC400" s="236"/>
      <c r="AD400" s="236"/>
      <c r="AE400" s="236"/>
      <c r="AF400" s="236"/>
      <c r="AG400" s="236"/>
      <c r="AH400" s="236"/>
      <c r="AI400" s="236"/>
      <c r="AJ400" s="236"/>
      <c r="AK400" s="236"/>
      <c r="AL400" s="236"/>
      <c r="AM400" s="236"/>
      <c r="AN400" s="236"/>
      <c r="AO400" s="236"/>
      <c r="AP400" s="236"/>
      <c r="AQ400" s="236"/>
      <c r="AR400" s="236"/>
      <c r="AS400" s="236"/>
      <c r="AT400" s="236"/>
      <c r="AU400" s="236"/>
      <c r="AV400" s="236"/>
      <c r="AW400" s="236"/>
      <c r="AX400" s="236"/>
      <c r="AY400" s="236"/>
      <c r="AZ400" s="236"/>
      <c r="BA400" s="236"/>
      <c r="BB400" s="236"/>
      <c r="BC400" s="236"/>
      <c r="BD400" s="236"/>
      <c r="BE400" s="236"/>
      <c r="BF400" s="236"/>
      <c r="BG400" s="236"/>
      <c r="BH400" s="236"/>
      <c r="BI400" s="236"/>
      <c r="BJ400" s="236"/>
      <c r="BK400" s="236"/>
      <c r="BL400" s="236"/>
    </row>
    <row r="401" spans="1:64">
      <c r="A401" s="92" t="s">
        <v>27</v>
      </c>
      <c r="F401" s="92">
        <f>F382-F398</f>
        <v>17.8</v>
      </c>
      <c r="J401" s="92">
        <f>J382-J398</f>
        <v>21.8</v>
      </c>
      <c r="K401" s="92">
        <f>K382-K398</f>
        <v>23.899999999999995</v>
      </c>
      <c r="R401" s="236">
        <f t="shared" ref="R401:X401" si="203">R382-R398</f>
        <v>24.4</v>
      </c>
      <c r="S401" s="236">
        <f t="shared" si="203"/>
        <v>32.599999999999994</v>
      </c>
      <c r="T401" s="236">
        <f t="shared" si="203"/>
        <v>17.799999999999997</v>
      </c>
      <c r="U401" s="236">
        <f t="shared" si="203"/>
        <v>-33.099999999999994</v>
      </c>
      <c r="V401" s="236">
        <f t="shared" si="203"/>
        <v>-37</v>
      </c>
      <c r="W401" s="236">
        <f t="shared" si="203"/>
        <v>-9.2999999999999972</v>
      </c>
      <c r="X401" s="236">
        <f t="shared" si="203"/>
        <v>9</v>
      </c>
      <c r="Y401" s="236"/>
      <c r="Z401" s="236"/>
      <c r="AA401" s="236"/>
      <c r="AB401" s="236"/>
      <c r="AC401" s="236"/>
      <c r="AD401" s="236"/>
      <c r="AE401" s="236"/>
      <c r="AF401" s="236"/>
      <c r="AG401" s="236"/>
      <c r="AH401" s="236"/>
      <c r="AI401" s="236"/>
      <c r="AJ401" s="236"/>
      <c r="AK401" s="236"/>
      <c r="AL401" s="236"/>
      <c r="AM401" s="236"/>
      <c r="AN401" s="236"/>
      <c r="AO401" s="236"/>
      <c r="AP401" s="236"/>
      <c r="AQ401" s="236"/>
      <c r="AR401" s="236"/>
      <c r="AS401" s="236"/>
      <c r="AT401" s="236"/>
      <c r="AU401" s="236"/>
      <c r="AV401" s="236"/>
      <c r="AW401" s="236"/>
      <c r="AX401" s="236"/>
      <c r="AY401" s="236"/>
      <c r="AZ401" s="236"/>
      <c r="BA401" s="236"/>
      <c r="BB401" s="236"/>
      <c r="BC401" s="236"/>
      <c r="BD401" s="236"/>
      <c r="BE401" s="236"/>
      <c r="BF401" s="236"/>
      <c r="BG401" s="236"/>
      <c r="BH401" s="236"/>
      <c r="BI401" s="236"/>
      <c r="BJ401" s="236"/>
      <c r="BK401" s="236"/>
      <c r="BL401" s="236"/>
    </row>
    <row r="403" spans="1:64">
      <c r="A403" s="92" t="s">
        <v>205</v>
      </c>
      <c r="F403" s="236"/>
      <c r="J403" s="345"/>
      <c r="K403" s="345"/>
      <c r="Q403" s="345"/>
      <c r="R403" s="345"/>
      <c r="S403" s="354"/>
      <c r="T403" s="562">
        <v>0</v>
      </c>
      <c r="U403" s="562">
        <v>0</v>
      </c>
      <c r="V403" s="562">
        <v>0</v>
      </c>
      <c r="W403" s="562">
        <v>0</v>
      </c>
      <c r="X403" s="562">
        <v>0</v>
      </c>
      <c r="Y403" s="562"/>
      <c r="Z403" s="562"/>
      <c r="AA403" s="562"/>
      <c r="AB403" s="562"/>
      <c r="AC403" s="562"/>
      <c r="AD403" s="562"/>
      <c r="AE403" s="562"/>
      <c r="AF403" s="562"/>
      <c r="AG403" s="562"/>
      <c r="AH403" s="562"/>
      <c r="AI403" s="562"/>
      <c r="AJ403" s="562"/>
      <c r="AK403" s="562"/>
      <c r="AL403" s="562"/>
      <c r="AM403" s="562"/>
      <c r="AN403" s="562"/>
      <c r="AO403" s="562"/>
      <c r="AP403" s="562"/>
      <c r="AQ403" s="562"/>
      <c r="AR403" s="562"/>
      <c r="AS403" s="562"/>
      <c r="AT403" s="562"/>
      <c r="AU403" s="562"/>
      <c r="AV403" s="562"/>
      <c r="AW403" s="562"/>
      <c r="AX403" s="562"/>
      <c r="AY403" s="562"/>
      <c r="AZ403" s="562"/>
      <c r="BA403" s="562"/>
      <c r="BB403" s="562"/>
      <c r="BC403" s="562"/>
      <c r="BD403" s="562"/>
      <c r="BE403" s="562"/>
      <c r="BF403" s="562"/>
      <c r="BG403" s="562"/>
      <c r="BH403" s="562"/>
      <c r="BI403" s="562"/>
      <c r="BJ403" s="562"/>
      <c r="BK403" s="562"/>
      <c r="BL403" s="562"/>
    </row>
    <row r="404" spans="1:64">
      <c r="A404" s="92" t="s">
        <v>3684</v>
      </c>
      <c r="F404" s="236"/>
      <c r="J404" s="345"/>
      <c r="K404" s="345"/>
      <c r="Q404" s="345"/>
      <c r="R404" s="345"/>
      <c r="S404" s="354"/>
      <c r="T404" s="556">
        <f>Analysis!E1440</f>
        <v>5.4999999999999929</v>
      </c>
      <c r="U404" s="556">
        <f>Analysis!F1440</f>
        <v>25</v>
      </c>
      <c r="V404" s="556">
        <f>Analysis!G1440</f>
        <v>0</v>
      </c>
      <c r="W404" s="556">
        <f>Analysis!H1440</f>
        <v>0</v>
      </c>
      <c r="X404" s="556">
        <f>Analysis!I1440</f>
        <v>0</v>
      </c>
      <c r="Y404" s="556"/>
      <c r="Z404" s="556"/>
      <c r="AA404" s="556"/>
      <c r="AB404" s="556"/>
      <c r="AC404" s="556"/>
      <c r="AD404" s="556"/>
      <c r="AE404" s="556"/>
      <c r="AF404" s="556"/>
      <c r="AG404" s="556"/>
      <c r="AH404" s="556"/>
      <c r="AI404" s="556"/>
      <c r="AJ404" s="556"/>
      <c r="AK404" s="556"/>
      <c r="AL404" s="556"/>
      <c r="AM404" s="556"/>
      <c r="AN404" s="556"/>
      <c r="AO404" s="556"/>
      <c r="AP404" s="556"/>
      <c r="AQ404" s="556"/>
      <c r="AR404" s="556"/>
      <c r="AS404" s="556"/>
      <c r="AT404" s="556"/>
      <c r="AU404" s="556"/>
      <c r="AV404" s="556"/>
      <c r="AW404" s="556"/>
      <c r="AX404" s="556"/>
      <c r="AY404" s="556"/>
      <c r="AZ404" s="556"/>
      <c r="BA404" s="556"/>
      <c r="BB404" s="556"/>
      <c r="BC404" s="556"/>
      <c r="BD404" s="556"/>
      <c r="BE404" s="556"/>
      <c r="BF404" s="556"/>
      <c r="BG404" s="556"/>
      <c r="BH404" s="556"/>
      <c r="BI404" s="556"/>
      <c r="BJ404" s="556"/>
      <c r="BK404" s="556"/>
      <c r="BL404" s="556"/>
    </row>
    <row r="405" spans="1:64">
      <c r="A405" s="92" t="s">
        <v>249</v>
      </c>
      <c r="F405" s="236"/>
      <c r="J405" s="345"/>
      <c r="K405" s="345"/>
      <c r="S405" s="345"/>
      <c r="T405" s="236">
        <f>T382-T398-T389-T403-T404</f>
        <v>0.70000000000000639</v>
      </c>
      <c r="U405" s="236">
        <f>U382-U398-U389-U403-U404</f>
        <v>-70.400000000000006</v>
      </c>
      <c r="V405" s="236">
        <f>V382-V398-V389-V404</f>
        <v>-49</v>
      </c>
      <c r="W405" s="236">
        <f>W382-W398-W389-W404</f>
        <v>-21.299999999999997</v>
      </c>
      <c r="X405" s="236">
        <f>X382-X398-X389-X404</f>
        <v>-3</v>
      </c>
      <c r="Y405" s="236"/>
      <c r="Z405" s="236"/>
      <c r="AA405" s="236"/>
      <c r="AB405" s="236"/>
      <c r="AC405" s="236"/>
      <c r="AD405" s="236"/>
      <c r="AE405" s="236"/>
      <c r="AF405" s="236"/>
      <c r="AG405" s="236"/>
      <c r="AH405" s="236"/>
      <c r="AI405" s="236"/>
      <c r="AJ405" s="236"/>
      <c r="AK405" s="236"/>
      <c r="AL405" s="236"/>
      <c r="AM405" s="236"/>
      <c r="AN405" s="236"/>
      <c r="AO405" s="236"/>
      <c r="AP405" s="236"/>
      <c r="AQ405" s="236"/>
      <c r="AR405" s="236"/>
      <c r="AS405" s="236"/>
      <c r="AT405" s="236"/>
      <c r="AU405" s="236"/>
      <c r="AV405" s="236"/>
      <c r="AW405" s="236"/>
      <c r="AX405" s="236"/>
      <c r="AY405" s="236"/>
      <c r="AZ405" s="236"/>
      <c r="BA405" s="236"/>
      <c r="BB405" s="236"/>
      <c r="BC405" s="236"/>
      <c r="BD405" s="236"/>
      <c r="BE405" s="236"/>
      <c r="BF405" s="236"/>
      <c r="BG405" s="236"/>
      <c r="BH405" s="236"/>
      <c r="BI405" s="236"/>
      <c r="BJ405" s="236"/>
      <c r="BK405" s="236"/>
      <c r="BL405" s="236"/>
    </row>
    <row r="406" spans="1:64">
      <c r="F406" s="236"/>
      <c r="J406" s="345"/>
      <c r="K406" s="345"/>
      <c r="S406" s="345"/>
      <c r="T406" s="236"/>
      <c r="U406" s="236"/>
      <c r="V406" s="236"/>
      <c r="W406" s="236"/>
      <c r="X406" s="236"/>
      <c r="Y406" s="236"/>
      <c r="Z406" s="236"/>
      <c r="AA406" s="236"/>
      <c r="AB406" s="236"/>
      <c r="AC406" s="236"/>
      <c r="AD406" s="236"/>
      <c r="AE406" s="236"/>
      <c r="AF406" s="236"/>
      <c r="AG406" s="236"/>
      <c r="AH406" s="236"/>
      <c r="AI406" s="236"/>
      <c r="AJ406" s="236"/>
      <c r="AK406" s="236"/>
      <c r="AL406" s="236"/>
      <c r="AM406" s="236"/>
      <c r="AN406" s="236"/>
      <c r="AO406" s="236"/>
      <c r="AP406" s="236"/>
      <c r="AQ406" s="236"/>
      <c r="AR406" s="236"/>
      <c r="AS406" s="236"/>
      <c r="AT406" s="236"/>
      <c r="AU406" s="236"/>
      <c r="AV406" s="236"/>
      <c r="AW406" s="236"/>
      <c r="AX406" s="236"/>
      <c r="AY406" s="236"/>
      <c r="AZ406" s="236"/>
      <c r="BA406" s="236"/>
      <c r="BB406" s="236"/>
      <c r="BC406" s="236"/>
      <c r="BD406" s="236"/>
      <c r="BE406" s="236"/>
      <c r="BF406" s="236"/>
      <c r="BG406" s="236"/>
      <c r="BH406" s="236"/>
      <c r="BI406" s="236"/>
      <c r="BJ406" s="236"/>
      <c r="BK406" s="236"/>
      <c r="BL406" s="236"/>
    </row>
    <row r="407" spans="1:64">
      <c r="A407" s="92" t="s">
        <v>164</v>
      </c>
      <c r="E407" s="92">
        <f>F407</f>
        <v>672.5</v>
      </c>
      <c r="F407" s="92">
        <f>G407</f>
        <v>672.5</v>
      </c>
      <c r="G407" s="92">
        <f>H407</f>
        <v>672.5</v>
      </c>
      <c r="H407" s="92">
        <f>I407</f>
        <v>672.5</v>
      </c>
      <c r="I407" s="92">
        <v>672.5</v>
      </c>
      <c r="J407" s="345">
        <v>673</v>
      </c>
      <c r="K407" s="345">
        <f>933.2+16</f>
        <v>949.2</v>
      </c>
      <c r="L407" s="92">
        <v>949</v>
      </c>
      <c r="Q407" s="345">
        <f>PR!Q218</f>
        <v>927.40000000000009</v>
      </c>
      <c r="R407" s="345">
        <v>927.9</v>
      </c>
      <c r="S407" s="345">
        <f>Analysis!F1266</f>
        <v>929.2</v>
      </c>
      <c r="T407" s="345">
        <v>930.6</v>
      </c>
      <c r="U407" s="345">
        <f>982</f>
        <v>982</v>
      </c>
      <c r="V407" s="345">
        <f>U407+V408+V409+V408</f>
        <v>982</v>
      </c>
      <c r="W407" s="345">
        <v>982.5</v>
      </c>
      <c r="X407" s="345">
        <v>982.5</v>
      </c>
      <c r="Y407" s="345"/>
      <c r="Z407" s="345"/>
      <c r="AA407" s="345"/>
      <c r="AB407" s="345"/>
      <c r="AC407" s="345"/>
      <c r="AD407" s="345"/>
      <c r="AE407" s="345"/>
      <c r="AF407" s="345"/>
      <c r="AG407" s="345"/>
      <c r="AH407" s="345"/>
      <c r="AI407" s="345"/>
      <c r="AJ407" s="345"/>
      <c r="AK407" s="345"/>
      <c r="AL407" s="345"/>
      <c r="AM407" s="345"/>
      <c r="AN407" s="345"/>
      <c r="AO407" s="345"/>
      <c r="AP407" s="641"/>
      <c r="AQ407" s="641"/>
      <c r="AR407" s="641"/>
      <c r="AS407" s="641"/>
      <c r="AT407" s="641"/>
      <c r="AU407" s="641"/>
      <c r="AV407" s="641"/>
      <c r="AW407" s="641"/>
      <c r="AX407" s="641"/>
      <c r="AY407" s="641"/>
      <c r="AZ407" s="641"/>
      <c r="BA407" s="641"/>
      <c r="BB407" s="641"/>
      <c r="BC407" s="641"/>
      <c r="BD407" s="641"/>
      <c r="BE407" s="641"/>
      <c r="BF407" s="641"/>
      <c r="BG407" s="641"/>
      <c r="BH407" s="641"/>
      <c r="BI407" s="641"/>
      <c r="BJ407" s="641"/>
      <c r="BK407" s="641"/>
      <c r="BL407" s="641"/>
    </row>
    <row r="408" spans="1:64">
      <c r="A408" s="92" t="s">
        <v>3625</v>
      </c>
      <c r="J408" s="345"/>
      <c r="K408" s="345"/>
      <c r="Q408" s="345"/>
      <c r="R408" s="345"/>
      <c r="S408" s="345"/>
      <c r="T408" s="345"/>
      <c r="U408" s="345">
        <v>40</v>
      </c>
      <c r="V408" s="345"/>
      <c r="W408" s="345"/>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c r="AS408" s="345"/>
      <c r="AT408" s="345"/>
      <c r="AU408" s="345"/>
      <c r="AV408" s="345"/>
      <c r="AW408" s="345"/>
      <c r="AX408" s="345"/>
      <c r="AY408" s="345"/>
      <c r="AZ408" s="345"/>
      <c r="BA408" s="345"/>
      <c r="BB408" s="345"/>
      <c r="BC408" s="345"/>
      <c r="BD408" s="345"/>
      <c r="BE408" s="345"/>
      <c r="BF408" s="345"/>
      <c r="BG408" s="345"/>
      <c r="BH408" s="345"/>
      <c r="BI408" s="345"/>
      <c r="BJ408" s="345"/>
      <c r="BK408" s="345"/>
      <c r="BL408" s="345"/>
    </row>
    <row r="409" spans="1:64">
      <c r="A409" s="92" t="s">
        <v>3626</v>
      </c>
      <c r="J409" s="345"/>
      <c r="K409" s="345"/>
      <c r="Q409" s="345"/>
      <c r="R409" s="345"/>
      <c r="S409" s="345"/>
      <c r="T409" s="345"/>
      <c r="U409" s="345"/>
      <c r="V409" s="345"/>
      <c r="W409" s="345"/>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c r="AS409" s="345"/>
      <c r="AT409" s="345"/>
      <c r="AU409" s="345"/>
      <c r="AV409" s="345"/>
      <c r="AW409" s="345"/>
      <c r="AX409" s="345"/>
      <c r="AY409" s="345"/>
      <c r="AZ409" s="345"/>
      <c r="BA409" s="345"/>
      <c r="BB409" s="345"/>
      <c r="BC409" s="345"/>
      <c r="BD409" s="345"/>
      <c r="BE409" s="345"/>
      <c r="BF409" s="345"/>
      <c r="BG409" s="345"/>
      <c r="BH409" s="345"/>
      <c r="BI409" s="345"/>
      <c r="BJ409" s="345"/>
      <c r="BK409" s="345"/>
      <c r="BL409" s="345"/>
    </row>
    <row r="410" spans="1:64">
      <c r="A410" s="175" t="s">
        <v>707</v>
      </c>
      <c r="B410" s="175"/>
      <c r="C410" s="175"/>
      <c r="D410" s="175"/>
      <c r="E410" s="175"/>
      <c r="F410" s="238"/>
      <c r="G410" s="175"/>
      <c r="H410" s="175"/>
      <c r="I410" s="175"/>
      <c r="J410" s="355">
        <v>30</v>
      </c>
      <c r="K410" s="355">
        <v>37.9</v>
      </c>
      <c r="L410" s="175"/>
      <c r="M410" s="175"/>
      <c r="N410" s="175"/>
      <c r="O410" s="175"/>
      <c r="P410" s="175"/>
      <c r="Q410" s="355">
        <f>PR!Q219</f>
        <v>78.5</v>
      </c>
      <c r="R410" s="175">
        <v>46</v>
      </c>
      <c r="S410" s="355">
        <f>Analysis!F1268</f>
        <v>50</v>
      </c>
      <c r="T410" s="355">
        <f>T407-T411</f>
        <v>52.100000000000023</v>
      </c>
      <c r="U410" s="355">
        <v>41</v>
      </c>
      <c r="V410" s="355">
        <v>40.5</v>
      </c>
      <c r="W410" s="355">
        <v>15.9</v>
      </c>
      <c r="X410" s="355">
        <v>32.1</v>
      </c>
      <c r="Y410" s="355"/>
      <c r="Z410" s="355"/>
      <c r="AA410" s="355"/>
      <c r="AB410" s="355"/>
      <c r="AC410" s="355"/>
      <c r="AD410" s="345"/>
      <c r="AE410" s="345"/>
      <c r="AF410" s="345"/>
      <c r="AG410" s="345"/>
      <c r="AH410" s="345"/>
      <c r="AI410" s="345"/>
      <c r="AJ410" s="345"/>
      <c r="AK410" s="345"/>
      <c r="AL410" s="345"/>
      <c r="AM410" s="345"/>
      <c r="AN410" s="345"/>
      <c r="AO410" s="345"/>
      <c r="AP410" s="345"/>
      <c r="AQ410" s="345"/>
      <c r="AR410" s="345"/>
      <c r="AS410" s="345"/>
      <c r="AT410" s="345"/>
      <c r="AU410" s="345"/>
      <c r="AV410" s="345"/>
      <c r="AW410" s="345"/>
      <c r="AX410" s="345"/>
      <c r="AY410" s="345"/>
      <c r="AZ410" s="345"/>
      <c r="BA410" s="345"/>
      <c r="BB410" s="345"/>
      <c r="BC410" s="345"/>
      <c r="BD410" s="345"/>
      <c r="BE410" s="345"/>
      <c r="BF410" s="345"/>
      <c r="BG410" s="345"/>
      <c r="BH410" s="345"/>
      <c r="BI410" s="345"/>
      <c r="BJ410" s="345"/>
      <c r="BK410" s="345"/>
      <c r="BL410" s="345"/>
    </row>
    <row r="411" spans="1:64">
      <c r="A411" s="92" t="s">
        <v>115</v>
      </c>
      <c r="F411" s="236"/>
      <c r="J411" s="345">
        <f>J407-J410</f>
        <v>643</v>
      </c>
      <c r="K411" s="345">
        <f>K407-K410</f>
        <v>911.30000000000007</v>
      </c>
      <c r="Q411" s="345">
        <f>Q407-Q410</f>
        <v>848.90000000000009</v>
      </c>
      <c r="R411" s="345">
        <f>R407-R410</f>
        <v>881.9</v>
      </c>
      <c r="S411" s="345">
        <f>S407-S410</f>
        <v>879.2</v>
      </c>
      <c r="T411" s="345">
        <f>S411-T405</f>
        <v>878.5</v>
      </c>
      <c r="U411" s="345">
        <f>U407-U410</f>
        <v>941</v>
      </c>
      <c r="V411" s="345">
        <f>V407-V410</f>
        <v>941.5</v>
      </c>
      <c r="W411" s="345">
        <f>W407-W410</f>
        <v>966.6</v>
      </c>
      <c r="X411" s="345">
        <f>X407-X410</f>
        <v>950.4</v>
      </c>
      <c r="Y411" s="345"/>
      <c r="Z411" s="345"/>
      <c r="AA411" s="345"/>
      <c r="AB411" s="345"/>
      <c r="AC411" s="345"/>
      <c r="AD411" s="345"/>
      <c r="AE411" s="345"/>
      <c r="AF411" s="345"/>
      <c r="AG411" s="345"/>
      <c r="AH411" s="345"/>
      <c r="AI411" s="345"/>
      <c r="AJ411" s="345"/>
      <c r="AK411" s="345"/>
      <c r="AL411" s="345"/>
      <c r="AM411" s="345"/>
      <c r="AN411" s="345"/>
      <c r="AO411" s="345"/>
      <c r="AP411" s="345"/>
      <c r="AQ411" s="345"/>
      <c r="AR411" s="345"/>
      <c r="AS411" s="345"/>
      <c r="AT411" s="345"/>
      <c r="AU411" s="345"/>
      <c r="AV411" s="345"/>
      <c r="AW411" s="345"/>
      <c r="AX411" s="345"/>
      <c r="AY411" s="345"/>
      <c r="AZ411" s="345"/>
      <c r="BA411" s="345"/>
      <c r="BB411" s="345"/>
      <c r="BC411" s="345"/>
      <c r="BD411" s="345"/>
      <c r="BE411" s="345"/>
      <c r="BF411" s="345"/>
      <c r="BG411" s="345"/>
      <c r="BH411" s="345"/>
      <c r="BI411" s="345"/>
      <c r="BJ411" s="345"/>
      <c r="BK411" s="345"/>
      <c r="BL411" s="345"/>
    </row>
    <row r="412" spans="1:64">
      <c r="A412" s="92" t="s">
        <v>3091</v>
      </c>
      <c r="F412" s="236"/>
      <c r="J412" s="345"/>
      <c r="K412" s="345"/>
      <c r="Q412" s="345"/>
      <c r="R412" s="345"/>
      <c r="S412" s="236">
        <f t="shared" ref="S412:X412" si="204">S411/((R382+S382)*2)</f>
        <v>4.1826831588962898</v>
      </c>
      <c r="T412" s="236">
        <f t="shared" si="204"/>
        <v>4.7028907922912202</v>
      </c>
      <c r="U412" s="236">
        <f t="shared" si="204"/>
        <v>17.109090909090909</v>
      </c>
      <c r="V412" s="236">
        <f t="shared" si="204"/>
        <v>79.788135593220332</v>
      </c>
      <c r="W412" s="236">
        <f t="shared" si="204"/>
        <v>9</v>
      </c>
      <c r="X412" s="236">
        <f t="shared" si="204"/>
        <v>6.3614457831325293</v>
      </c>
      <c r="Y412" s="236"/>
      <c r="Z412" s="236"/>
      <c r="AA412" s="236"/>
      <c r="AB412" s="236"/>
      <c r="AC412" s="236"/>
      <c r="AD412" s="236"/>
      <c r="AE412" s="236"/>
      <c r="AF412" s="236"/>
      <c r="AG412" s="236"/>
      <c r="AH412" s="236"/>
      <c r="AI412" s="236"/>
      <c r="AJ412" s="236"/>
      <c r="AK412" s="236"/>
      <c r="AL412" s="236"/>
      <c r="AM412" s="236"/>
      <c r="AN412" s="236"/>
      <c r="AO412" s="236"/>
      <c r="AP412" s="236"/>
      <c r="AQ412" s="236"/>
      <c r="AR412" s="236"/>
      <c r="AS412" s="236"/>
      <c r="AT412" s="236"/>
      <c r="AU412" s="236"/>
      <c r="AV412" s="236"/>
      <c r="AW412" s="236"/>
      <c r="AX412" s="236"/>
      <c r="AY412" s="236"/>
      <c r="AZ412" s="236"/>
      <c r="BA412" s="236"/>
      <c r="BB412" s="236"/>
      <c r="BC412" s="236"/>
      <c r="BD412" s="236"/>
      <c r="BE412" s="236"/>
      <c r="BF412" s="236"/>
      <c r="BG412" s="236"/>
      <c r="BH412" s="236"/>
      <c r="BI412" s="236"/>
      <c r="BJ412" s="236"/>
      <c r="BK412" s="236"/>
      <c r="BL412" s="236"/>
    </row>
    <row r="413" spans="1:64">
      <c r="F413" s="236"/>
      <c r="J413" s="345"/>
      <c r="K413" s="345"/>
      <c r="Q413" s="345"/>
      <c r="R413" s="345"/>
      <c r="S413" s="354"/>
      <c r="T413" s="354"/>
      <c r="U413" s="354"/>
      <c r="V413" s="354"/>
      <c r="W413" s="354"/>
      <c r="X413" s="354"/>
      <c r="Y413" s="354"/>
      <c r="Z413" s="354"/>
      <c r="AA413" s="354"/>
      <c r="AB413" s="354"/>
      <c r="AC413" s="354"/>
      <c r="AD413" s="354"/>
      <c r="AE413" s="354"/>
      <c r="AF413" s="354"/>
      <c r="AG413" s="354"/>
      <c r="AH413" s="354"/>
      <c r="AI413" s="354"/>
      <c r="AJ413" s="354"/>
      <c r="AK413" s="354"/>
      <c r="AL413" s="354"/>
      <c r="AM413" s="354"/>
      <c r="AN413" s="354"/>
      <c r="AO413" s="354"/>
    </row>
    <row r="414" spans="1:64">
      <c r="A414" s="92" t="s">
        <v>3216</v>
      </c>
      <c r="F414" s="236"/>
      <c r="J414" s="345"/>
      <c r="K414" s="345"/>
      <c r="Q414" s="345"/>
      <c r="R414" s="92">
        <f>S414</f>
        <v>850</v>
      </c>
      <c r="S414" s="92">
        <f>T414</f>
        <v>850</v>
      </c>
      <c r="T414" s="92">
        <v>850</v>
      </c>
      <c r="U414" s="92">
        <v>850</v>
      </c>
      <c r="V414" s="92">
        <f>U414</f>
        <v>850</v>
      </c>
      <c r="W414" s="92">
        <f>V414</f>
        <v>850</v>
      </c>
      <c r="X414" s="92">
        <f>W414</f>
        <v>850</v>
      </c>
      <c r="AP414" s="562"/>
      <c r="AQ414" s="562"/>
      <c r="AR414" s="562"/>
      <c r="AS414" s="562"/>
      <c r="AT414" s="562"/>
      <c r="AU414" s="562"/>
      <c r="AV414" s="562"/>
      <c r="AW414" s="562"/>
      <c r="AX414" s="562"/>
      <c r="AY414" s="562"/>
      <c r="AZ414" s="562"/>
      <c r="BA414" s="562"/>
      <c r="BB414" s="562"/>
      <c r="BC414" s="562"/>
      <c r="BD414" s="562"/>
      <c r="BE414" s="562"/>
      <c r="BF414" s="562"/>
      <c r="BG414" s="562"/>
      <c r="BH414" s="562"/>
      <c r="BI414" s="562"/>
      <c r="BJ414" s="562"/>
      <c r="BK414" s="562"/>
      <c r="BL414" s="562"/>
    </row>
    <row r="415" spans="1:64">
      <c r="A415" s="92" t="s">
        <v>3219</v>
      </c>
      <c r="F415" s="236"/>
      <c r="J415" s="345"/>
      <c r="K415" s="345"/>
      <c r="Q415" s="345"/>
      <c r="AP415" s="345"/>
      <c r="AQ415" s="345"/>
      <c r="AR415" s="345"/>
      <c r="AS415" s="345"/>
      <c r="AT415" s="345"/>
      <c r="AU415" s="345"/>
      <c r="AV415" s="345"/>
      <c r="AW415" s="345"/>
      <c r="AX415" s="345"/>
      <c r="AY415" s="345"/>
      <c r="AZ415" s="345"/>
      <c r="BA415" s="345"/>
      <c r="BB415" s="345"/>
      <c r="BC415" s="345"/>
      <c r="BD415" s="345"/>
      <c r="BE415" s="345"/>
      <c r="BF415" s="345"/>
      <c r="BG415" s="345"/>
      <c r="BH415" s="345"/>
      <c r="BI415" s="345"/>
      <c r="BJ415" s="345"/>
      <c r="BK415" s="345"/>
      <c r="BL415" s="345"/>
    </row>
    <row r="416" spans="1:64">
      <c r="A416" s="175" t="s">
        <v>707</v>
      </c>
      <c r="B416" s="175"/>
      <c r="C416" s="175"/>
      <c r="D416" s="175"/>
      <c r="E416" s="175"/>
      <c r="F416" s="238"/>
      <c r="G416" s="175"/>
      <c r="H416" s="175"/>
      <c r="I416" s="175"/>
      <c r="J416" s="355"/>
      <c r="K416" s="355"/>
      <c r="L416" s="175"/>
      <c r="M416" s="175"/>
      <c r="N416" s="175"/>
      <c r="O416" s="175"/>
      <c r="P416" s="175"/>
      <c r="Q416" s="355"/>
      <c r="R416" s="175">
        <f t="shared" ref="R416:X416" si="205">R410</f>
        <v>46</v>
      </c>
      <c r="S416" s="175">
        <f t="shared" si="205"/>
        <v>50</v>
      </c>
      <c r="T416" s="355">
        <f t="shared" si="205"/>
        <v>52.100000000000023</v>
      </c>
      <c r="U416" s="355">
        <f t="shared" si="205"/>
        <v>41</v>
      </c>
      <c r="V416" s="355">
        <f t="shared" si="205"/>
        <v>40.5</v>
      </c>
      <c r="W416" s="355">
        <f t="shared" si="205"/>
        <v>15.9</v>
      </c>
      <c r="X416" s="355">
        <f t="shared" si="205"/>
        <v>32.1</v>
      </c>
      <c r="Y416" s="355"/>
      <c r="Z416" s="355"/>
      <c r="AA416" s="355"/>
      <c r="AB416" s="355"/>
      <c r="AC416" s="355"/>
      <c r="AD416" s="345"/>
      <c r="AE416" s="345"/>
      <c r="AF416" s="345"/>
      <c r="AG416" s="345"/>
      <c r="AH416" s="345"/>
      <c r="AI416" s="345"/>
      <c r="AJ416" s="345"/>
      <c r="AK416" s="345"/>
      <c r="AL416" s="345"/>
      <c r="AM416" s="345"/>
      <c r="AN416" s="345"/>
      <c r="AO416" s="345"/>
      <c r="AP416" s="345"/>
      <c r="AQ416" s="345"/>
      <c r="AR416" s="345"/>
      <c r="AS416" s="345"/>
      <c r="AT416" s="345"/>
      <c r="AU416" s="345"/>
      <c r="AV416" s="345"/>
      <c r="AW416" s="345"/>
      <c r="AX416" s="345"/>
      <c r="AY416" s="345"/>
      <c r="AZ416" s="345"/>
      <c r="BA416" s="345"/>
      <c r="BB416" s="345"/>
      <c r="BC416" s="345"/>
      <c r="BD416" s="345"/>
      <c r="BE416" s="345"/>
      <c r="BF416" s="345"/>
      <c r="BG416" s="345"/>
      <c r="BH416" s="345"/>
      <c r="BI416" s="345"/>
      <c r="BJ416" s="345"/>
      <c r="BK416" s="345"/>
      <c r="BL416" s="345"/>
    </row>
    <row r="417" spans="1:64">
      <c r="A417" s="92" t="s">
        <v>3217</v>
      </c>
      <c r="F417" s="236"/>
      <c r="J417" s="345"/>
      <c r="K417" s="345"/>
      <c r="Q417" s="345"/>
      <c r="R417" s="92">
        <f t="shared" ref="R417:X417" si="206">R414-R416</f>
        <v>804</v>
      </c>
      <c r="S417" s="92">
        <f t="shared" si="206"/>
        <v>800</v>
      </c>
      <c r="T417" s="345">
        <f t="shared" si="206"/>
        <v>797.9</v>
      </c>
      <c r="U417" s="345">
        <f t="shared" si="206"/>
        <v>809</v>
      </c>
      <c r="V417" s="345">
        <f t="shared" si="206"/>
        <v>809.5</v>
      </c>
      <c r="W417" s="345">
        <f t="shared" si="206"/>
        <v>834.1</v>
      </c>
      <c r="X417" s="345">
        <f t="shared" si="206"/>
        <v>817.9</v>
      </c>
      <c r="Y417" s="345"/>
      <c r="Z417" s="345"/>
      <c r="AA417" s="345"/>
      <c r="AB417" s="345"/>
      <c r="AC417" s="345"/>
      <c r="AD417" s="345"/>
      <c r="AE417" s="345"/>
      <c r="AF417" s="345"/>
      <c r="AG417" s="345"/>
      <c r="AH417" s="345"/>
      <c r="AI417" s="345"/>
      <c r="AJ417" s="345"/>
      <c r="AK417" s="345"/>
      <c r="AL417" s="345"/>
      <c r="AM417" s="345"/>
      <c r="AN417" s="345"/>
      <c r="AO417" s="345"/>
      <c r="AP417" s="345"/>
      <c r="AQ417" s="345"/>
      <c r="AR417" s="345"/>
      <c r="AS417" s="345"/>
      <c r="AT417" s="345"/>
      <c r="AU417" s="345"/>
      <c r="AV417" s="345"/>
      <c r="AW417" s="345"/>
      <c r="AX417" s="345"/>
      <c r="AY417" s="345"/>
      <c r="AZ417" s="345"/>
      <c r="BA417" s="345"/>
      <c r="BB417" s="345"/>
      <c r="BC417" s="345"/>
      <c r="BD417" s="345"/>
      <c r="BE417" s="345"/>
      <c r="BF417" s="345"/>
      <c r="BG417" s="345"/>
      <c r="BH417" s="345"/>
      <c r="BI417" s="345"/>
      <c r="BJ417" s="345"/>
      <c r="BK417" s="345"/>
      <c r="BL417" s="345"/>
    </row>
    <row r="418" spans="1:64">
      <c r="A418" s="92" t="s">
        <v>3091</v>
      </c>
      <c r="F418" s="236"/>
      <c r="J418" s="345"/>
      <c r="K418" s="345"/>
      <c r="Q418" s="345"/>
      <c r="S418" s="366">
        <f t="shared" ref="S418:X418" si="207">S417/((R382+S382)*2)</f>
        <v>3.805899143672693</v>
      </c>
      <c r="T418" s="366">
        <f t="shared" si="207"/>
        <v>4.2714132762312627</v>
      </c>
      <c r="U418" s="366">
        <f t="shared" si="207"/>
        <v>14.709090909090909</v>
      </c>
      <c r="V418" s="366">
        <f t="shared" si="207"/>
        <v>68.601694915254228</v>
      </c>
      <c r="W418" s="366">
        <f t="shared" si="207"/>
        <v>7.7662942271880819</v>
      </c>
      <c r="X418" s="366">
        <f t="shared" si="207"/>
        <v>5.474564926372155</v>
      </c>
      <c r="Y418" s="366"/>
      <c r="Z418" s="366"/>
      <c r="AA418" s="366"/>
      <c r="AB418" s="366"/>
      <c r="AC418" s="366"/>
      <c r="AD418" s="366"/>
      <c r="AE418" s="366"/>
      <c r="AF418" s="366"/>
      <c r="AG418" s="366"/>
      <c r="AH418" s="366"/>
      <c r="AI418" s="366"/>
      <c r="AJ418" s="366"/>
      <c r="AK418" s="366"/>
      <c r="AL418" s="366"/>
      <c r="AM418" s="366"/>
      <c r="AN418" s="366"/>
      <c r="AO418" s="366"/>
      <c r="AP418" s="366"/>
      <c r="AQ418" s="366"/>
      <c r="AR418" s="366"/>
      <c r="AS418" s="366"/>
      <c r="AT418" s="366"/>
      <c r="AU418" s="366"/>
      <c r="AV418" s="366"/>
      <c r="AW418" s="366"/>
      <c r="AX418" s="366"/>
      <c r="AY418" s="366"/>
      <c r="AZ418" s="366"/>
      <c r="BA418" s="366"/>
      <c r="BB418" s="366"/>
      <c r="BC418" s="366"/>
      <c r="BD418" s="366"/>
      <c r="BE418" s="366"/>
      <c r="BF418" s="366"/>
      <c r="BG418" s="366"/>
      <c r="BH418" s="366"/>
      <c r="BI418" s="366"/>
      <c r="BJ418" s="366"/>
      <c r="BK418" s="366"/>
      <c r="BL418" s="366"/>
    </row>
    <row r="419" spans="1:64">
      <c r="F419" s="236"/>
      <c r="J419" s="345"/>
      <c r="K419" s="345"/>
      <c r="Q419" s="345"/>
      <c r="S419" s="366"/>
      <c r="T419" s="366"/>
      <c r="U419" s="366"/>
      <c r="V419" s="366"/>
      <c r="W419" s="366"/>
      <c r="X419" s="366"/>
      <c r="Y419" s="366"/>
      <c r="Z419" s="366"/>
      <c r="AA419" s="366"/>
      <c r="AB419" s="366"/>
      <c r="AC419" s="366"/>
      <c r="AD419" s="366"/>
      <c r="AE419" s="366"/>
      <c r="AF419" s="366"/>
      <c r="AG419" s="366"/>
      <c r="AH419" s="366"/>
      <c r="AI419" s="366"/>
      <c r="AJ419" s="366"/>
      <c r="AK419" s="366"/>
      <c r="AL419" s="366"/>
      <c r="AM419" s="366"/>
      <c r="AN419" s="366"/>
      <c r="AO419" s="366"/>
      <c r="AP419" s="366"/>
      <c r="AQ419" s="366"/>
      <c r="AR419" s="366"/>
      <c r="AS419" s="366"/>
      <c r="AT419" s="366"/>
      <c r="AU419" s="366"/>
      <c r="AV419" s="366"/>
      <c r="AW419" s="366"/>
      <c r="AX419" s="366"/>
      <c r="AY419" s="366"/>
      <c r="AZ419" s="366"/>
      <c r="BA419" s="366"/>
      <c r="BB419" s="366"/>
      <c r="BC419" s="366"/>
      <c r="BD419" s="366"/>
      <c r="BE419" s="366"/>
      <c r="BF419" s="366"/>
      <c r="BG419" s="366"/>
      <c r="BH419" s="366"/>
      <c r="BI419" s="366"/>
      <c r="BJ419" s="366"/>
      <c r="BK419" s="366"/>
      <c r="BL419" s="366"/>
    </row>
    <row r="420" spans="1:64">
      <c r="A420" s="92" t="s">
        <v>3218</v>
      </c>
      <c r="F420" s="236"/>
      <c r="J420" s="345"/>
      <c r="K420" s="345"/>
      <c r="Q420" s="345"/>
      <c r="R420" s="236">
        <f t="shared" ref="R420:X420" si="208">R382</f>
        <v>51.3</v>
      </c>
      <c r="S420" s="236">
        <f t="shared" si="208"/>
        <v>53.8</v>
      </c>
      <c r="T420" s="236">
        <f t="shared" si="208"/>
        <v>39.6</v>
      </c>
      <c r="U420" s="236">
        <f t="shared" si="208"/>
        <v>-12.1</v>
      </c>
      <c r="V420" s="236">
        <f t="shared" si="208"/>
        <v>18</v>
      </c>
      <c r="W420" s="236">
        <f t="shared" si="208"/>
        <v>35.700000000000003</v>
      </c>
      <c r="X420" s="236">
        <f t="shared" si="208"/>
        <v>39</v>
      </c>
      <c r="Y420" s="236"/>
      <c r="Z420" s="236"/>
      <c r="AA420" s="236"/>
      <c r="AB420" s="236"/>
      <c r="AC420" s="236"/>
      <c r="AD420" s="236"/>
      <c r="AE420" s="236"/>
      <c r="AF420" s="236"/>
      <c r="AG420" s="236"/>
      <c r="AH420" s="236"/>
      <c r="AI420" s="236"/>
      <c r="AJ420" s="236"/>
      <c r="AK420" s="236"/>
      <c r="AL420" s="236"/>
      <c r="AM420" s="236"/>
      <c r="AN420" s="236"/>
      <c r="AO420" s="236"/>
      <c r="AP420" s="236"/>
      <c r="AQ420" s="236"/>
      <c r="AR420" s="236"/>
      <c r="AS420" s="236"/>
      <c r="AT420" s="236"/>
      <c r="AU420" s="236"/>
      <c r="AV420" s="236"/>
      <c r="AW420" s="236"/>
      <c r="AX420" s="236"/>
      <c r="AY420" s="236"/>
      <c r="AZ420" s="236"/>
      <c r="BA420" s="236"/>
      <c r="BB420" s="236"/>
      <c r="BC420" s="236"/>
      <c r="BD420" s="236"/>
      <c r="BE420" s="236"/>
      <c r="BF420" s="236"/>
      <c r="BG420" s="236"/>
      <c r="BH420" s="236"/>
      <c r="BI420" s="236"/>
      <c r="BJ420" s="236"/>
      <c r="BK420" s="236"/>
      <c r="BL420" s="236"/>
    </row>
    <row r="421" spans="1:64">
      <c r="A421" s="92" t="s">
        <v>3220</v>
      </c>
      <c r="F421" s="236"/>
      <c r="J421" s="345"/>
      <c r="K421" s="345"/>
      <c r="Q421" s="345"/>
      <c r="S421" s="366"/>
      <c r="T421" s="366"/>
      <c r="U421" s="366"/>
      <c r="V421" s="366"/>
      <c r="W421" s="366"/>
      <c r="X421" s="366"/>
      <c r="Y421" s="366"/>
      <c r="Z421" s="366"/>
      <c r="AA421" s="366"/>
      <c r="AB421" s="366"/>
      <c r="AC421" s="366"/>
      <c r="AD421" s="366"/>
      <c r="AE421" s="366"/>
      <c r="AF421" s="366"/>
      <c r="AG421" s="366"/>
      <c r="AH421" s="366"/>
      <c r="AI421" s="366"/>
      <c r="AJ421" s="366"/>
      <c r="AK421" s="366"/>
      <c r="AL421" s="366"/>
      <c r="AM421" s="366"/>
      <c r="AN421" s="366"/>
      <c r="AO421" s="366"/>
      <c r="AP421" s="345"/>
      <c r="AQ421" s="345"/>
      <c r="AR421" s="345"/>
      <c r="AS421" s="345"/>
      <c r="AT421" s="345"/>
      <c r="AU421" s="345"/>
      <c r="AV421" s="345"/>
      <c r="AW421" s="345"/>
      <c r="AX421" s="345"/>
      <c r="AY421" s="345"/>
      <c r="AZ421" s="345"/>
      <c r="BA421" s="345"/>
      <c r="BB421" s="345"/>
      <c r="BC421" s="345"/>
      <c r="BD421" s="345"/>
      <c r="BE421" s="345"/>
      <c r="BF421" s="345"/>
      <c r="BG421" s="345"/>
      <c r="BH421" s="345"/>
      <c r="BI421" s="345"/>
      <c r="BJ421" s="345"/>
      <c r="BK421" s="345"/>
      <c r="BL421" s="345"/>
    </row>
    <row r="422" spans="1:64">
      <c r="A422" s="92" t="s">
        <v>3221</v>
      </c>
      <c r="F422" s="236"/>
      <c r="J422" s="345"/>
      <c r="K422" s="345"/>
      <c r="Q422" s="345"/>
      <c r="S422" s="366"/>
      <c r="T422" s="366"/>
      <c r="U422" s="366"/>
      <c r="V422" s="345">
        <v>30</v>
      </c>
      <c r="W422" s="345">
        <v>0</v>
      </c>
      <c r="X422" s="641">
        <f>20+11</f>
        <v>31</v>
      </c>
      <c r="Y422" s="641"/>
      <c r="Z422" s="641"/>
      <c r="AA422" s="641"/>
      <c r="AB422" s="641"/>
      <c r="AC422" s="641"/>
      <c r="AD422" s="641"/>
      <c r="AE422" s="641"/>
      <c r="AF422" s="641"/>
      <c r="AG422" s="641"/>
      <c r="AH422" s="641"/>
      <c r="AI422" s="641"/>
      <c r="AJ422" s="641"/>
      <c r="AK422" s="641"/>
      <c r="AL422" s="641"/>
      <c r="AM422" s="641"/>
      <c r="AN422" s="641"/>
      <c r="AO422" s="641"/>
      <c r="AP422" s="858"/>
      <c r="AQ422" s="858"/>
      <c r="AR422" s="858"/>
      <c r="AS422" s="858"/>
      <c r="AT422" s="858"/>
      <c r="AU422" s="858"/>
      <c r="AV422" s="858"/>
      <c r="AW422" s="858"/>
      <c r="AX422" s="858"/>
      <c r="AY422" s="858"/>
      <c r="AZ422" s="858"/>
      <c r="BA422" s="858"/>
      <c r="BB422" s="858"/>
      <c r="BC422" s="858"/>
      <c r="BD422" s="858"/>
      <c r="BE422" s="858"/>
      <c r="BF422" s="858"/>
      <c r="BG422" s="858"/>
      <c r="BH422" s="858"/>
      <c r="BI422" s="858"/>
      <c r="BJ422" s="858"/>
      <c r="BK422" s="858"/>
      <c r="BL422" s="858"/>
    </row>
    <row r="423" spans="1:64">
      <c r="A423" s="92" t="s">
        <v>3685</v>
      </c>
      <c r="F423" s="236"/>
      <c r="J423" s="345"/>
      <c r="K423" s="345"/>
      <c r="Q423" s="345"/>
      <c r="S423" s="366"/>
      <c r="T423" s="366"/>
      <c r="U423" s="345">
        <f>U409</f>
        <v>0</v>
      </c>
      <c r="V423" s="345">
        <f>V409</f>
        <v>0</v>
      </c>
      <c r="W423" s="345">
        <v>0</v>
      </c>
      <c r="X423" s="345">
        <f>X409</f>
        <v>0</v>
      </c>
      <c r="Y423" s="345"/>
      <c r="Z423" s="345"/>
      <c r="AA423" s="345"/>
      <c r="AB423" s="345"/>
      <c r="AC423" s="345"/>
      <c r="AD423" s="345"/>
      <c r="AE423" s="345"/>
      <c r="AF423" s="345"/>
      <c r="AG423" s="345"/>
      <c r="AH423" s="345"/>
      <c r="AI423" s="345"/>
      <c r="AJ423" s="345"/>
      <c r="AK423" s="345"/>
      <c r="AL423" s="345"/>
      <c r="AM423" s="345"/>
      <c r="AN423" s="345"/>
      <c r="AO423" s="345"/>
      <c r="AP423" s="643"/>
      <c r="AQ423" s="643"/>
      <c r="AR423" s="643"/>
      <c r="AS423" s="643"/>
      <c r="AT423" s="643"/>
      <c r="AU423" s="643"/>
      <c r="AV423" s="643"/>
      <c r="AW423" s="643"/>
      <c r="AX423" s="643"/>
      <c r="AY423" s="643"/>
      <c r="AZ423" s="643"/>
      <c r="BA423" s="643"/>
      <c r="BB423" s="643"/>
      <c r="BC423" s="643"/>
      <c r="BD423" s="643"/>
      <c r="BE423" s="643"/>
      <c r="BF423" s="643"/>
      <c r="BG423" s="643"/>
      <c r="BH423" s="643"/>
      <c r="BI423" s="643"/>
      <c r="BJ423" s="643"/>
      <c r="BK423" s="643"/>
      <c r="BL423" s="643"/>
    </row>
    <row r="424" spans="1:64">
      <c r="A424" s="175" t="s">
        <v>3224</v>
      </c>
      <c r="B424" s="175"/>
      <c r="C424" s="175"/>
      <c r="D424" s="175"/>
      <c r="E424" s="175"/>
      <c r="F424" s="238"/>
      <c r="G424" s="175"/>
      <c r="H424" s="175"/>
      <c r="I424" s="175"/>
      <c r="J424" s="355"/>
      <c r="K424" s="355"/>
      <c r="L424" s="175"/>
      <c r="M424" s="175"/>
      <c r="N424" s="175"/>
      <c r="O424" s="175"/>
      <c r="P424" s="175"/>
      <c r="Q424" s="355"/>
      <c r="R424" s="175"/>
      <c r="S424" s="800"/>
      <c r="T424" s="800"/>
      <c r="U424" s="355"/>
      <c r="V424" s="823">
        <v>25</v>
      </c>
      <c r="W424" s="823">
        <f>45-V424</f>
        <v>20</v>
      </c>
      <c r="X424" s="823">
        <v>0</v>
      </c>
      <c r="Y424" s="823"/>
      <c r="Z424" s="823"/>
      <c r="AA424" s="823"/>
      <c r="AB424" s="823"/>
      <c r="AC424" s="823"/>
      <c r="AD424" s="641"/>
      <c r="AE424" s="641"/>
      <c r="AF424" s="641"/>
      <c r="AG424" s="641"/>
      <c r="AH424" s="641"/>
      <c r="AI424" s="641"/>
      <c r="AJ424" s="641"/>
      <c r="AK424" s="641"/>
      <c r="AL424" s="641"/>
      <c r="AM424" s="641"/>
      <c r="AN424" s="641"/>
      <c r="AO424" s="641"/>
      <c r="AP424" s="643"/>
      <c r="AQ424" s="643"/>
      <c r="AR424" s="643"/>
      <c r="AS424" s="643"/>
      <c r="AT424" s="643"/>
      <c r="AU424" s="643"/>
      <c r="AV424" s="643"/>
      <c r="AW424" s="643"/>
      <c r="AX424" s="643"/>
      <c r="AY424" s="643"/>
      <c r="AZ424" s="643"/>
      <c r="BA424" s="643"/>
      <c r="BB424" s="643"/>
      <c r="BC424" s="643"/>
      <c r="BD424" s="643"/>
      <c r="BE424" s="643"/>
      <c r="BF424" s="643"/>
      <c r="BG424" s="643"/>
      <c r="BH424" s="643"/>
      <c r="BI424" s="643"/>
      <c r="BJ424" s="643"/>
      <c r="BK424" s="643"/>
      <c r="BL424" s="643"/>
    </row>
    <row r="425" spans="1:64">
      <c r="A425" s="92" t="s">
        <v>3686</v>
      </c>
      <c r="F425" s="236"/>
      <c r="J425" s="345"/>
      <c r="K425" s="345"/>
      <c r="Q425" s="345"/>
      <c r="S425" s="345">
        <f t="shared" ref="S425:X425" si="209">S420+S421+S422+S423+S424</f>
        <v>53.8</v>
      </c>
      <c r="T425" s="345">
        <f t="shared" si="209"/>
        <v>39.6</v>
      </c>
      <c r="U425" s="345">
        <f t="shared" si="209"/>
        <v>-12.1</v>
      </c>
      <c r="V425" s="345">
        <f t="shared" si="209"/>
        <v>73</v>
      </c>
      <c r="W425" s="345">
        <f t="shared" si="209"/>
        <v>55.7</v>
      </c>
      <c r="X425" s="345">
        <f t="shared" si="209"/>
        <v>70</v>
      </c>
      <c r="Y425" s="345"/>
      <c r="Z425" s="345"/>
      <c r="AA425" s="345"/>
      <c r="AB425" s="345"/>
      <c r="AC425" s="345"/>
      <c r="AD425" s="345"/>
      <c r="AE425" s="345"/>
      <c r="AF425" s="345"/>
      <c r="AG425" s="345"/>
      <c r="AH425" s="345"/>
      <c r="AI425" s="345"/>
      <c r="AJ425" s="345"/>
      <c r="AK425" s="345"/>
      <c r="AL425" s="345"/>
      <c r="AM425" s="345"/>
      <c r="AN425" s="345"/>
      <c r="AO425" s="345"/>
      <c r="AP425" s="345"/>
      <c r="AQ425" s="345"/>
      <c r="AR425" s="345"/>
      <c r="AS425" s="345"/>
      <c r="AT425" s="345"/>
      <c r="AU425" s="345"/>
      <c r="AV425" s="345"/>
      <c r="AW425" s="345"/>
      <c r="AX425" s="345"/>
      <c r="AY425" s="345"/>
      <c r="AZ425" s="345"/>
      <c r="BA425" s="345"/>
      <c r="BB425" s="345"/>
      <c r="BC425" s="345"/>
      <c r="BD425" s="345"/>
      <c r="BE425" s="345"/>
      <c r="BF425" s="345"/>
      <c r="BG425" s="345"/>
      <c r="BH425" s="345"/>
      <c r="BI425" s="345"/>
      <c r="BJ425" s="345"/>
      <c r="BK425" s="345"/>
      <c r="BL425" s="345"/>
    </row>
    <row r="426" spans="1:64">
      <c r="A426" s="92" t="s">
        <v>3222</v>
      </c>
      <c r="F426" s="236"/>
      <c r="J426" s="345"/>
      <c r="K426" s="345"/>
      <c r="Q426" s="345"/>
      <c r="S426" s="366"/>
      <c r="T426" s="345">
        <f>(S425+T425)*2</f>
        <v>186.8</v>
      </c>
      <c r="U426" s="345">
        <f>(T425+U425)*2</f>
        <v>55</v>
      </c>
      <c r="V426" s="345">
        <f>(U425+V425)*2</f>
        <v>121.8</v>
      </c>
      <c r="W426" s="345">
        <f>(V425+W425)*2</f>
        <v>257.39999999999998</v>
      </c>
      <c r="X426" s="345">
        <f>(W425+X425)*2</f>
        <v>251.4</v>
      </c>
      <c r="Y426" s="345"/>
      <c r="Z426" s="345"/>
      <c r="AA426" s="345"/>
      <c r="AB426" s="345"/>
      <c r="AC426" s="345"/>
      <c r="AD426" s="345"/>
      <c r="AE426" s="345"/>
      <c r="AF426" s="345"/>
      <c r="AG426" s="345"/>
      <c r="AH426" s="345"/>
      <c r="AI426" s="345"/>
      <c r="AJ426" s="345"/>
      <c r="AK426" s="345"/>
      <c r="AL426" s="345"/>
      <c r="AM426" s="345"/>
      <c r="AN426" s="345"/>
      <c r="AO426" s="345"/>
      <c r="AP426" s="345"/>
      <c r="AQ426" s="345"/>
      <c r="AR426" s="345"/>
      <c r="AS426" s="345"/>
      <c r="AT426" s="345"/>
      <c r="AU426" s="345"/>
      <c r="AV426" s="345"/>
      <c r="AW426" s="345"/>
      <c r="AX426" s="345"/>
      <c r="AY426" s="345"/>
      <c r="AZ426" s="345"/>
      <c r="BA426" s="345"/>
      <c r="BB426" s="345"/>
      <c r="BC426" s="345"/>
      <c r="BD426" s="345"/>
      <c r="BE426" s="345"/>
      <c r="BF426" s="345"/>
      <c r="BG426" s="345"/>
      <c r="BH426" s="345"/>
      <c r="BI426" s="345"/>
      <c r="BJ426" s="345"/>
      <c r="BK426" s="345"/>
      <c r="BL426" s="345"/>
    </row>
    <row r="427" spans="1:64">
      <c r="F427" s="236"/>
      <c r="J427" s="345"/>
      <c r="K427" s="345"/>
      <c r="Q427" s="345"/>
      <c r="S427" s="366"/>
      <c r="T427" s="345"/>
      <c r="U427" s="345"/>
      <c r="V427" s="345"/>
      <c r="W427" s="345"/>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c r="AS427" s="345"/>
      <c r="AT427" s="345"/>
      <c r="AU427" s="345"/>
      <c r="AV427" s="345"/>
      <c r="AW427" s="345"/>
      <c r="AX427" s="345"/>
      <c r="AY427" s="345"/>
      <c r="AZ427" s="345"/>
      <c r="BA427" s="345"/>
      <c r="BB427" s="345"/>
      <c r="BC427" s="345"/>
      <c r="BD427" s="345"/>
      <c r="BE427" s="345"/>
      <c r="BF427" s="345"/>
      <c r="BG427" s="345"/>
      <c r="BH427" s="345"/>
      <c r="BI427" s="345"/>
      <c r="BJ427" s="345"/>
      <c r="BK427" s="345"/>
      <c r="BL427" s="345"/>
    </row>
    <row r="428" spans="1:64">
      <c r="A428" s="92" t="s">
        <v>3223</v>
      </c>
      <c r="F428" s="236"/>
      <c r="J428" s="345"/>
      <c r="K428" s="345"/>
      <c r="Q428" s="345"/>
      <c r="S428" s="366"/>
      <c r="T428" s="366">
        <f>T417/T426</f>
        <v>4.2714132762312627</v>
      </c>
      <c r="U428" s="366">
        <f>U417/U426</f>
        <v>14.709090909090909</v>
      </c>
      <c r="V428" s="366">
        <f>V417/V426</f>
        <v>6.6461412151067325</v>
      </c>
      <c r="W428" s="366">
        <f>W417/W426</f>
        <v>3.2404817404817408</v>
      </c>
      <c r="X428" s="366">
        <f>X417/X426</f>
        <v>3.2533810660302307</v>
      </c>
      <c r="Y428" s="366"/>
      <c r="Z428" s="366"/>
      <c r="AA428" s="366"/>
      <c r="AB428" s="366"/>
      <c r="AC428" s="366"/>
      <c r="AD428" s="366"/>
      <c r="AE428" s="366"/>
      <c r="AF428" s="366"/>
      <c r="AG428" s="366"/>
      <c r="AH428" s="366"/>
      <c r="AI428" s="366"/>
      <c r="AJ428" s="366"/>
      <c r="AK428" s="366"/>
      <c r="AL428" s="366"/>
      <c r="AM428" s="366"/>
      <c r="AN428" s="366"/>
      <c r="AO428" s="366"/>
      <c r="AP428" s="366"/>
      <c r="AQ428" s="366"/>
      <c r="AR428" s="366"/>
      <c r="AS428" s="366"/>
      <c r="AT428" s="366"/>
      <c r="AU428" s="366"/>
      <c r="AV428" s="366"/>
      <c r="AW428" s="366"/>
      <c r="AX428" s="366"/>
      <c r="AY428" s="366"/>
      <c r="AZ428" s="366"/>
      <c r="BA428" s="366"/>
      <c r="BB428" s="366"/>
      <c r="BC428" s="366"/>
      <c r="BD428" s="366"/>
      <c r="BE428" s="366"/>
      <c r="BF428" s="366"/>
      <c r="BG428" s="366"/>
      <c r="BH428" s="366"/>
      <c r="BI428" s="366"/>
      <c r="BJ428" s="366"/>
      <c r="BK428" s="366"/>
      <c r="BL428" s="366"/>
    </row>
    <row r="429" spans="1:64">
      <c r="F429" s="236"/>
      <c r="J429" s="345"/>
      <c r="K429" s="345"/>
      <c r="Q429" s="345"/>
      <c r="R429" s="345"/>
      <c r="S429" s="354"/>
      <c r="T429" s="354"/>
      <c r="U429" s="354"/>
      <c r="V429" s="354"/>
      <c r="W429" s="354"/>
      <c r="X429" s="354"/>
      <c r="Y429" s="354"/>
      <c r="Z429" s="354"/>
      <c r="AA429" s="354"/>
      <c r="AB429" s="354"/>
      <c r="AC429" s="354"/>
      <c r="AD429" s="354"/>
      <c r="AE429" s="354"/>
      <c r="AF429" s="354"/>
      <c r="AG429" s="354"/>
      <c r="AH429" s="354"/>
      <c r="AI429" s="354"/>
      <c r="AJ429" s="354"/>
      <c r="AK429" s="354"/>
      <c r="AL429" s="354"/>
      <c r="AM429" s="354"/>
      <c r="AN429" s="354"/>
      <c r="AO429" s="354"/>
    </row>
    <row r="430" spans="1:64">
      <c r="F430" s="236"/>
      <c r="J430" s="345"/>
      <c r="K430" s="345"/>
      <c r="S430" s="345"/>
      <c r="T430" s="345"/>
      <c r="U430" s="345"/>
      <c r="V430" s="345"/>
      <c r="W430" s="345"/>
      <c r="X430" s="345"/>
      <c r="Y430" s="345"/>
      <c r="Z430" s="345"/>
      <c r="AA430" s="345"/>
      <c r="AB430" s="345"/>
      <c r="AC430" s="345"/>
      <c r="AD430" s="345"/>
      <c r="AE430" s="345"/>
      <c r="AF430" s="345"/>
      <c r="AG430" s="345"/>
      <c r="AH430" s="345"/>
      <c r="AI430" s="345"/>
      <c r="AJ430" s="345"/>
      <c r="AK430" s="345"/>
      <c r="AL430" s="345"/>
      <c r="AM430" s="345"/>
      <c r="AN430" s="345"/>
      <c r="AO430" s="345"/>
    </row>
    <row r="431" spans="1:64">
      <c r="A431" s="92" t="s">
        <v>931</v>
      </c>
      <c r="F431" s="345">
        <f t="shared" ref="F431:K431" si="210">(F407*1+E407*2)/3</f>
        <v>672.5</v>
      </c>
      <c r="G431" s="345">
        <f t="shared" si="210"/>
        <v>672.5</v>
      </c>
      <c r="H431" s="345">
        <f t="shared" si="210"/>
        <v>672.5</v>
      </c>
      <c r="I431" s="345">
        <f t="shared" si="210"/>
        <v>672.5</v>
      </c>
      <c r="J431" s="345">
        <f t="shared" si="210"/>
        <v>672.66666666666663</v>
      </c>
      <c r="K431" s="345">
        <f t="shared" si="210"/>
        <v>765.06666666666661</v>
      </c>
      <c r="S431" s="345">
        <f>S432*(S382*4)</f>
        <v>912.44799999999998</v>
      </c>
      <c r="T431" s="345"/>
      <c r="U431" s="345"/>
      <c r="V431" s="345"/>
      <c r="W431" s="345"/>
      <c r="X431" s="345"/>
      <c r="Y431" s="345"/>
      <c r="Z431" s="345"/>
      <c r="AA431" s="345"/>
      <c r="AB431" s="345"/>
      <c r="AC431" s="345"/>
      <c r="AD431" s="345"/>
      <c r="AE431" s="345"/>
      <c r="AF431" s="345"/>
      <c r="AG431" s="345"/>
      <c r="AH431" s="345"/>
      <c r="AI431" s="345"/>
      <c r="AJ431" s="345"/>
      <c r="AK431" s="345"/>
      <c r="AL431" s="345"/>
      <c r="AM431" s="345"/>
      <c r="AN431" s="345"/>
      <c r="AO431" s="345"/>
    </row>
    <row r="432" spans="1:64">
      <c r="A432" s="92" t="s">
        <v>932</v>
      </c>
      <c r="F432" s="345"/>
      <c r="G432" s="345"/>
      <c r="H432" s="345"/>
      <c r="I432" s="345"/>
      <c r="J432" s="236">
        <f>J411/SUM(G382:J382)</f>
        <v>4.8382242287434147</v>
      </c>
      <c r="K432" s="236">
        <f>K411/(SUM(H382:K382)+2.9*11)</f>
        <v>5.2890307603017988</v>
      </c>
      <c r="P432" s="236"/>
      <c r="S432" s="92">
        <v>4.24</v>
      </c>
    </row>
    <row r="433" spans="1:18">
      <c r="F433" s="236"/>
      <c r="J433" s="345"/>
    </row>
    <row r="434" spans="1:18">
      <c r="A434" s="303" t="s">
        <v>2888</v>
      </c>
      <c r="F434" s="236"/>
      <c r="J434" s="345"/>
    </row>
    <row r="435" spans="1:18">
      <c r="A435" s="92" t="s">
        <v>2889</v>
      </c>
      <c r="F435" s="236"/>
      <c r="J435" s="345"/>
      <c r="R435" s="92">
        <v>-2.1</v>
      </c>
    </row>
    <row r="436" spans="1:18">
      <c r="F436" s="236"/>
      <c r="J436" s="345"/>
    </row>
    <row r="437" spans="1:18">
      <c r="J437" s="345"/>
    </row>
    <row r="455" spans="1:11">
      <c r="A455" s="303" t="s">
        <v>937</v>
      </c>
    </row>
    <row r="457" spans="1:11">
      <c r="A457" s="175" t="s">
        <v>935</v>
      </c>
      <c r="B457" s="336" t="str">
        <f t="shared" ref="B457:K457" si="211">BP165</f>
        <v>Q1 14</v>
      </c>
      <c r="C457" s="336" t="str">
        <f t="shared" si="211"/>
        <v>Q2 14</v>
      </c>
      <c r="D457" s="336" t="str">
        <f t="shared" si="211"/>
        <v>Q3 14</v>
      </c>
      <c r="E457" s="336" t="str">
        <f t="shared" si="211"/>
        <v>Q4 14</v>
      </c>
      <c r="F457" s="336" t="str">
        <f t="shared" si="211"/>
        <v>Q1 15</v>
      </c>
      <c r="G457" s="336" t="str">
        <f t="shared" si="211"/>
        <v>Q2 15</v>
      </c>
      <c r="H457" s="336" t="str">
        <f t="shared" si="211"/>
        <v>Q3 15</v>
      </c>
      <c r="I457" s="336" t="str">
        <f t="shared" si="211"/>
        <v>Q4 15</v>
      </c>
      <c r="J457" s="336" t="str">
        <f t="shared" si="211"/>
        <v>Q1 16</v>
      </c>
      <c r="K457" s="336">
        <f t="shared" si="211"/>
        <v>0</v>
      </c>
    </row>
    <row r="458" spans="1:11">
      <c r="A458" s="92" t="s">
        <v>938</v>
      </c>
      <c r="B458" s="124">
        <f t="shared" ref="B458:K458" si="212">BP266</f>
        <v>5.1507462121353154E-2</v>
      </c>
      <c r="C458" s="124">
        <f t="shared" si="212"/>
        <v>3.9325280787786188E-2</v>
      </c>
      <c r="D458" s="124">
        <f t="shared" si="212"/>
        <v>4.1289884142799105E-2</v>
      </c>
      <c r="E458" s="124">
        <f t="shared" si="212"/>
        <v>4.208215528930781E-2</v>
      </c>
      <c r="F458" s="124">
        <f t="shared" si="212"/>
        <v>4.7470688285272011E-2</v>
      </c>
      <c r="G458" s="124">
        <f t="shared" si="212"/>
        <v>7.0403764705882388E-2</v>
      </c>
      <c r="H458" s="124">
        <f t="shared" si="212"/>
        <v>7.0519349845201473E-2</v>
      </c>
      <c r="I458" s="124">
        <f t="shared" si="212"/>
        <v>8.4967667404812541E-2</v>
      </c>
      <c r="J458" s="124">
        <f t="shared" si="212"/>
        <v>7.5978511128165671E-2</v>
      </c>
      <c r="K458" s="124">
        <f t="shared" si="212"/>
        <v>4.4694294577350968E-2</v>
      </c>
    </row>
    <row r="459" spans="1:11">
      <c r="A459" s="175" t="s">
        <v>939</v>
      </c>
      <c r="B459" s="360">
        <f t="shared" ref="B459:K459" si="213">BP351</f>
        <v>2.0491803278688492E-2</v>
      </c>
      <c r="C459" s="360">
        <f t="shared" si="213"/>
        <v>3.373819163292846E-2</v>
      </c>
      <c r="D459" s="360">
        <f t="shared" si="213"/>
        <v>2.1419009370816422E-2</v>
      </c>
      <c r="E459" s="360">
        <f t="shared" si="213"/>
        <v>4.3882978723404298E-2</v>
      </c>
      <c r="F459" s="360">
        <f t="shared" si="213"/>
        <v>5.7563587684069661E-2</v>
      </c>
      <c r="G459" s="360">
        <f t="shared" si="213"/>
        <v>8.6161879895561233E-2</v>
      </c>
      <c r="H459" s="360">
        <f t="shared" si="213"/>
        <v>7.3394495412844041E-2</v>
      </c>
      <c r="I459" s="360">
        <f t="shared" si="213"/>
        <v>4.5859872611464958E-2</v>
      </c>
      <c r="J459" s="360">
        <f t="shared" si="213"/>
        <v>3.03797468354432E-2</v>
      </c>
      <c r="K459" s="360">
        <f t="shared" si="213"/>
        <v>1.4423076923077094E-2</v>
      </c>
    </row>
    <row r="460" spans="1:11">
      <c r="A460" s="92" t="s">
        <v>940</v>
      </c>
      <c r="B460" s="124">
        <f t="shared" ref="B460:K460" si="214">BP213</f>
        <v>4.4509050489127899E-2</v>
      </c>
      <c r="C460" s="124">
        <f t="shared" si="214"/>
        <v>3.9205150308269099E-2</v>
      </c>
      <c r="D460" s="124">
        <f t="shared" si="214"/>
        <v>3.640392018462002E-2</v>
      </c>
      <c r="E460" s="124">
        <f t="shared" si="214"/>
        <v>4.2854440048307518E-2</v>
      </c>
      <c r="F460" s="124">
        <f t="shared" si="214"/>
        <v>5.0804578196455452E-2</v>
      </c>
      <c r="G460" s="124">
        <f t="shared" si="214"/>
        <v>7.4239906049627935E-2</v>
      </c>
      <c r="H460" s="124">
        <f t="shared" si="214"/>
        <v>7.1690805910405997E-2</v>
      </c>
      <c r="I460" s="124">
        <f t="shared" si="214"/>
        <v>7.4798224658066514E-2</v>
      </c>
      <c r="J460" s="124">
        <f t="shared" si="214"/>
        <v>6.3579311599765598E-2</v>
      </c>
      <c r="K460" s="124">
        <f t="shared" si="214"/>
        <v>3.5544316771609408E-2</v>
      </c>
    </row>
    <row r="461" spans="1:11">
      <c r="B461" s="124"/>
      <c r="C461" s="124"/>
      <c r="D461" s="124"/>
      <c r="E461" s="124"/>
      <c r="F461" s="124"/>
      <c r="G461" s="124"/>
      <c r="H461" s="124"/>
      <c r="J461" s="313"/>
    </row>
    <row r="462" spans="1:11">
      <c r="A462" s="92" t="s">
        <v>941</v>
      </c>
      <c r="B462" s="124"/>
      <c r="C462" s="124"/>
      <c r="D462" s="124"/>
      <c r="E462" s="124"/>
      <c r="F462" s="124"/>
      <c r="G462" s="124"/>
      <c r="H462" s="124"/>
    </row>
    <row r="463" spans="1:11">
      <c r="A463" s="92" t="str">
        <f>A458</f>
        <v>Chile, CLP</v>
      </c>
      <c r="B463" s="124">
        <f t="shared" ref="B463:J463" si="215">BP272</f>
        <v>0.13399503722084383</v>
      </c>
      <c r="C463" s="124">
        <f t="shared" si="215"/>
        <v>0.12826603325415675</v>
      </c>
      <c r="D463" s="124">
        <f t="shared" si="215"/>
        <v>0.17056074766355156</v>
      </c>
      <c r="E463" s="124">
        <f t="shared" si="215"/>
        <v>0.10746859290777078</v>
      </c>
      <c r="F463" s="124">
        <f t="shared" si="215"/>
        <v>3.7199124726476906E-2</v>
      </c>
      <c r="G463" s="124">
        <f t="shared" si="215"/>
        <v>0.13990652631578948</v>
      </c>
      <c r="H463" s="124">
        <f t="shared" si="215"/>
        <v>0.11482035928143697</v>
      </c>
      <c r="I463" s="124">
        <f t="shared" si="215"/>
        <v>5.3956834532374119E-2</v>
      </c>
      <c r="J463" s="124">
        <f t="shared" si="215"/>
        <v>0.12840295358649767</v>
      </c>
    </row>
    <row r="464" spans="1:11">
      <c r="A464" s="175" t="str">
        <f>A459</f>
        <v>Puerto Rico, US$</v>
      </c>
      <c r="B464" s="360">
        <f t="shared" ref="B464:J464" si="216">BP382</f>
        <v>0.24680851063829801</v>
      </c>
      <c r="C464" s="360">
        <f t="shared" si="216"/>
        <v>0.39330543933054396</v>
      </c>
      <c r="D464" s="360">
        <f t="shared" si="216"/>
        <v>0.21033210332103325</v>
      </c>
      <c r="E464" s="360">
        <f t="shared" si="216"/>
        <v>1.5243902439024515E-2</v>
      </c>
      <c r="F464" s="360">
        <f t="shared" si="216"/>
        <v>0.14334470989761083</v>
      </c>
      <c r="G464" s="360">
        <f t="shared" si="216"/>
        <v>0.10510510510510507</v>
      </c>
      <c r="H464" s="360">
        <f t="shared" si="216"/>
        <v>3.0487804878048808E-2</v>
      </c>
      <c r="I464" s="360">
        <f t="shared" si="216"/>
        <v>6.6066066066065243E-2</v>
      </c>
      <c r="J464" s="360">
        <f t="shared" si="216"/>
        <v>6.8656716417910379E-2</v>
      </c>
    </row>
    <row r="465" spans="1:10">
      <c r="A465" s="92" t="s">
        <v>90</v>
      </c>
      <c r="B465" s="124">
        <f t="shared" ref="B465:I465" si="217">BP214</f>
        <v>0.1583615001813854</v>
      </c>
      <c r="C465" s="124">
        <f t="shared" si="217"/>
        <v>0.18546416267234012</v>
      </c>
      <c r="D465" s="124">
        <f t="shared" si="217"/>
        <v>0.18022561318019448</v>
      </c>
      <c r="E465" s="124">
        <f t="shared" si="217"/>
        <v>8.4189277273725382E-2</v>
      </c>
      <c r="F465" s="124">
        <f t="shared" si="217"/>
        <v>7.2162645101113032E-2</v>
      </c>
      <c r="G465" s="124">
        <f t="shared" si="217"/>
        <v>0.13016162835847722</v>
      </c>
      <c r="H465" s="124">
        <f t="shared" si="217"/>
        <v>9.1681821160169319E-2</v>
      </c>
      <c r="I465" s="124">
        <f t="shared" si="217"/>
        <v>4.1294394999157907E-2</v>
      </c>
      <c r="J465" s="124">
        <v>0.11</v>
      </c>
    </row>
    <row r="466" spans="1:10">
      <c r="G466" s="124"/>
      <c r="J466" s="313"/>
    </row>
    <row r="467" spans="1:10">
      <c r="A467" s="303" t="s">
        <v>53</v>
      </c>
    </row>
    <row r="468" spans="1:10">
      <c r="I468" s="92" t="s">
        <v>72</v>
      </c>
    </row>
    <row r="469" spans="1:10">
      <c r="A469" s="175" t="s">
        <v>942</v>
      </c>
      <c r="B469" s="336" t="str">
        <f t="shared" ref="B469:H469" si="218">B457</f>
        <v>Q1 14</v>
      </c>
      <c r="C469" s="336" t="str">
        <f t="shared" si="218"/>
        <v>Q2 14</v>
      </c>
      <c r="D469" s="336" t="str">
        <f t="shared" si="218"/>
        <v>Q3 14</v>
      </c>
      <c r="E469" s="336" t="str">
        <f t="shared" si="218"/>
        <v>Q4 14</v>
      </c>
      <c r="F469" s="336" t="str">
        <f t="shared" si="218"/>
        <v>Q1 15</v>
      </c>
      <c r="G469" s="336" t="str">
        <f t="shared" si="218"/>
        <v>Q2 15</v>
      </c>
      <c r="H469" s="336" t="str">
        <f t="shared" si="218"/>
        <v>Q3 15</v>
      </c>
      <c r="I469" s="336" t="str">
        <f>I457</f>
        <v>Q4 15</v>
      </c>
      <c r="J469" s="336" t="str">
        <f>J457</f>
        <v>Q1 16</v>
      </c>
    </row>
    <row r="470" spans="1:10">
      <c r="A470" s="92" t="str">
        <f>A238</f>
        <v>Homes passed</v>
      </c>
      <c r="B470" s="345">
        <f t="shared" ref="B470:J471" si="219">F238</f>
        <v>5.8999999999996362</v>
      </c>
      <c r="C470" s="345">
        <f t="shared" si="219"/>
        <v>15</v>
      </c>
      <c r="D470" s="345">
        <f t="shared" si="219"/>
        <v>20.700000000000273</v>
      </c>
      <c r="E470" s="345">
        <f t="shared" si="219"/>
        <v>9.9000000000000909</v>
      </c>
      <c r="F470" s="345">
        <f t="shared" si="219"/>
        <v>7</v>
      </c>
      <c r="G470" s="345">
        <f t="shared" si="219"/>
        <v>13.5</v>
      </c>
      <c r="H470" s="345">
        <f t="shared" si="219"/>
        <v>35.599999999999909</v>
      </c>
      <c r="I470" s="345">
        <f t="shared" si="219"/>
        <v>26.599999999999909</v>
      </c>
      <c r="J470" s="345">
        <f t="shared" si="219"/>
        <v>19.5</v>
      </c>
    </row>
    <row r="471" spans="1:10">
      <c r="A471" s="92" t="str">
        <f>A239</f>
        <v>Homes upgraded</v>
      </c>
      <c r="B471" s="345">
        <f t="shared" si="219"/>
        <v>6.2000000000002728</v>
      </c>
      <c r="C471" s="345">
        <f t="shared" si="219"/>
        <v>15.399999999999636</v>
      </c>
      <c r="D471" s="345">
        <f t="shared" si="219"/>
        <v>21.5</v>
      </c>
      <c r="E471" s="345">
        <f t="shared" si="219"/>
        <v>10.5</v>
      </c>
      <c r="F471" s="345">
        <f t="shared" si="219"/>
        <v>7.3000000000001819</v>
      </c>
      <c r="G471" s="345">
        <f t="shared" si="219"/>
        <v>14.199999999999818</v>
      </c>
      <c r="H471" s="345">
        <f t="shared" si="219"/>
        <v>36.800000000000182</v>
      </c>
      <c r="I471" s="345">
        <f t="shared" si="219"/>
        <v>27.099999999999909</v>
      </c>
      <c r="J471" s="345">
        <f t="shared" si="219"/>
        <v>23.200000000000273</v>
      </c>
    </row>
    <row r="472" spans="1:10">
      <c r="B472" s="345"/>
      <c r="C472" s="345"/>
      <c r="D472" s="345"/>
      <c r="E472" s="345"/>
      <c r="F472" s="345"/>
      <c r="G472" s="345"/>
      <c r="H472" s="345"/>
      <c r="I472" s="345"/>
      <c r="J472" s="345"/>
    </row>
    <row r="473" spans="1:10">
      <c r="A473" s="92" t="str">
        <f>A240</f>
        <v>Customers</v>
      </c>
      <c r="B473" s="345">
        <f t="shared" ref="B473:J473" si="220">F240</f>
        <v>10.5</v>
      </c>
      <c r="C473" s="345">
        <f t="shared" si="220"/>
        <v>14.400000000000091</v>
      </c>
      <c r="D473" s="345">
        <f t="shared" si="220"/>
        <v>5.2000000000000455</v>
      </c>
      <c r="E473" s="345">
        <f t="shared" si="220"/>
        <v>-4.6000000000001364</v>
      </c>
      <c r="F473" s="345">
        <f t="shared" si="220"/>
        <v>12.600000000000136</v>
      </c>
      <c r="G473" s="345">
        <f t="shared" si="220"/>
        <v>12.699999999999818</v>
      </c>
      <c r="H473" s="345">
        <f t="shared" si="220"/>
        <v>9.2000000000000455</v>
      </c>
      <c r="I473" s="345">
        <f t="shared" si="220"/>
        <v>3.6000000000001364</v>
      </c>
      <c r="J473" s="345">
        <f t="shared" si="220"/>
        <v>16.299999999999955</v>
      </c>
    </row>
    <row r="474" spans="1:10">
      <c r="B474" s="345"/>
      <c r="C474" s="345"/>
      <c r="D474" s="345"/>
      <c r="E474" s="345"/>
      <c r="F474" s="345"/>
      <c r="G474" s="345"/>
      <c r="H474" s="345"/>
      <c r="I474" s="345"/>
      <c r="J474" s="345"/>
    </row>
    <row r="475" spans="1:10">
      <c r="A475" s="92" t="str">
        <f>A241</f>
        <v>TV</v>
      </c>
      <c r="B475" s="345">
        <f t="shared" ref="B475:J478" si="221">F241</f>
        <v>9.3999999999998636</v>
      </c>
      <c r="C475" s="345">
        <f t="shared" si="221"/>
        <v>9.1000000000000227</v>
      </c>
      <c r="D475" s="345">
        <f t="shared" si="221"/>
        <v>1.1000000000000227</v>
      </c>
      <c r="E475" s="345">
        <f t="shared" si="221"/>
        <v>4.5</v>
      </c>
      <c r="F475" s="345">
        <f t="shared" si="221"/>
        <v>-5.1000000000000227</v>
      </c>
      <c r="G475" s="345">
        <f t="shared" si="221"/>
        <v>14.5</v>
      </c>
      <c r="H475" s="345">
        <f t="shared" si="221"/>
        <v>3.3000000000000682</v>
      </c>
      <c r="I475" s="345">
        <f t="shared" si="221"/>
        <v>-0.20000000000004547</v>
      </c>
      <c r="J475" s="345">
        <f t="shared" si="221"/>
        <v>4.4000000000000909</v>
      </c>
    </row>
    <row r="476" spans="1:10">
      <c r="A476" s="92" t="str">
        <f>A242</f>
        <v>Broadband</v>
      </c>
      <c r="B476" s="345">
        <f t="shared" si="221"/>
        <v>13.699999999999932</v>
      </c>
      <c r="C476" s="345">
        <f t="shared" si="221"/>
        <v>21.600000000000023</v>
      </c>
      <c r="D476" s="345">
        <f t="shared" si="221"/>
        <v>11.600000000000023</v>
      </c>
      <c r="E476" s="345">
        <f t="shared" si="221"/>
        <v>-0.60000000000002274</v>
      </c>
      <c r="F476" s="345">
        <f t="shared" si="221"/>
        <v>22.899999999999977</v>
      </c>
      <c r="G476" s="345">
        <f t="shared" si="221"/>
        <v>22.800000000000068</v>
      </c>
      <c r="H476" s="345">
        <f t="shared" si="221"/>
        <v>15.899999999999977</v>
      </c>
      <c r="I476" s="345">
        <f t="shared" si="221"/>
        <v>9.5</v>
      </c>
      <c r="J476" s="345">
        <f t="shared" si="221"/>
        <v>23.300000000000068</v>
      </c>
    </row>
    <row r="477" spans="1:10">
      <c r="A477" s="92" t="str">
        <f>A243</f>
        <v>Telephony</v>
      </c>
      <c r="B477" s="345">
        <f t="shared" si="221"/>
        <v>8.6999999999999318</v>
      </c>
      <c r="C477" s="345">
        <f t="shared" si="221"/>
        <v>10.5</v>
      </c>
      <c r="D477" s="345">
        <f t="shared" si="221"/>
        <v>-3.5</v>
      </c>
      <c r="E477" s="345">
        <f t="shared" si="221"/>
        <v>-11.600000000000023</v>
      </c>
      <c r="F477" s="345">
        <f t="shared" si="221"/>
        <v>7.8000000000000682</v>
      </c>
      <c r="G477" s="345">
        <f t="shared" si="221"/>
        <v>-0.70000000000004547</v>
      </c>
      <c r="H477" s="345">
        <f t="shared" si="221"/>
        <v>-1.8999999999999773</v>
      </c>
      <c r="I477" s="345">
        <f t="shared" si="221"/>
        <v>-9.1000000000000227</v>
      </c>
      <c r="J477" s="345">
        <f t="shared" si="221"/>
        <v>-11.5</v>
      </c>
    </row>
    <row r="478" spans="1:10">
      <c r="A478" s="175" t="str">
        <f>A244</f>
        <v>Mobile</v>
      </c>
      <c r="B478" s="355">
        <f t="shared" si="221"/>
        <v>11.700000000000003</v>
      </c>
      <c r="C478" s="355">
        <f t="shared" si="221"/>
        <v>6.7000000000000028</v>
      </c>
      <c r="D478" s="355">
        <f t="shared" si="221"/>
        <v>11</v>
      </c>
      <c r="E478" s="355">
        <f t="shared" si="221"/>
        <v>9.7999999999999972</v>
      </c>
      <c r="F478" s="355">
        <f t="shared" si="221"/>
        <v>7</v>
      </c>
      <c r="G478" s="355">
        <f t="shared" si="221"/>
        <v>11.699999999999989</v>
      </c>
      <c r="H478" s="355">
        <f t="shared" si="221"/>
        <v>4.8000000000000114</v>
      </c>
      <c r="I478" s="355">
        <f t="shared" si="221"/>
        <v>-2</v>
      </c>
      <c r="J478" s="355">
        <f t="shared" si="221"/>
        <v>0</v>
      </c>
    </row>
    <row r="479" spans="1:10">
      <c r="A479" s="92" t="s">
        <v>573</v>
      </c>
      <c r="B479" s="345">
        <f>SUM(B475:B478)</f>
        <v>43.49999999999973</v>
      </c>
      <c r="C479" s="345">
        <f t="shared" ref="C479:I479" si="222">SUM(C475:C478)</f>
        <v>47.900000000000048</v>
      </c>
      <c r="D479" s="345">
        <f t="shared" si="222"/>
        <v>20.200000000000045</v>
      </c>
      <c r="E479" s="345">
        <f t="shared" si="222"/>
        <v>2.0999999999999517</v>
      </c>
      <c r="F479" s="345">
        <f t="shared" si="222"/>
        <v>32.600000000000023</v>
      </c>
      <c r="G479" s="345">
        <f t="shared" si="222"/>
        <v>48.300000000000011</v>
      </c>
      <c r="H479" s="345">
        <f t="shared" si="222"/>
        <v>22.10000000000008</v>
      </c>
      <c r="I479" s="345">
        <f t="shared" si="222"/>
        <v>-1.8000000000000682</v>
      </c>
      <c r="J479" s="345">
        <f>SUM(J475:J478)</f>
        <v>16.200000000000159</v>
      </c>
    </row>
    <row r="480" spans="1:10">
      <c r="B480" s="345"/>
      <c r="C480" s="345"/>
      <c r="D480" s="345"/>
      <c r="E480" s="345"/>
      <c r="F480" s="345"/>
      <c r="G480" s="345"/>
      <c r="H480" s="345"/>
      <c r="I480" s="345"/>
      <c r="J480" s="345"/>
    </row>
    <row r="481" spans="1:10">
      <c r="A481" s="92" t="s">
        <v>943</v>
      </c>
      <c r="B481" s="354">
        <f t="shared" ref="B481:J481" si="223">F235</f>
        <v>2.2139965297860034</v>
      </c>
      <c r="C481" s="354">
        <f t="shared" si="223"/>
        <v>2.2270760186168039</v>
      </c>
      <c r="D481" s="354">
        <f t="shared" si="223"/>
        <v>2.234084071875762</v>
      </c>
      <c r="E481" s="354">
        <f t="shared" si="223"/>
        <v>2.2441850975271365</v>
      </c>
      <c r="F481" s="354">
        <f t="shared" si="223"/>
        <v>2.2476775183778979</v>
      </c>
      <c r="G481" s="354">
        <f t="shared" si="223"/>
        <v>2.2634735327043018</v>
      </c>
      <c r="H481" s="354">
        <f t="shared" si="223"/>
        <v>2.2644864264168918</v>
      </c>
      <c r="I481" s="354">
        <f t="shared" si="223"/>
        <v>2.2566091499129333</v>
      </c>
      <c r="J481" s="354">
        <f t="shared" si="223"/>
        <v>2.240525123075721</v>
      </c>
    </row>
    <row r="482" spans="1:10">
      <c r="A482" s="92" t="s">
        <v>944</v>
      </c>
      <c r="B482" s="124">
        <f t="shared" ref="B482:J482" si="224">BP268</f>
        <v>8.8380999390917925E-3</v>
      </c>
      <c r="C482" s="124">
        <f t="shared" si="224"/>
        <v>3.386394281695182E-3</v>
      </c>
      <c r="D482" s="124">
        <f t="shared" si="224"/>
        <v>8.2431628950503377E-3</v>
      </c>
      <c r="E482" s="124">
        <f t="shared" si="224"/>
        <v>1.5936724869862529E-2</v>
      </c>
      <c r="F482" s="124">
        <f t="shared" si="224"/>
        <v>2.4890023480161449E-2</v>
      </c>
      <c r="G482" s="124">
        <f t="shared" si="224"/>
        <v>4.7391266650119945E-2</v>
      </c>
      <c r="H482" s="124">
        <f t="shared" si="224"/>
        <v>4.6724345176080373E-2</v>
      </c>
      <c r="I482" s="124">
        <f t="shared" si="224"/>
        <v>5.5727891967460641E-2</v>
      </c>
      <c r="J482" s="124">
        <f t="shared" si="224"/>
        <v>4.217304416298906E-2</v>
      </c>
    </row>
    <row r="484" spans="1:10">
      <c r="A484" s="175" t="s">
        <v>945</v>
      </c>
      <c r="B484" s="336" t="str">
        <f>B469</f>
        <v>Q1 14</v>
      </c>
      <c r="C484" s="336" t="str">
        <f t="shared" ref="C484:H484" si="225">C469</f>
        <v>Q2 14</v>
      </c>
      <c r="D484" s="336" t="str">
        <f t="shared" si="225"/>
        <v>Q3 14</v>
      </c>
      <c r="E484" s="336" t="str">
        <f t="shared" si="225"/>
        <v>Q4 14</v>
      </c>
      <c r="F484" s="336" t="str">
        <f t="shared" si="225"/>
        <v>Q1 15</v>
      </c>
      <c r="G484" s="336" t="str">
        <f t="shared" si="225"/>
        <v>Q2 15</v>
      </c>
      <c r="H484" s="336" t="str">
        <f t="shared" si="225"/>
        <v>Q3 15</v>
      </c>
      <c r="I484" s="336" t="str">
        <f>I469</f>
        <v>Q4 15</v>
      </c>
      <c r="J484" s="336" t="str">
        <f>J469</f>
        <v>Q1 16</v>
      </c>
    </row>
    <row r="485" spans="1:10">
      <c r="A485" s="92" t="str">
        <f>A343</f>
        <v>Homes passed</v>
      </c>
      <c r="B485" s="236">
        <f t="shared" ref="B485:J486" si="226">F343</f>
        <v>0.10000000000002274</v>
      </c>
      <c r="C485" s="236">
        <f t="shared" si="226"/>
        <v>9.9999999999909051E-2</v>
      </c>
      <c r="D485" s="236">
        <f t="shared" si="226"/>
        <v>0.80000000000006821</v>
      </c>
      <c r="E485" s="236">
        <f t="shared" si="226"/>
        <v>0.89999999999997726</v>
      </c>
      <c r="F485" s="236">
        <f t="shared" si="226"/>
        <v>0.39999999999997726</v>
      </c>
      <c r="G485" s="236">
        <f t="shared" si="226"/>
        <v>358.30000000000007</v>
      </c>
      <c r="H485" s="236">
        <f t="shared" si="226"/>
        <v>3</v>
      </c>
      <c r="I485" s="236">
        <f t="shared" si="226"/>
        <v>2.5</v>
      </c>
      <c r="J485" s="236">
        <f t="shared" si="226"/>
        <v>1.7999999999999545</v>
      </c>
    </row>
    <row r="486" spans="1:10">
      <c r="A486" s="92" t="str">
        <f>A344</f>
        <v>Customers</v>
      </c>
      <c r="B486" s="236">
        <f t="shared" si="226"/>
        <v>2.5</v>
      </c>
      <c r="C486" s="236">
        <f t="shared" si="226"/>
        <v>0.39999999999997726</v>
      </c>
      <c r="D486" s="236">
        <f t="shared" si="226"/>
        <v>3.1000000000000227</v>
      </c>
      <c r="E486" s="236">
        <f t="shared" si="226"/>
        <v>2.8000000000000114</v>
      </c>
      <c r="F486" s="236">
        <f t="shared" si="226"/>
        <v>1.5999999999999659</v>
      </c>
      <c r="G486" s="236">
        <f t="shared" si="226"/>
        <v>115.69999999999999</v>
      </c>
      <c r="H486" s="236">
        <f t="shared" si="226"/>
        <v>0.60000000000002274</v>
      </c>
      <c r="I486" s="236">
        <f t="shared" si="226"/>
        <v>1.3999999999999773</v>
      </c>
      <c r="J486" s="236">
        <f t="shared" si="226"/>
        <v>-0.79999999999995453</v>
      </c>
    </row>
    <row r="487" spans="1:10">
      <c r="B487" s="236"/>
      <c r="C487" s="236"/>
      <c r="D487" s="236"/>
      <c r="E487" s="236"/>
      <c r="F487" s="236"/>
      <c r="G487" s="236"/>
      <c r="H487" s="236"/>
      <c r="I487" s="236"/>
      <c r="J487" s="236"/>
    </row>
    <row r="488" spans="1:10">
      <c r="A488" s="92" t="str">
        <f>A345</f>
        <v>TV</v>
      </c>
      <c r="B488" s="236">
        <f t="shared" ref="B488:J490" si="227">F345</f>
        <v>3.6999999999999886</v>
      </c>
      <c r="C488" s="236">
        <f t="shared" si="227"/>
        <v>1.2000000000000171</v>
      </c>
      <c r="D488" s="236">
        <f t="shared" si="227"/>
        <v>2.5</v>
      </c>
      <c r="E488" s="236">
        <f t="shared" si="227"/>
        <v>2</v>
      </c>
      <c r="F488" s="236">
        <f t="shared" si="227"/>
        <v>0.5</v>
      </c>
      <c r="G488" s="236">
        <f t="shared" si="227"/>
        <v>47.400000000000006</v>
      </c>
      <c r="H488" s="236">
        <f t="shared" si="227"/>
        <v>-2.8000000000000114</v>
      </c>
      <c r="I488" s="236">
        <f t="shared" si="227"/>
        <v>-1.1000000000000227</v>
      </c>
      <c r="J488" s="236">
        <f t="shared" si="227"/>
        <v>-0.89999999999997726</v>
      </c>
    </row>
    <row r="489" spans="1:10">
      <c r="A489" s="92" t="str">
        <f>A346</f>
        <v>Broadband</v>
      </c>
      <c r="B489" s="236">
        <f t="shared" si="227"/>
        <v>4.8000000000000114</v>
      </c>
      <c r="C489" s="236">
        <f t="shared" si="227"/>
        <v>2.4000000000000057</v>
      </c>
      <c r="D489" s="236">
        <f t="shared" si="227"/>
        <v>5.9000000000000057</v>
      </c>
      <c r="E489" s="236">
        <f t="shared" si="227"/>
        <v>5</v>
      </c>
      <c r="F489" s="236">
        <f t="shared" si="227"/>
        <v>3.6999999999999886</v>
      </c>
      <c r="G489" s="236">
        <f t="shared" si="227"/>
        <v>94.199999999999989</v>
      </c>
      <c r="H489" s="236">
        <f t="shared" si="227"/>
        <v>5.3000000000000114</v>
      </c>
      <c r="I489" s="236">
        <f t="shared" si="227"/>
        <v>5.5</v>
      </c>
      <c r="J489" s="236">
        <f t="shared" si="227"/>
        <v>2.1999999999999886</v>
      </c>
    </row>
    <row r="490" spans="1:10">
      <c r="A490" s="175" t="str">
        <f>A347</f>
        <v>Telephony</v>
      </c>
      <c r="B490" s="238">
        <f t="shared" si="227"/>
        <v>8.7000000000000171</v>
      </c>
      <c r="C490" s="238">
        <f t="shared" si="227"/>
        <v>5.2999999999999829</v>
      </c>
      <c r="D490" s="238">
        <f t="shared" si="227"/>
        <v>7.0999999999999943</v>
      </c>
      <c r="E490" s="238">
        <f t="shared" si="227"/>
        <v>6.5</v>
      </c>
      <c r="F490" s="238">
        <f t="shared" si="227"/>
        <v>5.8000000000000114</v>
      </c>
      <c r="G490" s="238">
        <f t="shared" si="227"/>
        <v>20.599999999999994</v>
      </c>
      <c r="H490" s="238">
        <f t="shared" si="227"/>
        <v>3.7000000000000171</v>
      </c>
      <c r="I490" s="238">
        <f t="shared" si="227"/>
        <v>3.1999999999999886</v>
      </c>
      <c r="J490" s="238">
        <f t="shared" si="227"/>
        <v>3.8000000000000114</v>
      </c>
    </row>
    <row r="491" spans="1:10">
      <c r="A491" s="92" t="s">
        <v>573</v>
      </c>
      <c r="B491" s="236">
        <f>SUM(B488:B490)</f>
        <v>17.200000000000017</v>
      </c>
      <c r="C491" s="236">
        <f t="shared" ref="C491:I491" si="228">SUM(C488:C490)</f>
        <v>8.9000000000000057</v>
      </c>
      <c r="D491" s="236">
        <f t="shared" si="228"/>
        <v>15.5</v>
      </c>
      <c r="E491" s="236">
        <f t="shared" si="228"/>
        <v>13.5</v>
      </c>
      <c r="F491" s="236">
        <f t="shared" si="228"/>
        <v>10</v>
      </c>
      <c r="G491" s="236">
        <f t="shared" si="228"/>
        <v>162.19999999999999</v>
      </c>
      <c r="H491" s="236">
        <f t="shared" si="228"/>
        <v>6.2000000000000171</v>
      </c>
      <c r="I491" s="236">
        <f t="shared" si="228"/>
        <v>7.5999999999999659</v>
      </c>
      <c r="J491" s="236">
        <f>SUM(J488:J490)</f>
        <v>5.1000000000000227</v>
      </c>
    </row>
    <row r="493" spans="1:10">
      <c r="A493" s="92" t="s">
        <v>943</v>
      </c>
      <c r="B493" s="354">
        <f t="shared" ref="B493:J493" si="229">F338</f>
        <v>2.0087177624409733</v>
      </c>
      <c r="C493" s="354">
        <f t="shared" si="229"/>
        <v>2.0380848748639826</v>
      </c>
      <c r="D493" s="354">
        <f t="shared" si="229"/>
        <v>2.0710186513629845</v>
      </c>
      <c r="E493" s="354">
        <f t="shared" si="229"/>
        <v>2.0983664772727275</v>
      </c>
      <c r="F493" s="354">
        <f t="shared" si="229"/>
        <v>2.1218220338983049</v>
      </c>
      <c r="G493" s="354">
        <f t="shared" si="229"/>
        <v>1.9130107796440212</v>
      </c>
      <c r="H493" s="354">
        <f t="shared" si="229"/>
        <v>1.9256570713391739</v>
      </c>
      <c r="I493" s="354">
        <f t="shared" si="229"/>
        <v>1.9378897480668495</v>
      </c>
      <c r="J493" s="354">
        <f t="shared" si="229"/>
        <v>1.9545113721569607</v>
      </c>
    </row>
    <row r="494" spans="1:10">
      <c r="A494" s="92" t="s">
        <v>944</v>
      </c>
      <c r="B494" s="124">
        <f t="shared" ref="B494:J494" si="230">BP376</f>
        <v>1.2858129873392743E-2</v>
      </c>
      <c r="C494" s="124">
        <f t="shared" si="230"/>
        <v>2.3044348271208603E-2</v>
      </c>
      <c r="D494" s="124">
        <f t="shared" si="230"/>
        <v>4.1959240629463324E-4</v>
      </c>
      <c r="E494" s="124">
        <f t="shared" si="230"/>
        <v>1.2961391559220159E-2</v>
      </c>
      <c r="F494" s="124">
        <f t="shared" si="230"/>
        <v>2.629355950715051E-2</v>
      </c>
      <c r="G494" s="124">
        <f t="shared" si="230"/>
        <v>-4.4560972239394259E-2</v>
      </c>
      <c r="H494" s="124">
        <f t="shared" si="230"/>
        <v>-4.8797956332061188E-2</v>
      </c>
      <c r="I494" s="124">
        <f t="shared" si="230"/>
        <v>-6.2601820109053574E-2</v>
      </c>
      <c r="J494" s="124">
        <f t="shared" si="230"/>
        <v>-7.2635155422810072E-2</v>
      </c>
    </row>
    <row r="496" spans="1:10">
      <c r="A496" s="303" t="s">
        <v>946</v>
      </c>
    </row>
    <row r="497" spans="1:10">
      <c r="A497" s="92" t="s">
        <v>72</v>
      </c>
    </row>
    <row r="498" spans="1:10">
      <c r="A498" s="175" t="s">
        <v>947</v>
      </c>
      <c r="B498" s="336" t="str">
        <f>B484</f>
        <v>Q1 14</v>
      </c>
      <c r="C498" s="336" t="str">
        <f t="shared" ref="C498:I498" si="231">C484</f>
        <v>Q2 14</v>
      </c>
      <c r="D498" s="336" t="str">
        <f t="shared" si="231"/>
        <v>Q3 14</v>
      </c>
      <c r="E498" s="336" t="str">
        <f t="shared" si="231"/>
        <v>Q4 14</v>
      </c>
      <c r="F498" s="336" t="str">
        <f t="shared" si="231"/>
        <v>Q1 15</v>
      </c>
      <c r="G498" s="336" t="str">
        <f t="shared" si="231"/>
        <v>Q2 15</v>
      </c>
      <c r="H498" s="336" t="str">
        <f t="shared" si="231"/>
        <v>Q3 15</v>
      </c>
      <c r="I498" s="336" t="str">
        <f t="shared" si="231"/>
        <v>Q4 15</v>
      </c>
      <c r="J498" s="336" t="str">
        <f>J484</f>
        <v>Q1 16</v>
      </c>
    </row>
    <row r="499" spans="1:10">
      <c r="A499" s="359" t="s">
        <v>948</v>
      </c>
      <c r="B499" s="124">
        <f t="shared" ref="B499:J499" si="232">BP266</f>
        <v>5.1507462121353154E-2</v>
      </c>
      <c r="C499" s="124">
        <f t="shared" si="232"/>
        <v>3.9325280787786188E-2</v>
      </c>
      <c r="D499" s="124">
        <f t="shared" si="232"/>
        <v>4.1289884142799105E-2</v>
      </c>
      <c r="E499" s="124">
        <f t="shared" si="232"/>
        <v>4.208215528930781E-2</v>
      </c>
      <c r="F499" s="124">
        <f t="shared" si="232"/>
        <v>4.7470688285272011E-2</v>
      </c>
      <c r="G499" s="124">
        <f t="shared" si="232"/>
        <v>7.0403764705882388E-2</v>
      </c>
      <c r="H499" s="124">
        <f t="shared" si="232"/>
        <v>7.0519349845201473E-2</v>
      </c>
      <c r="I499" s="124">
        <f t="shared" si="232"/>
        <v>8.4967667404812541E-2</v>
      </c>
      <c r="J499" s="124">
        <f t="shared" si="232"/>
        <v>7.5978511128165671E-2</v>
      </c>
    </row>
    <row r="500" spans="1:10">
      <c r="A500" s="359" t="s">
        <v>949</v>
      </c>
      <c r="B500" s="124">
        <v>1.004497714096142E-2</v>
      </c>
      <c r="C500" s="124">
        <v>-1.687609735676654E-2</v>
      </c>
      <c r="D500" s="124">
        <v>-3.0839294624161906E-2</v>
      </c>
      <c r="E500" s="124">
        <v>-3.6732797821194874E-2</v>
      </c>
      <c r="F500" s="124">
        <v>2.6609885146470447E-2</v>
      </c>
      <c r="G500" s="124">
        <v>5.5133405701879745E-2</v>
      </c>
      <c r="H500" s="124">
        <v>7.0741272118603593E-2</v>
      </c>
      <c r="I500" s="124">
        <v>5.5629927115870892E-2</v>
      </c>
      <c r="J500" s="124">
        <v>4.1054907481898661E-2</v>
      </c>
    </row>
    <row r="501" spans="1:10" hidden="1" outlineLevel="1">
      <c r="A501" s="361" t="s">
        <v>950</v>
      </c>
      <c r="B501" s="362"/>
      <c r="C501" s="362"/>
      <c r="D501" s="362"/>
      <c r="E501" s="362"/>
      <c r="F501" s="362">
        <v>0.1321106650102144</v>
      </c>
      <c r="G501" s="362">
        <v>0.18486584683276597</v>
      </c>
      <c r="H501" s="362">
        <v>0.16222700815909685</v>
      </c>
    </row>
    <row r="502" spans="1:10" hidden="1" outlineLevel="1">
      <c r="A502" s="361" t="s">
        <v>951</v>
      </c>
      <c r="B502" s="362"/>
      <c r="C502" s="362"/>
      <c r="D502" s="362"/>
      <c r="E502" s="362"/>
      <c r="F502" s="362">
        <v>-0.14248889206722848</v>
      </c>
      <c r="G502" s="362">
        <v>-0.16164619215751608</v>
      </c>
      <c r="H502" s="362">
        <v>-8.7839672526193624E-2</v>
      </c>
    </row>
    <row r="503" spans="1:10" hidden="1" outlineLevel="1">
      <c r="A503" s="359"/>
      <c r="B503" s="124"/>
      <c r="C503" s="124"/>
      <c r="D503" s="124"/>
      <c r="E503" s="124"/>
      <c r="F503" s="124"/>
      <c r="G503" s="124"/>
      <c r="H503" s="124"/>
    </row>
    <row r="504" spans="1:10" collapsed="1">
      <c r="A504" s="363" t="s">
        <v>952</v>
      </c>
      <c r="B504" s="360">
        <v>0.13305728351715462</v>
      </c>
      <c r="C504" s="360">
        <v>7.9435080702756844E-2</v>
      </c>
      <c r="D504" s="360">
        <v>7.6153859416216996E-2</v>
      </c>
      <c r="E504" s="360">
        <v>0.17396574979938184</v>
      </c>
      <c r="F504" s="360">
        <v>0.17706596608228509</v>
      </c>
      <c r="G504" s="360">
        <v>0.10916849992556688</v>
      </c>
      <c r="H504" s="360">
        <v>9.0086193085328059E-2</v>
      </c>
      <c r="I504" s="360">
        <v>-3.1996276796886214E-4</v>
      </c>
      <c r="J504" s="360">
        <v>3.9726194841706475E-2</v>
      </c>
    </row>
    <row r="505" spans="1:10">
      <c r="A505" s="359" t="s">
        <v>830</v>
      </c>
      <c r="B505" s="124">
        <v>4.4983245275324046E-2</v>
      </c>
      <c r="C505" s="124">
        <v>2.005941027904723E-2</v>
      </c>
      <c r="D505" s="124">
        <v>1.350500461285109E-2</v>
      </c>
      <c r="E505" s="124">
        <v>2.5762540245744647E-2</v>
      </c>
      <c r="F505" s="124">
        <v>4.7612130916975026E-2</v>
      </c>
      <c r="G505" s="124">
        <v>7.0003924298418063E-2</v>
      </c>
      <c r="H505" s="124">
        <v>7.3820456439059212E-2</v>
      </c>
      <c r="I505" s="124">
        <v>5.53720063112213E-2</v>
      </c>
      <c r="J505" s="124">
        <v>5.3633627540495832E-2</v>
      </c>
    </row>
    <row r="506" spans="1:10">
      <c r="A506" s="359"/>
      <c r="B506" s="124"/>
      <c r="C506" s="124"/>
      <c r="D506" s="124"/>
      <c r="E506" s="124"/>
      <c r="F506" s="124"/>
      <c r="G506" s="124"/>
      <c r="H506" s="313"/>
      <c r="I506" s="313"/>
    </row>
    <row r="507" spans="1:10">
      <c r="A507" s="359" t="s">
        <v>953</v>
      </c>
      <c r="B507" s="124">
        <v>-3.5965060855542144E-2</v>
      </c>
      <c r="C507" s="124">
        <v>-4.6184281272447086E-2</v>
      </c>
      <c r="D507" s="124">
        <v>-5.8250584526258947E-2</v>
      </c>
      <c r="E507" s="124">
        <v>-7.2732797821194878E-2</v>
      </c>
      <c r="F507" s="124">
        <v>-4.0379912130793782E-2</v>
      </c>
      <c r="G507" s="124">
        <v>-1.3535733549418005E-2</v>
      </c>
      <c r="H507" s="124">
        <v>-3.0000000000000001E-3</v>
      </c>
    </row>
    <row r="508" spans="1:10">
      <c r="A508" s="359"/>
      <c r="B508" s="124"/>
      <c r="C508" s="124"/>
      <c r="D508" s="124"/>
      <c r="E508" s="124"/>
      <c r="F508" s="124"/>
      <c r="G508" s="124"/>
    </row>
    <row r="509" spans="1:10">
      <c r="A509" s="359" t="s">
        <v>954</v>
      </c>
      <c r="B509" s="124">
        <f t="shared" ref="B509:H509" si="233">B500-B507</f>
        <v>4.6010037996503564E-2</v>
      </c>
      <c r="C509" s="124">
        <f t="shared" si="233"/>
        <v>2.9308183915680547E-2</v>
      </c>
      <c r="D509" s="124">
        <f t="shared" si="233"/>
        <v>2.7411289902097041E-2</v>
      </c>
      <c r="E509" s="124">
        <f t="shared" si="233"/>
        <v>3.6000000000000004E-2</v>
      </c>
      <c r="F509" s="124">
        <f t="shared" si="233"/>
        <v>6.6989797277264229E-2</v>
      </c>
      <c r="G509" s="124">
        <f t="shared" si="233"/>
        <v>6.8669139251297751E-2</v>
      </c>
      <c r="H509" s="124">
        <f t="shared" si="233"/>
        <v>7.3741272118603596E-2</v>
      </c>
    </row>
    <row r="510" spans="1:10">
      <c r="A510" s="359" t="s">
        <v>955</v>
      </c>
      <c r="B510" s="124">
        <f t="shared" ref="B510:H510" si="234">B499-B507</f>
        <v>8.7472522976895298E-2</v>
      </c>
      <c r="C510" s="124">
        <f t="shared" si="234"/>
        <v>8.5509562060233274E-2</v>
      </c>
      <c r="D510" s="124">
        <f t="shared" si="234"/>
        <v>9.9540468669058052E-2</v>
      </c>
      <c r="E510" s="124">
        <f t="shared" si="234"/>
        <v>0.11481495311050269</v>
      </c>
      <c r="F510" s="124">
        <f t="shared" si="234"/>
        <v>8.7850600416065794E-2</v>
      </c>
      <c r="G510" s="124">
        <f t="shared" si="234"/>
        <v>8.3939498255300393E-2</v>
      </c>
      <c r="H510" s="124">
        <f t="shared" si="234"/>
        <v>7.3519349845201476E-2</v>
      </c>
    </row>
    <row r="511" spans="1:10">
      <c r="A511" s="359"/>
      <c r="B511" s="124"/>
      <c r="C511" s="124"/>
      <c r="D511" s="124"/>
      <c r="E511" s="124"/>
      <c r="F511" s="124"/>
      <c r="G511" s="124"/>
    </row>
    <row r="512" spans="1:10">
      <c r="A512" s="92" t="s">
        <v>18</v>
      </c>
    </row>
    <row r="513" spans="1:10">
      <c r="A513" s="92" t="str">
        <f>A518</f>
        <v xml:space="preserve"> - VTR</v>
      </c>
      <c r="B513" s="124">
        <f t="shared" ref="B513:H513" si="235">F273</f>
        <v>0.36737843787135016</v>
      </c>
      <c r="C513" s="124">
        <f t="shared" si="235"/>
        <v>0.37254901960784315</v>
      </c>
      <c r="D513" s="124">
        <f t="shared" si="235"/>
        <v>0.38777089783281737</v>
      </c>
      <c r="E513" s="124">
        <f t="shared" si="235"/>
        <v>0.42344124746217982</v>
      </c>
      <c r="F513" s="124">
        <f t="shared" si="235"/>
        <v>0.36377590176515728</v>
      </c>
      <c r="G513" s="124">
        <f t="shared" si="235"/>
        <v>0.39673913043478254</v>
      </c>
      <c r="H513" s="124">
        <f t="shared" si="235"/>
        <v>0.40381791483113066</v>
      </c>
    </row>
    <row r="514" spans="1:10">
      <c r="A514" s="92" t="str">
        <f>A519</f>
        <v xml:space="preserve"> - TEF (fixed and mobile)</v>
      </c>
      <c r="B514" s="124">
        <v>0.318</v>
      </c>
      <c r="C514" s="124">
        <v>0.33500000000000002</v>
      </c>
      <c r="D514" s="124">
        <v>0.35399999999999998</v>
      </c>
      <c r="E514" s="124">
        <v>0.34899999999999998</v>
      </c>
      <c r="F514" s="124">
        <v>0.311</v>
      </c>
      <c r="G514" s="124">
        <v>0.34399999999999997</v>
      </c>
      <c r="H514" s="124">
        <v>0.35399999999999998</v>
      </c>
    </row>
    <row r="515" spans="1:10">
      <c r="A515" s="92" t="str">
        <f>A520</f>
        <v xml:space="preserve"> - Claro (fixed and mobile)</v>
      </c>
      <c r="B515" s="124">
        <v>6.1223817859553428E-2</v>
      </c>
      <c r="C515" s="124">
        <v>7.7349947230449731E-2</v>
      </c>
      <c r="D515" s="124">
        <v>7.9280591058620509E-2</v>
      </c>
      <c r="E515" s="124">
        <v>4.8647169947662355E-2</v>
      </c>
      <c r="F515" s="124">
        <v>6.1396832913347653E-2</v>
      </c>
      <c r="G515" s="124">
        <v>5.2939743928536266E-2</v>
      </c>
      <c r="H515" s="124">
        <v>6.0373879144402329E-2</v>
      </c>
    </row>
    <row r="516" spans="1:10">
      <c r="B516" s="124"/>
      <c r="C516" s="124"/>
      <c r="D516" s="124"/>
      <c r="E516" s="124"/>
      <c r="F516" s="124"/>
      <c r="G516" s="124"/>
      <c r="J516" s="92" t="s">
        <v>72</v>
      </c>
    </row>
    <row r="517" spans="1:10">
      <c r="A517" s="92" t="s">
        <v>956</v>
      </c>
    </row>
    <row r="518" spans="1:10">
      <c r="A518" s="359" t="s">
        <v>948</v>
      </c>
      <c r="B518" s="124">
        <f t="shared" ref="B518:H518" si="236">BP272</f>
        <v>0.13399503722084383</v>
      </c>
      <c r="C518" s="124">
        <f t="shared" si="236"/>
        <v>0.12826603325415675</v>
      </c>
      <c r="D518" s="124">
        <f t="shared" si="236"/>
        <v>0.17056074766355156</v>
      </c>
      <c r="E518" s="124">
        <f t="shared" si="236"/>
        <v>0.10746859290777078</v>
      </c>
      <c r="F518" s="124">
        <f t="shared" si="236"/>
        <v>3.7199124726476906E-2</v>
      </c>
      <c r="G518" s="124">
        <f t="shared" si="236"/>
        <v>0.13990652631578948</v>
      </c>
      <c r="H518" s="124">
        <f t="shared" si="236"/>
        <v>0.11482035928143697</v>
      </c>
    </row>
    <row r="519" spans="1:10">
      <c r="A519" s="359" t="s">
        <v>957</v>
      </c>
      <c r="B519" s="124">
        <v>-2.8915595120755366E-3</v>
      </c>
      <c r="C519" s="124">
        <v>3.1673231168825033E-2</v>
      </c>
      <c r="D519" s="124">
        <v>-2.8835687126404608E-2</v>
      </c>
      <c r="E519" s="124">
        <v>-1.5202767601803946E-2</v>
      </c>
      <c r="F519" s="124">
        <v>-1.8597725184551495E-2</v>
      </c>
      <c r="G519" s="124">
        <v>7.3293653861018715E-2</v>
      </c>
      <c r="H519" s="124">
        <v>2.7E-2</v>
      </c>
    </row>
    <row r="520" spans="1:10">
      <c r="A520" s="359" t="s">
        <v>958</v>
      </c>
      <c r="B520" s="313">
        <v>0.64727594861951876</v>
      </c>
      <c r="C520" s="313">
        <v>0.56960276338514682</v>
      </c>
      <c r="D520" s="313">
        <v>0.3594414647678934</v>
      </c>
      <c r="E520" s="313">
        <v>2.4574468085106385</v>
      </c>
      <c r="F520" s="313">
        <v>-2.3841534462669123E-2</v>
      </c>
      <c r="G520" s="313">
        <v>-0.25051349765258213</v>
      </c>
      <c r="H520" s="313">
        <v>-0.24</v>
      </c>
    </row>
    <row r="522" spans="1:10">
      <c r="A522" s="303" t="s">
        <v>946</v>
      </c>
    </row>
    <row r="524" spans="1:10">
      <c r="A524" s="175" t="s">
        <v>325</v>
      </c>
      <c r="B524" s="336" t="str">
        <f>K165</f>
        <v>Q2 15</v>
      </c>
      <c r="C524" s="336" t="str">
        <f>L165</f>
        <v>Q3 15</v>
      </c>
    </row>
    <row r="525" spans="1:10">
      <c r="A525" s="92" t="str">
        <f>A204</f>
        <v>Gross debt</v>
      </c>
      <c r="B525" s="364">
        <f t="shared" ref="B525:C528" si="237">K204</f>
        <v>2333.5</v>
      </c>
      <c r="C525" s="364">
        <f t="shared" si="237"/>
        <v>2333.6999999999998</v>
      </c>
    </row>
    <row r="526" spans="1:10">
      <c r="A526" s="92" t="str">
        <f>A205</f>
        <v>Cash</v>
      </c>
      <c r="B526" s="364">
        <f t="shared" si="237"/>
        <v>232.9</v>
      </c>
      <c r="C526" s="364">
        <f t="shared" si="237"/>
        <v>238.6</v>
      </c>
    </row>
    <row r="527" spans="1:10">
      <c r="A527" s="175" t="str">
        <f>A206</f>
        <v>Derivative contracts</v>
      </c>
      <c r="B527" s="365">
        <f t="shared" si="237"/>
        <v>210</v>
      </c>
      <c r="C527" s="365">
        <f t="shared" si="237"/>
        <v>93.4</v>
      </c>
    </row>
    <row r="528" spans="1:10">
      <c r="A528" s="92" t="str">
        <f>A207</f>
        <v>Implied net debt</v>
      </c>
      <c r="B528" s="364">
        <f t="shared" si="237"/>
        <v>1890.6</v>
      </c>
      <c r="C528" s="364">
        <f t="shared" si="237"/>
        <v>2001.6999999999998</v>
      </c>
    </row>
    <row r="529" spans="1:9">
      <c r="B529" s="364"/>
      <c r="C529" s="364"/>
    </row>
    <row r="530" spans="1:9">
      <c r="A530" s="92" t="str">
        <f>A209</f>
        <v xml:space="preserve">Liberty annualised Q EBITDA </v>
      </c>
      <c r="B530" s="364">
        <f>K209</f>
        <v>533.59999999999991</v>
      </c>
      <c r="C530" s="364">
        <f>L209</f>
        <v>511.20000000000005</v>
      </c>
    </row>
    <row r="531" spans="1:9">
      <c r="A531" s="92" t="str">
        <f>A210</f>
        <v>Net debt to EBITDA</v>
      </c>
      <c r="B531" s="366">
        <f>K210</f>
        <v>3.5431034482758625</v>
      </c>
      <c r="C531" s="366">
        <f>L210</f>
        <v>3.9156885758998428</v>
      </c>
    </row>
    <row r="532" spans="1:9">
      <c r="B532" s="345"/>
      <c r="C532" s="345"/>
    </row>
    <row r="533" spans="1:9">
      <c r="A533" s="303" t="s">
        <v>1421</v>
      </c>
      <c r="B533" s="345"/>
      <c r="C533" s="345"/>
    </row>
    <row r="534" spans="1:9">
      <c r="B534" s="345"/>
      <c r="C534" s="345"/>
    </row>
    <row r="535" spans="1:9">
      <c r="B535" s="356" t="s">
        <v>1422</v>
      </c>
      <c r="C535" s="356" t="s">
        <v>1422</v>
      </c>
      <c r="E535" s="356" t="s">
        <v>1423</v>
      </c>
      <c r="F535" s="356" t="s">
        <v>1423</v>
      </c>
      <c r="H535" s="356" t="s">
        <v>1424</v>
      </c>
      <c r="I535" s="356" t="s">
        <v>1424</v>
      </c>
    </row>
    <row r="536" spans="1:9">
      <c r="A536" s="175" t="s">
        <v>15</v>
      </c>
      <c r="B536" s="355">
        <v>2015</v>
      </c>
      <c r="C536" s="355">
        <f>B536+1</f>
        <v>2016</v>
      </c>
      <c r="D536" s="175"/>
      <c r="E536" s="355">
        <v>2015</v>
      </c>
      <c r="F536" s="355">
        <f>E536+1</f>
        <v>2016</v>
      </c>
      <c r="G536" s="175"/>
      <c r="H536" s="355">
        <f>E536</f>
        <v>2015</v>
      </c>
      <c r="I536" s="355">
        <f>F536</f>
        <v>2016</v>
      </c>
    </row>
    <row r="537" spans="1:9">
      <c r="A537" s="92" t="s">
        <v>468</v>
      </c>
      <c r="B537" s="364">
        <f>VTR!P58</f>
        <v>833.33333333333326</v>
      </c>
      <c r="C537" s="364">
        <f>VTR!Q58</f>
        <v>858.60901199331556</v>
      </c>
      <c r="E537" s="364">
        <v>823.98096172797693</v>
      </c>
      <c r="F537" s="364">
        <v>827.20796172980931</v>
      </c>
      <c r="H537" s="124">
        <f t="shared" ref="H537:I539" si="238">B537/E537-1</f>
        <v>1.1350227784078237E-2</v>
      </c>
      <c r="I537" s="124">
        <f t="shared" si="238"/>
        <v>3.7960285340873812E-2</v>
      </c>
    </row>
    <row r="538" spans="1:9">
      <c r="A538" s="175" t="s">
        <v>469</v>
      </c>
      <c r="B538" s="365">
        <f>PR!P109</f>
        <v>379.2</v>
      </c>
      <c r="C538" s="365">
        <f>PR!Q109</f>
        <v>420.8</v>
      </c>
      <c r="E538" s="365">
        <v>380</v>
      </c>
      <c r="F538" s="365">
        <v>402.76743796038431</v>
      </c>
      <c r="H538" s="360">
        <f t="shared" si="238"/>
        <v>-2.1052631578947212E-3</v>
      </c>
      <c r="I538" s="360">
        <f t="shared" si="238"/>
        <v>4.4771648202080794E-2</v>
      </c>
    </row>
    <row r="539" spans="1:9">
      <c r="A539" s="92" t="s">
        <v>90</v>
      </c>
      <c r="B539" s="364">
        <f>B537+B538</f>
        <v>1212.5333333333333</v>
      </c>
      <c r="C539" s="364">
        <f>C537+C538</f>
        <v>1279.4090119933155</v>
      </c>
      <c r="E539" s="364">
        <v>1203.980961727977</v>
      </c>
      <c r="F539" s="364">
        <v>1229.9753996901936</v>
      </c>
      <c r="H539" s="124">
        <f t="shared" si="238"/>
        <v>7.1034109983614258E-3</v>
      </c>
      <c r="I539" s="124">
        <f t="shared" si="238"/>
        <v>4.019073252649874E-2</v>
      </c>
    </row>
    <row r="540" spans="1:9">
      <c r="B540" s="364"/>
      <c r="C540" s="364"/>
      <c r="E540" s="364"/>
      <c r="F540" s="364"/>
    </row>
    <row r="541" spans="1:9">
      <c r="A541" s="92" t="s">
        <v>8</v>
      </c>
      <c r="B541" s="364"/>
      <c r="C541" s="364"/>
      <c r="E541" s="364"/>
      <c r="F541" s="364"/>
    </row>
    <row r="542" spans="1:9">
      <c r="A542" s="92" t="s">
        <v>468</v>
      </c>
      <c r="B542" s="364">
        <f>VTR!P119/Forex!K38*1000</f>
        <v>326.17960426179599</v>
      </c>
      <c r="C542" s="364">
        <f>VTR!Q119/Forex!L38*1000</f>
        <v>338.80007689918813</v>
      </c>
      <c r="E542" s="364">
        <v>325.36364025151698</v>
      </c>
      <c r="F542" s="364">
        <v>329.24959814729311</v>
      </c>
      <c r="H542" s="124">
        <f t="shared" ref="H542:I544" si="239">B542/E542-1</f>
        <v>2.5078524743828989E-3</v>
      </c>
      <c r="I542" s="124">
        <f t="shared" si="239"/>
        <v>2.9006804581193535E-2</v>
      </c>
    </row>
    <row r="543" spans="1:9">
      <c r="A543" s="175" t="s">
        <v>469</v>
      </c>
      <c r="B543" s="365">
        <f>PR!P115</f>
        <v>166</v>
      </c>
      <c r="C543" s="365">
        <f>PR!Q115</f>
        <v>198.8</v>
      </c>
      <c r="E543" s="365">
        <v>161.5</v>
      </c>
      <c r="F543" s="365">
        <v>173.18999832296527</v>
      </c>
      <c r="H543" s="360">
        <f t="shared" si="239"/>
        <v>2.7863777089783381E-2</v>
      </c>
      <c r="I543" s="360">
        <f t="shared" si="239"/>
        <v>0.147872290115028</v>
      </c>
    </row>
    <row r="544" spans="1:9">
      <c r="A544" s="92" t="s">
        <v>90</v>
      </c>
      <c r="B544" s="364">
        <f>B542+B543</f>
        <v>492.17960426179599</v>
      </c>
      <c r="C544" s="364">
        <f>C542+C543</f>
        <v>537.60007689918814</v>
      </c>
      <c r="E544" s="364">
        <f>E542+E543</f>
        <v>486.86364025151698</v>
      </c>
      <c r="F544" s="364">
        <f>F542+F543</f>
        <v>502.43959647025838</v>
      </c>
      <c r="H544" s="124">
        <f t="shared" si="239"/>
        <v>1.0918794444236379E-2</v>
      </c>
      <c r="I544" s="124">
        <f t="shared" si="239"/>
        <v>6.9979517291111959E-2</v>
      </c>
    </row>
    <row r="545" spans="1:9">
      <c r="B545" s="345"/>
      <c r="C545" s="345"/>
      <c r="E545" s="345"/>
      <c r="F545" s="345"/>
    </row>
    <row r="546" spans="1:9">
      <c r="A546" s="92" t="s">
        <v>27</v>
      </c>
      <c r="B546" s="345">
        <f>AnastasiaLiLAC!T25</f>
        <v>267.35205479452048</v>
      </c>
      <c r="C546" s="345">
        <f>AnastasiaLiLAC!U25</f>
        <v>251.39444551248874</v>
      </c>
      <c r="E546" s="345">
        <v>255.06725752320139</v>
      </c>
      <c r="F546" s="345">
        <v>274.19697808069697</v>
      </c>
      <c r="H546" s="124">
        <f>B546/E546-1</f>
        <v>4.8162972349368172E-2</v>
      </c>
      <c r="I546" s="124">
        <f>C546/F546-1</f>
        <v>-8.3161137397719131E-2</v>
      </c>
    </row>
    <row r="547" spans="1:9">
      <c r="B547" s="345"/>
      <c r="C547" s="345"/>
    </row>
    <row r="548" spans="1:9">
      <c r="A548" s="303" t="s">
        <v>1425</v>
      </c>
      <c r="B548" s="345"/>
      <c r="C548" s="345"/>
    </row>
    <row r="549" spans="1:9">
      <c r="A549" s="345"/>
      <c r="B549" s="345"/>
      <c r="C549" s="345"/>
    </row>
    <row r="550" spans="1:9">
      <c r="A550" s="355"/>
      <c r="B550" s="355">
        <v>2015</v>
      </c>
      <c r="C550" s="355">
        <f>B550+1</f>
        <v>2016</v>
      </c>
      <c r="D550" s="355">
        <f>C550+1</f>
        <v>2017</v>
      </c>
      <c r="E550" s="355">
        <f>D550+1</f>
        <v>2018</v>
      </c>
      <c r="F550" s="355">
        <f>E550+1</f>
        <v>2019</v>
      </c>
      <c r="G550" s="355">
        <f>F550+1</f>
        <v>2020</v>
      </c>
      <c r="H550" s="175" t="s">
        <v>1426</v>
      </c>
    </row>
    <row r="551" spans="1:9">
      <c r="A551" s="345" t="s">
        <v>15</v>
      </c>
      <c r="B551" s="364">
        <f>AnastasiaLiLAC!T20</f>
        <v>1212.5333333333333</v>
      </c>
      <c r="C551" s="364">
        <f>AnastasiaLiLAC!U20</f>
        <v>1279.4090119933155</v>
      </c>
      <c r="D551" s="364">
        <f>AnastasiaLiLAC!V20</f>
        <v>1272.9112207151666</v>
      </c>
      <c r="E551" s="364">
        <f>AnastasiaLiLAC!W20</f>
        <v>1335.7165766952999</v>
      </c>
      <c r="F551" s="364">
        <f ca="1">AnastasiaLiLAC!X20</f>
        <v>1359.4065288314603</v>
      </c>
      <c r="G551" s="364">
        <f ca="1">AnastasiaLiLAC!Y20</f>
        <v>1296.7399477283195</v>
      </c>
      <c r="H551" s="124">
        <f ca="1">(G551/C551)^(1/4)-1</f>
        <v>3.3694439552001132E-3</v>
      </c>
    </row>
    <row r="552" spans="1:9">
      <c r="A552" s="345" t="s">
        <v>78</v>
      </c>
      <c r="B552" s="124">
        <f>AnastasiaLiLAC!T20/AnastasiaLiLAC!S20-1</f>
        <v>7.2126616680621147E-3</v>
      </c>
      <c r="C552" s="124">
        <f>AnastasiaLiLAC!U20/AnastasiaLiLAC!T20-1</f>
        <v>5.5153682642386848E-2</v>
      </c>
      <c r="D552" s="124">
        <f>AnastasiaLiLAC!V20/AnastasiaLiLAC!U20-1</f>
        <v>-5.0787443399553656E-3</v>
      </c>
      <c r="E552" s="124">
        <f>AnastasiaLiLAC!W20/AnastasiaLiLAC!V20-1</f>
        <v>4.933993428453487E-2</v>
      </c>
      <c r="F552" s="124">
        <f ca="1">AnastasiaLiLAC!X20/AnastasiaLiLAC!W20-1</f>
        <v>1.7735762623214413E-2</v>
      </c>
      <c r="G552" s="124">
        <f ca="1">AnastasiaLiLAC!Y20/AnastasiaLiLAC!X20-1</f>
        <v>-4.6098484724071964E-2</v>
      </c>
      <c r="H552" s="124"/>
    </row>
    <row r="553" spans="1:9">
      <c r="A553" s="345"/>
      <c r="B553" s="345"/>
      <c r="C553" s="345"/>
    </row>
    <row r="554" spans="1:9">
      <c r="A554" s="345" t="s">
        <v>8</v>
      </c>
      <c r="B554" s="364">
        <f>AnastasiaLiLAC!T21</f>
        <v>492.17960426179599</v>
      </c>
      <c r="C554" s="364">
        <f>AnastasiaLiLAC!U21</f>
        <v>537.60007689918814</v>
      </c>
      <c r="D554" s="364">
        <f>AnastasiaLiLAC!V21</f>
        <v>515.55240443896423</v>
      </c>
      <c r="E554" s="364">
        <f>AnastasiaLiLAC!W21</f>
        <v>540.22816630963553</v>
      </c>
      <c r="F554" s="364">
        <f ca="1">AnastasiaLiLAC!X21</f>
        <v>566.17238427977122</v>
      </c>
      <c r="G554" s="364">
        <f ca="1">AnastasiaLiLAC!Y21</f>
        <v>542.78369508242281</v>
      </c>
      <c r="H554" s="519">
        <f ca="1">(G554/C554)^(1/4)-1</f>
        <v>2.4018690576499413E-3</v>
      </c>
    </row>
    <row r="555" spans="1:9">
      <c r="A555" s="345" t="s">
        <v>251</v>
      </c>
      <c r="B555" s="124">
        <f t="shared" ref="B555:G555" si="240">B554/B551</f>
        <v>0.40591016406020125</v>
      </c>
      <c r="C555" s="124">
        <f t="shared" si="240"/>
        <v>0.42019406762002465</v>
      </c>
      <c r="D555" s="124">
        <f t="shared" si="240"/>
        <v>0.4050183516720896</v>
      </c>
      <c r="E555" s="124">
        <f t="shared" si="240"/>
        <v>0.40444820086474897</v>
      </c>
      <c r="F555" s="124">
        <f t="shared" ca="1" si="240"/>
        <v>0.41648496772076743</v>
      </c>
      <c r="G555" s="124">
        <f t="shared" ca="1" si="240"/>
        <v>0.4185755949242505</v>
      </c>
    </row>
    <row r="556" spans="1:9">
      <c r="A556" s="345"/>
      <c r="B556" s="124"/>
      <c r="C556" s="124"/>
      <c r="D556" s="124"/>
      <c r="E556" s="124"/>
      <c r="F556" s="124"/>
      <c r="G556" s="124"/>
    </row>
    <row r="557" spans="1:9">
      <c r="A557" s="345" t="s">
        <v>19</v>
      </c>
      <c r="B557" s="364">
        <f>AnastasiaLiLAC!T24</f>
        <v>224.8275494672755</v>
      </c>
      <c r="C557" s="364">
        <f>AnastasiaLiLAC!U24</f>
        <v>286.20563138669939</v>
      </c>
      <c r="D557" s="364">
        <f>AnastasiaLiLAC!V24</f>
        <v>344.54623921085084</v>
      </c>
      <c r="E557" s="364">
        <f>AnastasiaLiLAC!W24</f>
        <v>368.14695681374383</v>
      </c>
      <c r="F557" s="364">
        <f ca="1">AnastasiaLiLAC!X24</f>
        <v>289.3751385858975</v>
      </c>
      <c r="G557" s="364">
        <f ca="1">AnastasiaLiLAC!Y24</f>
        <v>255.37372365336742</v>
      </c>
      <c r="H557" s="124">
        <f ca="1">(G557/C557)^(1/4)-1</f>
        <v>-2.8093450889848826E-2</v>
      </c>
    </row>
    <row r="558" spans="1:9">
      <c r="A558" s="345" t="s">
        <v>91</v>
      </c>
      <c r="B558" s="124">
        <f t="shared" ref="B558:G558" si="241">B557/B551</f>
        <v>0.18541968561739239</v>
      </c>
      <c r="C558" s="124">
        <f t="shared" si="241"/>
        <v>0.22370143457156977</v>
      </c>
      <c r="D558" s="124">
        <f t="shared" si="241"/>
        <v>0.27067578131432651</v>
      </c>
      <c r="E558" s="124">
        <f t="shared" si="241"/>
        <v>0.27561756980255292</v>
      </c>
      <c r="F558" s="124">
        <f t="shared" ca="1" si="241"/>
        <v>0.21286872796958176</v>
      </c>
      <c r="G558" s="124">
        <f t="shared" ca="1" si="241"/>
        <v>0.19693518665846707</v>
      </c>
    </row>
    <row r="559" spans="1:9">
      <c r="B559" s="345"/>
      <c r="C559" s="345"/>
    </row>
    <row r="560" spans="1:9" ht="15.75" customHeight="1">
      <c r="A560" s="303" t="s">
        <v>933</v>
      </c>
    </row>
    <row r="562" spans="1:6">
      <c r="A562" s="175" t="s">
        <v>959</v>
      </c>
      <c r="B562" s="175">
        <v>2015</v>
      </c>
      <c r="C562" s="175">
        <f>B562+1</f>
        <v>2016</v>
      </c>
    </row>
    <row r="563" spans="1:6">
      <c r="A563" s="92" t="s">
        <v>960</v>
      </c>
      <c r="B563" s="345">
        <v>635.48</v>
      </c>
      <c r="C563" s="345">
        <v>640</v>
      </c>
    </row>
    <row r="564" spans="1:6">
      <c r="B564" s="345"/>
      <c r="C564" s="345"/>
    </row>
    <row r="565" spans="1:6">
      <c r="A565" s="92" t="s">
        <v>482</v>
      </c>
      <c r="B565" s="345">
        <v>1201.8843895248958</v>
      </c>
      <c r="C565" s="345">
        <v>1298.4482806904382</v>
      </c>
    </row>
    <row r="566" spans="1:6">
      <c r="A566" s="359" t="s">
        <v>961</v>
      </c>
      <c r="B566" s="345">
        <v>852.52833363036348</v>
      </c>
      <c r="C566" s="345">
        <v>900.06470297451665</v>
      </c>
    </row>
    <row r="567" spans="1:6">
      <c r="A567" s="359" t="s">
        <v>962</v>
      </c>
      <c r="B567" s="345">
        <v>350</v>
      </c>
      <c r="C567" s="345">
        <v>399.06342768354881</v>
      </c>
    </row>
    <row r="568" spans="1:6">
      <c r="A568" s="359"/>
      <c r="B568" s="345"/>
      <c r="C568" s="345"/>
    </row>
    <row r="569" spans="1:6">
      <c r="A569" s="92" t="s">
        <v>653</v>
      </c>
      <c r="B569" s="345">
        <v>490.54657923868422</v>
      </c>
      <c r="C569" s="345">
        <v>536.28453439969076</v>
      </c>
    </row>
    <row r="570" spans="1:6">
      <c r="A570" s="359" t="s">
        <v>961</v>
      </c>
      <c r="B570" s="345">
        <f>VTR!P119/B563*1000</f>
        <v>337.225404418707</v>
      </c>
      <c r="C570" s="345">
        <f>VTR!Q119/C563*1000</f>
        <v>357.96875</v>
      </c>
    </row>
    <row r="571" spans="1:6">
      <c r="A571" s="359" t="s">
        <v>962</v>
      </c>
      <c r="B571" s="345">
        <f>PR!P115</f>
        <v>166</v>
      </c>
      <c r="C571" s="345">
        <f>PR!Q115</f>
        <v>198.8</v>
      </c>
    </row>
    <row r="573" spans="1:6">
      <c r="A573" s="175" t="s">
        <v>963</v>
      </c>
      <c r="B573" s="175">
        <f>B562</f>
        <v>2015</v>
      </c>
      <c r="C573" s="175">
        <f>C562</f>
        <v>2016</v>
      </c>
    </row>
    <row r="574" spans="1:6">
      <c r="A574" s="92" t="str">
        <f>A563</f>
        <v>CLP/$</v>
      </c>
      <c r="B574" s="345">
        <v>646</v>
      </c>
      <c r="C574" s="345">
        <v>680</v>
      </c>
      <c r="E574" s="345">
        <f>Forex!N49</f>
        <v>683</v>
      </c>
      <c r="F574" s="345">
        <f>Forex!O49</f>
        <v>680</v>
      </c>
    </row>
    <row r="575" spans="1:6">
      <c r="B575" s="345"/>
      <c r="C575" s="345"/>
      <c r="E575" s="345"/>
      <c r="F575" s="345"/>
    </row>
    <row r="576" spans="1:6">
      <c r="A576" s="92" t="str">
        <f>A565</f>
        <v>Revs</v>
      </c>
      <c r="B576" s="345">
        <f>B577+B578</f>
        <v>1217.6152253188643</v>
      </c>
      <c r="C576" s="345">
        <f>C577+C578</f>
        <v>1264.6106590386094</v>
      </c>
      <c r="E576" s="345">
        <f>LiLAC!S109</f>
        <v>1335.7165766952999</v>
      </c>
      <c r="F576" s="345">
        <f ca="1">LiLAC!T109</f>
        <v>1359.4065288314603</v>
      </c>
    </row>
    <row r="577" spans="1:6">
      <c r="A577" s="359" t="s">
        <v>961</v>
      </c>
      <c r="B577" s="345">
        <f>(1-B585)*B566</f>
        <v>838.41522531886437</v>
      </c>
      <c r="C577" s="345">
        <f>(1-C585)*C566</f>
        <v>843.8106590386094</v>
      </c>
      <c r="E577" s="345">
        <f>VTR!S58</f>
        <v>1011.1</v>
      </c>
      <c r="F577" s="345">
        <f ca="1">VTR!T58</f>
        <v>969.4297757023744</v>
      </c>
    </row>
    <row r="578" spans="1:6">
      <c r="A578" s="359" t="s">
        <v>962</v>
      </c>
      <c r="B578" s="345">
        <f>PR!P53</f>
        <v>379.2</v>
      </c>
      <c r="C578" s="345">
        <f>PR!Q53</f>
        <v>420.8</v>
      </c>
      <c r="E578" s="345">
        <f>PR!S53</f>
        <v>324.61657669529973</v>
      </c>
      <c r="F578" s="345">
        <f>PR!T53</f>
        <v>389.97675312908581</v>
      </c>
    </row>
    <row r="579" spans="1:6">
      <c r="A579" s="359"/>
      <c r="B579" s="345"/>
      <c r="C579" s="345"/>
      <c r="E579" s="345"/>
      <c r="F579" s="345"/>
    </row>
    <row r="580" spans="1:6">
      <c r="A580" s="92" t="str">
        <f>A569</f>
        <v>OCF</v>
      </c>
      <c r="B580" s="345">
        <f>B581+B582</f>
        <v>497.73374613003085</v>
      </c>
      <c r="C580" s="345">
        <f>C581+C582</f>
        <v>535.71176470588239</v>
      </c>
      <c r="E580" s="345">
        <f>LiLAC!S115</f>
        <v>540.22816630963553</v>
      </c>
      <c r="F580" s="345">
        <f ca="1">LiLAC!T115</f>
        <v>566.17238427977122</v>
      </c>
    </row>
    <row r="581" spans="1:6">
      <c r="A581" s="92" t="str">
        <f>A570</f>
        <v xml:space="preserve"> - of which Chile</v>
      </c>
      <c r="B581" s="345">
        <f>VTR!P119/B574*1000</f>
        <v>331.73374613003085</v>
      </c>
      <c r="C581" s="345">
        <f>VTR!Q119/C574*1000</f>
        <v>336.91176470588238</v>
      </c>
      <c r="E581" s="345"/>
      <c r="F581" s="345"/>
    </row>
    <row r="582" spans="1:6">
      <c r="A582" s="92" t="str">
        <f>A571</f>
        <v xml:space="preserve"> - of which PR</v>
      </c>
      <c r="B582" s="345">
        <f>PR!P115</f>
        <v>166</v>
      </c>
      <c r="C582" s="345">
        <f>PR!Q115</f>
        <v>198.8</v>
      </c>
      <c r="E582" s="345"/>
      <c r="F582" s="345"/>
    </row>
    <row r="584" spans="1:6">
      <c r="A584" s="175" t="s">
        <v>158</v>
      </c>
      <c r="B584" s="175">
        <f>B573</f>
        <v>2015</v>
      </c>
      <c r="C584" s="175">
        <f>C573</f>
        <v>2016</v>
      </c>
    </row>
    <row r="585" spans="1:6">
      <c r="A585" s="92" t="str">
        <f>A574</f>
        <v>CLP/$</v>
      </c>
      <c r="B585" s="124">
        <f>B574/B563-1</f>
        <v>1.6554415559891789E-2</v>
      </c>
      <c r="C585" s="124">
        <f>C574/C563-1</f>
        <v>6.25E-2</v>
      </c>
    </row>
    <row r="586" spans="1:6">
      <c r="B586" s="124"/>
      <c r="C586" s="124"/>
    </row>
    <row r="587" spans="1:6">
      <c r="A587" s="92" t="str">
        <f>A576</f>
        <v>Revs</v>
      </c>
      <c r="B587" s="124">
        <f t="shared" ref="B587:C589" si="242">B576/B565-1</f>
        <v>1.308847667136015E-2</v>
      </c>
      <c r="C587" s="124">
        <f t="shared" si="242"/>
        <v>-2.6060045790838871E-2</v>
      </c>
    </row>
    <row r="588" spans="1:6">
      <c r="A588" s="92" t="str">
        <f>A577</f>
        <v xml:space="preserve"> - of which Chile</v>
      </c>
      <c r="B588" s="124">
        <f t="shared" si="242"/>
        <v>-1.6554415559891789E-2</v>
      </c>
      <c r="C588" s="124">
        <f t="shared" si="242"/>
        <v>-6.25E-2</v>
      </c>
    </row>
    <row r="589" spans="1:6">
      <c r="A589" s="92" t="str">
        <f>A578</f>
        <v xml:space="preserve"> - of which PR</v>
      </c>
      <c r="B589" s="124">
        <f t="shared" si="242"/>
        <v>8.3428571428571408E-2</v>
      </c>
      <c r="C589" s="124">
        <f t="shared" si="242"/>
        <v>5.4468966105528427E-2</v>
      </c>
    </row>
    <row r="590" spans="1:6">
      <c r="B590" s="124"/>
      <c r="C590" s="124"/>
    </row>
    <row r="591" spans="1:6">
      <c r="A591" s="92" t="str">
        <f>A580</f>
        <v>OCF</v>
      </c>
      <c r="B591" s="124">
        <f t="shared" ref="B591:C593" si="243">B580/B569-1</f>
        <v>1.4651344429923219E-2</v>
      </c>
      <c r="C591" s="124">
        <f t="shared" si="243"/>
        <v>-1.0680332119767932E-3</v>
      </c>
    </row>
    <row r="592" spans="1:6">
      <c r="A592" s="92" t="str">
        <f>A581</f>
        <v xml:space="preserve"> - of which Chile</v>
      </c>
      <c r="B592" s="124">
        <f t="shared" si="243"/>
        <v>-1.6284829721362248E-2</v>
      </c>
      <c r="C592" s="124">
        <f t="shared" si="243"/>
        <v>-5.8823529411764608E-2</v>
      </c>
      <c r="D592" s="92" t="s">
        <v>72</v>
      </c>
    </row>
    <row r="593" spans="1:3">
      <c r="A593" s="92" t="str">
        <f>A582</f>
        <v xml:space="preserve"> - of which PR</v>
      </c>
      <c r="B593" s="124">
        <f t="shared" si="243"/>
        <v>0</v>
      </c>
      <c r="C593" s="124">
        <f t="shared" si="243"/>
        <v>0</v>
      </c>
    </row>
    <row r="595" spans="1:3">
      <c r="A595" s="92" t="s">
        <v>964</v>
      </c>
      <c r="C595" s="345">
        <f ca="1">E9</f>
        <v>4703.5654233363002</v>
      </c>
    </row>
    <row r="596" spans="1:3">
      <c r="A596" s="92" t="s">
        <v>965</v>
      </c>
      <c r="C596" s="345">
        <f ca="1">C595*(1+C591)</f>
        <v>4698.5418592494716</v>
      </c>
    </row>
    <row r="597" spans="1:3">
      <c r="C597" s="345"/>
    </row>
    <row r="598" spans="1:3">
      <c r="A598" s="92" t="s">
        <v>966</v>
      </c>
      <c r="C598" s="345">
        <f>F7</f>
        <v>1343.094944512947</v>
      </c>
    </row>
    <row r="599" spans="1:3">
      <c r="A599" s="92" t="s">
        <v>967</v>
      </c>
      <c r="C599" s="345">
        <f>(1-C585)*C598</f>
        <v>1259.1515104808877</v>
      </c>
    </row>
    <row r="600" spans="1:3">
      <c r="A600" s="92" t="s">
        <v>968</v>
      </c>
      <c r="C600" s="345">
        <f ca="1">F8</f>
        <v>1006.9591716723145</v>
      </c>
    </row>
    <row r="601" spans="1:3">
      <c r="C601" s="345"/>
    </row>
    <row r="602" spans="1:3">
      <c r="A602" s="92" t="s">
        <v>969</v>
      </c>
      <c r="C602" s="345">
        <f ca="1">C598+C600</f>
        <v>2350.0541161852616</v>
      </c>
    </row>
    <row r="603" spans="1:3">
      <c r="A603" s="92" t="s">
        <v>970</v>
      </c>
      <c r="C603" s="345">
        <f ca="1">C599+C600</f>
        <v>2266.1106821532021</v>
      </c>
    </row>
    <row r="605" spans="1:3">
      <c r="A605" s="92" t="s">
        <v>971</v>
      </c>
      <c r="C605" s="314">
        <f ca="1">B12+B15+B16+B17</f>
        <v>-203.93469072862169</v>
      </c>
    </row>
    <row r="606" spans="1:3">
      <c r="A606" s="92" t="s">
        <v>972</v>
      </c>
      <c r="C606" s="345">
        <f ca="1">C595-C602+C605</f>
        <v>2149.5766164224169</v>
      </c>
    </row>
    <row r="607" spans="1:3">
      <c r="A607" s="92" t="s">
        <v>973</v>
      </c>
      <c r="C607" s="345">
        <f ca="1">C596-C603+C605</f>
        <v>2228.4964863676478</v>
      </c>
    </row>
    <row r="608" spans="1:3">
      <c r="A608" s="92" t="s">
        <v>78</v>
      </c>
      <c r="C608" s="313">
        <f ca="1">C607/C606-1</f>
        <v>3.6714146098490108E-2</v>
      </c>
    </row>
    <row r="610" spans="1:3">
      <c r="A610" s="92" t="s">
        <v>974</v>
      </c>
      <c r="C610" s="236">
        <f ca="1">(1+C608)*C23</f>
        <v>50.732172982655314</v>
      </c>
    </row>
    <row r="612" spans="1:3">
      <c r="A612" s="303" t="s">
        <v>70</v>
      </c>
    </row>
    <row r="614" spans="1:3">
      <c r="A614" s="92" t="s">
        <v>975</v>
      </c>
    </row>
    <row r="615" spans="1:3">
      <c r="B615" s="92" t="s">
        <v>976</v>
      </c>
      <c r="C615" s="92" t="s">
        <v>977</v>
      </c>
    </row>
    <row r="616" spans="1:3">
      <c r="B616" s="92" t="s">
        <v>978</v>
      </c>
    </row>
    <row r="617" spans="1:3">
      <c r="B617" s="92" t="s">
        <v>979</v>
      </c>
    </row>
    <row r="618" spans="1:3">
      <c r="B618" s="92" t="s">
        <v>980</v>
      </c>
    </row>
    <row r="619" spans="1:3">
      <c r="B619" s="367">
        <v>41640</v>
      </c>
      <c r="C619" s="92" t="s">
        <v>981</v>
      </c>
    </row>
    <row r="620" spans="1:3">
      <c r="A620" s="92" t="s">
        <v>982</v>
      </c>
    </row>
    <row r="621" spans="1:3">
      <c r="B621" s="92" t="s">
        <v>983</v>
      </c>
    </row>
    <row r="622" spans="1:3">
      <c r="A622" s="92" t="s">
        <v>984</v>
      </c>
    </row>
    <row r="623" spans="1:3">
      <c r="B623" s="92" t="s">
        <v>985</v>
      </c>
    </row>
    <row r="625" spans="1:2">
      <c r="A625" s="92" t="s">
        <v>986</v>
      </c>
      <c r="B625" s="92" t="s">
        <v>987</v>
      </c>
    </row>
    <row r="626" spans="1:2">
      <c r="B626" s="92" t="s">
        <v>988</v>
      </c>
    </row>
    <row r="627" spans="1:2">
      <c r="B627" s="92" t="s">
        <v>989</v>
      </c>
    </row>
    <row r="629" spans="1:2">
      <c r="A629" s="92" t="s">
        <v>990</v>
      </c>
    </row>
    <row r="630" spans="1:2">
      <c r="B630" s="92" t="s">
        <v>991</v>
      </c>
    </row>
    <row r="631" spans="1:2">
      <c r="B631" s="92" t="s">
        <v>992</v>
      </c>
    </row>
    <row r="632" spans="1:2">
      <c r="A632" s="92" t="s">
        <v>993</v>
      </c>
    </row>
    <row r="633" spans="1:2">
      <c r="B633" s="92" t="s">
        <v>994</v>
      </c>
    </row>
    <row r="634" spans="1:2">
      <c r="B634" s="92" t="s">
        <v>995</v>
      </c>
    </row>
    <row r="635" spans="1:2">
      <c r="B635" s="92" t="s">
        <v>996</v>
      </c>
    </row>
    <row r="637" spans="1:2">
      <c r="B637" s="92" t="s">
        <v>997</v>
      </c>
    </row>
    <row r="638" spans="1:2">
      <c r="B638" s="92" t="s">
        <v>998</v>
      </c>
    </row>
    <row r="639" spans="1:2">
      <c r="B639" s="92" t="s">
        <v>999</v>
      </c>
    </row>
    <row r="640" spans="1:2">
      <c r="B640" s="92" t="s">
        <v>1000</v>
      </c>
    </row>
    <row r="641" spans="1:3">
      <c r="A641" s="92" t="s">
        <v>1001</v>
      </c>
    </row>
    <row r="642" spans="1:3">
      <c r="B642" s="92" t="s">
        <v>1002</v>
      </c>
    </row>
    <row r="643" spans="1:3">
      <c r="B643" s="92" t="s">
        <v>1003</v>
      </c>
    </row>
    <row r="645" spans="1:3">
      <c r="B645" s="141">
        <v>2014</v>
      </c>
    </row>
    <row r="646" spans="1:3">
      <c r="B646" s="92" t="s">
        <v>1004</v>
      </c>
    </row>
    <row r="647" spans="1:3">
      <c r="B647" s="92" t="s">
        <v>1005</v>
      </c>
    </row>
    <row r="648" spans="1:3">
      <c r="C648" s="92" t="s">
        <v>1006</v>
      </c>
    </row>
    <row r="649" spans="1:3">
      <c r="B649" s="92" t="s">
        <v>1007</v>
      </c>
    </row>
    <row r="650" spans="1:3">
      <c r="B650" s="92" t="s">
        <v>1008</v>
      </c>
    </row>
    <row r="652" spans="1:3">
      <c r="A652" s="92" t="s">
        <v>1009</v>
      </c>
      <c r="B652" s="92" t="s">
        <v>1010</v>
      </c>
    </row>
    <row r="654" spans="1:3">
      <c r="A654" s="303" t="s">
        <v>1011</v>
      </c>
    </row>
    <row r="656" spans="1:3">
      <c r="A656" s="175"/>
      <c r="B656" s="336" t="s">
        <v>881</v>
      </c>
    </row>
    <row r="657" spans="1:5">
      <c r="A657" s="92" t="s">
        <v>1012</v>
      </c>
      <c r="B657" s="92">
        <v>54</v>
      </c>
    </row>
    <row r="658" spans="1:5">
      <c r="A658" s="92" t="s">
        <v>960</v>
      </c>
      <c r="B658" s="92">
        <f>B657-5</f>
        <v>49</v>
      </c>
    </row>
    <row r="659" spans="1:5">
      <c r="A659" s="92" t="s">
        <v>378</v>
      </c>
      <c r="B659" s="92">
        <f>B658-2</f>
        <v>47</v>
      </c>
    </row>
    <row r="660" spans="1:5">
      <c r="A660" s="92" t="s">
        <v>1013</v>
      </c>
      <c r="B660" s="92">
        <v>46</v>
      </c>
    </row>
    <row r="662" spans="1:5">
      <c r="A662" s="303" t="s">
        <v>707</v>
      </c>
    </row>
    <row r="664" spans="1:5">
      <c r="C664" s="92" t="s">
        <v>1014</v>
      </c>
    </row>
    <row r="666" spans="1:5">
      <c r="B666" s="92" t="s">
        <v>1015</v>
      </c>
      <c r="D666" s="92" t="s">
        <v>1016</v>
      </c>
    </row>
    <row r="667" spans="1:5">
      <c r="B667" s="92" t="s">
        <v>1017</v>
      </c>
      <c r="D667" s="92" t="s">
        <v>1018</v>
      </c>
    </row>
    <row r="669" spans="1:5">
      <c r="D669" s="92" t="s">
        <v>899</v>
      </c>
      <c r="E669" s="92" t="s">
        <v>984</v>
      </c>
    </row>
    <row r="670" spans="1:5">
      <c r="A670" s="92" t="s">
        <v>1019</v>
      </c>
      <c r="B670" s="92" t="s">
        <v>1020</v>
      </c>
    </row>
    <row r="671" spans="1:5">
      <c r="A671" s="92" t="s">
        <v>1021</v>
      </c>
    </row>
    <row r="673" spans="1:4">
      <c r="A673" s="92" t="s">
        <v>1022</v>
      </c>
    </row>
    <row r="674" spans="1:4">
      <c r="A674" s="92" t="s">
        <v>1023</v>
      </c>
    </row>
    <row r="676" spans="1:4">
      <c r="A676" s="92" t="s">
        <v>1024</v>
      </c>
    </row>
    <row r="678" spans="1:4">
      <c r="A678" s="92" t="s">
        <v>1025</v>
      </c>
      <c r="B678" s="92" t="s">
        <v>1026</v>
      </c>
    </row>
    <row r="679" spans="1:4">
      <c r="A679" s="92" t="s">
        <v>1027</v>
      </c>
      <c r="B679" s="92" t="s">
        <v>1028</v>
      </c>
    </row>
    <row r="680" spans="1:4">
      <c r="A680" s="92" t="s">
        <v>1029</v>
      </c>
    </row>
    <row r="681" spans="1:4">
      <c r="A681" s="92" t="s">
        <v>1030</v>
      </c>
    </row>
    <row r="683" spans="1:4">
      <c r="A683" s="303" t="s">
        <v>1031</v>
      </c>
    </row>
    <row r="685" spans="1:4">
      <c r="A685" s="175"/>
      <c r="B685" s="336" t="s">
        <v>1032</v>
      </c>
      <c r="C685" s="336" t="s">
        <v>1033</v>
      </c>
      <c r="D685" s="175" t="s">
        <v>1034</v>
      </c>
    </row>
    <row r="686" spans="1:4">
      <c r="A686" s="92" t="s">
        <v>1035</v>
      </c>
      <c r="B686" s="368">
        <f>L856</f>
        <v>0.81909575825332115</v>
      </c>
      <c r="C686" s="369">
        <f>C688-C687</f>
        <v>0.78039999999999998</v>
      </c>
    </row>
    <row r="687" spans="1:4">
      <c r="A687" s="175" t="s">
        <v>1036</v>
      </c>
      <c r="B687" s="370">
        <v>0.03</v>
      </c>
      <c r="C687" s="371">
        <f>B687</f>
        <v>0.03</v>
      </c>
      <c r="D687" s="175"/>
    </row>
    <row r="688" spans="1:4">
      <c r="A688" s="92" t="s">
        <v>1037</v>
      </c>
      <c r="B688" s="525">
        <v>0.86819999999999997</v>
      </c>
      <c r="C688" s="525">
        <v>0.81040000000000001</v>
      </c>
      <c r="D688" s="369">
        <v>0.57999999999999996</v>
      </c>
    </row>
    <row r="689" spans="1:6">
      <c r="B689" s="354"/>
      <c r="D689" s="313">
        <f>C688/D688-1</f>
        <v>0.39724137931034487</v>
      </c>
    </row>
    <row r="690" spans="1:6">
      <c r="A690" s="92" t="s">
        <v>1038</v>
      </c>
      <c r="B690" s="372">
        <v>4438.5942329999998</v>
      </c>
      <c r="C690" s="364">
        <f>B690</f>
        <v>4438.5942329999998</v>
      </c>
    </row>
    <row r="691" spans="1:6">
      <c r="A691" s="92" t="s">
        <v>1039</v>
      </c>
      <c r="B691" s="364">
        <f>B688*B690</f>
        <v>3853.5875130905997</v>
      </c>
      <c r="C691" s="364">
        <f>B690*C688</f>
        <v>3597.0367664231999</v>
      </c>
      <c r="D691" s="364">
        <f>B690*D688</f>
        <v>2574.3846551399997</v>
      </c>
    </row>
    <row r="692" spans="1:6">
      <c r="A692" s="92" t="s">
        <v>1040</v>
      </c>
      <c r="B692" s="338">
        <v>1.5206</v>
      </c>
      <c r="C692" s="92">
        <f>B692</f>
        <v>1.5206</v>
      </c>
      <c r="D692" s="364"/>
    </row>
    <row r="693" spans="1:6">
      <c r="A693" s="92" t="s">
        <v>1041</v>
      </c>
      <c r="B693" s="364">
        <f>B691*B692</f>
        <v>5859.7651724055659</v>
      </c>
      <c r="C693" s="364">
        <f>C691*B692</f>
        <v>5469.6541070231178</v>
      </c>
      <c r="D693" s="364">
        <f>B692*D691</f>
        <v>3914.6093066058834</v>
      </c>
    </row>
    <row r="695" spans="1:6">
      <c r="A695" s="92" t="s">
        <v>1042</v>
      </c>
      <c r="B695" s="372">
        <v>2569</v>
      </c>
      <c r="C695" s="364">
        <f>B695</f>
        <v>2569</v>
      </c>
      <c r="D695" s="364">
        <f>B695</f>
        <v>2569</v>
      </c>
    </row>
    <row r="696" spans="1:6">
      <c r="A696" s="92" t="s">
        <v>1043</v>
      </c>
      <c r="B696" s="364">
        <v>106</v>
      </c>
      <c r="C696" s="364">
        <f>B696</f>
        <v>106</v>
      </c>
      <c r="D696" s="364">
        <f>B696</f>
        <v>106</v>
      </c>
    </row>
    <row r="697" spans="1:6">
      <c r="A697" s="175" t="s">
        <v>1044</v>
      </c>
      <c r="B697" s="365">
        <v>1480</v>
      </c>
      <c r="C697" s="365">
        <f>B697</f>
        <v>1480</v>
      </c>
      <c r="D697" s="365">
        <f>B697</f>
        <v>1480</v>
      </c>
    </row>
    <row r="698" spans="1:6">
      <c r="A698" s="92" t="s">
        <v>823</v>
      </c>
      <c r="B698" s="364">
        <f>B693+B695+B696+B697</f>
        <v>10014.765172405565</v>
      </c>
      <c r="C698" s="364">
        <f>C693+B695+B696+B697</f>
        <v>9624.6541070231178</v>
      </c>
      <c r="D698" s="364">
        <f>SUM(D695:D697)+D693</f>
        <v>8069.6093066058838</v>
      </c>
      <c r="F698" s="364">
        <f>C698+3900</f>
        <v>13524.654107023118</v>
      </c>
    </row>
    <row r="699" spans="1:6">
      <c r="A699" s="92" t="s">
        <v>1045</v>
      </c>
      <c r="B699" s="236" t="e">
        <f>B698/B758</f>
        <v>#REF!</v>
      </c>
      <c r="C699" s="526" t="e">
        <f>C698/B758</f>
        <v>#REF!</v>
      </c>
      <c r="D699" s="236" t="e">
        <f>D698/B$758</f>
        <v>#REF!</v>
      </c>
    </row>
    <row r="700" spans="1:6">
      <c r="A700" s="92" t="s">
        <v>1046</v>
      </c>
      <c r="B700" s="236" t="e">
        <f>B698/C758</f>
        <v>#REF!</v>
      </c>
      <c r="C700" s="236" t="e">
        <f>C698/C758</f>
        <v>#REF!</v>
      </c>
    </row>
    <row r="701" spans="1:6">
      <c r="B701" s="236"/>
    </row>
    <row r="702" spans="1:6">
      <c r="A702" s="92" t="s">
        <v>1047</v>
      </c>
      <c r="B702" s="236"/>
    </row>
    <row r="703" spans="1:6">
      <c r="A703" s="92" t="s">
        <v>1048</v>
      </c>
      <c r="B703" s="364">
        <v>125</v>
      </c>
      <c r="D703" s="344" t="s">
        <v>1049</v>
      </c>
    </row>
    <row r="704" spans="1:6">
      <c r="A704" s="92" t="s">
        <v>1050</v>
      </c>
      <c r="B704" s="364">
        <f>B703*(1-0.28)</f>
        <v>90</v>
      </c>
    </row>
    <row r="705" spans="1:4">
      <c r="A705" s="92" t="s">
        <v>204</v>
      </c>
      <c r="B705" s="364">
        <f>B704/(8.4%-0)</f>
        <v>1071.4285714285713</v>
      </c>
    </row>
    <row r="706" spans="1:4">
      <c r="A706" s="175" t="s">
        <v>1051</v>
      </c>
      <c r="B706" s="365">
        <f>145*0.72</f>
        <v>104.39999999999999</v>
      </c>
      <c r="C706" s="175"/>
      <c r="D706" s="344" t="s">
        <v>1049</v>
      </c>
    </row>
    <row r="707" spans="1:4">
      <c r="A707" s="92" t="s">
        <v>1546</v>
      </c>
      <c r="B707" s="372" t="e">
        <f>SOP!#REF!</f>
        <v>#REF!</v>
      </c>
    </row>
    <row r="708" spans="1:4">
      <c r="B708" s="236"/>
    </row>
    <row r="709" spans="1:4">
      <c r="A709" s="175" t="s">
        <v>44</v>
      </c>
      <c r="B709" s="373" t="s">
        <v>1052</v>
      </c>
      <c r="C709" s="374"/>
    </row>
    <row r="710" spans="1:4">
      <c r="A710" s="92" t="s">
        <v>1053</v>
      </c>
      <c r="B710" s="364">
        <f>C698</f>
        <v>9624.6541070231178</v>
      </c>
    </row>
    <row r="711" spans="1:4">
      <c r="A711" s="92" t="s">
        <v>1054</v>
      </c>
      <c r="B711" s="364">
        <v>0</v>
      </c>
    </row>
    <row r="712" spans="1:4">
      <c r="A712" s="92" t="s">
        <v>1055</v>
      </c>
      <c r="B712" s="364" t="e">
        <f>B710+B711-B707</f>
        <v>#REF!</v>
      </c>
      <c r="D712" s="364"/>
    </row>
    <row r="713" spans="1:4">
      <c r="B713" s="364"/>
      <c r="C713" s="364"/>
      <c r="D713" s="364"/>
    </row>
    <row r="714" spans="1:4">
      <c r="B714" s="373" t="s">
        <v>1056</v>
      </c>
      <c r="C714" s="373" t="s">
        <v>1057</v>
      </c>
      <c r="D714" s="364"/>
    </row>
    <row r="715" spans="1:4">
      <c r="A715" s="92" t="s">
        <v>8</v>
      </c>
      <c r="B715" s="372" t="e">
        <f>Master!#REF!-Master!#REF!</f>
        <v>#REF!</v>
      </c>
      <c r="C715" s="372" t="e">
        <f>Master!#REF!-Master!#REF!</f>
        <v>#REF!</v>
      </c>
      <c r="D715" s="364"/>
    </row>
    <row r="716" spans="1:4">
      <c r="A716" s="92" t="s">
        <v>298</v>
      </c>
      <c r="B716" s="527" t="e">
        <f>$B$712/B715</f>
        <v>#REF!</v>
      </c>
      <c r="C716" s="117" t="e">
        <f>$B$712/C715</f>
        <v>#REF!</v>
      </c>
      <c r="D716" s="364"/>
    </row>
    <row r="719" spans="1:4">
      <c r="B719" s="345"/>
    </row>
    <row r="720" spans="1:4">
      <c r="A720" s="92" t="s">
        <v>1058</v>
      </c>
      <c r="B720" s="364" t="e">
        <f>B712-$B$831</f>
        <v>#REF!</v>
      </c>
      <c r="C720" s="364" t="e">
        <f>B720</f>
        <v>#REF!</v>
      </c>
    </row>
    <row r="721" spans="1:7">
      <c r="B721" s="526" t="e">
        <f>B720/B715</f>
        <v>#REF!</v>
      </c>
      <c r="C721" s="236" t="e">
        <f>C720/C715</f>
        <v>#REF!</v>
      </c>
    </row>
    <row r="722" spans="1:7">
      <c r="B722" s="345"/>
    </row>
    <row r="723" spans="1:7">
      <c r="A723" s="353" t="s">
        <v>1059</v>
      </c>
    </row>
    <row r="724" spans="1:7">
      <c r="A724" s="353"/>
      <c r="G724" s="92" t="s">
        <v>72</v>
      </c>
    </row>
    <row r="725" spans="1:7">
      <c r="A725" s="92" t="s">
        <v>1060</v>
      </c>
      <c r="B725" s="375">
        <v>1</v>
      </c>
      <c r="C725" s="375">
        <v>1</v>
      </c>
      <c r="D725" s="375">
        <v>1</v>
      </c>
    </row>
    <row r="726" spans="1:7">
      <c r="A726" s="92" t="s">
        <v>1061</v>
      </c>
      <c r="B726" s="364">
        <f>B693*B725</f>
        <v>5859.7651724055659</v>
      </c>
      <c r="C726" s="364">
        <f>B693*C725</f>
        <v>5859.7651724055659</v>
      </c>
      <c r="D726" s="364">
        <f>B693*D725</f>
        <v>5859.7651724055659</v>
      </c>
    </row>
    <row r="727" spans="1:7">
      <c r="A727" s="92" t="s">
        <v>1062</v>
      </c>
      <c r="B727" s="376">
        <v>37</v>
      </c>
      <c r="C727" s="345">
        <f>B727</f>
        <v>37</v>
      </c>
      <c r="D727" s="345">
        <f>B727</f>
        <v>37</v>
      </c>
    </row>
    <row r="728" spans="1:7">
      <c r="A728" s="92" t="s">
        <v>1063</v>
      </c>
      <c r="B728" s="345">
        <f>B726/B727</f>
        <v>158.37203168663692</v>
      </c>
      <c r="C728" s="345">
        <f>C726/C727</f>
        <v>158.37203168663692</v>
      </c>
      <c r="D728" s="345">
        <f>D726/D727</f>
        <v>158.37203168663692</v>
      </c>
    </row>
    <row r="729" spans="1:7">
      <c r="A729" s="92" t="s">
        <v>1064</v>
      </c>
      <c r="B729" s="345">
        <f>B26</f>
        <v>43.926690999999998</v>
      </c>
      <c r="C729" s="345">
        <f>B729</f>
        <v>43.926690999999998</v>
      </c>
      <c r="D729" s="345">
        <f>C729</f>
        <v>43.926690999999998</v>
      </c>
    </row>
    <row r="730" spans="1:7">
      <c r="A730" s="92" t="s">
        <v>1065</v>
      </c>
      <c r="B730" s="313">
        <f>B728/B729</f>
        <v>3.6053713148262618</v>
      </c>
      <c r="C730" s="313">
        <f>C728/C729</f>
        <v>3.6053713148262618</v>
      </c>
      <c r="D730" s="313">
        <f>D728/D729</f>
        <v>3.6053713148262618</v>
      </c>
    </row>
    <row r="731" spans="1:7">
      <c r="B731" s="313"/>
    </row>
    <row r="732" spans="1:7">
      <c r="A732" s="92" t="s">
        <v>1066</v>
      </c>
      <c r="B732" s="314">
        <f>$F$26+B726</f>
        <v>6158.4666712055659</v>
      </c>
      <c r="C732" s="314">
        <f>$F$26+C726</f>
        <v>6158.4666712055659</v>
      </c>
      <c r="D732" s="314">
        <f>$F$26+D726</f>
        <v>6158.4666712055659</v>
      </c>
    </row>
    <row r="733" spans="1:7">
      <c r="A733" s="92" t="s">
        <v>1067</v>
      </c>
      <c r="B733" s="314">
        <f>G140</f>
        <v>2072.2000000000003</v>
      </c>
      <c r="C733" s="314">
        <f>B733</f>
        <v>2072.2000000000003</v>
      </c>
      <c r="D733" s="314">
        <f>C733</f>
        <v>2072.2000000000003</v>
      </c>
    </row>
    <row r="734" spans="1:7">
      <c r="A734" s="92" t="s">
        <v>1068</v>
      </c>
      <c r="B734" s="314">
        <f ca="1">G141+G143+G144</f>
        <v>191.81982727296341</v>
      </c>
      <c r="C734" s="314">
        <f ca="1">B734</f>
        <v>191.81982727296341</v>
      </c>
      <c r="D734" s="314">
        <f ca="1">C734</f>
        <v>191.81982727296341</v>
      </c>
    </row>
    <row r="735" spans="1:7">
      <c r="A735" s="92" t="s">
        <v>1069</v>
      </c>
      <c r="B735" s="314">
        <f>B693-B726</f>
        <v>0</v>
      </c>
      <c r="C735" s="314">
        <f>B693-C726</f>
        <v>0</v>
      </c>
      <c r="D735" s="314">
        <f>B693-D726</f>
        <v>0</v>
      </c>
    </row>
    <row r="736" spans="1:7">
      <c r="A736" s="92" t="s">
        <v>1070</v>
      </c>
      <c r="B736" s="314">
        <f>B695</f>
        <v>2569</v>
      </c>
      <c r="C736" s="314">
        <f>B736</f>
        <v>2569</v>
      </c>
      <c r="D736" s="314">
        <f>C736</f>
        <v>2569</v>
      </c>
    </row>
    <row r="737" spans="1:7">
      <c r="A737" s="175" t="s">
        <v>872</v>
      </c>
      <c r="B737" s="377">
        <f>B696+B697</f>
        <v>1586</v>
      </c>
      <c r="C737" s="377">
        <f>B737</f>
        <v>1586</v>
      </c>
      <c r="D737" s="377">
        <f>C737</f>
        <v>1586</v>
      </c>
    </row>
    <row r="738" spans="1:7">
      <c r="A738" s="92" t="s">
        <v>331</v>
      </c>
      <c r="B738" s="314">
        <f ca="1">B732+B733+B734+B735+B736+B737</f>
        <v>12577.486498478531</v>
      </c>
      <c r="C738" s="314">
        <f ca="1">C732+C733+C734+C735+C736+C737</f>
        <v>12577.486498478531</v>
      </c>
      <c r="D738" s="314">
        <f ca="1">D732+D733+D734+D735+D736+D737</f>
        <v>12577.486498478531</v>
      </c>
    </row>
    <row r="739" spans="1:7">
      <c r="B739" s="236"/>
    </row>
    <row r="740" spans="1:7">
      <c r="A740" s="175" t="s">
        <v>325</v>
      </c>
      <c r="B740" s="378" t="s">
        <v>1071</v>
      </c>
      <c r="C740" s="336" t="s">
        <v>1072</v>
      </c>
    </row>
    <row r="741" spans="1:7">
      <c r="A741" s="92" t="s">
        <v>1073</v>
      </c>
      <c r="B741" s="379">
        <v>2832</v>
      </c>
      <c r="C741" s="379">
        <v>2710</v>
      </c>
      <c r="D741" s="314">
        <f>B741-C741</f>
        <v>122</v>
      </c>
    </row>
    <row r="742" spans="1:7">
      <c r="A742" s="92" t="s">
        <v>1074</v>
      </c>
      <c r="B742" s="345">
        <f>0.03*B692*B690</f>
        <v>202.47979172099397</v>
      </c>
      <c r="C742" s="345">
        <f>B742</f>
        <v>202.47979172099397</v>
      </c>
    </row>
    <row r="743" spans="1:7">
      <c r="A743" s="175" t="s">
        <v>1075</v>
      </c>
      <c r="B743" s="377">
        <f>L207</f>
        <v>2001.6999999999998</v>
      </c>
      <c r="C743" s="377">
        <f>B743-0.4*'LiLAC valuation'!K411</f>
        <v>1637.1799999999998</v>
      </c>
      <c r="D743" s="314">
        <f>B743-C743</f>
        <v>364.52</v>
      </c>
    </row>
    <row r="744" spans="1:7">
      <c r="A744" s="92" t="s">
        <v>1076</v>
      </c>
      <c r="B744" s="314">
        <f>B741+B742+B743</f>
        <v>5036.1797917209933</v>
      </c>
      <c r="C744" s="314">
        <f>C741+C742+C743</f>
        <v>4549.6597917209938</v>
      </c>
      <c r="D744" s="314"/>
    </row>
    <row r="745" spans="1:7">
      <c r="A745" s="92" t="s">
        <v>273</v>
      </c>
      <c r="B745" s="236">
        <f>B744/B763</f>
        <v>1.402236683975552</v>
      </c>
      <c r="C745" s="99">
        <f>C744/B770</f>
        <v>4.0328493537595769</v>
      </c>
      <c r="D745" s="314"/>
    </row>
    <row r="746" spans="1:7">
      <c r="B746" s="314"/>
      <c r="C746" s="314"/>
      <c r="D746" s="314"/>
    </row>
    <row r="747" spans="1:7">
      <c r="B747" s="314"/>
      <c r="C747" s="314"/>
      <c r="D747" s="314"/>
    </row>
    <row r="748" spans="1:7" ht="15.75">
      <c r="A748" s="380"/>
      <c r="B748" s="381"/>
      <c r="C748" s="381"/>
      <c r="D748" s="381"/>
      <c r="E748" s="380"/>
      <c r="F748" s="380"/>
      <c r="G748" s="380"/>
    </row>
    <row r="749" spans="1:7" ht="15.75">
      <c r="A749" s="380"/>
      <c r="B749" s="382" t="s">
        <v>1077</v>
      </c>
      <c r="C749" s="382" t="s">
        <v>1078</v>
      </c>
      <c r="D749" s="382" t="s">
        <v>1079</v>
      </c>
      <c r="E749" s="382" t="s">
        <v>1080</v>
      </c>
      <c r="F749" s="382" t="s">
        <v>1081</v>
      </c>
      <c r="G749" s="383" t="s">
        <v>1082</v>
      </c>
    </row>
    <row r="750" spans="1:7" ht="15.75">
      <c r="A750" s="380" t="s">
        <v>1083</v>
      </c>
      <c r="B750" s="381">
        <v>549.73119578000001</v>
      </c>
      <c r="C750" s="381">
        <v>537.76820451980007</v>
      </c>
      <c r="D750" s="381">
        <v>496.79210323978805</v>
      </c>
      <c r="E750" s="384">
        <v>495.21371987786233</v>
      </c>
      <c r="F750" s="384">
        <v>493.11886242302256</v>
      </c>
      <c r="G750" s="380"/>
    </row>
    <row r="751" spans="1:7">
      <c r="C751" s="236"/>
      <c r="D751" s="236"/>
    </row>
    <row r="752" spans="1:7">
      <c r="A752" s="92" t="s">
        <v>1084</v>
      </c>
      <c r="B752" s="236">
        <f>B744/B770</f>
        <v>4.464103987603071</v>
      </c>
      <c r="C752" s="236"/>
      <c r="D752" s="236"/>
    </row>
    <row r="753" spans="1:7">
      <c r="B753" s="236"/>
      <c r="C753" s="236"/>
      <c r="D753" s="236"/>
    </row>
    <row r="754" spans="1:7" ht="15.75">
      <c r="A754" s="385" t="s">
        <v>1085</v>
      </c>
      <c r="B754" s="386"/>
      <c r="C754" s="386"/>
      <c r="D754" s="386"/>
      <c r="E754" s="387"/>
      <c r="F754" s="387"/>
      <c r="G754" s="387"/>
    </row>
    <row r="755" spans="1:7" ht="15.75">
      <c r="A755" s="385" t="s">
        <v>1086</v>
      </c>
      <c r="B755" s="386"/>
      <c r="C755" s="386"/>
      <c r="D755" s="386"/>
      <c r="E755" s="387"/>
      <c r="F755" s="387"/>
      <c r="G755" s="387"/>
    </row>
    <row r="756" spans="1:7">
      <c r="B756" s="236"/>
    </row>
    <row r="757" spans="1:7" ht="15.75">
      <c r="A757" s="383" t="s">
        <v>1087</v>
      </c>
      <c r="B757" s="382" t="s">
        <v>1088</v>
      </c>
      <c r="C757" s="382" t="s">
        <v>1078</v>
      </c>
      <c r="D757" s="382" t="s">
        <v>1079</v>
      </c>
      <c r="E757" s="382" t="s">
        <v>1080</v>
      </c>
      <c r="F757" s="382" t="s">
        <v>1081</v>
      </c>
      <c r="G757" s="383" t="s">
        <v>1312</v>
      </c>
    </row>
    <row r="758" spans="1:7" ht="15.75">
      <c r="A758" s="380" t="s">
        <v>1089</v>
      </c>
      <c r="B758" s="392" t="e">
        <f>Master!#REF!</f>
        <v>#REF!</v>
      </c>
      <c r="C758" s="392" t="e">
        <f>Master!#REF!</f>
        <v>#REF!</v>
      </c>
      <c r="D758" s="392" t="e">
        <f>Master!#REF!</f>
        <v>#REF!</v>
      </c>
      <c r="E758" s="392" t="e">
        <f>Master!#REF!</f>
        <v>#REF!</v>
      </c>
      <c r="F758" s="392" t="e">
        <f>Master!#REF!</f>
        <v>#REF!</v>
      </c>
      <c r="G758" s="389" t="e">
        <f>(F758/C758)^(1/3)-1</f>
        <v>#REF!</v>
      </c>
    </row>
    <row r="759" spans="1:7" ht="15.75">
      <c r="A759" s="383" t="s">
        <v>1090</v>
      </c>
      <c r="B759" s="390">
        <f>AnastasiaLiLAC!T21</f>
        <v>492.17960426179599</v>
      </c>
      <c r="C759" s="390">
        <f>AnastasiaLiLAC!U21</f>
        <v>537.60007689918814</v>
      </c>
      <c r="D759" s="390">
        <f>AnastasiaLiLAC!V21</f>
        <v>515.55240443896423</v>
      </c>
      <c r="E759" s="390">
        <f>AnastasiaLiLAC!W21</f>
        <v>540.22816630963553</v>
      </c>
      <c r="F759" s="390">
        <f ca="1">AnastasiaLiLAC!X21</f>
        <v>566.17238427977122</v>
      </c>
      <c r="G759" s="391">
        <f ca="1">(F759/C759)^(1/3)-1</f>
        <v>1.7411057579601597E-2</v>
      </c>
    </row>
    <row r="760" spans="1:7" ht="15.75">
      <c r="A760" s="380" t="s">
        <v>1091</v>
      </c>
      <c r="B760" s="388">
        <f>Master!G52</f>
        <v>3591.5333333333328</v>
      </c>
      <c r="C760" s="388" t="e">
        <f>C758+C759</f>
        <v>#REF!</v>
      </c>
      <c r="D760" s="388" t="e">
        <f>D758+D759</f>
        <v>#REF!</v>
      </c>
      <c r="E760" s="388" t="e">
        <f>E758+E759</f>
        <v>#REF!</v>
      </c>
      <c r="F760" s="388" t="e">
        <f ca="1">F758+F759</f>
        <v>#REF!</v>
      </c>
      <c r="G760" s="389" t="e">
        <f ca="1">(F760/C760)^(1/3)-1</f>
        <v>#REF!</v>
      </c>
    </row>
    <row r="761" spans="1:7" ht="15.75">
      <c r="A761" s="380" t="s">
        <v>1092</v>
      </c>
      <c r="B761" s="388"/>
      <c r="C761" s="389" t="e">
        <f>C760/B760-1</f>
        <v>#REF!</v>
      </c>
      <c r="D761" s="389" t="e">
        <f>D760/C760-1</f>
        <v>#REF!</v>
      </c>
      <c r="E761" s="389" t="e">
        <f>E760/D760-1</f>
        <v>#REF!</v>
      </c>
      <c r="F761" s="389" t="e">
        <f ca="1">F760/E760-1</f>
        <v>#REF!</v>
      </c>
      <c r="G761" s="380"/>
    </row>
    <row r="762" spans="1:7" ht="15.75">
      <c r="A762" s="383" t="s">
        <v>399</v>
      </c>
      <c r="B762" s="390">
        <f>B769</f>
        <v>0</v>
      </c>
      <c r="C762" s="390" t="e">
        <f>C769</f>
        <v>#REF!</v>
      </c>
      <c r="D762" s="390" t="e">
        <f>D769</f>
        <v>#REF!</v>
      </c>
      <c r="E762" s="390" t="e">
        <f>E769</f>
        <v>#REF!</v>
      </c>
      <c r="F762" s="390" t="e">
        <f>F769</f>
        <v>#REF!</v>
      </c>
      <c r="G762" s="391"/>
    </row>
    <row r="763" spans="1:7" ht="15.75">
      <c r="A763" s="380" t="s">
        <v>1093</v>
      </c>
      <c r="B763" s="388">
        <f>B760+B762</f>
        <v>3591.5333333333328</v>
      </c>
      <c r="C763" s="388" t="e">
        <f>C760+C762</f>
        <v>#REF!</v>
      </c>
      <c r="D763" s="388" t="e">
        <f>D760+D762</f>
        <v>#REF!</v>
      </c>
      <c r="E763" s="388" t="e">
        <f>E760+E762</f>
        <v>#REF!</v>
      </c>
      <c r="F763" s="388" t="e">
        <f ca="1">F760+F762</f>
        <v>#REF!</v>
      </c>
      <c r="G763" s="389" t="e">
        <f ca="1">(F763/C763)^(1/3)-1</f>
        <v>#REF!</v>
      </c>
    </row>
    <row r="764" spans="1:7" ht="15.75">
      <c r="A764" s="380"/>
      <c r="B764" s="380"/>
      <c r="C764" s="380"/>
      <c r="D764" s="380"/>
      <c r="E764" s="380"/>
      <c r="F764" s="380"/>
      <c r="G764" s="380"/>
    </row>
    <row r="765" spans="1:7" ht="15.75">
      <c r="A765" s="383" t="s">
        <v>1094</v>
      </c>
      <c r="B765" s="382" t="s">
        <v>1077</v>
      </c>
      <c r="C765" s="382" t="s">
        <v>1078</v>
      </c>
      <c r="D765" s="382" t="s">
        <v>1079</v>
      </c>
      <c r="E765" s="382" t="s">
        <v>1080</v>
      </c>
      <c r="F765" s="382" t="s">
        <v>1081</v>
      </c>
      <c r="G765" s="383" t="s">
        <v>1312</v>
      </c>
    </row>
    <row r="766" spans="1:7" ht="15.75">
      <c r="A766" s="380" t="s">
        <v>1089</v>
      </c>
      <c r="B766" s="388">
        <v>702.37059244208695</v>
      </c>
      <c r="C766" s="388">
        <v>821.92348349815711</v>
      </c>
      <c r="D766" s="388">
        <v>942.94139443507845</v>
      </c>
      <c r="E766" s="388">
        <v>998.85759302319332</v>
      </c>
      <c r="F766" s="388">
        <v>1055.55574252262</v>
      </c>
      <c r="G766" s="389">
        <f>(F766/C766)^(1/3)-1</f>
        <v>8.6967589044448346E-2</v>
      </c>
    </row>
    <row r="767" spans="1:7" ht="15.75">
      <c r="A767" s="383" t="s">
        <v>1090</v>
      </c>
      <c r="B767" s="390">
        <f>VTR!P119/Forex!K38*1000+PR!P115*0.6</f>
        <v>425.77960426179595</v>
      </c>
      <c r="C767" s="390">
        <f>VTR!Q119/Forex!L38*1000+PR!Q115*0.6</f>
        <v>458.08007689918816</v>
      </c>
      <c r="D767" s="390">
        <f>VTR!R119/Forex!M38*1000+PR!R115*0.6</f>
        <v>462.3524044389643</v>
      </c>
      <c r="E767" s="390">
        <f>VTR!S119/Forex!N38*1000+PR!S115*0.6</f>
        <v>486.66643115491104</v>
      </c>
      <c r="F767" s="390">
        <f ca="1">VTR!T119/Forex!O38*1000+PR!T115*0.6</f>
        <v>495.97656871653578</v>
      </c>
      <c r="G767" s="391">
        <f ca="1">(F767/C767)^(1/3)-1</f>
        <v>2.684900206784202E-2</v>
      </c>
    </row>
    <row r="768" spans="1:7" ht="15.75">
      <c r="A768" s="380" t="s">
        <v>1091</v>
      </c>
      <c r="B768" s="388">
        <f>B766+B767</f>
        <v>1128.150196703883</v>
      </c>
      <c r="C768" s="388">
        <f>C766+C767</f>
        <v>1280.0035603973452</v>
      </c>
      <c r="D768" s="388">
        <f>D766+D767</f>
        <v>1405.2937988740427</v>
      </c>
      <c r="E768" s="388">
        <f>E766+E767</f>
        <v>1485.5240241781044</v>
      </c>
      <c r="F768" s="388">
        <f ca="1">F766+F767</f>
        <v>1551.5323112391557</v>
      </c>
      <c r="G768" s="389">
        <f ca="1">(F768/C768)^(1/3)-1</f>
        <v>6.6227506462651187E-2</v>
      </c>
    </row>
    <row r="769" spans="1:7" ht="15.75">
      <c r="A769" s="383" t="s">
        <v>399</v>
      </c>
      <c r="B769" s="390">
        <f>B826</f>
        <v>0</v>
      </c>
      <c r="C769" s="390" t="e">
        <f>C826</f>
        <v>#REF!</v>
      </c>
      <c r="D769" s="390" t="e">
        <f>D826</f>
        <v>#REF!</v>
      </c>
      <c r="E769" s="390" t="e">
        <f>E826</f>
        <v>#REF!</v>
      </c>
      <c r="F769" s="390" t="e">
        <f>F826</f>
        <v>#REF!</v>
      </c>
      <c r="G769" s="391"/>
    </row>
    <row r="770" spans="1:7" ht="15.75">
      <c r="A770" s="380" t="s">
        <v>1093</v>
      </c>
      <c r="B770" s="388">
        <f>B768+B769</f>
        <v>1128.150196703883</v>
      </c>
      <c r="C770" s="388" t="e">
        <f>C768+C769</f>
        <v>#REF!</v>
      </c>
      <c r="D770" s="388" t="e">
        <f>D768+D769</f>
        <v>#REF!</v>
      </c>
      <c r="E770" s="388" t="e">
        <f>E768+E769</f>
        <v>#REF!</v>
      </c>
      <c r="F770" s="388" t="e">
        <f ca="1">F768+F769</f>
        <v>#REF!</v>
      </c>
      <c r="G770" s="389" t="e">
        <f ca="1">(F770/C770)^(1/3)-1</f>
        <v>#REF!</v>
      </c>
    </row>
    <row r="771" spans="1:7" ht="15.75">
      <c r="A771" s="380"/>
      <c r="B771" s="388"/>
      <c r="C771" s="388"/>
      <c r="D771" s="388"/>
      <c r="E771" s="388"/>
      <c r="F771" s="388"/>
      <c r="G771" s="389"/>
    </row>
    <row r="772" spans="1:7" ht="15.75">
      <c r="A772" s="383" t="s">
        <v>1095</v>
      </c>
      <c r="B772" s="382" t="s">
        <v>1088</v>
      </c>
      <c r="C772" s="382" t="s">
        <v>1078</v>
      </c>
      <c r="D772" s="382" t="s">
        <v>1079</v>
      </c>
      <c r="E772" s="382" t="s">
        <v>1080</v>
      </c>
      <c r="F772" s="382" t="s">
        <v>1081</v>
      </c>
      <c r="G772" s="383" t="s">
        <v>1312</v>
      </c>
    </row>
    <row r="773" spans="1:7" ht="15.75">
      <c r="A773" s="380" t="s">
        <v>1096</v>
      </c>
      <c r="B773" s="392">
        <v>2483.5574059999999</v>
      </c>
      <c r="C773" s="392">
        <v>2617.0861021000005</v>
      </c>
      <c r="D773" s="392">
        <v>2769.4004414010001</v>
      </c>
      <c r="E773" s="392">
        <v>2914.587908029418</v>
      </c>
      <c r="F773" s="392">
        <v>3061.8939163098835</v>
      </c>
      <c r="G773" s="389">
        <f>(F773/C773)^(1/3)-1</f>
        <v>5.3717136272755539E-2</v>
      </c>
    </row>
    <row r="774" spans="1:7" ht="15.75">
      <c r="A774" s="383" t="s">
        <v>1097</v>
      </c>
      <c r="B774" s="390">
        <f>AnastasiaLiLAC!T20</f>
        <v>1212.5333333333333</v>
      </c>
      <c r="C774" s="390">
        <f>AnastasiaLiLAC!U20</f>
        <v>1279.4090119933155</v>
      </c>
      <c r="D774" s="390">
        <f>AnastasiaLiLAC!V20</f>
        <v>1272.9112207151666</v>
      </c>
      <c r="E774" s="390">
        <f>AnastasiaLiLAC!W20</f>
        <v>1335.7165766952999</v>
      </c>
      <c r="F774" s="390">
        <f ca="1">AnastasiaLiLAC!X20</f>
        <v>1359.4065288314603</v>
      </c>
      <c r="G774" s="391">
        <f ca="1">(F774/C774)^(1/3)-1</f>
        <v>2.0422396278113153E-2</v>
      </c>
    </row>
    <row r="775" spans="1:7" ht="15.75">
      <c r="A775" s="380" t="s">
        <v>17</v>
      </c>
      <c r="B775" s="388">
        <f>B773+B774</f>
        <v>3696.0907393333332</v>
      </c>
      <c r="C775" s="388">
        <f>C773+C774</f>
        <v>3896.4951140933163</v>
      </c>
      <c r="D775" s="388">
        <f>D773+D774</f>
        <v>4042.3116621161666</v>
      </c>
      <c r="E775" s="388">
        <f>E773+E774</f>
        <v>4250.3044847247183</v>
      </c>
      <c r="F775" s="388">
        <f ca="1">F773+F774</f>
        <v>4421.3004451413435</v>
      </c>
      <c r="G775" s="389">
        <f ca="1">(F775/C775)^(1/3)-1</f>
        <v>4.3018385727620734E-2</v>
      </c>
    </row>
    <row r="776" spans="1:7" ht="15.75">
      <c r="A776" s="380" t="s">
        <v>1092</v>
      </c>
      <c r="B776" s="388"/>
      <c r="C776" s="389">
        <f>C775/B775-1</f>
        <v>5.4220631714287926E-2</v>
      </c>
      <c r="D776" s="389">
        <f>D775/C775-1</f>
        <v>3.7422489635735356E-2</v>
      </c>
      <c r="E776" s="389">
        <f>E775/D775-1</f>
        <v>5.1453930323538399E-2</v>
      </c>
      <c r="F776" s="389">
        <f ca="1">F775/E775-1</f>
        <v>4.0231461306165617E-2</v>
      </c>
      <c r="G776" s="380"/>
    </row>
    <row r="777" spans="1:7" ht="15.75">
      <c r="A777" s="380"/>
      <c r="B777" s="388"/>
      <c r="C777" s="388"/>
      <c r="D777" s="388"/>
      <c r="E777" s="388"/>
      <c r="F777" s="388"/>
      <c r="G777" s="389"/>
    </row>
    <row r="778" spans="1:7" ht="15.75">
      <c r="A778" s="383" t="s">
        <v>1098</v>
      </c>
      <c r="B778" s="382" t="s">
        <v>1088</v>
      </c>
      <c r="C778" s="382" t="s">
        <v>1078</v>
      </c>
      <c r="D778" s="382" t="s">
        <v>1079</v>
      </c>
      <c r="E778" s="382" t="s">
        <v>1080</v>
      </c>
      <c r="F778" s="382" t="s">
        <v>1081</v>
      </c>
      <c r="G778" s="383" t="s">
        <v>1312</v>
      </c>
    </row>
    <row r="779" spans="1:7" ht="15.75">
      <c r="A779" s="380" t="s">
        <v>1096</v>
      </c>
      <c r="B779" s="392">
        <v>1954.5594153799998</v>
      </c>
      <c r="C779" s="392">
        <v>2080.2306219886004</v>
      </c>
      <c r="D779" s="392">
        <v>2224.8955707617338</v>
      </c>
      <c r="E779" s="392">
        <v>2363.4862004523443</v>
      </c>
      <c r="F779" s="392">
        <v>2504.8111754056658</v>
      </c>
      <c r="G779" s="389">
        <f>(F779/C779)^(1/3)-1</f>
        <v>6.386821982145352E-2</v>
      </c>
    </row>
    <row r="780" spans="1:7" ht="15.75">
      <c r="A780" s="383" t="s">
        <v>1097</v>
      </c>
      <c r="B780" s="390">
        <f>VTR!P58+PR!P109*0.6</f>
        <v>1060.8533333333332</v>
      </c>
      <c r="C780" s="390">
        <f>VTR!Q58+PR!Q109*0.6</f>
        <v>1111.0890119933156</v>
      </c>
      <c r="D780" s="390">
        <f>VTR!R58+PR!R109*0.6</f>
        <v>1144.5112207151665</v>
      </c>
      <c r="E780" s="390">
        <f>VTR!S58+PR!S109*0.6</f>
        <v>1205.8699460171799</v>
      </c>
      <c r="F780" s="390">
        <f ca="1">VTR!T58+PR!T109*0.6</f>
        <v>1203.4158275798259</v>
      </c>
      <c r="G780" s="391">
        <f ca="1">(F780/C780)^(1/3)-1</f>
        <v>2.6964951487516098E-2</v>
      </c>
    </row>
    <row r="781" spans="1:7" ht="15.75">
      <c r="A781" s="380" t="s">
        <v>17</v>
      </c>
      <c r="B781" s="388">
        <f>B779+B780</f>
        <v>3015.4127487133328</v>
      </c>
      <c r="C781" s="388">
        <f>C779+C780</f>
        <v>3191.319633981916</v>
      </c>
      <c r="D781" s="388">
        <f>D779+D780</f>
        <v>3369.4067914769003</v>
      </c>
      <c r="E781" s="388">
        <f>E779+E780</f>
        <v>3569.356146469524</v>
      </c>
      <c r="F781" s="388">
        <f ca="1">F779+F780</f>
        <v>3708.2270029854917</v>
      </c>
      <c r="G781" s="389">
        <f ca="1">(F781/C781)^(1/3)-1</f>
        <v>5.1312922379460391E-2</v>
      </c>
    </row>
    <row r="782" spans="1:7" ht="15.75">
      <c r="A782" s="380" t="s">
        <v>1092</v>
      </c>
      <c r="B782" s="388"/>
      <c r="C782" s="389">
        <f>C781/B781-1</f>
        <v>5.8335922783254945E-2</v>
      </c>
      <c r="D782" s="389">
        <f>D781/C781-1</f>
        <v>5.5803610393227565E-2</v>
      </c>
      <c r="E782" s="389">
        <f>E781/D781-1</f>
        <v>5.9342598672978975E-2</v>
      </c>
      <c r="F782" s="389">
        <f ca="1">F781/E781-1</f>
        <v>3.8906416400427357E-2</v>
      </c>
      <c r="G782" s="380"/>
    </row>
    <row r="783" spans="1:7" ht="15.75">
      <c r="A783" s="380"/>
      <c r="B783" s="388"/>
      <c r="C783" s="389"/>
      <c r="D783" s="389"/>
      <c r="E783" s="389"/>
      <c r="F783" s="389"/>
      <c r="G783" s="380"/>
    </row>
    <row r="784" spans="1:7" ht="15.75">
      <c r="A784" s="383" t="s">
        <v>1099</v>
      </c>
      <c r="B784" s="382" t="s">
        <v>1088</v>
      </c>
      <c r="C784" s="382" t="s">
        <v>1078</v>
      </c>
      <c r="D784" s="382" t="s">
        <v>1079</v>
      </c>
      <c r="E784" s="382" t="s">
        <v>1080</v>
      </c>
      <c r="F784" s="382" t="s">
        <v>1081</v>
      </c>
      <c r="G784" s="383" t="s">
        <v>1312</v>
      </c>
    </row>
    <row r="785" spans="1:7" ht="15.75">
      <c r="A785" s="380" t="s">
        <v>1100</v>
      </c>
      <c r="B785" s="388">
        <f>B779-B766</f>
        <v>1252.1888229379128</v>
      </c>
      <c r="C785" s="388">
        <f t="shared" ref="C785:F786" si="244">C779-C766</f>
        <v>1258.3071384904433</v>
      </c>
      <c r="D785" s="388">
        <f>D779-D766</f>
        <v>1281.9541763266552</v>
      </c>
      <c r="E785" s="388">
        <f t="shared" si="244"/>
        <v>1364.6286074291511</v>
      </c>
      <c r="F785" s="388">
        <f t="shared" si="244"/>
        <v>1449.2554328830458</v>
      </c>
      <c r="G785" s="389">
        <f>(F785/C785)^(1/3)-1</f>
        <v>4.8220765433871327E-2</v>
      </c>
    </row>
    <row r="786" spans="1:7" ht="15.75">
      <c r="A786" s="383" t="s">
        <v>1101</v>
      </c>
      <c r="B786" s="390">
        <f>B780-B767</f>
        <v>635.07372907153729</v>
      </c>
      <c r="C786" s="390">
        <f t="shared" si="244"/>
        <v>653.00893509412742</v>
      </c>
      <c r="D786" s="390">
        <f>D780-D767</f>
        <v>682.15881627620217</v>
      </c>
      <c r="E786" s="390">
        <f t="shared" si="244"/>
        <v>719.20351486226889</v>
      </c>
      <c r="F786" s="390">
        <f t="shared" ca="1" si="244"/>
        <v>707.43925886329009</v>
      </c>
      <c r="G786" s="391">
        <f ca="1">(F786/C786)^(1/3)-1</f>
        <v>2.7046273372064888E-2</v>
      </c>
    </row>
    <row r="787" spans="1:7" ht="15.75">
      <c r="A787" s="380" t="s">
        <v>1102</v>
      </c>
      <c r="B787" s="388">
        <f>B785+B786</f>
        <v>1887.2625520094502</v>
      </c>
      <c r="C787" s="388">
        <f>C785+C786</f>
        <v>1911.3160735845709</v>
      </c>
      <c r="D787" s="388">
        <f>D785+D786</f>
        <v>1964.1129926028575</v>
      </c>
      <c r="E787" s="388">
        <f>E785+E786</f>
        <v>2083.8321222914201</v>
      </c>
      <c r="F787" s="388">
        <f ca="1">F785+F786</f>
        <v>2156.694691746336</v>
      </c>
      <c r="G787" s="389">
        <f ca="1">(F787/C787)^(1/3)-1</f>
        <v>4.1083074056461388E-2</v>
      </c>
    </row>
    <row r="788" spans="1:7" ht="15.75">
      <c r="A788" s="380" t="s">
        <v>1092</v>
      </c>
      <c r="B788" s="388"/>
      <c r="C788" s="389">
        <f>C787/B787-1</f>
        <v>1.2745190937800244E-2</v>
      </c>
      <c r="D788" s="389">
        <f>D787/C787-1</f>
        <v>2.7623332293370328E-2</v>
      </c>
      <c r="E788" s="389">
        <f>E787/D787-1</f>
        <v>6.0953280253958297E-2</v>
      </c>
      <c r="F788" s="389">
        <f ca="1">F787/E787-1</f>
        <v>3.4965661905045797E-2</v>
      </c>
      <c r="G788" s="380"/>
    </row>
    <row r="789" spans="1:7" ht="15.75">
      <c r="A789" s="380"/>
      <c r="B789" s="388"/>
      <c r="C789" s="389"/>
      <c r="D789" s="389"/>
      <c r="E789" s="389"/>
      <c r="F789" s="389"/>
      <c r="G789" s="380"/>
    </row>
    <row r="790" spans="1:7" ht="15.75">
      <c r="A790" s="383" t="s">
        <v>1103</v>
      </c>
      <c r="B790" s="382" t="s">
        <v>1088</v>
      </c>
      <c r="C790" s="382" t="s">
        <v>1078</v>
      </c>
      <c r="D790" s="382" t="s">
        <v>1079</v>
      </c>
      <c r="E790" s="382" t="s">
        <v>1080</v>
      </c>
      <c r="F790" s="382" t="s">
        <v>1081</v>
      </c>
      <c r="G790" s="383" t="s">
        <v>1312</v>
      </c>
    </row>
    <row r="791" spans="1:7" ht="15.75">
      <c r="A791" s="380" t="s">
        <v>1083</v>
      </c>
      <c r="B791" s="392">
        <v>549.73119578000001</v>
      </c>
      <c r="C791" s="392">
        <v>537.76820451980007</v>
      </c>
      <c r="D791" s="392">
        <v>496.79210323978805</v>
      </c>
      <c r="E791" s="392">
        <v>495.21371987786233</v>
      </c>
      <c r="F791" s="392">
        <v>493.11886242302256</v>
      </c>
      <c r="G791" s="389">
        <f>(F791/C791)^(1/3)-1</f>
        <v>-2.8479062322790738E-2</v>
      </c>
    </row>
    <row r="792" spans="1:7" ht="15.75">
      <c r="A792" s="383" t="s">
        <v>1104</v>
      </c>
      <c r="B792" s="390">
        <f>AnastasiaLiLAC!T24</f>
        <v>224.8275494672755</v>
      </c>
      <c r="C792" s="390">
        <f>AnastasiaLiLAC!U24</f>
        <v>286.20563138669939</v>
      </c>
      <c r="D792" s="390">
        <f>AnastasiaLiLAC!V24</f>
        <v>344.54623921085084</v>
      </c>
      <c r="E792" s="390">
        <f>AnastasiaLiLAC!W24</f>
        <v>368.14695681374383</v>
      </c>
      <c r="F792" s="390">
        <f ca="1">AnastasiaLiLAC!X24</f>
        <v>289.3751385858975</v>
      </c>
      <c r="G792" s="391">
        <f ca="1">(F792/C792)^(1/3)-1</f>
        <v>3.6778669560069144E-3</v>
      </c>
    </row>
    <row r="793" spans="1:7" ht="15.75">
      <c r="A793" s="380" t="s">
        <v>1105</v>
      </c>
      <c r="B793" s="388">
        <f>B791+B792</f>
        <v>774.55874524727551</v>
      </c>
      <c r="C793" s="388">
        <f>C791+C792</f>
        <v>823.97383590649952</v>
      </c>
      <c r="D793" s="388">
        <f>D791+D792</f>
        <v>841.33834245063895</v>
      </c>
      <c r="E793" s="388">
        <f>E791+E792</f>
        <v>863.36067669160616</v>
      </c>
      <c r="F793" s="388">
        <f ca="1">F791+F792</f>
        <v>782.49400100892012</v>
      </c>
      <c r="G793" s="389">
        <f ca="1">(F793/C793)^(1/3)-1</f>
        <v>-1.7070132718732034E-2</v>
      </c>
    </row>
    <row r="794" spans="1:7" ht="15.75">
      <c r="A794" s="380" t="s">
        <v>1092</v>
      </c>
      <c r="B794" s="388"/>
      <c r="C794" s="389">
        <f>C793/B793-1</f>
        <v>6.379773124044763E-2</v>
      </c>
      <c r="D794" s="389">
        <f>D793/C793-1</f>
        <v>2.1074099428212811E-2</v>
      </c>
      <c r="E794" s="389">
        <f>E793/D793-1</f>
        <v>2.6175360291818883E-2</v>
      </c>
      <c r="F794" s="389">
        <f ca="1">F793/E793-1</f>
        <v>-9.3664997568069341E-2</v>
      </c>
      <c r="G794" s="380"/>
    </row>
    <row r="795" spans="1:7" ht="15.75">
      <c r="A795" s="383" t="s">
        <v>399</v>
      </c>
      <c r="B795" s="390"/>
      <c r="C795" s="390"/>
      <c r="D795" s="390"/>
      <c r="E795" s="390"/>
      <c r="F795" s="390"/>
      <c r="G795" s="391"/>
    </row>
    <row r="796" spans="1:7" ht="15.75">
      <c r="A796" s="380" t="s">
        <v>1106</v>
      </c>
      <c r="B796" s="388">
        <f>B793+B795</f>
        <v>774.55874524727551</v>
      </c>
      <c r="C796" s="388">
        <f>C793+C795</f>
        <v>823.97383590649952</v>
      </c>
      <c r="D796" s="388">
        <f>D793+D795</f>
        <v>841.33834245063895</v>
      </c>
      <c r="E796" s="388">
        <f>E793+E795</f>
        <v>863.36067669160616</v>
      </c>
      <c r="F796" s="388">
        <f ca="1">F793+F795</f>
        <v>782.49400100892012</v>
      </c>
      <c r="G796" s="389">
        <f ca="1">(F796/C796)^(1/3)-1</f>
        <v>-1.7070132718732034E-2</v>
      </c>
    </row>
    <row r="797" spans="1:7" ht="15.75">
      <c r="A797" s="380"/>
      <c r="B797" s="380"/>
      <c r="C797" s="380"/>
      <c r="D797" s="380"/>
      <c r="E797" s="380"/>
      <c r="F797" s="380"/>
      <c r="G797" s="380"/>
    </row>
    <row r="798" spans="1:7" ht="15.75">
      <c r="A798" s="383" t="s">
        <v>1107</v>
      </c>
      <c r="B798" s="382" t="s">
        <v>1077</v>
      </c>
      <c r="C798" s="382" t="s">
        <v>1078</v>
      </c>
      <c r="D798" s="382" t="s">
        <v>1079</v>
      </c>
      <c r="E798" s="382" t="s">
        <v>1080</v>
      </c>
      <c r="F798" s="382" t="s">
        <v>1081</v>
      </c>
      <c r="G798" s="383" t="s">
        <v>1312</v>
      </c>
    </row>
    <row r="799" spans="1:7" ht="15.75">
      <c r="A799" s="380" t="s">
        <v>1083</v>
      </c>
      <c r="B799" s="388">
        <v>463.3194623558</v>
      </c>
      <c r="C799" s="388">
        <v>453.71078436743005</v>
      </c>
      <c r="D799" s="388">
        <v>413.36019295628762</v>
      </c>
      <c r="E799" s="388">
        <v>412.5484637413013</v>
      </c>
      <c r="F799" s="388">
        <v>409.55645128738985</v>
      </c>
      <c r="G799" s="389">
        <f>(F799/C799)^(1/3)-1</f>
        <v>-3.3552597828841901E-2</v>
      </c>
    </row>
    <row r="800" spans="1:7" ht="15.75">
      <c r="A800" s="383" t="s">
        <v>1104</v>
      </c>
      <c r="B800" s="390">
        <f>VTR!P122/Forex!K38*1000+PR!P118*0.6</f>
        <v>193.58754946727549</v>
      </c>
      <c r="C800" s="390">
        <f>VTR!Q122/Forex!L38*1000+PR!Q118*0.6</f>
        <v>249.80563138669939</v>
      </c>
      <c r="D800" s="390">
        <f>VTR!R122/Forex!M38*1000+PR!R118*0.6</f>
        <v>291.74623921085083</v>
      </c>
      <c r="E800" s="390">
        <f>VTR!S122/Forex!N38*1000+PR!S118*0.6</f>
        <v>305.8205740882463</v>
      </c>
      <c r="F800" s="390">
        <f ca="1">VTR!T122/Forex!O38*1000+PR!T118*0.6</f>
        <v>255.05718431053796</v>
      </c>
      <c r="G800" s="391">
        <f ca="1">(F800/C800)^(1/3)-1</f>
        <v>6.9589790080177849E-3</v>
      </c>
    </row>
    <row r="801" spans="1:7" ht="15.75">
      <c r="A801" s="380" t="s">
        <v>1105</v>
      </c>
      <c r="B801" s="388">
        <f>B799+B800</f>
        <v>656.90701182307544</v>
      </c>
      <c r="C801" s="388">
        <f>C799+C800</f>
        <v>703.51641575412941</v>
      </c>
      <c r="D801" s="388">
        <f>D799+D800</f>
        <v>705.10643216713845</v>
      </c>
      <c r="E801" s="388">
        <f>E799+E800</f>
        <v>718.36903782954755</v>
      </c>
      <c r="F801" s="388">
        <f ca="1">F799+F800</f>
        <v>664.61363559792778</v>
      </c>
      <c r="G801" s="389">
        <f ca="1">(F801/C801)^(1/3)-1</f>
        <v>-1.8783135703945408E-2</v>
      </c>
    </row>
    <row r="802" spans="1:7" ht="15.75">
      <c r="A802" s="383" t="s">
        <v>399</v>
      </c>
      <c r="B802" s="390"/>
      <c r="C802" s="390"/>
      <c r="D802" s="390"/>
      <c r="E802" s="390"/>
      <c r="F802" s="390"/>
      <c r="G802" s="391"/>
    </row>
    <row r="803" spans="1:7" ht="15.75">
      <c r="A803" s="380" t="s">
        <v>1106</v>
      </c>
      <c r="B803" s="388">
        <f>B801+B802</f>
        <v>656.90701182307544</v>
      </c>
      <c r="C803" s="388">
        <f>C801+C802</f>
        <v>703.51641575412941</v>
      </c>
      <c r="D803" s="388">
        <f>D801+D802</f>
        <v>705.10643216713845</v>
      </c>
      <c r="E803" s="388">
        <f>E801+E802</f>
        <v>718.36903782954755</v>
      </c>
      <c r="F803" s="388">
        <f ca="1">F801+F802</f>
        <v>664.61363559792778</v>
      </c>
      <c r="G803" s="389">
        <f ca="1">(F803/C803)^(1/3)-1</f>
        <v>-1.8783135703945408E-2</v>
      </c>
    </row>
    <row r="804" spans="1:7" ht="15.75">
      <c r="A804" s="380"/>
      <c r="B804" s="388"/>
      <c r="C804" s="389"/>
      <c r="D804" s="389"/>
      <c r="E804" s="389"/>
      <c r="F804" s="389"/>
      <c r="G804" s="380"/>
    </row>
    <row r="805" spans="1:7" ht="15.75">
      <c r="A805" s="383" t="s">
        <v>1108</v>
      </c>
      <c r="B805" s="382" t="s">
        <v>1088</v>
      </c>
      <c r="C805" s="382" t="s">
        <v>1078</v>
      </c>
      <c r="D805" s="382" t="s">
        <v>1079</v>
      </c>
      <c r="E805" s="382" t="s">
        <v>1080</v>
      </c>
      <c r="F805" s="382" t="s">
        <v>1081</v>
      </c>
      <c r="G805" s="383" t="s">
        <v>1312</v>
      </c>
    </row>
    <row r="806" spans="1:7" ht="15.75">
      <c r="A806" s="380" t="s">
        <v>1109</v>
      </c>
      <c r="B806" s="388" t="e">
        <f>B758-B791</f>
        <v>#REF!</v>
      </c>
      <c r="C806" s="388" t="e">
        <f>C758-C791</f>
        <v>#REF!</v>
      </c>
      <c r="D806" s="388" t="e">
        <f>D758-D791</f>
        <v>#REF!</v>
      </c>
      <c r="E806" s="388" t="e">
        <f>E758-E791</f>
        <v>#REF!</v>
      </c>
      <c r="F806" s="388" t="e">
        <f>F758-F791</f>
        <v>#REF!</v>
      </c>
      <c r="G806" s="389" t="e">
        <f>(F806/C806)^(1/3)-1</f>
        <v>#REF!</v>
      </c>
    </row>
    <row r="807" spans="1:7" ht="15.75">
      <c r="A807" s="383" t="s">
        <v>1110</v>
      </c>
      <c r="B807" s="390">
        <f t="shared" ref="B807:F808" si="245">B759-B792</f>
        <v>267.35205479452048</v>
      </c>
      <c r="C807" s="390">
        <f t="shared" si="245"/>
        <v>251.39444551248874</v>
      </c>
      <c r="D807" s="390">
        <f t="shared" si="245"/>
        <v>171.00616522811339</v>
      </c>
      <c r="E807" s="390">
        <f t="shared" si="245"/>
        <v>172.0812094958917</v>
      </c>
      <c r="F807" s="390">
        <f t="shared" ca="1" si="245"/>
        <v>276.79724569387372</v>
      </c>
      <c r="G807" s="391">
        <f ca="1">(F807/C807)^(1/3)-1</f>
        <v>3.2607707040629208E-2</v>
      </c>
    </row>
    <row r="808" spans="1:7" ht="15.75">
      <c r="A808" s="380" t="s">
        <v>1111</v>
      </c>
      <c r="B808" s="388">
        <f t="shared" si="245"/>
        <v>2816.9745880860573</v>
      </c>
      <c r="C808" s="388" t="e">
        <f t="shared" si="245"/>
        <v>#REF!</v>
      </c>
      <c r="D808" s="388" t="e">
        <f t="shared" si="245"/>
        <v>#REF!</v>
      </c>
      <c r="E808" s="388" t="e">
        <f t="shared" si="245"/>
        <v>#REF!</v>
      </c>
      <c r="F808" s="388" t="e">
        <f t="shared" ca="1" si="245"/>
        <v>#REF!</v>
      </c>
      <c r="G808" s="389" t="e">
        <f ca="1">(F808/C808)^(1/3)-1</f>
        <v>#REF!</v>
      </c>
    </row>
    <row r="809" spans="1:7" ht="15.75">
      <c r="A809" s="380" t="s">
        <v>1092</v>
      </c>
      <c r="B809" s="388"/>
      <c r="C809" s="389" t="e">
        <f>C808/B808-1</f>
        <v>#REF!</v>
      </c>
      <c r="D809" s="389" t="e">
        <f>D808/C808-1</f>
        <v>#REF!</v>
      </c>
      <c r="E809" s="389" t="e">
        <f>E808/D808-1</f>
        <v>#REF!</v>
      </c>
      <c r="F809" s="389" t="e">
        <f ca="1">F808/E808-1</f>
        <v>#REF!</v>
      </c>
      <c r="G809" s="380"/>
    </row>
    <row r="810" spans="1:7" ht="15.75">
      <c r="A810" s="383" t="s">
        <v>399</v>
      </c>
      <c r="B810" s="390">
        <f t="shared" ref="B810:F811" si="246">B762-B795</f>
        <v>0</v>
      </c>
      <c r="C810" s="390" t="e">
        <f t="shared" si="246"/>
        <v>#REF!</v>
      </c>
      <c r="D810" s="390" t="e">
        <f t="shared" si="246"/>
        <v>#REF!</v>
      </c>
      <c r="E810" s="390" t="e">
        <f t="shared" si="246"/>
        <v>#REF!</v>
      </c>
      <c r="F810" s="390" t="e">
        <f t="shared" si="246"/>
        <v>#REF!</v>
      </c>
      <c r="G810" s="391"/>
    </row>
    <row r="811" spans="1:7" ht="15.75">
      <c r="A811" s="380" t="s">
        <v>1112</v>
      </c>
      <c r="B811" s="388">
        <f t="shared" si="246"/>
        <v>2816.9745880860573</v>
      </c>
      <c r="C811" s="388" t="e">
        <f t="shared" si="246"/>
        <v>#REF!</v>
      </c>
      <c r="D811" s="388" t="e">
        <f t="shared" si="246"/>
        <v>#REF!</v>
      </c>
      <c r="E811" s="388" t="e">
        <f t="shared" si="246"/>
        <v>#REF!</v>
      </c>
      <c r="F811" s="388" t="e">
        <f t="shared" ca="1" si="246"/>
        <v>#REF!</v>
      </c>
      <c r="G811" s="389" t="e">
        <f ca="1">(F811/C811)^(1/3)-1</f>
        <v>#REF!</v>
      </c>
    </row>
    <row r="812" spans="1:7" ht="15.75">
      <c r="A812" s="380"/>
      <c r="B812" s="380"/>
      <c r="C812" s="380"/>
      <c r="D812" s="380"/>
      <c r="E812" s="380"/>
      <c r="F812" s="380"/>
      <c r="G812" s="380"/>
    </row>
    <row r="813" spans="1:7" ht="15.75">
      <c r="A813" s="383" t="s">
        <v>1113</v>
      </c>
      <c r="B813" s="382" t="s">
        <v>1077</v>
      </c>
      <c r="C813" s="382" t="s">
        <v>1078</v>
      </c>
      <c r="D813" s="382" t="s">
        <v>1079</v>
      </c>
      <c r="E813" s="382" t="s">
        <v>1080</v>
      </c>
      <c r="F813" s="382" t="s">
        <v>1081</v>
      </c>
      <c r="G813" s="383" t="s">
        <v>1312</v>
      </c>
    </row>
    <row r="814" spans="1:7" ht="15.75">
      <c r="A814" s="380" t="s">
        <v>1109</v>
      </c>
      <c r="B814" s="388">
        <f>B766-B799</f>
        <v>239.05113008628695</v>
      </c>
      <c r="C814" s="388">
        <f>C766-C799</f>
        <v>368.21269913072706</v>
      </c>
      <c r="D814" s="388">
        <f>D766-D799</f>
        <v>529.58120147879083</v>
      </c>
      <c r="E814" s="388">
        <f>E766-E799</f>
        <v>586.30912928189196</v>
      </c>
      <c r="F814" s="388">
        <f>F766-F799</f>
        <v>645.9992912352302</v>
      </c>
      <c r="G814" s="389">
        <f>(F814/C814)^(1/3)-1</f>
        <v>0.20608456516850904</v>
      </c>
    </row>
    <row r="815" spans="1:7" ht="15.75">
      <c r="A815" s="383" t="s">
        <v>1110</v>
      </c>
      <c r="B815" s="390">
        <f t="shared" ref="B815:F817" si="247">B767-B800</f>
        <v>232.19205479452046</v>
      </c>
      <c r="C815" s="390">
        <f t="shared" si="247"/>
        <v>208.27444551248877</v>
      </c>
      <c r="D815" s="390">
        <f t="shared" si="247"/>
        <v>170.60616522811347</v>
      </c>
      <c r="E815" s="390">
        <f t="shared" si="247"/>
        <v>180.84585706666473</v>
      </c>
      <c r="F815" s="390">
        <f t="shared" ca="1" si="247"/>
        <v>240.91938440599782</v>
      </c>
      <c r="G815" s="391">
        <f ca="1">(F815/C815)^(1/3)-1</f>
        <v>4.973236143466786E-2</v>
      </c>
    </row>
    <row r="816" spans="1:7" ht="15.75">
      <c r="A816" s="380" t="s">
        <v>1111</v>
      </c>
      <c r="B816" s="388">
        <f t="shared" si="247"/>
        <v>471.24318488080758</v>
      </c>
      <c r="C816" s="388">
        <f t="shared" si="247"/>
        <v>576.48714464321574</v>
      </c>
      <c r="D816" s="388">
        <f t="shared" si="247"/>
        <v>700.1873667069043</v>
      </c>
      <c r="E816" s="388">
        <f t="shared" si="247"/>
        <v>767.1549863485568</v>
      </c>
      <c r="F816" s="388">
        <f t="shared" ca="1" si="247"/>
        <v>886.91867564122788</v>
      </c>
      <c r="G816" s="389">
        <f ca="1">(F816/C816)^(1/3)-1</f>
        <v>0.1544223445712174</v>
      </c>
    </row>
    <row r="817" spans="1:11" ht="15.75">
      <c r="A817" s="383" t="s">
        <v>399</v>
      </c>
      <c r="B817" s="390">
        <f t="shared" si="247"/>
        <v>0</v>
      </c>
      <c r="C817" s="390" t="e">
        <f t="shared" si="247"/>
        <v>#REF!</v>
      </c>
      <c r="D817" s="390" t="e">
        <f t="shared" si="247"/>
        <v>#REF!</v>
      </c>
      <c r="E817" s="390" t="e">
        <f t="shared" si="247"/>
        <v>#REF!</v>
      </c>
      <c r="F817" s="390" t="e">
        <f t="shared" si="247"/>
        <v>#REF!</v>
      </c>
      <c r="G817" s="391"/>
    </row>
    <row r="818" spans="1:11" ht="15.75">
      <c r="A818" s="380" t="s">
        <v>1112</v>
      </c>
      <c r="B818" s="388">
        <f>B816+B817</f>
        <v>471.24318488080758</v>
      </c>
      <c r="C818" s="388" t="e">
        <f>C816+C817</f>
        <v>#REF!</v>
      </c>
      <c r="D818" s="388" t="e">
        <f>D816+D817</f>
        <v>#REF!</v>
      </c>
      <c r="E818" s="388" t="e">
        <f>E816+E817</f>
        <v>#REF!</v>
      </c>
      <c r="F818" s="388" t="e">
        <f ca="1">F816+F817</f>
        <v>#REF!</v>
      </c>
      <c r="G818" s="389" t="e">
        <f ca="1">(F818/C818)^(1/3)-1</f>
        <v>#REF!</v>
      </c>
    </row>
    <row r="819" spans="1:11" ht="15.75">
      <c r="A819" s="380"/>
      <c r="B819" s="388"/>
      <c r="C819" s="389"/>
      <c r="D819" s="389"/>
      <c r="E819" s="389"/>
      <c r="F819" s="389"/>
      <c r="G819" s="380"/>
    </row>
    <row r="820" spans="1:11" ht="15.75">
      <c r="A820" s="383" t="s">
        <v>325</v>
      </c>
      <c r="B820" s="520" t="str">
        <f>B813</f>
        <v xml:space="preserve"> Mar 16</v>
      </c>
      <c r="C820" s="520" t="str">
        <f>C813</f>
        <v xml:space="preserve"> Mar 17</v>
      </c>
      <c r="D820" s="520" t="str">
        <f>D813</f>
        <v xml:space="preserve"> Mar 18</v>
      </c>
      <c r="E820" s="520" t="str">
        <f>E813</f>
        <v xml:space="preserve"> Mar 19</v>
      </c>
      <c r="F820" s="520" t="str">
        <f>F813</f>
        <v xml:space="preserve"> Mar 20</v>
      </c>
      <c r="G820" s="388"/>
    </row>
    <row r="821" spans="1:11" ht="15.75">
      <c r="A821" s="380" t="s">
        <v>1547</v>
      </c>
      <c r="B821" s="388" t="e">
        <f>Master!#REF!-Master!#REF!+CWI!J325</f>
        <v>#REF!</v>
      </c>
      <c r="C821" s="388" t="e">
        <f>B821</f>
        <v>#REF!</v>
      </c>
      <c r="D821" s="388" t="e">
        <f>C821</f>
        <v>#REF!</v>
      </c>
      <c r="E821" s="388" t="e">
        <f>D821</f>
        <v>#REF!</v>
      </c>
      <c r="F821" s="388" t="e">
        <f>E821</f>
        <v>#REF!</v>
      </c>
      <c r="G821" s="380"/>
    </row>
    <row r="822" spans="1:11" ht="15.75">
      <c r="A822" s="383" t="s">
        <v>1427</v>
      </c>
      <c r="B822" s="390" t="e">
        <f>Master!#REF!</f>
        <v>#REF!</v>
      </c>
      <c r="C822" s="390" t="e">
        <f>Master!#REF!</f>
        <v>#REF!</v>
      </c>
      <c r="D822" s="390" t="e">
        <f>Master!#REF!</f>
        <v>#REF!</v>
      </c>
      <c r="E822" s="390" t="e">
        <f>Master!#REF!</f>
        <v>#REF!</v>
      </c>
      <c r="F822" s="390" t="e">
        <f>Master!#REF!</f>
        <v>#REF!</v>
      </c>
      <c r="G822" s="380"/>
    </row>
    <row r="823" spans="1:11" ht="15.75">
      <c r="A823" s="380" t="s">
        <v>16</v>
      </c>
      <c r="B823" s="388" t="e">
        <f>B821+B822</f>
        <v>#REF!</v>
      </c>
      <c r="C823" s="388" t="e">
        <f>C821+C822</f>
        <v>#REF!</v>
      </c>
      <c r="D823" s="388" t="e">
        <f>D821+D822</f>
        <v>#REF!</v>
      </c>
      <c r="E823" s="388" t="e">
        <f>E821+E822</f>
        <v>#REF!</v>
      </c>
      <c r="F823" s="388" t="e">
        <f>F821+F822</f>
        <v>#REF!</v>
      </c>
      <c r="G823" s="380"/>
      <c r="H823" s="92" t="s">
        <v>1536</v>
      </c>
    </row>
    <row r="824" spans="1:11" ht="15.75">
      <c r="A824" s="380"/>
      <c r="B824" s="388"/>
      <c r="C824" s="389"/>
      <c r="D824" s="389"/>
      <c r="E824" s="389"/>
      <c r="F824" s="389"/>
      <c r="G824" s="380"/>
    </row>
    <row r="825" spans="1:11" ht="15.75">
      <c r="A825" s="380" t="s">
        <v>1114</v>
      </c>
      <c r="B825" s="388"/>
      <c r="C825" s="393">
        <v>0</v>
      </c>
      <c r="D825" s="393">
        <v>0</v>
      </c>
      <c r="E825" s="393">
        <v>0.03</v>
      </c>
      <c r="F825" s="393">
        <v>3.5000000000000003E-2</v>
      </c>
      <c r="G825" s="380"/>
      <c r="H825" s="393">
        <v>5.0000000000000001E-3</v>
      </c>
      <c r="I825" s="393">
        <v>1.4999999999999999E-2</v>
      </c>
      <c r="J825" s="393">
        <v>0.03</v>
      </c>
      <c r="K825" s="393">
        <v>4.4999999999999998E-2</v>
      </c>
    </row>
    <row r="826" spans="1:11" ht="15.75">
      <c r="A826" s="380" t="s">
        <v>1115</v>
      </c>
      <c r="B826" s="388"/>
      <c r="C826" s="388" t="e">
        <f>C823*C825</f>
        <v>#REF!</v>
      </c>
      <c r="D826" s="388" t="e">
        <f>D823*D825</f>
        <v>#REF!</v>
      </c>
      <c r="E826" s="388" t="e">
        <f>E823*E825</f>
        <v>#REF!</v>
      </c>
      <c r="F826" s="388" t="e">
        <f>F823*F825</f>
        <v>#REF!</v>
      </c>
      <c r="G826" s="388"/>
    </row>
    <row r="827" spans="1:11" ht="15.75">
      <c r="A827" s="380" t="s">
        <v>1116</v>
      </c>
      <c r="B827" s="388"/>
      <c r="C827" s="388" t="e">
        <f>C826*0.72</f>
        <v>#REF!</v>
      </c>
      <c r="D827" s="388" t="e">
        <f>D826*0.72</f>
        <v>#REF!</v>
      </c>
      <c r="E827" s="388" t="e">
        <f>E826*0.72</f>
        <v>#REF!</v>
      </c>
      <c r="F827" s="388" t="e">
        <f>F826*0.72</f>
        <v>#REF!</v>
      </c>
      <c r="G827" s="389"/>
      <c r="H827" s="392">
        <v>75</v>
      </c>
      <c r="I827" s="392">
        <v>90</v>
      </c>
      <c r="J827" s="392">
        <v>110</v>
      </c>
      <c r="K827" s="392">
        <v>125</v>
      </c>
    </row>
    <row r="828" spans="1:11" ht="15.75">
      <c r="A828" s="380" t="s">
        <v>1117</v>
      </c>
      <c r="B828" s="388" t="e">
        <f>NPV(8.4%,E827:F827)</f>
        <v>#REF!</v>
      </c>
      <c r="C828" s="389"/>
      <c r="D828" s="388"/>
      <c r="E828" s="388"/>
      <c r="F828" s="388"/>
      <c r="G828" s="380"/>
      <c r="H828" s="392">
        <v>75</v>
      </c>
      <c r="I828" s="392">
        <v>125</v>
      </c>
      <c r="J828" s="392">
        <v>150</v>
      </c>
      <c r="K828" s="392">
        <v>175</v>
      </c>
    </row>
    <row r="829" spans="1:11" ht="15.75">
      <c r="A829" s="380" t="s">
        <v>1118</v>
      </c>
      <c r="B829" s="388" t="e">
        <f>F827/(8.4%-0%)</f>
        <v>#REF!</v>
      </c>
      <c r="C829" s="389"/>
      <c r="D829" s="388"/>
      <c r="E829" s="388"/>
      <c r="F829" s="388"/>
      <c r="G829" s="380"/>
      <c r="H829" s="392">
        <v>100</v>
      </c>
      <c r="I829" s="392">
        <v>185</v>
      </c>
      <c r="J829" s="392">
        <v>200</v>
      </c>
      <c r="K829" s="392">
        <v>225</v>
      </c>
    </row>
    <row r="830" spans="1:11" ht="15.75">
      <c r="A830" s="380" t="s">
        <v>1119</v>
      </c>
      <c r="B830" s="388" t="e">
        <f>B829/(1+8%)^2</f>
        <v>#REF!</v>
      </c>
      <c r="C830" s="389"/>
      <c r="D830" s="388"/>
      <c r="E830" s="388"/>
      <c r="F830" s="388"/>
      <c r="G830" s="380"/>
      <c r="H830" s="392">
        <v>100</v>
      </c>
      <c r="I830" s="392">
        <v>200</v>
      </c>
      <c r="J830" s="392">
        <v>240</v>
      </c>
      <c r="K830" s="392">
        <v>275</v>
      </c>
    </row>
    <row r="831" spans="1:11" ht="15.75">
      <c r="A831" s="394" t="s">
        <v>1428</v>
      </c>
      <c r="B831" s="395" t="e">
        <f>B828+B830</f>
        <v>#REF!</v>
      </c>
      <c r="D831" s="388"/>
      <c r="E831" s="388"/>
      <c r="F831" s="388"/>
      <c r="G831" s="380"/>
      <c r="H831" s="392">
        <v>100</v>
      </c>
      <c r="I831" s="392">
        <v>225</v>
      </c>
      <c r="J831" s="392">
        <v>275</v>
      </c>
      <c r="K831" s="392">
        <v>325</v>
      </c>
    </row>
    <row r="832" spans="1:11" ht="15.75">
      <c r="A832" s="380"/>
      <c r="B832" s="388"/>
      <c r="C832" s="389"/>
      <c r="D832" s="388"/>
      <c r="E832" s="388"/>
      <c r="F832" s="388"/>
      <c r="G832" s="380"/>
      <c r="H832" s="392">
        <v>125</v>
      </c>
      <c r="I832" s="392">
        <v>250</v>
      </c>
      <c r="J832" s="392">
        <v>325</v>
      </c>
      <c r="K832" s="392">
        <v>375</v>
      </c>
    </row>
    <row r="833" spans="1:7" ht="15.75">
      <c r="A833" s="394" t="s">
        <v>1429</v>
      </c>
      <c r="B833" s="395" t="e">
        <f>SOP!#REF!</f>
        <v>#REF!</v>
      </c>
      <c r="C833" s="389"/>
      <c r="D833" s="389"/>
      <c r="E833" s="389"/>
      <c r="F833" s="389"/>
      <c r="G833" s="380"/>
    </row>
    <row r="834" spans="1:7" ht="15.75">
      <c r="A834" s="380"/>
      <c r="B834" s="388" t="e">
        <f>B831+CWI!G361</f>
        <v>#REF!</v>
      </c>
      <c r="C834" s="389"/>
      <c r="D834" s="389"/>
      <c r="E834" s="389"/>
      <c r="F834" s="389"/>
      <c r="G834" s="380"/>
    </row>
    <row r="835" spans="1:7" ht="15.75">
      <c r="A835" s="380" t="s">
        <v>1541</v>
      </c>
      <c r="B835" s="388"/>
      <c r="C835" s="389"/>
      <c r="D835" s="389"/>
      <c r="E835" s="389"/>
      <c r="F835" s="389"/>
      <c r="G835" s="380"/>
    </row>
    <row r="836" spans="1:7" ht="15.75">
      <c r="A836" s="533"/>
      <c r="B836" s="534"/>
      <c r="C836" s="534"/>
      <c r="D836" s="541" t="s">
        <v>1558</v>
      </c>
      <c r="E836" s="534"/>
      <c r="F836" s="535"/>
    </row>
    <row r="837" spans="1:7" ht="15.75">
      <c r="A837" s="544" t="s">
        <v>1540</v>
      </c>
      <c r="B837" s="407" t="e">
        <f>B838/$F$823</f>
        <v>#REF!</v>
      </c>
      <c r="C837" s="407" t="e">
        <f>C838/$F$823</f>
        <v>#REF!</v>
      </c>
      <c r="D837" s="545" t="e">
        <f>D838/$F$823</f>
        <v>#REF!</v>
      </c>
      <c r="E837" s="407" t="e">
        <f>E838/$F$823</f>
        <v>#REF!</v>
      </c>
      <c r="F837" s="546" t="e">
        <f>F838/$F$823</f>
        <v>#REF!</v>
      </c>
    </row>
    <row r="838" spans="1:7" ht="15.75">
      <c r="A838" s="536" t="s">
        <v>1538</v>
      </c>
      <c r="B838" s="388">
        <v>125</v>
      </c>
      <c r="C838" s="388">
        <f>B838+50</f>
        <v>175</v>
      </c>
      <c r="D838" s="542">
        <f>C838+50</f>
        <v>225</v>
      </c>
      <c r="E838" s="388">
        <f>D838+50</f>
        <v>275</v>
      </c>
      <c r="F838" s="537">
        <f>E838+50</f>
        <v>325</v>
      </c>
    </row>
    <row r="839" spans="1:7" ht="15.75">
      <c r="A839" s="536" t="s">
        <v>1537</v>
      </c>
      <c r="B839" s="388">
        <v>1008</v>
      </c>
      <c r="C839" s="388">
        <v>1389</v>
      </c>
      <c r="D839" s="542">
        <v>1807</v>
      </c>
      <c r="E839" s="388">
        <v>2175</v>
      </c>
      <c r="F839" s="537">
        <v>2547</v>
      </c>
    </row>
    <row r="840" spans="1:7" ht="15.75">
      <c r="A840" s="536" t="s">
        <v>1539</v>
      </c>
      <c r="B840" s="388">
        <f>B839*SOP!$C$62</f>
        <v>0</v>
      </c>
      <c r="C840" s="388">
        <f>C839*SOP!$C$62</f>
        <v>0</v>
      </c>
      <c r="D840" s="542">
        <f>D839*SOP!$C$62</f>
        <v>0</v>
      </c>
      <c r="E840" s="388">
        <f>E839*SOP!$C$62</f>
        <v>0</v>
      </c>
      <c r="F840" s="537">
        <f>F839*SOP!$C$62</f>
        <v>0</v>
      </c>
    </row>
    <row r="841" spans="1:7" ht="15.75">
      <c r="A841" s="538" t="s">
        <v>1535</v>
      </c>
      <c r="B841" s="539">
        <f ca="1">(B840-$D$840)/SOP!$G$35+C841</f>
        <v>14.844089563330112</v>
      </c>
      <c r="C841" s="539">
        <f ca="1">(C840-$D$840)/SOP!$G$35+D841</f>
        <v>14.844089563330112</v>
      </c>
      <c r="D841" s="543">
        <f ca="1">SOP!G36</f>
        <v>14.844089563330112</v>
      </c>
      <c r="E841" s="539">
        <f ca="1">(E840-$D$840)/SOP!$G$35+D841</f>
        <v>14.844089563330112</v>
      </c>
      <c r="F841" s="540">
        <f ca="1">(F840-$D$840)/SOP!$G$35+E841</f>
        <v>14.844089563330112</v>
      </c>
    </row>
    <row r="842" spans="1:7" ht="15.75">
      <c r="A842" s="388"/>
      <c r="B842" s="524"/>
      <c r="C842" s="524"/>
      <c r="D842" s="389"/>
      <c r="E842" s="524"/>
      <c r="F842" s="524"/>
      <c r="G842" s="524"/>
    </row>
    <row r="843" spans="1:7" ht="15.75">
      <c r="A843" s="380"/>
      <c r="B843" s="388"/>
      <c r="C843" s="389"/>
      <c r="D843" s="389"/>
      <c r="E843" s="389"/>
      <c r="F843" s="389"/>
      <c r="G843" s="380"/>
    </row>
    <row r="844" spans="1:7" ht="15.75">
      <c r="A844" s="380"/>
      <c r="B844" s="388"/>
      <c r="C844" s="389"/>
      <c r="D844" s="389"/>
      <c r="E844" s="389"/>
      <c r="F844" s="389"/>
      <c r="G844" s="380"/>
    </row>
    <row r="845" spans="1:7" ht="15.75">
      <c r="A845" s="380"/>
      <c r="B845" s="388"/>
      <c r="C845" s="389"/>
      <c r="D845" s="389"/>
      <c r="E845" s="389"/>
      <c r="F845" s="389"/>
      <c r="G845" s="380"/>
    </row>
    <row r="846" spans="1:7" ht="15.75">
      <c r="A846" s="380"/>
      <c r="B846" s="388"/>
      <c r="C846" s="389"/>
      <c r="D846" s="389"/>
      <c r="E846" s="389"/>
      <c r="F846" s="389"/>
      <c r="G846" s="380"/>
    </row>
    <row r="847" spans="1:7">
      <c r="A847" s="303" t="s">
        <v>1120</v>
      </c>
    </row>
    <row r="848" spans="1:7">
      <c r="C848" s="92" t="s">
        <v>1121</v>
      </c>
      <c r="D848" s="92" t="s">
        <v>1122</v>
      </c>
    </row>
    <row r="849" spans="1:13">
      <c r="B849" s="92" t="s">
        <v>1123</v>
      </c>
      <c r="C849" s="338">
        <v>31.7</v>
      </c>
    </row>
    <row r="850" spans="1:13">
      <c r="B850" s="92" t="s">
        <v>1124</v>
      </c>
      <c r="C850" s="338">
        <v>77.5</v>
      </c>
    </row>
    <row r="851" spans="1:13">
      <c r="B851" s="92" t="s">
        <v>1125</v>
      </c>
      <c r="C851" s="338">
        <v>3.6</v>
      </c>
    </row>
    <row r="852" spans="1:13">
      <c r="B852" s="92" t="s">
        <v>1126</v>
      </c>
      <c r="C852" s="338">
        <v>8.9</v>
      </c>
    </row>
    <row r="853" spans="1:13">
      <c r="D853" s="92" t="s">
        <v>1127</v>
      </c>
      <c r="E853" s="92" t="s">
        <v>1128</v>
      </c>
      <c r="F853" s="92" t="s">
        <v>1129</v>
      </c>
      <c r="G853" s="92" t="s">
        <v>1130</v>
      </c>
      <c r="H853" s="92" t="s">
        <v>1131</v>
      </c>
      <c r="I853" s="92" t="s">
        <v>1132</v>
      </c>
      <c r="J853" s="92" t="s">
        <v>1133</v>
      </c>
      <c r="K853" s="92" t="s">
        <v>1134</v>
      </c>
      <c r="L853" s="92" t="s">
        <v>1135</v>
      </c>
    </row>
    <row r="854" spans="1:13">
      <c r="A854" s="353" t="s">
        <v>1136</v>
      </c>
      <c r="B854" s="92" t="s">
        <v>29</v>
      </c>
      <c r="C854" s="92" t="s">
        <v>1137</v>
      </c>
      <c r="D854" s="338">
        <v>7.9209999999999992E-3</v>
      </c>
      <c r="E854" s="338">
        <v>8.3009999999999994E-3</v>
      </c>
      <c r="F854" s="92">
        <f>AVERAGE(D854,E854)</f>
        <v>8.1110000000000002E-3</v>
      </c>
      <c r="G854" s="236">
        <f>F854*$B$690</f>
        <v>36.001437823863</v>
      </c>
      <c r="H854" s="338">
        <v>45.87</v>
      </c>
      <c r="I854" s="345">
        <f>G854*H854</f>
        <v>1651.3859529805957</v>
      </c>
    </row>
    <row r="855" spans="1:13">
      <c r="B855" s="175"/>
      <c r="C855" s="175" t="s">
        <v>1138</v>
      </c>
      <c r="D855" s="396">
        <v>1.9390999999999999E-2</v>
      </c>
      <c r="E855" s="396">
        <v>2.0320999999999999E-2</v>
      </c>
      <c r="F855" s="175">
        <f>AVERAGE(D855,E855)</f>
        <v>1.9855999999999999E-2</v>
      </c>
      <c r="G855" s="238">
        <f>F855*$B$690</f>
        <v>88.132727090447986</v>
      </c>
      <c r="H855" s="396">
        <v>43.99</v>
      </c>
      <c r="I855" s="355">
        <f>G855*H855</f>
        <v>3876.9586647088072</v>
      </c>
    </row>
    <row r="856" spans="1:13">
      <c r="B856" s="92" t="s">
        <v>1139</v>
      </c>
      <c r="I856" s="345">
        <f>I854+I855</f>
        <v>5528.3446176894031</v>
      </c>
      <c r="J856" s="92">
        <f>$B$692</f>
        <v>1.5206</v>
      </c>
      <c r="K856" s="92">
        <f>I856/J856</f>
        <v>3635.633708857953</v>
      </c>
      <c r="L856" s="369">
        <f>K856/$B$690</f>
        <v>0.81909575825332115</v>
      </c>
      <c r="M856" s="369"/>
    </row>
    <row r="857" spans="1:13">
      <c r="B857" s="92" t="s">
        <v>1140</v>
      </c>
      <c r="I857" s="345"/>
      <c r="L857" s="369">
        <v>0.03</v>
      </c>
      <c r="M857" s="369"/>
    </row>
    <row r="858" spans="1:13">
      <c r="B858" s="92" t="s">
        <v>1141</v>
      </c>
      <c r="I858" s="345"/>
      <c r="L858" s="369">
        <f>L856+L857</f>
        <v>0.84909575825332118</v>
      </c>
      <c r="M858" s="369"/>
    </row>
    <row r="859" spans="1:13">
      <c r="I859" s="345"/>
    </row>
    <row r="860" spans="1:13">
      <c r="B860" s="92" t="s">
        <v>1142</v>
      </c>
      <c r="I860" s="345"/>
    </row>
    <row r="861" spans="1:13">
      <c r="C861" s="92" t="str">
        <f>C854</f>
        <v>LBTYA</v>
      </c>
      <c r="G861" s="337">
        <v>23.914687000000001</v>
      </c>
      <c r="H861" s="92">
        <f>H854</f>
        <v>45.87</v>
      </c>
      <c r="I861" s="345">
        <f>G861*H861</f>
        <v>1096.9666926899999</v>
      </c>
    </row>
    <row r="862" spans="1:13">
      <c r="B862" s="175"/>
      <c r="C862" s="175" t="str">
        <f>C855</f>
        <v>LIBTYK</v>
      </c>
      <c r="D862" s="175"/>
      <c r="E862" s="175"/>
      <c r="F862" s="175"/>
      <c r="G862" s="397">
        <v>58.547553999999998</v>
      </c>
      <c r="H862" s="175">
        <f>H855</f>
        <v>43.99</v>
      </c>
      <c r="I862" s="355">
        <f>G862*H862</f>
        <v>2575.50690046</v>
      </c>
      <c r="J862" s="175"/>
      <c r="K862" s="175"/>
      <c r="L862" s="175"/>
    </row>
    <row r="863" spans="1:13">
      <c r="I863" s="345">
        <f>SUM(I861:I862)</f>
        <v>3672.4735931499999</v>
      </c>
      <c r="J863" s="124">
        <f>I863/I856</f>
        <v>0.66429896236912367</v>
      </c>
    </row>
    <row r="865" spans="1:13">
      <c r="A865" s="353" t="s">
        <v>1143</v>
      </c>
      <c r="B865" s="92" t="s">
        <v>1142</v>
      </c>
      <c r="G865" s="92" t="s">
        <v>1144</v>
      </c>
      <c r="H865" s="92" t="s">
        <v>1131</v>
      </c>
      <c r="I865" s="92" t="s">
        <v>1132</v>
      </c>
      <c r="L865" s="92" t="s">
        <v>343</v>
      </c>
    </row>
    <row r="866" spans="1:13">
      <c r="A866" s="92" t="s">
        <v>1145</v>
      </c>
      <c r="C866" s="92" t="s">
        <v>1146</v>
      </c>
      <c r="G866" s="337">
        <v>2.3682349999999999</v>
      </c>
      <c r="H866" s="337">
        <v>37.159999999999997</v>
      </c>
      <c r="I866" s="345">
        <f>G866*H866</f>
        <v>88.003612599999983</v>
      </c>
      <c r="L866" s="313">
        <f>G866/B23</f>
        <v>0.18750081152559525</v>
      </c>
      <c r="M866" s="313"/>
    </row>
    <row r="867" spans="1:13">
      <c r="B867" s="175"/>
      <c r="C867" s="175" t="s">
        <v>1147</v>
      </c>
      <c r="D867" s="175"/>
      <c r="E867" s="175"/>
      <c r="F867" s="175"/>
      <c r="G867" s="397">
        <v>5.8024639999999996</v>
      </c>
      <c r="H867" s="397">
        <v>36.9</v>
      </c>
      <c r="I867" s="355">
        <f>G867*H867</f>
        <v>214.11092159999998</v>
      </c>
      <c r="J867" s="175"/>
      <c r="K867" s="175"/>
      <c r="L867" s="398">
        <f>G867/B25</f>
        <v>0.18855859940435585</v>
      </c>
      <c r="M867" s="313"/>
    </row>
    <row r="868" spans="1:13">
      <c r="I868" s="345">
        <f>I866+I867</f>
        <v>302.11453419999998</v>
      </c>
    </row>
    <row r="869" spans="1:13">
      <c r="A869" s="353" t="s">
        <v>1148</v>
      </c>
    </row>
    <row r="870" spans="1:13">
      <c r="A870" s="92" t="s">
        <v>1149</v>
      </c>
      <c r="C870" s="92" t="str">
        <f>C861</f>
        <v>LBTYA</v>
      </c>
      <c r="D870" s="338">
        <v>5.5929999999999999E-3</v>
      </c>
      <c r="G870" s="236">
        <f>D870*$B$690</f>
        <v>24.825057545168999</v>
      </c>
      <c r="H870" s="92">
        <f>H854</f>
        <v>45.87</v>
      </c>
      <c r="I870" s="345">
        <f t="shared" ref="I870:I880" si="248">G870*H870</f>
        <v>1138.725389596902</v>
      </c>
    </row>
    <row r="871" spans="1:13">
      <c r="A871" s="399">
        <v>0.13200000000000001</v>
      </c>
      <c r="C871" s="92" t="str">
        <f>C862</f>
        <v>LIBTYK</v>
      </c>
      <c r="D871" s="338">
        <v>1.3693E-2</v>
      </c>
      <c r="G871" s="236">
        <f>D871*$B$690</f>
        <v>60.777670832468999</v>
      </c>
      <c r="H871" s="92">
        <f>H855</f>
        <v>43.99</v>
      </c>
      <c r="I871" s="345">
        <f t="shared" si="248"/>
        <v>2673.6097399203113</v>
      </c>
    </row>
    <row r="872" spans="1:13">
      <c r="A872" s="141">
        <f>A871*$B$690</f>
        <v>585.894438756</v>
      </c>
      <c r="C872" s="92" t="str">
        <f>C866</f>
        <v>LILA</v>
      </c>
      <c r="D872" s="338">
        <v>2.343E-3</v>
      </c>
      <c r="G872" s="236">
        <f>D872*$B$690</f>
        <v>10.399626287919</v>
      </c>
      <c r="H872" s="236">
        <f>H866</f>
        <v>37.159999999999997</v>
      </c>
      <c r="I872" s="345">
        <f t="shared" si="248"/>
        <v>386.45011285907003</v>
      </c>
    </row>
    <row r="873" spans="1:13">
      <c r="B873" s="175"/>
      <c r="C873" s="175" t="str">
        <f>C867</f>
        <v>LILAK</v>
      </c>
      <c r="D873" s="396">
        <v>5.7390000000000002E-3</v>
      </c>
      <c r="E873" s="175"/>
      <c r="F873" s="175"/>
      <c r="G873" s="238">
        <f>D873*$B$690</f>
        <v>25.473092303186998</v>
      </c>
      <c r="H873" s="238">
        <f>H867</f>
        <v>36.9</v>
      </c>
      <c r="I873" s="355">
        <f t="shared" si="248"/>
        <v>939.95710598760024</v>
      </c>
      <c r="J873" s="175"/>
      <c r="K873" s="175"/>
      <c r="L873" s="175"/>
    </row>
    <row r="874" spans="1:13">
      <c r="I874" s="345">
        <f>SUM(I870:I873)</f>
        <v>5138.7423483638831</v>
      </c>
      <c r="J874" s="354">
        <f>J856</f>
        <v>1.5206</v>
      </c>
      <c r="K874" s="92">
        <f>I874/J874</f>
        <v>3379.4175643587291</v>
      </c>
      <c r="L874" s="369">
        <f>K874/$B$690</f>
        <v>0.76137114296988029</v>
      </c>
      <c r="M874" s="369"/>
    </row>
    <row r="875" spans="1:13">
      <c r="I875" s="345"/>
      <c r="L875" s="369">
        <v>0.03</v>
      </c>
      <c r="M875" s="369"/>
    </row>
    <row r="876" spans="1:13">
      <c r="I876" s="345"/>
      <c r="L876" s="369">
        <f>L874+L875</f>
        <v>0.79137114296988031</v>
      </c>
      <c r="M876" s="369"/>
    </row>
    <row r="877" spans="1:13">
      <c r="B877" s="92" t="s">
        <v>1142</v>
      </c>
      <c r="G877" s="338">
        <v>3.216545</v>
      </c>
      <c r="H877" s="92">
        <f>H870</f>
        <v>45.87</v>
      </c>
      <c r="I877" s="345">
        <f t="shared" si="248"/>
        <v>147.54291914999999</v>
      </c>
    </row>
    <row r="878" spans="1:13">
      <c r="G878" s="338">
        <v>7.8746929999999997</v>
      </c>
      <c r="H878" s="92">
        <f>H871</f>
        <v>43.99</v>
      </c>
      <c r="I878" s="345">
        <f t="shared" si="248"/>
        <v>346.40774506999998</v>
      </c>
    </row>
    <row r="879" spans="1:13">
      <c r="G879" s="338">
        <v>1.3471679999999999</v>
      </c>
      <c r="H879" s="92">
        <f>H872</f>
        <v>37.159999999999997</v>
      </c>
      <c r="I879" s="345">
        <f t="shared" si="248"/>
        <v>50.060762879999992</v>
      </c>
    </row>
    <row r="880" spans="1:13">
      <c r="B880" s="175"/>
      <c r="C880" s="175"/>
      <c r="D880" s="175"/>
      <c r="E880" s="175"/>
      <c r="F880" s="175"/>
      <c r="G880" s="396">
        <v>3.300726</v>
      </c>
      <c r="H880" s="175">
        <f>H873</f>
        <v>36.9</v>
      </c>
      <c r="I880" s="355">
        <f t="shared" si="248"/>
        <v>121.79678939999999</v>
      </c>
      <c r="J880" s="175"/>
      <c r="K880" s="175"/>
      <c r="L880" s="175"/>
    </row>
    <row r="881" spans="1:13">
      <c r="I881" s="345">
        <f>SUM(I877:I880)</f>
        <v>665.80821649999996</v>
      </c>
    </row>
    <row r="882" spans="1:13">
      <c r="B882" s="92" t="s">
        <v>1150</v>
      </c>
      <c r="I882" s="345"/>
    </row>
    <row r="883" spans="1:13">
      <c r="D883" s="92">
        <f>D870</f>
        <v>5.5929999999999999E-3</v>
      </c>
      <c r="G883" s="92">
        <f>D883*$A$872</f>
        <v>3.276907595962308</v>
      </c>
      <c r="H883" s="92">
        <f>H877</f>
        <v>45.87</v>
      </c>
      <c r="I883" s="345">
        <f>G883*H883</f>
        <v>150.31175142679106</v>
      </c>
    </row>
    <row r="884" spans="1:13">
      <c r="D884" s="92">
        <f>D871</f>
        <v>1.3693E-2</v>
      </c>
      <c r="G884" s="92">
        <f>D884*$A$872</f>
        <v>8.0226525498859083</v>
      </c>
      <c r="H884" s="92">
        <f>H878</f>
        <v>43.99</v>
      </c>
      <c r="I884" s="345">
        <f>G884*H884</f>
        <v>352.91648566948112</v>
      </c>
    </row>
    <row r="885" spans="1:13">
      <c r="D885" s="92">
        <f>D872</f>
        <v>2.343E-3</v>
      </c>
      <c r="G885" s="92">
        <f>D885*$A$872</f>
        <v>1.372750670005308</v>
      </c>
      <c r="H885" s="92">
        <f>H879</f>
        <v>37.159999999999997</v>
      </c>
      <c r="I885" s="345">
        <f>G885*H885</f>
        <v>51.011414897397245</v>
      </c>
    </row>
    <row r="886" spans="1:13">
      <c r="B886" s="175"/>
      <c r="C886" s="175"/>
      <c r="D886" s="175">
        <f>D873</f>
        <v>5.7390000000000002E-3</v>
      </c>
      <c r="E886" s="175"/>
      <c r="F886" s="175"/>
      <c r="G886" s="175">
        <f>D886*$A$872</f>
        <v>3.3624481840206841</v>
      </c>
      <c r="H886" s="175">
        <f>H880</f>
        <v>36.9</v>
      </c>
      <c r="I886" s="355">
        <f>G886*H886</f>
        <v>124.07433799036323</v>
      </c>
      <c r="J886" s="175"/>
      <c r="K886" s="175"/>
      <c r="L886" s="175"/>
    </row>
    <row r="887" spans="1:13">
      <c r="I887" s="345">
        <f>SUM(I883:I886)</f>
        <v>678.31398998403267</v>
      </c>
    </row>
    <row r="889" spans="1:13">
      <c r="A889" s="353" t="s">
        <v>1151</v>
      </c>
    </row>
    <row r="890" spans="1:13">
      <c r="A890" s="92" t="s">
        <v>1152</v>
      </c>
      <c r="C890" s="92" t="str">
        <f>C870</f>
        <v>LBTYA</v>
      </c>
      <c r="D890" s="338">
        <v>4.6010000000000001E-3</v>
      </c>
      <c r="E890" s="338">
        <v>5.7159999999999997E-3</v>
      </c>
      <c r="F890" s="92">
        <f>AVERAGE(D890:E890)</f>
        <v>5.1584999999999999E-3</v>
      </c>
      <c r="G890" s="236">
        <f>F890*$B$690</f>
        <v>22.896488350930497</v>
      </c>
      <c r="H890" s="92">
        <f>H870</f>
        <v>45.87</v>
      </c>
      <c r="I890" s="345">
        <f>G890*H890</f>
        <v>1050.2619206571819</v>
      </c>
    </row>
    <row r="891" spans="1:13">
      <c r="A891" s="399">
        <v>0.22500000000000001</v>
      </c>
      <c r="C891" s="92" t="str">
        <f>C871</f>
        <v>LIBTYK</v>
      </c>
      <c r="D891" s="338">
        <v>1.1265000000000001E-2</v>
      </c>
      <c r="E891" s="338">
        <v>1.3993E-2</v>
      </c>
      <c r="F891" s="92">
        <f>AVERAGE(D891:E891)</f>
        <v>1.2629000000000001E-2</v>
      </c>
      <c r="G891" s="236">
        <f>F891*$B$690</f>
        <v>56.055006568557005</v>
      </c>
      <c r="H891" s="92">
        <f>H871</f>
        <v>43.99</v>
      </c>
      <c r="I891" s="345">
        <f>G891*H891</f>
        <v>2465.8597389508227</v>
      </c>
    </row>
    <row r="892" spans="1:13">
      <c r="A892" s="141">
        <f>A891*$B$690</f>
        <v>998.68370242499998</v>
      </c>
      <c r="C892" s="92" t="str">
        <f>C872</f>
        <v>LILA</v>
      </c>
      <c r="D892" s="338">
        <v>2.343E-3</v>
      </c>
      <c r="G892" s="236">
        <f>D892*$B$690</f>
        <v>10.399626287919</v>
      </c>
      <c r="H892" s="92">
        <f>H872</f>
        <v>37.159999999999997</v>
      </c>
      <c r="I892" s="345">
        <f>G892*H892</f>
        <v>386.45011285907003</v>
      </c>
    </row>
    <row r="893" spans="1:13">
      <c r="B893" s="175"/>
      <c r="C893" s="175" t="str">
        <f>C873</f>
        <v>LILAK</v>
      </c>
      <c r="D893" s="396">
        <v>5.7390000000000002E-3</v>
      </c>
      <c r="E893" s="175"/>
      <c r="F893" s="175"/>
      <c r="G893" s="238">
        <f>D893*$B$690</f>
        <v>25.473092303186998</v>
      </c>
      <c r="H893" s="175">
        <f>H873</f>
        <v>36.9</v>
      </c>
      <c r="I893" s="355">
        <f>G893*H893</f>
        <v>939.95710598760024</v>
      </c>
      <c r="J893" s="175"/>
      <c r="K893" s="175"/>
      <c r="L893" s="175"/>
    </row>
    <row r="894" spans="1:13">
      <c r="I894" s="345">
        <f>SUM(I890:I893)</f>
        <v>4842.5288784546756</v>
      </c>
      <c r="J894" s="354">
        <f>J874</f>
        <v>1.5206</v>
      </c>
      <c r="K894" s="92">
        <f>I894/J894</f>
        <v>3184.6171764137025</v>
      </c>
      <c r="L894" s="369">
        <f>K894/$B$690</f>
        <v>0.71748328620281487</v>
      </c>
      <c r="M894" s="369"/>
    </row>
    <row r="895" spans="1:13">
      <c r="I895" s="345"/>
      <c r="L895" s="369">
        <v>0.03</v>
      </c>
      <c r="M895" s="369"/>
    </row>
    <row r="896" spans="1:13">
      <c r="I896" s="345"/>
      <c r="L896" s="369">
        <f>L894+L895</f>
        <v>0.7474832862028149</v>
      </c>
      <c r="M896" s="369"/>
    </row>
    <row r="897" spans="2:12">
      <c r="B897" s="92" t="s">
        <v>1142</v>
      </c>
      <c r="G897" s="338">
        <v>5.6151710000000001</v>
      </c>
      <c r="H897" s="92">
        <f>H890</f>
        <v>45.87</v>
      </c>
      <c r="I897" s="345">
        <f>G897*H897</f>
        <v>257.56789377000001</v>
      </c>
    </row>
    <row r="898" spans="2:12">
      <c r="G898" s="338">
        <v>13.746973000000001</v>
      </c>
      <c r="H898" s="92">
        <f>H891</f>
        <v>43.99</v>
      </c>
      <c r="I898" s="345">
        <f>G898*H898</f>
        <v>604.72934227000007</v>
      </c>
    </row>
    <row r="899" spans="2:12">
      <c r="G899" s="338">
        <v>2.3013560000000002</v>
      </c>
      <c r="H899" s="92">
        <f>H892</f>
        <v>37.159999999999997</v>
      </c>
      <c r="I899" s="345">
        <f>G899*H899</f>
        <v>85.518388959999996</v>
      </c>
    </row>
    <row r="900" spans="2:12">
      <c r="B900" s="175"/>
      <c r="C900" s="175"/>
      <c r="D900" s="175"/>
      <c r="E900" s="175"/>
      <c r="F900" s="175"/>
      <c r="G900" s="396">
        <v>5.6386019999999997</v>
      </c>
      <c r="H900" s="175">
        <f>H893</f>
        <v>36.9</v>
      </c>
      <c r="I900" s="355">
        <f>G900*H900</f>
        <v>208.06441379999998</v>
      </c>
      <c r="J900" s="175"/>
      <c r="K900" s="175"/>
      <c r="L900" s="175"/>
    </row>
    <row r="901" spans="2:12">
      <c r="I901" s="345">
        <f>SUM(I897:I900)</f>
        <v>1155.8800388000002</v>
      </c>
    </row>
    <row r="902" spans="2:12">
      <c r="B902" s="92" t="s">
        <v>1150</v>
      </c>
    </row>
    <row r="903" spans="2:12">
      <c r="C903" s="92" t="str">
        <f>C890</f>
        <v>LBTYA</v>
      </c>
      <c r="F903" s="92">
        <f>F890</f>
        <v>5.1584999999999999E-3</v>
      </c>
      <c r="G903" s="92">
        <f>F903*$A$892</f>
        <v>5.1517098789593625</v>
      </c>
      <c r="H903" s="92">
        <f>H897</f>
        <v>45.87</v>
      </c>
      <c r="I903" s="345">
        <f>G903*H903</f>
        <v>236.30893214786593</v>
      </c>
    </row>
    <row r="904" spans="2:12">
      <c r="C904" s="92" t="str">
        <f>C891</f>
        <v>LIBTYK</v>
      </c>
      <c r="F904" s="92">
        <f>F891</f>
        <v>1.2629000000000001E-2</v>
      </c>
      <c r="G904" s="92">
        <f>F904*$A$892</f>
        <v>12.612376477925325</v>
      </c>
      <c r="H904" s="92">
        <f>H898</f>
        <v>43.99</v>
      </c>
      <c r="I904" s="345">
        <f>G904*H904</f>
        <v>554.81844126393514</v>
      </c>
    </row>
    <row r="905" spans="2:12">
      <c r="C905" s="92" t="str">
        <f>C892</f>
        <v>LILA</v>
      </c>
      <c r="F905" s="92">
        <f>D892</f>
        <v>2.343E-3</v>
      </c>
      <c r="G905" s="92">
        <f>F905*$A$892</f>
        <v>2.3399159147817752</v>
      </c>
      <c r="H905" s="92">
        <f>H899</f>
        <v>37.159999999999997</v>
      </c>
      <c r="I905" s="345">
        <f>G905*H905</f>
        <v>86.951275393290757</v>
      </c>
    </row>
    <row r="906" spans="2:12">
      <c r="B906" s="175"/>
      <c r="C906" s="175" t="str">
        <f>C893</f>
        <v>LILAK</v>
      </c>
      <c r="D906" s="175"/>
      <c r="E906" s="175"/>
      <c r="F906" s="175">
        <f>D893</f>
        <v>5.7390000000000002E-3</v>
      </c>
      <c r="G906" s="175">
        <f>F906*$A$892</f>
        <v>5.7314457682170747</v>
      </c>
      <c r="H906" s="175">
        <f>H900</f>
        <v>36.9</v>
      </c>
      <c r="I906" s="355">
        <f>G906*H906</f>
        <v>211.49034884721004</v>
      </c>
      <c r="J906" s="175"/>
      <c r="K906" s="175"/>
      <c r="L906" s="175"/>
    </row>
    <row r="907" spans="2:12">
      <c r="I907" s="345">
        <f>SUM(I903:I906)</f>
        <v>1089.5689976523017</v>
      </c>
    </row>
    <row r="908" spans="2:12">
      <c r="K908" s="92" t="s">
        <v>1153</v>
      </c>
      <c r="L908" s="92" t="s">
        <v>1154</v>
      </c>
    </row>
    <row r="909" spans="2:12" ht="15.75">
      <c r="B909" s="400" t="s">
        <v>1155</v>
      </c>
      <c r="C909" s="401" t="s">
        <v>1156</v>
      </c>
      <c r="D909" s="401" t="s">
        <v>1157</v>
      </c>
      <c r="E909" s="401" t="s">
        <v>332</v>
      </c>
      <c r="F909" s="383" t="s">
        <v>1158</v>
      </c>
      <c r="G909" s="383" t="s">
        <v>1159</v>
      </c>
      <c r="I909" s="356" t="s">
        <v>1160</v>
      </c>
      <c r="J909" s="345">
        <f>C910/0.11</f>
        <v>287.74196363636366</v>
      </c>
      <c r="K909" s="141">
        <v>252.69525300000001</v>
      </c>
    </row>
    <row r="910" spans="2:12" ht="15.75">
      <c r="B910" s="402" t="str">
        <f>C903</f>
        <v>LBTYA</v>
      </c>
      <c r="C910" s="403">
        <v>31.651616000000001</v>
      </c>
      <c r="D910" s="380">
        <f>H903</f>
        <v>45.87</v>
      </c>
      <c r="E910" s="388">
        <f>C910*D910</f>
        <v>1451.8596259199999</v>
      </c>
      <c r="F910" s="404">
        <f>E910/E$914</f>
        <v>0.27259644920833659</v>
      </c>
      <c r="G910" s="389">
        <f>C910/K909</f>
        <v>0.12525607673366149</v>
      </c>
      <c r="I910" s="356" t="s">
        <v>1161</v>
      </c>
      <c r="K910" s="92">
        <v>10.472517</v>
      </c>
      <c r="L910" s="92">
        <f>0.84*K910</f>
        <v>8.7969142799999993</v>
      </c>
    </row>
    <row r="911" spans="2:12" ht="15.75">
      <c r="B911" s="402" t="str">
        <f>C904</f>
        <v>LIBTYK</v>
      </c>
      <c r="C911" s="403">
        <v>77.488978000000003</v>
      </c>
      <c r="D911" s="380">
        <f>H904</f>
        <v>43.99</v>
      </c>
      <c r="E911" s="388">
        <f>C911*D911</f>
        <v>3408.7401422200005</v>
      </c>
      <c r="F911" s="404">
        <f>E911/E$914</f>
        <v>0.64001398100334916</v>
      </c>
      <c r="G911" s="389">
        <f>C911/K911</f>
        <v>0.12975818978678458</v>
      </c>
      <c r="I911" s="356" t="s">
        <v>1162</v>
      </c>
      <c r="J911" s="345">
        <f>C911/0.11</f>
        <v>704.44525454545453</v>
      </c>
      <c r="K911" s="405">
        <v>597.17986299999995</v>
      </c>
      <c r="L911" s="175">
        <f>0.0205*K911</f>
        <v>12.242187191499999</v>
      </c>
    </row>
    <row r="912" spans="2:12" ht="15.75">
      <c r="B912" s="402" t="str">
        <f>C905</f>
        <v>LILA</v>
      </c>
      <c r="C912" s="403">
        <v>3.6485240000000001</v>
      </c>
      <c r="D912" s="380">
        <f>H905</f>
        <v>37.159999999999997</v>
      </c>
      <c r="E912" s="388">
        <f>C912*D912</f>
        <v>135.57915183999998</v>
      </c>
      <c r="F912" s="404">
        <f>E912/E$914</f>
        <v>2.545590132712898E-2</v>
      </c>
      <c r="G912" s="389">
        <f>C912/B23</f>
        <v>0.2888654254626804</v>
      </c>
      <c r="K912" s="92">
        <f>SUM(K909:K911)</f>
        <v>860.34763299999997</v>
      </c>
      <c r="L912" s="92">
        <f>L909+L910+L911</f>
        <v>21.039101471499997</v>
      </c>
    </row>
    <row r="913" spans="2:11" ht="15.75">
      <c r="B913" s="400" t="str">
        <f>C906</f>
        <v>LILAK</v>
      </c>
      <c r="C913" s="406">
        <v>8.9393279999999997</v>
      </c>
      <c r="D913" s="383">
        <f>H906</f>
        <v>36.9</v>
      </c>
      <c r="E913" s="390">
        <f>C913*D913</f>
        <v>329.86120319999998</v>
      </c>
      <c r="F913" s="407">
        <f>E913/E$914</f>
        <v>6.1933668461185171E-2</v>
      </c>
      <c r="G913" s="391">
        <f>C913/B25</f>
        <v>0.29049506680198994</v>
      </c>
    </row>
    <row r="914" spans="2:11" ht="15.75">
      <c r="B914" s="402" t="s">
        <v>16</v>
      </c>
      <c r="C914" s="380"/>
      <c r="D914" s="380"/>
      <c r="E914" s="388">
        <f>SUM(E910:E913)</f>
        <v>5326.0401231800006</v>
      </c>
      <c r="F914" s="404">
        <f>SUM(F910:F913)</f>
        <v>0.99999999999999989</v>
      </c>
      <c r="G914" s="380"/>
      <c r="I914" s="408">
        <f>J894</f>
        <v>1.5206</v>
      </c>
      <c r="J914" s="92">
        <f>E914/I914</f>
        <v>3502.5911634749446</v>
      </c>
      <c r="K914" s="369">
        <f>J914/$B$690</f>
        <v>0.7891217308024977</v>
      </c>
    </row>
    <row r="915" spans="2:11" ht="15.75">
      <c r="B915" s="380" t="s">
        <v>1163</v>
      </c>
      <c r="C915" s="380"/>
      <c r="D915" s="380"/>
      <c r="E915" s="380"/>
      <c r="F915" s="380"/>
      <c r="G915" s="380"/>
      <c r="H915" s="380"/>
      <c r="I915" s="380"/>
      <c r="K915" s="369">
        <v>0.03</v>
      </c>
    </row>
    <row r="916" spans="2:11">
      <c r="K916" s="369">
        <f>K914+K915</f>
        <v>0.81912173080249773</v>
      </c>
    </row>
    <row r="918" spans="2:11">
      <c r="B918" s="92" t="s">
        <v>1164</v>
      </c>
    </row>
    <row r="919" spans="2:11">
      <c r="D919" s="356" t="s">
        <v>306</v>
      </c>
      <c r="E919" s="356" t="s">
        <v>1165</v>
      </c>
      <c r="F919" s="356" t="s">
        <v>1166</v>
      </c>
      <c r="G919" s="356" t="s">
        <v>1122</v>
      </c>
      <c r="H919" s="356" t="s">
        <v>332</v>
      </c>
    </row>
    <row r="920" spans="2:11">
      <c r="B920" s="92" t="s">
        <v>467</v>
      </c>
      <c r="C920" s="345" t="str">
        <f>B912</f>
        <v>LILA</v>
      </c>
      <c r="D920" s="409">
        <f>B23</f>
        <v>12.630532000000001</v>
      </c>
      <c r="E920" s="236">
        <f>C912</f>
        <v>3.6485240000000001</v>
      </c>
      <c r="F920" s="236">
        <f>D920+E920</f>
        <v>16.279056000000001</v>
      </c>
      <c r="G920" s="92">
        <f>H905</f>
        <v>37.159999999999997</v>
      </c>
      <c r="H920" s="364">
        <f>F920*G920</f>
        <v>604.92972095999994</v>
      </c>
    </row>
    <row r="921" spans="2:11">
      <c r="C921" s="92" t="s">
        <v>1167</v>
      </c>
      <c r="D921" s="409">
        <f>B24</f>
        <v>0.52342299999999997</v>
      </c>
      <c r="E921" s="92">
        <v>0</v>
      </c>
      <c r="F921" s="236">
        <f>D921+E921</f>
        <v>0.52342299999999997</v>
      </c>
      <c r="G921" s="338">
        <v>39.979999999999997</v>
      </c>
      <c r="H921" s="364">
        <f>F921*G921</f>
        <v>20.926451539999999</v>
      </c>
    </row>
    <row r="922" spans="2:11">
      <c r="C922" s="355" t="str">
        <f>B913</f>
        <v>LILAK</v>
      </c>
      <c r="D922" s="410">
        <v>30.8</v>
      </c>
      <c r="E922" s="238">
        <f>C913</f>
        <v>8.9393279999999997</v>
      </c>
      <c r="F922" s="238">
        <f>D922+E922</f>
        <v>39.739328</v>
      </c>
      <c r="G922" s="175">
        <f>H906</f>
        <v>36.9</v>
      </c>
      <c r="H922" s="365">
        <f>F922*G922</f>
        <v>1466.3812032000001</v>
      </c>
    </row>
    <row r="923" spans="2:11">
      <c r="C923" s="345" t="s">
        <v>16</v>
      </c>
      <c r="D923" s="99">
        <f>SUM(D920:D922)</f>
        <v>43.953955000000001</v>
      </c>
      <c r="E923" s="236"/>
      <c r="F923" s="99">
        <f>SUM(F920:F922)</f>
        <v>56.541807000000006</v>
      </c>
      <c r="H923" s="364">
        <f>SUM(H920:H922)</f>
        <v>2092.2373757</v>
      </c>
    </row>
    <row r="924" spans="2:11">
      <c r="B924" s="175"/>
      <c r="C924" s="175"/>
      <c r="D924" s="175"/>
      <c r="E924" s="175"/>
      <c r="F924" s="175"/>
      <c r="G924" s="175"/>
      <c r="H924" s="365"/>
    </row>
    <row r="925" spans="2:11">
      <c r="H925" s="364"/>
    </row>
    <row r="926" spans="2:11">
      <c r="B926" s="92" t="s">
        <v>1542</v>
      </c>
      <c r="H926" s="364"/>
    </row>
    <row r="927" spans="2:11">
      <c r="C927" s="92" t="s">
        <v>1543</v>
      </c>
      <c r="D927" s="356" t="s">
        <v>1544</v>
      </c>
      <c r="F927" s="92" t="s">
        <v>1545</v>
      </c>
      <c r="H927" s="364"/>
    </row>
    <row r="928" spans="2:11">
      <c r="B928" s="92" t="str">
        <f>B910</f>
        <v>LBTYA</v>
      </c>
      <c r="C928" s="92">
        <f>D910</f>
        <v>45.87</v>
      </c>
      <c r="D928" s="338">
        <v>43.14</v>
      </c>
      <c r="E928" s="313">
        <f>D928/C928-1</f>
        <v>-5.9516023544800456E-2</v>
      </c>
      <c r="F928" s="338">
        <v>86.8</v>
      </c>
      <c r="G928" s="92">
        <f>(1+E928)*F928</f>
        <v>81.634009156311322</v>
      </c>
      <c r="H928" s="364"/>
    </row>
    <row r="929" spans="2:8">
      <c r="H929" s="364"/>
    </row>
    <row r="930" spans="2:8">
      <c r="D930" s="124">
        <f>D932+D933</f>
        <v>0.32650000000000001</v>
      </c>
    </row>
    <row r="931" spans="2:8">
      <c r="B931" s="175" t="s">
        <v>1168</v>
      </c>
      <c r="C931" s="336" t="s">
        <v>306</v>
      </c>
      <c r="D931" s="336" t="s">
        <v>483</v>
      </c>
      <c r="E931" s="336" t="s">
        <v>1169</v>
      </c>
      <c r="F931" s="336" t="s">
        <v>1170</v>
      </c>
    </row>
    <row r="932" spans="2:8">
      <c r="B932" s="92" t="s">
        <v>1171</v>
      </c>
      <c r="C932" s="117">
        <f>D932*C$935</f>
        <v>44.055852069831552</v>
      </c>
      <c r="D932" s="124">
        <v>0.25440000000000002</v>
      </c>
      <c r="E932" s="92">
        <f>G920</f>
        <v>37.159999999999997</v>
      </c>
      <c r="F932" s="364">
        <f>C932*E932</f>
        <v>1637.1154629149403</v>
      </c>
    </row>
    <row r="933" spans="2:8">
      <c r="B933" s="92" t="s">
        <v>29</v>
      </c>
      <c r="C933" s="117">
        <f>D933*C$935</f>
        <v>12.485954930168452</v>
      </c>
      <c r="D933" s="124">
        <v>7.2099999999999997E-2</v>
      </c>
      <c r="E933" s="92">
        <f>G921</f>
        <v>39.979999999999997</v>
      </c>
      <c r="F933" s="364">
        <f>C933*E933</f>
        <v>499.18847810813469</v>
      </c>
    </row>
    <row r="934" spans="2:8">
      <c r="B934" s="175" t="s">
        <v>1172</v>
      </c>
      <c r="C934" s="411">
        <f>D934*C$935</f>
        <v>116.6337121424196</v>
      </c>
      <c r="D934" s="360">
        <v>0.67349999999999999</v>
      </c>
      <c r="E934" s="175">
        <f>G922</f>
        <v>36.9</v>
      </c>
      <c r="F934" s="365">
        <f>C934*E934</f>
        <v>4303.7839780552831</v>
      </c>
    </row>
    <row r="935" spans="2:8">
      <c r="B935" s="412" t="s">
        <v>16</v>
      </c>
      <c r="C935" s="413">
        <f>F923/D930</f>
        <v>173.1755191424196</v>
      </c>
      <c r="D935" s="414">
        <f>SUM(D932:D934)</f>
        <v>1</v>
      </c>
      <c r="E935" s="415"/>
      <c r="F935" s="416">
        <f>SUM(F932:F934)</f>
        <v>6440.087919078358</v>
      </c>
    </row>
    <row r="936" spans="2:8">
      <c r="C936" s="117"/>
      <c r="D936" s="124"/>
      <c r="F936" s="364"/>
    </row>
    <row r="937" spans="2:8">
      <c r="B937" s="353" t="s">
        <v>1173</v>
      </c>
    </row>
    <row r="938" spans="2:8">
      <c r="B938" s="92" t="s">
        <v>1146</v>
      </c>
      <c r="C938" s="92">
        <f>G879</f>
        <v>1.3471679999999999</v>
      </c>
      <c r="E938" s="344" t="s">
        <v>1174</v>
      </c>
    </row>
    <row r="939" spans="2:8">
      <c r="B939" s="92" t="s">
        <v>1167</v>
      </c>
      <c r="C939" s="92" t="e">
        <f>0.84*D921+0.021*D922+#REF!*C934</f>
        <v>#REF!</v>
      </c>
      <c r="E939" s="344" t="s">
        <v>1175</v>
      </c>
    </row>
    <row r="940" spans="2:8">
      <c r="E940" s="344" t="s">
        <v>1176</v>
      </c>
    </row>
    <row r="941" spans="2:8">
      <c r="B941" s="175" t="s">
        <v>1147</v>
      </c>
      <c r="C941" s="175">
        <f>G880</f>
        <v>3.300726</v>
      </c>
      <c r="D941" s="175"/>
      <c r="E941" s="417" t="s">
        <v>1174</v>
      </c>
      <c r="F941" s="175"/>
    </row>
    <row r="942" spans="2:8">
      <c r="B942" s="92" t="s">
        <v>16</v>
      </c>
      <c r="C942" s="92" t="e">
        <f>SUM(C938:C941)</f>
        <v>#REF!</v>
      </c>
      <c r="D942" s="124" t="e">
        <f>C942/C$935</f>
        <v>#REF!</v>
      </c>
    </row>
    <row r="944" spans="2:8">
      <c r="B944" s="353" t="s">
        <v>1177</v>
      </c>
    </row>
    <row r="945" spans="1:69">
      <c r="B945" s="92" t="s">
        <v>1146</v>
      </c>
      <c r="C945" s="92">
        <f>G899</f>
        <v>2.3013560000000002</v>
      </c>
      <c r="E945" s="344" t="s">
        <v>1178</v>
      </c>
    </row>
    <row r="946" spans="1:69">
      <c r="B946" s="175" t="str">
        <f>B941</f>
        <v>LILAK</v>
      </c>
      <c r="C946" s="175">
        <f>G900</f>
        <v>5.6386019999999997</v>
      </c>
      <c r="D946" s="175"/>
      <c r="E946" s="417" t="s">
        <v>1178</v>
      </c>
      <c r="F946" s="175"/>
    </row>
    <row r="947" spans="1:69">
      <c r="B947" s="92" t="s">
        <v>16</v>
      </c>
      <c r="C947" s="92">
        <f>SUM(C945:C946)</f>
        <v>7.9399579999999998</v>
      </c>
      <c r="D947" s="124">
        <f>C947/C$935</f>
        <v>4.5849194154689819E-2</v>
      </c>
    </row>
    <row r="948" spans="1:69">
      <c r="A948" s="353" t="s">
        <v>70</v>
      </c>
    </row>
    <row r="949" spans="1:69">
      <c r="A949" s="92" t="s">
        <v>1179</v>
      </c>
      <c r="D949" s="92" t="s">
        <v>1180</v>
      </c>
    </row>
    <row r="953" spans="1:69" ht="15.75">
      <c r="A953"/>
      <c r="B953" s="53"/>
      <c r="C953" s="579"/>
      <c r="D953" s="579"/>
      <c r="E953" s="579"/>
      <c r="F953" s="580">
        <v>42307</v>
      </c>
      <c r="G953" s="579"/>
      <c r="I953" s="92" t="s">
        <v>1325</v>
      </c>
    </row>
    <row r="954" spans="1:69" ht="15.75">
      <c r="A954" s="483" t="s">
        <v>1314</v>
      </c>
      <c r="B954" s="50"/>
      <c r="C954" s="581" t="s">
        <v>1315</v>
      </c>
      <c r="D954" s="581" t="s">
        <v>1316</v>
      </c>
      <c r="E954" s="581" t="s">
        <v>16</v>
      </c>
      <c r="F954" s="581" t="s">
        <v>1317</v>
      </c>
      <c r="G954" s="581" t="s">
        <v>1318</v>
      </c>
      <c r="I954" s="581" t="s">
        <v>1326</v>
      </c>
      <c r="J954" s="581" t="s">
        <v>1327</v>
      </c>
      <c r="K954" s="581" t="s">
        <v>1328</v>
      </c>
      <c r="L954" s="581" t="s">
        <v>1329</v>
      </c>
      <c r="M954" s="485"/>
      <c r="Q954" s="92" t="s">
        <v>1548</v>
      </c>
      <c r="BP954" s="529">
        <v>42324</v>
      </c>
      <c r="BQ954" s="530" t="s">
        <v>1549</v>
      </c>
    </row>
    <row r="955" spans="1:69" ht="15.75">
      <c r="A955" s="483">
        <v>1</v>
      </c>
      <c r="B955" s="53" t="s">
        <v>1137</v>
      </c>
      <c r="C955" s="582">
        <v>1042480</v>
      </c>
      <c r="D955" s="582">
        <v>48000</v>
      </c>
      <c r="E955" s="582">
        <f>+D955+C955</f>
        <v>1090480</v>
      </c>
      <c r="F955" s="582">
        <v>252695253</v>
      </c>
      <c r="G955" s="583">
        <f>E955/F955</f>
        <v>4.3153956675236792E-3</v>
      </c>
      <c r="I955" s="582">
        <f>+C910*1000000</f>
        <v>31651616</v>
      </c>
      <c r="J955" s="582">
        <f>+G877*1000000</f>
        <v>3216545</v>
      </c>
      <c r="K955" s="582">
        <f>+J955+E955</f>
        <v>4307025</v>
      </c>
      <c r="L955" s="582">
        <f>+I955+F955</f>
        <v>284346869</v>
      </c>
      <c r="M955" s="592">
        <f>K955/L955</f>
        <v>1.5147080800105451E-2</v>
      </c>
      <c r="Q955" s="92">
        <f>H854</f>
        <v>45.87</v>
      </c>
      <c r="AP955" s="338"/>
      <c r="AQ955" s="338"/>
      <c r="AR955" s="338"/>
      <c r="AS955" s="338"/>
      <c r="AT955" s="338"/>
      <c r="AU955" s="338"/>
      <c r="AV955" s="338"/>
      <c r="AW955" s="338"/>
      <c r="AX955" s="338"/>
      <c r="AY955" s="338"/>
      <c r="AZ955" s="338"/>
      <c r="BA955" s="338"/>
      <c r="BB955" s="338"/>
      <c r="BC955" s="338"/>
      <c r="BD955" s="338"/>
      <c r="BE955" s="338"/>
      <c r="BF955" s="338"/>
      <c r="BG955" s="338"/>
      <c r="BH955" s="338"/>
      <c r="BI955" s="338"/>
      <c r="BJ955" s="338"/>
      <c r="BK955" s="338"/>
      <c r="BL955" s="338"/>
      <c r="BM955" s="338"/>
      <c r="BN955" s="338"/>
      <c r="BO955" s="313" t="e">
        <f>#REF!/Q955-1</f>
        <v>#REF!</v>
      </c>
      <c r="BP955" s="345">
        <f>E955*Q955/1000000</f>
        <v>50.020317599999991</v>
      </c>
      <c r="BQ955" s="345" t="e">
        <f>E955*#REF!/1000000</f>
        <v>#REF!</v>
      </c>
    </row>
    <row r="956" spans="1:69" ht="15.75">
      <c r="A956" s="483">
        <v>10</v>
      </c>
      <c r="B956" s="53" t="s">
        <v>1319</v>
      </c>
      <c r="C956" s="582">
        <v>8677225</v>
      </c>
      <c r="D956" s="582">
        <v>110148</v>
      </c>
      <c r="E956" s="582">
        <f t="shared" ref="E956:E966" si="249">+D956+C956</f>
        <v>8787373</v>
      </c>
      <c r="F956" s="582">
        <v>10472518</v>
      </c>
      <c r="G956" s="583">
        <f>E956/F956</f>
        <v>0.83908884186210042</v>
      </c>
      <c r="I956" s="582"/>
      <c r="K956" s="582">
        <f>+E956</f>
        <v>8787373</v>
      </c>
      <c r="L956" s="582">
        <f>+F956</f>
        <v>10472518</v>
      </c>
      <c r="M956" s="592">
        <f>K956/L956</f>
        <v>0.83908884186210042</v>
      </c>
      <c r="Q956" s="528">
        <v>46</v>
      </c>
      <c r="R956" s="528"/>
      <c r="S956" s="528"/>
      <c r="T956" s="528"/>
      <c r="U956" s="528"/>
      <c r="V956" s="528"/>
      <c r="W956" s="528"/>
      <c r="X956" s="528"/>
      <c r="Y956" s="528"/>
      <c r="Z956" s="528"/>
      <c r="AA956" s="528"/>
      <c r="AB956" s="528"/>
      <c r="AC956" s="528"/>
      <c r="AD956" s="528"/>
      <c r="AE956" s="528"/>
      <c r="AF956" s="528"/>
      <c r="AG956" s="528"/>
      <c r="AH956" s="528"/>
      <c r="AI956" s="528"/>
      <c r="AJ956" s="528"/>
      <c r="AK956" s="528"/>
      <c r="AL956" s="528"/>
      <c r="AM956" s="528"/>
      <c r="AN956" s="528"/>
      <c r="AO956" s="528"/>
      <c r="AP956" s="338"/>
      <c r="AQ956" s="338"/>
      <c r="AR956" s="338"/>
      <c r="AS956" s="338"/>
      <c r="AT956" s="338"/>
      <c r="AU956" s="338"/>
      <c r="AV956" s="338"/>
      <c r="AW956" s="338"/>
      <c r="AX956" s="338"/>
      <c r="AY956" s="338"/>
      <c r="AZ956" s="338"/>
      <c r="BA956" s="338"/>
      <c r="BB956" s="338"/>
      <c r="BC956" s="338"/>
      <c r="BD956" s="338"/>
      <c r="BE956" s="338"/>
      <c r="BF956" s="338"/>
      <c r="BG956" s="338"/>
      <c r="BH956" s="338"/>
      <c r="BI956" s="338"/>
      <c r="BJ956" s="338"/>
      <c r="BK956" s="338"/>
      <c r="BL956" s="338"/>
      <c r="BM956" s="338"/>
      <c r="BN956" s="338"/>
      <c r="BO956" s="313" t="e">
        <f>#REF!/Q956-1</f>
        <v>#REF!</v>
      </c>
      <c r="BP956" s="345">
        <f>E956*Q956/1000000</f>
        <v>404.21915799999999</v>
      </c>
      <c r="BQ956" s="345" t="e">
        <f>E956*#REF!/1000000</f>
        <v>#REF!</v>
      </c>
    </row>
    <row r="957" spans="1:69" ht="15.75">
      <c r="A957" s="483">
        <v>0</v>
      </c>
      <c r="B957" s="53" t="s">
        <v>1320</v>
      </c>
      <c r="C957" s="582">
        <v>12140904</v>
      </c>
      <c r="D957" s="582"/>
      <c r="E957" s="582">
        <f t="shared" si="249"/>
        <v>12140904</v>
      </c>
      <c r="F957" s="582">
        <v>597179863</v>
      </c>
      <c r="G957" s="583">
        <f>E957/F957</f>
        <v>2.0330397510406342E-2</v>
      </c>
      <c r="I957" s="582">
        <f>+C911*1000000</f>
        <v>77488978</v>
      </c>
      <c r="J957" s="582">
        <f>+G878*1000000</f>
        <v>7874693</v>
      </c>
      <c r="K957" s="582">
        <f>+J957+E957</f>
        <v>20015597</v>
      </c>
      <c r="L957" s="582">
        <f>+I957+F957</f>
        <v>674668841</v>
      </c>
      <c r="M957" s="592">
        <f>K957/L957</f>
        <v>2.9667291245187355E-2</v>
      </c>
      <c r="Q957" s="92">
        <f>H855</f>
        <v>43.99</v>
      </c>
      <c r="AP957" s="338"/>
      <c r="AQ957" s="338"/>
      <c r="AR957" s="338"/>
      <c r="AS957" s="338"/>
      <c r="AT957" s="338"/>
      <c r="AU957" s="338"/>
      <c r="AV957" s="338"/>
      <c r="AW957" s="338"/>
      <c r="AX957" s="338"/>
      <c r="AY957" s="338"/>
      <c r="AZ957" s="338"/>
      <c r="BA957" s="338"/>
      <c r="BB957" s="338"/>
      <c r="BC957" s="338"/>
      <c r="BD957" s="338"/>
      <c r="BE957" s="338"/>
      <c r="BF957" s="338"/>
      <c r="BG957" s="338"/>
      <c r="BH957" s="338"/>
      <c r="BI957" s="338"/>
      <c r="BJ957" s="338"/>
      <c r="BK957" s="338"/>
      <c r="BL957" s="338"/>
      <c r="BM957" s="338"/>
      <c r="BN957" s="338"/>
      <c r="BO957" s="313" t="e">
        <f>#REF!/Q957-1</f>
        <v>#REF!</v>
      </c>
      <c r="BP957" s="355">
        <f>E957*Q957/1000000</f>
        <v>534.07836696000004</v>
      </c>
      <c r="BQ957" s="355" t="e">
        <f>E957*#REF!/1000000</f>
        <v>#REF!</v>
      </c>
    </row>
    <row r="958" spans="1:69" ht="15.75">
      <c r="A958" s="483"/>
      <c r="B958" s="53" t="s">
        <v>16</v>
      </c>
      <c r="C958" s="584">
        <f>+C955+C956+C957</f>
        <v>21860609</v>
      </c>
      <c r="D958" s="584">
        <f>+D955+D956+D957</f>
        <v>158148</v>
      </c>
      <c r="E958" s="584">
        <f>+E955+E956+E957</f>
        <v>22018757</v>
      </c>
      <c r="F958" s="584">
        <f>+F955+F956+F957</f>
        <v>860347634</v>
      </c>
      <c r="G958" s="583">
        <f>E958/F958</f>
        <v>2.559286052502819E-2</v>
      </c>
      <c r="I958" s="582">
        <f>+I957+I956+I955</f>
        <v>109140594</v>
      </c>
      <c r="J958" s="582">
        <f>+J957+J956+J955</f>
        <v>11091238</v>
      </c>
      <c r="K958" s="582">
        <f>+K957+K956+K955</f>
        <v>33109995</v>
      </c>
      <c r="L958" s="582">
        <f>+L957+L956+L955</f>
        <v>969488228</v>
      </c>
      <c r="M958" s="592">
        <f>K958/L958</f>
        <v>3.4152034077096605E-2</v>
      </c>
      <c r="BP958" s="345">
        <f>SUM(BP955:BP957)</f>
        <v>988.31784256000003</v>
      </c>
      <c r="BQ958" s="345" t="e">
        <f>SUM(BQ955:BQ957)</f>
        <v>#REF!</v>
      </c>
    </row>
    <row r="959" spans="1:69" ht="15.75">
      <c r="A959" s="483"/>
      <c r="B959" s="53" t="s">
        <v>1321</v>
      </c>
      <c r="C959" s="582">
        <f>+C955+(C956*10)</f>
        <v>87814730</v>
      </c>
      <c r="D959" s="582">
        <f>+D955+(D956*10)</f>
        <v>1149480</v>
      </c>
      <c r="E959" s="582">
        <f>+E955+(E956*10)</f>
        <v>88964210</v>
      </c>
      <c r="F959" s="582">
        <f>+F955+(F956*10)</f>
        <v>357420433</v>
      </c>
      <c r="G959" s="583">
        <f>E959/F959</f>
        <v>0.24890633491006933</v>
      </c>
      <c r="I959" s="582">
        <f>+I955+(I956*10)</f>
        <v>31651616</v>
      </c>
      <c r="J959" s="582">
        <f>+J955+(J956*10)</f>
        <v>3216545</v>
      </c>
      <c r="K959" s="582">
        <f>+K955+(K956*10)</f>
        <v>92180755</v>
      </c>
      <c r="L959" s="582">
        <f>+L955+(L956*10)</f>
        <v>389072049</v>
      </c>
      <c r="M959" s="592">
        <f>K959/L959</f>
        <v>0.23692463963146321</v>
      </c>
      <c r="BQ959" s="345" t="e">
        <f>BQ958-BP958</f>
        <v>#REF!</v>
      </c>
    </row>
    <row r="960" spans="1:69" ht="15.75">
      <c r="A960" s="483"/>
      <c r="B960" s="53"/>
      <c r="C960" s="585"/>
      <c r="D960" s="585"/>
      <c r="E960" s="585"/>
      <c r="F960" s="585"/>
      <c r="G960" s="583"/>
      <c r="I960" s="582"/>
      <c r="J960" s="582"/>
      <c r="K960" s="582"/>
      <c r="L960" s="582"/>
      <c r="M960" s="484"/>
    </row>
    <row r="961" spans="1:69" ht="15.75">
      <c r="A961" s="483"/>
      <c r="B961" s="53"/>
      <c r="C961" s="585"/>
      <c r="D961" s="585"/>
      <c r="E961" s="585"/>
      <c r="F961" s="585"/>
      <c r="G961" s="583"/>
      <c r="I961" s="582"/>
      <c r="J961" s="582"/>
      <c r="K961" s="582"/>
      <c r="L961" s="582"/>
      <c r="M961" s="484"/>
    </row>
    <row r="962" spans="1:69" ht="15.75">
      <c r="A962" s="483"/>
      <c r="B962" s="53"/>
      <c r="C962" s="579"/>
      <c r="D962" s="579"/>
      <c r="E962" s="579"/>
      <c r="F962" s="580">
        <v>42307</v>
      </c>
      <c r="G962" s="579"/>
      <c r="I962" s="92" t="s">
        <v>1325</v>
      </c>
    </row>
    <row r="963" spans="1:69" ht="15.75">
      <c r="A963" s="483" t="s">
        <v>1314</v>
      </c>
      <c r="B963" s="50"/>
      <c r="C963" s="581" t="s">
        <v>1315</v>
      </c>
      <c r="D963" s="581" t="s">
        <v>1316</v>
      </c>
      <c r="E963" s="581" t="s">
        <v>16</v>
      </c>
      <c r="F963" s="581" t="s">
        <v>1317</v>
      </c>
      <c r="G963" s="581" t="s">
        <v>1318</v>
      </c>
      <c r="I963" s="581" t="s">
        <v>1326</v>
      </c>
      <c r="J963" s="581" t="s">
        <v>1327</v>
      </c>
      <c r="K963" s="581" t="s">
        <v>1328</v>
      </c>
      <c r="L963" s="581" t="s">
        <v>1329</v>
      </c>
      <c r="M963" s="485"/>
    </row>
    <row r="964" spans="1:69" ht="15.75">
      <c r="A964" s="483">
        <v>1</v>
      </c>
      <c r="B964" s="53" t="s">
        <v>1322</v>
      </c>
      <c r="C964" s="582">
        <v>52123</v>
      </c>
      <c r="D964" s="582">
        <v>2400</v>
      </c>
      <c r="E964" s="582">
        <f t="shared" si="249"/>
        <v>54523</v>
      </c>
      <c r="F964" s="582">
        <v>12630532</v>
      </c>
      <c r="G964" s="583">
        <f>E964/F964</f>
        <v>4.3167619542866442E-3</v>
      </c>
      <c r="I964" s="582">
        <f>+C912*1000000</f>
        <v>3648524</v>
      </c>
      <c r="J964" s="582">
        <f>+G879*1000000</f>
        <v>1347168</v>
      </c>
      <c r="K964" s="582">
        <f>+J964+E964</f>
        <v>1401691</v>
      </c>
      <c r="L964" s="582">
        <f>+I964+F964</f>
        <v>16279056</v>
      </c>
      <c r="M964" s="484"/>
      <c r="Q964" s="236">
        <f>H866</f>
        <v>37.159999999999997</v>
      </c>
      <c r="R964" s="236"/>
      <c r="S964" s="236"/>
      <c r="T964" s="236"/>
      <c r="U964" s="236"/>
      <c r="V964" s="236"/>
      <c r="W964" s="236"/>
      <c r="X964" s="236"/>
      <c r="Y964" s="236"/>
      <c r="Z964" s="236"/>
      <c r="AA964" s="236"/>
      <c r="AB964" s="236"/>
      <c r="AC964" s="236"/>
      <c r="AD964" s="236"/>
      <c r="AE964" s="236"/>
      <c r="AF964" s="236"/>
      <c r="AG964" s="236"/>
      <c r="AH964" s="236"/>
      <c r="AI964" s="236"/>
      <c r="AJ964" s="236"/>
      <c r="AK964" s="236"/>
      <c r="AL964" s="236"/>
      <c r="AM964" s="236"/>
      <c r="AN964" s="236"/>
      <c r="AO964" s="236"/>
      <c r="AP964" s="338"/>
      <c r="AQ964" s="338"/>
      <c r="AR964" s="338"/>
      <c r="AS964" s="338"/>
      <c r="AT964" s="338"/>
      <c r="AU964" s="338"/>
      <c r="AV964" s="338"/>
      <c r="AW964" s="338"/>
      <c r="AX964" s="338"/>
      <c r="AY964" s="338"/>
      <c r="AZ964" s="338"/>
      <c r="BA964" s="338"/>
      <c r="BB964" s="338"/>
      <c r="BC964" s="338"/>
      <c r="BD964" s="338"/>
      <c r="BE964" s="338"/>
      <c r="BF964" s="338"/>
      <c r="BG964" s="338"/>
      <c r="BH964" s="338"/>
      <c r="BI964" s="338"/>
      <c r="BJ964" s="338"/>
      <c r="BK964" s="338"/>
      <c r="BL964" s="338"/>
      <c r="BM964" s="338"/>
      <c r="BN964" s="338"/>
      <c r="BO964" s="313" t="e">
        <f>#REF!/Q964-1</f>
        <v>#REF!</v>
      </c>
      <c r="BP964" s="345">
        <f>E964*Q964/1000000</f>
        <v>2.0260746799999998</v>
      </c>
      <c r="BQ964" s="345" t="e">
        <f>E964*#REF!/1000000</f>
        <v>#REF!</v>
      </c>
    </row>
    <row r="965" spans="1:69" ht="15.75">
      <c r="A965" s="483">
        <v>10</v>
      </c>
      <c r="B965" s="53" t="s">
        <v>1323</v>
      </c>
      <c r="C965" s="582">
        <v>433861</v>
      </c>
      <c r="D965" s="582">
        <v>5507</v>
      </c>
      <c r="E965" s="582">
        <f t="shared" si="249"/>
        <v>439368</v>
      </c>
      <c r="F965" s="582">
        <v>523423</v>
      </c>
      <c r="G965" s="583">
        <f>E965/F965</f>
        <v>0.83941286492951206</v>
      </c>
      <c r="I965" s="582"/>
      <c r="K965" s="582">
        <f>+E965</f>
        <v>439368</v>
      </c>
      <c r="L965" s="582">
        <f>+F965</f>
        <v>523423</v>
      </c>
      <c r="M965" s="484"/>
      <c r="Q965" s="338">
        <v>39.979999999999997</v>
      </c>
      <c r="R965" s="338"/>
      <c r="S965" s="338"/>
      <c r="T965" s="338"/>
      <c r="U965" s="338"/>
      <c r="V965" s="338"/>
      <c r="W965" s="338"/>
      <c r="X965" s="338"/>
      <c r="Y965" s="338"/>
      <c r="Z965" s="338"/>
      <c r="AA965" s="338"/>
      <c r="AB965" s="338"/>
      <c r="AC965" s="338"/>
      <c r="AD965" s="338"/>
      <c r="AE965" s="338"/>
      <c r="AF965" s="338"/>
      <c r="AG965" s="338"/>
      <c r="AH965" s="338"/>
      <c r="AI965" s="338"/>
      <c r="AJ965" s="338"/>
      <c r="AK965" s="338"/>
      <c r="AL965" s="338"/>
      <c r="AM965" s="338"/>
      <c r="AN965" s="338"/>
      <c r="AO965" s="338"/>
      <c r="AP965" s="338"/>
      <c r="AQ965" s="338"/>
      <c r="AR965" s="338"/>
      <c r="AS965" s="338"/>
      <c r="AT965" s="338"/>
      <c r="AU965" s="338"/>
      <c r="AV965" s="338"/>
      <c r="AW965" s="338"/>
      <c r="AX965" s="338"/>
      <c r="AY965" s="338"/>
      <c r="AZ965" s="338"/>
      <c r="BA965" s="338"/>
      <c r="BB965" s="338"/>
      <c r="BC965" s="338"/>
      <c r="BD965" s="338"/>
      <c r="BE965" s="338"/>
      <c r="BF965" s="338"/>
      <c r="BG965" s="338"/>
      <c r="BH965" s="338"/>
      <c r="BI965" s="338"/>
      <c r="BJ965" s="338"/>
      <c r="BK965" s="338"/>
      <c r="BL965" s="338"/>
      <c r="BM965" s="338"/>
      <c r="BN965" s="338"/>
      <c r="BO965" s="313" t="e">
        <f>#REF!/Q965-1</f>
        <v>#REF!</v>
      </c>
      <c r="BP965" s="345">
        <f>E965*Q965/1000000</f>
        <v>17.565932639999996</v>
      </c>
      <c r="BQ965" s="345" t="e">
        <f>E965*#REF!/1000000</f>
        <v>#REF!</v>
      </c>
    </row>
    <row r="966" spans="1:69" ht="15.75">
      <c r="A966" s="483">
        <v>0</v>
      </c>
      <c r="B966" s="53" t="s">
        <v>2036</v>
      </c>
      <c r="C966" s="582">
        <v>650694</v>
      </c>
      <c r="D966" s="582"/>
      <c r="E966" s="582">
        <f t="shared" si="249"/>
        <v>650694</v>
      </c>
      <c r="F966" s="582">
        <v>30772736</v>
      </c>
      <c r="G966" s="583">
        <f>E966/F966</f>
        <v>2.1145146144951166E-2</v>
      </c>
      <c r="I966" s="582">
        <f>+C913*1000000</f>
        <v>8939328</v>
      </c>
      <c r="J966" s="582">
        <f>+G880*1000000</f>
        <v>3300726</v>
      </c>
      <c r="K966" s="582">
        <f>+J966+E966</f>
        <v>3951420</v>
      </c>
      <c r="L966" s="582">
        <f>+I966+F966</f>
        <v>39712064</v>
      </c>
      <c r="M966" s="484"/>
      <c r="Q966" s="236">
        <f>H867</f>
        <v>36.9</v>
      </c>
      <c r="R966" s="236"/>
      <c r="S966" s="236"/>
      <c r="T966" s="236"/>
      <c r="U966" s="236"/>
      <c r="V966" s="236"/>
      <c r="W966" s="236"/>
      <c r="X966" s="236"/>
      <c r="Y966" s="236"/>
      <c r="Z966" s="236"/>
      <c r="AA966" s="236"/>
      <c r="AB966" s="236"/>
      <c r="AC966" s="236"/>
      <c r="AD966" s="236"/>
      <c r="AE966" s="236"/>
      <c r="AF966" s="236"/>
      <c r="AG966" s="236"/>
      <c r="AH966" s="236"/>
      <c r="AI966" s="236"/>
      <c r="AJ966" s="236"/>
      <c r="AK966" s="236"/>
      <c r="AL966" s="236"/>
      <c r="AM966" s="236"/>
      <c r="AN966" s="236"/>
      <c r="AO966" s="236"/>
      <c r="AP966" s="338"/>
      <c r="AQ966" s="338"/>
      <c r="AR966" s="338"/>
      <c r="AS966" s="338"/>
      <c r="AT966" s="338"/>
      <c r="AU966" s="338"/>
      <c r="AV966" s="338"/>
      <c r="AW966" s="338"/>
      <c r="AX966" s="338"/>
      <c r="AY966" s="338"/>
      <c r="AZ966" s="338"/>
      <c r="BA966" s="338"/>
      <c r="BB966" s="338"/>
      <c r="BC966" s="338"/>
      <c r="BD966" s="338"/>
      <c r="BE966" s="338"/>
      <c r="BF966" s="338"/>
      <c r="BG966" s="338"/>
      <c r="BH966" s="338"/>
      <c r="BI966" s="338"/>
      <c r="BJ966" s="338"/>
      <c r="BK966" s="338"/>
      <c r="BL966" s="338"/>
      <c r="BM966" s="338"/>
      <c r="BN966" s="338"/>
      <c r="BO966" s="313" t="e">
        <f>#REF!/Q966-1</f>
        <v>#REF!</v>
      </c>
      <c r="BP966" s="355">
        <f>E966*Q966/1000000</f>
        <v>24.010608599999998</v>
      </c>
      <c r="BQ966" s="355" t="e">
        <f>E966*#REF!/1000000</f>
        <v>#REF!</v>
      </c>
    </row>
    <row r="967" spans="1:69" ht="15.75">
      <c r="A967" s="483"/>
      <c r="B967" s="53" t="s">
        <v>16</v>
      </c>
      <c r="C967" s="584">
        <f>+C964+C965+C966</f>
        <v>1136678</v>
      </c>
      <c r="D967" s="584">
        <f>+D964+D965+D966</f>
        <v>7907</v>
      </c>
      <c r="E967" s="584">
        <f>+E964+E965+E966</f>
        <v>1144585</v>
      </c>
      <c r="F967" s="584">
        <f>+F964+F965+F966</f>
        <v>43926691</v>
      </c>
      <c r="G967" s="583">
        <f>E967/F967</f>
        <v>2.6056708892550091E-2</v>
      </c>
      <c r="I967" s="582">
        <f>+I966+I965+I964</f>
        <v>12587852</v>
      </c>
      <c r="J967" s="582">
        <f>+J966+J965+J964</f>
        <v>4647894</v>
      </c>
      <c r="K967" s="582">
        <f>+K966+K965+K964</f>
        <v>5792479</v>
      </c>
      <c r="L967" s="582">
        <f>+L966+L965+L964</f>
        <v>56514543</v>
      </c>
      <c r="M967" s="484"/>
      <c r="BP967" s="345">
        <f>SUM(BP964:BP966)</f>
        <v>43.602615919999991</v>
      </c>
      <c r="BQ967" s="345" t="e">
        <f>SUM(BQ964:BQ966)</f>
        <v>#REF!</v>
      </c>
    </row>
    <row r="968" spans="1:69" ht="15.75">
      <c r="A968" s="483"/>
      <c r="B968" s="53" t="s">
        <v>1324</v>
      </c>
      <c r="C968" s="582">
        <f>+C964+(C965*10)</f>
        <v>4390733</v>
      </c>
      <c r="D968" s="582">
        <f>+D964+(D965*10)</f>
        <v>57470</v>
      </c>
      <c r="E968" s="582">
        <f>+E964+(E965*10)</f>
        <v>4448203</v>
      </c>
      <c r="F968" s="582">
        <f>+F964+(F965*10)</f>
        <v>17864762</v>
      </c>
      <c r="G968" s="583">
        <f>E968/F968</f>
        <v>0.24899312960340586</v>
      </c>
      <c r="I968" s="582">
        <f>+I964+(I965*10)</f>
        <v>3648524</v>
      </c>
      <c r="J968" s="582">
        <f>+J964+(J965*10)</f>
        <v>1347168</v>
      </c>
      <c r="K968" s="582">
        <f>+K964+(K965*10)</f>
        <v>5795371</v>
      </c>
      <c r="L968" s="582">
        <f>+L964+(L965*10)</f>
        <v>21513286</v>
      </c>
      <c r="M968" s="484"/>
      <c r="BQ968" s="345" t="e">
        <f>BQ967-BP967</f>
        <v>#REF!</v>
      </c>
    </row>
    <row r="969" spans="1:69">
      <c r="BO969" s="353" t="s">
        <v>1553</v>
      </c>
    </row>
    <row r="970" spans="1:69">
      <c r="C970" s="92" t="s">
        <v>306</v>
      </c>
      <c r="D970" s="356" t="s">
        <v>2038</v>
      </c>
      <c r="BO970" s="353"/>
    </row>
    <row r="971" spans="1:69">
      <c r="B971" s="92" t="str">
        <f>B955</f>
        <v>LBTYA</v>
      </c>
      <c r="C971" s="236">
        <v>278</v>
      </c>
      <c r="D971" s="236">
        <f>C971*E971</f>
        <v>4.210888462429315</v>
      </c>
      <c r="E971" s="124">
        <f>M955</f>
        <v>1.5147080800105451E-2</v>
      </c>
      <c r="BO971" s="92" t="s">
        <v>1550</v>
      </c>
      <c r="BP971" s="531">
        <v>0.13200000000000001</v>
      </c>
    </row>
    <row r="972" spans="1:69">
      <c r="B972" s="92" t="str">
        <f>B956</f>
        <v>LBTYB</v>
      </c>
      <c r="C972" s="236">
        <v>10.8</v>
      </c>
      <c r="D972" s="236">
        <f>C972*E972</f>
        <v>9.0621594921106858</v>
      </c>
      <c r="E972" s="124">
        <f>M956</f>
        <v>0.83908884186210042</v>
      </c>
      <c r="BO972" s="92" t="s">
        <v>1554</v>
      </c>
      <c r="BP972" s="337">
        <v>575.09675900000002</v>
      </c>
    </row>
    <row r="973" spans="1:69">
      <c r="B973" s="175" t="str">
        <f>B957</f>
        <v>LBTYK</v>
      </c>
      <c r="C973" s="238">
        <v>652.29999999999995</v>
      </c>
      <c r="D973" s="238">
        <f>C973*E973</f>
        <v>19.35197407923571</v>
      </c>
      <c r="E973" s="124">
        <f>M957</f>
        <v>2.9667291245187355E-2</v>
      </c>
      <c r="BO973" s="92" t="s">
        <v>1551</v>
      </c>
      <c r="BP973" s="337">
        <v>58</v>
      </c>
    </row>
    <row r="974" spans="1:69">
      <c r="B974" s="92" t="s">
        <v>16</v>
      </c>
      <c r="C974" s="236">
        <f>SUM(C971:C973)</f>
        <v>941.09999999999991</v>
      </c>
      <c r="D974" s="236">
        <f>C974*E974</f>
        <v>32.140479269955613</v>
      </c>
      <c r="E974" s="124">
        <f>M958</f>
        <v>3.4152034077096605E-2</v>
      </c>
      <c r="BP974" s="337"/>
    </row>
    <row r="975" spans="1:69">
      <c r="BP975" s="337"/>
    </row>
    <row r="976" spans="1:69">
      <c r="BO976" s="92" t="s">
        <v>1552</v>
      </c>
      <c r="BP976" s="337">
        <v>79.13</v>
      </c>
    </row>
    <row r="977" spans="2:69">
      <c r="B977" s="175"/>
      <c r="C977" s="588" t="s">
        <v>2029</v>
      </c>
      <c r="D977" s="336" t="s">
        <v>2030</v>
      </c>
      <c r="E977" s="588" t="s">
        <v>2039</v>
      </c>
      <c r="F977" s="336" t="s">
        <v>2040</v>
      </c>
      <c r="G977" s="588" t="s">
        <v>2031</v>
      </c>
      <c r="BO977" s="92" t="s">
        <v>1555</v>
      </c>
      <c r="BP977" s="313" t="e">
        <f>AVERAGE(BO955,BO957)</f>
        <v>#REF!</v>
      </c>
    </row>
    <row r="978" spans="2:69">
      <c r="B978" s="92" t="str">
        <f>B964</f>
        <v>LiLACA</v>
      </c>
      <c r="C978" s="792">
        <f>F964/1000000</f>
        <v>12.630532000000001</v>
      </c>
      <c r="D978" s="369">
        <f>E978-C978</f>
        <v>3.6485240000000001</v>
      </c>
      <c r="E978" s="792">
        <f>L964/1000000</f>
        <v>16.279056000000001</v>
      </c>
      <c r="F978" s="369">
        <f>G978-E978</f>
        <v>34.720944000000003</v>
      </c>
      <c r="G978" s="792">
        <v>51</v>
      </c>
      <c r="BO978" s="92" t="s">
        <v>1552</v>
      </c>
      <c r="BP978" s="236" t="e">
        <f>(1+BP977)*BP976</f>
        <v>#REF!</v>
      </c>
    </row>
    <row r="979" spans="2:69">
      <c r="B979" s="92" t="str">
        <f>B965</f>
        <v>LiLACB</v>
      </c>
      <c r="C979" s="792">
        <f>F965/1000000</f>
        <v>0.52342299999999997</v>
      </c>
      <c r="D979" s="369">
        <f>E979-C979</f>
        <v>0</v>
      </c>
      <c r="E979" s="792">
        <f>L965/1000000</f>
        <v>0.52342299999999997</v>
      </c>
      <c r="F979" s="369">
        <f>G979-E979</f>
        <v>1.3765769999999999</v>
      </c>
      <c r="G979" s="792">
        <v>1.9</v>
      </c>
    </row>
    <row r="980" spans="2:69">
      <c r="B980" s="175" t="str">
        <f>B966</f>
        <v>LiLACC</v>
      </c>
      <c r="C980" s="793">
        <f>F966/1000000</f>
        <v>30.772735999999998</v>
      </c>
      <c r="D980" s="371">
        <f>E980-C980</f>
        <v>8.9393279999999997</v>
      </c>
      <c r="E980" s="793">
        <f>L966/1000000</f>
        <v>39.712063999999998</v>
      </c>
      <c r="F980" s="371">
        <f>G980-E980</f>
        <v>81.387935999999996</v>
      </c>
      <c r="G980" s="793">
        <v>121.1</v>
      </c>
      <c r="BO980" s="92" t="s">
        <v>1556</v>
      </c>
      <c r="BP980" s="236" t="e">
        <f>BP978-BP973</f>
        <v>#REF!</v>
      </c>
    </row>
    <row r="981" spans="2:69">
      <c r="B981" s="92" t="s">
        <v>16</v>
      </c>
      <c r="C981" s="792">
        <f>F967/1000000</f>
        <v>43.926690999999998</v>
      </c>
      <c r="D981" s="369">
        <f>E981-C981</f>
        <v>12.587852000000005</v>
      </c>
      <c r="E981" s="792">
        <f>SUM(E978:E980)</f>
        <v>56.514543000000003</v>
      </c>
      <c r="F981" s="369">
        <f>SUM(F978:F980)</f>
        <v>117.485457</v>
      </c>
      <c r="G981" s="792">
        <f>SUM(G978:G980)</f>
        <v>174</v>
      </c>
      <c r="BO981" s="92" t="s">
        <v>1040</v>
      </c>
      <c r="BP981" s="338">
        <v>1.52</v>
      </c>
    </row>
    <row r="982" spans="2:69">
      <c r="B982" s="92" t="s">
        <v>2035</v>
      </c>
      <c r="C982" s="792">
        <f>C978+C979*10</f>
        <v>17.864761999999999</v>
      </c>
      <c r="D982" s="369">
        <f>D978+D979*10</f>
        <v>3.6485240000000001</v>
      </c>
      <c r="E982" s="792">
        <f>E978+E979*10</f>
        <v>21.513286000000001</v>
      </c>
      <c r="F982" s="369">
        <f>F978+F979*10</f>
        <v>48.486714000000006</v>
      </c>
      <c r="G982" s="792">
        <f>G978+G979*10</f>
        <v>70</v>
      </c>
      <c r="BO982" s="92" t="s">
        <v>1557</v>
      </c>
      <c r="BP982" s="354" t="e">
        <f>BP981*BP980/100</f>
        <v>#REF!</v>
      </c>
    </row>
    <row r="983" spans="2:69">
      <c r="C983" s="792"/>
      <c r="D983" s="369"/>
      <c r="E983" s="792"/>
      <c r="F983" s="369"/>
      <c r="G983" s="792"/>
      <c r="BO983" s="92" t="s">
        <v>325</v>
      </c>
      <c r="BP983" s="236" t="e">
        <f>BP982*BP972</f>
        <v>#REF!</v>
      </c>
    </row>
    <row r="984" spans="2:69">
      <c r="B984" s="92" t="s">
        <v>2032</v>
      </c>
      <c r="C984" s="792"/>
      <c r="D984" s="369"/>
      <c r="E984" s="792"/>
      <c r="F984" s="369"/>
      <c r="G984" s="792"/>
      <c r="BP984" s="236"/>
    </row>
    <row r="985" spans="2:69">
      <c r="B985" s="92" t="str">
        <f>B978</f>
        <v>LiLACA</v>
      </c>
      <c r="C985" s="792">
        <f>E964/1000000</f>
        <v>5.4523000000000002E-2</v>
      </c>
      <c r="D985" s="369">
        <f>E985-C985</f>
        <v>1.3471679999999999</v>
      </c>
      <c r="E985" s="792">
        <f>K964/1000000</f>
        <v>1.401691</v>
      </c>
      <c r="F985" s="369">
        <f>F978*E971</f>
        <v>0.52592094422393665</v>
      </c>
      <c r="G985" s="792">
        <f>E985+F985</f>
        <v>1.9276119442239366</v>
      </c>
      <c r="BQ985" s="532" t="e">
        <f>BQ959+BQ968+BP983</f>
        <v>#REF!</v>
      </c>
    </row>
    <row r="986" spans="2:69">
      <c r="B986" s="92" t="str">
        <f>B979</f>
        <v>LiLACB</v>
      </c>
      <c r="C986" s="792">
        <f>E965/1000000</f>
        <v>0.43936799999999998</v>
      </c>
      <c r="D986" s="369">
        <f>E986-C986</f>
        <v>0</v>
      </c>
      <c r="E986" s="792">
        <f>K965/1000000</f>
        <v>0.43936799999999998</v>
      </c>
      <c r="F986" s="369">
        <f>F979*E972</f>
        <v>1.1550704006640045</v>
      </c>
      <c r="G986" s="792">
        <f>E986+F986</f>
        <v>1.5944384006640044</v>
      </c>
    </row>
    <row r="987" spans="2:69">
      <c r="B987" s="175" t="str">
        <f>B980</f>
        <v>LiLACC</v>
      </c>
      <c r="C987" s="793">
        <f>E966/1000000</f>
        <v>0.65069399999999999</v>
      </c>
      <c r="D987" s="371">
        <f>E987-C987</f>
        <v>3.300726</v>
      </c>
      <c r="E987" s="793">
        <f>K966/1000000</f>
        <v>3.9514200000000002</v>
      </c>
      <c r="F987" s="793">
        <f>F980*E973</f>
        <v>2.4145596011566686</v>
      </c>
      <c r="G987" s="793">
        <f>E987+F987</f>
        <v>6.3659796011566687</v>
      </c>
    </row>
    <row r="988" spans="2:69">
      <c r="B988" s="92" t="s">
        <v>16</v>
      </c>
      <c r="C988" s="792">
        <f>SUM(C985:C987)</f>
        <v>1.144585</v>
      </c>
      <c r="D988" s="792">
        <f>SUM(D985:D987)</f>
        <v>4.647894</v>
      </c>
      <c r="E988" s="792">
        <f>SUM(E985:E987)</f>
        <v>5.7924790000000002</v>
      </c>
      <c r="F988" s="792">
        <f>SUM(F985:F987)</f>
        <v>4.0955509460446091</v>
      </c>
      <c r="G988" s="792">
        <f>SUM(G985:G987)</f>
        <v>9.8880299460446093</v>
      </c>
    </row>
    <row r="989" spans="2:69">
      <c r="B989" s="92" t="s">
        <v>2033</v>
      </c>
      <c r="C989" s="792">
        <f>C985+C986*10</f>
        <v>4.4482029999999995</v>
      </c>
      <c r="D989" s="369">
        <f>D985+D986*10</f>
        <v>1.3471679999999999</v>
      </c>
      <c r="E989" s="792">
        <f>E985+E986*10</f>
        <v>5.7953709999999994</v>
      </c>
      <c r="F989" s="369">
        <f>F985+F986*10</f>
        <v>12.076624950863982</v>
      </c>
      <c r="G989" s="792">
        <f>G985+G986*10</f>
        <v>17.87199595086398</v>
      </c>
    </row>
    <row r="990" spans="2:69">
      <c r="C990" s="589"/>
      <c r="E990" s="589"/>
      <c r="G990" s="589"/>
    </row>
    <row r="991" spans="2:69">
      <c r="B991" s="92" t="s">
        <v>1318</v>
      </c>
      <c r="C991" s="589"/>
      <c r="E991" s="589"/>
      <c r="G991" s="589"/>
    </row>
    <row r="992" spans="2:69">
      <c r="B992" s="92" t="str">
        <f>B985</f>
        <v>LiLACA</v>
      </c>
      <c r="C992" s="590">
        <f>C985/C978</f>
        <v>4.3167619542866442E-3</v>
      </c>
      <c r="D992" s="124">
        <f>D985/D978</f>
        <v>0.36923643643292464</v>
      </c>
      <c r="E992" s="590">
        <f>E985/E978</f>
        <v>8.6103948533625047E-2</v>
      </c>
      <c r="F992" s="124">
        <f>F985/F978</f>
        <v>1.5147080800105453E-2</v>
      </c>
      <c r="G992" s="590">
        <f>G985/G978</f>
        <v>3.779631263184189E-2</v>
      </c>
    </row>
    <row r="993" spans="2:10">
      <c r="B993" s="92" t="str">
        <f>B986</f>
        <v>LiLACB</v>
      </c>
      <c r="C993" s="590">
        <f>C986/C979</f>
        <v>0.83941286492951206</v>
      </c>
      <c r="D993" s="587" t="s">
        <v>2034</v>
      </c>
      <c r="E993" s="590">
        <f t="shared" ref="E993:G996" si="250">E986/E979</f>
        <v>0.83941286492951206</v>
      </c>
      <c r="F993" s="124">
        <f t="shared" si="250"/>
        <v>0.83908884186210031</v>
      </c>
      <c r="G993" s="590">
        <f>G986/G979</f>
        <v>0.83917810561263395</v>
      </c>
    </row>
    <row r="994" spans="2:10">
      <c r="B994" s="175" t="str">
        <f>B987</f>
        <v>LiLACC</v>
      </c>
      <c r="C994" s="591">
        <f>C987/C980</f>
        <v>2.1145146144951169E-2</v>
      </c>
      <c r="D994" s="360">
        <f>D987/D980</f>
        <v>0.36923647952060829</v>
      </c>
      <c r="E994" s="591">
        <f t="shared" si="250"/>
        <v>9.9501753421831721E-2</v>
      </c>
      <c r="F994" s="360">
        <f t="shared" si="250"/>
        <v>2.9667291245187355E-2</v>
      </c>
      <c r="G994" s="591">
        <f>G987/G980</f>
        <v>5.2567957069832111E-2</v>
      </c>
    </row>
    <row r="995" spans="2:10">
      <c r="B995" s="92" t="s">
        <v>2037</v>
      </c>
      <c r="C995" s="591">
        <f>C988/C981</f>
        <v>2.6056708892550091E-2</v>
      </c>
      <c r="D995" s="124">
        <f>D988/D981</f>
        <v>0.36923646703186519</v>
      </c>
      <c r="E995" s="591">
        <f t="shared" si="250"/>
        <v>0.10249537008553709</v>
      </c>
      <c r="F995" s="124">
        <f t="shared" si="250"/>
        <v>3.4860067370249999E-2</v>
      </c>
      <c r="G995" s="591">
        <f t="shared" si="250"/>
        <v>5.6827758310601204E-2</v>
      </c>
    </row>
    <row r="996" spans="2:10">
      <c r="B996" s="92" t="str">
        <f>B989</f>
        <v>Vote</v>
      </c>
      <c r="C996" s="591">
        <f>C989/C982</f>
        <v>0.24899312960340583</v>
      </c>
      <c r="D996" s="124">
        <f>D989/D982</f>
        <v>0.36923643643292464</v>
      </c>
      <c r="E996" s="591">
        <f t="shared" si="250"/>
        <v>0.26938567171932726</v>
      </c>
      <c r="F996" s="124">
        <f t="shared" si="250"/>
        <v>0.24907080630095865</v>
      </c>
      <c r="G996" s="591">
        <f>G989/G982</f>
        <v>0.25531422786948543</v>
      </c>
    </row>
    <row r="998" spans="2:10">
      <c r="B998" s="795"/>
      <c r="C998" s="796" t="s">
        <v>467</v>
      </c>
      <c r="D998" s="796" t="s">
        <v>3145</v>
      </c>
      <c r="H998" s="92" t="s">
        <v>3146</v>
      </c>
    </row>
    <row r="999" spans="2:10">
      <c r="B999" s="890" t="s">
        <v>3142</v>
      </c>
      <c r="C999" s="891">
        <v>48.415999999999997</v>
      </c>
      <c r="D999" s="891">
        <v>221.090664</v>
      </c>
      <c r="G999" s="236">
        <f>C999</f>
        <v>48.415999999999997</v>
      </c>
    </row>
    <row r="1000" spans="2:10">
      <c r="B1000" s="92" t="s">
        <v>3143</v>
      </c>
      <c r="C1000" s="236">
        <v>1.9401930000000001</v>
      </c>
      <c r="D1000" s="236">
        <v>11.102619000000001</v>
      </c>
      <c r="G1000" s="236">
        <f>C1000</f>
        <v>1.9401930000000001</v>
      </c>
    </row>
    <row r="1001" spans="2:10">
      <c r="B1001" s="892" t="s">
        <v>3144</v>
      </c>
      <c r="C1001" s="893">
        <f>120.819385+9.5</f>
        <v>130.31938500000001</v>
      </c>
      <c r="D1001" s="893">
        <v>588.31351600000005</v>
      </c>
      <c r="G1001" s="238">
        <f>C1001</f>
        <v>130.31938500000001</v>
      </c>
    </row>
    <row r="1002" spans="2:10">
      <c r="B1002" s="92" t="s">
        <v>16</v>
      </c>
      <c r="C1002" s="236">
        <f>SUM(C999:C1001)</f>
        <v>180.675578</v>
      </c>
      <c r="D1002" s="236">
        <f>SUM(D999:D1001)</f>
        <v>820.506799</v>
      </c>
      <c r="G1002" s="236">
        <f>SUM(G999:G1001)</f>
        <v>180.675578</v>
      </c>
    </row>
    <row r="1003" spans="2:10">
      <c r="B1003" s="890" t="s">
        <v>2035</v>
      </c>
      <c r="C1003" s="891">
        <f>C999+C1000*10</f>
        <v>67.81792999999999</v>
      </c>
      <c r="D1003" s="891">
        <f>D999+D1000*10</f>
        <v>332.11685399999999</v>
      </c>
      <c r="G1003" s="236">
        <f>G999+G1000*10</f>
        <v>67.81792999999999</v>
      </c>
    </row>
    <row r="1004" spans="2:10">
      <c r="C1004" s="124">
        <f>C1003/C1002</f>
        <v>0.37535748190604923</v>
      </c>
      <c r="D1004" s="124">
        <f>D1003/D1002</f>
        <v>0.40477038630852341</v>
      </c>
    </row>
    <row r="1005" spans="2:10">
      <c r="B1005" s="890"/>
      <c r="C1005" s="894"/>
      <c r="D1005" s="890"/>
    </row>
    <row r="1006" spans="2:10">
      <c r="B1006" s="92" t="s">
        <v>3147</v>
      </c>
      <c r="C1006" s="369"/>
    </row>
    <row r="1007" spans="2:10">
      <c r="B1007" s="890" t="str">
        <f>B999</f>
        <v>A</v>
      </c>
      <c r="C1007" s="891">
        <v>1.9308339999999999</v>
      </c>
      <c r="D1007" s="891">
        <v>4.6173570000000002</v>
      </c>
      <c r="G1007" s="236">
        <f>C1007-C1030/1000</f>
        <v>1.4060999999999999</v>
      </c>
      <c r="H1007" s="345"/>
      <c r="J1007" s="236"/>
    </row>
    <row r="1008" spans="2:10">
      <c r="B1008" s="92" t="str">
        <f>B1000</f>
        <v>B</v>
      </c>
      <c r="C1008" s="236">
        <v>1.535757</v>
      </c>
      <c r="D1008" s="236">
        <v>8.7873730000000005</v>
      </c>
      <c r="G1008" s="236">
        <f>C1008</f>
        <v>1.535757</v>
      </c>
      <c r="H1008" s="345"/>
      <c r="J1008" s="236"/>
    </row>
    <row r="1009" spans="2:10">
      <c r="B1009" s="892" t="str">
        <f>B1001</f>
        <v>C</v>
      </c>
      <c r="C1009" s="893">
        <f>3.287533+2.042742+1.263869+0.151785</f>
        <v>6.7459290000000003</v>
      </c>
      <c r="D1009" s="893">
        <f>6.757225+0.756405+4.736253</f>
        <v>12.249883000000001</v>
      </c>
      <c r="G1009" s="238">
        <f>C1009-C1041/1000</f>
        <v>5.6789170000000002</v>
      </c>
      <c r="H1009" s="345"/>
      <c r="J1009" s="236"/>
    </row>
    <row r="1010" spans="2:10">
      <c r="B1010" s="92" t="s">
        <v>16</v>
      </c>
      <c r="C1010" s="236">
        <f>SUM(C1007:C1009)</f>
        <v>10.212520000000001</v>
      </c>
      <c r="D1010" s="236">
        <f>SUM(D1007:D1009)</f>
        <v>25.654613000000001</v>
      </c>
      <c r="G1010" s="236">
        <f>SUM(G1007:G1009)</f>
        <v>8.6207740000000008</v>
      </c>
      <c r="H1010" s="345"/>
    </row>
    <row r="1011" spans="2:10">
      <c r="B1011" s="890" t="s">
        <v>2033</v>
      </c>
      <c r="C1011" s="891">
        <f>C1007+C1008*10</f>
        <v>17.288404</v>
      </c>
      <c r="D1011" s="891">
        <f>D1007+D1008*10</f>
        <v>92.491087000000007</v>
      </c>
      <c r="G1011" s="236">
        <f>G1007+G1008*10</f>
        <v>16.763670000000001</v>
      </c>
      <c r="H1011" s="236"/>
    </row>
    <row r="1013" spans="2:10">
      <c r="B1013" s="890" t="s">
        <v>1318</v>
      </c>
      <c r="C1013" s="890"/>
      <c r="D1013" s="890"/>
    </row>
    <row r="1014" spans="2:10">
      <c r="B1014" s="92" t="str">
        <f>B1007</f>
        <v>A</v>
      </c>
      <c r="C1014" s="124">
        <f>C1007/C999</f>
        <v>3.9880080964970262E-2</v>
      </c>
      <c r="D1014" s="124">
        <f t="shared" ref="C1014:D1018" si="251">D1007/D999</f>
        <v>2.0884450371907157E-2</v>
      </c>
      <c r="G1014" s="124">
        <f>G1007/G999</f>
        <v>2.9042052214144083E-2</v>
      </c>
    </row>
    <row r="1015" spans="2:10">
      <c r="B1015" s="890" t="str">
        <f>B1008</f>
        <v>B</v>
      </c>
      <c r="C1015" s="895">
        <f>C1008/C1000</f>
        <v>0.79154857274508261</v>
      </c>
      <c r="D1015" s="895">
        <f t="shared" si="251"/>
        <v>0.79146848144568416</v>
      </c>
      <c r="G1015" s="124">
        <f>G1008/G1000</f>
        <v>0.79154857274508261</v>
      </c>
    </row>
    <row r="1016" spans="2:10">
      <c r="B1016" s="175" t="str">
        <f>B1009</f>
        <v>C</v>
      </c>
      <c r="C1016" s="360">
        <f>C1009/C1001</f>
        <v>5.1764585905619491E-2</v>
      </c>
      <c r="D1016" s="360">
        <f t="shared" si="251"/>
        <v>2.0822032244453823E-2</v>
      </c>
      <c r="G1016" s="360">
        <f>G1009/G1001</f>
        <v>4.3576916818629859E-2</v>
      </c>
    </row>
    <row r="1017" spans="2:10">
      <c r="B1017" s="890" t="s">
        <v>2037</v>
      </c>
      <c r="C1017" s="895">
        <f t="shared" si="251"/>
        <v>5.6524075434257096E-2</v>
      </c>
      <c r="D1017" s="895">
        <f t="shared" si="251"/>
        <v>3.1266789051921068E-2</v>
      </c>
      <c r="G1017" s="124">
        <f>G1010/G1002</f>
        <v>4.7714107769451834E-2</v>
      </c>
    </row>
    <row r="1018" spans="2:10">
      <c r="B1018" s="175" t="str">
        <f>B1011</f>
        <v>Vote</v>
      </c>
      <c r="C1018" s="360">
        <f t="shared" si="251"/>
        <v>0.25492379375188834</v>
      </c>
      <c r="D1018" s="360">
        <f t="shared" si="251"/>
        <v>0.27848959149781666</v>
      </c>
      <c r="G1018" s="124">
        <f>G1011/G1003</f>
        <v>0.24718640041062892</v>
      </c>
    </row>
    <row r="1020" spans="2:10">
      <c r="B1020" s="794">
        <v>42917</v>
      </c>
    </row>
    <row r="1021" spans="2:10">
      <c r="B1021" s="795" t="str">
        <f>B1007</f>
        <v>A</v>
      </c>
      <c r="C1021" s="796" t="s">
        <v>1156</v>
      </c>
      <c r="D1021" s="796" t="s">
        <v>1169</v>
      </c>
      <c r="E1021" s="796" t="s">
        <v>3155</v>
      </c>
    </row>
    <row r="1022" spans="2:10">
      <c r="B1022" s="92" t="s">
        <v>3148</v>
      </c>
      <c r="C1022" s="92">
        <v>54.91</v>
      </c>
      <c r="D1022" s="92">
        <v>22</v>
      </c>
      <c r="E1022" s="236">
        <f t="shared" ref="E1022:E1029" si="252">C1022/1000*D1022</f>
        <v>1.2080199999999999</v>
      </c>
    </row>
    <row r="1023" spans="2:10">
      <c r="B1023" s="92" t="s">
        <v>3149</v>
      </c>
      <c r="C1023" s="92">
        <v>77.432000000000002</v>
      </c>
      <c r="D1023" s="92">
        <v>22.1</v>
      </c>
      <c r="E1023" s="236">
        <f t="shared" si="252"/>
        <v>1.7112472000000001</v>
      </c>
    </row>
    <row r="1024" spans="2:10">
      <c r="B1024" s="92" t="s">
        <v>3150</v>
      </c>
      <c r="C1024" s="92">
        <v>79.935000000000002</v>
      </c>
      <c r="D1024" s="92">
        <v>22.2</v>
      </c>
      <c r="E1024" s="236">
        <f t="shared" si="252"/>
        <v>1.7745570000000002</v>
      </c>
    </row>
    <row r="1025" spans="2:8">
      <c r="B1025" s="92" t="s">
        <v>3151</v>
      </c>
      <c r="C1025" s="92">
        <v>8.6470000000000002</v>
      </c>
      <c r="D1025" s="92">
        <v>23.8</v>
      </c>
      <c r="E1025" s="236">
        <f t="shared" si="252"/>
        <v>0.2057986</v>
      </c>
    </row>
    <row r="1026" spans="2:8">
      <c r="C1026" s="92">
        <v>77.563999999999993</v>
      </c>
      <c r="D1026" s="92">
        <v>24.5</v>
      </c>
      <c r="E1026" s="236">
        <f t="shared" si="252"/>
        <v>1.900318</v>
      </c>
    </row>
    <row r="1027" spans="2:8">
      <c r="C1027" s="92">
        <v>21.512</v>
      </c>
      <c r="D1027" s="92">
        <v>25.1</v>
      </c>
      <c r="E1027" s="236">
        <f t="shared" si="252"/>
        <v>0.53995120000000008</v>
      </c>
    </row>
    <row r="1028" spans="2:8">
      <c r="B1028" s="92" t="s">
        <v>3152</v>
      </c>
      <c r="C1028" s="92">
        <v>4.734</v>
      </c>
      <c r="D1028" s="92">
        <v>24.9</v>
      </c>
      <c r="E1028" s="236">
        <f t="shared" si="252"/>
        <v>0.1178766</v>
      </c>
    </row>
    <row r="1029" spans="2:8">
      <c r="B1029" s="175" t="s">
        <v>3153</v>
      </c>
      <c r="C1029" s="175">
        <v>200</v>
      </c>
      <c r="D1029" s="175">
        <v>25.2</v>
      </c>
      <c r="E1029" s="238">
        <f t="shared" si="252"/>
        <v>5.04</v>
      </c>
    </row>
    <row r="1030" spans="2:8">
      <c r="B1030" s="92" t="s">
        <v>3154</v>
      </c>
      <c r="C1030" s="92">
        <f>SUM(C1022:C1029)</f>
        <v>524.73399999999992</v>
      </c>
      <c r="E1030" s="236">
        <f>SUM(E1022:E1029)</f>
        <v>12.497768600000001</v>
      </c>
    </row>
    <row r="1032" spans="2:8">
      <c r="B1032" s="130" t="s">
        <v>3144</v>
      </c>
    </row>
    <row r="1033" spans="2:8">
      <c r="B1033" s="92" t="str">
        <f>B1022</f>
        <v>5th</v>
      </c>
      <c r="C1033" s="92">
        <v>84.141999999999996</v>
      </c>
      <c r="D1033" s="92">
        <v>21.5</v>
      </c>
      <c r="E1033" s="236">
        <f t="shared" ref="E1033:E1040" si="253">C1033/1000*D1033</f>
        <v>1.8090529999999998</v>
      </c>
    </row>
    <row r="1034" spans="2:8">
      <c r="B1034" s="92" t="str">
        <f>B1023</f>
        <v>6th</v>
      </c>
      <c r="C1034" s="92">
        <v>145.75399999999999</v>
      </c>
      <c r="D1034" s="92">
        <v>21.6</v>
      </c>
      <c r="E1034" s="236">
        <f t="shared" si="253"/>
        <v>3.1482863999999999</v>
      </c>
    </row>
    <row r="1035" spans="2:8">
      <c r="B1035" s="92" t="str">
        <f>B1024</f>
        <v>7th</v>
      </c>
      <c r="C1035" s="92">
        <v>304.738</v>
      </c>
      <c r="D1035" s="92">
        <v>21.7</v>
      </c>
      <c r="E1035" s="236">
        <f t="shared" si="253"/>
        <v>6.6128146000000001</v>
      </c>
    </row>
    <row r="1036" spans="2:8">
      <c r="B1036" s="92" t="str">
        <f>B1025</f>
        <v>10th</v>
      </c>
      <c r="C1036" s="92">
        <v>52.9</v>
      </c>
      <c r="D1036" s="92">
        <v>23.4</v>
      </c>
      <c r="E1036" s="236">
        <f t="shared" si="253"/>
        <v>1.2378599999999997</v>
      </c>
    </row>
    <row r="1037" spans="2:8">
      <c r="C1037" s="92">
        <v>224.5</v>
      </c>
      <c r="D1037" s="92">
        <v>24.2</v>
      </c>
      <c r="E1037" s="236">
        <f t="shared" si="253"/>
        <v>5.4329000000000001</v>
      </c>
    </row>
    <row r="1038" spans="2:8">
      <c r="C1038" s="92">
        <v>134.4</v>
      </c>
      <c r="D1038" s="92">
        <v>24.9</v>
      </c>
      <c r="E1038" s="236">
        <f t="shared" si="253"/>
        <v>3.3465600000000002</v>
      </c>
    </row>
    <row r="1039" spans="2:8">
      <c r="B1039" s="92" t="str">
        <f>B1028</f>
        <v>11th</v>
      </c>
      <c r="C1039" s="236">
        <v>96</v>
      </c>
      <c r="D1039" s="92">
        <v>24.5</v>
      </c>
      <c r="E1039" s="236">
        <f t="shared" si="253"/>
        <v>2.3519999999999999</v>
      </c>
      <c r="H1039" s="236"/>
    </row>
    <row r="1040" spans="2:8">
      <c r="B1040" s="175" t="str">
        <f>B1029</f>
        <v>12th</v>
      </c>
      <c r="C1040" s="238">
        <v>24.577999999999999</v>
      </c>
      <c r="D1040" s="175">
        <v>24.8</v>
      </c>
      <c r="E1040" s="238">
        <f t="shared" si="253"/>
        <v>0.60953440000000003</v>
      </c>
      <c r="H1040" s="236"/>
    </row>
    <row r="1041" spans="2:5">
      <c r="B1041" s="92" t="s">
        <v>3154</v>
      </c>
      <c r="C1041" s="92">
        <f>SUM(C1033:C1040)</f>
        <v>1067.0119999999999</v>
      </c>
      <c r="E1041" s="236">
        <f>SUM(E1033:E1040)</f>
        <v>24.549008399999998</v>
      </c>
    </row>
    <row r="1043" spans="2:5">
      <c r="B1043" s="92" t="s">
        <v>16</v>
      </c>
      <c r="E1043" s="236">
        <f>E1030+E1041</f>
        <v>37.046776999999999</v>
      </c>
    </row>
    <row r="1045" spans="2:5">
      <c r="B1045" s="1541">
        <v>45383</v>
      </c>
      <c r="C1045" s="796" t="s">
        <v>467</v>
      </c>
    </row>
    <row r="1046" spans="2:5">
      <c r="B1046" s="890" t="s">
        <v>3142</v>
      </c>
      <c r="C1046" s="891">
        <v>40.9</v>
      </c>
    </row>
    <row r="1047" spans="2:5">
      <c r="B1047" s="92" t="s">
        <v>3143</v>
      </c>
      <c r="C1047" s="236">
        <v>2.2000000000000002</v>
      </c>
    </row>
    <row r="1048" spans="2:5">
      <c r="B1048" s="892" t="s">
        <v>3144</v>
      </c>
      <c r="C1048" s="893">
        <v>162</v>
      </c>
    </row>
    <row r="1049" spans="2:5">
      <c r="B1049" s="92" t="s">
        <v>16</v>
      </c>
      <c r="C1049" s="236">
        <f>SUM(C1046:C1048)</f>
        <v>205.1</v>
      </c>
    </row>
    <row r="1050" spans="2:5">
      <c r="B1050" s="890" t="s">
        <v>2035</v>
      </c>
      <c r="C1050" s="891">
        <f>C1046+C1047*10</f>
        <v>62.9</v>
      </c>
    </row>
    <row r="1051" spans="2:5">
      <c r="C1051" s="124">
        <f>C1050/C1049</f>
        <v>0.30667966845441247</v>
      </c>
    </row>
    <row r="1052" spans="2:5">
      <c r="B1052" s="890"/>
      <c r="C1052" s="894"/>
    </row>
    <row r="1053" spans="2:5">
      <c r="B1053" s="92" t="s">
        <v>3147</v>
      </c>
      <c r="C1053" s="369"/>
    </row>
    <row r="1054" spans="2:5">
      <c r="B1054" s="890" t="str">
        <f>B1046</f>
        <v>A</v>
      </c>
      <c r="C1054" s="891">
        <v>1.9308339999999999</v>
      </c>
    </row>
    <row r="1055" spans="2:5">
      <c r="B1055" s="92" t="str">
        <f>B1047</f>
        <v>B</v>
      </c>
      <c r="C1055" s="236">
        <v>1.535757</v>
      </c>
    </row>
    <row r="1056" spans="2:5">
      <c r="B1056" s="892" t="str">
        <f>B1048</f>
        <v>C</v>
      </c>
      <c r="C1056" s="893">
        <f>8.827+2.011+0.267</f>
        <v>11.105</v>
      </c>
      <c r="E1056" s="92" t="s">
        <v>7311</v>
      </c>
    </row>
    <row r="1057" spans="2:5">
      <c r="B1057" s="92" t="s">
        <v>16</v>
      </c>
      <c r="C1057" s="236">
        <f>SUM(C1054:C1056)</f>
        <v>14.571591000000002</v>
      </c>
      <c r="E1057" s="92" t="s">
        <v>7312</v>
      </c>
    </row>
    <row r="1058" spans="2:5">
      <c r="B1058" s="890" t="s">
        <v>2033</v>
      </c>
      <c r="C1058" s="891">
        <f>C1054+C1055*10</f>
        <v>17.288404</v>
      </c>
    </row>
    <row r="1060" spans="2:5">
      <c r="B1060" s="890" t="s">
        <v>1318</v>
      </c>
      <c r="C1060" s="890"/>
    </row>
    <row r="1061" spans="2:5">
      <c r="B1061" s="92" t="str">
        <f>B1054</f>
        <v>A</v>
      </c>
      <c r="C1061" s="124">
        <f>C1054/C1046</f>
        <v>4.7208655256723714E-2</v>
      </c>
    </row>
    <row r="1062" spans="2:5">
      <c r="B1062" s="890" t="str">
        <f>B1055</f>
        <v>B</v>
      </c>
      <c r="C1062" s="895">
        <f>C1055/C1047</f>
        <v>0.69807136363636357</v>
      </c>
    </row>
    <row r="1063" spans="2:5">
      <c r="B1063" s="175" t="str">
        <f>B1056</f>
        <v>C</v>
      </c>
      <c r="C1063" s="360">
        <f>C1056/C1048</f>
        <v>6.8549382716049378E-2</v>
      </c>
    </row>
    <row r="1064" spans="2:5">
      <c r="B1064" s="890" t="s">
        <v>2037</v>
      </c>
      <c r="C1064" s="895">
        <f t="shared" ref="C1064" si="254">C1057/C1049</f>
        <v>7.104627498781084E-2</v>
      </c>
    </row>
    <row r="1065" spans="2:5">
      <c r="B1065" s="175" t="str">
        <f>B1058</f>
        <v>Vote</v>
      </c>
      <c r="C1065" s="360">
        <f t="shared" ref="C1065" si="255">C1058/C1050</f>
        <v>0.27485538950715421</v>
      </c>
    </row>
  </sheetData>
  <pageMargins left="0.7" right="0.7" top="0.75" bottom="0.75" header="0.3" footer="0.3"/>
  <pageSetup paperSize="9" scale="10" orientation="portrait" r:id="rId1"/>
  <rowBreaks count="1" manualBreakCount="1">
    <brk id="318" max="22" man="1"/>
  </rowBreaks>
  <ignoredErrors>
    <ignoredError sqref="E978:E980" formula="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V331"/>
  <sheetViews>
    <sheetView zoomScale="70" zoomScaleNormal="70" workbookViewId="0"/>
  </sheetViews>
  <sheetFormatPr defaultRowHeight="15"/>
  <cols>
    <col min="2" max="2" width="20.42578125" customWidth="1"/>
    <col min="3" max="8" width="9.140625" customWidth="1"/>
  </cols>
  <sheetData>
    <row r="2" spans="2:7">
      <c r="B2" s="513" t="s">
        <v>2005</v>
      </c>
    </row>
    <row r="3" spans="2:7">
      <c r="B3" s="13"/>
    </row>
    <row r="4" spans="2:7">
      <c r="B4" t="s">
        <v>2008</v>
      </c>
    </row>
    <row r="5" spans="2:7">
      <c r="B5" t="s">
        <v>2007</v>
      </c>
    </row>
    <row r="6" spans="2:7">
      <c r="B6" t="s">
        <v>2009</v>
      </c>
    </row>
    <row r="7" spans="2:7">
      <c r="B7" t="s">
        <v>2010</v>
      </c>
    </row>
    <row r="8" spans="2:7">
      <c r="B8" t="s">
        <v>2013</v>
      </c>
    </row>
    <row r="9" spans="2:7">
      <c r="B9" s="13"/>
    </row>
    <row r="10" spans="2:7">
      <c r="B10" s="3" t="s">
        <v>2062</v>
      </c>
      <c r="C10" s="3">
        <v>2012</v>
      </c>
      <c r="D10" s="3">
        <f>C10+1</f>
        <v>2013</v>
      </c>
      <c r="E10" s="3">
        <f>D10+1</f>
        <v>2014</v>
      </c>
      <c r="F10" s="3">
        <f>E10+1</f>
        <v>2015</v>
      </c>
      <c r="G10" s="3">
        <f>F10+1</f>
        <v>2016</v>
      </c>
    </row>
    <row r="11" spans="2:7">
      <c r="B11" t="s">
        <v>2001</v>
      </c>
      <c r="C11" s="62">
        <v>407.75099999999998</v>
      </c>
      <c r="D11" s="62">
        <v>392.33100000000002</v>
      </c>
      <c r="E11" s="62">
        <v>405.14299999999997</v>
      </c>
      <c r="F11" s="62">
        <v>423.33199999999999</v>
      </c>
      <c r="G11" s="62">
        <v>425.31400000000002</v>
      </c>
    </row>
    <row r="12" spans="2:7">
      <c r="B12" s="3" t="s">
        <v>2002</v>
      </c>
      <c r="C12" s="554">
        <f>C13-C11</f>
        <v>162.12900000000002</v>
      </c>
      <c r="D12" s="554">
        <f>D13-D11</f>
        <v>184.697</v>
      </c>
      <c r="E12" s="554">
        <f>E13-E11</f>
        <v>195.57900000000001</v>
      </c>
      <c r="F12" s="554">
        <f>F13-F11</f>
        <v>206.697</v>
      </c>
      <c r="G12" s="554">
        <f>G13-G11</f>
        <v>216.37399999999997</v>
      </c>
    </row>
    <row r="13" spans="2:7">
      <c r="B13" t="s">
        <v>16</v>
      </c>
      <c r="C13" s="62">
        <v>569.88</v>
      </c>
      <c r="D13" s="62">
        <v>577.02800000000002</v>
      </c>
      <c r="E13" s="62">
        <v>600.72199999999998</v>
      </c>
      <c r="F13" s="62">
        <v>630.029</v>
      </c>
      <c r="G13" s="62">
        <v>641.68799999999999</v>
      </c>
    </row>
    <row r="15" spans="2:7">
      <c r="B15" t="s">
        <v>29</v>
      </c>
      <c r="D15">
        <f>CWI!H29</f>
        <v>372</v>
      </c>
      <c r="E15">
        <f>CWI!I29</f>
        <v>366</v>
      </c>
      <c r="F15">
        <f>CWI!J29</f>
        <v>361</v>
      </c>
      <c r="G15">
        <f>'New quarts'!F419</f>
        <v>275.2</v>
      </c>
    </row>
    <row r="16" spans="2:7">
      <c r="B16" t="s">
        <v>2189</v>
      </c>
      <c r="C16" s="5"/>
      <c r="D16" s="5">
        <f>D15/D13</f>
        <v>0.64468275369652772</v>
      </c>
      <c r="E16" s="5">
        <f>E15/E13</f>
        <v>0.60926684889183347</v>
      </c>
      <c r="F16" s="5">
        <f>F15/F13</f>
        <v>0.57298949730885407</v>
      </c>
      <c r="G16" s="5">
        <f>G15/G13</f>
        <v>0.42886885838600691</v>
      </c>
    </row>
    <row r="18" spans="2:7">
      <c r="B18" s="3" t="s">
        <v>1567</v>
      </c>
      <c r="C18" s="3">
        <v>2012</v>
      </c>
      <c r="D18" s="3">
        <f>C18+1</f>
        <v>2013</v>
      </c>
      <c r="E18" s="3">
        <f>D18+1</f>
        <v>2014</v>
      </c>
      <c r="F18" s="3">
        <f>E18+1</f>
        <v>2015</v>
      </c>
      <c r="G18" s="3">
        <f>F18+1</f>
        <v>2016</v>
      </c>
    </row>
    <row r="19" spans="2:7">
      <c r="B19" t="s">
        <v>2003</v>
      </c>
      <c r="C19" s="62">
        <v>262.18400000000003</v>
      </c>
      <c r="D19" s="62">
        <v>273.08499999999998</v>
      </c>
      <c r="E19" s="62">
        <v>274.245</v>
      </c>
      <c r="F19" s="62">
        <v>332.36900000000003</v>
      </c>
      <c r="G19" s="62">
        <v>336.52300000000002</v>
      </c>
    </row>
    <row r="20" spans="2:7">
      <c r="B20" s="3" t="s">
        <v>2004</v>
      </c>
      <c r="C20" s="554">
        <f>C21-C19</f>
        <v>39.176999999999964</v>
      </c>
      <c r="D20" s="554">
        <f>D21-D19</f>
        <v>40.80600000000004</v>
      </c>
      <c r="E20" s="554">
        <f>E21-E19</f>
        <v>40.978999999999985</v>
      </c>
      <c r="F20" s="554">
        <f>F21-F19</f>
        <v>49.663999999999987</v>
      </c>
      <c r="G20" s="554">
        <f>G21-G19</f>
        <v>50.284999999999968</v>
      </c>
    </row>
    <row r="21" spans="2:7">
      <c r="B21" t="s">
        <v>2188</v>
      </c>
      <c r="C21" s="62">
        <v>301.36099999999999</v>
      </c>
      <c r="D21" s="62">
        <v>313.89100000000002</v>
      </c>
      <c r="E21" s="62">
        <v>315.22399999999999</v>
      </c>
      <c r="F21" s="62">
        <v>382.03300000000002</v>
      </c>
      <c r="G21" s="62">
        <v>386.80799999999999</v>
      </c>
    </row>
    <row r="23" spans="2:7">
      <c r="B23" t="s">
        <v>1790</v>
      </c>
      <c r="C23">
        <v>927</v>
      </c>
      <c r="D23">
        <v>927</v>
      </c>
      <c r="E23">
        <v>927</v>
      </c>
      <c r="F23">
        <v>927</v>
      </c>
      <c r="G23">
        <v>927</v>
      </c>
    </row>
    <row r="24" spans="2:7">
      <c r="B24" s="12" t="s">
        <v>28</v>
      </c>
      <c r="C24" s="602">
        <f>C19/C23</f>
        <v>0.28283063646170448</v>
      </c>
      <c r="D24" s="602">
        <f>D19/D23</f>
        <v>0.29459007551240557</v>
      </c>
      <c r="E24" s="602">
        <f>E19/E23</f>
        <v>0.29584142394822005</v>
      </c>
      <c r="F24" s="602">
        <f>F19/F23</f>
        <v>0.35854261057173681</v>
      </c>
      <c r="G24" s="602">
        <f>G19/G23</f>
        <v>0.36302373247033443</v>
      </c>
    </row>
    <row r="26" spans="2:7">
      <c r="B26" t="s">
        <v>2006</v>
      </c>
      <c r="C26" s="62">
        <v>154.43899999999999</v>
      </c>
      <c r="D26" s="62">
        <v>166.273</v>
      </c>
      <c r="E26" s="62">
        <v>168.983</v>
      </c>
      <c r="F26" s="62">
        <v>226.17099999999999</v>
      </c>
      <c r="G26" s="62">
        <v>228.995</v>
      </c>
    </row>
    <row r="27" spans="2:7">
      <c r="B27" t="s">
        <v>1964</v>
      </c>
      <c r="C27" s="62">
        <v>118.58499999999999</v>
      </c>
      <c r="D27" s="62">
        <v>118.602</v>
      </c>
      <c r="E27" s="62">
        <v>125.86</v>
      </c>
      <c r="F27" s="62">
        <v>127.8</v>
      </c>
      <c r="G27" s="62">
        <v>129.429</v>
      </c>
    </row>
    <row r="28" spans="2:7">
      <c r="B28" t="s">
        <v>4</v>
      </c>
      <c r="C28" s="62">
        <f>C21-C26-C27</f>
        <v>28.337000000000003</v>
      </c>
      <c r="D28" s="62">
        <f>D21-D26-D27</f>
        <v>29.01600000000002</v>
      </c>
      <c r="E28" s="62">
        <f>E21-E26-E27</f>
        <v>20.380999999999986</v>
      </c>
      <c r="F28" s="62">
        <f>F21-F26-F27</f>
        <v>28.062000000000026</v>
      </c>
      <c r="G28" s="62">
        <f>G21-G26-G27</f>
        <v>28.383999999999986</v>
      </c>
    </row>
    <row r="30" spans="2:7">
      <c r="B30" t="s">
        <v>2021</v>
      </c>
      <c r="D30" s="62">
        <f>CWI!H25</f>
        <v>131</v>
      </c>
      <c r="E30" s="62">
        <f>CWI!I25</f>
        <v>132</v>
      </c>
      <c r="F30" s="62">
        <f>CWI!J25</f>
        <v>142</v>
      </c>
      <c r="G30">
        <f>'New quarts'!F418</f>
        <v>95.7</v>
      </c>
    </row>
    <row r="31" spans="2:7">
      <c r="B31" t="s">
        <v>2028</v>
      </c>
      <c r="D31" s="5">
        <f>D30/D21</f>
        <v>0.41734232583922443</v>
      </c>
      <c r="E31" s="5">
        <f>E30/E21</f>
        <v>0.41874984138263588</v>
      </c>
      <c r="F31" s="5">
        <f>F30/F21</f>
        <v>0.37169563885842322</v>
      </c>
      <c r="G31" s="5">
        <f>G30/G21</f>
        <v>0.24740956753738291</v>
      </c>
    </row>
    <row r="32" spans="2:7">
      <c r="B32" s="488" t="s">
        <v>2011</v>
      </c>
      <c r="D32" s="62">
        <f>D27</f>
        <v>118.602</v>
      </c>
      <c r="E32" s="62">
        <f>E27</f>
        <v>125.86</v>
      </c>
      <c r="F32" s="62">
        <f>F27</f>
        <v>127.8</v>
      </c>
      <c r="G32" s="62">
        <f>G27</f>
        <v>129.429</v>
      </c>
    </row>
    <row r="33" spans="2:7">
      <c r="B33" s="488" t="s">
        <v>2012</v>
      </c>
      <c r="D33" s="62">
        <f>D30-D32</f>
        <v>12.397999999999996</v>
      </c>
      <c r="E33" s="62">
        <f>E30-E32</f>
        <v>6.1400000000000006</v>
      </c>
      <c r="F33" s="62">
        <f>F30-F32</f>
        <v>14.200000000000003</v>
      </c>
      <c r="G33" s="62">
        <f>G30-G32</f>
        <v>-33.728999999999999</v>
      </c>
    </row>
    <row r="35" spans="2:7">
      <c r="B35" s="12" t="s">
        <v>2192</v>
      </c>
      <c r="C35" s="12"/>
      <c r="D35" s="12"/>
      <c r="E35" s="12"/>
      <c r="F35" s="614">
        <v>0.7</v>
      </c>
      <c r="G35" s="614">
        <v>0.7</v>
      </c>
    </row>
    <row r="36" spans="2:7">
      <c r="B36" t="s">
        <v>362</v>
      </c>
      <c r="F36">
        <f>F23*F35</f>
        <v>648.9</v>
      </c>
      <c r="G36">
        <f>G23*G35</f>
        <v>648.9</v>
      </c>
    </row>
    <row r="37" spans="2:7">
      <c r="B37" t="s">
        <v>2197</v>
      </c>
      <c r="G37">
        <f>'New quarts'!F417</f>
        <v>82.5</v>
      </c>
    </row>
    <row r="38" spans="2:7">
      <c r="B38" t="s">
        <v>343</v>
      </c>
      <c r="G38" s="5">
        <f>G37/G36</f>
        <v>0.12713823393435045</v>
      </c>
    </row>
    <row r="39" spans="2:7">
      <c r="B39" s="488" t="s">
        <v>2198</v>
      </c>
    </row>
    <row r="40" spans="2:7">
      <c r="B40" s="488" t="s">
        <v>2199</v>
      </c>
    </row>
    <row r="42" spans="2:7">
      <c r="B42" t="s">
        <v>5</v>
      </c>
      <c r="C42">
        <v>6213.5640000000003</v>
      </c>
      <c r="D42">
        <v>6204.6360000000004</v>
      </c>
      <c r="E42">
        <v>6906.09</v>
      </c>
      <c r="F42">
        <v>6717.2520000000004</v>
      </c>
      <c r="G42">
        <v>6977.701</v>
      </c>
    </row>
    <row r="43" spans="2:7">
      <c r="B43" t="s">
        <v>29</v>
      </c>
      <c r="G43">
        <f>'New quarts'!G420</f>
        <v>1783.2</v>
      </c>
    </row>
    <row r="44" spans="2:7">
      <c r="B44" t="s">
        <v>2877</v>
      </c>
      <c r="G44" s="5">
        <f>G43/G42</f>
        <v>0.25555695206773693</v>
      </c>
    </row>
    <row r="46" spans="2:7">
      <c r="B46" s="513" t="s">
        <v>2014</v>
      </c>
    </row>
    <row r="48" spans="2:7">
      <c r="B48" t="s">
        <v>2869</v>
      </c>
      <c r="C48" s="489">
        <v>0.51749999999999996</v>
      </c>
      <c r="D48" t="s">
        <v>2870</v>
      </c>
    </row>
    <row r="49" spans="2:9">
      <c r="C49" s="489">
        <v>0.48249999999999998</v>
      </c>
      <c r="D49" t="s">
        <v>2871</v>
      </c>
    </row>
    <row r="50" spans="2:9">
      <c r="C50" s="489"/>
    </row>
    <row r="51" spans="2:9">
      <c r="C51" s="489"/>
      <c r="D51" t="s">
        <v>2875</v>
      </c>
    </row>
    <row r="52" spans="2:9">
      <c r="C52" s="489" t="s">
        <v>2872</v>
      </c>
      <c r="D52">
        <v>3.1</v>
      </c>
    </row>
    <row r="53" spans="2:9">
      <c r="C53" s="489" t="s">
        <v>2873</v>
      </c>
      <c r="D53">
        <v>5.76</v>
      </c>
    </row>
    <row r="54" spans="2:9">
      <c r="C54" s="489" t="s">
        <v>2874</v>
      </c>
      <c r="D54">
        <v>1.75</v>
      </c>
    </row>
    <row r="55" spans="2:9">
      <c r="C55" s="489" t="s">
        <v>2876</v>
      </c>
    </row>
    <row r="57" spans="2:9">
      <c r="B57" s="3"/>
      <c r="C57" s="3">
        <v>2012</v>
      </c>
      <c r="D57" s="3">
        <f>C57+1</f>
        <v>2013</v>
      </c>
      <c r="E57" s="3">
        <f>D57+1</f>
        <v>2014</v>
      </c>
      <c r="F57" s="3">
        <f>E57+1</f>
        <v>2015</v>
      </c>
      <c r="G57" s="3">
        <f>F57+1</f>
        <v>2016</v>
      </c>
    </row>
    <row r="58" spans="2:9">
      <c r="B58" t="s">
        <v>2019</v>
      </c>
      <c r="C58">
        <v>131.6</v>
      </c>
      <c r="D58">
        <v>128.1</v>
      </c>
      <c r="E58">
        <v>126.2</v>
      </c>
      <c r="F58">
        <v>120.9</v>
      </c>
      <c r="G58">
        <v>121.2</v>
      </c>
      <c r="I58">
        <f>F58-5</f>
        <v>115.9</v>
      </c>
    </row>
    <row r="59" spans="2:9">
      <c r="B59" t="s">
        <v>1516</v>
      </c>
      <c r="D59" s="62">
        <f>E59</f>
        <v>55.1</v>
      </c>
      <c r="E59" s="62">
        <f>F59</f>
        <v>55.1</v>
      </c>
      <c r="F59" s="62">
        <f>G59</f>
        <v>55.1</v>
      </c>
      <c r="G59">
        <f>'New quarts'!F465</f>
        <v>55.1</v>
      </c>
      <c r="I59">
        <v>61.5</v>
      </c>
    </row>
    <row r="60" spans="2:9">
      <c r="B60" t="s">
        <v>2020</v>
      </c>
      <c r="D60" s="5">
        <f>D59/D58</f>
        <v>0.43013270882123344</v>
      </c>
      <c r="E60" s="5">
        <f>E59/E58</f>
        <v>0.43660855784469099</v>
      </c>
      <c r="F60" s="5">
        <f>F59/F58</f>
        <v>0.45574855252274604</v>
      </c>
      <c r="G60" s="5">
        <f>G59/G58</f>
        <v>0.4546204620462046</v>
      </c>
      <c r="I60" s="5">
        <f>I59/I58</f>
        <v>0.5306298533218291</v>
      </c>
    </row>
    <row r="62" spans="2:9">
      <c r="B62" t="s">
        <v>2015</v>
      </c>
      <c r="C62" s="62">
        <v>77.98</v>
      </c>
      <c r="D62" s="62">
        <v>72.5</v>
      </c>
      <c r="E62" s="62">
        <v>76.599999999999994</v>
      </c>
      <c r="F62" s="62">
        <v>81</v>
      </c>
      <c r="G62" s="62">
        <v>86.26</v>
      </c>
      <c r="I62" s="62">
        <f>F62+5</f>
        <v>86</v>
      </c>
    </row>
    <row r="63" spans="2:9">
      <c r="B63" t="s">
        <v>2021</v>
      </c>
      <c r="C63" s="62"/>
      <c r="D63" s="62">
        <f>CWI!H126</f>
        <v>23</v>
      </c>
      <c r="E63" s="62">
        <f>CWI!I126</f>
        <v>25</v>
      </c>
      <c r="F63" s="62">
        <f>CWI!J126</f>
        <v>27</v>
      </c>
      <c r="G63" s="62">
        <f>'New quarts'!F464</f>
        <v>26.4</v>
      </c>
      <c r="I63" s="36">
        <v>24.8</v>
      </c>
    </row>
    <row r="64" spans="2:9">
      <c r="B64" t="s">
        <v>2022</v>
      </c>
      <c r="C64" s="62"/>
      <c r="D64" s="5">
        <f>D63/D62</f>
        <v>0.31724137931034485</v>
      </c>
      <c r="E64" s="5">
        <f>E63/E62</f>
        <v>0.32637075718015668</v>
      </c>
      <c r="F64" s="5">
        <f>F63/F62</f>
        <v>0.33333333333333331</v>
      </c>
      <c r="G64" s="5">
        <f>G63/G62</f>
        <v>0.30605147229306745</v>
      </c>
      <c r="I64" s="5">
        <f>I63/I62</f>
        <v>0.28837209302325584</v>
      </c>
    </row>
    <row r="65" spans="2:9">
      <c r="C65" s="62"/>
      <c r="D65" s="62"/>
      <c r="E65" s="62"/>
      <c r="F65" s="62"/>
    </row>
    <row r="66" spans="2:9">
      <c r="B66" t="s">
        <v>1790</v>
      </c>
      <c r="C66" s="62">
        <v>105</v>
      </c>
      <c r="D66" s="62">
        <v>105</v>
      </c>
      <c r="E66" s="62">
        <v>105</v>
      </c>
      <c r="F66" s="62">
        <v>105</v>
      </c>
      <c r="G66" s="62">
        <v>105</v>
      </c>
    </row>
    <row r="67" spans="2:9">
      <c r="B67" s="12" t="s">
        <v>2191</v>
      </c>
      <c r="C67" s="614">
        <f>C62/C66</f>
        <v>0.7426666666666667</v>
      </c>
      <c r="D67" s="614">
        <f>D62/D66</f>
        <v>0.69047619047619047</v>
      </c>
      <c r="E67" s="614">
        <f>E62/E66</f>
        <v>0.72952380952380946</v>
      </c>
      <c r="F67" s="614">
        <f>F62/F66</f>
        <v>0.77142857142857146</v>
      </c>
      <c r="G67" s="614">
        <f>G62/G66</f>
        <v>0.82152380952380955</v>
      </c>
    </row>
    <row r="68" spans="2:9">
      <c r="C68" s="62"/>
      <c r="D68" s="62"/>
      <c r="E68" s="62"/>
      <c r="F68" s="62"/>
    </row>
    <row r="69" spans="2:9">
      <c r="B69" t="s">
        <v>2016</v>
      </c>
      <c r="C69" s="5">
        <v>0.21940000000000001</v>
      </c>
      <c r="D69" s="5">
        <v>0.20169999999999999</v>
      </c>
      <c r="E69" s="5">
        <v>0.21060000000000001</v>
      </c>
      <c r="F69" s="5">
        <v>0.22259999999999999</v>
      </c>
      <c r="G69" s="5">
        <v>0.2281</v>
      </c>
    </row>
    <row r="70" spans="2:9">
      <c r="B70" t="s">
        <v>2017</v>
      </c>
      <c r="C70" s="62">
        <f>C62/C69</f>
        <v>355.42388331814038</v>
      </c>
      <c r="D70" s="62">
        <f>D62/D69</f>
        <v>359.44471988101139</v>
      </c>
      <c r="E70" s="62">
        <f>E62/E69</f>
        <v>363.72269705603037</v>
      </c>
      <c r="F70" s="62">
        <f>F62/F69</f>
        <v>363.88140161725067</v>
      </c>
      <c r="G70" s="62">
        <f>G62/G69</f>
        <v>378.16747040771594</v>
      </c>
    </row>
    <row r="72" spans="2:9">
      <c r="B72" t="s">
        <v>2018</v>
      </c>
      <c r="C72" s="62">
        <v>79.674999999999997</v>
      </c>
      <c r="D72" s="62">
        <v>79.587999999999994</v>
      </c>
      <c r="E72" s="62">
        <v>79.209000000000003</v>
      </c>
      <c r="F72" s="62">
        <v>77.572000000000003</v>
      </c>
      <c r="G72" s="62">
        <v>74.400000000000006</v>
      </c>
      <c r="I72" s="62">
        <f>F72-2</f>
        <v>75.572000000000003</v>
      </c>
    </row>
    <row r="73" spans="2:9">
      <c r="B73" s="12" t="s">
        <v>2190</v>
      </c>
      <c r="C73" s="614">
        <f>C72/C66</f>
        <v>0.75880952380952382</v>
      </c>
      <c r="D73" s="614">
        <f>D72/D66</f>
        <v>0.75798095238095231</v>
      </c>
      <c r="E73" s="614">
        <f>E72/E66</f>
        <v>0.75437142857142858</v>
      </c>
      <c r="F73" s="614">
        <f>F72/F66</f>
        <v>0.73878095238095243</v>
      </c>
      <c r="G73" s="614">
        <f>G72/G66</f>
        <v>0.70857142857142863</v>
      </c>
    </row>
    <row r="74" spans="2:9">
      <c r="C74" s="62"/>
      <c r="D74" s="62"/>
      <c r="E74" s="62"/>
      <c r="F74" s="62"/>
    </row>
    <row r="75" spans="2:9">
      <c r="B75" t="s">
        <v>29</v>
      </c>
      <c r="D75">
        <f>CWI!H128</f>
        <v>0</v>
      </c>
      <c r="E75">
        <f>CWI!I128</f>
        <v>0</v>
      </c>
      <c r="F75">
        <f>CWI!J128</f>
        <v>0</v>
      </c>
      <c r="G75">
        <f>'New quarts'!F463</f>
        <v>1.6</v>
      </c>
      <c r="I75" s="36">
        <v>0.6</v>
      </c>
    </row>
    <row r="76" spans="2:9">
      <c r="B76" t="s">
        <v>2023</v>
      </c>
      <c r="D76" s="5">
        <f>D75/D72</f>
        <v>0</v>
      </c>
      <c r="E76" s="5">
        <f>E75/E72</f>
        <v>0</v>
      </c>
      <c r="F76" s="5">
        <f>F75/F72</f>
        <v>0</v>
      </c>
      <c r="G76" s="5">
        <f>G75/G72</f>
        <v>2.150537634408602E-2</v>
      </c>
      <c r="I76" s="5">
        <f>I75/I72</f>
        <v>7.9394484729794091E-3</v>
      </c>
    </row>
    <row r="78" spans="2:9">
      <c r="B78" t="s">
        <v>2867</v>
      </c>
      <c r="C78">
        <v>302.8</v>
      </c>
      <c r="D78">
        <v>302.60000000000002</v>
      </c>
      <c r="E78">
        <v>314.8</v>
      </c>
      <c r="F78">
        <v>311.2</v>
      </c>
      <c r="G78">
        <v>360.2</v>
      </c>
    </row>
    <row r="79" spans="2:9">
      <c r="B79" t="s">
        <v>2197</v>
      </c>
      <c r="G79">
        <f>'New quarts'!F466</f>
        <v>315.2</v>
      </c>
    </row>
    <row r="80" spans="2:9">
      <c r="B80" t="s">
        <v>2868</v>
      </c>
      <c r="G80">
        <f>G78-G79</f>
        <v>45</v>
      </c>
    </row>
    <row r="82" spans="2:8">
      <c r="B82" s="513" t="s">
        <v>32</v>
      </c>
      <c r="C82" s="12" t="s">
        <v>2196</v>
      </c>
    </row>
    <row r="84" spans="2:8">
      <c r="B84" s="3" t="s">
        <v>7</v>
      </c>
      <c r="C84" s="4" t="s">
        <v>553</v>
      </c>
      <c r="D84" s="4" t="s">
        <v>556</v>
      </c>
      <c r="E84" s="4" t="s">
        <v>882</v>
      </c>
      <c r="F84" s="4" t="s">
        <v>883</v>
      </c>
      <c r="G84" s="4">
        <v>2015</v>
      </c>
      <c r="H84" s="4">
        <v>2016</v>
      </c>
    </row>
    <row r="85" spans="2:8">
      <c r="B85" t="s">
        <v>2003</v>
      </c>
      <c r="C85" s="62">
        <v>177.32</v>
      </c>
      <c r="D85" s="62">
        <v>183.72</v>
      </c>
      <c r="E85" s="62">
        <v>183.46</v>
      </c>
      <c r="F85" s="62">
        <v>181.18</v>
      </c>
    </row>
    <row r="86" spans="2:8">
      <c r="B86" s="3" t="s">
        <v>2024</v>
      </c>
      <c r="C86" s="554">
        <f>C87-C85</f>
        <v>74.360000000000014</v>
      </c>
      <c r="D86" s="554">
        <f>D87-D85</f>
        <v>73.320000000000022</v>
      </c>
      <c r="E86" s="554">
        <f>E87-E85</f>
        <v>72.809999999999974</v>
      </c>
      <c r="F86" s="3">
        <v>72.510000000000005</v>
      </c>
    </row>
    <row r="87" spans="2:8">
      <c r="B87" t="s">
        <v>16</v>
      </c>
      <c r="C87" s="62">
        <v>251.68</v>
      </c>
      <c r="D87" s="62">
        <v>257.04000000000002</v>
      </c>
      <c r="E87" s="62">
        <v>256.27</v>
      </c>
      <c r="F87" s="62">
        <f>SUM(F85:F86)</f>
        <v>253.69</v>
      </c>
      <c r="G87" s="62">
        <f>F87</f>
        <v>253.69</v>
      </c>
      <c r="H87">
        <f>G87</f>
        <v>253.69</v>
      </c>
    </row>
    <row r="89" spans="2:8">
      <c r="B89" t="s">
        <v>2884</v>
      </c>
      <c r="F89">
        <f>G89</f>
        <v>211.5</v>
      </c>
      <c r="G89">
        <f>'New quarts'!C431</f>
        <v>211.5</v>
      </c>
      <c r="H89">
        <f>'New quarts'!F431</f>
        <v>221.2</v>
      </c>
    </row>
    <row r="90" spans="2:8">
      <c r="B90" t="s">
        <v>2885</v>
      </c>
      <c r="F90" s="5"/>
      <c r="H90" s="5">
        <f>H89/H87</f>
        <v>0.87193030864440846</v>
      </c>
    </row>
    <row r="92" spans="2:8">
      <c r="B92" s="3" t="s">
        <v>360</v>
      </c>
      <c r="C92" s="4" t="str">
        <f>C84</f>
        <v>Q2 14</v>
      </c>
      <c r="D92" s="4" t="str">
        <f>D84</f>
        <v>Q1 15</v>
      </c>
      <c r="E92" s="4" t="str">
        <f>E84</f>
        <v>Q2 15</v>
      </c>
      <c r="F92" s="4" t="str">
        <f>F84</f>
        <v>Q3 15</v>
      </c>
    </row>
    <row r="93" spans="2:8">
      <c r="B93" t="s">
        <v>16</v>
      </c>
      <c r="C93" s="62">
        <v>2876.63</v>
      </c>
      <c r="D93" s="62">
        <v>2981.43</v>
      </c>
      <c r="E93" s="62">
        <v>3001.99</v>
      </c>
      <c r="F93" s="62">
        <v>3071.41</v>
      </c>
    </row>
    <row r="94" spans="2:8">
      <c r="B94" s="3" t="s">
        <v>2026</v>
      </c>
      <c r="C94" s="554">
        <f>C93-C95</f>
        <v>2721.08</v>
      </c>
      <c r="D94" s="554">
        <f>D93-D95</f>
        <v>2825.93</v>
      </c>
      <c r="E94" s="554">
        <f>E93-E95</f>
        <v>2842.9399999999996</v>
      </c>
      <c r="F94" s="3">
        <v>2909.95</v>
      </c>
    </row>
    <row r="95" spans="2:8">
      <c r="B95" t="s">
        <v>2025</v>
      </c>
      <c r="C95" s="62">
        <v>155.55000000000001</v>
      </c>
      <c r="D95" s="62">
        <v>155.5</v>
      </c>
      <c r="E95" s="62">
        <v>159.05000000000001</v>
      </c>
      <c r="F95" s="62">
        <f>F93-F94</f>
        <v>161.46000000000004</v>
      </c>
    </row>
    <row r="97" spans="2:9">
      <c r="B97" t="s">
        <v>2027</v>
      </c>
      <c r="C97" s="62">
        <v>146.05000000000001</v>
      </c>
      <c r="D97" s="62">
        <v>160.41999999999999</v>
      </c>
      <c r="E97" s="62">
        <v>161.5</v>
      </c>
      <c r="F97" s="62">
        <v>163.38</v>
      </c>
      <c r="G97">
        <f>'New quarts'!F430</f>
        <v>172.3</v>
      </c>
      <c r="H97">
        <f>'New quarts'!G430+'New quarts'!F725</f>
        <v>227.4</v>
      </c>
    </row>
    <row r="98" spans="2:9">
      <c r="B98" t="s">
        <v>1790</v>
      </c>
      <c r="C98">
        <v>725</v>
      </c>
      <c r="D98">
        <v>725</v>
      </c>
      <c r="E98">
        <v>725</v>
      </c>
      <c r="F98">
        <v>725</v>
      </c>
      <c r="G98">
        <v>725</v>
      </c>
      <c r="H98">
        <f>F98</f>
        <v>725</v>
      </c>
    </row>
    <row r="99" spans="2:9">
      <c r="B99" s="12" t="s">
        <v>2193</v>
      </c>
      <c r="C99" s="614">
        <f t="shared" ref="C99:H99" si="0">C97/C98</f>
        <v>0.20144827586206898</v>
      </c>
      <c r="D99" s="614">
        <f t="shared" si="0"/>
        <v>0.22126896551724137</v>
      </c>
      <c r="E99" s="614">
        <f t="shared" si="0"/>
        <v>0.22275862068965518</v>
      </c>
      <c r="F99" s="614">
        <f t="shared" si="0"/>
        <v>0.22535172413793103</v>
      </c>
      <c r="G99" s="614">
        <f t="shared" si="0"/>
        <v>0.23765517241379311</v>
      </c>
      <c r="H99" s="614">
        <f t="shared" si="0"/>
        <v>0.31365517241379309</v>
      </c>
    </row>
    <row r="100" spans="2:9">
      <c r="B100" s="12"/>
      <c r="C100" s="602"/>
      <c r="D100" s="602"/>
      <c r="E100" s="602"/>
      <c r="F100" s="602"/>
    </row>
    <row r="101" spans="2:9">
      <c r="B101" t="s">
        <v>2200</v>
      </c>
      <c r="C101" s="602"/>
      <c r="D101" s="602"/>
      <c r="E101" s="602"/>
      <c r="F101" s="602"/>
      <c r="G101">
        <f>'New quarts'!C430</f>
        <v>165</v>
      </c>
      <c r="H101">
        <f>'New quarts'!F430</f>
        <v>172.3</v>
      </c>
    </row>
    <row r="102" spans="2:9">
      <c r="B102" t="s">
        <v>2232</v>
      </c>
      <c r="C102" s="602"/>
      <c r="D102" s="602"/>
      <c r="E102" s="602"/>
      <c r="F102" s="602"/>
      <c r="G102" s="5">
        <f>G101/G97</f>
        <v>0.95763203714451528</v>
      </c>
      <c r="H102" s="5">
        <f>H101/H97</f>
        <v>0.75769569041336859</v>
      </c>
    </row>
    <row r="103" spans="2:9">
      <c r="B103" s="12"/>
      <c r="C103" s="602"/>
      <c r="D103" s="602"/>
      <c r="E103" s="602"/>
      <c r="F103" s="602"/>
    </row>
    <row r="104" spans="2:9">
      <c r="B104" t="s">
        <v>362</v>
      </c>
      <c r="C104" s="602"/>
      <c r="D104" s="602"/>
      <c r="E104" s="602"/>
      <c r="F104" s="602"/>
      <c r="H104">
        <f>H106+35+'New quarts'!G692</f>
        <v>190.5</v>
      </c>
    </row>
    <row r="105" spans="2:9">
      <c r="B105" t="s">
        <v>2233</v>
      </c>
      <c r="C105" s="602"/>
      <c r="D105" s="602"/>
      <c r="E105" s="602"/>
      <c r="F105" s="602"/>
      <c r="H105" s="5">
        <f>H104/H98</f>
        <v>0.26275862068965516</v>
      </c>
    </row>
    <row r="106" spans="2:9">
      <c r="B106" t="s">
        <v>2203</v>
      </c>
      <c r="C106" s="602"/>
      <c r="D106" s="602"/>
      <c r="E106" s="602"/>
      <c r="F106" s="602"/>
      <c r="H106">
        <f>'New quarts'!F429</f>
        <v>102.5</v>
      </c>
    </row>
    <row r="107" spans="2:9">
      <c r="B107" t="s">
        <v>2202</v>
      </c>
      <c r="C107" s="602"/>
      <c r="D107" s="602"/>
      <c r="E107" s="602"/>
      <c r="F107" s="602"/>
      <c r="G107" s="5"/>
      <c r="H107" s="5">
        <f>H106/H104</f>
        <v>0.53805774278215224</v>
      </c>
    </row>
    <row r="108" spans="2:9">
      <c r="C108" s="602"/>
      <c r="D108" s="602"/>
      <c r="E108" s="602"/>
      <c r="F108" s="602"/>
      <c r="I108" s="5"/>
    </row>
    <row r="110" spans="2:9">
      <c r="B110" s="513" t="s">
        <v>2060</v>
      </c>
    </row>
    <row r="112" spans="2:9">
      <c r="B112" s="3" t="s">
        <v>2063</v>
      </c>
      <c r="C112" s="4" t="s">
        <v>556</v>
      </c>
      <c r="D112" s="4" t="s">
        <v>882</v>
      </c>
      <c r="E112" s="4" t="s">
        <v>883</v>
      </c>
      <c r="F112" s="4" t="s">
        <v>1619</v>
      </c>
      <c r="G112" s="4" t="s">
        <v>1636</v>
      </c>
      <c r="H112" s="4" t="s">
        <v>2092</v>
      </c>
      <c r="I112" s="4" t="s">
        <v>1559</v>
      </c>
    </row>
    <row r="113" spans="2:9">
      <c r="B113" t="s">
        <v>2003</v>
      </c>
      <c r="C113">
        <v>224</v>
      </c>
      <c r="D113">
        <v>217</v>
      </c>
      <c r="E113">
        <v>213</v>
      </c>
      <c r="F113">
        <v>211</v>
      </c>
      <c r="G113">
        <v>215</v>
      </c>
      <c r="H113">
        <v>214</v>
      </c>
      <c r="I113">
        <v>214</v>
      </c>
    </row>
    <row r="114" spans="2:9">
      <c r="B114" s="3" t="s">
        <v>2024</v>
      </c>
      <c r="C114" s="3">
        <f>C115-C113</f>
        <v>60</v>
      </c>
      <c r="D114" s="3">
        <f>D115-D113</f>
        <v>60</v>
      </c>
      <c r="E114" s="3">
        <f>E115-E113</f>
        <v>59</v>
      </c>
      <c r="F114" s="3">
        <f>F115-F113</f>
        <v>59</v>
      </c>
      <c r="G114" s="3">
        <v>59</v>
      </c>
      <c r="H114" s="3">
        <v>58</v>
      </c>
      <c r="I114" s="3">
        <v>57</v>
      </c>
    </row>
    <row r="115" spans="2:9">
      <c r="B115" t="s">
        <v>16</v>
      </c>
      <c r="C115">
        <v>284</v>
      </c>
      <c r="D115">
        <v>277</v>
      </c>
      <c r="E115">
        <v>272</v>
      </c>
      <c r="F115">
        <v>270</v>
      </c>
      <c r="G115">
        <v>273</v>
      </c>
      <c r="H115">
        <f>H113+H114</f>
        <v>272</v>
      </c>
      <c r="I115">
        <f>I113+I114</f>
        <v>271</v>
      </c>
    </row>
    <row r="117" spans="2:9">
      <c r="B117" t="s">
        <v>2201</v>
      </c>
      <c r="I117">
        <f>'New quarts'!E443</f>
        <v>27.1</v>
      </c>
    </row>
    <row r="119" spans="2:9">
      <c r="B119" t="s">
        <v>2186</v>
      </c>
    </row>
    <row r="120" spans="2:9">
      <c r="B120" t="s">
        <v>2003</v>
      </c>
      <c r="C120" s="6">
        <v>0.55900000000000005</v>
      </c>
      <c r="D120" s="6">
        <v>0.54100000000000004</v>
      </c>
      <c r="E120" s="6">
        <v>0.53100000000000003</v>
      </c>
      <c r="F120" s="6">
        <v>0.52500000000000002</v>
      </c>
      <c r="G120" s="6">
        <v>0.53600000000000003</v>
      </c>
      <c r="H120" s="6">
        <v>0.53300000000000003</v>
      </c>
      <c r="I120" s="6">
        <v>0.53400000000000003</v>
      </c>
    </row>
    <row r="121" spans="2:9">
      <c r="B121" t="s">
        <v>1790</v>
      </c>
      <c r="C121" s="16">
        <f t="shared" ref="C121:I121" si="1">C113/C120</f>
        <v>400.71556350626116</v>
      </c>
      <c r="D121" s="16">
        <f t="shared" si="1"/>
        <v>401.10905730129389</v>
      </c>
      <c r="E121" s="16">
        <f t="shared" si="1"/>
        <v>401.12994350282486</v>
      </c>
      <c r="F121" s="16">
        <f t="shared" si="1"/>
        <v>401.90476190476187</v>
      </c>
      <c r="G121" s="16">
        <f t="shared" si="1"/>
        <v>401.1194029850746</v>
      </c>
      <c r="H121" s="16">
        <f t="shared" si="1"/>
        <v>401.5009380863039</v>
      </c>
      <c r="I121" s="16">
        <f t="shared" si="1"/>
        <v>400.74906367041194</v>
      </c>
    </row>
    <row r="123" spans="2:9">
      <c r="B123" t="s">
        <v>2064</v>
      </c>
    </row>
    <row r="124" spans="2:9">
      <c r="B124" t="s">
        <v>1567</v>
      </c>
      <c r="C124" s="16">
        <v>258.10000000000002</v>
      </c>
      <c r="D124" s="16">
        <v>256.5</v>
      </c>
      <c r="E124" s="16">
        <v>267.3</v>
      </c>
      <c r="F124" s="16">
        <v>278.5</v>
      </c>
      <c r="G124" s="16">
        <v>286.5</v>
      </c>
      <c r="H124" s="16">
        <v>290</v>
      </c>
      <c r="I124" s="16">
        <v>281</v>
      </c>
    </row>
    <row r="125" spans="2:9">
      <c r="B125" t="s">
        <v>2065</v>
      </c>
      <c r="C125" s="16">
        <f t="shared" ref="C125:I125" si="2">C128*C121</f>
        <v>242.43291592128799</v>
      </c>
      <c r="D125" s="16">
        <f t="shared" si="2"/>
        <v>241.4676524953789</v>
      </c>
      <c r="E125" s="16">
        <f t="shared" si="2"/>
        <v>251.5084745762712</v>
      </c>
      <c r="F125" s="16">
        <f t="shared" si="2"/>
        <v>262.84571428571428</v>
      </c>
      <c r="G125" s="16">
        <f t="shared" si="2"/>
        <v>270.3544776119403</v>
      </c>
      <c r="H125" s="16">
        <f t="shared" si="2"/>
        <v>273.02063789868669</v>
      </c>
      <c r="I125" s="16">
        <f t="shared" si="2"/>
        <v>264.49438202247188</v>
      </c>
    </row>
    <row r="126" spans="2:9">
      <c r="B126" t="s">
        <v>2066</v>
      </c>
      <c r="C126" s="16">
        <f t="shared" ref="C126:I126" si="3">C124-C125</f>
        <v>15.667084078712037</v>
      </c>
      <c r="D126" s="16">
        <f t="shared" si="3"/>
        <v>15.0323475046211</v>
      </c>
      <c r="E126" s="16">
        <f t="shared" si="3"/>
        <v>15.791525423728814</v>
      </c>
      <c r="F126" s="16">
        <f t="shared" si="3"/>
        <v>15.65428571428572</v>
      </c>
      <c r="G126" s="16">
        <f t="shared" si="3"/>
        <v>16.145522388059703</v>
      </c>
      <c r="H126" s="16">
        <f t="shared" si="3"/>
        <v>16.979362101313313</v>
      </c>
      <c r="I126" s="16">
        <f t="shared" si="3"/>
        <v>16.505617977528118</v>
      </c>
    </row>
    <row r="127" spans="2:9">
      <c r="C127" s="16"/>
      <c r="D127" s="16"/>
      <c r="E127" s="16"/>
      <c r="F127" s="16"/>
      <c r="G127" s="16"/>
    </row>
    <row r="128" spans="2:9">
      <c r="B128" s="12" t="s">
        <v>2187</v>
      </c>
      <c r="C128" s="602">
        <v>0.60499999999999998</v>
      </c>
      <c r="D128" s="602">
        <v>0.60199999999999998</v>
      </c>
      <c r="E128" s="602">
        <v>0.627</v>
      </c>
      <c r="F128" s="602">
        <v>0.65400000000000003</v>
      </c>
      <c r="G128" s="602">
        <v>0.67400000000000004</v>
      </c>
      <c r="H128" s="602">
        <v>0.68</v>
      </c>
      <c r="I128" s="602">
        <v>0.66</v>
      </c>
    </row>
    <row r="130" spans="2:9">
      <c r="B130" t="s">
        <v>2200</v>
      </c>
      <c r="H130">
        <f>'New quarts'!D442</f>
        <v>132</v>
      </c>
      <c r="I130">
        <f>'New quarts'!E442</f>
        <v>123.4</v>
      </c>
    </row>
    <row r="131" spans="2:9">
      <c r="B131" t="s">
        <v>2202</v>
      </c>
      <c r="H131" s="5">
        <f>H130/H124</f>
        <v>0.45517241379310347</v>
      </c>
      <c r="I131" s="5">
        <f>I130/I124</f>
        <v>0.43914590747330962</v>
      </c>
    </row>
    <row r="133" spans="2:9">
      <c r="B133" s="12" t="s">
        <v>2229</v>
      </c>
      <c r="C133" s="602">
        <v>0.55600000000000005</v>
      </c>
      <c r="D133" s="602">
        <v>0.56000000000000005</v>
      </c>
      <c r="E133" s="602">
        <v>0.56100000000000005</v>
      </c>
      <c r="F133" s="602">
        <v>0.56599999999999995</v>
      </c>
      <c r="G133" s="602">
        <v>0.55100000000000005</v>
      </c>
      <c r="H133" s="602">
        <v>0.54700000000000004</v>
      </c>
      <c r="I133" s="602">
        <v>0.495</v>
      </c>
    </row>
    <row r="134" spans="2:9">
      <c r="B134" t="s">
        <v>2230</v>
      </c>
      <c r="C134" s="16">
        <v>216.6</v>
      </c>
      <c r="D134" s="16">
        <v>218.8</v>
      </c>
      <c r="E134" s="16">
        <v>219.5</v>
      </c>
      <c r="F134" s="16">
        <v>222.2</v>
      </c>
      <c r="G134" s="16">
        <v>218</v>
      </c>
      <c r="H134" s="16">
        <v>217</v>
      </c>
      <c r="I134" s="16">
        <v>196</v>
      </c>
    </row>
    <row r="135" spans="2:9">
      <c r="B135" t="s">
        <v>2231</v>
      </c>
      <c r="C135" s="16">
        <f t="shared" ref="C135:I135" si="4">C134/C133</f>
        <v>389.56834532374097</v>
      </c>
      <c r="D135" s="16">
        <f t="shared" si="4"/>
        <v>390.71428571428572</v>
      </c>
      <c r="E135" s="16">
        <f t="shared" si="4"/>
        <v>391.26559714795007</v>
      </c>
      <c r="F135" s="16">
        <f t="shared" si="4"/>
        <v>392.57950530035339</v>
      </c>
      <c r="G135" s="16">
        <f t="shared" si="4"/>
        <v>395.64428312159708</v>
      </c>
      <c r="H135" s="16">
        <f t="shared" si="4"/>
        <v>396.70932358318095</v>
      </c>
      <c r="I135" s="16">
        <f t="shared" si="4"/>
        <v>395.95959595959596</v>
      </c>
    </row>
    <row r="137" spans="2:9">
      <c r="B137" t="s">
        <v>2203</v>
      </c>
      <c r="H137">
        <f>'New quarts'!D441</f>
        <v>135.5</v>
      </c>
      <c r="I137">
        <f>'New quarts'!E441</f>
        <v>121.6</v>
      </c>
    </row>
    <row r="138" spans="2:9">
      <c r="B138" t="s">
        <v>2202</v>
      </c>
      <c r="H138" s="5">
        <f>H137/H134</f>
        <v>0.62442396313364057</v>
      </c>
      <c r="I138" s="5">
        <f>I137/I134</f>
        <v>0.62040816326530612</v>
      </c>
    </row>
    <row r="140" spans="2:9">
      <c r="B140" s="513" t="s">
        <v>33</v>
      </c>
    </row>
    <row r="142" spans="2:9">
      <c r="C142">
        <f>D142-1</f>
        <v>2011</v>
      </c>
      <c r="D142">
        <f>E142-1</f>
        <v>2012</v>
      </c>
      <c r="E142">
        <f>F142-1</f>
        <v>2013</v>
      </c>
      <c r="F142">
        <f>G142-1</f>
        <v>2014</v>
      </c>
      <c r="G142">
        <v>2015</v>
      </c>
      <c r="H142">
        <v>2016</v>
      </c>
    </row>
    <row r="143" spans="2:9">
      <c r="B143" t="s">
        <v>2063</v>
      </c>
      <c r="C143">
        <v>140.66800000000001</v>
      </c>
      <c r="D143">
        <v>143.358</v>
      </c>
      <c r="E143">
        <v>148.73500000000001</v>
      </c>
      <c r="F143">
        <v>135.77500000000001</v>
      </c>
      <c r="G143">
        <v>149.53200000000001</v>
      </c>
      <c r="H143">
        <v>139.94800000000001</v>
      </c>
    </row>
    <row r="144" spans="2:9">
      <c r="B144" t="s">
        <v>2884</v>
      </c>
      <c r="H144">
        <f>'New quarts'!F454</f>
        <v>81.599999999999994</v>
      </c>
    </row>
    <row r="145" spans="2:8">
      <c r="B145" t="s">
        <v>28</v>
      </c>
      <c r="H145" s="5">
        <f>H144/H143</f>
        <v>0.58307371309343459</v>
      </c>
    </row>
    <row r="147" spans="2:8">
      <c r="B147" t="s">
        <v>2234</v>
      </c>
      <c r="C147">
        <v>60.6</v>
      </c>
      <c r="D147">
        <v>66.900000000000006</v>
      </c>
      <c r="E147">
        <v>67.8</v>
      </c>
      <c r="F147" s="36">
        <v>67</v>
      </c>
      <c r="G147">
        <v>66.959999999999994</v>
      </c>
      <c r="H147">
        <v>86.887</v>
      </c>
    </row>
    <row r="149" spans="2:8">
      <c r="B149" t="s">
        <v>1790</v>
      </c>
      <c r="C149">
        <f>D149</f>
        <v>110</v>
      </c>
      <c r="D149">
        <f>E149</f>
        <v>110</v>
      </c>
      <c r="E149">
        <f>F149</f>
        <v>110</v>
      </c>
      <c r="F149">
        <f>G149</f>
        <v>110</v>
      </c>
      <c r="G149">
        <v>110</v>
      </c>
      <c r="H149">
        <v>110</v>
      </c>
    </row>
    <row r="150" spans="2:8">
      <c r="B150" t="s">
        <v>2235</v>
      </c>
      <c r="C150" s="5">
        <f t="shared" ref="C150:H150" si="5">C147/C149</f>
        <v>0.5509090909090909</v>
      </c>
      <c r="D150" s="5">
        <f t="shared" si="5"/>
        <v>0.60818181818181827</v>
      </c>
      <c r="E150" s="5">
        <f t="shared" si="5"/>
        <v>0.61636363636363634</v>
      </c>
      <c r="F150" s="5">
        <f t="shared" si="5"/>
        <v>0.60909090909090913</v>
      </c>
      <c r="G150" s="5">
        <f t="shared" si="5"/>
        <v>0.60872727272727267</v>
      </c>
      <c r="H150" s="5">
        <f t="shared" si="5"/>
        <v>0.78988181818181824</v>
      </c>
    </row>
    <row r="152" spans="2:8">
      <c r="B152" t="s">
        <v>2200</v>
      </c>
      <c r="H152">
        <f>'New quarts'!F453</f>
        <v>62.5</v>
      </c>
    </row>
    <row r="153" spans="2:8">
      <c r="B153" t="s">
        <v>2202</v>
      </c>
      <c r="G153" s="5"/>
      <c r="H153" s="5">
        <f>H152/H147</f>
        <v>0.71932510041778397</v>
      </c>
    </row>
    <row r="155" spans="2:8">
      <c r="B155" t="s">
        <v>362</v>
      </c>
      <c r="H155">
        <f>H156*H149</f>
        <v>71.5</v>
      </c>
    </row>
    <row r="156" spans="2:8">
      <c r="B156" t="s">
        <v>2235</v>
      </c>
      <c r="H156" s="34">
        <v>0.65</v>
      </c>
    </row>
    <row r="157" spans="2:8">
      <c r="B157" t="s">
        <v>2197</v>
      </c>
      <c r="H157">
        <f>'New quarts'!F452</f>
        <v>18.399999999999999</v>
      </c>
    </row>
    <row r="158" spans="2:8">
      <c r="B158" t="s">
        <v>2202</v>
      </c>
      <c r="H158" s="5">
        <f>H157/H155</f>
        <v>0.25734265734265732</v>
      </c>
    </row>
    <row r="160" spans="2:8">
      <c r="B160" s="513" t="s">
        <v>2041</v>
      </c>
    </row>
    <row r="161" spans="2:4">
      <c r="B161" s="513"/>
    </row>
    <row r="162" spans="2:4">
      <c r="B162" s="3" t="s">
        <v>2044</v>
      </c>
      <c r="C162" s="4" t="s">
        <v>1636</v>
      </c>
      <c r="D162" s="4" t="s">
        <v>1619</v>
      </c>
    </row>
    <row r="163" spans="2:4">
      <c r="B163" t="s">
        <v>707</v>
      </c>
      <c r="C163">
        <v>71.174999999999997</v>
      </c>
      <c r="D163">
        <v>63.000999999999998</v>
      </c>
    </row>
    <row r="165" spans="2:4">
      <c r="B165" t="s">
        <v>2042</v>
      </c>
      <c r="C165">
        <v>11.423999999999999</v>
      </c>
      <c r="D165">
        <v>11.423999999999999</v>
      </c>
    </row>
    <row r="166" spans="2:4">
      <c r="B166" s="3" t="s">
        <v>2043</v>
      </c>
      <c r="C166" s="3">
        <v>88.064999999999998</v>
      </c>
      <c r="D166" s="3">
        <v>88.064999999999998</v>
      </c>
    </row>
    <row r="167" spans="2:4">
      <c r="B167" t="s">
        <v>16</v>
      </c>
      <c r="C167">
        <f>C165+C166</f>
        <v>99.489000000000004</v>
      </c>
      <c r="D167">
        <f>D165+D166</f>
        <v>99.489000000000004</v>
      </c>
    </row>
    <row r="169" spans="2:4">
      <c r="B169" t="s">
        <v>115</v>
      </c>
      <c r="C169">
        <f>C167-C163</f>
        <v>28.314000000000007</v>
      </c>
      <c r="D169">
        <f>D167-D163</f>
        <v>36.488000000000007</v>
      </c>
    </row>
    <row r="171" spans="2:4">
      <c r="B171" t="s">
        <v>15</v>
      </c>
      <c r="C171">
        <v>43.68</v>
      </c>
      <c r="D171">
        <v>39.911999999999999</v>
      </c>
    </row>
    <row r="172" spans="2:4">
      <c r="B172" t="s">
        <v>8</v>
      </c>
      <c r="C172">
        <f>C175+C176</f>
        <v>14.685</v>
      </c>
      <c r="D172">
        <f>D175+D176</f>
        <v>14.141</v>
      </c>
    </row>
    <row r="173" spans="2:4">
      <c r="B173" t="s">
        <v>251</v>
      </c>
      <c r="C173" s="6">
        <f>C172/C171</f>
        <v>0.33619505494505497</v>
      </c>
      <c r="D173" s="6">
        <f>D172/D171</f>
        <v>0.35430446983363401</v>
      </c>
    </row>
    <row r="175" spans="2:4">
      <c r="B175" t="s">
        <v>56</v>
      </c>
      <c r="C175">
        <v>9.1470000000000002</v>
      </c>
      <c r="D175">
        <v>7.9980000000000002</v>
      </c>
    </row>
    <row r="176" spans="2:4">
      <c r="B176" t="s">
        <v>668</v>
      </c>
      <c r="C176">
        <v>5.5380000000000003</v>
      </c>
      <c r="D176">
        <v>6.1429999999999998</v>
      </c>
    </row>
    <row r="178" spans="2:22">
      <c r="B178" t="s">
        <v>273</v>
      </c>
      <c r="C178" s="62">
        <f>C169/(4*C172)</f>
        <v>0.48202247191011244</v>
      </c>
      <c r="D178" s="62">
        <f>D169/(4*D172)</f>
        <v>0.64507460575631159</v>
      </c>
    </row>
    <row r="180" spans="2:22">
      <c r="B180" s="593" t="s">
        <v>2045</v>
      </c>
    </row>
    <row r="182" spans="2:22">
      <c r="B182" t="s">
        <v>332</v>
      </c>
      <c r="C182">
        <v>89.2</v>
      </c>
      <c r="G182" t="s">
        <v>72</v>
      </c>
    </row>
    <row r="183" spans="2:22">
      <c r="B183" s="3" t="s">
        <v>2046</v>
      </c>
      <c r="C183" s="3">
        <f>C169</f>
        <v>28.314000000000007</v>
      </c>
    </row>
    <row r="184" spans="2:22">
      <c r="B184" t="s">
        <v>331</v>
      </c>
      <c r="C184">
        <f>C182+C183</f>
        <v>117.51400000000001</v>
      </c>
    </row>
    <row r="186" spans="2:22">
      <c r="B186" t="s">
        <v>8</v>
      </c>
      <c r="C186">
        <f>C172*4</f>
        <v>58.74</v>
      </c>
    </row>
    <row r="187" spans="2:22">
      <c r="B187" t="s">
        <v>298</v>
      </c>
      <c r="C187" s="62">
        <f>C184/C186</f>
        <v>2.0005788219271365</v>
      </c>
    </row>
    <row r="189" spans="2:22">
      <c r="B189" s="570" t="s">
        <v>2339</v>
      </c>
    </row>
    <row r="190" spans="2:22">
      <c r="H190" s="80" t="s">
        <v>2340</v>
      </c>
      <c r="I190" t="s">
        <v>2332</v>
      </c>
      <c r="J190" s="80" t="s">
        <v>2341</v>
      </c>
      <c r="K190" s="80" t="s">
        <v>2335</v>
      </c>
      <c r="L190" s="80" t="s">
        <v>2336</v>
      </c>
      <c r="M190" t="s">
        <v>2337</v>
      </c>
      <c r="N190" t="s">
        <v>2305</v>
      </c>
      <c r="O190" s="80" t="s">
        <v>2023</v>
      </c>
    </row>
    <row r="191" spans="2:22" ht="16.5">
      <c r="B191" s="623"/>
      <c r="C191" s="627" t="s">
        <v>1788</v>
      </c>
      <c r="D191" s="627" t="s">
        <v>1789</v>
      </c>
      <c r="E191" s="627" t="s">
        <v>2194</v>
      </c>
      <c r="F191" s="627" t="s">
        <v>2195</v>
      </c>
      <c r="H191" s="627" t="s">
        <v>1967</v>
      </c>
      <c r="I191" s="627" t="s">
        <v>2333</v>
      </c>
      <c r="J191" s="627" t="s">
        <v>2342</v>
      </c>
      <c r="K191" s="627" t="s">
        <v>2334</v>
      </c>
      <c r="L191" s="627" t="s">
        <v>1790</v>
      </c>
      <c r="M191" s="627" t="s">
        <v>2338</v>
      </c>
      <c r="N191" s="627" t="s">
        <v>2306</v>
      </c>
      <c r="O191" s="627" t="s">
        <v>1967</v>
      </c>
      <c r="Q191" s="4" t="s">
        <v>361</v>
      </c>
      <c r="R191" s="4" t="s">
        <v>362</v>
      </c>
      <c r="S191" s="4" t="s">
        <v>1790</v>
      </c>
      <c r="U191" s="4" t="s">
        <v>2021</v>
      </c>
      <c r="V191" s="4" t="s">
        <v>2237</v>
      </c>
    </row>
    <row r="192" spans="2:22" ht="16.5">
      <c r="B192" s="624" t="s">
        <v>31</v>
      </c>
      <c r="C192" s="625">
        <f>F67</f>
        <v>0.77142857142857146</v>
      </c>
      <c r="D192" s="625">
        <f>F73</f>
        <v>0.73878095238095243</v>
      </c>
      <c r="E192" s="625">
        <f>I64</f>
        <v>0.28837209302325584</v>
      </c>
      <c r="F192" s="625">
        <f>I76</f>
        <v>7.9394484729794091E-3</v>
      </c>
      <c r="H192" s="16">
        <f>'New quarts'!D458</f>
        <v>140.6</v>
      </c>
      <c r="I192" s="16">
        <f>Notes!H354</f>
        <v>15</v>
      </c>
      <c r="J192" s="16">
        <f>H192-I192</f>
        <v>125.6</v>
      </c>
      <c r="K192" s="486">
        <f>Notes!K354</f>
        <v>105</v>
      </c>
      <c r="L192" s="5">
        <f>H192/K192</f>
        <v>1.339047619047619</v>
      </c>
      <c r="M192" s="5">
        <f>I192/K192</f>
        <v>0.14285714285714285</v>
      </c>
      <c r="N192">
        <f>'New quarts'!D460</f>
        <v>61.5</v>
      </c>
      <c r="O192" s="5">
        <f>N192/H192</f>
        <v>0.43741109530583216</v>
      </c>
      <c r="Q192" s="16">
        <f>I62</f>
        <v>86</v>
      </c>
      <c r="R192" s="16">
        <f>I72</f>
        <v>75.572000000000003</v>
      </c>
      <c r="S192" s="16">
        <f>F66</f>
        <v>105</v>
      </c>
      <c r="U192" s="16">
        <f>I63</f>
        <v>24.8</v>
      </c>
      <c r="V192" s="16">
        <f>I75</f>
        <v>0.6</v>
      </c>
    </row>
    <row r="193" spans="2:22" ht="16.5">
      <c r="B193" s="624" t="s">
        <v>1479</v>
      </c>
      <c r="C193" s="625">
        <f>G128</f>
        <v>0.67400000000000004</v>
      </c>
      <c r="D193" s="625">
        <f>G133</f>
        <v>0.55100000000000005</v>
      </c>
      <c r="E193" s="625">
        <f>I131</f>
        <v>0.43914590747330962</v>
      </c>
      <c r="F193" s="625">
        <f>I138</f>
        <v>0.62040816326530612</v>
      </c>
      <c r="H193" s="16">
        <f>'New quarts'!D435</f>
        <v>310.5</v>
      </c>
      <c r="I193" s="16">
        <f>Notes!H357</f>
        <v>310</v>
      </c>
      <c r="J193" s="16">
        <f>H193-I193</f>
        <v>0.5</v>
      </c>
      <c r="K193" s="486">
        <f>Notes!K357</f>
        <v>340</v>
      </c>
      <c r="L193" s="5">
        <f>H193/K193</f>
        <v>0.91323529411764703</v>
      </c>
      <c r="M193" s="5">
        <f>I193/K193</f>
        <v>0.91176470588235292</v>
      </c>
      <c r="N193">
        <f>'New quarts'!D437</f>
        <v>184.8</v>
      </c>
      <c r="O193" s="5">
        <f>N193/H193</f>
        <v>0.59516908212560393</v>
      </c>
      <c r="Q193" s="16">
        <f>G124</f>
        <v>286.5</v>
      </c>
      <c r="R193" s="16">
        <f>G134</f>
        <v>218</v>
      </c>
      <c r="S193" s="16">
        <f>G135</f>
        <v>395.64428312159708</v>
      </c>
      <c r="U193">
        <f>I130</f>
        <v>123.4</v>
      </c>
      <c r="V193" s="16">
        <f>I137</f>
        <v>121.6</v>
      </c>
    </row>
    <row r="194" spans="2:22" ht="16.5">
      <c r="B194" s="624" t="s">
        <v>33</v>
      </c>
      <c r="C194" s="625">
        <f>G150</f>
        <v>0.60872727272727267</v>
      </c>
      <c r="D194" s="625">
        <f>G156</f>
        <v>0</v>
      </c>
      <c r="E194" s="625">
        <f>I153</f>
        <v>0</v>
      </c>
      <c r="F194" s="625">
        <f>I158</f>
        <v>0</v>
      </c>
      <c r="H194" s="16">
        <f>'New quarts'!D447</f>
        <v>121.8</v>
      </c>
      <c r="I194" s="16">
        <f>Notes!H356</f>
        <v>121.8</v>
      </c>
      <c r="J194" s="16">
        <f>H194-I194</f>
        <v>0</v>
      </c>
      <c r="K194" s="486">
        <f>Notes!K356</f>
        <v>110</v>
      </c>
      <c r="L194" s="5">
        <f>H194/K194</f>
        <v>1.1072727272727272</v>
      </c>
      <c r="M194" s="5">
        <f>I194/K194</f>
        <v>1.1072727272727272</v>
      </c>
      <c r="N194">
        <f>'New quarts'!D448</f>
        <v>96.3</v>
      </c>
      <c r="O194" s="5">
        <f>N194/H194</f>
        <v>0.79064039408866993</v>
      </c>
      <c r="Q194" s="16">
        <f>I147</f>
        <v>0</v>
      </c>
      <c r="R194">
        <f>G155</f>
        <v>0</v>
      </c>
      <c r="S194">
        <f>G149</f>
        <v>110</v>
      </c>
      <c r="U194" s="16">
        <f>I152</f>
        <v>0</v>
      </c>
      <c r="V194" s="16">
        <f>I157</f>
        <v>0</v>
      </c>
    </row>
    <row r="195" spans="2:22" ht="16.5">
      <c r="B195" s="624" t="s">
        <v>0</v>
      </c>
      <c r="C195" s="625">
        <f>F24</f>
        <v>0.35854261057173681</v>
      </c>
      <c r="D195" s="625">
        <f>F35</f>
        <v>0.7</v>
      </c>
      <c r="E195" s="625">
        <f>G31</f>
        <v>0.24740956753738291</v>
      </c>
      <c r="F195" s="625">
        <f>G38</f>
        <v>0.12713823393435045</v>
      </c>
      <c r="H195" s="16">
        <f>'New quarts'!D412</f>
        <v>415.7</v>
      </c>
      <c r="I195" s="16">
        <f>Notes!H353</f>
        <v>155</v>
      </c>
      <c r="J195" s="16">
        <f>H195-I195</f>
        <v>260.7</v>
      </c>
      <c r="K195" s="486">
        <f>Notes!K353</f>
        <v>926.82926829268297</v>
      </c>
      <c r="L195" s="5">
        <f>H195/K195</f>
        <v>0.44851842105263157</v>
      </c>
      <c r="M195" s="5">
        <f>I195/K195</f>
        <v>0.16723684210526316</v>
      </c>
      <c r="N195">
        <f>'New quarts'!D414</f>
        <v>391.8</v>
      </c>
      <c r="O195" s="5">
        <f>N195/H195</f>
        <v>0.94250661534760649</v>
      </c>
      <c r="Q195" s="16">
        <f>I21</f>
        <v>0</v>
      </c>
      <c r="R195">
        <f>F36</f>
        <v>648.9</v>
      </c>
      <c r="S195">
        <f>F23</f>
        <v>927</v>
      </c>
      <c r="U195" s="16">
        <f>I30</f>
        <v>0</v>
      </c>
      <c r="V195">
        <f>I37</f>
        <v>0</v>
      </c>
    </row>
    <row r="196" spans="2:22" ht="16.5">
      <c r="B196" s="623" t="s">
        <v>32</v>
      </c>
      <c r="C196" s="628">
        <f>H99</f>
        <v>0.31365517241379309</v>
      </c>
      <c r="D196" s="628">
        <f>H105</f>
        <v>0.26275862068965516</v>
      </c>
      <c r="E196" s="628">
        <f>H102</f>
        <v>0.75769569041336859</v>
      </c>
      <c r="F196" s="628">
        <f>H107</f>
        <v>0.53805774278215224</v>
      </c>
      <c r="H196" s="64">
        <f>'New quarts'!D424</f>
        <v>459.8</v>
      </c>
      <c r="I196" s="64">
        <f>Notes!H355</f>
        <v>270</v>
      </c>
      <c r="J196" s="64">
        <f>H196-I196</f>
        <v>189.8</v>
      </c>
      <c r="K196" s="487">
        <f>Notes!K353</f>
        <v>926.82926829268297</v>
      </c>
      <c r="L196" s="512">
        <f>H196/K196</f>
        <v>0.49609999999999999</v>
      </c>
      <c r="M196" s="512">
        <f>I196/K196</f>
        <v>0.29131578947368419</v>
      </c>
      <c r="N196" s="3">
        <f>'New quarts'!D425</f>
        <v>300</v>
      </c>
      <c r="O196" s="512">
        <f>N196/H196</f>
        <v>0.6524575902566333</v>
      </c>
      <c r="Q196" s="64">
        <f>H97</f>
        <v>227.4</v>
      </c>
      <c r="R196" s="3">
        <f>H104</f>
        <v>190.5</v>
      </c>
      <c r="S196" s="3">
        <f>F98</f>
        <v>725</v>
      </c>
      <c r="U196" s="64">
        <f>H101</f>
        <v>172.3</v>
      </c>
      <c r="V196" s="64">
        <f>H106</f>
        <v>102.5</v>
      </c>
    </row>
    <row r="197" spans="2:22" ht="16.5">
      <c r="B197" s="624" t="s">
        <v>2236</v>
      </c>
      <c r="C197" s="625">
        <f>Q197/S197</f>
        <v>0.26513226337653212</v>
      </c>
      <c r="D197" s="625">
        <f>R197/S197</f>
        <v>0.50072917269917705</v>
      </c>
      <c r="E197" s="625">
        <f>U197/Q197</f>
        <v>0.53425570928488086</v>
      </c>
      <c r="F197" s="625">
        <f>V197/R197</f>
        <v>0.19832793749536617</v>
      </c>
      <c r="H197" s="16"/>
      <c r="I197" s="16"/>
      <c r="J197" s="16"/>
      <c r="Q197" s="16">
        <f>SUM(Q192:Q196)</f>
        <v>599.9</v>
      </c>
      <c r="R197" s="16">
        <f>SUM(R192:R196)</f>
        <v>1132.972</v>
      </c>
      <c r="S197" s="62">
        <f>SUM(S192:S196)</f>
        <v>2262.6442831215973</v>
      </c>
      <c r="U197" s="16">
        <f>SUM(U192:U196)</f>
        <v>320.5</v>
      </c>
      <c r="V197" s="16">
        <f>SUM(V192:V196)</f>
        <v>224.7</v>
      </c>
    </row>
    <row r="198" spans="2:22" ht="16.5">
      <c r="B198" s="623" t="s">
        <v>1413</v>
      </c>
      <c r="C198" s="628"/>
      <c r="D198" s="628"/>
      <c r="E198" s="628"/>
      <c r="F198" s="628"/>
      <c r="G198" s="3"/>
      <c r="H198" s="64">
        <f>'New quarts'!D481</f>
        <v>334.4</v>
      </c>
      <c r="I198" s="64">
        <f>I199-SUM(I192:I196)</f>
        <v>128.20000000000005</v>
      </c>
      <c r="J198" s="64">
        <f>H198-I198</f>
        <v>206.19999999999993</v>
      </c>
      <c r="K198" s="3"/>
      <c r="L198" s="3"/>
      <c r="M198" s="64"/>
      <c r="N198" s="64"/>
      <c r="O198" s="554"/>
      <c r="Q198" s="16"/>
      <c r="R198" s="16"/>
    </row>
    <row r="199" spans="2:22" ht="16.5">
      <c r="B199" s="624" t="s">
        <v>29</v>
      </c>
      <c r="C199" s="625"/>
      <c r="D199" s="625"/>
      <c r="E199" s="625"/>
      <c r="F199" s="625"/>
      <c r="H199" s="16">
        <f>H198+SUM(H192:H196)</f>
        <v>1782.7999999999997</v>
      </c>
      <c r="I199">
        <v>1000</v>
      </c>
      <c r="J199" s="486">
        <f>H199-I199</f>
        <v>782.79999999999973</v>
      </c>
      <c r="M199" s="16"/>
      <c r="N199" s="16"/>
      <c r="O199" s="62"/>
      <c r="Q199" s="16"/>
      <c r="R199" s="16"/>
    </row>
    <row r="201" spans="2:22" ht="16.5">
      <c r="B201" s="624" t="s">
        <v>468</v>
      </c>
      <c r="C201" s="5">
        <v>0.48</v>
      </c>
      <c r="D201" s="5">
        <v>0.59499999999999997</v>
      </c>
      <c r="E201" s="5">
        <v>0.37</v>
      </c>
      <c r="F201" s="5">
        <v>0.35</v>
      </c>
      <c r="H201" s="16">
        <f>'LiLAC valuation'!O224</f>
        <v>3150.6</v>
      </c>
      <c r="I201" s="16">
        <f>H201</f>
        <v>3150.6</v>
      </c>
      <c r="J201">
        <v>0</v>
      </c>
      <c r="K201">
        <v>5000</v>
      </c>
      <c r="L201" s="5">
        <f>H201/K201</f>
        <v>0.63012000000000001</v>
      </c>
      <c r="M201" s="5">
        <f>I201/K201</f>
        <v>0.63012000000000001</v>
      </c>
      <c r="N201">
        <f>'LiLAC valuation'!O226</f>
        <v>1303.8</v>
      </c>
      <c r="O201" s="5">
        <f>N201/H201</f>
        <v>0.41382593791658734</v>
      </c>
    </row>
    <row r="202" spans="2:22" ht="16.5">
      <c r="B202" s="624" t="s">
        <v>469</v>
      </c>
      <c r="C202" s="5">
        <v>0.48</v>
      </c>
      <c r="D202" s="5">
        <v>0.56000000000000005</v>
      </c>
      <c r="E202" s="5">
        <v>0.53</v>
      </c>
      <c r="F202" s="5">
        <v>0.39</v>
      </c>
      <c r="H202">
        <f>'LiLAC valuation'!O324</f>
        <v>1078.5999999999999</v>
      </c>
      <c r="I202">
        <f>H202</f>
        <v>1078.5999999999999</v>
      </c>
      <c r="J202">
        <v>0</v>
      </c>
      <c r="K202">
        <f>3548/3</f>
        <v>1182.6666666666667</v>
      </c>
      <c r="L202" s="5">
        <f>H202/K202</f>
        <v>0.91200676437429529</v>
      </c>
      <c r="M202" s="5">
        <f>I202/K202</f>
        <v>0.91200676437429529</v>
      </c>
      <c r="N202">
        <f>'LiLAC valuation'!O326</f>
        <v>396.8</v>
      </c>
      <c r="O202" s="5">
        <f>N202/H202</f>
        <v>0.36788429445577603</v>
      </c>
    </row>
    <row r="206" spans="2:22">
      <c r="B206" t="s">
        <v>2238</v>
      </c>
      <c r="H206">
        <v>35</v>
      </c>
    </row>
    <row r="207" spans="2:22">
      <c r="H207" s="5">
        <f>H206/Q196</f>
        <v>0.15391380826737028</v>
      </c>
    </row>
    <row r="208" spans="2:22">
      <c r="B208" t="s">
        <v>2239</v>
      </c>
      <c r="H208">
        <f>67-H206</f>
        <v>32</v>
      </c>
    </row>
    <row r="209" spans="2:8">
      <c r="H209" s="5">
        <f>H208/(Q193+Q194)</f>
        <v>0.11169284467713787</v>
      </c>
    </row>
    <row r="210" spans="2:8">
      <c r="B210" s="12" t="s">
        <v>1788</v>
      </c>
    </row>
    <row r="211" spans="2:8">
      <c r="B211" t="s">
        <v>31</v>
      </c>
      <c r="C211" s="5">
        <v>0.77142857142857146</v>
      </c>
    </row>
    <row r="212" spans="2:8">
      <c r="B212" t="s">
        <v>1479</v>
      </c>
      <c r="C212" s="5">
        <v>0.67400000000000004</v>
      </c>
    </row>
    <row r="213" spans="2:8">
      <c r="B213" t="s">
        <v>33</v>
      </c>
      <c r="C213" s="5">
        <v>0.60872727272727267</v>
      </c>
    </row>
    <row r="214" spans="2:8">
      <c r="B214" t="s">
        <v>2881</v>
      </c>
      <c r="C214" s="5">
        <v>0.46</v>
      </c>
    </row>
    <row r="215" spans="2:8">
      <c r="B215" t="s">
        <v>0</v>
      </c>
      <c r="C215" s="5">
        <v>0.35854261057173681</v>
      </c>
    </row>
    <row r="216" spans="2:8">
      <c r="B216" t="s">
        <v>32</v>
      </c>
      <c r="C216" s="5">
        <v>0.31</v>
      </c>
    </row>
    <row r="218" spans="2:8">
      <c r="B218" s="12" t="s">
        <v>1789</v>
      </c>
    </row>
    <row r="219" spans="2:8">
      <c r="B219" t="s">
        <v>31</v>
      </c>
      <c r="C219" s="5">
        <v>0.73878095238095243</v>
      </c>
    </row>
    <row r="220" spans="2:8">
      <c r="B220" t="s">
        <v>0</v>
      </c>
      <c r="C220" s="5">
        <v>0.7</v>
      </c>
    </row>
    <row r="221" spans="2:8">
      <c r="B221" t="s">
        <v>33</v>
      </c>
      <c r="C221" s="5">
        <v>0.65</v>
      </c>
    </row>
    <row r="222" spans="2:8">
      <c r="B222" t="s">
        <v>1479</v>
      </c>
      <c r="C222" s="5">
        <v>0.55100000000000005</v>
      </c>
    </row>
    <row r="223" spans="2:8">
      <c r="B223" t="s">
        <v>2881</v>
      </c>
      <c r="C223" s="5">
        <v>0.53</v>
      </c>
    </row>
    <row r="224" spans="2:8">
      <c r="B224" t="s">
        <v>32</v>
      </c>
      <c r="C224" s="5">
        <v>0.24110344827586208</v>
      </c>
    </row>
    <row r="227" spans="2:17">
      <c r="B227" s="12" t="s">
        <v>0</v>
      </c>
    </row>
    <row r="228" spans="2:17">
      <c r="B228" s="13" t="s">
        <v>1870</v>
      </c>
    </row>
    <row r="229" spans="2:17">
      <c r="B229" t="s">
        <v>29</v>
      </c>
      <c r="C229" s="5">
        <f>D229/D$232</f>
        <v>0.42886885838600691</v>
      </c>
      <c r="D229" s="16">
        <f>G15</f>
        <v>275.2</v>
      </c>
    </row>
    <row r="230" spans="2:17">
      <c r="B230" t="s">
        <v>2882</v>
      </c>
      <c r="C230" s="5">
        <v>0.24</v>
      </c>
      <c r="D230" s="16">
        <f>C230*D232</f>
        <v>154.00512000000001</v>
      </c>
    </row>
    <row r="231" spans="2:17">
      <c r="B231" s="3" t="s">
        <v>4</v>
      </c>
      <c r="C231" s="512">
        <f>C232-C229-C230</f>
        <v>0.33113114161399304</v>
      </c>
      <c r="D231" s="16">
        <f>D232-D229-D230</f>
        <v>212.48287999999999</v>
      </c>
    </row>
    <row r="232" spans="2:17" ht="15.75" thickBot="1">
      <c r="B232" t="s">
        <v>16</v>
      </c>
      <c r="C232" s="5">
        <v>1</v>
      </c>
      <c r="D232" s="16">
        <f>G13</f>
        <v>641.68799999999999</v>
      </c>
      <c r="G232" s="726" t="s">
        <v>1567</v>
      </c>
      <c r="H232" s="13"/>
      <c r="I232" s="13"/>
      <c r="J232" s="13"/>
      <c r="K232" s="13"/>
      <c r="L232" s="726" t="s">
        <v>389</v>
      </c>
      <c r="M232" s="13"/>
      <c r="N232" s="13"/>
      <c r="O232" s="13"/>
      <c r="P232" s="13"/>
      <c r="Q232" s="726" t="s">
        <v>1870</v>
      </c>
    </row>
    <row r="233" spans="2:17" ht="15.75" thickBot="1">
      <c r="C233" s="5"/>
      <c r="D233" s="16"/>
      <c r="F233" s="725" t="s">
        <v>0</v>
      </c>
      <c r="K233" s="12"/>
      <c r="P233" s="12"/>
    </row>
    <row r="234" spans="2:17">
      <c r="B234" s="12"/>
    </row>
    <row r="235" spans="2:17">
      <c r="B235" s="13" t="s">
        <v>1567</v>
      </c>
    </row>
    <row r="236" spans="2:17">
      <c r="B236" t="s">
        <v>29</v>
      </c>
      <c r="C236" s="5">
        <f>E195</f>
        <v>0.24740956753738291</v>
      </c>
      <c r="D236" s="16">
        <f>G30</f>
        <v>95.7</v>
      </c>
    </row>
    <row r="237" spans="2:17">
      <c r="B237" t="s">
        <v>2882</v>
      </c>
      <c r="C237" s="5">
        <v>0.53</v>
      </c>
      <c r="D237" s="16">
        <f>C237*D239</f>
        <v>205.00824</v>
      </c>
    </row>
    <row r="238" spans="2:17">
      <c r="B238" s="3" t="s">
        <v>4</v>
      </c>
      <c r="C238" s="512">
        <f>C239-C236-C237</f>
        <v>0.22259043246261712</v>
      </c>
      <c r="D238" s="16">
        <f>C238*D239</f>
        <v>86.099760000000003</v>
      </c>
    </row>
    <row r="239" spans="2:17">
      <c r="B239" t="s">
        <v>16</v>
      </c>
      <c r="C239" s="5">
        <v>1</v>
      </c>
      <c r="D239">
        <f>D236/C236</f>
        <v>386.80799999999999</v>
      </c>
    </row>
    <row r="241" spans="2:6">
      <c r="B241" s="13" t="s">
        <v>389</v>
      </c>
    </row>
    <row r="242" spans="2:6">
      <c r="B242" t="s">
        <v>29</v>
      </c>
      <c r="C242" s="5">
        <f>F195</f>
        <v>0.12713823393435045</v>
      </c>
      <c r="D242">
        <f>G37</f>
        <v>82.5</v>
      </c>
    </row>
    <row r="243" spans="2:6">
      <c r="B243" t="s">
        <v>2882</v>
      </c>
      <c r="C243" s="5">
        <v>0.6</v>
      </c>
      <c r="D243">
        <f>C243*D245</f>
        <v>389.34</v>
      </c>
    </row>
    <row r="244" spans="2:6">
      <c r="B244" s="3" t="s">
        <v>4</v>
      </c>
      <c r="C244" s="512">
        <f>C245-C242-C243</f>
        <v>0.2728617660656496</v>
      </c>
      <c r="D244">
        <f>C244*D245</f>
        <v>177.06000000000003</v>
      </c>
    </row>
    <row r="245" spans="2:6">
      <c r="B245" t="s">
        <v>16</v>
      </c>
      <c r="C245" s="5">
        <v>1</v>
      </c>
      <c r="D245">
        <f>D242/C242</f>
        <v>648.9</v>
      </c>
    </row>
    <row r="247" spans="2:6">
      <c r="B247" s="12" t="s">
        <v>32</v>
      </c>
    </row>
    <row r="248" spans="2:6">
      <c r="B248" s="13" t="s">
        <v>1870</v>
      </c>
    </row>
    <row r="249" spans="2:6" ht="15.75" thickBot="1">
      <c r="B249" t="s">
        <v>29</v>
      </c>
      <c r="C249" s="5">
        <f>D249/D$252</f>
        <v>0.69913714087044465</v>
      </c>
      <c r="D249" s="62">
        <f>H89</f>
        <v>221.2</v>
      </c>
    </row>
    <row r="250" spans="2:6" ht="15.75" thickBot="1">
      <c r="B250" t="s">
        <v>1365</v>
      </c>
      <c r="C250" s="5">
        <f>D250/D$252</f>
        <v>0.16751477606751161</v>
      </c>
      <c r="D250">
        <f>'New quarts'!F725</f>
        <v>53</v>
      </c>
      <c r="F250" s="725" t="s">
        <v>32</v>
      </c>
    </row>
    <row r="251" spans="2:6">
      <c r="B251" s="3" t="s">
        <v>4</v>
      </c>
      <c r="C251" s="512">
        <f>D251/D$252</f>
        <v>0.13334808306204368</v>
      </c>
      <c r="D251" s="554">
        <f>F87-F89</f>
        <v>42.19</v>
      </c>
    </row>
    <row r="252" spans="2:6">
      <c r="B252" t="s">
        <v>16</v>
      </c>
      <c r="C252" s="5">
        <v>1</v>
      </c>
      <c r="D252" s="62">
        <f>D249+D250+D251</f>
        <v>316.39</v>
      </c>
    </row>
    <row r="253" spans="2:6">
      <c r="B253" s="12"/>
    </row>
    <row r="254" spans="2:6">
      <c r="B254" s="13" t="s">
        <v>1567</v>
      </c>
    </row>
    <row r="255" spans="2:6">
      <c r="B255" t="s">
        <v>29</v>
      </c>
      <c r="C255" s="5">
        <f>E196</f>
        <v>0.75769569041336859</v>
      </c>
      <c r="D255">
        <f>H101</f>
        <v>172.3</v>
      </c>
    </row>
    <row r="256" spans="2:6">
      <c r="B256" t="s">
        <v>1365</v>
      </c>
      <c r="C256" s="5">
        <v>0.2</v>
      </c>
      <c r="D256">
        <f>C256*D258</f>
        <v>45.480000000000004</v>
      </c>
    </row>
    <row r="257" spans="2:6">
      <c r="B257" s="3" t="s">
        <v>4</v>
      </c>
      <c r="C257" s="512">
        <f>C258-C255-C256</f>
        <v>4.2304309586631395E-2</v>
      </c>
      <c r="D257">
        <f>D258-D256-D255</f>
        <v>9.6200000000000045</v>
      </c>
    </row>
    <row r="258" spans="2:6">
      <c r="B258" t="s">
        <v>16</v>
      </c>
      <c r="C258" s="5">
        <v>1</v>
      </c>
      <c r="D258">
        <f>H97</f>
        <v>227.4</v>
      </c>
    </row>
    <row r="260" spans="2:6">
      <c r="B260" s="13" t="s">
        <v>389</v>
      </c>
    </row>
    <row r="261" spans="2:6">
      <c r="B261" t="str">
        <f>B255</f>
        <v>CWC</v>
      </c>
      <c r="C261" s="5">
        <f>H107</f>
        <v>0.53805774278215224</v>
      </c>
      <c r="D261">
        <f>H106</f>
        <v>102.5</v>
      </c>
    </row>
    <row r="262" spans="2:6">
      <c r="B262" t="str">
        <f>B256</f>
        <v>Digicel</v>
      </c>
      <c r="C262" s="5">
        <f>D262/D264</f>
        <v>0.23874015748031499</v>
      </c>
      <c r="D262">
        <f>D256</f>
        <v>45.480000000000004</v>
      </c>
    </row>
    <row r="263" spans="2:6">
      <c r="B263" s="3" t="str">
        <f>B257</f>
        <v>Other</v>
      </c>
      <c r="C263" s="512">
        <f>C264-C261-C262</f>
        <v>0.22320209973753277</v>
      </c>
      <c r="D263">
        <f>D264-D262-D261</f>
        <v>42.519999999999982</v>
      </c>
    </row>
    <row r="264" spans="2:6">
      <c r="C264" s="5">
        <v>1</v>
      </c>
      <c r="D264">
        <f>H104</f>
        <v>190.5</v>
      </c>
    </row>
    <row r="265" spans="2:6" ht="15.75" thickBot="1"/>
    <row r="266" spans="2:6" ht="15.75" thickBot="1">
      <c r="B266" s="12" t="s">
        <v>1479</v>
      </c>
      <c r="F266" s="725" t="s">
        <v>1479</v>
      </c>
    </row>
    <row r="267" spans="2:6">
      <c r="B267" s="13" t="s">
        <v>1870</v>
      </c>
    </row>
    <row r="268" spans="2:6">
      <c r="B268" t="s">
        <v>29</v>
      </c>
      <c r="C268" s="5">
        <f>D268/D$272</f>
        <v>0.1</v>
      </c>
      <c r="D268">
        <f>I117</f>
        <v>27.1</v>
      </c>
    </row>
    <row r="269" spans="2:6">
      <c r="B269" t="s">
        <v>1365</v>
      </c>
      <c r="C269" s="5">
        <f>D269/D$272</f>
        <v>0.18819188191881919</v>
      </c>
      <c r="D269">
        <f>'New quarts'!F726</f>
        <v>51</v>
      </c>
    </row>
    <row r="270" spans="2:6">
      <c r="B270" t="s">
        <v>2886</v>
      </c>
      <c r="C270" s="5">
        <f>D270/D$272</f>
        <v>0.67490774907749085</v>
      </c>
      <c r="D270" s="16">
        <f>D272-D268-D269-D271</f>
        <v>182.9</v>
      </c>
    </row>
    <row r="271" spans="2:6">
      <c r="B271" s="3" t="s">
        <v>4</v>
      </c>
      <c r="C271" s="512">
        <f>D271/D$272</f>
        <v>3.6900369003690037E-2</v>
      </c>
      <c r="D271" s="64">
        <v>10</v>
      </c>
    </row>
    <row r="272" spans="2:6">
      <c r="B272" t="s">
        <v>16</v>
      </c>
      <c r="C272" s="5">
        <v>1</v>
      </c>
      <c r="D272">
        <f>I115</f>
        <v>271</v>
      </c>
    </row>
    <row r="273" spans="2:6">
      <c r="C273" s="5"/>
      <c r="D273" s="16"/>
    </row>
    <row r="274" spans="2:6">
      <c r="B274" s="13" t="s">
        <v>1567</v>
      </c>
    </row>
    <row r="275" spans="2:6">
      <c r="B275" t="s">
        <v>29</v>
      </c>
      <c r="C275" s="5">
        <f>I131</f>
        <v>0.43914590747330962</v>
      </c>
      <c r="D275">
        <f>I130</f>
        <v>123.4</v>
      </c>
    </row>
    <row r="276" spans="2:6">
      <c r="B276" t="s">
        <v>1365</v>
      </c>
      <c r="C276" s="5">
        <f>D276/D$278</f>
        <v>0.18149466192170818</v>
      </c>
      <c r="D276">
        <f>'New quarts'!F726</f>
        <v>51</v>
      </c>
    </row>
    <row r="277" spans="2:6">
      <c r="B277" s="3" t="s">
        <v>4</v>
      </c>
      <c r="C277" s="512">
        <f>C278-C275-C276</f>
        <v>0.37935943060498223</v>
      </c>
      <c r="D277" s="16">
        <f>D278-D275-D276</f>
        <v>106.6</v>
      </c>
    </row>
    <row r="278" spans="2:6">
      <c r="B278" t="s">
        <v>16</v>
      </c>
      <c r="C278" s="5">
        <v>1</v>
      </c>
      <c r="D278" s="16">
        <f>I124</f>
        <v>281</v>
      </c>
    </row>
    <row r="280" spans="2:6">
      <c r="B280" s="13" t="s">
        <v>389</v>
      </c>
    </row>
    <row r="281" spans="2:6" ht="15.75" thickBot="1">
      <c r="B281" t="str">
        <f>B275</f>
        <v>CWC</v>
      </c>
      <c r="C281" s="5">
        <f>I138</f>
        <v>0.62040816326530612</v>
      </c>
      <c r="D281">
        <f>I137</f>
        <v>121.6</v>
      </c>
    </row>
    <row r="282" spans="2:6" ht="15.75" thickBot="1">
      <c r="B282" t="str">
        <f>B276</f>
        <v>Digicel</v>
      </c>
      <c r="C282" s="5">
        <f>D282/D284</f>
        <v>0.26020408163265307</v>
      </c>
      <c r="D282">
        <f>D276</f>
        <v>51</v>
      </c>
      <c r="F282" s="725" t="s">
        <v>31</v>
      </c>
    </row>
    <row r="283" spans="2:6">
      <c r="B283" s="3" t="s">
        <v>2883</v>
      </c>
      <c r="C283" s="512">
        <f>C284-C281-C282</f>
        <v>0.1193877551020408</v>
      </c>
      <c r="D283" s="16">
        <f>D284-D281-D282</f>
        <v>23.400000000000006</v>
      </c>
    </row>
    <row r="284" spans="2:6">
      <c r="C284" s="5">
        <v>1</v>
      </c>
      <c r="D284" s="16">
        <f>I134</f>
        <v>196</v>
      </c>
    </row>
    <row r="286" spans="2:6">
      <c r="B286" s="12" t="s">
        <v>31</v>
      </c>
    </row>
    <row r="287" spans="2:6">
      <c r="B287" s="12"/>
    </row>
    <row r="288" spans="2:6">
      <c r="B288" s="13" t="s">
        <v>1870</v>
      </c>
    </row>
    <row r="289" spans="2:6">
      <c r="B289" t="s">
        <v>29</v>
      </c>
      <c r="C289" s="5">
        <f>D289/D$291</f>
        <v>0.4546204620462046</v>
      </c>
      <c r="D289">
        <f>G59</f>
        <v>55.1</v>
      </c>
    </row>
    <row r="290" spans="2:6">
      <c r="B290" s="3" t="s">
        <v>2041</v>
      </c>
      <c r="C290" s="512">
        <f>D290/D$291</f>
        <v>0.54537953795379535</v>
      </c>
      <c r="D290" s="3">
        <f>D291-D289</f>
        <v>66.099999999999994</v>
      </c>
    </row>
    <row r="291" spans="2:6">
      <c r="B291" t="s">
        <v>16</v>
      </c>
      <c r="C291" s="12"/>
      <c r="D291">
        <f>G58</f>
        <v>121.2</v>
      </c>
    </row>
    <row r="292" spans="2:6">
      <c r="B292" s="12"/>
    </row>
    <row r="293" spans="2:6">
      <c r="B293" s="13" t="s">
        <v>1567</v>
      </c>
    </row>
    <row r="294" spans="2:6">
      <c r="B294" t="s">
        <v>29</v>
      </c>
      <c r="C294" s="5">
        <f>D294/D$297</f>
        <v>0.30605147229306745</v>
      </c>
      <c r="D294" s="62">
        <f>G63</f>
        <v>26.4</v>
      </c>
    </row>
    <row r="295" spans="2:6">
      <c r="B295" t="s">
        <v>2041</v>
      </c>
      <c r="C295" s="5">
        <f>D295/D$297</f>
        <v>0.63598423371203339</v>
      </c>
      <c r="D295" s="62">
        <f>D297-D294-D296</f>
        <v>54.860000000000007</v>
      </c>
    </row>
    <row r="296" spans="2:6">
      <c r="B296" s="3" t="s">
        <v>795</v>
      </c>
      <c r="C296" s="512">
        <f>D296/D$297</f>
        <v>5.7964293994899135E-2</v>
      </c>
      <c r="D296" s="16">
        <v>5</v>
      </c>
    </row>
    <row r="297" spans="2:6" ht="15.75" thickBot="1">
      <c r="B297" t="s">
        <v>16</v>
      </c>
      <c r="C297" s="5">
        <v>1</v>
      </c>
      <c r="D297" s="62">
        <f>G62</f>
        <v>86.26</v>
      </c>
    </row>
    <row r="298" spans="2:6" ht="15.75" thickBot="1">
      <c r="F298" s="725" t="s">
        <v>33</v>
      </c>
    </row>
    <row r="299" spans="2:6">
      <c r="B299" s="13" t="s">
        <v>389</v>
      </c>
    </row>
    <row r="300" spans="2:6">
      <c r="B300" t="str">
        <f>B294</f>
        <v>CWC</v>
      </c>
      <c r="C300" s="5">
        <f>D300/D$303</f>
        <v>2.150537634408602E-2</v>
      </c>
      <c r="D300">
        <f>G75</f>
        <v>1.6</v>
      </c>
    </row>
    <row r="301" spans="2:6">
      <c r="B301" t="str">
        <f>B295</f>
        <v>Cable Bahamas</v>
      </c>
      <c r="C301" s="5">
        <f>D301/D$303</f>
        <v>0.97849462365591411</v>
      </c>
      <c r="D301" s="62">
        <f>D303-D300-D302</f>
        <v>72.800000000000011</v>
      </c>
    </row>
    <row r="302" spans="2:6">
      <c r="B302" s="3"/>
      <c r="C302" s="512"/>
      <c r="D302" s="16"/>
    </row>
    <row r="303" spans="2:6">
      <c r="C303" s="5">
        <v>1</v>
      </c>
      <c r="D303" s="62">
        <f>G72</f>
        <v>74.400000000000006</v>
      </c>
    </row>
    <row r="305" spans="2:7">
      <c r="B305" s="12" t="s">
        <v>33</v>
      </c>
    </row>
    <row r="306" spans="2:7">
      <c r="B306" s="13" t="s">
        <v>1870</v>
      </c>
    </row>
    <row r="307" spans="2:7">
      <c r="B307" t="s">
        <v>29</v>
      </c>
      <c r="C307" s="5">
        <f>D307/D$310</f>
        <v>0.58307371309343459</v>
      </c>
      <c r="D307">
        <f>H144</f>
        <v>81.599999999999994</v>
      </c>
    </row>
    <row r="308" spans="2:7">
      <c r="B308" t="s">
        <v>1365</v>
      </c>
      <c r="C308" s="5">
        <f>D308/D$310</f>
        <v>0.10718266784805784</v>
      </c>
      <c r="D308">
        <f>D314</f>
        <v>15</v>
      </c>
    </row>
    <row r="309" spans="2:7">
      <c r="B309" s="3" t="s">
        <v>4</v>
      </c>
      <c r="C309" s="512">
        <f>D309/D$310</f>
        <v>0.3097436190585075</v>
      </c>
      <c r="D309" s="16">
        <f>D310-D307-D308</f>
        <v>43.348000000000013</v>
      </c>
    </row>
    <row r="310" spans="2:7">
      <c r="B310" t="s">
        <v>16</v>
      </c>
      <c r="C310" s="5">
        <v>1</v>
      </c>
      <c r="D310">
        <f>H143</f>
        <v>139.94800000000001</v>
      </c>
    </row>
    <row r="311" spans="2:7">
      <c r="C311" s="5"/>
    </row>
    <row r="312" spans="2:7">
      <c r="B312" s="13" t="s">
        <v>1567</v>
      </c>
    </row>
    <row r="313" spans="2:7">
      <c r="B313" t="s">
        <v>29</v>
      </c>
      <c r="C313" s="5">
        <f>D313/D$316</f>
        <v>0.71932510041778397</v>
      </c>
      <c r="D313">
        <f>H152</f>
        <v>62.5</v>
      </c>
    </row>
    <row r="314" spans="2:7">
      <c r="B314" t="s">
        <v>1365</v>
      </c>
      <c r="C314" s="5">
        <f>D314/D$316</f>
        <v>0.17263802410026816</v>
      </c>
      <c r="D314">
        <f>'New quarts'!G694</f>
        <v>15</v>
      </c>
    </row>
    <row r="315" spans="2:7">
      <c r="B315" s="3" t="s">
        <v>4</v>
      </c>
      <c r="C315" s="512">
        <f>D315/D$316</f>
        <v>0.10803687548194782</v>
      </c>
      <c r="D315" s="16">
        <f>D316-D313-D314</f>
        <v>9.3870000000000005</v>
      </c>
    </row>
    <row r="316" spans="2:7">
      <c r="B316" t="s">
        <v>16</v>
      </c>
      <c r="C316" s="5">
        <v>1</v>
      </c>
      <c r="D316">
        <f>H147</f>
        <v>86.887</v>
      </c>
    </row>
    <row r="318" spans="2:7">
      <c r="B318" s="13" t="s">
        <v>389</v>
      </c>
    </row>
    <row r="319" spans="2:7">
      <c r="B319" t="str">
        <f>B313</f>
        <v>CWC</v>
      </c>
      <c r="C319" s="5">
        <f>D319/D$322</f>
        <v>0.25734265734265732</v>
      </c>
      <c r="D319">
        <f>H157</f>
        <v>18.399999999999999</v>
      </c>
    </row>
    <row r="320" spans="2:7">
      <c r="B320" t="str">
        <f>B314</f>
        <v>Digicel</v>
      </c>
      <c r="C320" s="5">
        <f>D320/D$322</f>
        <v>0.20979020979020979</v>
      </c>
      <c r="D320">
        <f>D314</f>
        <v>15</v>
      </c>
      <c r="G320" t="s">
        <v>72</v>
      </c>
    </row>
    <row r="321" spans="2:11">
      <c r="B321" s="3" t="s">
        <v>2883</v>
      </c>
      <c r="C321" s="512">
        <f>D321/D$322</f>
        <v>0.53286713286713294</v>
      </c>
      <c r="D321" s="16">
        <f>D322-D320-D319</f>
        <v>38.1</v>
      </c>
    </row>
    <row r="322" spans="2:11">
      <c r="C322" s="5">
        <v>1</v>
      </c>
      <c r="D322">
        <f>H155</f>
        <v>71.5</v>
      </c>
    </row>
    <row r="325" spans="2:11" ht="15.75">
      <c r="B325" s="636" t="s">
        <v>3356</v>
      </c>
      <c r="C325" s="642" t="s">
        <v>1636</v>
      </c>
      <c r="D325" s="642" t="s">
        <v>2092</v>
      </c>
      <c r="E325" s="642" t="s">
        <v>1559</v>
      </c>
      <c r="F325" s="642" t="s">
        <v>1560</v>
      </c>
      <c r="G325" s="642" t="s">
        <v>2570</v>
      </c>
      <c r="H325" s="642" t="s">
        <v>2866</v>
      </c>
      <c r="I325" s="642" t="s">
        <v>3156</v>
      </c>
      <c r="J325" s="642" t="s">
        <v>3165</v>
      </c>
      <c r="K325" s="642">
        <v>2018</v>
      </c>
    </row>
    <row r="326" spans="2:11" ht="15.75">
      <c r="B326" s="53" t="s">
        <v>468</v>
      </c>
      <c r="C326" s="56">
        <v>2.1999999999999999E-2</v>
      </c>
      <c r="D326" s="56">
        <v>1.43E-2</v>
      </c>
      <c r="E326" s="56">
        <v>1.7100000000000001E-2</v>
      </c>
      <c r="F326" s="56">
        <v>7.9000000000000008E-3</v>
      </c>
      <c r="G326" s="56">
        <v>2.0999999999999999E-3</v>
      </c>
      <c r="H326" s="56">
        <v>1.38E-2</v>
      </c>
      <c r="I326" s="56">
        <v>2.18E-2</v>
      </c>
      <c r="J326" s="56"/>
      <c r="K326" s="56">
        <v>2.7000000000000003E-2</v>
      </c>
    </row>
    <row r="327" spans="2:11" ht="15.75">
      <c r="B327" s="53" t="s">
        <v>0</v>
      </c>
      <c r="C327" s="56">
        <v>4.1599999999999998E-2</v>
      </c>
      <c r="D327" s="56">
        <v>3.9800000000000002E-2</v>
      </c>
      <c r="E327" s="56">
        <v>4.0500000000000001E-2</v>
      </c>
      <c r="F327" s="56">
        <v>4.0899999999999999E-2</v>
      </c>
      <c r="G327" s="56">
        <v>6.59E-2</v>
      </c>
      <c r="H327" s="56">
        <v>5.0999999999999997E-2</v>
      </c>
      <c r="I327" s="56">
        <v>4.5100000000000001E-2</v>
      </c>
      <c r="J327" s="56"/>
      <c r="K327" s="56">
        <v>5.5999999999999994E-2</v>
      </c>
    </row>
    <row r="328" spans="2:11" ht="15.75">
      <c r="B328" s="53" t="s">
        <v>31</v>
      </c>
      <c r="C328" s="56">
        <v>-1.7000000000000001E-2</v>
      </c>
      <c r="D328" s="56">
        <f>E328</f>
        <v>-3.0000000000000001E-3</v>
      </c>
      <c r="E328" s="56">
        <f>F328</f>
        <v>-3.0000000000000001E-3</v>
      </c>
      <c r="F328" s="56">
        <v>-3.0000000000000001E-3</v>
      </c>
      <c r="G328" s="56">
        <f>H328</f>
        <v>7.0000000000000001E-3</v>
      </c>
      <c r="H328" s="56">
        <f>I328</f>
        <v>7.0000000000000001E-3</v>
      </c>
      <c r="I328" s="56">
        <f>J328</f>
        <v>7.0000000000000001E-3</v>
      </c>
      <c r="J328" s="56">
        <v>7.0000000000000001E-3</v>
      </c>
      <c r="K328" s="53"/>
    </row>
    <row r="329" spans="2:11" ht="15.75">
      <c r="B329" s="53" t="s">
        <v>32</v>
      </c>
      <c r="C329" s="56">
        <v>8.9999999999999993E-3</v>
      </c>
      <c r="D329" s="56">
        <v>1.4999999999999999E-2</v>
      </c>
      <c r="E329" s="56">
        <v>2.1000000000000001E-2</v>
      </c>
      <c r="F329" s="56">
        <v>1.4E-2</v>
      </c>
      <c r="G329" s="56">
        <v>1E-3</v>
      </c>
      <c r="H329" s="56">
        <v>-1E-3</v>
      </c>
      <c r="I329" s="56">
        <v>8.0000000000000002E-3</v>
      </c>
      <c r="J329" s="56">
        <v>1.7000000000000001E-2</v>
      </c>
      <c r="K329" s="56">
        <v>2.4E-2</v>
      </c>
    </row>
    <row r="330" spans="2:11" ht="15.75">
      <c r="B330" s="53" t="s">
        <v>1479</v>
      </c>
      <c r="C330" s="56">
        <v>7.0000000000000001E-3</v>
      </c>
      <c r="D330" s="56">
        <f>E330</f>
        <v>-0.06</v>
      </c>
      <c r="E330" s="56">
        <f>F330</f>
        <v>-0.06</v>
      </c>
      <c r="F330" s="56">
        <v>-0.06</v>
      </c>
      <c r="G330" s="56">
        <f t="shared" ref="G330:I331" si="6">H330</f>
        <v>-0.03</v>
      </c>
      <c r="H330" s="56">
        <f t="shared" si="6"/>
        <v>-0.03</v>
      </c>
      <c r="I330" s="56">
        <f t="shared" si="6"/>
        <v>-0.03</v>
      </c>
      <c r="J330" s="56">
        <v>-0.03</v>
      </c>
      <c r="K330" s="56">
        <v>1.9E-2</v>
      </c>
    </row>
    <row r="331" spans="2:11" ht="15.75">
      <c r="B331" s="50" t="s">
        <v>33</v>
      </c>
      <c r="C331" s="631">
        <v>7.0000000000000001E-3</v>
      </c>
      <c r="D331" s="631">
        <f>E331</f>
        <v>1.6E-2</v>
      </c>
      <c r="E331" s="631">
        <f>F331</f>
        <v>1.6E-2</v>
      </c>
      <c r="F331" s="631">
        <v>1.6E-2</v>
      </c>
      <c r="G331" s="631">
        <f t="shared" si="6"/>
        <v>8.9999999999999993E-3</v>
      </c>
      <c r="H331" s="631">
        <f t="shared" si="6"/>
        <v>8.9999999999999993E-3</v>
      </c>
      <c r="I331" s="631">
        <f t="shared" si="6"/>
        <v>8.9999999999999993E-3</v>
      </c>
      <c r="J331" s="631">
        <v>8.9999999999999993E-3</v>
      </c>
      <c r="K331" s="631">
        <v>5.0000000000000001E-3</v>
      </c>
    </row>
  </sheetData>
  <sortState xmlns:xlrd2="http://schemas.microsoft.com/office/spreadsheetml/2017/richdata2" ref="B219:C224">
    <sortCondition descending="1" ref="C219:C224"/>
  </sortState>
  <pageMargins left="0.70866141732283472" right="0.70866141732283472" top="0.74803149606299213" bottom="0.74803149606299213" header="0.31496062992125984" footer="0.31496062992125984"/>
  <pageSetup paperSize="9" scale="15"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N1929"/>
  <sheetViews>
    <sheetView zoomScale="90" zoomScaleNormal="90" workbookViewId="0">
      <pane xSplit="1" topLeftCell="K1" activePane="topRight" state="frozen"/>
      <selection activeCell="B1935" sqref="B1935"/>
      <selection pane="topRight"/>
    </sheetView>
  </sheetViews>
  <sheetFormatPr defaultColWidth="9.140625" defaultRowHeight="12.75"/>
  <cols>
    <col min="1" max="1" width="31.140625" style="226" bestFit="1" customWidth="1"/>
    <col min="2" max="21" width="9.5703125" style="226" bestFit="1" customWidth="1"/>
    <col min="22" max="16384" width="9.140625" style="226"/>
  </cols>
  <sheetData>
    <row r="2" spans="1:40">
      <c r="A2" s="226" t="s">
        <v>1181</v>
      </c>
    </row>
    <row r="6" spans="1:40" s="419" customFormat="1">
      <c r="A6" s="418" t="s">
        <v>1182</v>
      </c>
      <c r="B6" s="419" t="s">
        <v>524</v>
      </c>
      <c r="C6" s="419" t="s">
        <v>525</v>
      </c>
      <c r="D6" s="419" t="s">
        <v>526</v>
      </c>
      <c r="E6" s="419" t="s">
        <v>527</v>
      </c>
      <c r="F6" s="419" t="s">
        <v>528</v>
      </c>
      <c r="G6" s="419" t="s">
        <v>529</v>
      </c>
      <c r="H6" s="419" t="s">
        <v>530</v>
      </c>
      <c r="I6" s="419" t="s">
        <v>531</v>
      </c>
      <c r="J6" s="419" t="s">
        <v>532</v>
      </c>
      <c r="K6" s="419" t="s">
        <v>533</v>
      </c>
      <c r="L6" s="419" t="s">
        <v>534</v>
      </c>
      <c r="M6" s="419" t="s">
        <v>535</v>
      </c>
      <c r="N6" s="419" t="s">
        <v>536</v>
      </c>
      <c r="O6" s="419" t="s">
        <v>537</v>
      </c>
      <c r="P6" s="419" t="s">
        <v>538</v>
      </c>
      <c r="Q6" s="419" t="s">
        <v>1183</v>
      </c>
      <c r="R6" s="419" t="s">
        <v>1184</v>
      </c>
      <c r="S6" s="419" t="s">
        <v>1185</v>
      </c>
      <c r="T6" s="419" t="s">
        <v>1186</v>
      </c>
      <c r="U6" s="419" t="s">
        <v>1187</v>
      </c>
      <c r="V6" s="419" t="s">
        <v>1188</v>
      </c>
      <c r="W6" s="419" t="s">
        <v>1189</v>
      </c>
      <c r="X6" s="419" t="s">
        <v>1190</v>
      </c>
      <c r="Y6" s="419" t="s">
        <v>1191</v>
      </c>
      <c r="Z6" s="419" t="s">
        <v>1192</v>
      </c>
      <c r="AA6" s="419" t="s">
        <v>1193</v>
      </c>
      <c r="AB6" s="419" t="s">
        <v>1194</v>
      </c>
      <c r="AC6" s="419" t="s">
        <v>1195</v>
      </c>
      <c r="AD6" s="419" t="s">
        <v>1196</v>
      </c>
      <c r="AE6" s="419" t="s">
        <v>1197</v>
      </c>
      <c r="AF6" s="419" t="s">
        <v>1198</v>
      </c>
      <c r="AG6" s="419" t="s">
        <v>1199</v>
      </c>
      <c r="AH6" s="419" t="s">
        <v>1200</v>
      </c>
      <c r="AI6" s="419" t="s">
        <v>1201</v>
      </c>
      <c r="AJ6" s="419" t="s">
        <v>1202</v>
      </c>
      <c r="AK6" s="419" t="s">
        <v>1203</v>
      </c>
      <c r="AL6" s="419" t="s">
        <v>1204</v>
      </c>
      <c r="AM6" s="419" t="s">
        <v>1205</v>
      </c>
      <c r="AN6" s="419" t="s">
        <v>1206</v>
      </c>
    </row>
    <row r="7" spans="1:40">
      <c r="A7" s="226" t="s">
        <v>1207</v>
      </c>
      <c r="B7" s="420">
        <v>1.9686999999999999</v>
      </c>
      <c r="C7" s="420">
        <v>1.9879</v>
      </c>
      <c r="D7" s="420">
        <v>2.0238</v>
      </c>
      <c r="E7" s="420">
        <v>2.0116000000000001</v>
      </c>
      <c r="F7" s="420">
        <v>1.98465</v>
      </c>
      <c r="G7" s="420">
        <v>1.9887000000000001</v>
      </c>
      <c r="H7" s="420">
        <v>1.8854500000000001</v>
      </c>
      <c r="I7" s="420">
        <v>1.6188</v>
      </c>
      <c r="J7" s="420">
        <v>1.4437</v>
      </c>
      <c r="K7" s="420">
        <v>1.5381499999999999</v>
      </c>
      <c r="L7" s="420">
        <v>1.62405</v>
      </c>
      <c r="M7" s="420">
        <v>1.60825</v>
      </c>
      <c r="N7" s="420">
        <v>1.5669499999999998</v>
      </c>
      <c r="O7" s="420">
        <v>1.5076999999999998</v>
      </c>
      <c r="P7" s="420">
        <v>1.5345499999999999</v>
      </c>
      <c r="Q7" s="420">
        <v>1.56595</v>
      </c>
      <c r="R7" s="420">
        <v>1.5827499999999999</v>
      </c>
      <c r="S7" s="420">
        <v>1.6065499999999999</v>
      </c>
      <c r="T7" s="420">
        <v>1.58575</v>
      </c>
      <c r="U7" s="420">
        <v>1.55785</v>
      </c>
      <c r="V7" s="420">
        <v>1.575</v>
      </c>
      <c r="W7" s="420">
        <v>1.58365</v>
      </c>
      <c r="X7" s="420">
        <v>1.59175</v>
      </c>
      <c r="Y7" s="420">
        <v>1.61975</v>
      </c>
      <c r="Z7" s="420">
        <v>1.57185</v>
      </c>
      <c r="AA7" s="420">
        <v>1.5189999999999999</v>
      </c>
      <c r="AB7" s="420">
        <v>1.5684</v>
      </c>
      <c r="AC7" s="420">
        <v>1.6374500000000001</v>
      </c>
      <c r="AD7" s="420">
        <v>1.66235</v>
      </c>
      <c r="AE7" s="420">
        <f>1/0.5942</f>
        <v>1.6829350387075059</v>
      </c>
      <c r="AF7" s="226">
        <f>1/0.5994</f>
        <v>1.6683350016683349</v>
      </c>
      <c r="AG7" s="420">
        <v>1.5831999999999999</v>
      </c>
      <c r="AH7" s="420">
        <v>1.5144</v>
      </c>
      <c r="AI7" s="420">
        <v>1.5329999999999999</v>
      </c>
    </row>
    <row r="8" spans="1:40">
      <c r="A8" s="226" t="s">
        <v>1208</v>
      </c>
      <c r="B8" s="420">
        <v>1.3108</v>
      </c>
      <c r="C8" s="420">
        <v>1.3483000000000001</v>
      </c>
      <c r="D8" s="420">
        <v>1.3746</v>
      </c>
      <c r="E8" s="420">
        <v>1.4481999999999999</v>
      </c>
      <c r="F8" s="420">
        <v>1.4991000000000001</v>
      </c>
      <c r="G8" s="420">
        <v>1.5626</v>
      </c>
      <c r="H8" s="420">
        <v>1.5034000000000001</v>
      </c>
      <c r="I8" s="420">
        <v>1.3203</v>
      </c>
      <c r="J8" s="420">
        <v>1.3050999999999999</v>
      </c>
      <c r="K8" s="420">
        <v>1.3622000000000001</v>
      </c>
      <c r="L8" s="420">
        <v>1.4301999999999999</v>
      </c>
      <c r="M8" s="420">
        <v>1.4761</v>
      </c>
      <c r="N8" s="420">
        <v>1.383891502906172</v>
      </c>
      <c r="O8" s="420">
        <v>1.2709710218607015</v>
      </c>
      <c r="P8" s="420">
        <v>1.2927</v>
      </c>
      <c r="Q8" s="420">
        <v>1.3575999999999999</v>
      </c>
      <c r="R8" s="420">
        <v>1.3657470636438132</v>
      </c>
      <c r="S8" s="420">
        <v>1.4394702749388226</v>
      </c>
      <c r="T8" s="420">
        <v>1.4122299110295158</v>
      </c>
      <c r="U8" s="420">
        <v>1.3908205841446455</v>
      </c>
      <c r="V8" s="420">
        <v>1.3116474291710389</v>
      </c>
      <c r="W8" s="420">
        <v>1.2828736369467608</v>
      </c>
      <c r="X8" s="420">
        <v>1.2517211165352358</v>
      </c>
      <c r="Y8" s="420">
        <v>1.2979000000000001</v>
      </c>
      <c r="Z8" s="420">
        <v>1.3201320132013201</v>
      </c>
      <c r="AA8" s="420">
        <v>1.30667712008363</v>
      </c>
      <c r="AB8" s="420">
        <v>1.3250298131708</v>
      </c>
      <c r="AC8" s="420">
        <v>1.36024604690415</v>
      </c>
      <c r="AD8" s="420">
        <v>1.3706140350877192</v>
      </c>
      <c r="AE8" s="420">
        <f>1/0.7293</f>
        <v>1.3711778417660772</v>
      </c>
      <c r="AF8" s="226">
        <f>1/0.755</f>
        <v>1.3245033112582782</v>
      </c>
      <c r="AG8" s="226">
        <v>1.2488999999999999</v>
      </c>
      <c r="AH8" s="420">
        <v>1.1265000000000001</v>
      </c>
      <c r="AI8" s="420">
        <v>1.107</v>
      </c>
    </row>
    <row r="9" spans="1:40">
      <c r="A9" s="226" t="s">
        <v>1209</v>
      </c>
      <c r="B9" s="420">
        <v>1.2332000000000001</v>
      </c>
      <c r="C9" s="420">
        <v>1.2223999999999999</v>
      </c>
      <c r="D9" s="420">
        <v>1.1990000000000001</v>
      </c>
      <c r="E9" s="420">
        <v>1.1467000000000001</v>
      </c>
      <c r="F9" s="420">
        <v>1.0687</v>
      </c>
      <c r="G9" s="420">
        <v>1.0319</v>
      </c>
      <c r="H9" s="420">
        <v>1.0731999999999999</v>
      </c>
      <c r="I9" s="420">
        <v>1.1558999999999999</v>
      </c>
      <c r="J9" s="420">
        <v>1.1475</v>
      </c>
      <c r="K9" s="420">
        <v>1.1122000000000001</v>
      </c>
      <c r="L9" s="420">
        <v>1.0625</v>
      </c>
      <c r="M9" s="420">
        <v>1.0219</v>
      </c>
      <c r="N9" s="420">
        <v>1.0572999999999999</v>
      </c>
      <c r="O9" s="420">
        <v>1.1085</v>
      </c>
      <c r="P9" s="420">
        <v>1.0314000000000001</v>
      </c>
      <c r="Q9" s="420">
        <v>0.9738</v>
      </c>
      <c r="R9" s="420">
        <v>0.94169999999999998</v>
      </c>
      <c r="S9" s="420">
        <v>0.87029999999999996</v>
      </c>
      <c r="T9" s="420">
        <v>0.82540000000000002</v>
      </c>
      <c r="U9" s="420">
        <v>0.88749999999999996</v>
      </c>
      <c r="V9" s="420">
        <v>0.92100000000000004</v>
      </c>
      <c r="W9" s="420">
        <v>0.93669999999999998</v>
      </c>
      <c r="X9" s="420">
        <v>0.9617</v>
      </c>
      <c r="Y9" s="420">
        <v>0.93069999999999997</v>
      </c>
      <c r="Z9" s="420">
        <v>0.9304</v>
      </c>
      <c r="AA9" s="420">
        <v>0.94199999999999995</v>
      </c>
      <c r="AB9" s="420">
        <v>0.93159999999999998</v>
      </c>
      <c r="AC9" s="420">
        <v>0.9032</v>
      </c>
      <c r="AD9" s="420">
        <v>0.89239999999999997</v>
      </c>
      <c r="AE9" s="420">
        <v>0.8891</v>
      </c>
      <c r="AF9" s="420">
        <v>0.91469999999999996</v>
      </c>
      <c r="AG9" s="420">
        <v>0.96450000000000002</v>
      </c>
      <c r="AH9" s="420">
        <v>0.95409999999999995</v>
      </c>
      <c r="AI9" s="420">
        <v>0.94099999999999995</v>
      </c>
    </row>
    <row r="10" spans="1:40">
      <c r="A10" s="226" t="s">
        <v>1210</v>
      </c>
      <c r="B10" s="420">
        <v>192.46</v>
      </c>
      <c r="C10" s="420">
        <v>184.1</v>
      </c>
      <c r="D10" s="420">
        <v>183.29</v>
      </c>
      <c r="E10" s="420">
        <v>174.65</v>
      </c>
      <c r="F10" s="420">
        <v>173.05</v>
      </c>
      <c r="G10" s="420">
        <v>158.66</v>
      </c>
      <c r="H10" s="420">
        <v>157.38999999999999</v>
      </c>
      <c r="I10" s="420">
        <v>199.96</v>
      </c>
      <c r="J10" s="420">
        <v>225.62</v>
      </c>
      <c r="K10" s="420">
        <v>210.4</v>
      </c>
      <c r="L10" s="420">
        <v>189.7</v>
      </c>
      <c r="M10" s="420">
        <v>183.66</v>
      </c>
      <c r="N10" s="420">
        <v>194.19</v>
      </c>
      <c r="O10" s="420">
        <v>216.35</v>
      </c>
      <c r="P10" s="420">
        <v>218.39</v>
      </c>
      <c r="Q10" s="420">
        <v>203.36</v>
      </c>
      <c r="R10" s="420">
        <v>199.23</v>
      </c>
      <c r="S10" s="420">
        <v>185.05</v>
      </c>
      <c r="T10" s="420">
        <v>194.78</v>
      </c>
      <c r="U10" s="420">
        <v>201.13</v>
      </c>
      <c r="V10" s="420">
        <v>226.26</v>
      </c>
      <c r="W10" s="420">
        <v>229.19</v>
      </c>
      <c r="X10" s="420">
        <v>226.04</v>
      </c>
      <c r="Y10" s="420">
        <v>218.58</v>
      </c>
      <c r="Z10" s="420">
        <v>224.55</v>
      </c>
      <c r="AA10" s="420">
        <v>226.39</v>
      </c>
      <c r="AB10" s="420">
        <v>224.83</v>
      </c>
      <c r="AC10" s="420">
        <v>218.51</v>
      </c>
      <c r="AD10" s="420">
        <v>224.63</v>
      </c>
      <c r="AE10" s="420">
        <v>223.13</v>
      </c>
      <c r="AF10" s="420">
        <v>235.88</v>
      </c>
      <c r="AG10" s="420">
        <v>247.33</v>
      </c>
      <c r="AH10" s="420">
        <v>274.33</v>
      </c>
      <c r="AI10" s="420">
        <v>276.60300000000001</v>
      </c>
    </row>
    <row r="11" spans="1:40">
      <c r="A11" s="226" t="s">
        <v>1211</v>
      </c>
      <c r="B11" s="420">
        <v>2.9647000000000001</v>
      </c>
      <c r="C11" s="420">
        <v>2.8178999999999998</v>
      </c>
      <c r="D11" s="420">
        <v>2.7572000000000001</v>
      </c>
      <c r="E11" s="420">
        <v>2.5245000000000002</v>
      </c>
      <c r="F11" s="420">
        <v>2.3858999999999999</v>
      </c>
      <c r="G11" s="420">
        <v>2.1810999999999998</v>
      </c>
      <c r="H11" s="420">
        <v>2.2035999999999998</v>
      </c>
      <c r="I11" s="420">
        <v>2.9477000000000002</v>
      </c>
      <c r="J11" s="420">
        <v>3.45</v>
      </c>
      <c r="K11" s="420">
        <v>3.2648999999999999</v>
      </c>
      <c r="L11" s="420">
        <v>2.9373</v>
      </c>
      <c r="M11" s="420">
        <v>2.8281999999999998</v>
      </c>
      <c r="N11" s="420">
        <v>2.8826999999999998</v>
      </c>
      <c r="O11" s="420">
        <v>3.1621999999999999</v>
      </c>
      <c r="P11" s="420">
        <v>3.0994999999999999</v>
      </c>
      <c r="Q11" s="420">
        <v>2.9243999999999999</v>
      </c>
      <c r="R11" s="420">
        <v>2.8831000000000002</v>
      </c>
      <c r="S11" s="420">
        <v>2.7502</v>
      </c>
      <c r="T11" s="420">
        <v>2.9415</v>
      </c>
      <c r="U11" s="420">
        <v>2.9645999999999999</v>
      </c>
      <c r="V11" s="420">
        <v>3.2250999999999999</v>
      </c>
      <c r="W11" s="420">
        <v>3.3195000000000001</v>
      </c>
      <c r="X11" s="420">
        <v>3.3037999999999998</v>
      </c>
      <c r="Y11" s="420">
        <v>3.1669</v>
      </c>
      <c r="Z11" s="420">
        <v>3.1461000000000001</v>
      </c>
      <c r="AA11" s="420">
        <v>3.2153999999999998</v>
      </c>
      <c r="AB11" s="420">
        <v>3.2052999999999998</v>
      </c>
      <c r="AC11" s="420">
        <v>3.0736000000000008</v>
      </c>
      <c r="AD11" s="420">
        <v>3.0522</v>
      </c>
      <c r="AE11" s="420">
        <v>3.0381999999999998</v>
      </c>
      <c r="AF11" s="420">
        <v>3.1536</v>
      </c>
      <c r="AG11" s="420">
        <v>3.3759999999999999</v>
      </c>
      <c r="AH11" s="420">
        <v>3.7246000000000001</v>
      </c>
      <c r="AI11" s="420">
        <v>3.6949999999999998</v>
      </c>
    </row>
    <row r="12" spans="1:40">
      <c r="A12" s="226" t="s">
        <v>1212</v>
      </c>
      <c r="B12" s="420">
        <v>21.388999999999999</v>
      </c>
      <c r="C12" s="420">
        <v>20.9634</v>
      </c>
      <c r="D12" s="420">
        <v>20.3216</v>
      </c>
      <c r="E12" s="420">
        <v>18.514700000000001</v>
      </c>
      <c r="F12" s="420">
        <v>17.0745</v>
      </c>
      <c r="G12" s="420">
        <v>15.882999999999999</v>
      </c>
      <c r="H12" s="420">
        <v>16.0595</v>
      </c>
      <c r="I12" s="420">
        <v>19.2559</v>
      </c>
      <c r="J12" s="420">
        <v>21.17</v>
      </c>
      <c r="K12" s="420">
        <v>19.5871</v>
      </c>
      <c r="L12" s="420">
        <v>17.908100000000001</v>
      </c>
      <c r="M12" s="420">
        <v>17.584299999999999</v>
      </c>
      <c r="N12" s="420">
        <v>18.696000000000002</v>
      </c>
      <c r="O12" s="420">
        <v>20.143000000000001</v>
      </c>
      <c r="P12" s="420">
        <v>19.284300000000002</v>
      </c>
      <c r="Q12" s="420">
        <v>18.277100000000001</v>
      </c>
      <c r="R12" s="420">
        <v>17.823</v>
      </c>
      <c r="S12" s="420">
        <v>16.891999999999999</v>
      </c>
      <c r="T12" s="420">
        <v>17.271000000000001</v>
      </c>
      <c r="U12" s="420">
        <v>17.690000000000001</v>
      </c>
      <c r="V12" s="420">
        <v>19.119</v>
      </c>
      <c r="W12" s="420">
        <v>19.690999999999999</v>
      </c>
      <c r="X12" s="420">
        <v>20.021999999999998</v>
      </c>
      <c r="Y12" s="420">
        <v>19.384399999999999</v>
      </c>
      <c r="Z12" s="420">
        <v>19.353000000000002</v>
      </c>
      <c r="AA12" s="420">
        <v>19.763999999999999</v>
      </c>
      <c r="AB12" s="420">
        <v>19.506</v>
      </c>
      <c r="AC12" s="420">
        <v>19.613</v>
      </c>
      <c r="AD12" s="420">
        <v>20.021000000000001</v>
      </c>
      <c r="AE12" s="420">
        <v>20.018000000000001</v>
      </c>
      <c r="AF12" s="420">
        <v>20.858000000000001</v>
      </c>
      <c r="AG12" s="420">
        <v>22.128</v>
      </c>
      <c r="AH12" s="420">
        <v>24.5428</v>
      </c>
      <c r="AI12" s="420">
        <v>24.754999999999999</v>
      </c>
    </row>
    <row r="13" spans="1:40">
      <c r="A13" s="226" t="s">
        <v>1213</v>
      </c>
      <c r="B13" s="420">
        <v>25796.106</v>
      </c>
      <c r="C13" s="420">
        <v>24323.2431</v>
      </c>
      <c r="D13" s="420">
        <v>23511.542099999999</v>
      </c>
      <c r="E13" s="420">
        <v>23812.549500000001</v>
      </c>
      <c r="F13" s="420">
        <v>24608.558199999999</v>
      </c>
      <c r="G13" s="420">
        <v>23373.166300000001</v>
      </c>
      <c r="H13" s="420">
        <v>23842.851900000001</v>
      </c>
      <c r="I13" s="420">
        <v>29355.9</v>
      </c>
      <c r="J13" s="420">
        <v>32697</v>
      </c>
      <c r="K13" s="420">
        <v>30804</v>
      </c>
      <c r="L13" s="420">
        <v>29556.591799999998</v>
      </c>
      <c r="M13" s="420">
        <v>28914.517599999999</v>
      </c>
      <c r="N13" s="420">
        <v>29747</v>
      </c>
      <c r="O13" s="420">
        <v>32942</v>
      </c>
      <c r="P13" s="420">
        <v>32925</v>
      </c>
      <c r="Q13" s="420">
        <v>31615</v>
      </c>
      <c r="R13" s="420">
        <v>30891</v>
      </c>
      <c r="S13" s="420">
        <v>28728</v>
      </c>
      <c r="T13" s="420">
        <v>30172</v>
      </c>
      <c r="U13" s="420">
        <v>30497</v>
      </c>
      <c r="V13" s="420">
        <v>33198</v>
      </c>
      <c r="W13" s="420">
        <v>34525</v>
      </c>
      <c r="X13" s="420">
        <v>36146</v>
      </c>
      <c r="Y13" s="420">
        <v>34856.046900000001</v>
      </c>
      <c r="Z13" s="420">
        <v>33216</v>
      </c>
      <c r="AA13" s="420">
        <v>33666</v>
      </c>
      <c r="AB13" s="420">
        <v>33514</v>
      </c>
      <c r="AC13" s="420">
        <v>32696</v>
      </c>
      <c r="AD13" s="420">
        <v>32845</v>
      </c>
      <c r="AE13" s="420">
        <v>32269</v>
      </c>
      <c r="AF13" s="420">
        <v>33334</v>
      </c>
      <c r="AG13" s="420">
        <v>35519</v>
      </c>
      <c r="AH13" s="421">
        <v>39591.6875</v>
      </c>
      <c r="AI13" s="421">
        <v>40158</v>
      </c>
    </row>
    <row r="14" spans="1:40">
      <c r="A14" s="226" t="s">
        <v>1214</v>
      </c>
      <c r="B14" s="420">
        <v>26.204899999999999</v>
      </c>
      <c r="C14" s="420">
        <v>25.017800000000001</v>
      </c>
      <c r="D14" s="420">
        <v>24.427499999999998</v>
      </c>
      <c r="E14" s="420">
        <v>23.090699999999998</v>
      </c>
      <c r="F14" s="420">
        <v>22.069400000000002</v>
      </c>
      <c r="G14" s="420">
        <v>20.1035</v>
      </c>
      <c r="H14" s="420">
        <v>20.1997</v>
      </c>
      <c r="I14" s="420">
        <v>23.0868</v>
      </c>
      <c r="J14" s="420">
        <v>23.1</v>
      </c>
      <c r="K14" s="420">
        <v>22.132300000000001</v>
      </c>
      <c r="L14" s="420">
        <v>21.070499999999999</v>
      </c>
      <c r="M14" s="420">
        <v>20.414100000000001</v>
      </c>
      <c r="N14" s="420">
        <v>21.773599999999998</v>
      </c>
      <c r="O14" s="420">
        <v>23.702999999999999</v>
      </c>
      <c r="P14" s="420">
        <v>23.315000000000001</v>
      </c>
      <c r="Q14" s="420">
        <v>22.204899999999999</v>
      </c>
      <c r="R14" s="420">
        <v>22.014500000000002</v>
      </c>
      <c r="S14" s="420">
        <v>20.93</v>
      </c>
      <c r="T14" s="420">
        <v>21.3353</v>
      </c>
      <c r="U14" s="420">
        <v>21.403775000000003</v>
      </c>
      <c r="V14" s="420">
        <v>22.974799999999998</v>
      </c>
      <c r="W14" s="420">
        <v>23.490600000000001</v>
      </c>
      <c r="X14" s="420">
        <v>24.093900000000001</v>
      </c>
      <c r="Y14" s="420">
        <v>23.214500000000001</v>
      </c>
      <c r="Z14" s="420">
        <v>22.9224</v>
      </c>
      <c r="AA14" s="420">
        <v>22.5</v>
      </c>
      <c r="AB14" s="420">
        <v>22.5</v>
      </c>
      <c r="AC14" s="420">
        <v>22.13175</v>
      </c>
      <c r="AD14" s="420">
        <v>21.9832</v>
      </c>
      <c r="AE14" s="420">
        <v>21.969000000000001</v>
      </c>
      <c r="AF14" s="422">
        <v>22</v>
      </c>
      <c r="AG14" s="420">
        <v>24.12</v>
      </c>
      <c r="AH14" s="420">
        <v>26.777799999999999</v>
      </c>
      <c r="AI14" s="420">
        <v>27.228000000000002</v>
      </c>
    </row>
    <row r="15" spans="1:40">
      <c r="A15" s="226" t="s">
        <v>1215</v>
      </c>
      <c r="B15" s="420">
        <v>540.63</v>
      </c>
      <c r="C15" s="420">
        <v>526.71</v>
      </c>
      <c r="D15" s="420">
        <v>519.70000000000005</v>
      </c>
      <c r="E15" s="420">
        <v>502.04</v>
      </c>
      <c r="F15" s="420">
        <v>463.38</v>
      </c>
      <c r="G15" s="420">
        <v>471.17</v>
      </c>
      <c r="H15" s="420">
        <v>516.97</v>
      </c>
      <c r="I15" s="420">
        <v>641.30999999999995</v>
      </c>
      <c r="J15" s="420">
        <v>609.13</v>
      </c>
      <c r="K15" s="420">
        <v>566.49</v>
      </c>
      <c r="L15" s="420">
        <v>545.4</v>
      </c>
      <c r="M15" s="420">
        <v>517.79999999999995</v>
      </c>
      <c r="N15" s="420">
        <v>518.86</v>
      </c>
      <c r="O15" s="420">
        <v>530.65</v>
      </c>
      <c r="P15" s="420">
        <v>510.76</v>
      </c>
      <c r="Q15" s="420">
        <v>480.13</v>
      </c>
      <c r="R15" s="420">
        <v>481.57</v>
      </c>
      <c r="S15" s="420">
        <v>469.25</v>
      </c>
      <c r="T15" s="420">
        <v>471.86</v>
      </c>
      <c r="U15" s="420">
        <v>483.68</v>
      </c>
      <c r="V15" s="420">
        <v>488.9</v>
      </c>
      <c r="W15" s="420">
        <v>496.22</v>
      </c>
      <c r="X15" s="420">
        <v>482.11</v>
      </c>
      <c r="Y15" s="420">
        <v>477.8</v>
      </c>
      <c r="Z15" s="420">
        <v>472.45</v>
      </c>
      <c r="AA15" s="420">
        <v>485.46</v>
      </c>
      <c r="AB15" s="420">
        <v>506.85</v>
      </c>
      <c r="AC15" s="420">
        <v>517.04</v>
      </c>
      <c r="AD15" s="420">
        <v>552.13</v>
      </c>
      <c r="AE15" s="420">
        <v>554.69000000000005</v>
      </c>
      <c r="AF15" s="420">
        <v>577.87</v>
      </c>
      <c r="AG15" s="420">
        <v>598.51</v>
      </c>
      <c r="AH15" s="420">
        <v>624.61</v>
      </c>
      <c r="AI15" s="420">
        <v>618.04300000000001</v>
      </c>
    </row>
    <row r="17" spans="1:40" s="419" customFormat="1">
      <c r="A17" s="418" t="s">
        <v>1216</v>
      </c>
      <c r="B17" s="419" t="s">
        <v>524</v>
      </c>
      <c r="C17" s="419" t="s">
        <v>525</v>
      </c>
      <c r="D17" s="419" t="s">
        <v>526</v>
      </c>
      <c r="E17" s="419" t="s">
        <v>527</v>
      </c>
      <c r="F17" s="419" t="s">
        <v>528</v>
      </c>
      <c r="G17" s="419" t="s">
        <v>529</v>
      </c>
      <c r="H17" s="419" t="s">
        <v>530</v>
      </c>
      <c r="I17" s="419" t="s">
        <v>531</v>
      </c>
      <c r="J17" s="419" t="s">
        <v>532</v>
      </c>
      <c r="K17" s="419" t="s">
        <v>533</v>
      </c>
      <c r="L17" s="419" t="s">
        <v>534</v>
      </c>
      <c r="M17" s="419" t="s">
        <v>535</v>
      </c>
      <c r="N17" s="419" t="s">
        <v>536</v>
      </c>
      <c r="O17" s="419" t="s">
        <v>537</v>
      </c>
      <c r="P17" s="419" t="s">
        <v>538</v>
      </c>
      <c r="Q17" s="419" t="s">
        <v>1183</v>
      </c>
      <c r="R17" s="419" t="s">
        <v>1184</v>
      </c>
      <c r="S17" s="419" t="s">
        <v>1185</v>
      </c>
      <c r="T17" s="419" t="s">
        <v>1186</v>
      </c>
      <c r="U17" s="419" t="s">
        <v>1187</v>
      </c>
      <c r="V17" s="419" t="s">
        <v>1188</v>
      </c>
      <c r="W17" s="419" t="s">
        <v>1189</v>
      </c>
      <c r="X17" s="419" t="s">
        <v>1190</v>
      </c>
      <c r="Y17" s="419" t="s">
        <v>1191</v>
      </c>
      <c r="Z17" s="419" t="s">
        <v>1192</v>
      </c>
      <c r="AA17" s="419" t="s">
        <v>1193</v>
      </c>
      <c r="AB17" s="419" t="s">
        <v>1194</v>
      </c>
      <c r="AC17" s="419" t="s">
        <v>1195</v>
      </c>
      <c r="AD17" s="419" t="str">
        <f>+AD6</f>
        <v>Q114</v>
      </c>
      <c r="AE17" s="419" t="str">
        <f t="shared" ref="AE17:AN17" si="0">+AE6</f>
        <v>Q214</v>
      </c>
      <c r="AF17" s="419" t="str">
        <f t="shared" si="0"/>
        <v>Q314</v>
      </c>
      <c r="AG17" s="419" t="str">
        <f t="shared" si="0"/>
        <v>Q414</v>
      </c>
      <c r="AH17" s="419" t="str">
        <f t="shared" si="0"/>
        <v>Q115</v>
      </c>
      <c r="AI17" s="419" t="str">
        <f t="shared" si="0"/>
        <v>Q215</v>
      </c>
      <c r="AJ17" s="419" t="str">
        <f t="shared" si="0"/>
        <v>Q315</v>
      </c>
      <c r="AK17" s="419" t="str">
        <f t="shared" si="0"/>
        <v>Q415</v>
      </c>
      <c r="AL17" s="419" t="str">
        <f t="shared" si="0"/>
        <v>Q116</v>
      </c>
      <c r="AM17" s="419" t="str">
        <f t="shared" si="0"/>
        <v>Q216</v>
      </c>
      <c r="AN17" s="419" t="str">
        <f t="shared" si="0"/>
        <v>Q316</v>
      </c>
    </row>
    <row r="18" spans="1:40">
      <c r="A18" s="226" t="s">
        <v>1207</v>
      </c>
      <c r="B18" s="423">
        <f>+B7/B$8</f>
        <v>1.5019072322245957</v>
      </c>
      <c r="C18" s="423">
        <f t="shared" ref="C18:AI19" si="1">+C7/C$8</f>
        <v>1.4743751390640065</v>
      </c>
      <c r="D18" s="423">
        <f t="shared" si="1"/>
        <v>1.4722828459188126</v>
      </c>
      <c r="E18" s="423">
        <f t="shared" si="1"/>
        <v>1.3890346637204807</v>
      </c>
      <c r="F18" s="423">
        <f t="shared" si="1"/>
        <v>1.3238943366019611</v>
      </c>
      <c r="G18" s="423">
        <f t="shared" si="1"/>
        <v>1.2726865480609242</v>
      </c>
      <c r="H18" s="423">
        <f t="shared" si="1"/>
        <v>1.2541239856325661</v>
      </c>
      <c r="I18" s="423">
        <f t="shared" si="1"/>
        <v>1.2260849806862077</v>
      </c>
      <c r="J18" s="423">
        <f t="shared" si="1"/>
        <v>1.1061987587158073</v>
      </c>
      <c r="K18" s="423">
        <f t="shared" si="1"/>
        <v>1.1291660549111731</v>
      </c>
      <c r="L18" s="423">
        <f t="shared" si="1"/>
        <v>1.1355404838484129</v>
      </c>
      <c r="M18" s="423">
        <f t="shared" si="1"/>
        <v>1.0895264548472325</v>
      </c>
      <c r="N18" s="423">
        <f t="shared" si="1"/>
        <v>1.1322780699999999</v>
      </c>
      <c r="O18" s="423">
        <f t="shared" si="1"/>
        <v>1.1862583599999998</v>
      </c>
      <c r="P18" s="423">
        <f t="shared" si="1"/>
        <v>1.1870890384466619</v>
      </c>
      <c r="Q18" s="423">
        <f t="shared" si="1"/>
        <v>1.1534693576900412</v>
      </c>
      <c r="R18" s="423">
        <f t="shared" si="1"/>
        <v>1.1588895499999998</v>
      </c>
      <c r="S18" s="423">
        <f t="shared" si="1"/>
        <v>1.1160702849999999</v>
      </c>
      <c r="T18" s="423">
        <f t="shared" si="1"/>
        <v>1.122869575</v>
      </c>
      <c r="U18" s="423">
        <f t="shared" si="1"/>
        <v>1.1200941499999999</v>
      </c>
      <c r="V18" s="423">
        <f t="shared" si="1"/>
        <v>1.20078</v>
      </c>
      <c r="W18" s="423">
        <f t="shared" si="1"/>
        <v>1.2344551749999999</v>
      </c>
      <c r="X18" s="423">
        <f t="shared" si="1"/>
        <v>1.2716490750000002</v>
      </c>
      <c r="Y18" s="423">
        <f t="shared" si="1"/>
        <v>1.2479775021188073</v>
      </c>
      <c r="Z18" s="423">
        <f t="shared" si="1"/>
        <v>1.190676375</v>
      </c>
      <c r="AA18" s="423">
        <f>+AA7/AA$8</f>
        <v>1.1624906999999975</v>
      </c>
      <c r="AB18" s="423">
        <f t="shared" si="1"/>
        <v>1.1836714799999968</v>
      </c>
      <c r="AC18" s="423">
        <f t="shared" si="1"/>
        <v>1.2037895671351164</v>
      </c>
      <c r="AD18" s="423">
        <f t="shared" si="1"/>
        <v>1.2128505600000001</v>
      </c>
      <c r="AE18" s="423">
        <f t="shared" si="1"/>
        <v>1.227364523729384</v>
      </c>
      <c r="AF18" s="423">
        <f t="shared" si="1"/>
        <v>1.2595929262595928</v>
      </c>
      <c r="AG18" s="423">
        <f t="shared" si="1"/>
        <v>1.2676755544879494</v>
      </c>
      <c r="AH18" s="423">
        <f t="shared" si="1"/>
        <v>1.3443408788282289</v>
      </c>
      <c r="AI18" s="423">
        <f t="shared" si="1"/>
        <v>1.3848238482384823</v>
      </c>
    </row>
    <row r="19" spans="1:40">
      <c r="A19" s="226" t="s">
        <v>1208</v>
      </c>
      <c r="B19" s="423">
        <f t="shared" ref="B19:Q19" si="2">+B8/B$8</f>
        <v>1</v>
      </c>
      <c r="C19" s="423">
        <f t="shared" si="2"/>
        <v>1</v>
      </c>
      <c r="D19" s="423">
        <f t="shared" si="2"/>
        <v>1</v>
      </c>
      <c r="E19" s="423">
        <f t="shared" si="2"/>
        <v>1</v>
      </c>
      <c r="F19" s="423">
        <f t="shared" si="2"/>
        <v>1</v>
      </c>
      <c r="G19" s="423">
        <f t="shared" si="2"/>
        <v>1</v>
      </c>
      <c r="H19" s="423">
        <f t="shared" si="2"/>
        <v>1</v>
      </c>
      <c r="I19" s="423">
        <f t="shared" si="2"/>
        <v>1</v>
      </c>
      <c r="J19" s="423">
        <f t="shared" si="2"/>
        <v>1</v>
      </c>
      <c r="K19" s="423">
        <f t="shared" si="2"/>
        <v>1</v>
      </c>
      <c r="L19" s="423">
        <f t="shared" si="2"/>
        <v>1</v>
      </c>
      <c r="M19" s="423">
        <f t="shared" si="2"/>
        <v>1</v>
      </c>
      <c r="N19" s="423">
        <f t="shared" si="2"/>
        <v>1</v>
      </c>
      <c r="O19" s="423">
        <f t="shared" si="2"/>
        <v>1</v>
      </c>
      <c r="P19" s="423">
        <f t="shared" si="2"/>
        <v>1</v>
      </c>
      <c r="Q19" s="423">
        <f t="shared" si="2"/>
        <v>1</v>
      </c>
      <c r="R19" s="423">
        <f t="shared" si="1"/>
        <v>1</v>
      </c>
      <c r="S19" s="423">
        <f t="shared" si="1"/>
        <v>1</v>
      </c>
      <c r="T19" s="423">
        <f t="shared" si="1"/>
        <v>1</v>
      </c>
      <c r="U19" s="423">
        <f t="shared" si="1"/>
        <v>1</v>
      </c>
      <c r="V19" s="423">
        <f t="shared" si="1"/>
        <v>1</v>
      </c>
      <c r="W19" s="423">
        <f t="shared" si="1"/>
        <v>1</v>
      </c>
      <c r="X19" s="423">
        <f t="shared" si="1"/>
        <v>1</v>
      </c>
      <c r="Y19" s="423">
        <f t="shared" si="1"/>
        <v>1</v>
      </c>
      <c r="Z19" s="423">
        <f t="shared" si="1"/>
        <v>1</v>
      </c>
      <c r="AA19" s="423">
        <f t="shared" si="1"/>
        <v>1</v>
      </c>
      <c r="AB19" s="423">
        <f t="shared" si="1"/>
        <v>1</v>
      </c>
      <c r="AC19" s="423">
        <f t="shared" si="1"/>
        <v>1</v>
      </c>
      <c r="AD19" s="423">
        <f t="shared" si="1"/>
        <v>1</v>
      </c>
      <c r="AE19" s="423">
        <f t="shared" si="1"/>
        <v>1</v>
      </c>
      <c r="AF19" s="423">
        <f t="shared" si="1"/>
        <v>1</v>
      </c>
      <c r="AG19" s="423">
        <f t="shared" si="1"/>
        <v>1</v>
      </c>
      <c r="AH19" s="423">
        <f t="shared" si="1"/>
        <v>1</v>
      </c>
      <c r="AI19" s="423">
        <f t="shared" si="1"/>
        <v>1</v>
      </c>
    </row>
    <row r="20" spans="1:40">
      <c r="A20" s="226" t="s">
        <v>1209</v>
      </c>
      <c r="B20" s="423">
        <f t="shared" ref="B20:B26" si="3">+B9*B$8</f>
        <v>1.61647856</v>
      </c>
      <c r="C20" s="423">
        <f t="shared" ref="C20:AI26" si="4">+C9*C$8</f>
        <v>1.6481619199999999</v>
      </c>
      <c r="D20" s="423">
        <f t="shared" si="4"/>
        <v>1.6481454000000002</v>
      </c>
      <c r="E20" s="423">
        <f t="shared" si="4"/>
        <v>1.66065094</v>
      </c>
      <c r="F20" s="423">
        <f t="shared" si="4"/>
        <v>1.60208817</v>
      </c>
      <c r="G20" s="423">
        <f t="shared" si="4"/>
        <v>1.6124469400000001</v>
      </c>
      <c r="H20" s="423">
        <f t="shared" si="4"/>
        <v>1.61344888</v>
      </c>
      <c r="I20" s="423">
        <f t="shared" si="4"/>
        <v>1.5261347699999999</v>
      </c>
      <c r="J20" s="423">
        <f t="shared" si="4"/>
        <v>1.4976022499999999</v>
      </c>
      <c r="K20" s="423">
        <f t="shared" si="4"/>
        <v>1.5150388400000001</v>
      </c>
      <c r="L20" s="423">
        <f t="shared" si="4"/>
        <v>1.5195874999999999</v>
      </c>
      <c r="M20" s="423">
        <f t="shared" si="4"/>
        <v>1.50842659</v>
      </c>
      <c r="N20" s="423">
        <f t="shared" si="4"/>
        <v>1.4631884860226956</v>
      </c>
      <c r="O20" s="423">
        <f t="shared" si="4"/>
        <v>1.4088713777325876</v>
      </c>
      <c r="P20" s="423">
        <f t="shared" si="4"/>
        <v>1.33329078</v>
      </c>
      <c r="Q20" s="423">
        <f t="shared" si="4"/>
        <v>1.32203088</v>
      </c>
      <c r="R20" s="423">
        <f t="shared" si="4"/>
        <v>1.2861240098333788</v>
      </c>
      <c r="S20" s="423">
        <f t="shared" si="4"/>
        <v>1.2527709802792573</v>
      </c>
      <c r="T20" s="423">
        <f t="shared" si="4"/>
        <v>1.1656545685637623</v>
      </c>
      <c r="U20" s="423">
        <f t="shared" si="4"/>
        <v>1.2343532684283729</v>
      </c>
      <c r="V20" s="423">
        <f t="shared" si="4"/>
        <v>1.208027282266527</v>
      </c>
      <c r="W20" s="423">
        <f t="shared" si="4"/>
        <v>1.2016677357280308</v>
      </c>
      <c r="X20" s="423">
        <f t="shared" si="4"/>
        <v>1.2037801977719362</v>
      </c>
      <c r="Y20" s="423">
        <f t="shared" si="4"/>
        <v>1.20795553</v>
      </c>
      <c r="Z20" s="423">
        <f t="shared" si="4"/>
        <v>1.2282508250825082</v>
      </c>
      <c r="AA20" s="423">
        <f t="shared" si="4"/>
        <v>1.2308898471187795</v>
      </c>
      <c r="AB20" s="423">
        <f t="shared" si="4"/>
        <v>1.2343977739499172</v>
      </c>
      <c r="AC20" s="423">
        <f t="shared" si="4"/>
        <v>1.2285742295638282</v>
      </c>
      <c r="AD20" s="423">
        <f t="shared" si="4"/>
        <v>1.2231359649122806</v>
      </c>
      <c r="AE20" s="423">
        <f t="shared" si="4"/>
        <v>1.2191142191142192</v>
      </c>
      <c r="AF20" s="423">
        <f t="shared" si="4"/>
        <v>1.211523178807947</v>
      </c>
      <c r="AG20" s="423">
        <f t="shared" si="4"/>
        <v>1.2045640499999999</v>
      </c>
      <c r="AH20" s="423">
        <f t="shared" si="4"/>
        <v>1.0747936499999999</v>
      </c>
      <c r="AI20" s="423">
        <f t="shared" si="4"/>
        <v>1.041687</v>
      </c>
    </row>
    <row r="21" spans="1:40">
      <c r="A21" s="226" t="s">
        <v>1210</v>
      </c>
      <c r="B21" s="423">
        <f t="shared" si="3"/>
        <v>252.276568</v>
      </c>
      <c r="C21" s="423">
        <f t="shared" ref="C21:Q21" si="5">+C10*C$8</f>
        <v>248.22202999999999</v>
      </c>
      <c r="D21" s="423">
        <f t="shared" si="5"/>
        <v>251.950434</v>
      </c>
      <c r="E21" s="423">
        <f t="shared" si="5"/>
        <v>252.92813000000001</v>
      </c>
      <c r="F21" s="423">
        <f t="shared" si="5"/>
        <v>259.41925500000002</v>
      </c>
      <c r="G21" s="423">
        <f t="shared" si="5"/>
        <v>247.92211599999999</v>
      </c>
      <c r="H21" s="423">
        <f t="shared" si="5"/>
        <v>236.620126</v>
      </c>
      <c r="I21" s="423">
        <f t="shared" si="5"/>
        <v>264.00718800000004</v>
      </c>
      <c r="J21" s="423">
        <f t="shared" si="5"/>
        <v>294.45666199999999</v>
      </c>
      <c r="K21" s="423">
        <f t="shared" si="5"/>
        <v>286.60688000000005</v>
      </c>
      <c r="L21" s="423">
        <f t="shared" si="5"/>
        <v>271.30893999999995</v>
      </c>
      <c r="M21" s="423">
        <f t="shared" si="5"/>
        <v>271.100526</v>
      </c>
      <c r="N21" s="423">
        <f t="shared" si="5"/>
        <v>268.73789094934955</v>
      </c>
      <c r="O21" s="423">
        <f t="shared" si="5"/>
        <v>274.97458057956277</v>
      </c>
      <c r="P21" s="423">
        <f t="shared" si="5"/>
        <v>282.31275299999999</v>
      </c>
      <c r="Q21" s="423">
        <f t="shared" si="5"/>
        <v>276.08153600000003</v>
      </c>
      <c r="R21" s="423">
        <f t="shared" si="4"/>
        <v>272.09778748975685</v>
      </c>
      <c r="S21" s="423">
        <f t="shared" si="4"/>
        <v>266.37397437742914</v>
      </c>
      <c r="T21" s="423">
        <f t="shared" si="4"/>
        <v>275.07414207032906</v>
      </c>
      <c r="U21" s="423">
        <f t="shared" si="4"/>
        <v>279.73574408901254</v>
      </c>
      <c r="V21" s="423">
        <f t="shared" si="4"/>
        <v>296.77334732423924</v>
      </c>
      <c r="W21" s="423">
        <f t="shared" si="4"/>
        <v>294.0218088518281</v>
      </c>
      <c r="X21" s="423">
        <f t="shared" si="4"/>
        <v>282.9390411816247</v>
      </c>
      <c r="Y21" s="423">
        <f t="shared" si="4"/>
        <v>283.69498200000004</v>
      </c>
      <c r="Z21" s="423">
        <f t="shared" si="4"/>
        <v>296.43564356435644</v>
      </c>
      <c r="AA21" s="423">
        <f t="shared" si="4"/>
        <v>295.81863321573297</v>
      </c>
      <c r="AB21" s="423">
        <f t="shared" si="4"/>
        <v>297.90645289519097</v>
      </c>
      <c r="AC21" s="423">
        <f t="shared" si="4"/>
        <v>297.22736370902578</v>
      </c>
      <c r="AD21" s="423">
        <f t="shared" si="4"/>
        <v>307.88103070175436</v>
      </c>
      <c r="AE21" s="423">
        <f t="shared" si="4"/>
        <v>305.9509118332648</v>
      </c>
      <c r="AF21" s="423">
        <f t="shared" si="4"/>
        <v>312.42384105960269</v>
      </c>
      <c r="AG21" s="423">
        <f t="shared" si="4"/>
        <v>308.89043699999996</v>
      </c>
      <c r="AH21" s="423">
        <f t="shared" si="4"/>
        <v>309.03274499999998</v>
      </c>
      <c r="AI21" s="423">
        <f t="shared" si="4"/>
        <v>306.199521</v>
      </c>
    </row>
    <row r="22" spans="1:40">
      <c r="A22" s="226" t="s">
        <v>1211</v>
      </c>
      <c r="B22" s="423">
        <f t="shared" si="3"/>
        <v>3.8861287600000001</v>
      </c>
      <c r="C22" s="423">
        <f t="shared" si="4"/>
        <v>3.7993745699999999</v>
      </c>
      <c r="D22" s="423">
        <f t="shared" si="4"/>
        <v>3.7900471200000001</v>
      </c>
      <c r="E22" s="423">
        <f t="shared" si="4"/>
        <v>3.6559809000000003</v>
      </c>
      <c r="F22" s="423">
        <f t="shared" si="4"/>
        <v>3.5767026900000003</v>
      </c>
      <c r="G22" s="423">
        <f t="shared" si="4"/>
        <v>3.4081868599999998</v>
      </c>
      <c r="H22" s="423">
        <f t="shared" si="4"/>
        <v>3.31289224</v>
      </c>
      <c r="I22" s="423">
        <f t="shared" si="4"/>
        <v>3.8918483100000003</v>
      </c>
      <c r="J22" s="423">
        <f t="shared" si="4"/>
        <v>4.5025950000000003</v>
      </c>
      <c r="K22" s="423">
        <f t="shared" si="4"/>
        <v>4.4474467799999999</v>
      </c>
      <c r="L22" s="423">
        <f t="shared" si="4"/>
        <v>4.2009264599999998</v>
      </c>
      <c r="M22" s="423">
        <f t="shared" si="4"/>
        <v>4.1747060199999995</v>
      </c>
      <c r="N22" s="423">
        <f t="shared" si="4"/>
        <v>3.9893440354276217</v>
      </c>
      <c r="O22" s="423">
        <f t="shared" si="4"/>
        <v>4.01906456532791</v>
      </c>
      <c r="P22" s="423">
        <f t="shared" si="4"/>
        <v>4.0067236499999996</v>
      </c>
      <c r="Q22" s="423">
        <f t="shared" si="4"/>
        <v>3.9701654399999997</v>
      </c>
      <c r="R22" s="423">
        <f t="shared" si="4"/>
        <v>3.9375853591914778</v>
      </c>
      <c r="S22" s="423">
        <f t="shared" si="4"/>
        <v>3.9588311501367501</v>
      </c>
      <c r="T22" s="423">
        <f t="shared" si="4"/>
        <v>4.1540742832933208</v>
      </c>
      <c r="U22" s="423">
        <f t="shared" si="4"/>
        <v>4.1232267037552157</v>
      </c>
      <c r="V22" s="423">
        <f t="shared" si="4"/>
        <v>4.2301941238195173</v>
      </c>
      <c r="W22" s="423">
        <f t="shared" si="4"/>
        <v>4.2584990378447731</v>
      </c>
      <c r="X22" s="423">
        <f t="shared" si="4"/>
        <v>4.1354362248091121</v>
      </c>
      <c r="Y22" s="423">
        <f t="shared" si="4"/>
        <v>4.1103195100000001</v>
      </c>
      <c r="Z22" s="423">
        <f t="shared" si="4"/>
        <v>4.1532673267326734</v>
      </c>
      <c r="AA22" s="423">
        <f t="shared" si="4"/>
        <v>4.2014896119169034</v>
      </c>
      <c r="AB22" s="423">
        <f t="shared" si="4"/>
        <v>4.2471180601563647</v>
      </c>
      <c r="AC22" s="423">
        <f t="shared" si="4"/>
        <v>4.1808522497645964</v>
      </c>
      <c r="AD22" s="423">
        <f t="shared" si="4"/>
        <v>4.1833881578947363</v>
      </c>
      <c r="AE22" s="423">
        <f t="shared" si="4"/>
        <v>4.1659125188536956</v>
      </c>
      <c r="AF22" s="423">
        <f t="shared" si="4"/>
        <v>4.176953642384106</v>
      </c>
      <c r="AG22" s="423">
        <f t="shared" si="4"/>
        <v>4.2162863999999995</v>
      </c>
      <c r="AH22" s="423">
        <f t="shared" si="4"/>
        <v>4.1957618999999999</v>
      </c>
      <c r="AI22" s="423">
        <f t="shared" si="4"/>
        <v>4.0903649999999994</v>
      </c>
    </row>
    <row r="23" spans="1:40">
      <c r="A23" s="226" t="s">
        <v>1212</v>
      </c>
      <c r="B23" s="423">
        <f t="shared" si="3"/>
        <v>28.0367012</v>
      </c>
      <c r="C23" s="423">
        <f t="shared" si="4"/>
        <v>28.264952220000001</v>
      </c>
      <c r="D23" s="423">
        <f t="shared" si="4"/>
        <v>27.934071360000001</v>
      </c>
      <c r="E23" s="423">
        <f t="shared" si="4"/>
        <v>26.812988539999999</v>
      </c>
      <c r="F23" s="423">
        <f t="shared" si="4"/>
        <v>25.596382950000002</v>
      </c>
      <c r="G23" s="423">
        <f t="shared" si="4"/>
        <v>24.818775799999997</v>
      </c>
      <c r="H23" s="423">
        <f t="shared" si="4"/>
        <v>24.143852300000002</v>
      </c>
      <c r="I23" s="423">
        <f t="shared" si="4"/>
        <v>25.423564770000002</v>
      </c>
      <c r="J23" s="423">
        <f t="shared" si="4"/>
        <v>27.628966999999999</v>
      </c>
      <c r="K23" s="423">
        <f t="shared" si="4"/>
        <v>26.68154762</v>
      </c>
      <c r="L23" s="423">
        <f t="shared" si="4"/>
        <v>25.612164620000001</v>
      </c>
      <c r="M23" s="423">
        <f t="shared" si="4"/>
        <v>25.956185229999999</v>
      </c>
      <c r="N23" s="423">
        <f t="shared" si="4"/>
        <v>25.873235538333795</v>
      </c>
      <c r="O23" s="423">
        <f t="shared" si="4"/>
        <v>25.601169293340114</v>
      </c>
      <c r="P23" s="423">
        <f t="shared" si="4"/>
        <v>24.92881461</v>
      </c>
      <c r="Q23" s="423">
        <f t="shared" si="4"/>
        <v>24.81299096</v>
      </c>
      <c r="R23" s="423">
        <f t="shared" si="4"/>
        <v>24.341709915323683</v>
      </c>
      <c r="S23" s="423">
        <f t="shared" si="4"/>
        <v>24.315531884266591</v>
      </c>
      <c r="T23" s="423">
        <f t="shared" si="4"/>
        <v>24.390622793390769</v>
      </c>
      <c r="U23" s="423">
        <f t="shared" si="4"/>
        <v>24.603616133518781</v>
      </c>
      <c r="V23" s="423">
        <f t="shared" si="4"/>
        <v>25.077387198321095</v>
      </c>
      <c r="W23" s="423">
        <f t="shared" si="4"/>
        <v>25.261064785118666</v>
      </c>
      <c r="X23" s="423">
        <f t="shared" si="4"/>
        <v>25.06196019526849</v>
      </c>
      <c r="Y23" s="423">
        <f t="shared" si="4"/>
        <v>25.15901276</v>
      </c>
      <c r="Z23" s="423">
        <f t="shared" si="4"/>
        <v>25.548514851485152</v>
      </c>
      <c r="AA23" s="423">
        <f t="shared" si="4"/>
        <v>25.825166601332864</v>
      </c>
      <c r="AB23" s="423">
        <f t="shared" si="4"/>
        <v>25.846031535709624</v>
      </c>
      <c r="AC23" s="423">
        <f t="shared" si="4"/>
        <v>26.678505717931092</v>
      </c>
      <c r="AD23" s="423">
        <f t="shared" si="4"/>
        <v>27.441063596491226</v>
      </c>
      <c r="AE23" s="423">
        <f t="shared" si="4"/>
        <v>27.448238036473334</v>
      </c>
      <c r="AF23" s="423">
        <f t="shared" si="4"/>
        <v>27.62649006622517</v>
      </c>
      <c r="AG23" s="423">
        <f t="shared" si="4"/>
        <v>27.635659199999999</v>
      </c>
      <c r="AH23" s="423">
        <f t="shared" si="4"/>
        <v>27.647464200000002</v>
      </c>
      <c r="AI23" s="423">
        <f t="shared" si="4"/>
        <v>27.403784999999999</v>
      </c>
    </row>
    <row r="24" spans="1:40">
      <c r="A24" s="226" t="s">
        <v>1213</v>
      </c>
      <c r="B24" s="423">
        <f t="shared" si="3"/>
        <v>33813.5357448</v>
      </c>
      <c r="C24" s="423">
        <f t="shared" si="4"/>
        <v>32795.028671730004</v>
      </c>
      <c r="D24" s="423">
        <f t="shared" si="4"/>
        <v>32318.965770660001</v>
      </c>
      <c r="E24" s="423">
        <f t="shared" si="4"/>
        <v>34485.334185899999</v>
      </c>
      <c r="F24" s="423">
        <f t="shared" si="4"/>
        <v>36890.689597620003</v>
      </c>
      <c r="G24" s="423">
        <f t="shared" si="4"/>
        <v>36522.909660379999</v>
      </c>
      <c r="H24" s="423">
        <f t="shared" si="4"/>
        <v>35845.343546460004</v>
      </c>
      <c r="I24" s="423">
        <f t="shared" si="4"/>
        <v>38758.594770000003</v>
      </c>
      <c r="J24" s="423">
        <f t="shared" si="4"/>
        <v>42672.854699999996</v>
      </c>
      <c r="K24" s="423">
        <f t="shared" si="4"/>
        <v>41961.2088</v>
      </c>
      <c r="L24" s="423">
        <f t="shared" si="4"/>
        <v>42271.837592359996</v>
      </c>
      <c r="M24" s="423">
        <f t="shared" si="4"/>
        <v>42680.719429359997</v>
      </c>
      <c r="N24" s="423">
        <f t="shared" si="4"/>
        <v>41166.6205369499</v>
      </c>
      <c r="O24" s="423">
        <f t="shared" si="4"/>
        <v>41868.327402135234</v>
      </c>
      <c r="P24" s="423">
        <f t="shared" si="4"/>
        <v>42562.147499999999</v>
      </c>
      <c r="Q24" s="423">
        <f t="shared" si="4"/>
        <v>42920.523999999998</v>
      </c>
      <c r="R24" s="423">
        <f t="shared" si="4"/>
        <v>42189.292543021031</v>
      </c>
      <c r="S24" s="423">
        <f t="shared" si="4"/>
        <v>41353.102058442499</v>
      </c>
      <c r="T24" s="423">
        <f t="shared" si="4"/>
        <v>42609.80087558255</v>
      </c>
      <c r="U24" s="423">
        <f t="shared" si="4"/>
        <v>42415.855354659252</v>
      </c>
      <c r="V24" s="423">
        <f t="shared" si="4"/>
        <v>43544.071353620151</v>
      </c>
      <c r="W24" s="423">
        <f t="shared" si="4"/>
        <v>44291.212315586919</v>
      </c>
      <c r="X24" s="423">
        <f t="shared" si="4"/>
        <v>45244.711478282632</v>
      </c>
      <c r="Y24" s="423">
        <f t="shared" si="4"/>
        <v>45239.663271510006</v>
      </c>
      <c r="Z24" s="423">
        <f t="shared" si="4"/>
        <v>43849.504950495051</v>
      </c>
      <c r="AA24" s="423">
        <f t="shared" si="4"/>
        <v>43990.59192473549</v>
      </c>
      <c r="AB24" s="423">
        <f t="shared" si="4"/>
        <v>44407.049158606191</v>
      </c>
      <c r="AC24" s="423">
        <f t="shared" si="4"/>
        <v>44474.604749578088</v>
      </c>
      <c r="AD24" s="423">
        <f t="shared" si="4"/>
        <v>45017.817982456138</v>
      </c>
      <c r="AE24" s="423">
        <f t="shared" si="4"/>
        <v>44246.537775949546</v>
      </c>
      <c r="AF24" s="423">
        <f t="shared" si="4"/>
        <v>44150.99337748345</v>
      </c>
      <c r="AG24" s="423">
        <f t="shared" si="4"/>
        <v>44359.679099999994</v>
      </c>
      <c r="AH24" s="423">
        <f t="shared" si="4"/>
        <v>44600.035968750002</v>
      </c>
      <c r="AI24" s="423">
        <f t="shared" si="4"/>
        <v>44454.906000000003</v>
      </c>
    </row>
    <row r="25" spans="1:40">
      <c r="A25" s="226" t="s">
        <v>1214</v>
      </c>
      <c r="B25" s="423">
        <f t="shared" si="3"/>
        <v>34.349382919999996</v>
      </c>
      <c r="C25" s="423">
        <f t="shared" si="4"/>
        <v>33.731499740000004</v>
      </c>
      <c r="D25" s="423">
        <f t="shared" si="4"/>
        <v>33.578041499999998</v>
      </c>
      <c r="E25" s="423">
        <f t="shared" si="4"/>
        <v>33.439951739999998</v>
      </c>
      <c r="F25" s="423">
        <f t="shared" si="4"/>
        <v>33.084237540000004</v>
      </c>
      <c r="G25" s="423">
        <f t="shared" si="4"/>
        <v>31.413729100000001</v>
      </c>
      <c r="H25" s="423">
        <f t="shared" si="4"/>
        <v>30.368228980000001</v>
      </c>
      <c r="I25" s="423">
        <f t="shared" si="4"/>
        <v>30.481502040000002</v>
      </c>
      <c r="J25" s="423">
        <f t="shared" si="4"/>
        <v>30.14781</v>
      </c>
      <c r="K25" s="423">
        <f t="shared" si="4"/>
        <v>30.148619060000001</v>
      </c>
      <c r="L25" s="423">
        <f t="shared" si="4"/>
        <v>30.135029099999997</v>
      </c>
      <c r="M25" s="423">
        <f t="shared" si="4"/>
        <v>30.133253010000001</v>
      </c>
      <c r="N25" s="423">
        <f t="shared" si="4"/>
        <v>30.132300027677825</v>
      </c>
      <c r="O25" s="423">
        <f t="shared" si="4"/>
        <v>30.125826131164207</v>
      </c>
      <c r="P25" s="423">
        <f t="shared" si="4"/>
        <v>30.139300500000001</v>
      </c>
      <c r="Q25" s="423">
        <f t="shared" si="4"/>
        <v>30.145372239999997</v>
      </c>
      <c r="R25" s="423">
        <f t="shared" si="4"/>
        <v>30.066238732586726</v>
      </c>
      <c r="S25" s="423">
        <f t="shared" si="4"/>
        <v>30.128112854469556</v>
      </c>
      <c r="T25" s="423">
        <f t="shared" si="4"/>
        <v>30.130348820788029</v>
      </c>
      <c r="U25" s="423">
        <f t="shared" si="4"/>
        <v>29.768810848400562</v>
      </c>
      <c r="V25" s="423">
        <f t="shared" si="4"/>
        <v>30.134837355718783</v>
      </c>
      <c r="W25" s="423">
        <f t="shared" si="4"/>
        <v>30.13547145606158</v>
      </c>
      <c r="X25" s="423">
        <f t="shared" si="4"/>
        <v>30.15884340968832</v>
      </c>
      <c r="Y25" s="423">
        <f t="shared" si="4"/>
        <v>30.130099550000004</v>
      </c>
      <c r="Z25" s="423">
        <f t="shared" si="4"/>
        <v>30.260594059405939</v>
      </c>
      <c r="AA25" s="423">
        <f t="shared" si="4"/>
        <v>29.400235201881674</v>
      </c>
      <c r="AB25" s="423">
        <f t="shared" si="4"/>
        <v>29.813170796343002</v>
      </c>
      <c r="AC25" s="423">
        <f t="shared" si="4"/>
        <v>30.104625448570921</v>
      </c>
      <c r="AD25" s="423">
        <f t="shared" si="4"/>
        <v>30.130482456140349</v>
      </c>
      <c r="AE25" s="423">
        <f t="shared" si="4"/>
        <v>30.123406005758952</v>
      </c>
      <c r="AF25" s="423">
        <f t="shared" si="4"/>
        <v>29.139072847682122</v>
      </c>
      <c r="AG25" s="423">
        <f t="shared" si="4"/>
        <v>30.123467999999999</v>
      </c>
      <c r="AH25" s="423">
        <f t="shared" si="4"/>
        <v>30.165191700000001</v>
      </c>
      <c r="AI25" s="423">
        <f t="shared" si="4"/>
        <v>30.141396</v>
      </c>
    </row>
    <row r="26" spans="1:40">
      <c r="A26" s="226" t="s">
        <v>1215</v>
      </c>
      <c r="B26" s="423">
        <f t="shared" si="3"/>
        <v>708.65780399999994</v>
      </c>
      <c r="C26" s="423">
        <f t="shared" si="4"/>
        <v>710.16309300000012</v>
      </c>
      <c r="D26" s="423">
        <f t="shared" si="4"/>
        <v>714.37962000000005</v>
      </c>
      <c r="E26" s="423">
        <f t="shared" si="4"/>
        <v>727.05432799999994</v>
      </c>
      <c r="F26" s="423">
        <f t="shared" si="4"/>
        <v>694.65295800000001</v>
      </c>
      <c r="G26" s="423">
        <f t="shared" si="4"/>
        <v>736.25024200000007</v>
      </c>
      <c r="H26" s="423">
        <f t="shared" si="4"/>
        <v>777.21269800000005</v>
      </c>
      <c r="I26" s="423">
        <f t="shared" si="4"/>
        <v>846.72159299999998</v>
      </c>
      <c r="J26" s="423">
        <f t="shared" si="4"/>
        <v>794.97556299999997</v>
      </c>
      <c r="K26" s="423">
        <f t="shared" si="4"/>
        <v>771.67267800000002</v>
      </c>
      <c r="L26" s="423">
        <f t="shared" si="4"/>
        <v>780.03107999999997</v>
      </c>
      <c r="M26" s="423">
        <f t="shared" si="4"/>
        <v>764.32457999999997</v>
      </c>
      <c r="N26" s="423">
        <f t="shared" si="4"/>
        <v>718.04594519789646</v>
      </c>
      <c r="O26" s="423">
        <f t="shared" si="4"/>
        <v>674.44077275038126</v>
      </c>
      <c r="P26" s="423">
        <f t="shared" si="4"/>
        <v>660.25945200000001</v>
      </c>
      <c r="Q26" s="423">
        <f t="shared" si="4"/>
        <v>651.82448799999997</v>
      </c>
      <c r="R26" s="423">
        <f t="shared" si="4"/>
        <v>657.70281343895113</v>
      </c>
      <c r="S26" s="423">
        <f t="shared" si="4"/>
        <v>675.47142651504248</v>
      </c>
      <c r="T26" s="423">
        <f t="shared" si="4"/>
        <v>666.37480581838736</v>
      </c>
      <c r="U26" s="423">
        <f t="shared" si="4"/>
        <v>672.71210013908217</v>
      </c>
      <c r="V26" s="423">
        <f t="shared" si="4"/>
        <v>641.26442812172093</v>
      </c>
      <c r="W26" s="423">
        <f t="shared" si="4"/>
        <v>636.58755612572168</v>
      </c>
      <c r="X26" s="423">
        <f t="shared" si="4"/>
        <v>603.46726749280253</v>
      </c>
      <c r="Y26" s="423">
        <f t="shared" si="4"/>
        <v>620.13661999999999</v>
      </c>
      <c r="Z26" s="423">
        <f t="shared" si="4"/>
        <v>623.69636963696371</v>
      </c>
      <c r="AA26" s="423">
        <f t="shared" si="4"/>
        <v>634.33947471579904</v>
      </c>
      <c r="AB26" s="423">
        <f t="shared" si="4"/>
        <v>671.59136080562007</v>
      </c>
      <c r="AC26" s="423">
        <f t="shared" si="4"/>
        <v>703.30161609132165</v>
      </c>
      <c r="AD26" s="423">
        <f t="shared" si="4"/>
        <v>756.75712719298235</v>
      </c>
      <c r="AE26" s="423">
        <f t="shared" si="4"/>
        <v>760.57863704922545</v>
      </c>
      <c r="AF26" s="423">
        <f t="shared" si="4"/>
        <v>765.39072847682121</v>
      </c>
      <c r="AG26" s="423">
        <f t="shared" si="4"/>
        <v>747.47913899999992</v>
      </c>
      <c r="AH26" s="423">
        <f t="shared" si="4"/>
        <v>703.62316500000009</v>
      </c>
      <c r="AI26" s="423">
        <f t="shared" si="4"/>
        <v>684.17360099999996</v>
      </c>
    </row>
    <row r="28" spans="1:40" s="424" customFormat="1">
      <c r="A28" s="424" t="s">
        <v>1217</v>
      </c>
      <c r="B28" s="424">
        <v>2006</v>
      </c>
      <c r="C28" s="424">
        <v>2007</v>
      </c>
      <c r="D28" s="424">
        <v>2008</v>
      </c>
      <c r="E28" s="424">
        <v>2009</v>
      </c>
      <c r="F28" s="424">
        <v>2010</v>
      </c>
      <c r="G28" s="424">
        <v>2011</v>
      </c>
      <c r="H28" s="424">
        <v>2012</v>
      </c>
      <c r="I28" s="424">
        <v>2013</v>
      </c>
      <c r="J28" s="424">
        <v>2014</v>
      </c>
      <c r="K28" s="424">
        <v>2015</v>
      </c>
      <c r="L28" s="424">
        <v>2016</v>
      </c>
      <c r="M28" s="424">
        <v>2017</v>
      </c>
      <c r="N28" s="424">
        <v>2018</v>
      </c>
      <c r="O28" s="424">
        <v>2019</v>
      </c>
      <c r="P28" s="424">
        <v>2020</v>
      </c>
      <c r="Q28" s="424">
        <v>2021</v>
      </c>
      <c r="R28" s="424">
        <v>2022</v>
      </c>
      <c r="S28" s="424">
        <v>2023</v>
      </c>
      <c r="T28" s="424">
        <v>2024</v>
      </c>
      <c r="U28" s="424">
        <f>T28+1</f>
        <v>2025</v>
      </c>
      <c r="V28" s="424">
        <f t="shared" ref="V28:Z28" si="6">U28+1</f>
        <v>2026</v>
      </c>
      <c r="W28" s="424">
        <f t="shared" si="6"/>
        <v>2027</v>
      </c>
      <c r="X28" s="424">
        <f t="shared" si="6"/>
        <v>2028</v>
      </c>
      <c r="Y28" s="424">
        <f t="shared" si="6"/>
        <v>2029</v>
      </c>
      <c r="Z28" s="424">
        <f t="shared" si="6"/>
        <v>2030</v>
      </c>
    </row>
    <row r="29" spans="1:40">
      <c r="A29" s="226" t="s">
        <v>1218</v>
      </c>
    </row>
    <row r="30" spans="1:40">
      <c r="A30" s="226" t="s">
        <v>1219</v>
      </c>
      <c r="B30" s="425">
        <v>1.8378000000000001</v>
      </c>
      <c r="C30" s="425">
        <v>1.9698</v>
      </c>
      <c r="D30" s="425">
        <v>1.7201</v>
      </c>
      <c r="E30" s="425">
        <v>1.5361499999999999</v>
      </c>
      <c r="F30" s="425">
        <v>1.5869500000000001</v>
      </c>
      <c r="G30" s="425">
        <v>1.5549999999999999</v>
      </c>
      <c r="H30" s="425">
        <v>1.52</v>
      </c>
      <c r="I30" s="425">
        <v>1.5634771732332708</v>
      </c>
      <c r="J30" s="425">
        <f>1/0.607</f>
        <v>1.6474464579901154</v>
      </c>
      <c r="K30" s="426">
        <f>+K41</f>
        <v>1.5183</v>
      </c>
      <c r="L30" s="426">
        <v>1.35</v>
      </c>
      <c r="M30" s="426">
        <v>1.29</v>
      </c>
      <c r="N30" s="426">
        <v>1.34</v>
      </c>
      <c r="O30" s="426">
        <v>1.32</v>
      </c>
      <c r="P30" s="425">
        <f t="shared" ref="P30:Z30" si="7">O30</f>
        <v>1.32</v>
      </c>
      <c r="Q30" s="425">
        <f t="shared" si="7"/>
        <v>1.32</v>
      </c>
      <c r="R30" s="425">
        <f t="shared" si="7"/>
        <v>1.32</v>
      </c>
      <c r="S30" s="425">
        <f t="shared" si="7"/>
        <v>1.32</v>
      </c>
      <c r="T30" s="425">
        <f t="shared" si="7"/>
        <v>1.32</v>
      </c>
      <c r="U30" s="425">
        <f t="shared" si="7"/>
        <v>1.32</v>
      </c>
      <c r="V30" s="425">
        <f t="shared" si="7"/>
        <v>1.32</v>
      </c>
      <c r="W30" s="425">
        <f t="shared" si="7"/>
        <v>1.32</v>
      </c>
      <c r="X30" s="425">
        <f t="shared" si="7"/>
        <v>1.32</v>
      </c>
      <c r="Y30" s="425">
        <f t="shared" si="7"/>
        <v>1.32</v>
      </c>
      <c r="Z30" s="425">
        <f t="shared" si="7"/>
        <v>1.32</v>
      </c>
    </row>
    <row r="31" spans="1:40">
      <c r="A31" s="226" t="s">
        <v>1220</v>
      </c>
      <c r="B31" s="425">
        <f>1/1.2511</f>
        <v>0.79929661897530169</v>
      </c>
      <c r="C31" s="425">
        <f>1/1.3886</f>
        <v>0.72014979115656053</v>
      </c>
      <c r="D31" s="425">
        <f>1/1.4268</f>
        <v>0.7008690776562938</v>
      </c>
      <c r="E31" s="425">
        <v>0.71930000000000005</v>
      </c>
      <c r="F31" s="425">
        <v>0.75490000000000002</v>
      </c>
      <c r="G31" s="425">
        <v>0.71899999999999997</v>
      </c>
      <c r="H31" s="425">
        <v>0.77790000000000004</v>
      </c>
      <c r="I31" s="425">
        <v>0.753</v>
      </c>
      <c r="J31" s="425">
        <v>0.75370000000000004</v>
      </c>
      <c r="K31" s="426">
        <f>+K42</f>
        <v>0.9</v>
      </c>
      <c r="L31" s="426">
        <f>AVERAGE(K42:L42)</f>
        <v>0.90142650776453603</v>
      </c>
      <c r="M31" s="426">
        <v>0.88</v>
      </c>
      <c r="N31" s="426">
        <v>0.84672811402853965</v>
      </c>
      <c r="O31" s="426">
        <v>0.88349999999999995</v>
      </c>
      <c r="P31" s="425">
        <f t="shared" ref="P31:Z31" si="8">O31</f>
        <v>0.88349999999999995</v>
      </c>
      <c r="Q31" s="425">
        <f t="shared" si="8"/>
        <v>0.88349999999999995</v>
      </c>
      <c r="R31" s="425">
        <f t="shared" si="8"/>
        <v>0.88349999999999995</v>
      </c>
      <c r="S31" s="425">
        <f t="shared" si="8"/>
        <v>0.88349999999999995</v>
      </c>
      <c r="T31" s="425">
        <f t="shared" si="8"/>
        <v>0.88349999999999995</v>
      </c>
      <c r="U31" s="425">
        <f t="shared" si="8"/>
        <v>0.88349999999999995</v>
      </c>
      <c r="V31" s="425">
        <f t="shared" si="8"/>
        <v>0.88349999999999995</v>
      </c>
      <c r="W31" s="425">
        <f t="shared" si="8"/>
        <v>0.88349999999999995</v>
      </c>
      <c r="X31" s="425">
        <f t="shared" si="8"/>
        <v>0.88349999999999995</v>
      </c>
      <c r="Y31" s="425">
        <f t="shared" si="8"/>
        <v>0.88349999999999995</v>
      </c>
      <c r="Z31" s="425">
        <f t="shared" si="8"/>
        <v>0.88349999999999995</v>
      </c>
    </row>
    <row r="32" spans="1:40">
      <c r="A32" s="226" t="s">
        <v>1221</v>
      </c>
      <c r="B32" s="425">
        <v>1.2676000000000001</v>
      </c>
      <c r="C32" s="425">
        <v>1.1779999999999999</v>
      </c>
      <c r="D32" s="425">
        <v>1.1024</v>
      </c>
      <c r="E32" s="425">
        <v>1.0857000000000001</v>
      </c>
      <c r="F32" s="425">
        <v>1.0427</v>
      </c>
      <c r="G32" s="425">
        <v>0.88749999999999996</v>
      </c>
      <c r="H32" s="425">
        <v>0.93759999999999999</v>
      </c>
      <c r="I32" s="425">
        <v>0.92679999999999996</v>
      </c>
      <c r="J32" s="425">
        <v>0.91520000000000001</v>
      </c>
      <c r="K32" s="426">
        <f t="shared" ref="K32:K37" si="9">+K43</f>
        <v>0.97699999999999998</v>
      </c>
      <c r="L32" s="425">
        <f t="shared" ref="L32:Z38" si="10">AVERAGE(K43:L43)</f>
        <v>0.95779999999999998</v>
      </c>
      <c r="M32" s="425">
        <f t="shared" si="10"/>
        <v>0.93859999999999999</v>
      </c>
      <c r="N32" s="425">
        <f t="shared" si="10"/>
        <v>0.93859999999999999</v>
      </c>
      <c r="O32" s="425">
        <f t="shared" si="10"/>
        <v>0.93859999999999999</v>
      </c>
      <c r="P32" s="425">
        <f t="shared" si="10"/>
        <v>0.93859999999999999</v>
      </c>
      <c r="Q32" s="425">
        <f t="shared" si="10"/>
        <v>0.93859999999999999</v>
      </c>
      <c r="R32" s="425">
        <f t="shared" si="10"/>
        <v>0.93859999999999999</v>
      </c>
      <c r="S32" s="425">
        <f t="shared" si="10"/>
        <v>0.93859999999999999</v>
      </c>
      <c r="T32" s="425">
        <f t="shared" si="10"/>
        <v>0.93859999999999999</v>
      </c>
      <c r="U32" s="425">
        <f t="shared" si="10"/>
        <v>0.93859999999999999</v>
      </c>
      <c r="V32" s="425">
        <f t="shared" si="10"/>
        <v>0.93859999999999999</v>
      </c>
      <c r="W32" s="425" t="e">
        <f t="shared" si="10"/>
        <v>#DIV/0!</v>
      </c>
      <c r="X32" s="425">
        <f t="shared" si="10"/>
        <v>0.93859999999999999</v>
      </c>
      <c r="Y32" s="425">
        <f t="shared" si="10"/>
        <v>0.93579999999999997</v>
      </c>
      <c r="Z32" s="425">
        <f t="shared" si="10"/>
        <v>0.93300000000000005</v>
      </c>
    </row>
    <row r="33" spans="1:26">
      <c r="A33" s="226" t="s">
        <v>1222</v>
      </c>
      <c r="B33" s="425">
        <v>202.15</v>
      </c>
      <c r="C33" s="425">
        <v>181.98500000000001</v>
      </c>
      <c r="D33" s="425">
        <v>181.785</v>
      </c>
      <c r="E33" s="425">
        <v>202.16</v>
      </c>
      <c r="F33" s="425">
        <v>208.02</v>
      </c>
      <c r="G33" s="425">
        <v>201.13</v>
      </c>
      <c r="H33" s="425">
        <v>225.02</v>
      </c>
      <c r="I33" s="425">
        <v>223.58</v>
      </c>
      <c r="J33" s="425">
        <v>232.73</v>
      </c>
      <c r="K33" s="426">
        <f t="shared" si="9"/>
        <v>282</v>
      </c>
      <c r="L33" s="425">
        <f t="shared" si="10"/>
        <v>282.77499999999998</v>
      </c>
      <c r="M33" s="425">
        <f t="shared" si="10"/>
        <v>283.55</v>
      </c>
      <c r="N33" s="425">
        <f t="shared" si="10"/>
        <v>283.55</v>
      </c>
      <c r="O33" s="425">
        <f t="shared" si="10"/>
        <v>283.55</v>
      </c>
      <c r="P33" s="425">
        <f t="shared" si="10"/>
        <v>283.55</v>
      </c>
      <c r="Q33" s="425">
        <f t="shared" si="10"/>
        <v>283.55</v>
      </c>
      <c r="R33" s="425">
        <f t="shared" si="10"/>
        <v>283.55</v>
      </c>
      <c r="S33" s="425">
        <f t="shared" si="10"/>
        <v>283.55</v>
      </c>
      <c r="T33" s="425">
        <f t="shared" si="10"/>
        <v>283.55</v>
      </c>
      <c r="U33" s="425">
        <f t="shared" si="10"/>
        <v>283.55</v>
      </c>
      <c r="V33" s="425">
        <f t="shared" si="10"/>
        <v>283.55</v>
      </c>
      <c r="W33" s="425" t="e">
        <f t="shared" si="10"/>
        <v>#DIV/0!</v>
      </c>
      <c r="X33" s="425">
        <f t="shared" si="10"/>
        <v>283.55</v>
      </c>
      <c r="Y33" s="425">
        <f t="shared" si="10"/>
        <v>276.77499999999998</v>
      </c>
      <c r="Z33" s="425">
        <f t="shared" si="10"/>
        <v>270</v>
      </c>
    </row>
    <row r="34" spans="1:26">
      <c r="A34" s="226" t="s">
        <v>1223</v>
      </c>
      <c r="B34" s="425">
        <v>3.0790500000000001</v>
      </c>
      <c r="C34" s="425">
        <v>2.6894</v>
      </c>
      <c r="D34" s="425">
        <v>2.7191000000000001</v>
      </c>
      <c r="E34" s="425">
        <v>3.1196000000000002</v>
      </c>
      <c r="F34" s="425">
        <v>3.0165999999999999</v>
      </c>
      <c r="G34" s="425">
        <v>2.9645999999999999</v>
      </c>
      <c r="H34" s="425">
        <v>3.2538999999999998</v>
      </c>
      <c r="I34" s="425">
        <v>3.1600999999999999</v>
      </c>
      <c r="J34" s="425">
        <v>3.1553</v>
      </c>
      <c r="K34" s="426">
        <f>+K45</f>
        <v>3.8</v>
      </c>
      <c r="L34" s="425">
        <f t="shared" si="10"/>
        <v>3.7918500000000002</v>
      </c>
      <c r="M34" s="425">
        <f t="shared" si="10"/>
        <v>3.7837000000000001</v>
      </c>
      <c r="N34" s="425">
        <f t="shared" si="10"/>
        <v>3.7837000000000001</v>
      </c>
      <c r="O34" s="425">
        <f t="shared" si="10"/>
        <v>3.7837000000000001</v>
      </c>
      <c r="P34" s="425">
        <f t="shared" si="10"/>
        <v>3.7837000000000001</v>
      </c>
      <c r="Q34" s="425">
        <f t="shared" si="10"/>
        <v>3.7837000000000001</v>
      </c>
      <c r="R34" s="425">
        <f t="shared" si="10"/>
        <v>3.7837000000000001</v>
      </c>
      <c r="S34" s="425">
        <f t="shared" si="10"/>
        <v>3.7837000000000001</v>
      </c>
      <c r="T34" s="425">
        <f t="shared" si="10"/>
        <v>3.7837000000000001</v>
      </c>
      <c r="U34" s="425">
        <f t="shared" si="10"/>
        <v>3.7837000000000001</v>
      </c>
      <c r="V34" s="425">
        <f t="shared" si="10"/>
        <v>3.7837000000000001</v>
      </c>
      <c r="W34" s="425" t="e">
        <f t="shared" si="10"/>
        <v>#DIV/0!</v>
      </c>
      <c r="X34" s="425">
        <f t="shared" si="10"/>
        <v>3.7837000000000001</v>
      </c>
      <c r="Y34" s="425">
        <f t="shared" si="10"/>
        <v>3.71685</v>
      </c>
      <c r="Z34" s="425">
        <f t="shared" si="10"/>
        <v>3.65</v>
      </c>
    </row>
    <row r="35" spans="1:26">
      <c r="A35" s="226" t="s">
        <v>1224</v>
      </c>
      <c r="B35" s="425">
        <v>22.731000000000002</v>
      </c>
      <c r="C35" s="425">
        <v>19.525500000000001</v>
      </c>
      <c r="D35" s="425">
        <v>18.693000000000001</v>
      </c>
      <c r="E35" s="425">
        <v>19.059000000000001</v>
      </c>
      <c r="F35" s="425">
        <v>19.096</v>
      </c>
      <c r="G35" s="425">
        <v>17.690000000000001</v>
      </c>
      <c r="H35" s="425">
        <v>19.555</v>
      </c>
      <c r="I35" s="425">
        <v>19.559000000000001</v>
      </c>
      <c r="J35" s="425">
        <v>20.757999999999999</v>
      </c>
      <c r="K35" s="426">
        <f t="shared" si="9"/>
        <v>24.3</v>
      </c>
      <c r="L35" s="425">
        <f t="shared" si="10"/>
        <v>24.447800000000001</v>
      </c>
      <c r="M35" s="425">
        <f t="shared" si="10"/>
        <v>24.595600000000001</v>
      </c>
      <c r="N35" s="425">
        <f t="shared" si="10"/>
        <v>24.595600000000001</v>
      </c>
      <c r="O35" s="425">
        <f t="shared" si="10"/>
        <v>24.595600000000001</v>
      </c>
      <c r="P35" s="425">
        <f t="shared" si="10"/>
        <v>24.595600000000001</v>
      </c>
      <c r="Q35" s="425">
        <f t="shared" si="10"/>
        <v>24.595600000000001</v>
      </c>
      <c r="R35" s="425">
        <f t="shared" si="10"/>
        <v>24.595600000000001</v>
      </c>
      <c r="S35" s="425">
        <f t="shared" si="10"/>
        <v>24.595600000000001</v>
      </c>
      <c r="T35" s="425">
        <f t="shared" si="10"/>
        <v>24.595600000000001</v>
      </c>
      <c r="U35" s="425">
        <f t="shared" si="10"/>
        <v>24.595600000000001</v>
      </c>
      <c r="V35" s="425">
        <f t="shared" si="10"/>
        <v>24.595600000000001</v>
      </c>
      <c r="W35" s="425" t="e">
        <f t="shared" si="10"/>
        <v>#DIV/0!</v>
      </c>
      <c r="X35" s="425">
        <f t="shared" si="10"/>
        <v>24.595600000000001</v>
      </c>
      <c r="Y35" s="425">
        <f t="shared" si="10"/>
        <v>23.972799999999999</v>
      </c>
      <c r="Z35" s="425">
        <f t="shared" si="10"/>
        <v>23.35</v>
      </c>
    </row>
    <row r="36" spans="1:26">
      <c r="A36" s="226" t="s">
        <v>1225</v>
      </c>
      <c r="B36" s="425">
        <v>2.8382999999999998</v>
      </c>
      <c r="C36" s="425">
        <v>2.5078999999999998</v>
      </c>
      <c r="D36" s="425">
        <v>2.6705000000000001</v>
      </c>
      <c r="E36" s="425">
        <v>3.0488</v>
      </c>
      <c r="F36" s="425">
        <v>3.1802000000000001</v>
      </c>
      <c r="G36" s="425">
        <v>3.0497000000000001</v>
      </c>
      <c r="H36" s="425">
        <v>3.4681999999999999</v>
      </c>
      <c r="I36" s="425">
        <v>3.3273000000000001</v>
      </c>
      <c r="J36" s="425">
        <v>3.3494000000000002</v>
      </c>
      <c r="K36" s="426">
        <f>+K47</f>
        <v>3.9889999999999999</v>
      </c>
      <c r="L36" s="425">
        <f>AVERAGE(K47:L47)</f>
        <v>4.0276999999999994</v>
      </c>
      <c r="M36" s="425">
        <f t="shared" si="10"/>
        <v>4.0663999999999998</v>
      </c>
      <c r="N36" s="425">
        <f t="shared" si="10"/>
        <v>4.0663999999999998</v>
      </c>
      <c r="O36" s="425">
        <f t="shared" si="10"/>
        <v>4.0663999999999998</v>
      </c>
      <c r="P36" s="425">
        <f t="shared" si="10"/>
        <v>4.0663999999999998</v>
      </c>
      <c r="Q36" s="425">
        <f t="shared" si="10"/>
        <v>4.0663999999999998</v>
      </c>
      <c r="R36" s="425">
        <f t="shared" si="10"/>
        <v>4.0663999999999998</v>
      </c>
      <c r="S36" s="425">
        <f t="shared" si="10"/>
        <v>4.0663999999999998</v>
      </c>
      <c r="T36" s="425">
        <f t="shared" si="10"/>
        <v>4.0663999999999998</v>
      </c>
      <c r="U36" s="425">
        <f t="shared" si="10"/>
        <v>4.0663999999999998</v>
      </c>
      <c r="V36" s="425">
        <f t="shared" si="10"/>
        <v>4.0663999999999998</v>
      </c>
      <c r="W36" s="425" t="e">
        <f t="shared" si="10"/>
        <v>#DIV/0!</v>
      </c>
      <c r="X36" s="425">
        <f t="shared" si="10"/>
        <v>4.0663999999999998</v>
      </c>
      <c r="Y36" s="425">
        <f t="shared" si="10"/>
        <v>3.9512499999999999</v>
      </c>
      <c r="Z36" s="425">
        <f t="shared" si="10"/>
        <v>3.8361000000000001</v>
      </c>
    </row>
    <row r="37" spans="1:26">
      <c r="A37" s="226" t="s">
        <v>1214</v>
      </c>
      <c r="B37" s="425">
        <v>29.08</v>
      </c>
      <c r="C37" s="425">
        <v>24.596</v>
      </c>
      <c r="D37" s="425">
        <v>22.325749999999999</v>
      </c>
      <c r="E37" s="425">
        <v>21.306799999999999</v>
      </c>
      <c r="F37" s="425">
        <v>21.775649999999999</v>
      </c>
      <c r="G37" s="425">
        <v>22.888000000000002</v>
      </c>
      <c r="H37" s="425">
        <v>23.03265</v>
      </c>
      <c r="I37" s="425">
        <v>22.339500000000001</v>
      </c>
      <c r="J37" s="425">
        <f>AVERAGE(I48:J48)</f>
        <v>23.37435</v>
      </c>
      <c r="K37" s="426">
        <f t="shared" si="9"/>
        <v>27.132999999999999</v>
      </c>
      <c r="L37" s="425">
        <f t="shared" si="10"/>
        <v>27.170249999999999</v>
      </c>
      <c r="M37" s="425">
        <f t="shared" si="10"/>
        <v>27.2075</v>
      </c>
      <c r="N37" s="425">
        <f t="shared" si="10"/>
        <v>27.2075</v>
      </c>
      <c r="O37" s="425">
        <f t="shared" si="10"/>
        <v>27.2075</v>
      </c>
      <c r="P37" s="425">
        <f t="shared" si="10"/>
        <v>27.2075</v>
      </c>
      <c r="Q37" s="425">
        <f t="shared" si="10"/>
        <v>27.2075</v>
      </c>
      <c r="R37" s="425">
        <f t="shared" si="10"/>
        <v>27.2075</v>
      </c>
      <c r="S37" s="425">
        <f t="shared" si="10"/>
        <v>27.2075</v>
      </c>
      <c r="T37" s="425">
        <f t="shared" si="10"/>
        <v>27.2075</v>
      </c>
      <c r="U37" s="425">
        <f t="shared" si="10"/>
        <v>27.2075</v>
      </c>
      <c r="V37" s="425">
        <f t="shared" si="10"/>
        <v>27.2075</v>
      </c>
      <c r="W37" s="425" t="e">
        <f t="shared" si="10"/>
        <v>#DIV/0!</v>
      </c>
      <c r="X37" s="425">
        <f t="shared" si="10"/>
        <v>27.2075</v>
      </c>
      <c r="Y37" s="425">
        <f t="shared" si="10"/>
        <v>26.598749999999999</v>
      </c>
      <c r="Z37" s="425">
        <f t="shared" si="10"/>
        <v>25.99</v>
      </c>
    </row>
    <row r="38" spans="1:26">
      <c r="A38" s="226" t="s">
        <v>1226</v>
      </c>
      <c r="B38" s="425">
        <v>523.69000000000005</v>
      </c>
      <c r="C38" s="425">
        <v>515.74</v>
      </c>
      <c r="D38" s="425">
        <v>568.29999999999995</v>
      </c>
      <c r="E38" s="425">
        <v>559.21</v>
      </c>
      <c r="F38" s="425">
        <v>510.12</v>
      </c>
      <c r="G38" s="425">
        <v>483.68</v>
      </c>
      <c r="H38" s="425">
        <v>486.26</v>
      </c>
      <c r="I38" s="425">
        <v>495.45</v>
      </c>
      <c r="J38" s="425">
        <v>570.76</v>
      </c>
      <c r="K38" s="426">
        <v>657</v>
      </c>
      <c r="L38" s="426">
        <v>676.21</v>
      </c>
      <c r="M38" s="426">
        <v>648.79999999999995</v>
      </c>
      <c r="N38" s="426">
        <v>642.16999999999996</v>
      </c>
      <c r="O38" s="426">
        <v>703</v>
      </c>
      <c r="P38" s="426">
        <v>792</v>
      </c>
      <c r="Q38" s="426">
        <v>761</v>
      </c>
      <c r="R38" s="426">
        <v>873</v>
      </c>
      <c r="S38" s="426">
        <v>799</v>
      </c>
      <c r="T38" s="425">
        <f t="shared" si="10"/>
        <v>811</v>
      </c>
      <c r="U38" s="425">
        <f t="shared" si="10"/>
        <v>811</v>
      </c>
      <c r="V38" s="425">
        <f t="shared" si="10"/>
        <v>811</v>
      </c>
      <c r="W38" s="425" t="e">
        <f t="shared" si="10"/>
        <v>#DIV/0!</v>
      </c>
      <c r="X38" s="425" t="e">
        <f t="shared" si="10"/>
        <v>#DIV/0!</v>
      </c>
      <c r="Y38" s="425">
        <f t="shared" si="10"/>
        <v>702</v>
      </c>
      <c r="Z38" s="425">
        <f t="shared" si="10"/>
        <v>702</v>
      </c>
    </row>
    <row r="39" spans="1:26">
      <c r="B39" s="425"/>
      <c r="C39" s="425"/>
      <c r="D39" s="425"/>
      <c r="E39" s="425"/>
      <c r="F39" s="425"/>
      <c r="G39" s="425"/>
      <c r="H39" s="425"/>
      <c r="I39" s="425"/>
      <c r="J39" s="425"/>
      <c r="K39" s="425"/>
      <c r="L39" s="425"/>
      <c r="M39" s="425"/>
      <c r="N39" s="425"/>
      <c r="O39" s="931"/>
      <c r="P39" s="425"/>
      <c r="Q39" s="425"/>
      <c r="R39" s="425"/>
      <c r="S39" s="425"/>
      <c r="T39" s="425"/>
      <c r="U39" s="425"/>
      <c r="V39" s="425"/>
    </row>
    <row r="40" spans="1:26">
      <c r="A40" s="226" t="s">
        <v>1227</v>
      </c>
      <c r="B40" s="425"/>
      <c r="C40" s="425"/>
      <c r="D40" s="425"/>
      <c r="E40" s="425"/>
      <c r="F40" s="425"/>
      <c r="G40" s="425"/>
      <c r="H40" s="425"/>
      <c r="I40" s="425"/>
      <c r="J40" s="425"/>
      <c r="K40" s="428">
        <v>42251</v>
      </c>
      <c r="L40" s="423"/>
      <c r="M40" s="423"/>
      <c r="N40" s="423"/>
      <c r="O40" s="423"/>
      <c r="P40" s="423"/>
      <c r="Q40" s="423"/>
      <c r="R40" s="423"/>
      <c r="S40" s="423"/>
      <c r="T40" s="423"/>
      <c r="U40" s="423"/>
    </row>
    <row r="41" spans="1:26">
      <c r="A41" s="226" t="s">
        <v>1219</v>
      </c>
      <c r="B41" s="425">
        <v>1.9569000000000001</v>
      </c>
      <c r="C41" s="425">
        <v>1.9826999999999999</v>
      </c>
      <c r="D41" s="425">
        <v>1.4575</v>
      </c>
      <c r="E41" s="425">
        <v>1.6148</v>
      </c>
      <c r="F41" s="425">
        <v>1.5590999999999999</v>
      </c>
      <c r="G41" s="425">
        <v>1.5508999999999999</v>
      </c>
      <c r="H41" s="425">
        <v>1.52</v>
      </c>
      <c r="I41" s="425">
        <v>1.65672630881378</v>
      </c>
      <c r="J41" s="425">
        <f>1/0.6418</f>
        <v>1.558117793705204</v>
      </c>
      <c r="K41" s="426">
        <v>1.5183</v>
      </c>
      <c r="L41" s="426">
        <v>1.5697999999999999</v>
      </c>
      <c r="M41" s="426">
        <v>1.5697999999999999</v>
      </c>
      <c r="N41" s="426">
        <v>1.5697999999999999</v>
      </c>
      <c r="O41" s="426">
        <v>1.5697999999999999</v>
      </c>
      <c r="P41" s="426">
        <v>1.5697999999999999</v>
      </c>
      <c r="Q41" s="426">
        <v>1.5697999999999999</v>
      </c>
      <c r="R41" s="426">
        <v>1.5697999999999999</v>
      </c>
      <c r="S41" s="426">
        <v>1.5697999999999999</v>
      </c>
      <c r="T41" s="426">
        <v>1.5697999999999999</v>
      </c>
      <c r="U41" s="426">
        <v>1.5697999999999999</v>
      </c>
      <c r="X41" s="426">
        <v>1.5697999999999999</v>
      </c>
      <c r="Y41" s="226">
        <v>1.5748</v>
      </c>
    </row>
    <row r="42" spans="1:26">
      <c r="A42" s="226" t="s">
        <v>1220</v>
      </c>
      <c r="B42" s="425">
        <v>1.3189</v>
      </c>
      <c r="C42" s="425">
        <v>1.4582999999999999</v>
      </c>
      <c r="D42" s="425">
        <v>1.3953</v>
      </c>
      <c r="E42" s="425">
        <v>0.69040000000000012</v>
      </c>
      <c r="F42" s="425">
        <v>0.74819999999999998</v>
      </c>
      <c r="G42" s="425">
        <v>0.77159999999999995</v>
      </c>
      <c r="H42" s="425">
        <v>0.75770000000000004</v>
      </c>
      <c r="I42" s="425">
        <v>0.72519999999999996</v>
      </c>
      <c r="J42" s="425">
        <v>0.82640000000000002</v>
      </c>
      <c r="K42" s="426">
        <v>0.9</v>
      </c>
      <c r="L42" s="426">
        <v>0.90285301552907193</v>
      </c>
      <c r="M42" s="426">
        <v>0.90285301552907193</v>
      </c>
      <c r="N42" s="426">
        <v>0.90285301552907193</v>
      </c>
      <c r="O42" s="426">
        <v>0.88349999999999995</v>
      </c>
      <c r="P42" s="426">
        <v>0.87827156156683639</v>
      </c>
      <c r="Q42" s="426">
        <v>0.87827156156683639</v>
      </c>
      <c r="R42" s="426">
        <v>0.87827156156683639</v>
      </c>
      <c r="S42" s="426">
        <v>0.87827156156683639</v>
      </c>
      <c r="T42" s="426">
        <v>0.87827156156683639</v>
      </c>
      <c r="U42" s="426">
        <v>0.87827156156683639</v>
      </c>
      <c r="X42" s="426">
        <v>0.90285301552907193</v>
      </c>
      <c r="Y42" s="226">
        <f>1/1.1595</f>
        <v>0.86244070720137989</v>
      </c>
    </row>
    <row r="43" spans="1:26">
      <c r="A43" s="226" t="s">
        <v>1221</v>
      </c>
      <c r="B43" s="425">
        <v>1.22</v>
      </c>
      <c r="C43" s="425">
        <v>1.1359999999999999</v>
      </c>
      <c r="D43" s="425">
        <v>1.0688</v>
      </c>
      <c r="E43" s="425">
        <v>1.2375000000000003</v>
      </c>
      <c r="F43" s="425">
        <v>0.93389999999999995</v>
      </c>
      <c r="G43" s="425">
        <v>0.93879999999999997</v>
      </c>
      <c r="H43" s="425">
        <v>0.91459999999999997</v>
      </c>
      <c r="I43" s="425">
        <v>0.88859999999999995</v>
      </c>
      <c r="J43" s="425">
        <v>0.99390000000000001</v>
      </c>
      <c r="K43" s="426">
        <v>0.97699999999999998</v>
      </c>
      <c r="L43" s="426">
        <v>0.93859999999999999</v>
      </c>
      <c r="M43" s="426">
        <v>0.93859999999999999</v>
      </c>
      <c r="N43" s="426">
        <v>0.93859999999999999</v>
      </c>
      <c r="O43" s="426">
        <v>0.93859999999999999</v>
      </c>
      <c r="P43" s="426">
        <v>0.93859999999999999</v>
      </c>
      <c r="Q43" s="426">
        <v>0.93859999999999999</v>
      </c>
      <c r="R43" s="426">
        <v>0.93859999999999999</v>
      </c>
      <c r="S43" s="426">
        <v>0.93859999999999999</v>
      </c>
      <c r="T43" s="426">
        <v>0.93859999999999999</v>
      </c>
      <c r="U43" s="426">
        <v>0.93859999999999999</v>
      </c>
      <c r="X43" s="426">
        <v>0.93859999999999999</v>
      </c>
      <c r="Y43" s="226">
        <v>0.93300000000000005</v>
      </c>
    </row>
    <row r="44" spans="1:26">
      <c r="A44" s="226" t="s">
        <v>1222</v>
      </c>
      <c r="B44" s="425">
        <v>190.66</v>
      </c>
      <c r="C44" s="425">
        <v>173.31</v>
      </c>
      <c r="D44" s="425">
        <v>190.26</v>
      </c>
      <c r="E44" s="425">
        <v>196.29999999999998</v>
      </c>
      <c r="F44" s="425">
        <v>208.02</v>
      </c>
      <c r="G44" s="425">
        <v>242.76</v>
      </c>
      <c r="H44" s="425">
        <v>220.83</v>
      </c>
      <c r="I44" s="425">
        <v>215.62</v>
      </c>
      <c r="J44" s="425">
        <v>261.44</v>
      </c>
      <c r="K44" s="426">
        <v>282</v>
      </c>
      <c r="L44" s="426">
        <v>283.55</v>
      </c>
      <c r="M44" s="426">
        <v>283.55</v>
      </c>
      <c r="N44" s="426">
        <v>283.55</v>
      </c>
      <c r="O44" s="426">
        <v>283.55</v>
      </c>
      <c r="P44" s="426">
        <v>283.55</v>
      </c>
      <c r="Q44" s="426">
        <v>283.55</v>
      </c>
      <c r="R44" s="426">
        <v>283.55</v>
      </c>
      <c r="S44" s="426">
        <v>283.55</v>
      </c>
      <c r="T44" s="426">
        <v>283.55</v>
      </c>
      <c r="U44" s="426">
        <v>283.55</v>
      </c>
      <c r="X44" s="426">
        <v>283.55</v>
      </c>
      <c r="Y44" s="226">
        <v>270</v>
      </c>
    </row>
    <row r="45" spans="1:26">
      <c r="A45" s="226" t="s">
        <v>1223</v>
      </c>
      <c r="B45" s="425">
        <v>2.9085999999999999</v>
      </c>
      <c r="C45" s="425">
        <v>2.4702000000000002</v>
      </c>
      <c r="D45" s="425">
        <v>2.968</v>
      </c>
      <c r="E45" s="425">
        <v>3.2801000000000005</v>
      </c>
      <c r="F45" s="425">
        <v>2.9590999999999998</v>
      </c>
      <c r="G45" s="425">
        <v>3.4430999999999998</v>
      </c>
      <c r="H45" s="425">
        <v>3.0939000000000001</v>
      </c>
      <c r="I45" s="425">
        <v>3.0135000000000001</v>
      </c>
      <c r="J45" s="425">
        <v>3.5396999999999998</v>
      </c>
      <c r="K45" s="426">
        <v>3.8</v>
      </c>
      <c r="L45" s="426">
        <v>3.7837000000000001</v>
      </c>
      <c r="M45" s="426">
        <v>3.7837000000000001</v>
      </c>
      <c r="N45" s="426">
        <v>3.7837000000000001</v>
      </c>
      <c r="O45" s="426">
        <v>3.7837000000000001</v>
      </c>
      <c r="P45" s="426">
        <v>3.7837000000000001</v>
      </c>
      <c r="Q45" s="426">
        <v>3.7837000000000001</v>
      </c>
      <c r="R45" s="426">
        <v>3.7837000000000001</v>
      </c>
      <c r="S45" s="426">
        <v>3.7837000000000001</v>
      </c>
      <c r="T45" s="426">
        <v>3.7837000000000001</v>
      </c>
      <c r="U45" s="426">
        <v>3.7837000000000001</v>
      </c>
      <c r="X45" s="426">
        <v>3.7837000000000001</v>
      </c>
      <c r="Y45" s="226">
        <v>3.65</v>
      </c>
    </row>
    <row r="46" spans="1:26">
      <c r="A46" s="226" t="s">
        <v>1224</v>
      </c>
      <c r="B46" s="425">
        <v>20.867999999999999</v>
      </c>
      <c r="C46" s="425">
        <v>18.183</v>
      </c>
      <c r="D46" s="425">
        <v>19.202999999999999</v>
      </c>
      <c r="E46" s="425">
        <v>19.379000000000001</v>
      </c>
      <c r="F46" s="425">
        <v>18.739000000000001</v>
      </c>
      <c r="G46" s="425">
        <v>19.652999999999999</v>
      </c>
      <c r="H46" s="425">
        <v>19.009</v>
      </c>
      <c r="I46" s="425">
        <v>19.827999999999999</v>
      </c>
      <c r="J46" s="425">
        <v>22.914100000000001</v>
      </c>
      <c r="K46" s="426">
        <v>24.3</v>
      </c>
      <c r="L46" s="426">
        <v>24.595600000000001</v>
      </c>
      <c r="M46" s="426">
        <v>24.595600000000001</v>
      </c>
      <c r="N46" s="426">
        <v>24.595600000000001</v>
      </c>
      <c r="O46" s="426">
        <v>24.595600000000001</v>
      </c>
      <c r="P46" s="426">
        <v>24.595600000000001</v>
      </c>
      <c r="Q46" s="426">
        <v>24.595600000000001</v>
      </c>
      <c r="R46" s="426">
        <v>24.595600000000001</v>
      </c>
      <c r="S46" s="426">
        <v>24.595600000000001</v>
      </c>
      <c r="T46" s="426">
        <v>24.595600000000001</v>
      </c>
      <c r="U46" s="426">
        <v>24.595600000000001</v>
      </c>
      <c r="X46" s="426">
        <v>24.595600000000001</v>
      </c>
      <c r="Y46" s="226">
        <v>23.35</v>
      </c>
    </row>
    <row r="47" spans="1:26">
      <c r="A47" s="226" t="s">
        <v>1225</v>
      </c>
      <c r="B47" s="425">
        <v>2.5636000000000001</v>
      </c>
      <c r="C47" s="425">
        <v>2.4521999999999999</v>
      </c>
      <c r="D47" s="425">
        <v>2.8885999999999998</v>
      </c>
      <c r="E47" s="425">
        <v>2.8944999999999999</v>
      </c>
      <c r="F47" s="425">
        <v>3.2031000000000001</v>
      </c>
      <c r="G47" s="425">
        <v>3.3367</v>
      </c>
      <c r="H47" s="425">
        <v>3.3675000000000002</v>
      </c>
      <c r="I47" s="425">
        <v>3.2433999999999998</v>
      </c>
      <c r="J47" s="425">
        <v>3.85</v>
      </c>
      <c r="K47" s="426">
        <v>3.9889999999999999</v>
      </c>
      <c r="L47" s="426">
        <v>4.0663999999999998</v>
      </c>
      <c r="M47" s="426">
        <v>4.0663999999999998</v>
      </c>
      <c r="N47" s="426">
        <v>4.0663999999999998</v>
      </c>
      <c r="O47" s="426">
        <v>4.0663999999999998</v>
      </c>
      <c r="P47" s="426">
        <v>4.0663999999999998</v>
      </c>
      <c r="Q47" s="426">
        <v>4.0663999999999998</v>
      </c>
      <c r="R47" s="426">
        <v>4.0663999999999998</v>
      </c>
      <c r="S47" s="426">
        <v>4.0663999999999998</v>
      </c>
      <c r="T47" s="426">
        <v>4.0663999999999998</v>
      </c>
      <c r="U47" s="426">
        <v>4.0663999999999998</v>
      </c>
      <c r="X47" s="426">
        <v>4.0663999999999998</v>
      </c>
      <c r="Y47" s="226">
        <v>3.8361000000000001</v>
      </c>
    </row>
    <row r="48" spans="1:26">
      <c r="A48" s="226" t="s">
        <v>1214</v>
      </c>
      <c r="B48" s="425">
        <v>26.140999999999998</v>
      </c>
      <c r="C48" s="425">
        <v>23.050999999999998</v>
      </c>
      <c r="D48" s="425">
        <v>21.6</v>
      </c>
      <c r="E48" s="425">
        <v>21.0137</v>
      </c>
      <c r="F48" s="425">
        <v>22.537600000000001</v>
      </c>
      <c r="G48" s="425">
        <v>23.238399999999999</v>
      </c>
      <c r="H48" s="425">
        <v>22.826899999999998</v>
      </c>
      <c r="I48" s="425">
        <v>21.851800000000001</v>
      </c>
      <c r="J48" s="425">
        <v>24.896899999999999</v>
      </c>
      <c r="K48" s="426">
        <v>27.132999999999999</v>
      </c>
      <c r="L48" s="426">
        <v>27.2075</v>
      </c>
      <c r="M48" s="426">
        <v>27.2075</v>
      </c>
      <c r="N48" s="426">
        <v>27.2075</v>
      </c>
      <c r="O48" s="426">
        <v>27.2075</v>
      </c>
      <c r="P48" s="426">
        <v>27.2075</v>
      </c>
      <c r="Q48" s="426">
        <v>27.2075</v>
      </c>
      <c r="R48" s="426">
        <v>27.2075</v>
      </c>
      <c r="S48" s="426">
        <v>27.2075</v>
      </c>
      <c r="T48" s="426">
        <v>27.2075</v>
      </c>
      <c r="U48" s="426">
        <v>27.2075</v>
      </c>
      <c r="X48" s="426">
        <v>27.2075</v>
      </c>
      <c r="Y48" s="226">
        <v>25.99</v>
      </c>
    </row>
    <row r="49" spans="1:26">
      <c r="A49" s="226" t="s">
        <v>1226</v>
      </c>
      <c r="B49" s="425">
        <v>533.38</v>
      </c>
      <c r="C49" s="425">
        <v>498.1</v>
      </c>
      <c r="D49" s="425">
        <v>638.5</v>
      </c>
      <c r="E49" s="425">
        <v>507.45</v>
      </c>
      <c r="F49" s="425">
        <v>468</v>
      </c>
      <c r="G49" s="425">
        <v>519.5</v>
      </c>
      <c r="H49" s="425">
        <v>478.79</v>
      </c>
      <c r="I49" s="425">
        <v>525.45000000000005</v>
      </c>
      <c r="J49" s="425">
        <v>606.9</v>
      </c>
      <c r="K49" s="427">
        <v>709</v>
      </c>
      <c r="L49" s="427">
        <v>653</v>
      </c>
      <c r="M49" s="427">
        <v>663</v>
      </c>
      <c r="N49" s="427">
        <v>683</v>
      </c>
      <c r="O49" s="427">
        <v>680</v>
      </c>
      <c r="P49" s="426">
        <f>P38</f>
        <v>792</v>
      </c>
      <c r="Q49" s="426">
        <f>Q38</f>
        <v>761</v>
      </c>
      <c r="R49" s="426">
        <f>R38</f>
        <v>873</v>
      </c>
      <c r="S49" s="426">
        <v>811</v>
      </c>
      <c r="T49" s="426">
        <f>S49</f>
        <v>811</v>
      </c>
      <c r="U49" s="426">
        <f>T49</f>
        <v>811</v>
      </c>
      <c r="Y49" s="226">
        <v>702</v>
      </c>
    </row>
    <row r="51" spans="1:26" s="424" customFormat="1">
      <c r="A51" s="424" t="s">
        <v>1228</v>
      </c>
      <c r="B51" s="424">
        <v>2006</v>
      </c>
      <c r="C51" s="424">
        <v>2007</v>
      </c>
      <c r="D51" s="424">
        <v>2008</v>
      </c>
      <c r="E51" s="424">
        <v>2009</v>
      </c>
      <c r="F51" s="424">
        <v>2010</v>
      </c>
      <c r="G51" s="424">
        <v>2011</v>
      </c>
      <c r="H51" s="424">
        <v>2012</v>
      </c>
      <c r="I51" s="424">
        <v>2013</v>
      </c>
      <c r="J51" s="424">
        <v>2014</v>
      </c>
      <c r="K51" s="424">
        <v>2015</v>
      </c>
      <c r="L51" s="424">
        <v>2016</v>
      </c>
      <c r="M51" s="424">
        <v>2017</v>
      </c>
      <c r="N51" s="424">
        <v>2018</v>
      </c>
      <c r="O51" s="424">
        <v>2019</v>
      </c>
      <c r="P51" s="424">
        <v>2020</v>
      </c>
      <c r="Q51" s="424">
        <v>2021</v>
      </c>
      <c r="R51" s="424">
        <v>2022</v>
      </c>
      <c r="S51" s="424">
        <v>2023</v>
      </c>
      <c r="T51" s="424">
        <v>2024</v>
      </c>
      <c r="U51" s="424">
        <f>U28</f>
        <v>2025</v>
      </c>
      <c r="V51" s="424">
        <f t="shared" ref="V51:Z51" si="11">V28</f>
        <v>2026</v>
      </c>
      <c r="W51" s="424">
        <f t="shared" si="11"/>
        <v>2027</v>
      </c>
      <c r="X51" s="424">
        <f t="shared" si="11"/>
        <v>2028</v>
      </c>
      <c r="Y51" s="424">
        <f t="shared" si="11"/>
        <v>2029</v>
      </c>
      <c r="Z51" s="424">
        <f t="shared" si="11"/>
        <v>2030</v>
      </c>
    </row>
    <row r="52" spans="1:26">
      <c r="A52" s="226" t="s">
        <v>1218</v>
      </c>
    </row>
    <row r="53" spans="1:26">
      <c r="A53" s="226" t="s">
        <v>1219</v>
      </c>
      <c r="B53" s="423">
        <f>+B30*B$31</f>
        <v>1.4689473263528094</v>
      </c>
      <c r="C53" s="423">
        <f t="shared" ref="C53:U53" si="12">+C30*C$31</f>
        <v>1.4185510586201928</v>
      </c>
      <c r="D53" s="423">
        <f t="shared" si="12"/>
        <v>1.2055649004765909</v>
      </c>
      <c r="E53" s="423">
        <f t="shared" si="12"/>
        <v>1.1049526949999999</v>
      </c>
      <c r="F53" s="423">
        <f t="shared" si="12"/>
        <v>1.197988555</v>
      </c>
      <c r="G53" s="423">
        <f t="shared" si="12"/>
        <v>1.118045</v>
      </c>
      <c r="H53" s="423">
        <f t="shared" si="12"/>
        <v>1.1824080000000001</v>
      </c>
      <c r="I53" s="423">
        <f t="shared" si="12"/>
        <v>1.1772983114446529</v>
      </c>
      <c r="J53" s="423">
        <f t="shared" si="12"/>
        <v>1.24168039538715</v>
      </c>
      <c r="K53" s="423">
        <f>+K30*K$31</f>
        <v>1.3664700000000001</v>
      </c>
      <c r="L53" s="423">
        <f t="shared" si="12"/>
        <v>1.2169257854821238</v>
      </c>
      <c r="M53" s="423">
        <f t="shared" si="12"/>
        <v>1.1352</v>
      </c>
      <c r="N53" s="423">
        <f t="shared" si="12"/>
        <v>1.1346156727982433</v>
      </c>
      <c r="O53" s="423">
        <f t="shared" si="12"/>
        <v>1.16622</v>
      </c>
      <c r="P53" s="423">
        <f t="shared" si="12"/>
        <v>1.16622</v>
      </c>
      <c r="Q53" s="423">
        <f t="shared" si="12"/>
        <v>1.16622</v>
      </c>
      <c r="R53" s="423">
        <f t="shared" si="12"/>
        <v>1.16622</v>
      </c>
      <c r="S53" s="423">
        <f t="shared" si="12"/>
        <v>1.16622</v>
      </c>
      <c r="T53" s="423">
        <f t="shared" si="12"/>
        <v>1.16622</v>
      </c>
      <c r="U53" s="423">
        <f t="shared" si="12"/>
        <v>1.16622</v>
      </c>
      <c r="V53" s="423">
        <f t="shared" ref="V53:Z53" si="13">+V30*V$31</f>
        <v>1.16622</v>
      </c>
      <c r="W53" s="423">
        <f t="shared" si="13"/>
        <v>1.16622</v>
      </c>
      <c r="X53" s="423">
        <f t="shared" si="13"/>
        <v>1.16622</v>
      </c>
      <c r="Y53" s="423">
        <f t="shared" si="13"/>
        <v>1.16622</v>
      </c>
      <c r="Z53" s="423">
        <f t="shared" si="13"/>
        <v>1.16622</v>
      </c>
    </row>
    <row r="54" spans="1:26">
      <c r="A54" s="226" t="s">
        <v>1220</v>
      </c>
      <c r="B54" s="423">
        <f>+B31/B$31</f>
        <v>1</v>
      </c>
      <c r="C54" s="423">
        <f t="shared" ref="C54:U54" si="14">+C31/C$31</f>
        <v>1</v>
      </c>
      <c r="D54" s="423">
        <f t="shared" si="14"/>
        <v>1</v>
      </c>
      <c r="E54" s="423">
        <f t="shared" si="14"/>
        <v>1</v>
      </c>
      <c r="F54" s="423">
        <f t="shared" si="14"/>
        <v>1</v>
      </c>
      <c r="G54" s="423">
        <f t="shared" si="14"/>
        <v>1</v>
      </c>
      <c r="H54" s="423">
        <f t="shared" si="14"/>
        <v>1</v>
      </c>
      <c r="I54" s="423">
        <f t="shared" si="14"/>
        <v>1</v>
      </c>
      <c r="J54" s="423">
        <f t="shared" si="14"/>
        <v>1</v>
      </c>
      <c r="K54" s="423">
        <f t="shared" si="14"/>
        <v>1</v>
      </c>
      <c r="L54" s="423">
        <f t="shared" si="14"/>
        <v>1</v>
      </c>
      <c r="M54" s="423">
        <f t="shared" si="14"/>
        <v>1</v>
      </c>
      <c r="N54" s="423">
        <f t="shared" si="14"/>
        <v>1</v>
      </c>
      <c r="O54" s="423">
        <f t="shared" si="14"/>
        <v>1</v>
      </c>
      <c r="P54" s="423">
        <f t="shared" si="14"/>
        <v>1</v>
      </c>
      <c r="Q54" s="423">
        <f t="shared" si="14"/>
        <v>1</v>
      </c>
      <c r="R54" s="423">
        <f t="shared" si="14"/>
        <v>1</v>
      </c>
      <c r="S54" s="423">
        <f t="shared" si="14"/>
        <v>1</v>
      </c>
      <c r="T54" s="423">
        <f t="shared" si="14"/>
        <v>1</v>
      </c>
      <c r="U54" s="423">
        <f t="shared" si="14"/>
        <v>1</v>
      </c>
      <c r="V54" s="423">
        <f t="shared" ref="V54:Z54" si="15">+V31/V$31</f>
        <v>1</v>
      </c>
      <c r="W54" s="423">
        <f t="shared" si="15"/>
        <v>1</v>
      </c>
      <c r="X54" s="423">
        <f t="shared" si="15"/>
        <v>1</v>
      </c>
      <c r="Y54" s="423">
        <f t="shared" si="15"/>
        <v>1</v>
      </c>
      <c r="Z54" s="423">
        <f t="shared" si="15"/>
        <v>1</v>
      </c>
    </row>
    <row r="55" spans="1:26">
      <c r="A55" s="226" t="s">
        <v>1221</v>
      </c>
      <c r="B55" s="423">
        <f t="shared" ref="B55:U61" si="16">+B32/B$31</f>
        <v>1.5858943600000002</v>
      </c>
      <c r="C55" s="423">
        <f t="shared" si="16"/>
        <v>1.6357708</v>
      </c>
      <c r="D55" s="423">
        <f t="shared" si="16"/>
        <v>1.5729043200000001</v>
      </c>
      <c r="E55" s="423">
        <f t="shared" si="16"/>
        <v>1.5093841234533574</v>
      </c>
      <c r="F55" s="423">
        <f t="shared" si="16"/>
        <v>1.3812425486819446</v>
      </c>
      <c r="G55" s="423">
        <f t="shared" si="16"/>
        <v>1.2343532684283727</v>
      </c>
      <c r="H55" s="423">
        <f t="shared" si="16"/>
        <v>1.2052963105797661</v>
      </c>
      <c r="I55" s="423">
        <f t="shared" si="16"/>
        <v>1.2308100929614874</v>
      </c>
      <c r="J55" s="423">
        <f>+J32/J$31</f>
        <v>1.2142762372296669</v>
      </c>
      <c r="K55" s="423">
        <f t="shared" si="16"/>
        <v>1.0855555555555556</v>
      </c>
      <c r="L55" s="423">
        <f t="shared" si="16"/>
        <v>1.0625380901824881</v>
      </c>
      <c r="M55" s="423">
        <f t="shared" si="16"/>
        <v>1.0665909090909091</v>
      </c>
      <c r="N55" s="423">
        <f t="shared" si="16"/>
        <v>1.1085022269242424</v>
      </c>
      <c r="O55" s="423">
        <f t="shared" si="16"/>
        <v>1.0623655913978496</v>
      </c>
      <c r="P55" s="423">
        <f t="shared" si="16"/>
        <v>1.0623655913978496</v>
      </c>
      <c r="Q55" s="423">
        <f t="shared" si="16"/>
        <v>1.0623655913978496</v>
      </c>
      <c r="R55" s="423">
        <f t="shared" si="16"/>
        <v>1.0623655913978496</v>
      </c>
      <c r="S55" s="423">
        <f t="shared" si="16"/>
        <v>1.0623655913978496</v>
      </c>
      <c r="T55" s="423">
        <f t="shared" si="16"/>
        <v>1.0623655913978496</v>
      </c>
      <c r="U55" s="423">
        <f t="shared" si="16"/>
        <v>1.0623655913978496</v>
      </c>
      <c r="V55" s="423">
        <f t="shared" ref="V55:Z55" si="17">+V32/V$31</f>
        <v>1.0623655913978496</v>
      </c>
      <c r="W55" s="423" t="e">
        <f t="shared" si="17"/>
        <v>#DIV/0!</v>
      </c>
      <c r="X55" s="423">
        <f t="shared" si="17"/>
        <v>1.0623655913978496</v>
      </c>
      <c r="Y55" s="423">
        <f t="shared" si="17"/>
        <v>1.0591963780418789</v>
      </c>
      <c r="Z55" s="423">
        <f t="shared" si="17"/>
        <v>1.0560271646859085</v>
      </c>
    </row>
    <row r="56" spans="1:26">
      <c r="A56" s="226" t="s">
        <v>1222</v>
      </c>
      <c r="B56" s="423">
        <f t="shared" si="16"/>
        <v>252.90986500000002</v>
      </c>
      <c r="C56" s="423">
        <f t="shared" si="16"/>
        <v>252.70437100000004</v>
      </c>
      <c r="D56" s="423">
        <f t="shared" si="16"/>
        <v>259.37083799999999</v>
      </c>
      <c r="E56" s="423">
        <f t="shared" si="16"/>
        <v>281.05102182677598</v>
      </c>
      <c r="F56" s="423">
        <f t="shared" si="16"/>
        <v>275.55967677838123</v>
      </c>
      <c r="G56" s="423">
        <f t="shared" si="16"/>
        <v>279.73574408901254</v>
      </c>
      <c r="H56" s="423">
        <f t="shared" si="16"/>
        <v>289.26597249003726</v>
      </c>
      <c r="I56" s="423">
        <f t="shared" si="16"/>
        <v>296.91899070385125</v>
      </c>
      <c r="J56" s="423">
        <f t="shared" si="16"/>
        <v>308.78333554464638</v>
      </c>
      <c r="K56" s="423">
        <f t="shared" si="16"/>
        <v>313.33333333333331</v>
      </c>
      <c r="L56" s="423">
        <f t="shared" si="16"/>
        <v>313.69723162596898</v>
      </c>
      <c r="M56" s="423">
        <f t="shared" si="16"/>
        <v>322.21590909090912</v>
      </c>
      <c r="N56" s="423">
        <f t="shared" si="16"/>
        <v>334.87727087616548</v>
      </c>
      <c r="O56" s="423">
        <f t="shared" si="16"/>
        <v>320.93944538766272</v>
      </c>
      <c r="P56" s="423">
        <f t="shared" si="16"/>
        <v>320.93944538766272</v>
      </c>
      <c r="Q56" s="423">
        <f t="shared" si="16"/>
        <v>320.93944538766272</v>
      </c>
      <c r="R56" s="423">
        <f t="shared" si="16"/>
        <v>320.93944538766272</v>
      </c>
      <c r="S56" s="423">
        <f t="shared" si="16"/>
        <v>320.93944538766272</v>
      </c>
      <c r="T56" s="423">
        <f t="shared" si="16"/>
        <v>320.93944538766272</v>
      </c>
      <c r="U56" s="423">
        <f t="shared" si="16"/>
        <v>320.93944538766272</v>
      </c>
      <c r="V56" s="423">
        <f t="shared" ref="V56:Z56" si="18">+V33/V$31</f>
        <v>320.93944538766272</v>
      </c>
      <c r="W56" s="423" t="e">
        <f t="shared" si="18"/>
        <v>#DIV/0!</v>
      </c>
      <c r="X56" s="423">
        <f t="shared" si="18"/>
        <v>320.93944538766272</v>
      </c>
      <c r="Y56" s="423">
        <f t="shared" si="18"/>
        <v>313.27108092812676</v>
      </c>
      <c r="Z56" s="423">
        <f t="shared" si="18"/>
        <v>305.60271646859087</v>
      </c>
    </row>
    <row r="57" spans="1:26">
      <c r="A57" s="226" t="s">
        <v>1223</v>
      </c>
      <c r="B57" s="423">
        <f t="shared" si="16"/>
        <v>3.8521994550000005</v>
      </c>
      <c r="C57" s="423">
        <f t="shared" si="16"/>
        <v>3.7345008400000004</v>
      </c>
      <c r="D57" s="423">
        <f t="shared" si="16"/>
        <v>3.8796118800000001</v>
      </c>
      <c r="E57" s="423">
        <f t="shared" si="16"/>
        <v>4.3369943000139024</v>
      </c>
      <c r="F57" s="423">
        <f t="shared" si="16"/>
        <v>3.9960259637038016</v>
      </c>
      <c r="G57" s="423">
        <f t="shared" si="16"/>
        <v>4.1232267037552157</v>
      </c>
      <c r="H57" s="423">
        <f t="shared" si="16"/>
        <v>4.182928396966191</v>
      </c>
      <c r="I57" s="423">
        <f t="shared" si="16"/>
        <v>4.1966799468791498</v>
      </c>
      <c r="J57" s="423">
        <f t="shared" si="16"/>
        <v>4.1864136924505768</v>
      </c>
      <c r="K57" s="423">
        <f t="shared" si="16"/>
        <v>4.2222222222222223</v>
      </c>
      <c r="L57" s="423">
        <f t="shared" si="16"/>
        <v>4.2064993289397243</v>
      </c>
      <c r="M57" s="423">
        <f t="shared" si="16"/>
        <v>4.299659090909091</v>
      </c>
      <c r="N57" s="423">
        <f t="shared" si="16"/>
        <v>4.4686126955180647</v>
      </c>
      <c r="O57" s="423">
        <f t="shared" si="16"/>
        <v>4.2826259196378045</v>
      </c>
      <c r="P57" s="423">
        <f t="shared" si="16"/>
        <v>4.2826259196378045</v>
      </c>
      <c r="Q57" s="423">
        <f t="shared" si="16"/>
        <v>4.2826259196378045</v>
      </c>
      <c r="R57" s="423">
        <f t="shared" si="16"/>
        <v>4.2826259196378045</v>
      </c>
      <c r="S57" s="423">
        <f t="shared" si="16"/>
        <v>4.2826259196378045</v>
      </c>
      <c r="T57" s="423">
        <f t="shared" si="16"/>
        <v>4.2826259196378045</v>
      </c>
      <c r="U57" s="423">
        <f t="shared" si="16"/>
        <v>4.2826259196378045</v>
      </c>
      <c r="V57" s="423">
        <f t="shared" ref="V57:Z57" si="19">+V34/V$31</f>
        <v>4.2826259196378045</v>
      </c>
      <c r="W57" s="423" t="e">
        <f t="shared" si="19"/>
        <v>#DIV/0!</v>
      </c>
      <c r="X57" s="423">
        <f t="shared" si="19"/>
        <v>4.2826259196378045</v>
      </c>
      <c r="Y57" s="423">
        <f t="shared" si="19"/>
        <v>4.2069609507640067</v>
      </c>
      <c r="Z57" s="423">
        <f t="shared" si="19"/>
        <v>4.1312959818902097</v>
      </c>
    </row>
    <row r="58" spans="1:26">
      <c r="A58" s="226" t="s">
        <v>1224</v>
      </c>
      <c r="B58" s="423">
        <f t="shared" si="16"/>
        <v>28.438754100000004</v>
      </c>
      <c r="C58" s="423">
        <f t="shared" si="16"/>
        <v>27.113109300000001</v>
      </c>
      <c r="D58" s="423">
        <f t="shared" si="16"/>
        <v>26.671172400000003</v>
      </c>
      <c r="E58" s="423">
        <f t="shared" si="16"/>
        <v>26.496593910746558</v>
      </c>
      <c r="F58" s="423">
        <f t="shared" si="16"/>
        <v>25.296065704066763</v>
      </c>
      <c r="G58" s="423">
        <f t="shared" si="16"/>
        <v>24.603616133518777</v>
      </c>
      <c r="H58" s="423">
        <f t="shared" si="16"/>
        <v>25.13819256973904</v>
      </c>
      <c r="I58" s="423">
        <f t="shared" si="16"/>
        <v>25.974767596281541</v>
      </c>
      <c r="J58" s="423">
        <f t="shared" si="16"/>
        <v>27.541462120206976</v>
      </c>
      <c r="K58" s="423">
        <f t="shared" si="16"/>
        <v>27</v>
      </c>
      <c r="L58" s="423">
        <f t="shared" si="16"/>
        <v>27.121234831033028</v>
      </c>
      <c r="M58" s="423">
        <f t="shared" si="16"/>
        <v>27.949545454545454</v>
      </c>
      <c r="N58" s="423">
        <f t="shared" si="16"/>
        <v>29.047813096673657</v>
      </c>
      <c r="O58" s="423">
        <f t="shared" si="16"/>
        <v>27.838822863610641</v>
      </c>
      <c r="P58" s="423">
        <f t="shared" si="16"/>
        <v>27.838822863610641</v>
      </c>
      <c r="Q58" s="423">
        <f t="shared" si="16"/>
        <v>27.838822863610641</v>
      </c>
      <c r="R58" s="423">
        <f t="shared" si="16"/>
        <v>27.838822863610641</v>
      </c>
      <c r="S58" s="423">
        <f t="shared" si="16"/>
        <v>27.838822863610641</v>
      </c>
      <c r="T58" s="423">
        <f t="shared" si="16"/>
        <v>27.838822863610641</v>
      </c>
      <c r="U58" s="423">
        <f t="shared" si="16"/>
        <v>27.838822863610641</v>
      </c>
      <c r="V58" s="423">
        <f t="shared" ref="V58:Z58" si="20">+V35/V$31</f>
        <v>27.838822863610641</v>
      </c>
      <c r="W58" s="423" t="e">
        <f t="shared" si="20"/>
        <v>#DIV/0!</v>
      </c>
      <c r="X58" s="423">
        <f t="shared" si="20"/>
        <v>27.838822863610641</v>
      </c>
      <c r="Y58" s="423">
        <f t="shared" si="20"/>
        <v>27.133899264289756</v>
      </c>
      <c r="Z58" s="423">
        <f t="shared" si="20"/>
        <v>26.428975664968878</v>
      </c>
    </row>
    <row r="59" spans="1:26">
      <c r="A59" s="226" t="s">
        <v>1225</v>
      </c>
      <c r="B59" s="423">
        <f t="shared" si="16"/>
        <v>3.5509971299999998</v>
      </c>
      <c r="C59" s="423">
        <f t="shared" si="16"/>
        <v>3.4824699400000001</v>
      </c>
      <c r="D59" s="423">
        <f t="shared" si="16"/>
        <v>3.8102694000000001</v>
      </c>
      <c r="E59" s="423">
        <f t="shared" si="16"/>
        <v>4.2385652717920195</v>
      </c>
      <c r="F59" s="423">
        <f t="shared" si="16"/>
        <v>4.2127434097231422</v>
      </c>
      <c r="G59" s="423">
        <f t="shared" si="16"/>
        <v>4.2415855354659255</v>
      </c>
      <c r="H59" s="423">
        <f t="shared" si="16"/>
        <v>4.4584136778506229</v>
      </c>
      <c r="I59" s="423">
        <f t="shared" si="16"/>
        <v>4.4187250996015939</v>
      </c>
      <c r="J59" s="423">
        <f t="shared" si="16"/>
        <v>4.4439432134801642</v>
      </c>
      <c r="K59" s="423">
        <f>+K36/K$31</f>
        <v>4.4322222222222223</v>
      </c>
      <c r="L59" s="423">
        <f t="shared" si="16"/>
        <v>4.4681401814867483</v>
      </c>
      <c r="M59" s="423">
        <f t="shared" si="16"/>
        <v>4.6209090909090911</v>
      </c>
      <c r="N59" s="423">
        <f t="shared" si="16"/>
        <v>4.8024861022424234</v>
      </c>
      <c r="O59" s="423">
        <f t="shared" si="16"/>
        <v>4.6026032823995475</v>
      </c>
      <c r="P59" s="423">
        <f t="shared" si="16"/>
        <v>4.6026032823995475</v>
      </c>
      <c r="Q59" s="423">
        <f t="shared" si="16"/>
        <v>4.6026032823995475</v>
      </c>
      <c r="R59" s="423">
        <f t="shared" si="16"/>
        <v>4.6026032823995475</v>
      </c>
      <c r="S59" s="423">
        <f t="shared" si="16"/>
        <v>4.6026032823995475</v>
      </c>
      <c r="T59" s="423">
        <f t="shared" si="16"/>
        <v>4.6026032823995475</v>
      </c>
      <c r="U59" s="423">
        <f t="shared" si="16"/>
        <v>4.6026032823995475</v>
      </c>
      <c r="V59" s="423">
        <f t="shared" ref="V59:Z59" si="21">+V36/V$31</f>
        <v>4.6026032823995475</v>
      </c>
      <c r="W59" s="423" t="e">
        <f t="shared" si="21"/>
        <v>#DIV/0!</v>
      </c>
      <c r="X59" s="423">
        <f t="shared" si="21"/>
        <v>4.6026032823995475</v>
      </c>
      <c r="Y59" s="423">
        <f t="shared" si="21"/>
        <v>4.4722693831352576</v>
      </c>
      <c r="Z59" s="423">
        <f t="shared" si="21"/>
        <v>4.3419354838709676</v>
      </c>
    </row>
    <row r="60" spans="1:26">
      <c r="A60" s="226" t="s">
        <v>1214</v>
      </c>
      <c r="B60" s="423">
        <f t="shared" si="16"/>
        <v>36.381988</v>
      </c>
      <c r="C60" s="423">
        <f t="shared" si="16"/>
        <v>34.154005600000005</v>
      </c>
      <c r="D60" s="423">
        <f t="shared" si="16"/>
        <v>31.8543801</v>
      </c>
      <c r="E60" s="423">
        <f t="shared" si="16"/>
        <v>29.621576532740161</v>
      </c>
      <c r="F60" s="423">
        <f t="shared" si="16"/>
        <v>28.84574115776924</v>
      </c>
      <c r="G60" s="423">
        <f t="shared" si="16"/>
        <v>31.833101529902645</v>
      </c>
      <c r="H60" s="423">
        <f t="shared" si="16"/>
        <v>29.608754338603934</v>
      </c>
      <c r="I60" s="423">
        <f t="shared" si="16"/>
        <v>29.667330677290838</v>
      </c>
      <c r="J60" s="423">
        <f t="shared" si="16"/>
        <v>31.012803502719912</v>
      </c>
      <c r="K60" s="423">
        <f t="shared" si="16"/>
        <v>30.147777777777776</v>
      </c>
      <c r="L60" s="423">
        <f t="shared" si="16"/>
        <v>30.141392299833733</v>
      </c>
      <c r="M60" s="423">
        <f t="shared" si="16"/>
        <v>30.917613636363637</v>
      </c>
      <c r="N60" s="423">
        <f t="shared" si="16"/>
        <v>32.132510482677738</v>
      </c>
      <c r="O60" s="423">
        <f t="shared" si="16"/>
        <v>30.795132993774761</v>
      </c>
      <c r="P60" s="423">
        <f t="shared" si="16"/>
        <v>30.795132993774761</v>
      </c>
      <c r="Q60" s="423">
        <f t="shared" si="16"/>
        <v>30.795132993774761</v>
      </c>
      <c r="R60" s="423">
        <f t="shared" si="16"/>
        <v>30.795132993774761</v>
      </c>
      <c r="S60" s="423">
        <f t="shared" si="16"/>
        <v>30.795132993774761</v>
      </c>
      <c r="T60" s="423">
        <f t="shared" si="16"/>
        <v>30.795132993774761</v>
      </c>
      <c r="U60" s="423">
        <f t="shared" si="16"/>
        <v>30.795132993774761</v>
      </c>
      <c r="V60" s="423">
        <f t="shared" ref="V60:Z60" si="22">+V37/V$31</f>
        <v>30.795132993774761</v>
      </c>
      <c r="W60" s="423" t="e">
        <f t="shared" si="22"/>
        <v>#DIV/0!</v>
      </c>
      <c r="X60" s="423">
        <f t="shared" si="22"/>
        <v>30.795132993774761</v>
      </c>
      <c r="Y60" s="423">
        <f t="shared" si="22"/>
        <v>30.106112054329373</v>
      </c>
      <c r="Z60" s="423">
        <f t="shared" si="22"/>
        <v>29.417091114883984</v>
      </c>
    </row>
    <row r="61" spans="1:26">
      <c r="A61" s="226" t="s">
        <v>1226</v>
      </c>
      <c r="B61" s="423">
        <f t="shared" si="16"/>
        <v>655.18855900000005</v>
      </c>
      <c r="C61" s="423">
        <f t="shared" si="16"/>
        <v>716.156564</v>
      </c>
      <c r="D61" s="423">
        <f t="shared" si="16"/>
        <v>810.85043999999994</v>
      </c>
      <c r="E61" s="423">
        <f t="shared" si="16"/>
        <v>777.43639649659394</v>
      </c>
      <c r="F61" s="423">
        <f t="shared" si="16"/>
        <v>675.7451318055372</v>
      </c>
      <c r="G61" s="423">
        <f t="shared" si="16"/>
        <v>672.71210013908205</v>
      </c>
      <c r="H61" s="423">
        <f t="shared" si="16"/>
        <v>625.09319964005647</v>
      </c>
      <c r="I61" s="423">
        <f t="shared" si="16"/>
        <v>657.96812749003982</v>
      </c>
      <c r="J61" s="423">
        <f t="shared" si="16"/>
        <v>757.27743133872889</v>
      </c>
      <c r="K61" s="423">
        <f t="shared" si="16"/>
        <v>730</v>
      </c>
      <c r="L61" s="423">
        <f t="shared" si="16"/>
        <v>750.15544159772435</v>
      </c>
      <c r="M61" s="423">
        <f t="shared" si="16"/>
        <v>737.27272727272725</v>
      </c>
      <c r="N61" s="423">
        <f>+N38/N$31</f>
        <v>758.41346160658497</v>
      </c>
      <c r="O61" s="423">
        <f t="shared" si="16"/>
        <v>795.69892473118284</v>
      </c>
      <c r="P61" s="423">
        <f t="shared" si="16"/>
        <v>896.4346349745332</v>
      </c>
      <c r="Q61" s="423">
        <f t="shared" si="16"/>
        <v>861.34691567628749</v>
      </c>
      <c r="R61" s="423">
        <f t="shared" si="16"/>
        <v>988.11544991511039</v>
      </c>
      <c r="S61" s="423">
        <f t="shared" si="16"/>
        <v>904.35766836445964</v>
      </c>
      <c r="T61" s="423">
        <f t="shared" si="16"/>
        <v>917.94001131861921</v>
      </c>
      <c r="U61" s="423">
        <f t="shared" si="16"/>
        <v>917.94001131861921</v>
      </c>
      <c r="V61" s="423">
        <f t="shared" ref="V61:Z61" si="23">+V38/V$31</f>
        <v>917.94001131861921</v>
      </c>
      <c r="W61" s="423" t="e">
        <f t="shared" si="23"/>
        <v>#DIV/0!</v>
      </c>
      <c r="X61" s="423" t="e">
        <f t="shared" si="23"/>
        <v>#DIV/0!</v>
      </c>
      <c r="Y61" s="423">
        <f t="shared" si="23"/>
        <v>794.56706281833624</v>
      </c>
      <c r="Z61" s="423">
        <f t="shared" si="23"/>
        <v>794.56706281833624</v>
      </c>
    </row>
    <row r="62" spans="1:26">
      <c r="B62" s="423"/>
      <c r="C62" s="423"/>
      <c r="D62" s="423"/>
      <c r="E62" s="423"/>
      <c r="F62" s="423"/>
      <c r="G62" s="423"/>
      <c r="H62" s="423"/>
      <c r="I62" s="423"/>
      <c r="J62" s="423"/>
      <c r="K62" s="423"/>
      <c r="L62" s="423"/>
      <c r="M62" s="423"/>
      <c r="N62" s="423"/>
      <c r="O62" s="423"/>
      <c r="P62" s="423"/>
      <c r="Q62" s="423"/>
      <c r="R62" s="423"/>
      <c r="S62" s="423"/>
      <c r="T62" s="423"/>
      <c r="U62" s="423"/>
      <c r="V62" s="423"/>
      <c r="W62" s="423"/>
      <c r="X62" s="423"/>
      <c r="Y62" s="423"/>
      <c r="Z62" s="423"/>
    </row>
    <row r="63" spans="1:26">
      <c r="A63" s="226" t="s">
        <v>1227</v>
      </c>
      <c r="B63" s="423"/>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row>
    <row r="64" spans="1:26">
      <c r="A64" s="226" t="s">
        <v>1219</v>
      </c>
      <c r="B64" s="423">
        <f>+B41*B$42</f>
        <v>2.5809554100000001</v>
      </c>
      <c r="C64" s="423">
        <f t="shared" ref="C64:U64" si="24">+C41*C$42</f>
        <v>2.8913714099999996</v>
      </c>
      <c r="D64" s="423">
        <f t="shared" si="24"/>
        <v>2.0336497499999999</v>
      </c>
      <c r="E64" s="423">
        <f t="shared" si="24"/>
        <v>1.1148579200000002</v>
      </c>
      <c r="F64" s="423">
        <f t="shared" si="24"/>
        <v>1.16651862</v>
      </c>
      <c r="G64" s="423">
        <f t="shared" si="24"/>
        <v>1.1966744399999998</v>
      </c>
      <c r="H64" s="423">
        <f t="shared" si="24"/>
        <v>1.1517040000000001</v>
      </c>
      <c r="I64" s="423">
        <f t="shared" si="24"/>
        <v>1.2014579191517532</v>
      </c>
      <c r="J64" s="423">
        <f t="shared" si="24"/>
        <v>1.2876285447179805</v>
      </c>
      <c r="K64" s="423">
        <f t="shared" si="24"/>
        <v>1.3664700000000001</v>
      </c>
      <c r="L64" s="423">
        <f t="shared" si="24"/>
        <v>1.4172986637775371</v>
      </c>
      <c r="M64" s="423">
        <f t="shared" si="24"/>
        <v>1.4172986637775371</v>
      </c>
      <c r="N64" s="423">
        <f t="shared" si="24"/>
        <v>1.4172986637775371</v>
      </c>
      <c r="O64" s="423">
        <f t="shared" si="24"/>
        <v>1.3869182999999998</v>
      </c>
      <c r="P64" s="423">
        <f t="shared" si="24"/>
        <v>1.3787106973476198</v>
      </c>
      <c r="Q64" s="423">
        <f t="shared" si="24"/>
        <v>1.3787106973476198</v>
      </c>
      <c r="R64" s="423">
        <f t="shared" si="24"/>
        <v>1.3787106973476198</v>
      </c>
      <c r="S64" s="423">
        <f t="shared" si="24"/>
        <v>1.3787106973476198</v>
      </c>
      <c r="T64" s="423">
        <f t="shared" si="24"/>
        <v>1.3787106973476198</v>
      </c>
      <c r="U64" s="423">
        <f t="shared" si="24"/>
        <v>1.3787106973476198</v>
      </c>
      <c r="V64" s="423">
        <f t="shared" ref="V64:Z64" si="25">+V41*V$42</f>
        <v>0</v>
      </c>
      <c r="W64" s="423">
        <f t="shared" si="25"/>
        <v>0</v>
      </c>
      <c r="X64" s="423">
        <f t="shared" si="25"/>
        <v>1.4172986637775371</v>
      </c>
      <c r="Y64" s="423">
        <f t="shared" si="25"/>
        <v>1.358171625700733</v>
      </c>
      <c r="Z64" s="423">
        <f t="shared" si="25"/>
        <v>0</v>
      </c>
    </row>
    <row r="65" spans="1:26">
      <c r="A65" s="226" t="s">
        <v>1220</v>
      </c>
      <c r="B65" s="423">
        <f t="shared" ref="B65:B72" si="26">+B42/B$42</f>
        <v>1</v>
      </c>
      <c r="C65" s="423">
        <f t="shared" ref="C65:U72" si="27">+C42/C$42</f>
        <v>1</v>
      </c>
      <c r="D65" s="423">
        <f t="shared" si="27"/>
        <v>1</v>
      </c>
      <c r="E65" s="423">
        <f t="shared" si="27"/>
        <v>1</v>
      </c>
      <c r="F65" s="423">
        <f t="shared" si="27"/>
        <v>1</v>
      </c>
      <c r="G65" s="423">
        <f t="shared" si="27"/>
        <v>1</v>
      </c>
      <c r="H65" s="423">
        <f t="shared" si="27"/>
        <v>1</v>
      </c>
      <c r="I65" s="423">
        <f t="shared" si="27"/>
        <v>1</v>
      </c>
      <c r="J65" s="423">
        <f t="shared" si="27"/>
        <v>1</v>
      </c>
      <c r="K65" s="423">
        <f t="shared" si="27"/>
        <v>1</v>
      </c>
      <c r="L65" s="423">
        <f t="shared" si="27"/>
        <v>1</v>
      </c>
      <c r="M65" s="423">
        <f t="shared" si="27"/>
        <v>1</v>
      </c>
      <c r="N65" s="423">
        <f t="shared" si="27"/>
        <v>1</v>
      </c>
      <c r="O65" s="423">
        <f t="shared" si="27"/>
        <v>1</v>
      </c>
      <c r="P65" s="423">
        <f t="shared" si="27"/>
        <v>1</v>
      </c>
      <c r="Q65" s="423">
        <f t="shared" si="27"/>
        <v>1</v>
      </c>
      <c r="R65" s="423">
        <f t="shared" si="27"/>
        <v>1</v>
      </c>
      <c r="S65" s="423">
        <f t="shared" si="27"/>
        <v>1</v>
      </c>
      <c r="T65" s="423">
        <f t="shared" si="27"/>
        <v>1</v>
      </c>
      <c r="U65" s="423">
        <f t="shared" si="27"/>
        <v>1</v>
      </c>
      <c r="V65" s="423" t="e">
        <f t="shared" ref="V65:Z65" si="28">+V42/V$42</f>
        <v>#DIV/0!</v>
      </c>
      <c r="W65" s="423" t="e">
        <f t="shared" si="28"/>
        <v>#DIV/0!</v>
      </c>
      <c r="X65" s="423">
        <f t="shared" si="28"/>
        <v>1</v>
      </c>
      <c r="Y65" s="423">
        <f t="shared" si="28"/>
        <v>1</v>
      </c>
      <c r="Z65" s="423" t="e">
        <f t="shared" si="28"/>
        <v>#DIV/0!</v>
      </c>
    </row>
    <row r="66" spans="1:26">
      <c r="A66" s="226" t="s">
        <v>1221</v>
      </c>
      <c r="B66" s="423">
        <f t="shared" si="26"/>
        <v>0.92501326863295175</v>
      </c>
      <c r="C66" s="423">
        <f t="shared" ref="C66:Q66" si="29">+C43/C$42</f>
        <v>0.77898923403963516</v>
      </c>
      <c r="D66" s="423">
        <f t="shared" si="29"/>
        <v>0.7660001433383502</v>
      </c>
      <c r="E66" s="423">
        <f t="shared" si="29"/>
        <v>1.792439165701043</v>
      </c>
      <c r="F66" s="423">
        <f t="shared" si="29"/>
        <v>1.2481956696070569</v>
      </c>
      <c r="G66" s="423">
        <f t="shared" si="29"/>
        <v>1.2166925868325558</v>
      </c>
      <c r="H66" s="423">
        <f t="shared" si="29"/>
        <v>1.2070740398574633</v>
      </c>
      <c r="I66" s="423">
        <f t="shared" si="29"/>
        <v>1.2253171538885825</v>
      </c>
      <c r="J66" s="423">
        <f t="shared" si="29"/>
        <v>1.2026863504356244</v>
      </c>
      <c r="K66" s="423">
        <f t="shared" si="29"/>
        <v>1.0855555555555556</v>
      </c>
      <c r="L66" s="423">
        <f t="shared" si="29"/>
        <v>1.03959336</v>
      </c>
      <c r="M66" s="423">
        <f t="shared" si="29"/>
        <v>1.03959336</v>
      </c>
      <c r="N66" s="423">
        <f t="shared" si="29"/>
        <v>1.03959336</v>
      </c>
      <c r="O66" s="423">
        <f t="shared" si="29"/>
        <v>1.0623655913978496</v>
      </c>
      <c r="P66" s="423">
        <f t="shared" si="29"/>
        <v>1.0686899600000002</v>
      </c>
      <c r="Q66" s="423">
        <f t="shared" si="29"/>
        <v>1.0686899600000002</v>
      </c>
      <c r="R66" s="423">
        <f t="shared" si="27"/>
        <v>1.0686899600000002</v>
      </c>
      <c r="S66" s="423">
        <f t="shared" si="27"/>
        <v>1.0686899600000002</v>
      </c>
      <c r="T66" s="423">
        <f t="shared" si="27"/>
        <v>1.0686899600000002</v>
      </c>
      <c r="U66" s="423">
        <f t="shared" si="27"/>
        <v>1.0686899600000002</v>
      </c>
      <c r="V66" s="423" t="e">
        <f t="shared" ref="V66:Z66" si="30">+V43/V$42</f>
        <v>#DIV/0!</v>
      </c>
      <c r="W66" s="423" t="e">
        <f t="shared" si="30"/>
        <v>#DIV/0!</v>
      </c>
      <c r="X66" s="423">
        <f t="shared" si="30"/>
        <v>1.03959336</v>
      </c>
      <c r="Y66" s="423">
        <f t="shared" si="30"/>
        <v>1.0818135</v>
      </c>
      <c r="Z66" s="423" t="e">
        <f t="shared" si="30"/>
        <v>#DIV/0!</v>
      </c>
    </row>
    <row r="67" spans="1:26">
      <c r="A67" s="226" t="s">
        <v>1222</v>
      </c>
      <c r="B67" s="423">
        <f t="shared" si="26"/>
        <v>144.55986048980211</v>
      </c>
      <c r="C67" s="423">
        <f t="shared" si="27"/>
        <v>118.84385928821231</v>
      </c>
      <c r="D67" s="423">
        <f t="shared" si="27"/>
        <v>136.35777252203826</v>
      </c>
      <c r="E67" s="423">
        <f t="shared" si="27"/>
        <v>284.32792584009263</v>
      </c>
      <c r="F67" s="423">
        <f t="shared" si="27"/>
        <v>278.02726543704892</v>
      </c>
      <c r="G67" s="423">
        <f t="shared" si="27"/>
        <v>314.61897356143078</v>
      </c>
      <c r="H67" s="423">
        <f t="shared" si="27"/>
        <v>291.44780256038013</v>
      </c>
      <c r="I67" s="423">
        <f t="shared" si="27"/>
        <v>297.32487589630449</v>
      </c>
      <c r="J67" s="423">
        <f t="shared" si="27"/>
        <v>316.36011616650529</v>
      </c>
      <c r="K67" s="423">
        <f t="shared" si="27"/>
        <v>313.33333333333331</v>
      </c>
      <c r="L67" s="423">
        <f t="shared" si="27"/>
        <v>314.05998</v>
      </c>
      <c r="M67" s="423">
        <f t="shared" si="27"/>
        <v>314.05998</v>
      </c>
      <c r="N67" s="423">
        <f t="shared" si="27"/>
        <v>314.05998</v>
      </c>
      <c r="O67" s="423">
        <f t="shared" si="27"/>
        <v>320.93944538766272</v>
      </c>
      <c r="P67" s="423">
        <f t="shared" si="27"/>
        <v>322.85003000000006</v>
      </c>
      <c r="Q67" s="423">
        <f t="shared" si="27"/>
        <v>322.85003000000006</v>
      </c>
      <c r="R67" s="423">
        <f t="shared" si="27"/>
        <v>322.85003000000006</v>
      </c>
      <c r="S67" s="423">
        <f t="shared" si="27"/>
        <v>322.85003000000006</v>
      </c>
      <c r="T67" s="423">
        <f t="shared" si="27"/>
        <v>322.85003000000006</v>
      </c>
      <c r="U67" s="423">
        <f t="shared" si="27"/>
        <v>322.85003000000006</v>
      </c>
      <c r="V67" s="423" t="e">
        <f t="shared" ref="V67:Z67" si="31">+V44/V$42</f>
        <v>#DIV/0!</v>
      </c>
      <c r="W67" s="423" t="e">
        <f t="shared" si="31"/>
        <v>#DIV/0!</v>
      </c>
      <c r="X67" s="423">
        <f t="shared" si="31"/>
        <v>314.05998</v>
      </c>
      <c r="Y67" s="423">
        <f t="shared" si="31"/>
        <v>313.065</v>
      </c>
      <c r="Z67" s="423" t="e">
        <f t="shared" si="31"/>
        <v>#DIV/0!</v>
      </c>
    </row>
    <row r="68" spans="1:26">
      <c r="A68" s="226" t="s">
        <v>1223</v>
      </c>
      <c r="B68" s="423">
        <f t="shared" si="26"/>
        <v>2.2053226173326257</v>
      </c>
      <c r="C68" s="423">
        <f t="shared" si="27"/>
        <v>1.6938901460604816</v>
      </c>
      <c r="D68" s="423">
        <f t="shared" si="27"/>
        <v>2.1271411166057477</v>
      </c>
      <c r="E68" s="423">
        <f t="shared" si="27"/>
        <v>4.751013904982619</v>
      </c>
      <c r="F68" s="423">
        <f t="shared" si="27"/>
        <v>3.9549585672280139</v>
      </c>
      <c r="G68" s="423">
        <f t="shared" si="27"/>
        <v>4.4622861586314153</v>
      </c>
      <c r="H68" s="423">
        <f t="shared" si="27"/>
        <v>4.0832783423518544</v>
      </c>
      <c r="I68" s="423">
        <f t="shared" si="27"/>
        <v>4.1554054054054061</v>
      </c>
      <c r="J68" s="423">
        <f t="shared" si="27"/>
        <v>4.2832768635043559</v>
      </c>
      <c r="K68" s="423">
        <f t="shared" si="27"/>
        <v>4.2222222222222223</v>
      </c>
      <c r="L68" s="423">
        <f t="shared" si="27"/>
        <v>4.1908261199999997</v>
      </c>
      <c r="M68" s="423">
        <f t="shared" si="27"/>
        <v>4.1908261199999997</v>
      </c>
      <c r="N68" s="423">
        <f t="shared" si="27"/>
        <v>4.1908261199999997</v>
      </c>
      <c r="O68" s="423">
        <f t="shared" si="27"/>
        <v>4.2826259196378045</v>
      </c>
      <c r="P68" s="423">
        <f t="shared" si="27"/>
        <v>4.3081208200000001</v>
      </c>
      <c r="Q68" s="423">
        <f t="shared" si="27"/>
        <v>4.3081208200000001</v>
      </c>
      <c r="R68" s="423">
        <f t="shared" si="27"/>
        <v>4.3081208200000001</v>
      </c>
      <c r="S68" s="423">
        <f t="shared" si="27"/>
        <v>4.3081208200000001</v>
      </c>
      <c r="T68" s="423">
        <f t="shared" si="27"/>
        <v>4.3081208200000001</v>
      </c>
      <c r="U68" s="423">
        <f t="shared" si="27"/>
        <v>4.3081208200000001</v>
      </c>
      <c r="V68" s="423" t="e">
        <f t="shared" ref="V68:Z68" si="32">+V45/V$42</f>
        <v>#DIV/0!</v>
      </c>
      <c r="W68" s="423" t="e">
        <f t="shared" si="32"/>
        <v>#DIV/0!</v>
      </c>
      <c r="X68" s="423">
        <f t="shared" si="32"/>
        <v>4.1908261199999997</v>
      </c>
      <c r="Y68" s="423">
        <f t="shared" si="32"/>
        <v>4.2321749999999998</v>
      </c>
      <c r="Z68" s="423" t="e">
        <f t="shared" si="32"/>
        <v>#DIV/0!</v>
      </c>
    </row>
    <row r="69" spans="1:26">
      <c r="A69" s="226" t="s">
        <v>1224</v>
      </c>
      <c r="B69" s="423">
        <f t="shared" si="26"/>
        <v>15.822276139206915</v>
      </c>
      <c r="C69" s="423">
        <f t="shared" si="27"/>
        <v>12.468627854350958</v>
      </c>
      <c r="D69" s="423">
        <f t="shared" si="27"/>
        <v>13.762631692109224</v>
      </c>
      <c r="E69" s="423">
        <f t="shared" si="27"/>
        <v>28.069235225955964</v>
      </c>
      <c r="F69" s="423">
        <f t="shared" si="27"/>
        <v>25.04544239508153</v>
      </c>
      <c r="G69" s="423">
        <f t="shared" si="27"/>
        <v>25.470451010886471</v>
      </c>
      <c r="H69" s="423">
        <f t="shared" si="27"/>
        <v>25.087765606440541</v>
      </c>
      <c r="I69" s="423">
        <f t="shared" si="27"/>
        <v>27.34142305570877</v>
      </c>
      <c r="J69" s="423">
        <f t="shared" si="27"/>
        <v>27.727613746369798</v>
      </c>
      <c r="K69" s="423">
        <f t="shared" si="27"/>
        <v>27</v>
      </c>
      <c r="L69" s="423">
        <f t="shared" si="27"/>
        <v>27.242086560000001</v>
      </c>
      <c r="M69" s="423">
        <f t="shared" si="27"/>
        <v>27.242086560000001</v>
      </c>
      <c r="N69" s="423">
        <f t="shared" si="27"/>
        <v>27.242086560000001</v>
      </c>
      <c r="O69" s="423">
        <f t="shared" si="27"/>
        <v>27.838822863610641</v>
      </c>
      <c r="P69" s="423">
        <f t="shared" si="27"/>
        <v>28.004550160000004</v>
      </c>
      <c r="Q69" s="423">
        <f t="shared" si="27"/>
        <v>28.004550160000004</v>
      </c>
      <c r="R69" s="423">
        <f t="shared" si="27"/>
        <v>28.004550160000004</v>
      </c>
      <c r="S69" s="423">
        <f t="shared" si="27"/>
        <v>28.004550160000004</v>
      </c>
      <c r="T69" s="423">
        <f t="shared" si="27"/>
        <v>28.004550160000004</v>
      </c>
      <c r="U69" s="423">
        <f t="shared" si="27"/>
        <v>28.004550160000004</v>
      </c>
      <c r="V69" s="423" t="e">
        <f t="shared" ref="V69:Z69" si="33">+V46/V$42</f>
        <v>#DIV/0!</v>
      </c>
      <c r="W69" s="423" t="e">
        <f t="shared" si="33"/>
        <v>#DIV/0!</v>
      </c>
      <c r="X69" s="423">
        <f t="shared" si="33"/>
        <v>27.242086560000001</v>
      </c>
      <c r="Y69" s="423">
        <f t="shared" si="33"/>
        <v>27.074325000000002</v>
      </c>
      <c r="Z69" s="423" t="e">
        <f t="shared" si="33"/>
        <v>#DIV/0!</v>
      </c>
    </row>
    <row r="70" spans="1:26">
      <c r="A70" s="226" t="s">
        <v>1225</v>
      </c>
      <c r="B70" s="423">
        <f t="shared" si="26"/>
        <v>1.9437409962847829</v>
      </c>
      <c r="C70" s="423">
        <f t="shared" si="27"/>
        <v>1.6815470067887266</v>
      </c>
      <c r="D70" s="423">
        <f t="shared" si="27"/>
        <v>2.0702357915860388</v>
      </c>
      <c r="E70" s="423">
        <f t="shared" si="27"/>
        <v>4.1924971031286198</v>
      </c>
      <c r="F70" s="423">
        <f t="shared" si="27"/>
        <v>4.2810745789895748</v>
      </c>
      <c r="G70" s="423">
        <f t="shared" si="27"/>
        <v>4.3243908761016074</v>
      </c>
      <c r="H70" s="423">
        <f t="shared" si="27"/>
        <v>4.4443711231358058</v>
      </c>
      <c r="I70" s="423">
        <f t="shared" si="27"/>
        <v>4.4724214009928298</v>
      </c>
      <c r="J70" s="423">
        <f t="shared" si="27"/>
        <v>4.6587608906098739</v>
      </c>
      <c r="K70" s="423">
        <f t="shared" si="27"/>
        <v>4.4322222222222223</v>
      </c>
      <c r="L70" s="423">
        <f t="shared" si="27"/>
        <v>4.5039446399999994</v>
      </c>
      <c r="M70" s="423">
        <f t="shared" si="27"/>
        <v>4.5039446399999994</v>
      </c>
      <c r="N70" s="423">
        <f t="shared" si="27"/>
        <v>4.5039446399999994</v>
      </c>
      <c r="O70" s="423">
        <f t="shared" si="27"/>
        <v>4.6026032823995475</v>
      </c>
      <c r="P70" s="423">
        <f t="shared" si="27"/>
        <v>4.6300030400000001</v>
      </c>
      <c r="Q70" s="423">
        <f t="shared" si="27"/>
        <v>4.6300030400000001</v>
      </c>
      <c r="R70" s="423">
        <f t="shared" si="27"/>
        <v>4.6300030400000001</v>
      </c>
      <c r="S70" s="423">
        <f t="shared" si="27"/>
        <v>4.6300030400000001</v>
      </c>
      <c r="T70" s="423">
        <f t="shared" si="27"/>
        <v>4.6300030400000001</v>
      </c>
      <c r="U70" s="423">
        <f t="shared" si="27"/>
        <v>4.6300030400000001</v>
      </c>
      <c r="V70" s="423" t="e">
        <f t="shared" ref="V70:Z70" si="34">+V47/V$42</f>
        <v>#DIV/0!</v>
      </c>
      <c r="W70" s="423" t="e">
        <f t="shared" si="34"/>
        <v>#DIV/0!</v>
      </c>
      <c r="X70" s="423">
        <f t="shared" si="34"/>
        <v>4.5039446399999994</v>
      </c>
      <c r="Y70" s="423">
        <f t="shared" si="34"/>
        <v>4.4479579500000002</v>
      </c>
      <c r="Z70" s="423" t="e">
        <f t="shared" si="34"/>
        <v>#DIV/0!</v>
      </c>
    </row>
    <row r="71" spans="1:26">
      <c r="A71" s="226" t="s">
        <v>1214</v>
      </c>
      <c r="B71" s="423">
        <f t="shared" si="26"/>
        <v>19.820304799454089</v>
      </c>
      <c r="C71" s="423">
        <f t="shared" si="27"/>
        <v>15.806761297401083</v>
      </c>
      <c r="D71" s="423">
        <f t="shared" si="27"/>
        <v>15.480541818963665</v>
      </c>
      <c r="E71" s="423">
        <f t="shared" si="27"/>
        <v>30.436993047508686</v>
      </c>
      <c r="F71" s="423">
        <f t="shared" si="27"/>
        <v>30.122427158513769</v>
      </c>
      <c r="G71" s="423">
        <f t="shared" si="27"/>
        <v>30.117159149818558</v>
      </c>
      <c r="H71" s="423">
        <f t="shared" si="27"/>
        <v>30.12656724297215</v>
      </c>
      <c r="I71" s="423">
        <f t="shared" si="27"/>
        <v>30.132101489244349</v>
      </c>
      <c r="J71" s="423">
        <f t="shared" si="27"/>
        <v>30.126936108422068</v>
      </c>
      <c r="K71" s="423">
        <f t="shared" si="27"/>
        <v>30.147777777777776</v>
      </c>
      <c r="L71" s="423">
        <f t="shared" si="27"/>
        <v>30.135026999999997</v>
      </c>
      <c r="M71" s="423">
        <f t="shared" si="27"/>
        <v>30.135026999999997</v>
      </c>
      <c r="N71" s="423">
        <f t="shared" si="27"/>
        <v>30.135026999999997</v>
      </c>
      <c r="O71" s="423">
        <f t="shared" si="27"/>
        <v>30.795132993774761</v>
      </c>
      <c r="P71" s="423">
        <f t="shared" si="27"/>
        <v>30.978459500000003</v>
      </c>
      <c r="Q71" s="423">
        <f t="shared" si="27"/>
        <v>30.978459500000003</v>
      </c>
      <c r="R71" s="423">
        <f t="shared" si="27"/>
        <v>30.978459500000003</v>
      </c>
      <c r="S71" s="423">
        <f t="shared" si="27"/>
        <v>30.978459500000003</v>
      </c>
      <c r="T71" s="423">
        <f t="shared" si="27"/>
        <v>30.978459500000003</v>
      </c>
      <c r="U71" s="423">
        <f t="shared" si="27"/>
        <v>30.978459500000003</v>
      </c>
      <c r="V71" s="423" t="e">
        <f t="shared" ref="V71:Z71" si="35">+V48/V$42</f>
        <v>#DIV/0!</v>
      </c>
      <c r="W71" s="423" t="e">
        <f t="shared" si="35"/>
        <v>#DIV/0!</v>
      </c>
      <c r="X71" s="423">
        <f t="shared" si="35"/>
        <v>30.135026999999997</v>
      </c>
      <c r="Y71" s="423">
        <f t="shared" si="35"/>
        <v>30.135404999999999</v>
      </c>
      <c r="Z71" s="423" t="e">
        <f t="shared" si="35"/>
        <v>#DIV/0!</v>
      </c>
    </row>
    <row r="72" spans="1:26">
      <c r="A72" s="226" t="s">
        <v>1226</v>
      </c>
      <c r="B72" s="423">
        <f t="shared" si="26"/>
        <v>404.41276821593755</v>
      </c>
      <c r="C72" s="423">
        <f t="shared" si="27"/>
        <v>341.56209284783654</v>
      </c>
      <c r="D72" s="423">
        <f t="shared" si="27"/>
        <v>457.60768293556941</v>
      </c>
      <c r="E72" s="423">
        <f t="shared" si="27"/>
        <v>735.00869061413664</v>
      </c>
      <c r="F72" s="423">
        <f t="shared" si="27"/>
        <v>625.5012028869287</v>
      </c>
      <c r="G72" s="423">
        <f t="shared" si="27"/>
        <v>673.27630896837741</v>
      </c>
      <c r="H72" s="423">
        <f t="shared" si="27"/>
        <v>631.89916853635998</v>
      </c>
      <c r="I72" s="423">
        <f t="shared" si="27"/>
        <v>724.55874241588538</v>
      </c>
      <c r="J72" s="423">
        <f t="shared" si="27"/>
        <v>734.39012584704733</v>
      </c>
      <c r="K72" s="423">
        <f t="shared" si="27"/>
        <v>787.77777777777771</v>
      </c>
      <c r="L72" s="423">
        <f t="shared" si="27"/>
        <v>723.26279999999997</v>
      </c>
      <c r="M72" s="423">
        <f t="shared" si="27"/>
        <v>734.33879999999999</v>
      </c>
      <c r="N72" s="423">
        <f t="shared" si="27"/>
        <v>756.49079999999992</v>
      </c>
      <c r="O72" s="423">
        <f t="shared" si="27"/>
        <v>769.6661007357103</v>
      </c>
      <c r="P72" s="423">
        <f t="shared" si="27"/>
        <v>901.77120000000002</v>
      </c>
      <c r="Q72" s="423">
        <f t="shared" si="27"/>
        <v>866.47460000000012</v>
      </c>
      <c r="R72" s="423">
        <f t="shared" si="27"/>
        <v>993.9978000000001</v>
      </c>
      <c r="S72" s="423">
        <f t="shared" si="27"/>
        <v>923.40460000000007</v>
      </c>
      <c r="T72" s="423">
        <f t="shared" si="27"/>
        <v>923.40460000000007</v>
      </c>
      <c r="U72" s="423">
        <f t="shared" si="27"/>
        <v>923.40460000000007</v>
      </c>
      <c r="V72" s="423" t="e">
        <f t="shared" ref="V72:Z72" si="36">+V49/V$42</f>
        <v>#DIV/0!</v>
      </c>
      <c r="W72" s="423" t="e">
        <f t="shared" si="36"/>
        <v>#DIV/0!</v>
      </c>
      <c r="X72" s="423">
        <f t="shared" si="36"/>
        <v>0</v>
      </c>
      <c r="Y72" s="423">
        <f t="shared" si="36"/>
        <v>813.96900000000005</v>
      </c>
      <c r="Z72" s="423" t="e">
        <f t="shared" si="36"/>
        <v>#DIV/0!</v>
      </c>
    </row>
    <row r="1900" spans="2:2" ht="15">
      <c r="B1900" s="930"/>
    </row>
    <row r="1929" spans="3:4">
      <c r="C1929" s="226">
        <f>57</f>
        <v>57</v>
      </c>
      <c r="D1929" s="226">
        <v>-21</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5"/>
  <sheetViews>
    <sheetView workbookViewId="0">
      <selection activeCell="A2" sqref="A2"/>
    </sheetView>
  </sheetViews>
  <sheetFormatPr defaultRowHeight="15"/>
  <cols>
    <col min="1" max="1" width="23.42578125" customWidth="1"/>
    <col min="2" max="2" width="9.42578125" bestFit="1" customWidth="1"/>
  </cols>
  <sheetData>
    <row r="1" spans="1:11">
      <c r="A1" t="s">
        <v>2543</v>
      </c>
    </row>
    <row r="3" spans="1:11" ht="15.75">
      <c r="A3" s="690"/>
      <c r="B3" s="691" t="s">
        <v>7036</v>
      </c>
      <c r="C3" s="691" t="s">
        <v>494</v>
      </c>
      <c r="D3" s="691" t="s">
        <v>495</v>
      </c>
      <c r="E3" s="691" t="s">
        <v>496</v>
      </c>
      <c r="F3" s="691" t="s">
        <v>497</v>
      </c>
      <c r="G3" s="691" t="s">
        <v>498</v>
      </c>
      <c r="H3" s="691" t="s">
        <v>499</v>
      </c>
      <c r="I3" s="691" t="s">
        <v>500</v>
      </c>
      <c r="J3" s="691" t="s">
        <v>501</v>
      </c>
      <c r="K3" s="691" t="s">
        <v>502</v>
      </c>
    </row>
    <row r="4" spans="1:11" ht="15.75">
      <c r="A4" s="692" t="s">
        <v>1784</v>
      </c>
      <c r="B4" s="693">
        <f>+VTR!Q5</f>
        <v>2710.5</v>
      </c>
      <c r="C4" s="693">
        <f>+VTR!R5</f>
        <v>2912.8</v>
      </c>
      <c r="D4" s="693">
        <f>+VTR!S5</f>
        <v>3062.7</v>
      </c>
      <c r="E4" s="693">
        <f>+VTR!T5</f>
        <v>3052.6610775620825</v>
      </c>
      <c r="F4" s="693">
        <f>+VTR!U5</f>
        <v>3086.9828143871332</v>
      </c>
      <c r="G4" s="693">
        <f>+VTR!V5</f>
        <v>3121.3045512121839</v>
      </c>
      <c r="H4" s="693">
        <f>+VTR!W5</f>
        <v>3155.6262880372346</v>
      </c>
      <c r="I4" s="693">
        <f>+VTR!X5</f>
        <v>3189.9480248622858</v>
      </c>
      <c r="J4" s="693">
        <f>+VTR!Y5</f>
        <v>3224.2697616873365</v>
      </c>
      <c r="K4" s="693">
        <f>+VTR!Z5</f>
        <v>3258.5914985123873</v>
      </c>
    </row>
    <row r="5" spans="1:11" ht="15.75">
      <c r="A5" s="692" t="s">
        <v>559</v>
      </c>
      <c r="B5" s="693">
        <f>+VTR!Q6</f>
        <v>1328.9</v>
      </c>
      <c r="C5" s="693">
        <f>+VTR!R6</f>
        <v>1406.9</v>
      </c>
      <c r="D5" s="693">
        <f>+VTR!S6</f>
        <v>1468.5</v>
      </c>
      <c r="E5" s="693">
        <f>+VTR!T6</f>
        <v>1490.27496</v>
      </c>
      <c r="F5" s="693">
        <f>+VTR!U6</f>
        <v>1512.4854192</v>
      </c>
      <c r="G5" s="693">
        <f>+VTR!V6</f>
        <v>1535.140087584</v>
      </c>
      <c r="H5" s="693">
        <f>+VTR!W6</f>
        <v>1558.24784933568</v>
      </c>
      <c r="I5" s="693">
        <f>+VTR!X6</f>
        <v>1581.8177663223937</v>
      </c>
      <c r="J5" s="693">
        <f>+VTR!Y6</f>
        <v>1605.8590816488415</v>
      </c>
      <c r="K5" s="693">
        <f>+VTR!Z6</f>
        <v>1630.3812232818184</v>
      </c>
    </row>
    <row r="6" spans="1:11" ht="15.75">
      <c r="A6" s="692" t="s">
        <v>1568</v>
      </c>
      <c r="B6" s="693">
        <f>+VTR!Q12</f>
        <v>1047.3</v>
      </c>
      <c r="C6" s="693">
        <f>+VTR!R12</f>
        <v>1067.4000000000001</v>
      </c>
      <c r="D6" s="693">
        <f>+VTR!S12</f>
        <v>1088.748</v>
      </c>
      <c r="E6" s="693">
        <f>+VTR!T12</f>
        <v>1110.52296</v>
      </c>
      <c r="F6" s="693">
        <f>+VTR!U12</f>
        <v>1132.7334192000001</v>
      </c>
      <c r="G6" s="693">
        <f>+VTR!V12</f>
        <v>1155.388087584</v>
      </c>
      <c r="H6" s="693">
        <f>+VTR!W12</f>
        <v>1178.4958493356801</v>
      </c>
      <c r="I6" s="693">
        <f>+VTR!X12</f>
        <v>1202.0657663223938</v>
      </c>
      <c r="J6" s="693">
        <f>+VTR!Y12</f>
        <v>1226.1070816488416</v>
      </c>
      <c r="K6" s="693">
        <f>+VTR!Z12</f>
        <v>1250.6292232818184</v>
      </c>
    </row>
    <row r="7" spans="1:11" ht="15.75">
      <c r="A7" s="692" t="s">
        <v>564</v>
      </c>
      <c r="B7" s="693">
        <f>+VTR!Q13</f>
        <v>1091.2</v>
      </c>
      <c r="C7" s="693">
        <f>+VTR!R13</f>
        <v>1181.5999999999999</v>
      </c>
      <c r="D7" s="693">
        <f>+VTR!S13</f>
        <v>1211.5999999999999</v>
      </c>
      <c r="E7" s="693">
        <f>+VTR!T13</f>
        <v>1231.5999999999999</v>
      </c>
      <c r="F7" s="693">
        <f>+VTR!U13</f>
        <v>1251.5999999999999</v>
      </c>
      <c r="G7" s="693">
        <f>+VTR!V13</f>
        <v>1271.5999999999999</v>
      </c>
      <c r="H7" s="693">
        <f>+VTR!W13</f>
        <v>1291.5999999999999</v>
      </c>
      <c r="I7" s="693">
        <f>+VTR!X13</f>
        <v>1311.6</v>
      </c>
      <c r="J7" s="693">
        <f>+VTR!Y13</f>
        <v>1331.6</v>
      </c>
      <c r="K7" s="693">
        <f>+VTR!Z13</f>
        <v>1351.6</v>
      </c>
    </row>
    <row r="8" spans="1:11" ht="15.75">
      <c r="A8" s="692" t="s">
        <v>7037</v>
      </c>
      <c r="B8" s="693">
        <f>+VTR!Q14</f>
        <v>657</v>
      </c>
      <c r="C8" s="693">
        <f ca="1">+VTR!R14</f>
        <v>624.1</v>
      </c>
      <c r="D8" s="693">
        <f ca="1">+VTR!S14</f>
        <v>619.1</v>
      </c>
      <c r="E8" s="693">
        <f ca="1">+VTR!T14</f>
        <v>614.1</v>
      </c>
      <c r="F8" s="693">
        <f ca="1">+VTR!U14</f>
        <v>609.1</v>
      </c>
      <c r="G8" s="693">
        <f ca="1">+VTR!V14</f>
        <v>604.1</v>
      </c>
      <c r="H8" s="693">
        <f ca="1">+VTR!W14</f>
        <v>599.1</v>
      </c>
      <c r="I8" s="693">
        <f ca="1">+VTR!X14</f>
        <v>594.1</v>
      </c>
      <c r="J8" s="693">
        <f ca="1">+VTR!Y14</f>
        <v>589.1</v>
      </c>
      <c r="K8" s="693">
        <f ca="1">+VTR!Z14</f>
        <v>584.1</v>
      </c>
    </row>
    <row r="9" spans="1:11" ht="15.75">
      <c r="A9" s="692" t="s">
        <v>5</v>
      </c>
      <c r="B9" s="693">
        <f>+VTR!Q15</f>
        <v>166.2</v>
      </c>
      <c r="C9" s="693">
        <f>+VTR!R15</f>
        <v>214.9</v>
      </c>
      <c r="D9" s="693">
        <f>+VTR!S15</f>
        <v>244.9</v>
      </c>
      <c r="E9" s="693">
        <f>+VTR!T15</f>
        <v>274.89999999999998</v>
      </c>
      <c r="F9" s="693">
        <f>+VTR!U15</f>
        <v>304.89999999999998</v>
      </c>
      <c r="G9" s="693">
        <f>+VTR!V15</f>
        <v>334.9</v>
      </c>
      <c r="H9" s="693">
        <f>+VTR!W15</f>
        <v>364.9</v>
      </c>
      <c r="I9" s="693">
        <f>+VTR!X15</f>
        <v>394.9</v>
      </c>
      <c r="J9" s="693">
        <f>+VTR!Y15</f>
        <v>424.9</v>
      </c>
      <c r="K9" s="693">
        <f>+VTR!Z15</f>
        <v>454.9</v>
      </c>
    </row>
    <row r="10" spans="1:11" ht="15.75">
      <c r="A10" s="692"/>
      <c r="B10" s="693"/>
      <c r="C10" s="693"/>
      <c r="D10" s="693"/>
      <c r="E10" s="693"/>
      <c r="F10" s="693"/>
      <c r="G10" s="693"/>
      <c r="H10" s="693"/>
      <c r="I10" s="693"/>
      <c r="J10" s="693"/>
      <c r="K10" s="693"/>
    </row>
    <row r="11" spans="1:11" ht="15.75">
      <c r="A11" s="692" t="s">
        <v>7038</v>
      </c>
      <c r="B11" s="693"/>
      <c r="C11" s="693"/>
      <c r="D11" s="693"/>
      <c r="E11" s="693"/>
      <c r="F11" s="693"/>
      <c r="G11" s="693"/>
      <c r="H11" s="693"/>
      <c r="I11" s="693"/>
      <c r="J11" s="693"/>
      <c r="K11" s="693"/>
    </row>
    <row r="12" spans="1:11" ht="15.75">
      <c r="A12" s="692" t="s">
        <v>1568</v>
      </c>
      <c r="B12" s="693"/>
      <c r="C12" s="693"/>
      <c r="D12" s="693"/>
      <c r="E12" s="693"/>
      <c r="F12" s="693"/>
      <c r="G12" s="693"/>
      <c r="H12" s="693"/>
      <c r="I12" s="693"/>
      <c r="J12" s="693"/>
      <c r="K12" s="693"/>
    </row>
    <row r="13" spans="1:11" ht="15.75">
      <c r="A13" s="692" t="s">
        <v>564</v>
      </c>
      <c r="B13" s="693"/>
      <c r="C13" s="693"/>
      <c r="D13" s="693"/>
      <c r="E13" s="693"/>
      <c r="F13" s="693"/>
      <c r="G13" s="693"/>
      <c r="H13" s="693"/>
      <c r="I13" s="693"/>
      <c r="J13" s="693"/>
      <c r="K13" s="693"/>
    </row>
    <row r="14" spans="1:11" ht="15.75">
      <c r="A14" s="692" t="s">
        <v>565</v>
      </c>
      <c r="B14" s="693"/>
      <c r="C14" s="693"/>
      <c r="D14" s="693"/>
      <c r="E14" s="693"/>
      <c r="F14" s="693"/>
      <c r="G14" s="693"/>
      <c r="H14" s="693"/>
      <c r="I14" s="693"/>
      <c r="J14" s="693"/>
      <c r="K14" s="693"/>
    </row>
    <row r="15" spans="1:11" ht="15.75">
      <c r="A15" s="692" t="s">
        <v>7039</v>
      </c>
      <c r="B15" s="694">
        <f>+VTR!Q81/1000</f>
        <v>517.6</v>
      </c>
      <c r="C15" s="694">
        <f>+VTR!R81/1000</f>
        <v>547.6</v>
      </c>
      <c r="D15" s="694">
        <f ca="1">+VTR!S81/1000</f>
        <v>573.56300795963716</v>
      </c>
      <c r="E15" s="694">
        <f ca="1">+VTR!T81/1000</f>
        <v>599.24743565122799</v>
      </c>
      <c r="F15" s="694">
        <f ca="1">+VTR!U81/1000</f>
        <v>624.99684599234558</v>
      </c>
      <c r="G15" s="694">
        <f ca="1">+VTR!V81/1000</f>
        <v>651.84708181165979</v>
      </c>
      <c r="H15" s="694">
        <f ca="1">+VTR!W81/1000</f>
        <v>679.84583445617568</v>
      </c>
      <c r="I15" s="694">
        <f ca="1">+VTR!X81/1000</f>
        <v>709.04290971494254</v>
      </c>
      <c r="J15" s="694">
        <f ca="1">+VTR!Y81/1000</f>
        <v>739.49032409479344</v>
      </c>
      <c r="K15" s="694">
        <f ca="1">+VTR!Z81/1000</f>
        <v>771.24240559360271</v>
      </c>
    </row>
    <row r="16" spans="1:11" ht="15.75">
      <c r="A16" s="692" t="s">
        <v>5</v>
      </c>
      <c r="B16" s="693">
        <f>+VTR!Q68/1000</f>
        <v>30</v>
      </c>
      <c r="C16" s="693">
        <f>+VTR!R68/1000</f>
        <v>35</v>
      </c>
      <c r="D16" s="693">
        <f>+VTR!S68/1000</f>
        <v>41.383206507478356</v>
      </c>
      <c r="E16" s="693">
        <f>+VTR!T68/1000</f>
        <v>45.847696667541321</v>
      </c>
      <c r="F16" s="693">
        <f>+VTR!U68/1000</f>
        <v>50.117053938598787</v>
      </c>
      <c r="G16" s="693">
        <f>+VTR!V68/1000</f>
        <v>54.197297840146938</v>
      </c>
      <c r="H16" s="693">
        <f>+VTR!W68/1000</f>
        <v>58.094285164057716</v>
      </c>
      <c r="I16" s="693">
        <f>+VTR!X68/1000</f>
        <v>61.813714075876014</v>
      </c>
      <c r="J16" s="693">
        <f>+VTR!Y68/1000</f>
        <v>65.361128117155957</v>
      </c>
      <c r="K16" s="693">
        <f>+VTR!Z68/1000</f>
        <v>68.741920111154357</v>
      </c>
    </row>
    <row r="17" spans="1:11" ht="15.75">
      <c r="A17" s="692" t="s">
        <v>7040</v>
      </c>
      <c r="B17" s="694">
        <f t="shared" ref="B17:K17" si="0">+B16+B15</f>
        <v>547.6</v>
      </c>
      <c r="C17" s="694">
        <f t="shared" si="0"/>
        <v>582.6</v>
      </c>
      <c r="D17" s="694">
        <f t="shared" ca="1" si="0"/>
        <v>614.94621446711551</v>
      </c>
      <c r="E17" s="694">
        <f t="shared" ca="1" si="0"/>
        <v>645.09513231876929</v>
      </c>
      <c r="F17" s="694">
        <f t="shared" ca="1" si="0"/>
        <v>675.1138999309444</v>
      </c>
      <c r="G17" s="694">
        <f t="shared" ca="1" si="0"/>
        <v>706.04437965180671</v>
      </c>
      <c r="H17" s="694">
        <f t="shared" ca="1" si="0"/>
        <v>737.94011962023342</v>
      </c>
      <c r="I17" s="694">
        <f t="shared" ca="1" si="0"/>
        <v>770.8566237908185</v>
      </c>
      <c r="J17" s="694">
        <f t="shared" ca="1" si="0"/>
        <v>804.85145221194944</v>
      </c>
      <c r="K17" s="694">
        <f t="shared" ca="1" si="0"/>
        <v>839.98432570475711</v>
      </c>
    </row>
    <row r="18" spans="1:11" ht="15.75">
      <c r="A18" s="692" t="s">
        <v>2412</v>
      </c>
      <c r="B18" s="693">
        <f>+VTR!Q69/1000</f>
        <v>0</v>
      </c>
      <c r="C18" s="693">
        <f>+VTR!R69/1000</f>
        <v>0</v>
      </c>
      <c r="D18" s="693">
        <f>+VTR!S69/1000</f>
        <v>0</v>
      </c>
      <c r="E18" s="693">
        <f>+VTR!T69/1000</f>
        <v>0</v>
      </c>
      <c r="F18" s="693">
        <f>+VTR!U69/1000</f>
        <v>0</v>
      </c>
      <c r="G18" s="693">
        <f>+VTR!V69/1000</f>
        <v>0</v>
      </c>
      <c r="H18" s="693">
        <f>+VTR!W69/1000</f>
        <v>0</v>
      </c>
      <c r="I18" s="693">
        <f>+VTR!X69/1000</f>
        <v>0</v>
      </c>
      <c r="J18" s="693">
        <f>+VTR!Y69/1000</f>
        <v>0</v>
      </c>
      <c r="K18" s="693">
        <f>+VTR!Z69/1000</f>
        <v>0</v>
      </c>
    </row>
    <row r="19" spans="1:11" ht="15.75">
      <c r="A19" s="692" t="s">
        <v>4</v>
      </c>
      <c r="B19" s="693">
        <f t="shared" ref="B19:K19" si="1">+B20-B18-B17</f>
        <v>33</v>
      </c>
      <c r="C19" s="693">
        <f t="shared" si="1"/>
        <v>35</v>
      </c>
      <c r="D19" s="693">
        <f t="shared" ca="1" si="1"/>
        <v>34.351872532884386</v>
      </c>
      <c r="E19" s="693">
        <f t="shared" ca="1" si="1"/>
        <v>36.413999999999987</v>
      </c>
      <c r="F19" s="693">
        <f t="shared" ca="1" si="1"/>
        <v>37.142279999999914</v>
      </c>
      <c r="G19" s="693">
        <f t="shared" ca="1" si="1"/>
        <v>37.885125600000038</v>
      </c>
      <c r="H19" s="693">
        <f t="shared" ca="1" si="1"/>
        <v>38.642828112000075</v>
      </c>
      <c r="I19" s="693">
        <f t="shared" ca="1" si="1"/>
        <v>39.415684674240083</v>
      </c>
      <c r="J19" s="693">
        <f t="shared" ca="1" si="1"/>
        <v>40.203998367724807</v>
      </c>
      <c r="K19" s="693">
        <f t="shared" ca="1" si="1"/>
        <v>41.00807833507929</v>
      </c>
    </row>
    <row r="20" spans="1:11" ht="15.75">
      <c r="A20" s="692" t="s">
        <v>7041</v>
      </c>
      <c r="B20" s="693">
        <f>+VTR!Q113</f>
        <v>580.6</v>
      </c>
      <c r="C20" s="693">
        <f>+VTR!R113</f>
        <v>617.6</v>
      </c>
      <c r="D20" s="693">
        <f>+VTR!S113</f>
        <v>649.2980869999999</v>
      </c>
      <c r="E20" s="693">
        <f ca="1">+VTR!T113</f>
        <v>681.50913231876928</v>
      </c>
      <c r="F20" s="693">
        <f ca="1">+VTR!U113</f>
        <v>712.25617993094431</v>
      </c>
      <c r="G20" s="693">
        <f ca="1">+VTR!V113</f>
        <v>743.92950525180675</v>
      </c>
      <c r="H20" s="693">
        <f ca="1">+VTR!W113</f>
        <v>776.58294773223349</v>
      </c>
      <c r="I20" s="693">
        <f ca="1">+VTR!X113</f>
        <v>810.27230846505859</v>
      </c>
      <c r="J20" s="693">
        <f ca="1">+VTR!Y113</f>
        <v>845.05545057967424</v>
      </c>
      <c r="K20" s="693">
        <f ca="1">+VTR!Z113</f>
        <v>880.9924040398364</v>
      </c>
    </row>
    <row r="21" spans="1:11" ht="15.75">
      <c r="A21" s="692"/>
      <c r="B21" s="693"/>
      <c r="C21" s="693"/>
      <c r="D21" s="693"/>
      <c r="E21" s="693"/>
      <c r="F21" s="693"/>
      <c r="G21" s="693"/>
      <c r="H21" s="693"/>
      <c r="I21" s="693"/>
      <c r="J21" s="693"/>
      <c r="K21" s="693"/>
    </row>
    <row r="22" spans="1:11" ht="15.75">
      <c r="A22" s="692" t="s">
        <v>8</v>
      </c>
      <c r="B22" s="693">
        <f>+VTR!Q119</f>
        <v>229.1</v>
      </c>
      <c r="C22" s="693">
        <f>+VTR!R119</f>
        <v>248.2</v>
      </c>
      <c r="D22" s="693">
        <f>+VTR!S119</f>
        <v>260.92897289828511</v>
      </c>
      <c r="E22" s="693">
        <f ca="1">+VTR!T119</f>
        <v>274.6500402962929</v>
      </c>
      <c r="F22" s="693">
        <f ca="1">+VTR!U119</f>
        <v>288.2418501038307</v>
      </c>
      <c r="G22" s="693">
        <f ca="1">+VTR!V119</f>
        <v>302.49175938482767</v>
      </c>
      <c r="H22" s="693">
        <f ca="1">+VTR!W119</f>
        <v>316.8325124572915</v>
      </c>
      <c r="I22" s="693">
        <f ca="1">+VTR!X119</f>
        <v>332.02970748168639</v>
      </c>
      <c r="J22" s="693">
        <f ca="1">+VTR!Y119</f>
        <v>347.49759145726307</v>
      </c>
      <c r="K22" s="693">
        <f ca="1">+VTR!Z119</f>
        <v>363.48385716313356</v>
      </c>
    </row>
    <row r="23" spans="1:11" ht="15.75">
      <c r="A23" s="692" t="s">
        <v>19</v>
      </c>
      <c r="B23" s="693">
        <f>+VTR!Q122</f>
        <v>132</v>
      </c>
      <c r="C23" s="693">
        <f>+VTR!R122</f>
        <v>137.9</v>
      </c>
      <c r="D23" s="693">
        <f>+VTR!S122</f>
        <v>136.35259826999999</v>
      </c>
      <c r="E23" s="693">
        <f ca="1">+VTR!T122</f>
        <v>143.11691778694154</v>
      </c>
      <c r="F23" s="693">
        <f ca="1">+VTR!U122</f>
        <v>142.45123598618886</v>
      </c>
      <c r="G23" s="693">
        <f ca="1">+VTR!V122</f>
        <v>141.34660599784328</v>
      </c>
      <c r="H23" s="693">
        <f ca="1">+VTR!W122</f>
        <v>146.77417712139214</v>
      </c>
      <c r="I23" s="693">
        <f ca="1">+VTR!X122</f>
        <v>152.33119399143101</v>
      </c>
      <c r="J23" s="693">
        <f ca="1">+VTR!Y122</f>
        <v>158.02536925839908</v>
      </c>
      <c r="K23" s="693">
        <f ca="1">+VTR!Z122</f>
        <v>163.86458715140958</v>
      </c>
    </row>
    <row r="24" spans="1:11" ht="15.75">
      <c r="A24" s="692" t="s">
        <v>7042</v>
      </c>
      <c r="B24" s="695"/>
      <c r="C24" s="695"/>
      <c r="D24" s="695"/>
      <c r="E24" s="695"/>
      <c r="F24" s="695"/>
      <c r="G24" s="695"/>
      <c r="H24" s="695"/>
      <c r="I24" s="695"/>
      <c r="J24" s="695"/>
      <c r="K24" s="695"/>
    </row>
    <row r="25" spans="1:11" ht="15.75">
      <c r="A25" s="692" t="s">
        <v>7043</v>
      </c>
      <c r="B25" s="695"/>
      <c r="C25" s="695"/>
      <c r="D25" s="695"/>
      <c r="E25" s="695"/>
      <c r="F25" s="695"/>
      <c r="G25" s="695"/>
      <c r="H25" s="695"/>
      <c r="I25" s="695"/>
      <c r="J25" s="695"/>
      <c r="K25" s="695"/>
    </row>
    <row r="31" spans="1:11">
      <c r="A31" t="s">
        <v>2544</v>
      </c>
    </row>
    <row r="33" spans="1:11" ht="15.75">
      <c r="A33" s="690"/>
      <c r="B33" s="691" t="s">
        <v>7036</v>
      </c>
      <c r="C33" s="691" t="s">
        <v>494</v>
      </c>
      <c r="D33" s="691" t="s">
        <v>495</v>
      </c>
      <c r="E33" s="691" t="s">
        <v>496</v>
      </c>
      <c r="F33" s="691" t="s">
        <v>497</v>
      </c>
      <c r="G33" s="691" t="s">
        <v>498</v>
      </c>
      <c r="H33" s="691" t="s">
        <v>499</v>
      </c>
      <c r="I33" s="691" t="s">
        <v>500</v>
      </c>
      <c r="J33" s="691" t="s">
        <v>501</v>
      </c>
      <c r="K33" s="691" t="s">
        <v>502</v>
      </c>
    </row>
    <row r="34" spans="1:11" ht="15.75">
      <c r="A34" s="692" t="s">
        <v>1784</v>
      </c>
      <c r="B34" s="693">
        <f>+PR!Q5</f>
        <v>1092.3</v>
      </c>
      <c r="C34" s="693">
        <f>+PR!R5</f>
        <v>1122.3</v>
      </c>
      <c r="D34" s="693">
        <f>+PR!S5</f>
        <v>1125.3</v>
      </c>
      <c r="E34" s="693">
        <f>+PR!T5</f>
        <v>1128.3</v>
      </c>
      <c r="F34" s="693">
        <f>+PR!U5</f>
        <v>1131.3</v>
      </c>
      <c r="G34" s="693">
        <f>+PR!V5</f>
        <v>1134.3</v>
      </c>
      <c r="H34" s="693">
        <f>+PR!W5</f>
        <v>1137.3</v>
      </c>
      <c r="I34" s="693">
        <f>+PR!X5</f>
        <v>1140.3</v>
      </c>
      <c r="J34" s="693">
        <f>+PR!Y5</f>
        <v>1143.3</v>
      </c>
      <c r="K34" s="693">
        <f>+PR!Z5</f>
        <v>1146.3</v>
      </c>
    </row>
    <row r="35" spans="1:11" ht="15.75">
      <c r="A35" s="692" t="s">
        <v>559</v>
      </c>
      <c r="B35" s="693">
        <f>+PR!Q6</f>
        <v>403.7</v>
      </c>
      <c r="C35" s="693">
        <f>+PR!R6</f>
        <v>403.7</v>
      </c>
      <c r="D35" s="693">
        <f>+PR!S6</f>
        <v>406.31299999999999</v>
      </c>
      <c r="E35" s="693">
        <f>+PR!T6</f>
        <v>408.95213000000001</v>
      </c>
      <c r="F35" s="693">
        <f>+PR!U6</f>
        <v>411.61765130000003</v>
      </c>
      <c r="G35" s="693">
        <f>+PR!V6</f>
        <v>414.30982781300003</v>
      </c>
      <c r="H35" s="693">
        <f>+PR!W6</f>
        <v>417.02892609113002</v>
      </c>
      <c r="I35" s="693">
        <f>+PR!X6</f>
        <v>419.7752153520413</v>
      </c>
      <c r="J35" s="693">
        <f>+PR!Y6</f>
        <v>422.54896750556173</v>
      </c>
      <c r="K35" s="693">
        <f>+PR!Z6</f>
        <v>425.35045718061735</v>
      </c>
    </row>
    <row r="36" spans="1:11" ht="15.75">
      <c r="A36" s="692" t="s">
        <v>1568</v>
      </c>
      <c r="B36" s="693">
        <f>+PR!Q10</f>
        <v>261.3</v>
      </c>
      <c r="C36" s="693">
        <f>+PR!R10</f>
        <v>261.3</v>
      </c>
      <c r="D36" s="693">
        <f>+PR!S10</f>
        <v>263.91300000000001</v>
      </c>
      <c r="E36" s="693">
        <f>+PR!T10</f>
        <v>266.55213000000003</v>
      </c>
      <c r="F36" s="693">
        <f>+PR!U10</f>
        <v>269.21765130000006</v>
      </c>
      <c r="G36" s="693">
        <f>+PR!V10</f>
        <v>271.90982781300005</v>
      </c>
      <c r="H36" s="693">
        <f>+PR!W10</f>
        <v>274.62892609113004</v>
      </c>
      <c r="I36" s="693">
        <f>+PR!X10</f>
        <v>277.37521535204132</v>
      </c>
      <c r="J36" s="693">
        <f>+PR!Y10</f>
        <v>280.14896750556176</v>
      </c>
      <c r="K36" s="693">
        <f>+PR!Z10</f>
        <v>282.95045718061738</v>
      </c>
    </row>
    <row r="37" spans="1:11" ht="15.75">
      <c r="A37" s="692" t="s">
        <v>564</v>
      </c>
      <c r="B37" s="693">
        <f>+PR!Q11</f>
        <v>329</v>
      </c>
      <c r="C37" s="693">
        <f>+PR!R11</f>
        <v>344</v>
      </c>
      <c r="D37" s="693">
        <f>+PR!S11</f>
        <v>359</v>
      </c>
      <c r="E37" s="693">
        <f>+PR!T11</f>
        <v>374</v>
      </c>
      <c r="F37" s="693">
        <f>+PR!U11</f>
        <v>389</v>
      </c>
      <c r="G37" s="693">
        <f>+PR!V11</f>
        <v>404</v>
      </c>
      <c r="H37" s="693">
        <f>+PR!W11</f>
        <v>419</v>
      </c>
      <c r="I37" s="693">
        <f>+PR!X11</f>
        <v>434</v>
      </c>
      <c r="J37" s="693">
        <f>+PR!Y11</f>
        <v>449</v>
      </c>
      <c r="K37" s="693">
        <f>+PR!Z11</f>
        <v>464</v>
      </c>
    </row>
    <row r="38" spans="1:11" ht="15.75">
      <c r="A38" s="692" t="s">
        <v>7037</v>
      </c>
      <c r="B38" s="693">
        <f>+PR!Q12</f>
        <v>208.8</v>
      </c>
      <c r="C38" s="693">
        <f>+PR!R12</f>
        <v>223.8</v>
      </c>
      <c r="D38" s="693">
        <f>+PR!S12</f>
        <v>238.8</v>
      </c>
      <c r="E38" s="693">
        <f>+PR!T12</f>
        <v>253.8</v>
      </c>
      <c r="F38" s="693">
        <f>+PR!U12</f>
        <v>268.8</v>
      </c>
      <c r="G38" s="693">
        <f>+PR!V12</f>
        <v>283.8</v>
      </c>
      <c r="H38" s="693">
        <f>+PR!W12</f>
        <v>298.8</v>
      </c>
      <c r="I38" s="693">
        <f>+PR!X12</f>
        <v>313.8</v>
      </c>
      <c r="J38" s="693">
        <f>+PR!Y12</f>
        <v>328.8</v>
      </c>
      <c r="K38" s="693">
        <f>+PR!Z12</f>
        <v>343.8</v>
      </c>
    </row>
    <row r="39" spans="1:11" ht="15.75">
      <c r="A39" s="692" t="s">
        <v>5</v>
      </c>
      <c r="B39" s="693">
        <f>+PR!Q13</f>
        <v>0</v>
      </c>
      <c r="C39" s="693">
        <f>+PR!R13</f>
        <v>0</v>
      </c>
      <c r="D39" s="693">
        <f>+PR!S13</f>
        <v>0</v>
      </c>
      <c r="E39" s="693">
        <f>+PR!T13</f>
        <v>0</v>
      </c>
      <c r="F39" s="693">
        <f>+PR!U13</f>
        <v>0</v>
      </c>
      <c r="G39" s="693">
        <f>+PR!V13</f>
        <v>0</v>
      </c>
      <c r="H39" s="693">
        <f>+PR!W13</f>
        <v>0</v>
      </c>
      <c r="I39" s="693">
        <f>+PR!X13</f>
        <v>0</v>
      </c>
      <c r="J39" s="693">
        <f>+PR!Y13</f>
        <v>0</v>
      </c>
      <c r="K39" s="693">
        <f>+PR!Z13</f>
        <v>0</v>
      </c>
    </row>
    <row r="40" spans="1:11" ht="15.75">
      <c r="A40" s="692"/>
      <c r="B40" s="693"/>
      <c r="C40" s="693"/>
      <c r="D40" s="693"/>
      <c r="E40" s="693"/>
      <c r="F40" s="693"/>
      <c r="G40" s="693"/>
      <c r="H40" s="693"/>
      <c r="I40" s="693"/>
      <c r="J40" s="693"/>
      <c r="K40" s="693"/>
    </row>
    <row r="41" spans="1:11" ht="15.75">
      <c r="A41" s="692" t="s">
        <v>7038</v>
      </c>
      <c r="B41" s="693"/>
      <c r="C41" s="693"/>
      <c r="D41" s="693"/>
      <c r="E41" s="693"/>
      <c r="F41" s="693"/>
      <c r="G41" s="693"/>
      <c r="H41" s="693"/>
      <c r="I41" s="693"/>
      <c r="J41" s="693"/>
      <c r="K41" s="693"/>
    </row>
    <row r="42" spans="1:11" ht="15.75">
      <c r="A42" s="692" t="s">
        <v>1568</v>
      </c>
      <c r="B42" s="693"/>
      <c r="C42" s="693"/>
      <c r="D42" s="693"/>
      <c r="E42" s="693"/>
      <c r="F42" s="693"/>
      <c r="G42" s="693"/>
      <c r="H42" s="693"/>
      <c r="I42" s="693"/>
      <c r="J42" s="693"/>
      <c r="K42" s="693"/>
    </row>
    <row r="43" spans="1:11" ht="15.75">
      <c r="A43" s="692" t="s">
        <v>564</v>
      </c>
      <c r="B43" s="693"/>
      <c r="C43" s="693"/>
      <c r="D43" s="693"/>
      <c r="E43" s="693"/>
      <c r="F43" s="693"/>
      <c r="G43" s="693"/>
      <c r="H43" s="693"/>
      <c r="I43" s="693"/>
      <c r="J43" s="693"/>
      <c r="K43" s="693"/>
    </row>
    <row r="44" spans="1:11" ht="15.75">
      <c r="A44" s="692" t="s">
        <v>565</v>
      </c>
      <c r="B44" s="693"/>
      <c r="C44" s="693"/>
      <c r="D44" s="693"/>
      <c r="E44" s="693"/>
      <c r="F44" s="693"/>
      <c r="G44" s="693"/>
      <c r="H44" s="693"/>
      <c r="I44" s="693"/>
      <c r="J44" s="693"/>
      <c r="K44" s="693"/>
    </row>
    <row r="45" spans="1:11" ht="15.75">
      <c r="A45" s="692" t="s">
        <v>7039</v>
      </c>
      <c r="B45" s="694">
        <f>+PR!Q77</f>
        <v>381.66560000000004</v>
      </c>
      <c r="C45" s="694">
        <f>+PR!R77</f>
        <v>283.90108473502534</v>
      </c>
      <c r="D45" s="694">
        <f>+PR!S77</f>
        <v>282.2888096552997</v>
      </c>
      <c r="E45" s="694">
        <f>+PR!T77</f>
        <v>345.95587540748579</v>
      </c>
      <c r="F45" s="694">
        <f>+PR!U77</f>
        <v>351.64487639918855</v>
      </c>
      <c r="G45" s="694">
        <f>+PR!V77</f>
        <v>356.97797165808868</v>
      </c>
      <c r="H45" s="694">
        <f>+PR!W77</f>
        <v>361.96701943919999</v>
      </c>
      <c r="I45" s="694">
        <f>+PR!X77</f>
        <v>366.62354707384264</v>
      </c>
      <c r="J45" s="694">
        <f>+PR!Y77</f>
        <v>370.95875945263788</v>
      </c>
      <c r="K45" s="694">
        <f>+PR!Z77</f>
        <v>374.98354730166108</v>
      </c>
    </row>
    <row r="46" spans="1:11" ht="15.75">
      <c r="A46" s="692" t="s">
        <v>5</v>
      </c>
      <c r="B46" s="693">
        <f>+PR!Q64</f>
        <v>0</v>
      </c>
      <c r="C46" s="693">
        <f>+PR!R64</f>
        <v>0</v>
      </c>
      <c r="D46" s="693">
        <f>+PR!S64</f>
        <v>0</v>
      </c>
      <c r="E46" s="693">
        <f>+PR!T64</f>
        <v>0</v>
      </c>
      <c r="F46" s="693">
        <f>+PR!U64</f>
        <v>0</v>
      </c>
      <c r="G46" s="693">
        <f>+PR!V64</f>
        <v>0</v>
      </c>
      <c r="H46" s="693">
        <f>+PR!W64</f>
        <v>0</v>
      </c>
      <c r="I46" s="693">
        <f>+PR!X64</f>
        <v>0</v>
      </c>
      <c r="J46" s="693">
        <f>+PR!Y64</f>
        <v>0</v>
      </c>
      <c r="K46" s="693">
        <f>+PR!Z64</f>
        <v>0</v>
      </c>
    </row>
    <row r="47" spans="1:11" ht="15.75">
      <c r="A47" s="692" t="s">
        <v>7040</v>
      </c>
      <c r="B47" s="694">
        <f t="shared" ref="B47:K47" si="2">+B46+B45</f>
        <v>381.66560000000004</v>
      </c>
      <c r="C47" s="694">
        <f t="shared" si="2"/>
        <v>283.90108473502534</v>
      </c>
      <c r="D47" s="694">
        <f t="shared" si="2"/>
        <v>282.2888096552997</v>
      </c>
      <c r="E47" s="694">
        <f t="shared" si="2"/>
        <v>345.95587540748579</v>
      </c>
      <c r="F47" s="694">
        <f t="shared" si="2"/>
        <v>351.64487639918855</v>
      </c>
      <c r="G47" s="694">
        <f t="shared" si="2"/>
        <v>356.97797165808868</v>
      </c>
      <c r="H47" s="694">
        <f t="shared" si="2"/>
        <v>361.96701943919999</v>
      </c>
      <c r="I47" s="694">
        <f t="shared" si="2"/>
        <v>366.62354707384264</v>
      </c>
      <c r="J47" s="694">
        <f t="shared" si="2"/>
        <v>370.95875945263788</v>
      </c>
      <c r="K47" s="694">
        <f t="shared" si="2"/>
        <v>374.98354730166108</v>
      </c>
    </row>
    <row r="48" spans="1:11" ht="15.75">
      <c r="A48" s="692" t="s">
        <v>2412</v>
      </c>
      <c r="B48" s="693">
        <f>+PR!Q65</f>
        <v>39.134399999999999</v>
      </c>
      <c r="C48" s="693">
        <f>+PR!R65</f>
        <v>40.699776</v>
      </c>
      <c r="D48" s="693">
        <f>+PR!S65</f>
        <v>42.327767040000005</v>
      </c>
      <c r="E48" s="693">
        <f>+PR!T65</f>
        <v>44.020877721600009</v>
      </c>
      <c r="F48" s="693">
        <f>+PR!U65</f>
        <v>45.781712830464009</v>
      </c>
      <c r="G48" s="693">
        <f>+PR!V65</f>
        <v>47.61298134368257</v>
      </c>
      <c r="H48" s="693">
        <f>+PR!W65</f>
        <v>49.517500597429873</v>
      </c>
      <c r="I48" s="693">
        <f>+PR!X65</f>
        <v>51.498200621327072</v>
      </c>
      <c r="J48" s="693">
        <f>+PR!Y65</f>
        <v>53.558128646180158</v>
      </c>
      <c r="K48" s="693">
        <f>+PR!Z65</f>
        <v>55.700453792027368</v>
      </c>
    </row>
    <row r="49" spans="1:11" ht="15.75">
      <c r="A49" s="692" t="s">
        <v>4</v>
      </c>
      <c r="B49" s="693">
        <f t="shared" ref="B49:K49" si="3">+B50-B48-B47</f>
        <v>0</v>
      </c>
      <c r="C49" s="693">
        <f t="shared" si="3"/>
        <v>-3.6008607350253214</v>
      </c>
      <c r="D49" s="693">
        <f t="shared" si="3"/>
        <v>0</v>
      </c>
      <c r="E49" s="693">
        <f t="shared" si="3"/>
        <v>0</v>
      </c>
      <c r="F49" s="693">
        <f t="shared" si="3"/>
        <v>0</v>
      </c>
      <c r="G49" s="693">
        <f t="shared" si="3"/>
        <v>0</v>
      </c>
      <c r="H49" s="693">
        <f t="shared" si="3"/>
        <v>0</v>
      </c>
      <c r="I49" s="693">
        <f t="shared" si="3"/>
        <v>0</v>
      </c>
      <c r="J49" s="693">
        <f t="shared" si="3"/>
        <v>0</v>
      </c>
      <c r="K49" s="693">
        <f t="shared" si="3"/>
        <v>0</v>
      </c>
    </row>
    <row r="50" spans="1:11" ht="15.75">
      <c r="A50" s="692" t="s">
        <v>7041</v>
      </c>
      <c r="B50" s="693">
        <f>+PR!Q109</f>
        <v>420.8</v>
      </c>
      <c r="C50" s="693">
        <f>+PR!R109</f>
        <v>321</v>
      </c>
      <c r="D50" s="693">
        <f>+PR!S109</f>
        <v>324.61657669529973</v>
      </c>
      <c r="E50" s="693">
        <f>+PR!T109</f>
        <v>389.97675312908581</v>
      </c>
      <c r="F50" s="693">
        <f>+PR!U109</f>
        <v>397.42658922965256</v>
      </c>
      <c r="G50" s="693">
        <f>+PR!V109</f>
        <v>404.59095300177125</v>
      </c>
      <c r="H50" s="693">
        <f>+PR!W109</f>
        <v>411.48452003662987</v>
      </c>
      <c r="I50" s="693">
        <f>+PR!X109</f>
        <v>418.12174769516969</v>
      </c>
      <c r="J50" s="693">
        <f>+PR!Y109</f>
        <v>424.51688809881801</v>
      </c>
      <c r="K50" s="693">
        <f>+PR!Z109</f>
        <v>430.68400109368844</v>
      </c>
    </row>
    <row r="51" spans="1:11" ht="15.75">
      <c r="A51" s="692"/>
      <c r="B51" s="693"/>
      <c r="C51" s="693"/>
      <c r="D51" s="693"/>
      <c r="E51" s="693"/>
      <c r="F51" s="693"/>
      <c r="G51" s="693"/>
      <c r="H51" s="693"/>
      <c r="I51" s="693"/>
      <c r="J51" s="693"/>
      <c r="K51" s="693"/>
    </row>
    <row r="52" spans="1:11" ht="15.75">
      <c r="A52" s="692" t="s">
        <v>8</v>
      </c>
      <c r="B52" s="693">
        <f>+PR!Q115</f>
        <v>198.8</v>
      </c>
      <c r="C52" s="693">
        <f>+PR!R115</f>
        <v>133</v>
      </c>
      <c r="D52" s="693">
        <f>+PR!S115</f>
        <v>133.90433788681116</v>
      </c>
      <c r="E52" s="693">
        <f>+PR!T115</f>
        <v>175.4895389080886</v>
      </c>
      <c r="F52" s="693">
        <f>+PR!U115</f>
        <v>178.84196515334364</v>
      </c>
      <c r="G52" s="693">
        <f>+PR!V115</f>
        <v>186.11183838081476</v>
      </c>
      <c r="H52" s="693">
        <f>+PR!W115</f>
        <v>193.39772441721604</v>
      </c>
      <c r="I52" s="693">
        <f>+PR!X115</f>
        <v>196.51722141672974</v>
      </c>
      <c r="J52" s="693">
        <f>+PR!Y115</f>
        <v>199.5229374064445</v>
      </c>
      <c r="K52" s="693">
        <f>+PR!Z115</f>
        <v>202.42148051403356</v>
      </c>
    </row>
    <row r="53" spans="1:11" ht="15.75">
      <c r="A53" s="692" t="s">
        <v>19</v>
      </c>
      <c r="B53" s="693">
        <f>+PR!Q118</f>
        <v>91</v>
      </c>
      <c r="C53" s="693">
        <f>+PR!R118</f>
        <v>132</v>
      </c>
      <c r="D53" s="693">
        <f>+PR!S118</f>
        <v>155.81595681374387</v>
      </c>
      <c r="E53" s="693">
        <f>+PR!T118</f>
        <v>85.794885688398878</v>
      </c>
      <c r="F53" s="693">
        <f>+PR!U118</f>
        <v>75.511051953633995</v>
      </c>
      <c r="G53" s="693">
        <f>+PR!V118</f>
        <v>76.872281070336541</v>
      </c>
      <c r="H53" s="693">
        <f>+PR!W118</f>
        <v>74.06721360659337</v>
      </c>
      <c r="I53" s="693">
        <f>+PR!X118</f>
        <v>75.26191458513054</v>
      </c>
      <c r="J53" s="693">
        <f>+PR!Y118</f>
        <v>76.41303985778724</v>
      </c>
      <c r="K53" s="693">
        <f>+PR!Z118</f>
        <v>77.523120196863914</v>
      </c>
    </row>
    <row r="54" spans="1:11" ht="15.75">
      <c r="A54" s="692" t="s">
        <v>7042</v>
      </c>
      <c r="B54" s="695"/>
      <c r="C54" s="695"/>
      <c r="D54" s="695"/>
      <c r="E54" s="695"/>
      <c r="F54" s="695"/>
      <c r="G54" s="695"/>
      <c r="H54" s="695"/>
      <c r="I54" s="695"/>
      <c r="J54" s="695"/>
      <c r="K54" s="695"/>
    </row>
    <row r="55" spans="1:11" ht="15.75">
      <c r="A55" s="692" t="s">
        <v>7043</v>
      </c>
      <c r="B55" s="695"/>
      <c r="C55" s="695"/>
      <c r="D55" s="695"/>
      <c r="E55" s="695"/>
      <c r="F55" s="695"/>
      <c r="G55" s="695"/>
      <c r="H55" s="695"/>
      <c r="I55" s="695"/>
      <c r="J55" s="695"/>
      <c r="K55" s="69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N389"/>
  <sheetViews>
    <sheetView zoomScale="70" zoomScaleNormal="70" workbookViewId="0">
      <pane xSplit="1" ySplit="1" topLeftCell="B2" activePane="bottomRight" state="frozen"/>
      <selection activeCell="P119" sqref="P119"/>
      <selection pane="topRight" activeCell="P119" sqref="P119"/>
      <selection pane="bottomLeft" activeCell="P119" sqref="P119"/>
      <selection pane="bottomRight" activeCell="CF293" sqref="CF293"/>
    </sheetView>
  </sheetViews>
  <sheetFormatPr defaultColWidth="9.140625" defaultRowHeight="15" outlineLevelCol="1"/>
  <cols>
    <col min="1" max="1" width="43" style="92" customWidth="1"/>
    <col min="2" max="10" width="9.140625" style="92" customWidth="1" outlineLevel="1"/>
    <col min="11" max="26" width="9.140625" style="92" customWidth="1"/>
    <col min="27" max="27" width="8.140625" style="92" customWidth="1"/>
    <col min="28" max="28" width="40" style="92" bestFit="1" customWidth="1"/>
    <col min="29" max="53" width="9.140625" style="92" customWidth="1" outlineLevel="1"/>
    <col min="54" max="57" width="9.7109375" style="92" customWidth="1" outlineLevel="1"/>
    <col min="58" max="81" width="9.7109375" style="92" customWidth="1"/>
    <col min="82" max="82" width="10.140625" style="92" bestFit="1" customWidth="1"/>
    <col min="83" max="16384" width="9.140625" style="92"/>
  </cols>
  <sheetData>
    <row r="1" spans="1:82" ht="23.25" customHeight="1">
      <c r="A1" s="89" t="s">
        <v>492</v>
      </c>
      <c r="B1" s="90">
        <v>2001</v>
      </c>
      <c r="C1" s="90">
        <v>2002</v>
      </c>
      <c r="D1" s="90">
        <v>2003</v>
      </c>
      <c r="E1" s="90">
        <v>2004</v>
      </c>
      <c r="F1" s="90">
        <v>2005</v>
      </c>
      <c r="G1" s="90">
        <v>2006</v>
      </c>
      <c r="H1" s="90">
        <v>2007</v>
      </c>
      <c r="I1" s="90">
        <v>2008</v>
      </c>
      <c r="J1" s="90">
        <v>2009</v>
      </c>
      <c r="K1" s="90">
        <v>2010</v>
      </c>
      <c r="L1" s="90">
        <v>2011</v>
      </c>
      <c r="M1" s="90">
        <v>2012</v>
      </c>
      <c r="N1" s="90">
        <v>2013</v>
      </c>
      <c r="O1" s="90">
        <v>2014</v>
      </c>
      <c r="P1" s="90">
        <v>2015</v>
      </c>
      <c r="Q1" s="90">
        <v>2016</v>
      </c>
      <c r="R1" s="90">
        <v>2017</v>
      </c>
      <c r="S1" s="90" t="s">
        <v>495</v>
      </c>
      <c r="T1" s="90" t="s">
        <v>496</v>
      </c>
      <c r="U1" s="90" t="s">
        <v>497</v>
      </c>
      <c r="V1" s="90" t="s">
        <v>498</v>
      </c>
      <c r="W1" s="90" t="s">
        <v>499</v>
      </c>
      <c r="X1" s="90" t="s">
        <v>500</v>
      </c>
      <c r="Y1" s="90" t="s">
        <v>501</v>
      </c>
      <c r="Z1" s="90" t="s">
        <v>502</v>
      </c>
      <c r="AA1" s="91"/>
      <c r="AB1" s="89" t="str">
        <f>A1</f>
        <v>Chile (VTR)</v>
      </c>
      <c r="AC1" s="90" t="s">
        <v>503</v>
      </c>
      <c r="AD1" s="90" t="s">
        <v>504</v>
      </c>
      <c r="AE1" s="90" t="s">
        <v>505</v>
      </c>
      <c r="AF1" s="90" t="s">
        <v>506</v>
      </c>
      <c r="AG1" s="90" t="s">
        <v>507</v>
      </c>
      <c r="AH1" s="90" t="s">
        <v>508</v>
      </c>
      <c r="AI1" s="90" t="s">
        <v>509</v>
      </c>
      <c r="AJ1" s="90" t="s">
        <v>510</v>
      </c>
      <c r="AK1" s="90" t="s">
        <v>511</v>
      </c>
      <c r="AL1" s="90" t="s">
        <v>512</v>
      </c>
      <c r="AM1" s="90" t="s">
        <v>513</v>
      </c>
      <c r="AN1" s="90" t="s">
        <v>514</v>
      </c>
      <c r="AO1" s="90" t="s">
        <v>515</v>
      </c>
      <c r="AP1" s="90" t="s">
        <v>516</v>
      </c>
      <c r="AQ1" s="90" t="s">
        <v>517</v>
      </c>
      <c r="AR1" s="90" t="s">
        <v>518</v>
      </c>
      <c r="AS1" s="90" t="s">
        <v>519</v>
      </c>
      <c r="AT1" s="90" t="s">
        <v>520</v>
      </c>
      <c r="AU1" s="90" t="s">
        <v>521</v>
      </c>
      <c r="AV1" s="90" t="s">
        <v>522</v>
      </c>
      <c r="AW1" s="90" t="s">
        <v>523</v>
      </c>
      <c r="AX1" s="90" t="s">
        <v>524</v>
      </c>
      <c r="AY1" s="90" t="s">
        <v>525</v>
      </c>
      <c r="AZ1" s="90" t="s">
        <v>526</v>
      </c>
      <c r="BA1" s="90" t="s">
        <v>527</v>
      </c>
      <c r="BB1" s="90" t="s">
        <v>528</v>
      </c>
      <c r="BC1" s="90" t="s">
        <v>529</v>
      </c>
      <c r="BD1" s="90" t="s">
        <v>530</v>
      </c>
      <c r="BE1" s="90" t="s">
        <v>531</v>
      </c>
      <c r="BF1" s="90" t="s">
        <v>532</v>
      </c>
      <c r="BG1" s="90" t="s">
        <v>533</v>
      </c>
      <c r="BH1" s="90" t="s">
        <v>534</v>
      </c>
      <c r="BI1" s="90" t="s">
        <v>535</v>
      </c>
      <c r="BJ1" s="90" t="s">
        <v>536</v>
      </c>
      <c r="BK1" s="90" t="s">
        <v>537</v>
      </c>
      <c r="BL1" s="90" t="s">
        <v>538</v>
      </c>
      <c r="BM1" s="90" t="s">
        <v>539</v>
      </c>
      <c r="BN1" s="90" t="s">
        <v>540</v>
      </c>
      <c r="BO1" s="90" t="s">
        <v>541</v>
      </c>
      <c r="BP1" s="90" t="s">
        <v>542</v>
      </c>
      <c r="BQ1" s="90" t="s">
        <v>543</v>
      </c>
      <c r="BR1" s="90" t="s">
        <v>544</v>
      </c>
      <c r="BS1" s="90" t="s">
        <v>545</v>
      </c>
      <c r="BT1" s="90" t="s">
        <v>546</v>
      </c>
      <c r="BU1" s="90" t="s">
        <v>547</v>
      </c>
      <c r="BV1" s="90" t="s">
        <v>548</v>
      </c>
      <c r="BW1" s="90" t="s">
        <v>549</v>
      </c>
      <c r="BX1" s="90" t="s">
        <v>550</v>
      </c>
      <c r="BY1" s="90" t="s">
        <v>551</v>
      </c>
      <c r="BZ1" s="90" t="s">
        <v>552</v>
      </c>
      <c r="CA1" s="90" t="s">
        <v>553</v>
      </c>
      <c r="CB1" s="90" t="s">
        <v>554</v>
      </c>
      <c r="CC1" s="90" t="s">
        <v>555</v>
      </c>
      <c r="CD1" s="90" t="s">
        <v>556</v>
      </c>
    </row>
    <row r="2" spans="1:82" ht="15" customHeight="1">
      <c r="B2" s="91"/>
      <c r="C2" s="91"/>
      <c r="D2" s="91"/>
      <c r="E2" s="91"/>
      <c r="F2" s="91"/>
      <c r="G2" s="91"/>
      <c r="H2" s="91"/>
      <c r="I2" s="91"/>
      <c r="J2" s="91"/>
      <c r="K2" s="91"/>
      <c r="L2" s="91"/>
      <c r="M2" s="91"/>
      <c r="N2" s="91"/>
      <c r="O2" s="91"/>
      <c r="P2" s="91"/>
      <c r="Q2" s="91"/>
      <c r="R2" s="91"/>
      <c r="S2" s="91"/>
      <c r="T2" s="91"/>
      <c r="U2" s="91"/>
      <c r="V2" s="91"/>
      <c r="W2" s="91"/>
      <c r="X2" s="91"/>
      <c r="Y2" s="91"/>
      <c r="Z2" s="91"/>
      <c r="AA2" s="91"/>
    </row>
    <row r="3" spans="1:82">
      <c r="A3" s="93" t="str">
        <f>CONCATENATE(A$1," KPIs")</f>
        <v>Chile (VTR) KPIs</v>
      </c>
      <c r="B3" s="94">
        <f>+B$1</f>
        <v>2001</v>
      </c>
      <c r="C3" s="94">
        <f t="shared" ref="C3:Z3" si="0">+C$1</f>
        <v>2002</v>
      </c>
      <c r="D3" s="94">
        <f t="shared" si="0"/>
        <v>2003</v>
      </c>
      <c r="E3" s="94">
        <f t="shared" si="0"/>
        <v>2004</v>
      </c>
      <c r="F3" s="94">
        <f t="shared" si="0"/>
        <v>2005</v>
      </c>
      <c r="G3" s="94">
        <f t="shared" si="0"/>
        <v>2006</v>
      </c>
      <c r="H3" s="94">
        <f t="shared" si="0"/>
        <v>2007</v>
      </c>
      <c r="I3" s="94">
        <f t="shared" si="0"/>
        <v>2008</v>
      </c>
      <c r="J3" s="94">
        <f t="shared" si="0"/>
        <v>2009</v>
      </c>
      <c r="K3" s="94">
        <f t="shared" si="0"/>
        <v>2010</v>
      </c>
      <c r="L3" s="94">
        <f t="shared" si="0"/>
        <v>2011</v>
      </c>
      <c r="M3" s="94">
        <f t="shared" si="0"/>
        <v>2012</v>
      </c>
      <c r="N3" s="94">
        <f t="shared" si="0"/>
        <v>2013</v>
      </c>
      <c r="O3" s="94">
        <f t="shared" si="0"/>
        <v>2014</v>
      </c>
      <c r="P3" s="94">
        <f t="shared" si="0"/>
        <v>2015</v>
      </c>
      <c r="Q3" s="94">
        <f t="shared" si="0"/>
        <v>2016</v>
      </c>
      <c r="R3" s="94">
        <f>+R$1</f>
        <v>2017</v>
      </c>
      <c r="S3" s="94" t="str">
        <f t="shared" si="0"/>
        <v>2018E</v>
      </c>
      <c r="T3" s="94" t="str">
        <f t="shared" si="0"/>
        <v>2019E</v>
      </c>
      <c r="U3" s="94" t="str">
        <f t="shared" si="0"/>
        <v>2020E</v>
      </c>
      <c r="V3" s="94" t="str">
        <f t="shared" si="0"/>
        <v>2021E</v>
      </c>
      <c r="W3" s="94" t="str">
        <f t="shared" si="0"/>
        <v>2022E</v>
      </c>
      <c r="X3" s="94" t="str">
        <f t="shared" si="0"/>
        <v>2023E</v>
      </c>
      <c r="Y3" s="94" t="str">
        <f t="shared" si="0"/>
        <v>2024E</v>
      </c>
      <c r="Z3" s="94" t="str">
        <f t="shared" si="0"/>
        <v>2025E</v>
      </c>
      <c r="AA3" s="91"/>
      <c r="AB3" s="95" t="str">
        <f>A3</f>
        <v>Chile (VTR) KPIs</v>
      </c>
      <c r="AC3" s="94" t="str">
        <f>+AC$1</f>
        <v>Q4 01</v>
      </c>
      <c r="AD3" s="94" t="str">
        <f t="shared" ref="AD3:CD3" si="1">+AD$1</f>
        <v>Q1 02</v>
      </c>
      <c r="AE3" s="94" t="str">
        <f t="shared" si="1"/>
        <v>Q2 02</v>
      </c>
      <c r="AF3" s="94" t="str">
        <f t="shared" si="1"/>
        <v>Q3 02</v>
      </c>
      <c r="AG3" s="94" t="str">
        <f t="shared" si="1"/>
        <v>Q4 02</v>
      </c>
      <c r="AH3" s="94" t="str">
        <f t="shared" si="1"/>
        <v>Q1 03</v>
      </c>
      <c r="AI3" s="94" t="str">
        <f t="shared" si="1"/>
        <v>Q2 03</v>
      </c>
      <c r="AJ3" s="94" t="str">
        <f t="shared" si="1"/>
        <v>Q3 03</v>
      </c>
      <c r="AK3" s="94" t="str">
        <f t="shared" si="1"/>
        <v>Q4 03</v>
      </c>
      <c r="AL3" s="94" t="str">
        <f t="shared" si="1"/>
        <v>1Q04</v>
      </c>
      <c r="AM3" s="94" t="str">
        <f t="shared" si="1"/>
        <v>Q2 04</v>
      </c>
      <c r="AN3" s="94" t="str">
        <f t="shared" si="1"/>
        <v>Q3 04</v>
      </c>
      <c r="AO3" s="94" t="str">
        <f t="shared" si="1"/>
        <v>Q4 04</v>
      </c>
      <c r="AP3" s="94" t="str">
        <f t="shared" si="1"/>
        <v>Q1 05</v>
      </c>
      <c r="AQ3" s="94" t="str">
        <f t="shared" si="1"/>
        <v>Q2 05</v>
      </c>
      <c r="AR3" s="94" t="str">
        <f t="shared" si="1"/>
        <v>Q3 05</v>
      </c>
      <c r="AS3" s="94" t="str">
        <f t="shared" si="1"/>
        <v>Q4 05</v>
      </c>
      <c r="AT3" s="94" t="str">
        <f t="shared" si="1"/>
        <v>Q1 06</v>
      </c>
      <c r="AU3" s="94" t="str">
        <f t="shared" si="1"/>
        <v>Q2 06</v>
      </c>
      <c r="AV3" s="94" t="str">
        <f t="shared" si="1"/>
        <v>Q3 06</v>
      </c>
      <c r="AW3" s="94" t="str">
        <f t="shared" si="1"/>
        <v>Q4 06</v>
      </c>
      <c r="AX3" s="94" t="str">
        <f t="shared" si="1"/>
        <v>Q1 07</v>
      </c>
      <c r="AY3" s="94" t="str">
        <f t="shared" si="1"/>
        <v>Q2 07</v>
      </c>
      <c r="AZ3" s="94" t="str">
        <f t="shared" si="1"/>
        <v>Q3 07</v>
      </c>
      <c r="BA3" s="94" t="str">
        <f t="shared" si="1"/>
        <v>Q4 07</v>
      </c>
      <c r="BB3" s="94" t="str">
        <f t="shared" si="1"/>
        <v>Q1 08</v>
      </c>
      <c r="BC3" s="94" t="str">
        <f t="shared" si="1"/>
        <v>Q2 08</v>
      </c>
      <c r="BD3" s="94" t="str">
        <f t="shared" si="1"/>
        <v>Q3 08</v>
      </c>
      <c r="BE3" s="94" t="str">
        <f t="shared" si="1"/>
        <v>Q4 08</v>
      </c>
      <c r="BF3" s="94" t="str">
        <f t="shared" si="1"/>
        <v>Q1 09</v>
      </c>
      <c r="BG3" s="94" t="str">
        <f t="shared" si="1"/>
        <v>Q2 09</v>
      </c>
      <c r="BH3" s="94" t="str">
        <f t="shared" si="1"/>
        <v>Q3 09</v>
      </c>
      <c r="BI3" s="94" t="str">
        <f t="shared" si="1"/>
        <v>Q4 09</v>
      </c>
      <c r="BJ3" s="94" t="str">
        <f t="shared" si="1"/>
        <v>Q1 10</v>
      </c>
      <c r="BK3" s="94" t="str">
        <f t="shared" si="1"/>
        <v>Q2 10</v>
      </c>
      <c r="BL3" s="94" t="str">
        <f t="shared" si="1"/>
        <v>Q3 10</v>
      </c>
      <c r="BM3" s="94" t="str">
        <f t="shared" si="1"/>
        <v>Q4 10</v>
      </c>
      <c r="BN3" s="94" t="str">
        <f t="shared" si="1"/>
        <v>Q1 11</v>
      </c>
      <c r="BO3" s="94" t="str">
        <f t="shared" si="1"/>
        <v>Q2 11</v>
      </c>
      <c r="BP3" s="94" t="str">
        <f t="shared" si="1"/>
        <v>Q3 11</v>
      </c>
      <c r="BQ3" s="94" t="str">
        <f t="shared" si="1"/>
        <v>Q4 11</v>
      </c>
      <c r="BR3" s="94" t="str">
        <f t="shared" si="1"/>
        <v>Q1 12</v>
      </c>
      <c r="BS3" s="94" t="str">
        <f t="shared" si="1"/>
        <v>Q2 12</v>
      </c>
      <c r="BT3" s="94" t="str">
        <f t="shared" si="1"/>
        <v>Q3 12</v>
      </c>
      <c r="BU3" s="94" t="str">
        <f t="shared" si="1"/>
        <v>Q4 12</v>
      </c>
      <c r="BV3" s="94" t="str">
        <f t="shared" si="1"/>
        <v>Q1 13</v>
      </c>
      <c r="BW3" s="94" t="str">
        <f t="shared" si="1"/>
        <v>Q2 13</v>
      </c>
      <c r="BX3" s="94" t="str">
        <f t="shared" si="1"/>
        <v>Q3 13</v>
      </c>
      <c r="BY3" s="94" t="str">
        <f t="shared" si="1"/>
        <v>Q4 13</v>
      </c>
      <c r="BZ3" s="94" t="str">
        <f t="shared" si="1"/>
        <v>Q1 14</v>
      </c>
      <c r="CA3" s="94" t="str">
        <f t="shared" si="1"/>
        <v>Q2 14</v>
      </c>
      <c r="CB3" s="94" t="str">
        <f t="shared" si="1"/>
        <v>Q3 14</v>
      </c>
      <c r="CC3" s="94" t="str">
        <f t="shared" si="1"/>
        <v>Q4 14</v>
      </c>
      <c r="CD3" s="94" t="str">
        <f t="shared" si="1"/>
        <v>Q1 15</v>
      </c>
    </row>
    <row r="4" spans="1:82" ht="15" customHeight="1">
      <c r="A4" s="92" t="s">
        <v>557</v>
      </c>
      <c r="B4" s="96">
        <v>1666.2</v>
      </c>
      <c r="C4" s="96">
        <v>1692.2</v>
      </c>
      <c r="D4" s="96">
        <v>1752.1</v>
      </c>
      <c r="E4" s="96">
        <v>1793.9</v>
      </c>
      <c r="F4" s="96">
        <v>2171.9</v>
      </c>
      <c r="G4" s="96">
        <v>2343.6999999999998</v>
      </c>
      <c r="H4" s="96">
        <v>2441.1999999999998</v>
      </c>
      <c r="I4" s="96">
        <v>2523</v>
      </c>
      <c r="J4" s="96">
        <v>2610.9</v>
      </c>
      <c r="K4" s="96">
        <v>2679.3</v>
      </c>
      <c r="L4" s="96">
        <v>2758.3</v>
      </c>
      <c r="M4" s="96">
        <v>2861.1</v>
      </c>
      <c r="N4" s="96">
        <v>2927.3</v>
      </c>
      <c r="O4" s="96">
        <v>2978.8</v>
      </c>
      <c r="P4" s="96">
        <v>3061.5</v>
      </c>
      <c r="Q4" s="96">
        <v>3216.6</v>
      </c>
      <c r="R4" s="96">
        <f>'LiLAC valuation'!U224</f>
        <v>3394.7</v>
      </c>
      <c r="S4" s="96">
        <f>'LiLAC valuation'!Y224</f>
        <v>3517.7</v>
      </c>
      <c r="T4" s="97">
        <f t="shared" ref="T4:Z4" si="2">+S4+T30</f>
        <v>3557.7</v>
      </c>
      <c r="U4" s="97">
        <f t="shared" si="2"/>
        <v>3597.7</v>
      </c>
      <c r="V4" s="97">
        <f t="shared" si="2"/>
        <v>3637.7</v>
      </c>
      <c r="W4" s="97">
        <f t="shared" si="2"/>
        <v>3677.7</v>
      </c>
      <c r="X4" s="97">
        <f t="shared" si="2"/>
        <v>3717.7</v>
      </c>
      <c r="Y4" s="97">
        <f t="shared" si="2"/>
        <v>3757.7</v>
      </c>
      <c r="Z4" s="97">
        <f t="shared" si="2"/>
        <v>3797.7</v>
      </c>
      <c r="AA4" s="91"/>
      <c r="AB4" s="92" t="s">
        <v>557</v>
      </c>
      <c r="AC4" s="96">
        <v>1666.2</v>
      </c>
      <c r="AD4" s="96">
        <v>1687.4</v>
      </c>
      <c r="AE4" s="96">
        <v>1690.5</v>
      </c>
      <c r="AF4" s="96">
        <v>1691</v>
      </c>
      <c r="AG4" s="96">
        <v>1692.2</v>
      </c>
      <c r="AH4" s="96">
        <v>1717.4</v>
      </c>
      <c r="AI4" s="96">
        <v>1732.8</v>
      </c>
      <c r="AJ4" s="96">
        <v>1746.5</v>
      </c>
      <c r="AK4" s="96">
        <v>1752.1</v>
      </c>
      <c r="AL4" s="96">
        <v>1757.3</v>
      </c>
      <c r="AM4" s="96">
        <v>1782.7</v>
      </c>
      <c r="AN4" s="96">
        <v>1782.9</v>
      </c>
      <c r="AO4" s="96">
        <v>1793.9</v>
      </c>
      <c r="AP4" s="96">
        <v>1805.8</v>
      </c>
      <c r="AQ4" s="96">
        <v>2102.1</v>
      </c>
      <c r="AR4" s="96">
        <v>2021.7</v>
      </c>
      <c r="AS4" s="96">
        <v>2171.9</v>
      </c>
      <c r="AT4" s="96">
        <v>2252.6999999999998</v>
      </c>
      <c r="AU4" s="96">
        <v>2283.5</v>
      </c>
      <c r="AV4" s="96">
        <v>2321.1999999999998</v>
      </c>
      <c r="AW4" s="96">
        <v>2343.6999999999998</v>
      </c>
      <c r="AX4" s="96">
        <v>2372.4</v>
      </c>
      <c r="AY4" s="96">
        <v>2395.9</v>
      </c>
      <c r="AZ4" s="96">
        <v>2412.6</v>
      </c>
      <c r="BA4" s="96">
        <v>2441.1999999999998</v>
      </c>
      <c r="BB4" s="96">
        <v>2452.6</v>
      </c>
      <c r="BC4" s="96">
        <v>2464.3000000000002</v>
      </c>
      <c r="BD4" s="96">
        <v>2492.6</v>
      </c>
      <c r="BE4" s="96">
        <v>2523</v>
      </c>
      <c r="BF4" s="96">
        <v>2540.3000000000002</v>
      </c>
      <c r="BG4" s="96">
        <v>2564.8000000000002</v>
      </c>
      <c r="BH4" s="96">
        <v>2597</v>
      </c>
      <c r="BI4" s="96">
        <v>2610.9</v>
      </c>
      <c r="BJ4" s="96">
        <v>2590.8000000000002</v>
      </c>
      <c r="BK4" s="96">
        <v>2627.5</v>
      </c>
      <c r="BL4" s="96">
        <v>2665.7</v>
      </c>
      <c r="BM4" s="96">
        <v>2679.3</v>
      </c>
      <c r="BN4" s="96">
        <v>2684.1</v>
      </c>
      <c r="BO4" s="96">
        <v>2711.7</v>
      </c>
      <c r="BP4" s="96">
        <v>2741.9</v>
      </c>
      <c r="BQ4" s="96">
        <v>2758.3</v>
      </c>
      <c r="BR4" s="96">
        <v>2763.8</v>
      </c>
      <c r="BS4" s="96">
        <v>2790.3</v>
      </c>
      <c r="BT4" s="96">
        <v>2819.6</v>
      </c>
      <c r="BU4" s="96">
        <v>2861.1</v>
      </c>
      <c r="BV4" s="96">
        <v>2867.8</v>
      </c>
      <c r="BW4" s="96">
        <v>2887.4</v>
      </c>
      <c r="BX4" s="96">
        <v>2905.6</v>
      </c>
      <c r="BY4" s="96">
        <v>2927.3</v>
      </c>
      <c r="BZ4" s="96">
        <v>2933.2</v>
      </c>
      <c r="CA4" s="96">
        <v>2948.2</v>
      </c>
      <c r="CB4" s="96">
        <v>2968.9</v>
      </c>
      <c r="CC4" s="96">
        <v>2978.8</v>
      </c>
      <c r="CD4" s="96">
        <v>2985.8</v>
      </c>
    </row>
    <row r="5" spans="1:82" ht="15" customHeight="1">
      <c r="A5" s="92" t="s">
        <v>558</v>
      </c>
      <c r="B5" s="96">
        <v>856.1</v>
      </c>
      <c r="C5" s="96">
        <v>971.2</v>
      </c>
      <c r="D5" s="96">
        <v>1030.7</v>
      </c>
      <c r="E5" s="96">
        <v>1070.7</v>
      </c>
      <c r="F5" s="96">
        <v>1285.0999999999999</v>
      </c>
      <c r="G5" s="96">
        <v>1499.9</v>
      </c>
      <c r="H5" s="96">
        <v>1652.4</v>
      </c>
      <c r="I5" s="96">
        <v>1779.2</v>
      </c>
      <c r="J5" s="96">
        <v>1953.2</v>
      </c>
      <c r="K5" s="96">
        <v>2028.3</v>
      </c>
      <c r="L5" s="96">
        <v>2129.8000000000002</v>
      </c>
      <c r="M5" s="96">
        <v>2330.4</v>
      </c>
      <c r="N5" s="96">
        <v>2406.1</v>
      </c>
      <c r="O5" s="96">
        <v>2459.6999999999998</v>
      </c>
      <c r="P5" s="96">
        <v>2545.1</v>
      </c>
      <c r="Q5" s="96">
        <v>2710.5</v>
      </c>
      <c r="R5" s="96">
        <f>'LiLAC valuation'!U225</f>
        <v>2912.8</v>
      </c>
      <c r="S5" s="96">
        <f>'LiLAC valuation'!Y225</f>
        <v>3062.7</v>
      </c>
      <c r="T5" s="97">
        <f t="shared" ref="T5:Z5" si="3">+T4*T40</f>
        <v>3052.6610775620825</v>
      </c>
      <c r="U5" s="97">
        <f t="shared" si="3"/>
        <v>3086.9828143871332</v>
      </c>
      <c r="V5" s="97">
        <f t="shared" si="3"/>
        <v>3121.3045512121839</v>
      </c>
      <c r="W5" s="97">
        <f t="shared" si="3"/>
        <v>3155.6262880372346</v>
      </c>
      <c r="X5" s="97">
        <f t="shared" si="3"/>
        <v>3189.9480248622858</v>
      </c>
      <c r="Y5" s="97">
        <f t="shared" si="3"/>
        <v>3224.2697616873365</v>
      </c>
      <c r="Z5" s="97">
        <f t="shared" si="3"/>
        <v>3258.5914985123873</v>
      </c>
      <c r="AA5" s="91"/>
      <c r="AB5" s="92" t="s">
        <v>558</v>
      </c>
      <c r="AC5" s="96">
        <v>856.1</v>
      </c>
      <c r="AD5" s="96">
        <v>901.1</v>
      </c>
      <c r="AE5" s="96">
        <v>922.1</v>
      </c>
      <c r="AF5" s="96">
        <v>951.9</v>
      </c>
      <c r="AG5" s="96">
        <v>971.2</v>
      </c>
      <c r="AH5" s="96">
        <v>980.9</v>
      </c>
      <c r="AI5" s="96">
        <v>1006.1</v>
      </c>
      <c r="AJ5" s="96">
        <v>1017.3</v>
      </c>
      <c r="AK5" s="96">
        <v>1030.7</v>
      </c>
      <c r="AL5" s="96">
        <v>1036.0999999999999</v>
      </c>
      <c r="AM5" s="96">
        <v>1045.3</v>
      </c>
      <c r="AN5" s="96">
        <v>1059.5</v>
      </c>
      <c r="AO5" s="96">
        <v>1070.7</v>
      </c>
      <c r="AP5" s="96">
        <v>1082</v>
      </c>
      <c r="AQ5" s="96">
        <v>1362.9</v>
      </c>
      <c r="AR5" s="96">
        <v>1238.8</v>
      </c>
      <c r="AS5" s="96">
        <v>1285.0999999999999</v>
      </c>
      <c r="AT5" s="96">
        <v>1359.4</v>
      </c>
      <c r="AU5" s="96">
        <v>1401.7</v>
      </c>
      <c r="AV5" s="96">
        <v>1446.1</v>
      </c>
      <c r="AW5" s="96">
        <v>1499.9</v>
      </c>
      <c r="AX5" s="96">
        <v>1529.7</v>
      </c>
      <c r="AY5" s="96">
        <v>1583.4</v>
      </c>
      <c r="AZ5" s="96">
        <v>1617.3</v>
      </c>
      <c r="BA5" s="96">
        <v>1652.4</v>
      </c>
      <c r="BB5" s="96">
        <v>1662.4</v>
      </c>
      <c r="BC5" s="96">
        <v>1690.2</v>
      </c>
      <c r="BD5" s="96">
        <v>1740.1</v>
      </c>
      <c r="BE5" s="96">
        <v>1779.2</v>
      </c>
      <c r="BF5" s="96">
        <v>1830.9</v>
      </c>
      <c r="BG5" s="96">
        <v>1871.1</v>
      </c>
      <c r="BH5" s="96">
        <v>1933.4</v>
      </c>
      <c r="BI5" s="96">
        <v>1953.2</v>
      </c>
      <c r="BJ5" s="96">
        <v>1943.1</v>
      </c>
      <c r="BK5" s="96">
        <v>1978.2</v>
      </c>
      <c r="BL5" s="96">
        <v>2015</v>
      </c>
      <c r="BM5" s="96">
        <v>2028.3</v>
      </c>
      <c r="BN5" s="96">
        <v>2032.7</v>
      </c>
      <c r="BO5" s="96">
        <v>2076.1</v>
      </c>
      <c r="BP5" s="96">
        <v>2107.6</v>
      </c>
      <c r="BQ5" s="96">
        <v>2129.8000000000002</v>
      </c>
      <c r="BR5" s="96">
        <v>2139</v>
      </c>
      <c r="BS5" s="96">
        <v>2212.6</v>
      </c>
      <c r="BT5" s="96">
        <v>2278.4</v>
      </c>
      <c r="BU5" s="96">
        <v>2330.4</v>
      </c>
      <c r="BV5" s="96">
        <v>2337.4</v>
      </c>
      <c r="BW5" s="96">
        <v>2361.3000000000002</v>
      </c>
      <c r="BX5" s="96">
        <v>2383.6999999999998</v>
      </c>
      <c r="BY5" s="96">
        <v>2406.1</v>
      </c>
      <c r="BZ5" s="96">
        <v>2412.3000000000002</v>
      </c>
      <c r="CA5" s="96">
        <v>2427.6999999999998</v>
      </c>
      <c r="CB5" s="96">
        <v>2449.1999999999998</v>
      </c>
      <c r="CC5" s="96">
        <v>2459.6999999999998</v>
      </c>
      <c r="CD5" s="96">
        <v>2467</v>
      </c>
    </row>
    <row r="6" spans="1:82" ht="15" customHeight="1">
      <c r="A6" s="92" t="s">
        <v>559</v>
      </c>
      <c r="B6" s="96">
        <v>0</v>
      </c>
      <c r="C6" s="96">
        <v>0</v>
      </c>
      <c r="D6" s="96">
        <v>0</v>
      </c>
      <c r="E6" s="96">
        <v>636</v>
      </c>
      <c r="F6" s="96">
        <v>900.4</v>
      </c>
      <c r="G6" s="96">
        <v>940.7</v>
      </c>
      <c r="H6" s="96">
        <v>992.8</v>
      </c>
      <c r="I6" s="96">
        <v>1029.0999999999999</v>
      </c>
      <c r="J6" s="96">
        <v>1054.3</v>
      </c>
      <c r="K6" s="96">
        <v>1068.5999999999999</v>
      </c>
      <c r="L6" s="96">
        <v>1101.8</v>
      </c>
      <c r="M6" s="96">
        <v>1144.4000000000001</v>
      </c>
      <c r="N6" s="96">
        <v>1199.8</v>
      </c>
      <c r="O6" s="96">
        <v>1225.3</v>
      </c>
      <c r="P6" s="96">
        <v>1263.4000000000001</v>
      </c>
      <c r="Q6" s="96">
        <v>1328.9</v>
      </c>
      <c r="R6" s="96">
        <f>'LiLAC valuation'!U226</f>
        <v>1406.9</v>
      </c>
      <c r="S6" s="96">
        <f>'LiLAC valuation'!Y226</f>
        <v>1468.5</v>
      </c>
      <c r="T6" s="97">
        <f t="shared" ref="T6:Z6" si="4">+S6+T31</f>
        <v>1490.27496</v>
      </c>
      <c r="U6" s="97">
        <f t="shared" si="4"/>
        <v>1512.4854192</v>
      </c>
      <c r="V6" s="97">
        <f t="shared" si="4"/>
        <v>1535.140087584</v>
      </c>
      <c r="W6" s="97">
        <f t="shared" si="4"/>
        <v>1558.24784933568</v>
      </c>
      <c r="X6" s="97">
        <f t="shared" si="4"/>
        <v>1581.8177663223937</v>
      </c>
      <c r="Y6" s="97">
        <f t="shared" si="4"/>
        <v>1605.8590816488415</v>
      </c>
      <c r="Z6" s="97">
        <f t="shared" si="4"/>
        <v>1630.3812232818184</v>
      </c>
      <c r="AA6" s="91"/>
      <c r="AB6" s="92" t="s">
        <v>559</v>
      </c>
      <c r="AC6" s="96">
        <v>0</v>
      </c>
      <c r="AD6" s="96">
        <v>0</v>
      </c>
      <c r="AE6" s="96">
        <v>0</v>
      </c>
      <c r="AF6" s="96">
        <v>0</v>
      </c>
      <c r="AG6" s="96">
        <v>0</v>
      </c>
      <c r="AH6" s="96">
        <v>0</v>
      </c>
      <c r="AI6" s="96">
        <v>0</v>
      </c>
      <c r="AJ6" s="96">
        <v>0</v>
      </c>
      <c r="AK6" s="96">
        <v>0</v>
      </c>
      <c r="AL6" s="96">
        <v>0</v>
      </c>
      <c r="AM6" s="96">
        <v>0</v>
      </c>
      <c r="AN6" s="96">
        <v>0</v>
      </c>
      <c r="AO6" s="96">
        <v>636</v>
      </c>
      <c r="AP6" s="96">
        <v>649</v>
      </c>
      <c r="AQ6" s="96">
        <v>880.7</v>
      </c>
      <c r="AR6" s="96">
        <v>899.2</v>
      </c>
      <c r="AS6" s="96">
        <v>900.4</v>
      </c>
      <c r="AT6" s="96">
        <v>909.3</v>
      </c>
      <c r="AU6" s="96">
        <v>928.1</v>
      </c>
      <c r="AV6" s="96">
        <v>933.8</v>
      </c>
      <c r="AW6" s="96">
        <v>940.7</v>
      </c>
      <c r="AX6" s="96">
        <v>953.5</v>
      </c>
      <c r="AY6" s="96">
        <v>968.8</v>
      </c>
      <c r="AZ6" s="96">
        <v>981.6</v>
      </c>
      <c r="BA6" s="96">
        <v>992.8</v>
      </c>
      <c r="BB6" s="96">
        <v>1002.4</v>
      </c>
      <c r="BC6" s="96">
        <v>1017.7</v>
      </c>
      <c r="BD6" s="96">
        <v>1027.8</v>
      </c>
      <c r="BE6" s="96">
        <v>1029.0999999999999</v>
      </c>
      <c r="BF6" s="96">
        <v>1031.2</v>
      </c>
      <c r="BG6" s="96">
        <v>1038.8</v>
      </c>
      <c r="BH6" s="96">
        <v>1051</v>
      </c>
      <c r="BI6" s="96">
        <v>1054.3</v>
      </c>
      <c r="BJ6" s="96">
        <v>1050.7</v>
      </c>
      <c r="BK6" s="96">
        <v>1066.2</v>
      </c>
      <c r="BL6" s="96">
        <v>1068.8</v>
      </c>
      <c r="BM6" s="96">
        <v>1068.5999999999999</v>
      </c>
      <c r="BN6" s="96">
        <v>1074.7</v>
      </c>
      <c r="BO6" s="96">
        <v>1089.8</v>
      </c>
      <c r="BP6" s="96">
        <v>1099.5999999999999</v>
      </c>
      <c r="BQ6" s="96">
        <v>1101.8</v>
      </c>
      <c r="BR6" s="96">
        <v>1108.9000000000001</v>
      </c>
      <c r="BS6" s="96">
        <v>1121.0999999999999</v>
      </c>
      <c r="BT6" s="96">
        <v>1129.5</v>
      </c>
      <c r="BU6" s="96">
        <v>1144.4000000000001</v>
      </c>
      <c r="BV6" s="96">
        <v>1167.9000000000001</v>
      </c>
      <c r="BW6" s="96">
        <v>1182.9000000000001</v>
      </c>
      <c r="BX6" s="96">
        <v>1193.8</v>
      </c>
      <c r="BY6" s="96">
        <v>1199.8</v>
      </c>
      <c r="BZ6" s="96">
        <v>1210.3</v>
      </c>
      <c r="CA6" s="96">
        <v>1224.7</v>
      </c>
      <c r="CB6" s="96">
        <v>1229.9000000000001</v>
      </c>
      <c r="CC6" s="96">
        <v>1225.3</v>
      </c>
      <c r="CD6" s="96">
        <v>1237.9000000000001</v>
      </c>
    </row>
    <row r="7" spans="1:82" ht="15" customHeight="1">
      <c r="A7" s="92" t="s">
        <v>560</v>
      </c>
      <c r="B7" s="96">
        <v>439.8</v>
      </c>
      <c r="C7" s="96">
        <v>462.6</v>
      </c>
      <c r="D7" s="96">
        <v>488</v>
      </c>
      <c r="E7" s="96">
        <v>504.6</v>
      </c>
      <c r="F7" s="96">
        <v>751.2</v>
      </c>
      <c r="G7" s="96">
        <v>697.2</v>
      </c>
      <c r="H7" s="96">
        <v>669.3</v>
      </c>
      <c r="I7" s="96">
        <v>532</v>
      </c>
      <c r="J7" s="96">
        <v>370.4</v>
      </c>
      <c r="K7" s="96">
        <v>289</v>
      </c>
      <c r="L7" s="96">
        <v>214.6</v>
      </c>
      <c r="M7" s="96">
        <v>163.19999999999999</v>
      </c>
      <c r="N7" s="96">
        <v>134.80000000000001</v>
      </c>
      <c r="O7" s="96">
        <v>110.3</v>
      </c>
      <c r="P7" s="96">
        <v>93.8</v>
      </c>
      <c r="Q7" s="96">
        <v>93.8</v>
      </c>
      <c r="R7" s="96">
        <v>67.5</v>
      </c>
      <c r="S7" s="97">
        <f t="shared" ref="S7:Z7" si="5">+(1-S42)*S12</f>
        <v>21.774960000000021</v>
      </c>
      <c r="T7" s="97">
        <f t="shared" si="5"/>
        <v>0</v>
      </c>
      <c r="U7" s="97">
        <f t="shared" si="5"/>
        <v>0</v>
      </c>
      <c r="V7" s="97">
        <f t="shared" si="5"/>
        <v>0</v>
      </c>
      <c r="W7" s="97">
        <f t="shared" si="5"/>
        <v>0</v>
      </c>
      <c r="X7" s="97">
        <f t="shared" si="5"/>
        <v>0</v>
      </c>
      <c r="Y7" s="97">
        <f t="shared" si="5"/>
        <v>0</v>
      </c>
      <c r="Z7" s="97">
        <f t="shared" si="5"/>
        <v>0</v>
      </c>
      <c r="AA7" s="91"/>
      <c r="AB7" s="92" t="s">
        <v>560</v>
      </c>
      <c r="AC7" s="96">
        <v>439.8</v>
      </c>
      <c r="AD7" s="96">
        <v>437.6</v>
      </c>
      <c r="AE7" s="96">
        <v>448</v>
      </c>
      <c r="AF7" s="96">
        <v>454.7</v>
      </c>
      <c r="AG7" s="96">
        <v>462.6</v>
      </c>
      <c r="AH7" s="96">
        <v>464.7</v>
      </c>
      <c r="AI7" s="96">
        <v>472.2</v>
      </c>
      <c r="AJ7" s="96">
        <v>480.7</v>
      </c>
      <c r="AK7" s="96">
        <v>488</v>
      </c>
      <c r="AL7" s="96">
        <v>490.2</v>
      </c>
      <c r="AM7" s="96">
        <v>499.6</v>
      </c>
      <c r="AN7" s="96">
        <v>507.5</v>
      </c>
      <c r="AO7" s="96">
        <v>504.6</v>
      </c>
      <c r="AP7" s="96">
        <v>510.4</v>
      </c>
      <c r="AQ7" s="96">
        <v>734.5</v>
      </c>
      <c r="AR7" s="96">
        <v>739.5</v>
      </c>
      <c r="AS7" s="96">
        <v>751.2</v>
      </c>
      <c r="AT7" s="96">
        <v>754.4</v>
      </c>
      <c r="AU7" s="96">
        <v>734.2</v>
      </c>
      <c r="AV7" s="96">
        <v>717.4</v>
      </c>
      <c r="AW7" s="96">
        <v>697.2</v>
      </c>
      <c r="AX7" s="96">
        <v>700.6</v>
      </c>
      <c r="AY7" s="96">
        <v>696.2</v>
      </c>
      <c r="AZ7" s="96">
        <v>696.8</v>
      </c>
      <c r="BA7" s="96">
        <v>669.3</v>
      </c>
      <c r="BB7" s="96">
        <v>638.70000000000005</v>
      </c>
      <c r="BC7" s="96">
        <v>602.9</v>
      </c>
      <c r="BD7" s="96">
        <v>571.70000000000005</v>
      </c>
      <c r="BE7" s="96">
        <v>532</v>
      </c>
      <c r="BF7" s="96">
        <v>460.1</v>
      </c>
      <c r="BG7" s="96">
        <v>417.5</v>
      </c>
      <c r="BH7" s="96">
        <v>389.7</v>
      </c>
      <c r="BI7" s="96">
        <v>370.4</v>
      </c>
      <c r="BJ7" s="96">
        <v>349</v>
      </c>
      <c r="BK7" s="96">
        <v>328.7</v>
      </c>
      <c r="BL7" s="96">
        <v>308.39999999999998</v>
      </c>
      <c r="BM7" s="96">
        <v>289</v>
      </c>
      <c r="BN7" s="96">
        <v>266.39999999999998</v>
      </c>
      <c r="BO7" s="96">
        <v>246.4</v>
      </c>
      <c r="BP7" s="96">
        <v>230.4</v>
      </c>
      <c r="BQ7" s="96">
        <v>214.6</v>
      </c>
      <c r="BR7" s="96">
        <v>199.4</v>
      </c>
      <c r="BS7" s="96">
        <v>184.9</v>
      </c>
      <c r="BT7" s="96">
        <v>172.6</v>
      </c>
      <c r="BU7" s="96">
        <v>163.19999999999999</v>
      </c>
      <c r="BV7" s="96">
        <v>155</v>
      </c>
      <c r="BW7" s="96">
        <v>147.69999999999999</v>
      </c>
      <c r="BX7" s="96">
        <v>140.6</v>
      </c>
      <c r="BY7" s="96">
        <v>134.80000000000001</v>
      </c>
      <c r="BZ7" s="96">
        <v>127.9</v>
      </c>
      <c r="CA7" s="96">
        <v>122.2</v>
      </c>
      <c r="CB7" s="96">
        <v>116.2</v>
      </c>
      <c r="CC7" s="96">
        <v>110.3</v>
      </c>
      <c r="CD7" s="96">
        <v>106.1</v>
      </c>
    </row>
    <row r="8" spans="1:82" ht="15" customHeight="1">
      <c r="A8" s="92" t="s">
        <v>561</v>
      </c>
      <c r="B8" s="96">
        <v>0</v>
      </c>
      <c r="C8" s="96">
        <v>0</v>
      </c>
      <c r="D8" s="96">
        <v>0</v>
      </c>
      <c r="E8" s="96">
        <v>0</v>
      </c>
      <c r="F8" s="96">
        <v>6.8</v>
      </c>
      <c r="G8" s="96">
        <v>106.3</v>
      </c>
      <c r="H8" s="96">
        <v>183.3</v>
      </c>
      <c r="I8" s="96">
        <v>345.2</v>
      </c>
      <c r="J8" s="96">
        <v>531.79999999999995</v>
      </c>
      <c r="K8" s="96">
        <v>608.70000000000005</v>
      </c>
      <c r="L8" s="96">
        <v>702.7</v>
      </c>
      <c r="M8" s="96">
        <v>769.3</v>
      </c>
      <c r="N8" s="96">
        <v>854.6</v>
      </c>
      <c r="O8" s="96">
        <v>901.9</v>
      </c>
      <c r="P8" s="96">
        <f>1026-P7</f>
        <v>932.2</v>
      </c>
      <c r="Q8" s="96">
        <f>1047.3-Q7</f>
        <v>953.5</v>
      </c>
      <c r="R8" s="96">
        <v>999.9</v>
      </c>
      <c r="S8" s="97">
        <f t="shared" ref="S8:Z8" si="6">+S12-S7-S11</f>
        <v>1066.9730400000001</v>
      </c>
      <c r="T8" s="97">
        <f t="shared" si="6"/>
        <v>1110.52296</v>
      </c>
      <c r="U8" s="97">
        <f t="shared" si="6"/>
        <v>1132.7334192000001</v>
      </c>
      <c r="V8" s="97">
        <f t="shared" si="6"/>
        <v>1155.388087584</v>
      </c>
      <c r="W8" s="97">
        <f t="shared" si="6"/>
        <v>1178.4958493356801</v>
      </c>
      <c r="X8" s="97">
        <f t="shared" si="6"/>
        <v>1202.0657663223938</v>
      </c>
      <c r="Y8" s="97">
        <f t="shared" si="6"/>
        <v>1226.1070816488416</v>
      </c>
      <c r="Z8" s="97">
        <f t="shared" si="6"/>
        <v>1250.6292232818184</v>
      </c>
      <c r="AA8" s="91"/>
      <c r="AB8" s="92" t="s">
        <v>561</v>
      </c>
      <c r="AC8" s="96">
        <v>0</v>
      </c>
      <c r="AD8" s="96">
        <v>0</v>
      </c>
      <c r="AE8" s="96">
        <v>0</v>
      </c>
      <c r="AF8" s="96">
        <v>0</v>
      </c>
      <c r="AG8" s="96">
        <v>0</v>
      </c>
      <c r="AH8" s="96">
        <v>0</v>
      </c>
      <c r="AI8" s="96">
        <v>0</v>
      </c>
      <c r="AJ8" s="96">
        <v>0</v>
      </c>
      <c r="AK8" s="96">
        <v>0</v>
      </c>
      <c r="AL8" s="96">
        <v>0</v>
      </c>
      <c r="AM8" s="96">
        <v>0</v>
      </c>
      <c r="AN8" s="96">
        <v>0</v>
      </c>
      <c r="AO8" s="96">
        <v>0</v>
      </c>
      <c r="AP8" s="96">
        <v>0</v>
      </c>
      <c r="AQ8" s="96">
        <v>0</v>
      </c>
      <c r="AR8" s="96">
        <v>4.4000000000000004</v>
      </c>
      <c r="AS8" s="96">
        <v>6.8</v>
      </c>
      <c r="AT8" s="96">
        <v>12.9</v>
      </c>
      <c r="AU8" s="96">
        <v>57.3</v>
      </c>
      <c r="AV8" s="96">
        <v>81.400000000000006</v>
      </c>
      <c r="AW8" s="96">
        <v>106.3</v>
      </c>
      <c r="AX8" s="96">
        <v>111</v>
      </c>
      <c r="AY8" s="96">
        <v>130.80000000000001</v>
      </c>
      <c r="AZ8" s="96">
        <v>143.5</v>
      </c>
      <c r="BA8" s="96">
        <v>183.3</v>
      </c>
      <c r="BB8" s="96">
        <v>221.3</v>
      </c>
      <c r="BC8" s="96">
        <v>267.2</v>
      </c>
      <c r="BD8" s="96">
        <v>305.7</v>
      </c>
      <c r="BE8" s="96">
        <v>345.2</v>
      </c>
      <c r="BF8" s="96">
        <v>422.9</v>
      </c>
      <c r="BG8" s="96">
        <v>472.6</v>
      </c>
      <c r="BH8" s="96">
        <v>509</v>
      </c>
      <c r="BI8" s="96">
        <v>531.79999999999995</v>
      </c>
      <c r="BJ8" s="96">
        <v>544.5</v>
      </c>
      <c r="BK8" s="96">
        <v>570.20000000000005</v>
      </c>
      <c r="BL8" s="96">
        <v>586.5</v>
      </c>
      <c r="BM8" s="96">
        <v>608.70000000000005</v>
      </c>
      <c r="BN8" s="96">
        <v>636.6</v>
      </c>
      <c r="BO8" s="96">
        <v>668</v>
      </c>
      <c r="BP8" s="96">
        <v>689.5</v>
      </c>
      <c r="BQ8" s="96">
        <v>702.7</v>
      </c>
      <c r="BR8" s="96">
        <v>721.3</v>
      </c>
      <c r="BS8" s="96">
        <v>738.2</v>
      </c>
      <c r="BT8" s="96">
        <v>744.7</v>
      </c>
      <c r="BU8" s="96">
        <v>769.3</v>
      </c>
      <c r="BV8" s="96">
        <v>799.9</v>
      </c>
      <c r="BW8" s="96">
        <v>825.4</v>
      </c>
      <c r="BX8" s="96">
        <v>844.5</v>
      </c>
      <c r="BY8" s="96">
        <v>854.6</v>
      </c>
      <c r="BZ8" s="96">
        <v>870.9</v>
      </c>
      <c r="CA8" s="96">
        <v>885.7</v>
      </c>
      <c r="CB8" s="96">
        <v>892.8</v>
      </c>
      <c r="CC8" s="96">
        <v>901.9</v>
      </c>
      <c r="CD8" s="96">
        <v>902.3</v>
      </c>
    </row>
    <row r="9" spans="1:82" ht="15" customHeight="1">
      <c r="B9" s="96"/>
      <c r="C9" s="96"/>
      <c r="D9" s="96"/>
      <c r="E9" s="96"/>
      <c r="F9" s="96"/>
      <c r="G9" s="96"/>
      <c r="H9" s="96"/>
      <c r="I9" s="96"/>
      <c r="J9" s="96"/>
      <c r="K9" s="96"/>
      <c r="L9" s="96"/>
      <c r="M9" s="96"/>
      <c r="N9" s="96"/>
      <c r="O9" s="96"/>
      <c r="P9" s="97"/>
      <c r="Q9" s="97"/>
      <c r="R9" s="97"/>
      <c r="S9" s="97"/>
      <c r="T9" s="97"/>
      <c r="U9" s="97"/>
      <c r="V9" s="97"/>
      <c r="W9" s="97"/>
      <c r="X9" s="97"/>
      <c r="Y9" s="97"/>
      <c r="Z9" s="97"/>
      <c r="AA9" s="91"/>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row>
    <row r="10" spans="1:82" ht="15" customHeight="1">
      <c r="B10" s="96"/>
      <c r="C10" s="96"/>
      <c r="D10" s="96"/>
      <c r="E10" s="96"/>
      <c r="F10" s="96"/>
      <c r="G10" s="96"/>
      <c r="H10" s="96"/>
      <c r="I10" s="96"/>
      <c r="J10" s="96"/>
      <c r="K10" s="96"/>
      <c r="L10" s="96"/>
      <c r="M10" s="96"/>
      <c r="N10" s="96"/>
      <c r="O10" s="96"/>
      <c r="P10" s="97"/>
      <c r="Q10" s="97"/>
      <c r="R10" s="97"/>
      <c r="S10" s="97"/>
      <c r="T10" s="97"/>
      <c r="U10" s="97"/>
      <c r="V10" s="97"/>
      <c r="W10" s="97"/>
      <c r="X10" s="97"/>
      <c r="Y10" s="97"/>
      <c r="Z10" s="97"/>
      <c r="AA10" s="91"/>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row>
    <row r="11" spans="1:82" ht="15" customHeight="1">
      <c r="A11" s="92" t="s">
        <v>562</v>
      </c>
      <c r="B11" s="96">
        <v>8.5</v>
      </c>
      <c r="C11" s="96">
        <v>6.9</v>
      </c>
      <c r="D11" s="96">
        <v>5.5</v>
      </c>
      <c r="E11" s="96">
        <v>4.5</v>
      </c>
      <c r="F11" s="96">
        <v>0</v>
      </c>
      <c r="G11" s="96">
        <v>0</v>
      </c>
      <c r="H11" s="96">
        <v>0</v>
      </c>
      <c r="I11" s="96">
        <v>0</v>
      </c>
      <c r="J11" s="96">
        <v>0</v>
      </c>
      <c r="K11" s="96">
        <v>0</v>
      </c>
      <c r="L11" s="96">
        <v>0</v>
      </c>
      <c r="M11" s="96">
        <v>0</v>
      </c>
      <c r="N11" s="96">
        <v>0</v>
      </c>
      <c r="O11" s="96">
        <v>0</v>
      </c>
      <c r="P11" s="96">
        <v>0</v>
      </c>
      <c r="Q11" s="96">
        <v>0</v>
      </c>
      <c r="R11" s="96">
        <v>0</v>
      </c>
      <c r="S11" s="97">
        <f t="shared" ref="S11:Z11" si="7">+R11+S34</f>
        <v>0</v>
      </c>
      <c r="T11" s="97">
        <f t="shared" si="7"/>
        <v>0</v>
      </c>
      <c r="U11" s="97">
        <f t="shared" si="7"/>
        <v>0</v>
      </c>
      <c r="V11" s="97">
        <f t="shared" si="7"/>
        <v>0</v>
      </c>
      <c r="W11" s="97">
        <f t="shared" si="7"/>
        <v>0</v>
      </c>
      <c r="X11" s="97">
        <f t="shared" si="7"/>
        <v>0</v>
      </c>
      <c r="Y11" s="97">
        <f t="shared" si="7"/>
        <v>0</v>
      </c>
      <c r="Z11" s="97">
        <f t="shared" si="7"/>
        <v>0</v>
      </c>
      <c r="AA11" s="91"/>
      <c r="AB11" s="92" t="s">
        <v>562</v>
      </c>
      <c r="AC11" s="96">
        <v>8.5</v>
      </c>
      <c r="AD11" s="96">
        <v>8.4</v>
      </c>
      <c r="AE11" s="96">
        <v>8.5</v>
      </c>
      <c r="AF11" s="96">
        <v>8.1</v>
      </c>
      <c r="AG11" s="96">
        <v>6.9</v>
      </c>
      <c r="AH11" s="96">
        <v>6.8</v>
      </c>
      <c r="AI11" s="96">
        <v>6.3</v>
      </c>
      <c r="AJ11" s="96">
        <v>5.9</v>
      </c>
      <c r="AK11" s="96">
        <v>5.5</v>
      </c>
      <c r="AL11" s="96">
        <v>5.2</v>
      </c>
      <c r="AM11" s="96">
        <v>5</v>
      </c>
      <c r="AN11" s="96">
        <v>4.8</v>
      </c>
      <c r="AO11" s="96">
        <v>4.5</v>
      </c>
      <c r="AP11" s="96">
        <v>0</v>
      </c>
      <c r="AQ11" s="96">
        <v>1</v>
      </c>
      <c r="AR11" s="96">
        <v>0</v>
      </c>
      <c r="AS11" s="96">
        <v>0</v>
      </c>
      <c r="AT11" s="96">
        <v>0</v>
      </c>
      <c r="AU11" s="96">
        <v>0</v>
      </c>
      <c r="AV11" s="96">
        <v>0</v>
      </c>
      <c r="AW11" s="96">
        <v>0</v>
      </c>
      <c r="AX11" s="96">
        <v>0</v>
      </c>
      <c r="AY11" s="96">
        <v>0</v>
      </c>
      <c r="AZ11" s="96">
        <v>0</v>
      </c>
      <c r="BA11" s="96">
        <v>0</v>
      </c>
      <c r="BB11" s="96">
        <v>0</v>
      </c>
      <c r="BC11" s="96">
        <v>0</v>
      </c>
      <c r="BD11" s="96">
        <v>0</v>
      </c>
      <c r="BE11" s="96">
        <v>0</v>
      </c>
      <c r="BF11" s="96">
        <v>0</v>
      </c>
      <c r="BG11" s="96">
        <v>0</v>
      </c>
      <c r="BH11" s="96">
        <v>0</v>
      </c>
      <c r="BI11" s="96">
        <v>0</v>
      </c>
      <c r="BJ11" s="96">
        <v>0</v>
      </c>
      <c r="BK11" s="96">
        <v>0</v>
      </c>
      <c r="BL11" s="96">
        <v>0</v>
      </c>
      <c r="BM11" s="96">
        <v>0</v>
      </c>
      <c r="BN11" s="96">
        <v>0</v>
      </c>
      <c r="BO11" s="96">
        <v>0</v>
      </c>
      <c r="BP11" s="96">
        <v>0</v>
      </c>
      <c r="BQ11" s="96">
        <v>0</v>
      </c>
      <c r="BR11" s="96">
        <v>0</v>
      </c>
      <c r="BS11" s="96">
        <v>0</v>
      </c>
      <c r="BT11" s="96">
        <v>0</v>
      </c>
      <c r="BU11" s="96">
        <v>0</v>
      </c>
      <c r="BV11" s="96">
        <v>0</v>
      </c>
      <c r="BW11" s="96">
        <v>0</v>
      </c>
      <c r="BX11" s="96">
        <v>0</v>
      </c>
      <c r="BY11" s="96">
        <v>0</v>
      </c>
      <c r="BZ11" s="96">
        <v>0</v>
      </c>
      <c r="CA11" s="96">
        <v>0</v>
      </c>
      <c r="CB11" s="96">
        <v>0</v>
      </c>
      <c r="CC11" s="96">
        <f>+O11</f>
        <v>0</v>
      </c>
      <c r="CD11" s="96">
        <v>0</v>
      </c>
    </row>
    <row r="12" spans="1:82" ht="15" customHeight="1">
      <c r="A12" s="92" t="s">
        <v>563</v>
      </c>
      <c r="B12" s="96">
        <v>448.3</v>
      </c>
      <c r="C12" s="96">
        <v>469.5</v>
      </c>
      <c r="D12" s="96">
        <v>493.5</v>
      </c>
      <c r="E12" s="96">
        <v>509.1</v>
      </c>
      <c r="F12" s="96">
        <v>758</v>
      </c>
      <c r="G12" s="96">
        <v>803.5</v>
      </c>
      <c r="H12" s="96">
        <v>852.59999999999991</v>
      </c>
      <c r="I12" s="96">
        <v>877.2</v>
      </c>
      <c r="J12" s="96">
        <v>902.19999999999993</v>
      </c>
      <c r="K12" s="96">
        <v>897.7</v>
      </c>
      <c r="L12" s="96">
        <v>917.30000000000007</v>
      </c>
      <c r="M12" s="96">
        <v>932.5</v>
      </c>
      <c r="N12" s="96">
        <v>989.40000000000009</v>
      </c>
      <c r="O12" s="96">
        <v>1013.5</v>
      </c>
      <c r="P12" s="96">
        <v>1026</v>
      </c>
      <c r="Q12" s="96">
        <v>1047.3</v>
      </c>
      <c r="R12" s="96">
        <v>1067.4000000000001</v>
      </c>
      <c r="S12" s="97">
        <f t="shared" ref="S12:Z12" si="8">+R12*(1+S47)</f>
        <v>1088.748</v>
      </c>
      <c r="T12" s="97">
        <f t="shared" si="8"/>
        <v>1110.52296</v>
      </c>
      <c r="U12" s="97">
        <f t="shared" si="8"/>
        <v>1132.7334192000001</v>
      </c>
      <c r="V12" s="97">
        <f t="shared" si="8"/>
        <v>1155.388087584</v>
      </c>
      <c r="W12" s="97">
        <f t="shared" si="8"/>
        <v>1178.4958493356801</v>
      </c>
      <c r="X12" s="97">
        <f t="shared" si="8"/>
        <v>1202.0657663223938</v>
      </c>
      <c r="Y12" s="97">
        <f t="shared" si="8"/>
        <v>1226.1070816488416</v>
      </c>
      <c r="Z12" s="97">
        <f t="shared" si="8"/>
        <v>1250.6292232818184</v>
      </c>
      <c r="AA12" s="91"/>
      <c r="AB12" s="92" t="s">
        <v>563</v>
      </c>
      <c r="AC12" s="96">
        <v>448.3</v>
      </c>
      <c r="AD12" s="96">
        <v>446</v>
      </c>
      <c r="AE12" s="96">
        <v>456.5</v>
      </c>
      <c r="AF12" s="96">
        <v>462.8</v>
      </c>
      <c r="AG12" s="96">
        <v>469.5</v>
      </c>
      <c r="AH12" s="96">
        <v>471.5</v>
      </c>
      <c r="AI12" s="96">
        <v>478.5</v>
      </c>
      <c r="AJ12" s="96">
        <v>486.59999999999997</v>
      </c>
      <c r="AK12" s="96">
        <v>493.5</v>
      </c>
      <c r="AL12" s="96">
        <v>495.4</v>
      </c>
      <c r="AM12" s="96">
        <v>504.6</v>
      </c>
      <c r="AN12" s="96">
        <v>512.29999999999995</v>
      </c>
      <c r="AO12" s="96">
        <v>509.1</v>
      </c>
      <c r="AP12" s="96">
        <v>510.4</v>
      </c>
      <c r="AQ12" s="96">
        <v>735.5</v>
      </c>
      <c r="AR12" s="96">
        <v>743.9</v>
      </c>
      <c r="AS12" s="96">
        <v>758</v>
      </c>
      <c r="AT12" s="96">
        <v>767.3</v>
      </c>
      <c r="AU12" s="96">
        <v>791.5</v>
      </c>
      <c r="AV12" s="96">
        <v>798.8</v>
      </c>
      <c r="AW12" s="96">
        <v>803.5</v>
      </c>
      <c r="AX12" s="96">
        <v>811.6</v>
      </c>
      <c r="AY12" s="96">
        <v>827</v>
      </c>
      <c r="AZ12" s="96">
        <v>840.3</v>
      </c>
      <c r="BA12" s="96">
        <v>852.59999999999991</v>
      </c>
      <c r="BB12" s="96">
        <v>860</v>
      </c>
      <c r="BC12" s="96">
        <v>870.09999999999991</v>
      </c>
      <c r="BD12" s="96">
        <v>877.40000000000009</v>
      </c>
      <c r="BE12" s="96">
        <v>877.2</v>
      </c>
      <c r="BF12" s="96">
        <v>883</v>
      </c>
      <c r="BG12" s="96">
        <v>890.1</v>
      </c>
      <c r="BH12" s="96">
        <v>898.7</v>
      </c>
      <c r="BI12" s="96">
        <v>902.19999999999993</v>
      </c>
      <c r="BJ12" s="96">
        <v>893.5</v>
      </c>
      <c r="BK12" s="96">
        <v>898.90000000000009</v>
      </c>
      <c r="BL12" s="96">
        <v>894.9</v>
      </c>
      <c r="BM12" s="96">
        <v>897.7</v>
      </c>
      <c r="BN12" s="96">
        <v>903</v>
      </c>
      <c r="BO12" s="96">
        <v>914.4</v>
      </c>
      <c r="BP12" s="96">
        <v>919.9</v>
      </c>
      <c r="BQ12" s="96">
        <v>917.30000000000007</v>
      </c>
      <c r="BR12" s="96">
        <v>920.69999999999993</v>
      </c>
      <c r="BS12" s="96">
        <v>923.1</v>
      </c>
      <c r="BT12" s="96">
        <v>917.30000000000007</v>
      </c>
      <c r="BU12" s="96">
        <v>932.5</v>
      </c>
      <c r="BV12" s="96">
        <v>954.9</v>
      </c>
      <c r="BW12" s="96">
        <v>973.09999999999991</v>
      </c>
      <c r="BX12" s="96">
        <v>985.1</v>
      </c>
      <c r="BY12" s="96">
        <v>989.40000000000009</v>
      </c>
      <c r="BZ12" s="96">
        <v>998.8</v>
      </c>
      <c r="CA12" s="96">
        <v>1007.9</v>
      </c>
      <c r="CB12" s="96">
        <v>1009</v>
      </c>
      <c r="CC12" s="96">
        <v>1013.5</v>
      </c>
      <c r="CD12" s="96">
        <v>1008.4</v>
      </c>
    </row>
    <row r="13" spans="1:82" ht="15" customHeight="1">
      <c r="A13" s="92" t="s">
        <v>564</v>
      </c>
      <c r="B13" s="96">
        <v>24.8</v>
      </c>
      <c r="C13" s="96">
        <v>70.3</v>
      </c>
      <c r="D13" s="96">
        <v>129.19999999999999</v>
      </c>
      <c r="E13" s="96">
        <v>176.3</v>
      </c>
      <c r="F13" s="96">
        <v>303</v>
      </c>
      <c r="G13" s="96">
        <v>413.8</v>
      </c>
      <c r="H13" s="96">
        <v>520.29999999999995</v>
      </c>
      <c r="I13" s="96">
        <v>588.70000000000005</v>
      </c>
      <c r="J13" s="96">
        <v>653.29999999999995</v>
      </c>
      <c r="K13" s="96">
        <v>698</v>
      </c>
      <c r="L13" s="96">
        <v>766.3</v>
      </c>
      <c r="M13" s="96">
        <v>825.5</v>
      </c>
      <c r="N13" s="96">
        <v>885.7</v>
      </c>
      <c r="O13" s="96">
        <v>932</v>
      </c>
      <c r="P13" s="96">
        <v>1003.1</v>
      </c>
      <c r="Q13" s="96">
        <v>1091.2</v>
      </c>
      <c r="R13" s="96">
        <v>1181.5999999999999</v>
      </c>
      <c r="S13" s="97">
        <f t="shared" ref="R13:Z15" si="9">+R13+S36</f>
        <v>1211.5999999999999</v>
      </c>
      <c r="T13" s="97">
        <f t="shared" si="9"/>
        <v>1231.5999999999999</v>
      </c>
      <c r="U13" s="97">
        <f t="shared" si="9"/>
        <v>1251.5999999999999</v>
      </c>
      <c r="V13" s="97">
        <f t="shared" si="9"/>
        <v>1271.5999999999999</v>
      </c>
      <c r="W13" s="97">
        <f t="shared" si="9"/>
        <v>1291.5999999999999</v>
      </c>
      <c r="X13" s="97">
        <f t="shared" si="9"/>
        <v>1311.6</v>
      </c>
      <c r="Y13" s="97">
        <f t="shared" si="9"/>
        <v>1331.6</v>
      </c>
      <c r="Z13" s="97">
        <f t="shared" si="9"/>
        <v>1351.6</v>
      </c>
      <c r="AA13" s="91"/>
      <c r="AB13" s="92" t="s">
        <v>564</v>
      </c>
      <c r="AC13" s="96">
        <v>24.8</v>
      </c>
      <c r="AD13" s="96">
        <v>30.4</v>
      </c>
      <c r="AE13" s="96">
        <v>43</v>
      </c>
      <c r="AF13" s="96">
        <v>59.1</v>
      </c>
      <c r="AG13" s="96">
        <v>70.3</v>
      </c>
      <c r="AH13" s="96">
        <v>82.3</v>
      </c>
      <c r="AI13" s="96">
        <v>99.1</v>
      </c>
      <c r="AJ13" s="96">
        <v>114.8</v>
      </c>
      <c r="AK13" s="96">
        <v>129.19999999999999</v>
      </c>
      <c r="AL13" s="96">
        <v>138.80000000000001</v>
      </c>
      <c r="AM13" s="96">
        <v>151.1</v>
      </c>
      <c r="AN13" s="96">
        <v>165.1</v>
      </c>
      <c r="AO13" s="96">
        <v>176.3</v>
      </c>
      <c r="AP13" s="96">
        <v>190.8</v>
      </c>
      <c r="AQ13" s="96">
        <v>255.1</v>
      </c>
      <c r="AR13" s="96">
        <v>279.3</v>
      </c>
      <c r="AS13" s="96">
        <v>303</v>
      </c>
      <c r="AT13" s="96">
        <v>330</v>
      </c>
      <c r="AU13" s="96">
        <v>366</v>
      </c>
      <c r="AV13" s="96">
        <v>394.7</v>
      </c>
      <c r="AW13" s="96">
        <v>413.8</v>
      </c>
      <c r="AX13" s="96">
        <v>437.4</v>
      </c>
      <c r="AY13" s="96">
        <v>468</v>
      </c>
      <c r="AZ13" s="96">
        <v>500</v>
      </c>
      <c r="BA13" s="96">
        <v>520.29999999999995</v>
      </c>
      <c r="BB13" s="96">
        <v>538.70000000000005</v>
      </c>
      <c r="BC13" s="96">
        <v>564</v>
      </c>
      <c r="BD13" s="96">
        <v>580.20000000000005</v>
      </c>
      <c r="BE13" s="96">
        <v>588.70000000000005</v>
      </c>
      <c r="BF13" s="96">
        <v>605.5</v>
      </c>
      <c r="BG13" s="96">
        <v>628.79999999999995</v>
      </c>
      <c r="BH13" s="96">
        <v>645.9</v>
      </c>
      <c r="BI13" s="96">
        <v>653.29999999999995</v>
      </c>
      <c r="BJ13" s="96">
        <v>653.9</v>
      </c>
      <c r="BK13" s="96">
        <v>676.2</v>
      </c>
      <c r="BL13" s="96">
        <v>689.7</v>
      </c>
      <c r="BM13" s="96">
        <v>698</v>
      </c>
      <c r="BN13" s="96">
        <v>714</v>
      </c>
      <c r="BO13" s="96">
        <v>742.7</v>
      </c>
      <c r="BP13" s="96">
        <v>760.3</v>
      </c>
      <c r="BQ13" s="96">
        <v>766.3</v>
      </c>
      <c r="BR13" s="96">
        <v>781.6</v>
      </c>
      <c r="BS13" s="96">
        <v>805.1</v>
      </c>
      <c r="BT13" s="96">
        <v>819.1</v>
      </c>
      <c r="BU13" s="96">
        <v>825.5</v>
      </c>
      <c r="BV13" s="96">
        <v>846.5</v>
      </c>
      <c r="BW13" s="96">
        <v>867.1</v>
      </c>
      <c r="BX13" s="96">
        <v>880.7</v>
      </c>
      <c r="BY13" s="96">
        <v>885.7</v>
      </c>
      <c r="BZ13" s="96">
        <v>899.4</v>
      </c>
      <c r="CA13" s="96">
        <v>921</v>
      </c>
      <c r="CB13" s="96">
        <v>932.6</v>
      </c>
      <c r="CC13" s="96">
        <v>932</v>
      </c>
      <c r="CD13" s="96">
        <v>954.9</v>
      </c>
    </row>
    <row r="14" spans="1:82" ht="15" customHeight="1">
      <c r="A14" s="92" t="s">
        <v>565</v>
      </c>
      <c r="B14" s="96">
        <v>183.2</v>
      </c>
      <c r="C14" s="96">
        <v>228.1</v>
      </c>
      <c r="D14" s="96">
        <v>271.3</v>
      </c>
      <c r="E14" s="96">
        <v>310</v>
      </c>
      <c r="F14" s="96">
        <v>364.7</v>
      </c>
      <c r="G14" s="96">
        <v>467.1</v>
      </c>
      <c r="H14" s="96">
        <v>553.9</v>
      </c>
      <c r="I14" s="96">
        <v>590.6</v>
      </c>
      <c r="J14" s="96">
        <v>622.1</v>
      </c>
      <c r="K14" s="96">
        <v>621.9</v>
      </c>
      <c r="L14" s="96">
        <v>647.20000000000005</v>
      </c>
      <c r="M14" s="96">
        <v>677.7</v>
      </c>
      <c r="N14" s="96">
        <v>689.7</v>
      </c>
      <c r="O14" s="96">
        <v>693.8</v>
      </c>
      <c r="P14" s="96">
        <v>689.9</v>
      </c>
      <c r="Q14" s="96">
        <v>657</v>
      </c>
      <c r="R14" s="97">
        <f t="shared" ca="1" si="9"/>
        <v>624.1</v>
      </c>
      <c r="S14" s="97">
        <f t="shared" ca="1" si="9"/>
        <v>619.1</v>
      </c>
      <c r="T14" s="97">
        <f t="shared" ca="1" si="9"/>
        <v>614.1</v>
      </c>
      <c r="U14" s="97">
        <f t="shared" ca="1" si="9"/>
        <v>609.1</v>
      </c>
      <c r="V14" s="97">
        <f t="shared" ca="1" si="9"/>
        <v>604.1</v>
      </c>
      <c r="W14" s="97">
        <f t="shared" ca="1" si="9"/>
        <v>599.1</v>
      </c>
      <c r="X14" s="97">
        <f t="shared" ca="1" si="9"/>
        <v>594.1</v>
      </c>
      <c r="Y14" s="97">
        <f t="shared" ca="1" si="9"/>
        <v>589.1</v>
      </c>
      <c r="Z14" s="97">
        <f t="shared" ca="1" si="9"/>
        <v>584.1</v>
      </c>
      <c r="AA14" s="91"/>
      <c r="AB14" s="92" t="s">
        <v>565</v>
      </c>
      <c r="AC14" s="96">
        <v>183.2</v>
      </c>
      <c r="AD14" s="96">
        <v>194.1</v>
      </c>
      <c r="AE14" s="96">
        <v>208.9</v>
      </c>
      <c r="AF14" s="96">
        <v>217.9</v>
      </c>
      <c r="AG14" s="96">
        <v>228.1</v>
      </c>
      <c r="AH14" s="96">
        <v>233.4</v>
      </c>
      <c r="AI14" s="96">
        <v>245</v>
      </c>
      <c r="AJ14" s="96">
        <v>258.3</v>
      </c>
      <c r="AK14" s="96">
        <v>271.3</v>
      </c>
      <c r="AL14" s="96">
        <v>280.39999999999998</v>
      </c>
      <c r="AM14" s="96">
        <v>289</v>
      </c>
      <c r="AN14" s="96">
        <v>296.3</v>
      </c>
      <c r="AO14" s="96">
        <v>310</v>
      </c>
      <c r="AP14" s="96">
        <v>316.8</v>
      </c>
      <c r="AQ14" s="96">
        <v>337.6</v>
      </c>
      <c r="AR14" s="96">
        <v>343</v>
      </c>
      <c r="AS14" s="96">
        <v>364.7</v>
      </c>
      <c r="AT14" s="96">
        <v>387.5</v>
      </c>
      <c r="AU14" s="96">
        <v>418.6</v>
      </c>
      <c r="AV14" s="96">
        <v>446.2</v>
      </c>
      <c r="AW14" s="96">
        <v>467.1</v>
      </c>
      <c r="AX14" s="96">
        <v>488.1</v>
      </c>
      <c r="AY14" s="96">
        <v>506.3</v>
      </c>
      <c r="AZ14" s="96">
        <v>529.4</v>
      </c>
      <c r="BA14" s="96">
        <v>553.9</v>
      </c>
      <c r="BB14" s="96">
        <v>565.20000000000005</v>
      </c>
      <c r="BC14" s="96">
        <v>577.70000000000005</v>
      </c>
      <c r="BD14" s="96">
        <v>585.70000000000005</v>
      </c>
      <c r="BE14" s="96">
        <v>590.6</v>
      </c>
      <c r="BF14" s="96">
        <v>598.29999999999995</v>
      </c>
      <c r="BG14" s="96">
        <v>610.9</v>
      </c>
      <c r="BH14" s="96">
        <v>619.9</v>
      </c>
      <c r="BI14" s="96">
        <v>622.1</v>
      </c>
      <c r="BJ14" s="96">
        <v>619.9</v>
      </c>
      <c r="BK14" s="96">
        <v>619</v>
      </c>
      <c r="BL14" s="96">
        <v>617.29999999999995</v>
      </c>
      <c r="BM14" s="96">
        <v>621.9</v>
      </c>
      <c r="BN14" s="96">
        <v>624.6</v>
      </c>
      <c r="BO14" s="96">
        <v>634.70000000000005</v>
      </c>
      <c r="BP14" s="96">
        <v>641.9</v>
      </c>
      <c r="BQ14" s="96">
        <v>647.20000000000005</v>
      </c>
      <c r="BR14" s="96">
        <v>658.8</v>
      </c>
      <c r="BS14" s="96">
        <v>674.5</v>
      </c>
      <c r="BT14" s="96">
        <v>680.2</v>
      </c>
      <c r="BU14" s="96">
        <v>677.7</v>
      </c>
      <c r="BV14" s="96">
        <v>684.4</v>
      </c>
      <c r="BW14" s="96">
        <v>689.3</v>
      </c>
      <c r="BX14" s="96">
        <v>692.7</v>
      </c>
      <c r="BY14" s="96">
        <v>689.7</v>
      </c>
      <c r="BZ14" s="96">
        <v>698.4</v>
      </c>
      <c r="CA14" s="96">
        <v>708.9</v>
      </c>
      <c r="CB14" s="96">
        <v>705.4</v>
      </c>
      <c r="CC14" s="96">
        <v>693.8</v>
      </c>
      <c r="CD14" s="96">
        <v>701.6</v>
      </c>
    </row>
    <row r="15" spans="1:82" ht="15" customHeight="1">
      <c r="A15" s="92" t="s">
        <v>5</v>
      </c>
      <c r="B15" s="96">
        <v>0</v>
      </c>
      <c r="C15" s="96">
        <v>0</v>
      </c>
      <c r="D15" s="96">
        <v>0</v>
      </c>
      <c r="E15" s="96">
        <v>0</v>
      </c>
      <c r="F15" s="96">
        <v>0</v>
      </c>
      <c r="G15" s="96">
        <v>0</v>
      </c>
      <c r="H15" s="96">
        <v>0</v>
      </c>
      <c r="I15" s="96">
        <v>0</v>
      </c>
      <c r="J15" s="96">
        <v>0</v>
      </c>
      <c r="K15" s="96">
        <v>0</v>
      </c>
      <c r="L15" s="96">
        <v>0</v>
      </c>
      <c r="M15" s="96">
        <v>40</v>
      </c>
      <c r="N15" s="96">
        <v>71.3</v>
      </c>
      <c r="O15" s="96">
        <v>110.5</v>
      </c>
      <c r="P15" s="96">
        <v>132</v>
      </c>
      <c r="Q15" s="96">
        <v>166.2</v>
      </c>
      <c r="R15" s="96">
        <v>214.9</v>
      </c>
      <c r="S15" s="97">
        <f t="shared" si="9"/>
        <v>244.9</v>
      </c>
      <c r="T15" s="97">
        <f t="shared" si="9"/>
        <v>274.89999999999998</v>
      </c>
      <c r="U15" s="97">
        <f t="shared" si="9"/>
        <v>304.89999999999998</v>
      </c>
      <c r="V15" s="97">
        <f t="shared" si="9"/>
        <v>334.9</v>
      </c>
      <c r="W15" s="97">
        <f t="shared" si="9"/>
        <v>364.9</v>
      </c>
      <c r="X15" s="97">
        <f t="shared" si="9"/>
        <v>394.9</v>
      </c>
      <c r="Y15" s="97">
        <f t="shared" si="9"/>
        <v>424.9</v>
      </c>
      <c r="Z15" s="97">
        <f t="shared" si="9"/>
        <v>454.9</v>
      </c>
      <c r="AA15" s="91"/>
      <c r="AB15" s="92" t="s">
        <v>5</v>
      </c>
      <c r="AC15" s="96">
        <v>0</v>
      </c>
      <c r="AD15" s="96">
        <v>0</v>
      </c>
      <c r="AE15" s="96">
        <v>0</v>
      </c>
      <c r="AF15" s="96">
        <v>0</v>
      </c>
      <c r="AG15" s="96">
        <v>0</v>
      </c>
      <c r="AH15" s="96">
        <v>0</v>
      </c>
      <c r="AI15" s="96">
        <v>0</v>
      </c>
      <c r="AJ15" s="96">
        <v>0</v>
      </c>
      <c r="AK15" s="96">
        <v>0</v>
      </c>
      <c r="AL15" s="96">
        <v>0</v>
      </c>
      <c r="AM15" s="96">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6">
        <v>0</v>
      </c>
      <c r="BI15" s="96">
        <v>0</v>
      </c>
      <c r="BJ15" s="96">
        <v>0</v>
      </c>
      <c r="BK15" s="96">
        <v>0</v>
      </c>
      <c r="BL15" s="96">
        <v>0</v>
      </c>
      <c r="BM15" s="96">
        <v>0</v>
      </c>
      <c r="BN15" s="96">
        <v>0</v>
      </c>
      <c r="BO15" s="96">
        <v>0</v>
      </c>
      <c r="BP15" s="96">
        <v>0</v>
      </c>
      <c r="BQ15" s="96">
        <v>0</v>
      </c>
      <c r="BR15" s="96">
        <v>0</v>
      </c>
      <c r="BS15" s="96">
        <v>0</v>
      </c>
      <c r="BT15" s="96">
        <v>0</v>
      </c>
      <c r="BU15" s="96">
        <v>0</v>
      </c>
      <c r="BV15" s="96">
        <v>47.5</v>
      </c>
      <c r="BW15" s="96">
        <v>140.1</v>
      </c>
      <c r="BX15" s="96">
        <v>79.900000000000006</v>
      </c>
      <c r="BY15" s="96">
        <v>71.3</v>
      </c>
      <c r="BZ15" s="96">
        <v>83</v>
      </c>
      <c r="CA15" s="96">
        <v>89.7</v>
      </c>
      <c r="CB15" s="96">
        <v>100.7</v>
      </c>
      <c r="CC15" s="96">
        <v>110.5</v>
      </c>
      <c r="CD15" s="96">
        <v>117.5</v>
      </c>
    </row>
    <row r="16" spans="1:82" ht="15" customHeight="1">
      <c r="A16" s="92" t="s">
        <v>566</v>
      </c>
      <c r="B16" s="96"/>
      <c r="C16" s="96"/>
      <c r="D16" s="96"/>
      <c r="E16" s="96"/>
      <c r="F16" s="96"/>
      <c r="G16" s="96"/>
      <c r="H16" s="96"/>
      <c r="I16" s="96"/>
      <c r="J16" s="96"/>
      <c r="K16" s="96"/>
      <c r="L16" s="96"/>
      <c r="M16" s="96"/>
      <c r="N16" s="96">
        <v>45.3</v>
      </c>
      <c r="O16" s="96">
        <v>90.7</v>
      </c>
      <c r="P16" s="96">
        <v>121.1</v>
      </c>
      <c r="Q16" s="96">
        <v>158.19999999999999</v>
      </c>
      <c r="R16" s="97"/>
      <c r="S16" s="97"/>
      <c r="T16" s="97"/>
      <c r="U16" s="97"/>
      <c r="V16" s="97"/>
      <c r="W16" s="97"/>
      <c r="X16" s="97"/>
      <c r="Y16" s="97"/>
      <c r="Z16" s="97"/>
      <c r="AA16" s="91"/>
      <c r="AB16" s="92" t="s">
        <v>566</v>
      </c>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v>47.5</v>
      </c>
      <c r="BW16" s="96">
        <v>43.1</v>
      </c>
      <c r="BX16" s="96">
        <v>43.6</v>
      </c>
      <c r="BY16" s="96">
        <v>45.3</v>
      </c>
      <c r="BZ16" s="96">
        <v>53.8</v>
      </c>
      <c r="CA16" s="96">
        <v>65.2</v>
      </c>
      <c r="CB16" s="96">
        <v>78.5</v>
      </c>
      <c r="CC16" s="96">
        <v>90.7</v>
      </c>
      <c r="CD16" s="96">
        <v>104.7</v>
      </c>
    </row>
    <row r="17" spans="1:92" ht="15" customHeight="1">
      <c r="A17" s="92" t="s">
        <v>567</v>
      </c>
      <c r="B17" s="96"/>
      <c r="C17" s="96"/>
      <c r="D17" s="96"/>
      <c r="E17" s="96"/>
      <c r="F17" s="96"/>
      <c r="G17" s="96"/>
      <c r="H17" s="96"/>
      <c r="I17" s="96"/>
      <c r="J17" s="96"/>
      <c r="K17" s="96"/>
      <c r="L17" s="96"/>
      <c r="M17" s="96"/>
      <c r="N17" s="96">
        <v>26</v>
      </c>
      <c r="O17" s="96">
        <v>19.8</v>
      </c>
      <c r="P17" s="96">
        <v>10.9</v>
      </c>
      <c r="Q17" s="96">
        <f>Q15-Q16</f>
        <v>8</v>
      </c>
      <c r="R17" s="97"/>
      <c r="S17" s="97"/>
      <c r="T17" s="97"/>
      <c r="U17" s="97"/>
      <c r="V17" s="97"/>
      <c r="W17" s="97"/>
      <c r="X17" s="97"/>
      <c r="Y17" s="97"/>
      <c r="Z17" s="97"/>
      <c r="AA17" s="91"/>
      <c r="AB17" s="92" t="s">
        <v>567</v>
      </c>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v>93.1</v>
      </c>
      <c r="BW17" s="96">
        <v>97</v>
      </c>
      <c r="BX17" s="96">
        <v>36.299999999999997</v>
      </c>
      <c r="BY17" s="96">
        <v>26</v>
      </c>
      <c r="BZ17" s="96">
        <v>29.2</v>
      </c>
      <c r="CA17" s="96">
        <v>24.5</v>
      </c>
      <c r="CB17" s="96">
        <v>22.2</v>
      </c>
      <c r="CC17" s="96">
        <v>19.8</v>
      </c>
      <c r="CD17" s="96">
        <v>12.8</v>
      </c>
    </row>
    <row r="18" spans="1:92" ht="15" customHeight="1">
      <c r="B18" s="96"/>
      <c r="C18" s="96"/>
      <c r="D18" s="96"/>
      <c r="E18" s="96"/>
      <c r="F18" s="96"/>
      <c r="G18" s="96"/>
      <c r="H18" s="96"/>
      <c r="I18" s="96"/>
      <c r="J18" s="96"/>
      <c r="K18" s="96"/>
      <c r="L18" s="96"/>
      <c r="M18" s="96"/>
      <c r="N18" s="96"/>
      <c r="O18" s="96"/>
      <c r="P18" s="97"/>
      <c r="Q18" s="97"/>
      <c r="R18" s="97"/>
      <c r="S18" s="97"/>
      <c r="T18" s="97"/>
      <c r="U18" s="97"/>
      <c r="V18" s="97"/>
      <c r="W18" s="97"/>
      <c r="X18" s="97"/>
      <c r="Y18" s="97"/>
      <c r="Z18" s="97"/>
      <c r="AA18" s="91"/>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row>
    <row r="19" spans="1:92" ht="15" customHeight="1">
      <c r="A19" s="92" t="s">
        <v>568</v>
      </c>
      <c r="B19" s="96"/>
      <c r="C19" s="96"/>
      <c r="D19" s="96"/>
      <c r="E19" s="96"/>
      <c r="F19" s="96"/>
      <c r="G19" s="96"/>
      <c r="H19" s="96"/>
      <c r="I19" s="96"/>
      <c r="J19" s="96"/>
      <c r="K19" s="96"/>
      <c r="L19" s="96"/>
      <c r="M19" s="96"/>
      <c r="N19" s="98">
        <v>0.32600000000000001</v>
      </c>
      <c r="O19" s="98">
        <v>0.313</v>
      </c>
      <c r="P19" s="98">
        <v>0.30499999999999999</v>
      </c>
      <c r="Q19" s="98">
        <v>0.313</v>
      </c>
      <c r="R19" s="97"/>
      <c r="S19" s="97"/>
      <c r="T19" s="97"/>
      <c r="U19" s="97"/>
      <c r="V19" s="97"/>
      <c r="W19" s="97"/>
      <c r="X19" s="97"/>
      <c r="Y19" s="97"/>
      <c r="Z19" s="97"/>
      <c r="AA19" s="91"/>
      <c r="AB19" s="92" t="s">
        <v>568</v>
      </c>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8"/>
      <c r="BC19" s="98"/>
      <c r="BD19" s="98"/>
      <c r="BE19" s="98"/>
      <c r="BF19" s="98"/>
      <c r="BG19" s="98"/>
      <c r="BH19" s="98"/>
      <c r="BI19" s="98"/>
      <c r="BJ19" s="98"/>
      <c r="BK19" s="98"/>
      <c r="BL19" s="98"/>
      <c r="BM19" s="98"/>
      <c r="BN19" s="98"/>
      <c r="BO19" s="98"/>
      <c r="BP19" s="98"/>
      <c r="BQ19" s="98"/>
      <c r="BR19" s="98"/>
      <c r="BS19" s="98"/>
      <c r="BT19" s="98"/>
      <c r="BU19" s="98"/>
      <c r="BV19" s="98">
        <v>0.33200000000000002</v>
      </c>
      <c r="BW19" s="98">
        <v>0.32600000000000001</v>
      </c>
      <c r="BX19" s="98">
        <v>0.32500000000000001</v>
      </c>
      <c r="BY19" s="98">
        <v>0.32600000000000001</v>
      </c>
      <c r="BZ19" s="98">
        <v>0.32100000000000001</v>
      </c>
      <c r="CA19" s="98">
        <v>0.318</v>
      </c>
      <c r="CB19" s="98">
        <v>0.315</v>
      </c>
      <c r="CC19" s="98">
        <v>0.313</v>
      </c>
      <c r="CD19" s="98">
        <v>0.312</v>
      </c>
    </row>
    <row r="20" spans="1:92" ht="15" customHeight="1">
      <c r="A20" s="92" t="s">
        <v>569</v>
      </c>
      <c r="B20" s="96"/>
      <c r="C20" s="96"/>
      <c r="D20" s="96"/>
      <c r="E20" s="96"/>
      <c r="F20" s="96"/>
      <c r="G20" s="96"/>
      <c r="H20" s="96"/>
      <c r="I20" s="96"/>
      <c r="J20" s="96"/>
      <c r="K20" s="96"/>
      <c r="L20" s="96"/>
      <c r="M20" s="96"/>
      <c r="N20" s="98">
        <v>0.21099999999999999</v>
      </c>
      <c r="O20" s="98">
        <v>0.221</v>
      </c>
      <c r="P20" s="98">
        <v>0.23699999999999999</v>
      </c>
      <c r="Q20" s="98">
        <v>0.27</v>
      </c>
      <c r="R20" s="97"/>
      <c r="S20" s="97"/>
      <c r="T20" s="97"/>
      <c r="U20" s="97"/>
      <c r="V20" s="97"/>
      <c r="W20" s="97"/>
      <c r="X20" s="97"/>
      <c r="Y20" s="97"/>
      <c r="Z20" s="97"/>
      <c r="AA20" s="91"/>
      <c r="AB20" s="92" t="s">
        <v>569</v>
      </c>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8"/>
      <c r="BC20" s="98"/>
      <c r="BD20" s="98"/>
      <c r="BE20" s="98"/>
      <c r="BF20" s="98"/>
      <c r="BG20" s="98"/>
      <c r="BH20" s="98"/>
      <c r="BI20" s="98"/>
      <c r="BJ20" s="98"/>
      <c r="BK20" s="98"/>
      <c r="BL20" s="98"/>
      <c r="BM20" s="98"/>
      <c r="BN20" s="98"/>
      <c r="BO20" s="98"/>
      <c r="BP20" s="98"/>
      <c r="BQ20" s="98"/>
      <c r="BR20" s="98"/>
      <c r="BS20" s="98"/>
      <c r="BT20" s="98"/>
      <c r="BU20" s="98"/>
      <c r="BV20" s="98">
        <v>0.20799999999999999</v>
      </c>
      <c r="BW20" s="98">
        <v>0.20899999999999999</v>
      </c>
      <c r="BX20" s="98">
        <v>0.20799999999999999</v>
      </c>
      <c r="BY20" s="98">
        <v>0.21099999999999999</v>
      </c>
      <c r="BZ20" s="98">
        <v>0.21199999999999999</v>
      </c>
      <c r="CA20" s="98">
        <v>0.21099999999999999</v>
      </c>
      <c r="CB20" s="98">
        <v>0.217</v>
      </c>
      <c r="CC20" s="98">
        <v>0.221</v>
      </c>
      <c r="CD20" s="98">
        <v>0.222</v>
      </c>
    </row>
    <row r="21" spans="1:92" ht="15" customHeight="1">
      <c r="A21" s="92" t="s">
        <v>570</v>
      </c>
      <c r="B21" s="96"/>
      <c r="C21" s="96"/>
      <c r="D21" s="96"/>
      <c r="E21" s="96"/>
      <c r="F21" s="96"/>
      <c r="G21" s="96"/>
      <c r="H21" s="96"/>
      <c r="I21" s="96"/>
      <c r="J21" s="96"/>
      <c r="K21" s="96"/>
      <c r="L21" s="96"/>
      <c r="M21" s="96"/>
      <c r="N21" s="98">
        <v>0.46300000000000002</v>
      </c>
      <c r="O21" s="98">
        <v>0.46600000000000003</v>
      </c>
      <c r="P21" s="98">
        <v>0.45800000000000002</v>
      </c>
      <c r="Q21" s="98">
        <v>0.41699999999999998</v>
      </c>
      <c r="R21" s="97"/>
      <c r="S21" s="97"/>
      <c r="T21" s="97"/>
      <c r="U21" s="97"/>
      <c r="V21" s="97"/>
      <c r="W21" s="97"/>
      <c r="X21" s="97"/>
      <c r="Y21" s="97"/>
      <c r="Z21" s="97"/>
      <c r="AA21" s="91"/>
      <c r="AB21" s="92" t="s">
        <v>570</v>
      </c>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8"/>
      <c r="BC21" s="98"/>
      <c r="BD21" s="98"/>
      <c r="BE21" s="98"/>
      <c r="BF21" s="98"/>
      <c r="BG21" s="98"/>
      <c r="BH21" s="98"/>
      <c r="BI21" s="98"/>
      <c r="BJ21" s="98"/>
      <c r="BK21" s="98"/>
      <c r="BL21" s="98"/>
      <c r="BM21" s="98"/>
      <c r="BN21" s="98"/>
      <c r="BO21" s="98"/>
      <c r="BP21" s="98"/>
      <c r="BQ21" s="98"/>
      <c r="BR21" s="98"/>
      <c r="BS21" s="98"/>
      <c r="BT21" s="98"/>
      <c r="BU21" s="98"/>
      <c r="BV21" s="98">
        <v>0.46</v>
      </c>
      <c r="BW21" s="98">
        <v>0.46500000000000002</v>
      </c>
      <c r="BX21" s="98">
        <v>0.46700000000000003</v>
      </c>
      <c r="BY21" s="98">
        <v>0.46300000000000002</v>
      </c>
      <c r="BZ21" s="98">
        <v>0.46700000000000003</v>
      </c>
      <c r="CA21" s="98">
        <v>0.47099999999999997</v>
      </c>
      <c r="CB21" s="98">
        <v>0.46800000000000003</v>
      </c>
      <c r="CC21" s="98">
        <v>0.46600000000000003</v>
      </c>
      <c r="CD21" s="98">
        <v>0.46600000000000003</v>
      </c>
    </row>
    <row r="22" spans="1:92" ht="15" customHeight="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row>
    <row r="23" spans="1:92" ht="15" customHeight="1">
      <c r="A23" s="92" t="s">
        <v>571</v>
      </c>
      <c r="B23" s="97">
        <f t="shared" ref="B23:Z23" si="10">+B12+B13+B14</f>
        <v>656.3</v>
      </c>
      <c r="C23" s="97">
        <f t="shared" si="10"/>
        <v>767.9</v>
      </c>
      <c r="D23" s="97">
        <f t="shared" si="10"/>
        <v>894</v>
      </c>
      <c r="E23" s="97">
        <f t="shared" si="10"/>
        <v>995.40000000000009</v>
      </c>
      <c r="F23" s="97">
        <f t="shared" si="10"/>
        <v>1425.7</v>
      </c>
      <c r="G23" s="97">
        <f t="shared" si="10"/>
        <v>1684.4</v>
      </c>
      <c r="H23" s="97">
        <f t="shared" si="10"/>
        <v>1926.7999999999997</v>
      </c>
      <c r="I23" s="97">
        <f t="shared" si="10"/>
        <v>2056.5</v>
      </c>
      <c r="J23" s="97">
        <f t="shared" si="10"/>
        <v>2177.6</v>
      </c>
      <c r="K23" s="97">
        <f t="shared" si="10"/>
        <v>2217.6</v>
      </c>
      <c r="L23" s="97">
        <f t="shared" si="10"/>
        <v>2330.8000000000002</v>
      </c>
      <c r="M23" s="97">
        <f t="shared" si="10"/>
        <v>2435.6999999999998</v>
      </c>
      <c r="N23" s="97">
        <f>+N12+N13+N14</f>
        <v>2564.8000000000002</v>
      </c>
      <c r="O23" s="97">
        <f>+O12+O13+O14</f>
        <v>2639.3</v>
      </c>
      <c r="P23" s="97">
        <f t="shared" si="10"/>
        <v>2719</v>
      </c>
      <c r="Q23" s="97">
        <f t="shared" si="10"/>
        <v>2795.5</v>
      </c>
      <c r="R23" s="97">
        <f t="shared" ca="1" si="10"/>
        <v>2873.1</v>
      </c>
      <c r="S23" s="97">
        <f t="shared" ca="1" si="10"/>
        <v>2919.4479999999999</v>
      </c>
      <c r="T23" s="97">
        <f t="shared" ca="1" si="10"/>
        <v>2956.2229599999996</v>
      </c>
      <c r="U23" s="97">
        <f t="shared" ca="1" si="10"/>
        <v>2993.4334192000001</v>
      </c>
      <c r="V23" s="97">
        <f t="shared" ca="1" si="10"/>
        <v>3031.0880875839998</v>
      </c>
      <c r="W23" s="97">
        <f t="shared" ca="1" si="10"/>
        <v>3069.1958493356801</v>
      </c>
      <c r="X23" s="97">
        <f t="shared" ca="1" si="10"/>
        <v>3107.7657663223936</v>
      </c>
      <c r="Y23" s="97">
        <f t="shared" ca="1" si="10"/>
        <v>3146.8070816488412</v>
      </c>
      <c r="Z23" s="97">
        <f t="shared" ca="1" si="10"/>
        <v>3186.329223281818</v>
      </c>
      <c r="AA23" s="97"/>
      <c r="AB23" s="99" t="str">
        <f>+A23</f>
        <v>Fixed RGUs</v>
      </c>
      <c r="AC23" s="97">
        <f t="shared" ref="AC23:CC23" si="11">+AC12+AC13+AC14</f>
        <v>656.3</v>
      </c>
      <c r="AD23" s="97">
        <f t="shared" si="11"/>
        <v>670.5</v>
      </c>
      <c r="AE23" s="97">
        <f t="shared" si="11"/>
        <v>708.4</v>
      </c>
      <c r="AF23" s="97">
        <f t="shared" si="11"/>
        <v>739.8</v>
      </c>
      <c r="AG23" s="97">
        <f t="shared" si="11"/>
        <v>767.9</v>
      </c>
      <c r="AH23" s="97">
        <f t="shared" si="11"/>
        <v>787.19999999999993</v>
      </c>
      <c r="AI23" s="97">
        <f t="shared" si="11"/>
        <v>822.6</v>
      </c>
      <c r="AJ23" s="97">
        <f t="shared" si="11"/>
        <v>859.7</v>
      </c>
      <c r="AK23" s="97">
        <f t="shared" si="11"/>
        <v>894</v>
      </c>
      <c r="AL23" s="97">
        <f t="shared" si="11"/>
        <v>914.6</v>
      </c>
      <c r="AM23" s="97">
        <f t="shared" si="11"/>
        <v>944.7</v>
      </c>
      <c r="AN23" s="97">
        <f t="shared" si="11"/>
        <v>973.7</v>
      </c>
      <c r="AO23" s="97">
        <f t="shared" si="11"/>
        <v>995.40000000000009</v>
      </c>
      <c r="AP23" s="97">
        <f t="shared" si="11"/>
        <v>1018</v>
      </c>
      <c r="AQ23" s="97">
        <f t="shared" si="11"/>
        <v>1328.2</v>
      </c>
      <c r="AR23" s="97">
        <f t="shared" si="11"/>
        <v>1366.2</v>
      </c>
      <c r="AS23" s="97">
        <f t="shared" si="11"/>
        <v>1425.7</v>
      </c>
      <c r="AT23" s="97">
        <f t="shared" si="11"/>
        <v>1484.8</v>
      </c>
      <c r="AU23" s="97">
        <f t="shared" si="11"/>
        <v>1576.1</v>
      </c>
      <c r="AV23" s="97">
        <f t="shared" si="11"/>
        <v>1639.7</v>
      </c>
      <c r="AW23" s="97">
        <f t="shared" si="11"/>
        <v>1684.4</v>
      </c>
      <c r="AX23" s="97">
        <f t="shared" si="11"/>
        <v>1737.1</v>
      </c>
      <c r="AY23" s="97">
        <f t="shared" si="11"/>
        <v>1801.3</v>
      </c>
      <c r="AZ23" s="97">
        <f t="shared" si="11"/>
        <v>1869.6999999999998</v>
      </c>
      <c r="BA23" s="97">
        <f t="shared" si="11"/>
        <v>1926.7999999999997</v>
      </c>
      <c r="BB23" s="97">
        <f t="shared" si="11"/>
        <v>1963.9</v>
      </c>
      <c r="BC23" s="97">
        <f t="shared" si="11"/>
        <v>2011.8</v>
      </c>
      <c r="BD23" s="97">
        <f t="shared" si="11"/>
        <v>2043.3000000000002</v>
      </c>
      <c r="BE23" s="97">
        <f t="shared" si="11"/>
        <v>2056.5</v>
      </c>
      <c r="BF23" s="97">
        <f t="shared" si="11"/>
        <v>2086.8000000000002</v>
      </c>
      <c r="BG23" s="97">
        <f t="shared" si="11"/>
        <v>2129.8000000000002</v>
      </c>
      <c r="BH23" s="97">
        <f t="shared" si="11"/>
        <v>2164.5</v>
      </c>
      <c r="BI23" s="97">
        <f t="shared" si="11"/>
        <v>2177.6</v>
      </c>
      <c r="BJ23" s="97">
        <f t="shared" si="11"/>
        <v>2167.3000000000002</v>
      </c>
      <c r="BK23" s="97">
        <f t="shared" si="11"/>
        <v>2194.1000000000004</v>
      </c>
      <c r="BL23" s="97">
        <f t="shared" si="11"/>
        <v>2201.8999999999996</v>
      </c>
      <c r="BM23" s="97">
        <f t="shared" si="11"/>
        <v>2217.6</v>
      </c>
      <c r="BN23" s="97">
        <f t="shared" si="11"/>
        <v>2241.6</v>
      </c>
      <c r="BO23" s="97">
        <f t="shared" si="11"/>
        <v>2291.8000000000002</v>
      </c>
      <c r="BP23" s="97">
        <f t="shared" si="11"/>
        <v>2322.1</v>
      </c>
      <c r="BQ23" s="97">
        <f t="shared" si="11"/>
        <v>2330.8000000000002</v>
      </c>
      <c r="BR23" s="97">
        <f t="shared" si="11"/>
        <v>2361.1</v>
      </c>
      <c r="BS23" s="97">
        <f t="shared" si="11"/>
        <v>2402.6999999999998</v>
      </c>
      <c r="BT23" s="97">
        <f t="shared" si="11"/>
        <v>2416.6000000000004</v>
      </c>
      <c r="BU23" s="97">
        <f t="shared" si="11"/>
        <v>2435.6999999999998</v>
      </c>
      <c r="BV23" s="97">
        <f t="shared" si="11"/>
        <v>2485.8000000000002</v>
      </c>
      <c r="BW23" s="97">
        <f t="shared" si="11"/>
        <v>2529.5</v>
      </c>
      <c r="BX23" s="97">
        <f t="shared" si="11"/>
        <v>2558.5</v>
      </c>
      <c r="BY23" s="97">
        <f t="shared" si="11"/>
        <v>2564.8000000000002</v>
      </c>
      <c r="BZ23" s="97">
        <f t="shared" si="11"/>
        <v>2596.6</v>
      </c>
      <c r="CA23" s="97">
        <f t="shared" si="11"/>
        <v>2637.8</v>
      </c>
      <c r="CB23" s="97">
        <f t="shared" si="11"/>
        <v>2647</v>
      </c>
      <c r="CC23" s="97">
        <f t="shared" si="11"/>
        <v>2639.3</v>
      </c>
      <c r="CD23" s="97">
        <f>+CD12+CD13+CD14</f>
        <v>2664.9</v>
      </c>
    </row>
    <row r="24" spans="1:92" ht="15" customHeight="1">
      <c r="A24" s="92" t="s">
        <v>572</v>
      </c>
      <c r="B24" s="97"/>
      <c r="C24" s="97"/>
      <c r="D24" s="97"/>
      <c r="E24" s="97">
        <f t="shared" ref="E24:Z24" si="12">+E23/E6</f>
        <v>1.5650943396226416</v>
      </c>
      <c r="F24" s="97">
        <f t="shared" si="12"/>
        <v>1.5834073745002222</v>
      </c>
      <c r="G24" s="97">
        <f t="shared" si="12"/>
        <v>1.7905814818751993</v>
      </c>
      <c r="H24" s="97">
        <f t="shared" si="12"/>
        <v>1.9407735697018531</v>
      </c>
      <c r="I24" s="97">
        <f t="shared" si="12"/>
        <v>1.9983480711301138</v>
      </c>
      <c r="J24" s="97">
        <f t="shared" si="12"/>
        <v>2.0654462676657497</v>
      </c>
      <c r="K24" s="97">
        <f t="shared" si="12"/>
        <v>2.0752386299831556</v>
      </c>
      <c r="L24" s="97">
        <f t="shared" si="12"/>
        <v>2.1154474496278821</v>
      </c>
      <c r="M24" s="97">
        <f t="shared" si="12"/>
        <v>2.1283642083187693</v>
      </c>
      <c r="N24" s="97">
        <f t="shared" si="12"/>
        <v>2.1376896149358227</v>
      </c>
      <c r="O24" s="97">
        <f t="shared" si="12"/>
        <v>2.1540031012813192</v>
      </c>
      <c r="P24" s="97">
        <f t="shared" si="12"/>
        <v>2.152129175241412</v>
      </c>
      <c r="Q24" s="97">
        <f t="shared" si="12"/>
        <v>2.103619534953721</v>
      </c>
      <c r="R24" s="97">
        <f t="shared" ca="1" si="12"/>
        <v>2.0421494064965526</v>
      </c>
      <c r="S24" s="97">
        <f t="shared" ca="1" si="12"/>
        <v>1.9880476676881171</v>
      </c>
      <c r="T24" s="97">
        <f t="shared" ca="1" si="12"/>
        <v>1.9836761935528995</v>
      </c>
      <c r="U24" s="97">
        <f t="shared" ca="1" si="12"/>
        <v>1.9791486127405571</v>
      </c>
      <c r="V24" s="97">
        <f t="shared" ca="1" si="12"/>
        <v>1.9744700253084522</v>
      </c>
      <c r="W24" s="97">
        <f t="shared" ca="1" si="12"/>
        <v>1.969645490378283</v>
      </c>
      <c r="X24" s="97">
        <f t="shared" ca="1" si="12"/>
        <v>1.9646800235072042</v>
      </c>
      <c r="Y24" s="97">
        <f t="shared" ca="1" si="12"/>
        <v>1.9595785941676815</v>
      </c>
      <c r="Z24" s="97">
        <f t="shared" ca="1" si="12"/>
        <v>1.9543461233367303</v>
      </c>
      <c r="AA24" s="97"/>
      <c r="AB24" s="99" t="str">
        <f>+A24</f>
        <v>Fixed RGUs per customer</v>
      </c>
      <c r="AC24" s="97" t="e">
        <f t="shared" ref="AC24:CD24" si="13">+AC23/AC6</f>
        <v>#DIV/0!</v>
      </c>
      <c r="AD24" s="97" t="e">
        <f t="shared" si="13"/>
        <v>#DIV/0!</v>
      </c>
      <c r="AE24" s="97" t="e">
        <f t="shared" si="13"/>
        <v>#DIV/0!</v>
      </c>
      <c r="AF24" s="97" t="e">
        <f t="shared" si="13"/>
        <v>#DIV/0!</v>
      </c>
      <c r="AG24" s="97" t="e">
        <f t="shared" si="13"/>
        <v>#DIV/0!</v>
      </c>
      <c r="AH24" s="97" t="e">
        <f t="shared" si="13"/>
        <v>#DIV/0!</v>
      </c>
      <c r="AI24" s="97" t="e">
        <f t="shared" si="13"/>
        <v>#DIV/0!</v>
      </c>
      <c r="AJ24" s="97" t="e">
        <f t="shared" si="13"/>
        <v>#DIV/0!</v>
      </c>
      <c r="AK24" s="97" t="e">
        <f t="shared" si="13"/>
        <v>#DIV/0!</v>
      </c>
      <c r="AL24" s="97" t="e">
        <f t="shared" si="13"/>
        <v>#DIV/0!</v>
      </c>
      <c r="AM24" s="97" t="e">
        <f t="shared" si="13"/>
        <v>#DIV/0!</v>
      </c>
      <c r="AN24" s="97" t="e">
        <f t="shared" si="13"/>
        <v>#DIV/0!</v>
      </c>
      <c r="AO24" s="97">
        <f t="shared" si="13"/>
        <v>1.5650943396226416</v>
      </c>
      <c r="AP24" s="97">
        <f t="shared" si="13"/>
        <v>1.5685670261941449</v>
      </c>
      <c r="AQ24" s="97">
        <f t="shared" si="13"/>
        <v>1.5081185420688088</v>
      </c>
      <c r="AR24" s="97">
        <f t="shared" si="13"/>
        <v>1.5193505338078293</v>
      </c>
      <c r="AS24" s="97">
        <f t="shared" si="13"/>
        <v>1.5834073745002222</v>
      </c>
      <c r="AT24" s="97">
        <f t="shared" si="13"/>
        <v>1.6329044319806445</v>
      </c>
      <c r="AU24" s="97">
        <f t="shared" si="13"/>
        <v>1.698200624932658</v>
      </c>
      <c r="AV24" s="97">
        <f t="shared" si="13"/>
        <v>1.7559434568430072</v>
      </c>
      <c r="AW24" s="97">
        <f t="shared" si="13"/>
        <v>1.7905814818751993</v>
      </c>
      <c r="AX24" s="97">
        <f t="shared" si="13"/>
        <v>1.8218143681174619</v>
      </c>
      <c r="AY24" s="97">
        <f t="shared" si="13"/>
        <v>1.8593104872006607</v>
      </c>
      <c r="AZ24" s="97">
        <f t="shared" si="13"/>
        <v>1.9047473512632433</v>
      </c>
      <c r="BA24" s="97">
        <f t="shared" si="13"/>
        <v>1.9407735697018531</v>
      </c>
      <c r="BB24" s="97">
        <f t="shared" si="13"/>
        <v>1.959197924980048</v>
      </c>
      <c r="BC24" s="97">
        <f t="shared" si="13"/>
        <v>1.9768104549474304</v>
      </c>
      <c r="BD24" s="97">
        <f t="shared" si="13"/>
        <v>1.9880326911850557</v>
      </c>
      <c r="BE24" s="97">
        <f t="shared" si="13"/>
        <v>1.9983480711301138</v>
      </c>
      <c r="BF24" s="97">
        <f t="shared" si="13"/>
        <v>2.0236617532971297</v>
      </c>
      <c r="BG24" s="97">
        <f t="shared" si="13"/>
        <v>2.0502502887947633</v>
      </c>
      <c r="BH24" s="97">
        <f t="shared" si="13"/>
        <v>2.0594671741198858</v>
      </c>
      <c r="BI24" s="97">
        <f t="shared" si="13"/>
        <v>2.0654462676657497</v>
      </c>
      <c r="BJ24" s="97">
        <f t="shared" si="13"/>
        <v>2.0627200913676598</v>
      </c>
      <c r="BK24" s="97">
        <f t="shared" si="13"/>
        <v>2.0578690677171263</v>
      </c>
      <c r="BL24" s="97">
        <f t="shared" si="13"/>
        <v>2.0601609281437123</v>
      </c>
      <c r="BM24" s="97">
        <f t="shared" si="13"/>
        <v>2.0752386299831556</v>
      </c>
      <c r="BN24" s="97">
        <f t="shared" si="13"/>
        <v>2.0857913836419466</v>
      </c>
      <c r="BO24" s="97">
        <f t="shared" si="13"/>
        <v>2.1029546705817586</v>
      </c>
      <c r="BP24" s="97">
        <f t="shared" si="13"/>
        <v>2.1117679156056748</v>
      </c>
      <c r="BQ24" s="97">
        <f t="shared" si="13"/>
        <v>2.1154474496278821</v>
      </c>
      <c r="BR24" s="97">
        <f t="shared" si="13"/>
        <v>2.1292271620524841</v>
      </c>
      <c r="BS24" s="97">
        <f t="shared" si="13"/>
        <v>2.1431629649451431</v>
      </c>
      <c r="BT24" s="97">
        <f t="shared" si="13"/>
        <v>2.1395307658255867</v>
      </c>
      <c r="BU24" s="97">
        <f t="shared" si="13"/>
        <v>2.1283642083187693</v>
      </c>
      <c r="BV24" s="97">
        <f t="shared" si="13"/>
        <v>2.1284356537374776</v>
      </c>
      <c r="BW24" s="97">
        <f t="shared" si="13"/>
        <v>2.1383887057232225</v>
      </c>
      <c r="BX24" s="97">
        <f t="shared" si="13"/>
        <v>2.1431563075892108</v>
      </c>
      <c r="BY24" s="97">
        <f t="shared" si="13"/>
        <v>2.1376896149358227</v>
      </c>
      <c r="BZ24" s="97">
        <f t="shared" si="13"/>
        <v>2.1454184912831531</v>
      </c>
      <c r="CA24" s="97">
        <f t="shared" si="13"/>
        <v>2.1538335919000571</v>
      </c>
      <c r="CB24" s="97">
        <f t="shared" si="13"/>
        <v>2.1522074965444342</v>
      </c>
      <c r="CC24" s="97">
        <f t="shared" si="13"/>
        <v>2.1540031012813192</v>
      </c>
      <c r="CD24" s="97">
        <f t="shared" si="13"/>
        <v>2.1527587042572098</v>
      </c>
    </row>
    <row r="25" spans="1:92" ht="15" customHeight="1">
      <c r="A25" s="92" t="s">
        <v>573</v>
      </c>
      <c r="B25" s="97">
        <f t="shared" ref="B25:Z25" si="14">+B23+B15</f>
        <v>656.3</v>
      </c>
      <c r="C25" s="97">
        <f t="shared" si="14"/>
        <v>767.9</v>
      </c>
      <c r="D25" s="97">
        <f t="shared" si="14"/>
        <v>894</v>
      </c>
      <c r="E25" s="97">
        <f t="shared" si="14"/>
        <v>995.40000000000009</v>
      </c>
      <c r="F25" s="97">
        <f t="shared" si="14"/>
        <v>1425.7</v>
      </c>
      <c r="G25" s="97">
        <f t="shared" si="14"/>
        <v>1684.4</v>
      </c>
      <c r="H25" s="97">
        <f t="shared" si="14"/>
        <v>1926.7999999999997</v>
      </c>
      <c r="I25" s="97">
        <f t="shared" si="14"/>
        <v>2056.5</v>
      </c>
      <c r="J25" s="97">
        <f t="shared" si="14"/>
        <v>2177.6</v>
      </c>
      <c r="K25" s="97">
        <f t="shared" si="14"/>
        <v>2217.6</v>
      </c>
      <c r="L25" s="97">
        <f t="shared" si="14"/>
        <v>2330.8000000000002</v>
      </c>
      <c r="M25" s="97">
        <f t="shared" si="14"/>
        <v>2475.6999999999998</v>
      </c>
      <c r="N25" s="97">
        <f>+N23+N15</f>
        <v>2636.1000000000004</v>
      </c>
      <c r="O25" s="97">
        <f t="shared" si="14"/>
        <v>2749.8</v>
      </c>
      <c r="P25" s="97">
        <f t="shared" si="14"/>
        <v>2851</v>
      </c>
      <c r="Q25" s="97">
        <f t="shared" si="14"/>
        <v>2961.7</v>
      </c>
      <c r="R25" s="97">
        <f t="shared" ca="1" si="14"/>
        <v>3088</v>
      </c>
      <c r="S25" s="97">
        <f t="shared" ca="1" si="14"/>
        <v>3164.348</v>
      </c>
      <c r="T25" s="97">
        <f t="shared" ca="1" si="14"/>
        <v>3231.1229599999997</v>
      </c>
      <c r="U25" s="97">
        <f t="shared" ca="1" si="14"/>
        <v>3298.3334192000002</v>
      </c>
      <c r="V25" s="97">
        <f t="shared" ca="1" si="14"/>
        <v>3365.9880875839999</v>
      </c>
      <c r="W25" s="97">
        <f t="shared" ca="1" si="14"/>
        <v>3434.0958493356802</v>
      </c>
      <c r="X25" s="97">
        <f t="shared" ca="1" si="14"/>
        <v>3502.6657663223937</v>
      </c>
      <c r="Y25" s="97">
        <f t="shared" ca="1" si="14"/>
        <v>3571.7070816488413</v>
      </c>
      <c r="Z25" s="97">
        <f t="shared" ca="1" si="14"/>
        <v>3641.2292232818181</v>
      </c>
      <c r="AA25" s="97"/>
      <c r="AB25" s="99" t="str">
        <f>+A25</f>
        <v>Total RGUs</v>
      </c>
      <c r="AC25" s="97">
        <f t="shared" ref="AC25:CD25" si="15">+AC23+AC15</f>
        <v>656.3</v>
      </c>
      <c r="AD25" s="97">
        <f t="shared" si="15"/>
        <v>670.5</v>
      </c>
      <c r="AE25" s="97">
        <f t="shared" si="15"/>
        <v>708.4</v>
      </c>
      <c r="AF25" s="97">
        <f t="shared" si="15"/>
        <v>739.8</v>
      </c>
      <c r="AG25" s="97">
        <f t="shared" si="15"/>
        <v>767.9</v>
      </c>
      <c r="AH25" s="97">
        <f t="shared" si="15"/>
        <v>787.19999999999993</v>
      </c>
      <c r="AI25" s="97">
        <f t="shared" si="15"/>
        <v>822.6</v>
      </c>
      <c r="AJ25" s="97">
        <f t="shared" si="15"/>
        <v>859.7</v>
      </c>
      <c r="AK25" s="97">
        <f t="shared" si="15"/>
        <v>894</v>
      </c>
      <c r="AL25" s="97">
        <f t="shared" si="15"/>
        <v>914.6</v>
      </c>
      <c r="AM25" s="97">
        <f t="shared" si="15"/>
        <v>944.7</v>
      </c>
      <c r="AN25" s="97">
        <f t="shared" si="15"/>
        <v>973.7</v>
      </c>
      <c r="AO25" s="97">
        <f t="shared" si="15"/>
        <v>995.40000000000009</v>
      </c>
      <c r="AP25" s="97">
        <f t="shared" si="15"/>
        <v>1018</v>
      </c>
      <c r="AQ25" s="97">
        <f t="shared" si="15"/>
        <v>1328.2</v>
      </c>
      <c r="AR25" s="97">
        <f t="shared" si="15"/>
        <v>1366.2</v>
      </c>
      <c r="AS25" s="97">
        <f t="shared" si="15"/>
        <v>1425.7</v>
      </c>
      <c r="AT25" s="97">
        <f t="shared" si="15"/>
        <v>1484.8</v>
      </c>
      <c r="AU25" s="97">
        <f t="shared" si="15"/>
        <v>1576.1</v>
      </c>
      <c r="AV25" s="97">
        <f t="shared" si="15"/>
        <v>1639.7</v>
      </c>
      <c r="AW25" s="97">
        <f t="shared" si="15"/>
        <v>1684.4</v>
      </c>
      <c r="AX25" s="97">
        <f t="shared" si="15"/>
        <v>1737.1</v>
      </c>
      <c r="AY25" s="97">
        <f t="shared" si="15"/>
        <v>1801.3</v>
      </c>
      <c r="AZ25" s="97">
        <f t="shared" si="15"/>
        <v>1869.6999999999998</v>
      </c>
      <c r="BA25" s="97">
        <f t="shared" si="15"/>
        <v>1926.7999999999997</v>
      </c>
      <c r="BB25" s="97">
        <f t="shared" si="15"/>
        <v>1963.9</v>
      </c>
      <c r="BC25" s="97">
        <f t="shared" si="15"/>
        <v>2011.8</v>
      </c>
      <c r="BD25" s="97">
        <f t="shared" si="15"/>
        <v>2043.3000000000002</v>
      </c>
      <c r="BE25" s="97">
        <f t="shared" si="15"/>
        <v>2056.5</v>
      </c>
      <c r="BF25" s="97">
        <f t="shared" si="15"/>
        <v>2086.8000000000002</v>
      </c>
      <c r="BG25" s="97">
        <f t="shared" si="15"/>
        <v>2129.8000000000002</v>
      </c>
      <c r="BH25" s="97">
        <f t="shared" si="15"/>
        <v>2164.5</v>
      </c>
      <c r="BI25" s="97">
        <f t="shared" si="15"/>
        <v>2177.6</v>
      </c>
      <c r="BJ25" s="97">
        <f t="shared" si="15"/>
        <v>2167.3000000000002</v>
      </c>
      <c r="BK25" s="97">
        <f t="shared" si="15"/>
        <v>2194.1000000000004</v>
      </c>
      <c r="BL25" s="97">
        <f t="shared" si="15"/>
        <v>2201.8999999999996</v>
      </c>
      <c r="BM25" s="97">
        <f t="shared" si="15"/>
        <v>2217.6</v>
      </c>
      <c r="BN25" s="97">
        <f t="shared" si="15"/>
        <v>2241.6</v>
      </c>
      <c r="BO25" s="97">
        <f t="shared" si="15"/>
        <v>2291.8000000000002</v>
      </c>
      <c r="BP25" s="97">
        <f t="shared" si="15"/>
        <v>2322.1</v>
      </c>
      <c r="BQ25" s="97">
        <f t="shared" si="15"/>
        <v>2330.8000000000002</v>
      </c>
      <c r="BR25" s="97">
        <f t="shared" si="15"/>
        <v>2361.1</v>
      </c>
      <c r="BS25" s="97">
        <f t="shared" si="15"/>
        <v>2402.6999999999998</v>
      </c>
      <c r="BT25" s="97">
        <f t="shared" si="15"/>
        <v>2416.6000000000004</v>
      </c>
      <c r="BU25" s="97">
        <f t="shared" si="15"/>
        <v>2435.6999999999998</v>
      </c>
      <c r="BV25" s="97">
        <f t="shared" si="15"/>
        <v>2533.3000000000002</v>
      </c>
      <c r="BW25" s="97">
        <f t="shared" si="15"/>
        <v>2669.6</v>
      </c>
      <c r="BX25" s="97">
        <f t="shared" si="15"/>
        <v>2638.4</v>
      </c>
      <c r="BY25" s="97">
        <f t="shared" si="15"/>
        <v>2636.1000000000004</v>
      </c>
      <c r="BZ25" s="97">
        <f t="shared" si="15"/>
        <v>2679.6</v>
      </c>
      <c r="CA25" s="97">
        <f t="shared" si="15"/>
        <v>2727.5</v>
      </c>
      <c r="CB25" s="97">
        <f t="shared" si="15"/>
        <v>2747.7</v>
      </c>
      <c r="CC25" s="97">
        <f t="shared" si="15"/>
        <v>2749.8</v>
      </c>
      <c r="CD25" s="97">
        <f t="shared" si="15"/>
        <v>2782.4</v>
      </c>
    </row>
    <row r="26" spans="1:92" ht="15" customHeight="1">
      <c r="A26" s="92" t="s">
        <v>574</v>
      </c>
      <c r="B26" s="97"/>
      <c r="C26" s="97"/>
      <c r="D26" s="97"/>
      <c r="E26" s="97">
        <f t="shared" ref="E26:Z26" si="16">+E25/E6</f>
        <v>1.5650943396226416</v>
      </c>
      <c r="F26" s="97">
        <f t="shared" si="16"/>
        <v>1.5834073745002222</v>
      </c>
      <c r="G26" s="97">
        <f t="shared" si="16"/>
        <v>1.7905814818751993</v>
      </c>
      <c r="H26" s="97">
        <f t="shared" si="16"/>
        <v>1.9407735697018531</v>
      </c>
      <c r="I26" s="97">
        <f t="shared" si="16"/>
        <v>1.9983480711301138</v>
      </c>
      <c r="J26" s="97">
        <f t="shared" si="16"/>
        <v>2.0654462676657497</v>
      </c>
      <c r="K26" s="97">
        <f t="shared" si="16"/>
        <v>2.0752386299831556</v>
      </c>
      <c r="L26" s="97">
        <f t="shared" si="16"/>
        <v>2.1154474496278821</v>
      </c>
      <c r="M26" s="97">
        <f t="shared" si="16"/>
        <v>2.1633170220202724</v>
      </c>
      <c r="N26" s="97">
        <f>+N25/N6</f>
        <v>2.1971161860310056</v>
      </c>
      <c r="O26" s="97">
        <f t="shared" si="16"/>
        <v>2.2441850975271365</v>
      </c>
      <c r="P26" s="97">
        <f t="shared" si="16"/>
        <v>2.2566091499129333</v>
      </c>
      <c r="Q26" s="97">
        <f t="shared" si="16"/>
        <v>2.2286853788847916</v>
      </c>
      <c r="R26" s="97">
        <f t="shared" ca="1" si="16"/>
        <v>2.1948965811358305</v>
      </c>
      <c r="S26" s="97">
        <f t="shared" ca="1" si="16"/>
        <v>2.1548164794007492</v>
      </c>
      <c r="T26" s="97">
        <f t="shared" ca="1" si="16"/>
        <v>2.1681387976887163</v>
      </c>
      <c r="U26" s="97">
        <f t="shared" ca="1" si="16"/>
        <v>2.1807373329553088</v>
      </c>
      <c r="V26" s="97">
        <f t="shared" ca="1" si="16"/>
        <v>2.1926260116634597</v>
      </c>
      <c r="W26" s="97">
        <f t="shared" ca="1" si="16"/>
        <v>2.203818764004533</v>
      </c>
      <c r="X26" s="97">
        <f t="shared" ca="1" si="16"/>
        <v>2.21432951436993</v>
      </c>
      <c r="Y26" s="97">
        <f t="shared" ca="1" si="16"/>
        <v>2.2241721720572976</v>
      </c>
      <c r="Z26" s="97">
        <f t="shared" ca="1" si="16"/>
        <v>2.2333606222183633</v>
      </c>
      <c r="AA26" s="97"/>
      <c r="AB26" s="99" t="str">
        <f>+A26</f>
        <v>Total RGUs per customer</v>
      </c>
      <c r="AC26" s="97" t="e">
        <f t="shared" ref="AC26:CD26" si="17">+AC25/AC6</f>
        <v>#DIV/0!</v>
      </c>
      <c r="AD26" s="97" t="e">
        <f t="shared" si="17"/>
        <v>#DIV/0!</v>
      </c>
      <c r="AE26" s="97" t="e">
        <f t="shared" si="17"/>
        <v>#DIV/0!</v>
      </c>
      <c r="AF26" s="97" t="e">
        <f t="shared" si="17"/>
        <v>#DIV/0!</v>
      </c>
      <c r="AG26" s="97" t="e">
        <f t="shared" si="17"/>
        <v>#DIV/0!</v>
      </c>
      <c r="AH26" s="97" t="e">
        <f t="shared" si="17"/>
        <v>#DIV/0!</v>
      </c>
      <c r="AI26" s="97" t="e">
        <f t="shared" si="17"/>
        <v>#DIV/0!</v>
      </c>
      <c r="AJ26" s="97" t="e">
        <f t="shared" si="17"/>
        <v>#DIV/0!</v>
      </c>
      <c r="AK26" s="97" t="e">
        <f t="shared" si="17"/>
        <v>#DIV/0!</v>
      </c>
      <c r="AL26" s="97" t="e">
        <f t="shared" si="17"/>
        <v>#DIV/0!</v>
      </c>
      <c r="AM26" s="97" t="e">
        <f t="shared" si="17"/>
        <v>#DIV/0!</v>
      </c>
      <c r="AN26" s="97" t="e">
        <f t="shared" si="17"/>
        <v>#DIV/0!</v>
      </c>
      <c r="AO26" s="97">
        <f t="shared" si="17"/>
        <v>1.5650943396226416</v>
      </c>
      <c r="AP26" s="97">
        <f t="shared" si="17"/>
        <v>1.5685670261941449</v>
      </c>
      <c r="AQ26" s="97">
        <f t="shared" si="17"/>
        <v>1.5081185420688088</v>
      </c>
      <c r="AR26" s="97">
        <f t="shared" si="17"/>
        <v>1.5193505338078293</v>
      </c>
      <c r="AS26" s="97">
        <f t="shared" si="17"/>
        <v>1.5834073745002222</v>
      </c>
      <c r="AT26" s="97">
        <f t="shared" si="17"/>
        <v>1.6329044319806445</v>
      </c>
      <c r="AU26" s="97">
        <f t="shared" si="17"/>
        <v>1.698200624932658</v>
      </c>
      <c r="AV26" s="97">
        <f t="shared" si="17"/>
        <v>1.7559434568430072</v>
      </c>
      <c r="AW26" s="97">
        <f t="shared" si="17"/>
        <v>1.7905814818751993</v>
      </c>
      <c r="AX26" s="97">
        <f t="shared" si="17"/>
        <v>1.8218143681174619</v>
      </c>
      <c r="AY26" s="97">
        <f t="shared" si="17"/>
        <v>1.8593104872006607</v>
      </c>
      <c r="AZ26" s="97">
        <f t="shared" si="17"/>
        <v>1.9047473512632433</v>
      </c>
      <c r="BA26" s="97">
        <f t="shared" si="17"/>
        <v>1.9407735697018531</v>
      </c>
      <c r="BB26" s="97">
        <f t="shared" si="17"/>
        <v>1.959197924980048</v>
      </c>
      <c r="BC26" s="97">
        <f t="shared" si="17"/>
        <v>1.9768104549474304</v>
      </c>
      <c r="BD26" s="97">
        <f t="shared" si="17"/>
        <v>1.9880326911850557</v>
      </c>
      <c r="BE26" s="97">
        <f t="shared" si="17"/>
        <v>1.9983480711301138</v>
      </c>
      <c r="BF26" s="97">
        <f t="shared" si="17"/>
        <v>2.0236617532971297</v>
      </c>
      <c r="BG26" s="97">
        <f t="shared" si="17"/>
        <v>2.0502502887947633</v>
      </c>
      <c r="BH26" s="97">
        <f t="shared" si="17"/>
        <v>2.0594671741198858</v>
      </c>
      <c r="BI26" s="97">
        <f t="shared" si="17"/>
        <v>2.0654462676657497</v>
      </c>
      <c r="BJ26" s="97">
        <f t="shared" si="17"/>
        <v>2.0627200913676598</v>
      </c>
      <c r="BK26" s="97">
        <f t="shared" si="17"/>
        <v>2.0578690677171263</v>
      </c>
      <c r="BL26" s="97">
        <f t="shared" si="17"/>
        <v>2.0601609281437123</v>
      </c>
      <c r="BM26" s="97">
        <f t="shared" si="17"/>
        <v>2.0752386299831556</v>
      </c>
      <c r="BN26" s="97">
        <f t="shared" si="17"/>
        <v>2.0857913836419466</v>
      </c>
      <c r="BO26" s="97">
        <f t="shared" si="17"/>
        <v>2.1029546705817586</v>
      </c>
      <c r="BP26" s="97">
        <f t="shared" si="17"/>
        <v>2.1117679156056748</v>
      </c>
      <c r="BQ26" s="97">
        <f t="shared" si="17"/>
        <v>2.1154474496278821</v>
      </c>
      <c r="BR26" s="97">
        <f t="shared" si="17"/>
        <v>2.1292271620524841</v>
      </c>
      <c r="BS26" s="97">
        <f t="shared" si="17"/>
        <v>2.1431629649451431</v>
      </c>
      <c r="BT26" s="97">
        <f t="shared" si="17"/>
        <v>2.1395307658255867</v>
      </c>
      <c r="BU26" s="97">
        <f t="shared" si="17"/>
        <v>2.1283642083187693</v>
      </c>
      <c r="BV26" s="97">
        <f t="shared" si="17"/>
        <v>2.1691069440876789</v>
      </c>
      <c r="BW26" s="97">
        <f t="shared" si="17"/>
        <v>2.256826443486347</v>
      </c>
      <c r="BX26" s="97">
        <f t="shared" si="17"/>
        <v>2.2100854414474789</v>
      </c>
      <c r="BY26" s="97">
        <f t="shared" si="17"/>
        <v>2.1971161860310056</v>
      </c>
      <c r="BZ26" s="97">
        <f t="shared" si="17"/>
        <v>2.2139965297860034</v>
      </c>
      <c r="CA26" s="97">
        <f t="shared" si="17"/>
        <v>2.2270760186168039</v>
      </c>
      <c r="CB26" s="97">
        <f t="shared" si="17"/>
        <v>2.234084071875762</v>
      </c>
      <c r="CC26" s="97">
        <f t="shared" si="17"/>
        <v>2.2441850975271365</v>
      </c>
      <c r="CD26" s="97">
        <f t="shared" si="17"/>
        <v>2.2476775183778979</v>
      </c>
    </row>
    <row r="27" spans="1:92" ht="15" customHeight="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row>
    <row r="28" spans="1:92" ht="15" customHeight="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row>
    <row r="29" spans="1:92" ht="15" customHeight="1">
      <c r="A29" s="93" t="str">
        <f>CONCATENATE(A$1," net adds")</f>
        <v>Chile (VTR) net adds</v>
      </c>
      <c r="B29" s="94">
        <f t="shared" ref="B29:Z29" si="18">+B$1</f>
        <v>2001</v>
      </c>
      <c r="C29" s="94">
        <f t="shared" si="18"/>
        <v>2002</v>
      </c>
      <c r="D29" s="94">
        <f t="shared" si="18"/>
        <v>2003</v>
      </c>
      <c r="E29" s="94">
        <f t="shared" si="18"/>
        <v>2004</v>
      </c>
      <c r="F29" s="94">
        <f t="shared" si="18"/>
        <v>2005</v>
      </c>
      <c r="G29" s="94">
        <f t="shared" si="18"/>
        <v>2006</v>
      </c>
      <c r="H29" s="94">
        <f t="shared" si="18"/>
        <v>2007</v>
      </c>
      <c r="I29" s="94">
        <f t="shared" si="18"/>
        <v>2008</v>
      </c>
      <c r="J29" s="94">
        <f t="shared" si="18"/>
        <v>2009</v>
      </c>
      <c r="K29" s="94">
        <f t="shared" si="18"/>
        <v>2010</v>
      </c>
      <c r="L29" s="94">
        <f t="shared" si="18"/>
        <v>2011</v>
      </c>
      <c r="M29" s="94">
        <f t="shared" si="18"/>
        <v>2012</v>
      </c>
      <c r="N29" s="94">
        <f t="shared" si="18"/>
        <v>2013</v>
      </c>
      <c r="O29" s="94">
        <f t="shared" si="18"/>
        <v>2014</v>
      </c>
      <c r="P29" s="94">
        <f t="shared" si="18"/>
        <v>2015</v>
      </c>
      <c r="Q29" s="94">
        <f t="shared" si="18"/>
        <v>2016</v>
      </c>
      <c r="R29" s="94">
        <f t="shared" si="18"/>
        <v>2017</v>
      </c>
      <c r="S29" s="94" t="str">
        <f t="shared" si="18"/>
        <v>2018E</v>
      </c>
      <c r="T29" s="94" t="str">
        <f t="shared" si="18"/>
        <v>2019E</v>
      </c>
      <c r="U29" s="94" t="str">
        <f t="shared" si="18"/>
        <v>2020E</v>
      </c>
      <c r="V29" s="94" t="str">
        <f t="shared" si="18"/>
        <v>2021E</v>
      </c>
      <c r="W29" s="94" t="str">
        <f t="shared" si="18"/>
        <v>2022E</v>
      </c>
      <c r="X29" s="94" t="str">
        <f t="shared" si="18"/>
        <v>2023E</v>
      </c>
      <c r="Y29" s="94" t="str">
        <f t="shared" si="18"/>
        <v>2024E</v>
      </c>
      <c r="Z29" s="94" t="str">
        <f t="shared" si="18"/>
        <v>2025E</v>
      </c>
      <c r="AA29" s="91"/>
      <c r="AB29" s="93" t="str">
        <f t="shared" ref="AB29:AB38" si="19">+A29</f>
        <v>Chile (VTR) net adds</v>
      </c>
      <c r="AC29" s="94" t="str">
        <f>+AC$1</f>
        <v>Q4 01</v>
      </c>
      <c r="AD29" s="94" t="str">
        <f t="shared" ref="AD29:CD29" si="20">+AD$1</f>
        <v>Q1 02</v>
      </c>
      <c r="AE29" s="94" t="str">
        <f t="shared" si="20"/>
        <v>Q2 02</v>
      </c>
      <c r="AF29" s="94" t="str">
        <f t="shared" si="20"/>
        <v>Q3 02</v>
      </c>
      <c r="AG29" s="94" t="str">
        <f t="shared" si="20"/>
        <v>Q4 02</v>
      </c>
      <c r="AH29" s="94" t="str">
        <f t="shared" si="20"/>
        <v>Q1 03</v>
      </c>
      <c r="AI29" s="94" t="str">
        <f t="shared" si="20"/>
        <v>Q2 03</v>
      </c>
      <c r="AJ29" s="94" t="str">
        <f t="shared" si="20"/>
        <v>Q3 03</v>
      </c>
      <c r="AK29" s="94" t="str">
        <f t="shared" si="20"/>
        <v>Q4 03</v>
      </c>
      <c r="AL29" s="94" t="str">
        <f t="shared" si="20"/>
        <v>1Q04</v>
      </c>
      <c r="AM29" s="94" t="str">
        <f t="shared" si="20"/>
        <v>Q2 04</v>
      </c>
      <c r="AN29" s="94" t="str">
        <f t="shared" si="20"/>
        <v>Q3 04</v>
      </c>
      <c r="AO29" s="94" t="str">
        <f t="shared" si="20"/>
        <v>Q4 04</v>
      </c>
      <c r="AP29" s="94" t="str">
        <f t="shared" si="20"/>
        <v>Q1 05</v>
      </c>
      <c r="AQ29" s="94" t="str">
        <f t="shared" si="20"/>
        <v>Q2 05</v>
      </c>
      <c r="AR29" s="94" t="str">
        <f t="shared" si="20"/>
        <v>Q3 05</v>
      </c>
      <c r="AS29" s="94" t="str">
        <f t="shared" si="20"/>
        <v>Q4 05</v>
      </c>
      <c r="AT29" s="94" t="str">
        <f t="shared" si="20"/>
        <v>Q1 06</v>
      </c>
      <c r="AU29" s="94" t="str">
        <f t="shared" si="20"/>
        <v>Q2 06</v>
      </c>
      <c r="AV29" s="94" t="str">
        <f t="shared" si="20"/>
        <v>Q3 06</v>
      </c>
      <c r="AW29" s="94" t="str">
        <f t="shared" si="20"/>
        <v>Q4 06</v>
      </c>
      <c r="AX29" s="94" t="str">
        <f t="shared" si="20"/>
        <v>Q1 07</v>
      </c>
      <c r="AY29" s="94" t="str">
        <f t="shared" si="20"/>
        <v>Q2 07</v>
      </c>
      <c r="AZ29" s="94" t="str">
        <f t="shared" si="20"/>
        <v>Q3 07</v>
      </c>
      <c r="BA29" s="94" t="str">
        <f t="shared" si="20"/>
        <v>Q4 07</v>
      </c>
      <c r="BB29" s="94" t="str">
        <f t="shared" si="20"/>
        <v>Q1 08</v>
      </c>
      <c r="BC29" s="94" t="str">
        <f t="shared" si="20"/>
        <v>Q2 08</v>
      </c>
      <c r="BD29" s="94" t="str">
        <f t="shared" si="20"/>
        <v>Q3 08</v>
      </c>
      <c r="BE29" s="94" t="str">
        <f t="shared" si="20"/>
        <v>Q4 08</v>
      </c>
      <c r="BF29" s="94" t="str">
        <f t="shared" si="20"/>
        <v>Q1 09</v>
      </c>
      <c r="BG29" s="94" t="str">
        <f t="shared" si="20"/>
        <v>Q2 09</v>
      </c>
      <c r="BH29" s="94" t="str">
        <f t="shared" si="20"/>
        <v>Q3 09</v>
      </c>
      <c r="BI29" s="94" t="str">
        <f t="shared" si="20"/>
        <v>Q4 09</v>
      </c>
      <c r="BJ29" s="94" t="str">
        <f t="shared" si="20"/>
        <v>Q1 10</v>
      </c>
      <c r="BK29" s="94" t="str">
        <f t="shared" si="20"/>
        <v>Q2 10</v>
      </c>
      <c r="BL29" s="94" t="str">
        <f t="shared" si="20"/>
        <v>Q3 10</v>
      </c>
      <c r="BM29" s="94" t="str">
        <f t="shared" si="20"/>
        <v>Q4 10</v>
      </c>
      <c r="BN29" s="94" t="str">
        <f t="shared" si="20"/>
        <v>Q1 11</v>
      </c>
      <c r="BO29" s="94" t="str">
        <f t="shared" si="20"/>
        <v>Q2 11</v>
      </c>
      <c r="BP29" s="94" t="str">
        <f t="shared" si="20"/>
        <v>Q3 11</v>
      </c>
      <c r="BQ29" s="94" t="str">
        <f t="shared" si="20"/>
        <v>Q4 11</v>
      </c>
      <c r="BR29" s="94" t="str">
        <f t="shared" si="20"/>
        <v>Q1 12</v>
      </c>
      <c r="BS29" s="94" t="str">
        <f t="shared" si="20"/>
        <v>Q2 12</v>
      </c>
      <c r="BT29" s="94" t="str">
        <f t="shared" si="20"/>
        <v>Q3 12</v>
      </c>
      <c r="BU29" s="94" t="str">
        <f t="shared" si="20"/>
        <v>Q4 12</v>
      </c>
      <c r="BV29" s="94" t="str">
        <f t="shared" si="20"/>
        <v>Q1 13</v>
      </c>
      <c r="BW29" s="94" t="str">
        <f t="shared" si="20"/>
        <v>Q2 13</v>
      </c>
      <c r="BX29" s="94" t="str">
        <f t="shared" si="20"/>
        <v>Q3 13</v>
      </c>
      <c r="BY29" s="94" t="str">
        <f t="shared" si="20"/>
        <v>Q4 13</v>
      </c>
      <c r="BZ29" s="94" t="str">
        <f t="shared" si="20"/>
        <v>Q1 14</v>
      </c>
      <c r="CA29" s="94" t="str">
        <f t="shared" si="20"/>
        <v>Q2 14</v>
      </c>
      <c r="CB29" s="94" t="str">
        <f t="shared" si="20"/>
        <v>Q3 14</v>
      </c>
      <c r="CC29" s="94" t="str">
        <f t="shared" si="20"/>
        <v>Q4 14</v>
      </c>
      <c r="CD29" s="94" t="str">
        <f t="shared" si="20"/>
        <v>Q1 15</v>
      </c>
    </row>
    <row r="30" spans="1:92" ht="15" customHeight="1">
      <c r="A30" s="92" t="s">
        <v>575</v>
      </c>
      <c r="B30" s="97"/>
      <c r="C30" s="97">
        <f t="shared" ref="C30:P30" si="21">+C4-B4</f>
        <v>26</v>
      </c>
      <c r="D30" s="97">
        <f t="shared" si="21"/>
        <v>59.899999999999864</v>
      </c>
      <c r="E30" s="97">
        <f t="shared" si="21"/>
        <v>41.800000000000182</v>
      </c>
      <c r="F30" s="97">
        <f t="shared" si="21"/>
        <v>378</v>
      </c>
      <c r="G30" s="97">
        <f t="shared" si="21"/>
        <v>171.79999999999973</v>
      </c>
      <c r="H30" s="97">
        <f t="shared" si="21"/>
        <v>97.5</v>
      </c>
      <c r="I30" s="97">
        <f t="shared" si="21"/>
        <v>81.800000000000182</v>
      </c>
      <c r="J30" s="97">
        <f t="shared" si="21"/>
        <v>87.900000000000091</v>
      </c>
      <c r="K30" s="97">
        <f t="shared" si="21"/>
        <v>68.400000000000091</v>
      </c>
      <c r="L30" s="97">
        <f t="shared" si="21"/>
        <v>79</v>
      </c>
      <c r="M30" s="97">
        <f t="shared" si="21"/>
        <v>102.79999999999973</v>
      </c>
      <c r="N30" s="97">
        <f t="shared" si="21"/>
        <v>66.200000000000273</v>
      </c>
      <c r="O30" s="97">
        <f t="shared" si="21"/>
        <v>51.5</v>
      </c>
      <c r="P30" s="97">
        <f t="shared" si="21"/>
        <v>82.699999999999818</v>
      </c>
      <c r="Q30" s="97">
        <f>+Q4-P4</f>
        <v>155.09999999999991</v>
      </c>
      <c r="R30" s="97">
        <f>+R4-Q4</f>
        <v>178.09999999999991</v>
      </c>
      <c r="S30" s="100">
        <v>50</v>
      </c>
      <c r="T30" s="100">
        <v>40</v>
      </c>
      <c r="U30" s="100">
        <v>40</v>
      </c>
      <c r="V30" s="100">
        <v>40</v>
      </c>
      <c r="W30" s="100">
        <v>40</v>
      </c>
      <c r="X30" s="100">
        <v>40</v>
      </c>
      <c r="Y30" s="100">
        <v>40</v>
      </c>
      <c r="Z30" s="100">
        <v>40</v>
      </c>
      <c r="AA30" s="97"/>
      <c r="AB30" s="99" t="str">
        <f t="shared" si="19"/>
        <v>HP added</v>
      </c>
      <c r="AC30" s="97"/>
      <c r="AD30" s="97">
        <f t="shared" ref="AD30:CD30" si="22">+AD4-AC4</f>
        <v>21.200000000000045</v>
      </c>
      <c r="AE30" s="97">
        <f t="shared" si="22"/>
        <v>3.0999999999999091</v>
      </c>
      <c r="AF30" s="97">
        <f t="shared" si="22"/>
        <v>0.5</v>
      </c>
      <c r="AG30" s="97">
        <f t="shared" si="22"/>
        <v>1.2000000000000455</v>
      </c>
      <c r="AH30" s="97">
        <f t="shared" si="22"/>
        <v>25.200000000000045</v>
      </c>
      <c r="AI30" s="97">
        <f t="shared" si="22"/>
        <v>15.399999999999864</v>
      </c>
      <c r="AJ30" s="97">
        <f t="shared" si="22"/>
        <v>13.700000000000045</v>
      </c>
      <c r="AK30" s="97">
        <f t="shared" si="22"/>
        <v>5.5999999999999091</v>
      </c>
      <c r="AL30" s="97">
        <f t="shared" si="22"/>
        <v>5.2000000000000455</v>
      </c>
      <c r="AM30" s="97">
        <f t="shared" si="22"/>
        <v>25.400000000000091</v>
      </c>
      <c r="AN30" s="97">
        <f t="shared" si="22"/>
        <v>0.20000000000004547</v>
      </c>
      <c r="AO30" s="97">
        <f t="shared" si="22"/>
        <v>11</v>
      </c>
      <c r="AP30" s="97">
        <f t="shared" si="22"/>
        <v>11.899999999999864</v>
      </c>
      <c r="AQ30" s="97">
        <f t="shared" si="22"/>
        <v>296.29999999999995</v>
      </c>
      <c r="AR30" s="97">
        <f t="shared" si="22"/>
        <v>-80.399999999999864</v>
      </c>
      <c r="AS30" s="97">
        <f t="shared" si="22"/>
        <v>150.20000000000005</v>
      </c>
      <c r="AT30" s="97">
        <f t="shared" si="22"/>
        <v>80.799999999999727</v>
      </c>
      <c r="AU30" s="97">
        <f t="shared" si="22"/>
        <v>30.800000000000182</v>
      </c>
      <c r="AV30" s="97">
        <f t="shared" si="22"/>
        <v>37.699999999999818</v>
      </c>
      <c r="AW30" s="97">
        <f t="shared" si="22"/>
        <v>22.5</v>
      </c>
      <c r="AX30" s="97">
        <f t="shared" si="22"/>
        <v>28.700000000000273</v>
      </c>
      <c r="AY30" s="97">
        <f t="shared" si="22"/>
        <v>23.5</v>
      </c>
      <c r="AZ30" s="97">
        <f t="shared" si="22"/>
        <v>16.699999999999818</v>
      </c>
      <c r="BA30" s="97">
        <f t="shared" si="22"/>
        <v>28.599999999999909</v>
      </c>
      <c r="BB30" s="97">
        <f t="shared" si="22"/>
        <v>11.400000000000091</v>
      </c>
      <c r="BC30" s="97">
        <f t="shared" si="22"/>
        <v>11.700000000000273</v>
      </c>
      <c r="BD30" s="97">
        <f t="shared" si="22"/>
        <v>28.299999999999727</v>
      </c>
      <c r="BE30" s="97">
        <f t="shared" si="22"/>
        <v>30.400000000000091</v>
      </c>
      <c r="BF30" s="97">
        <f t="shared" si="22"/>
        <v>17.300000000000182</v>
      </c>
      <c r="BG30" s="97">
        <f t="shared" si="22"/>
        <v>24.5</v>
      </c>
      <c r="BH30" s="97">
        <f t="shared" si="22"/>
        <v>32.199999999999818</v>
      </c>
      <c r="BI30" s="97">
        <f t="shared" si="22"/>
        <v>13.900000000000091</v>
      </c>
      <c r="BJ30" s="97">
        <f t="shared" si="22"/>
        <v>-20.099999999999909</v>
      </c>
      <c r="BK30" s="97">
        <f t="shared" si="22"/>
        <v>36.699999999999818</v>
      </c>
      <c r="BL30" s="97">
        <f t="shared" si="22"/>
        <v>38.199999999999818</v>
      </c>
      <c r="BM30" s="97">
        <f t="shared" si="22"/>
        <v>13.600000000000364</v>
      </c>
      <c r="BN30" s="97">
        <f t="shared" si="22"/>
        <v>4.7999999999997272</v>
      </c>
      <c r="BO30" s="97">
        <f t="shared" si="22"/>
        <v>27.599999999999909</v>
      </c>
      <c r="BP30" s="97">
        <f t="shared" si="22"/>
        <v>30.200000000000273</v>
      </c>
      <c r="BQ30" s="97">
        <f t="shared" si="22"/>
        <v>16.400000000000091</v>
      </c>
      <c r="BR30" s="97">
        <f t="shared" si="22"/>
        <v>5.5</v>
      </c>
      <c r="BS30" s="97">
        <f t="shared" si="22"/>
        <v>26.5</v>
      </c>
      <c r="BT30" s="97">
        <f t="shared" si="22"/>
        <v>29.299999999999727</v>
      </c>
      <c r="BU30" s="97">
        <f t="shared" si="22"/>
        <v>41.5</v>
      </c>
      <c r="BV30" s="97">
        <f t="shared" si="22"/>
        <v>6.7000000000002728</v>
      </c>
      <c r="BW30" s="97">
        <f t="shared" si="22"/>
        <v>19.599999999999909</v>
      </c>
      <c r="BX30" s="97">
        <f t="shared" si="22"/>
        <v>18.199999999999818</v>
      </c>
      <c r="BY30" s="97">
        <f t="shared" si="22"/>
        <v>21.700000000000273</v>
      </c>
      <c r="BZ30" s="97">
        <f t="shared" si="22"/>
        <v>5.8999999999996362</v>
      </c>
      <c r="CA30" s="97">
        <f t="shared" si="22"/>
        <v>15</v>
      </c>
      <c r="CB30" s="97">
        <f t="shared" si="22"/>
        <v>20.700000000000273</v>
      </c>
      <c r="CC30" s="97">
        <f t="shared" si="22"/>
        <v>9.9000000000000909</v>
      </c>
      <c r="CD30" s="97">
        <f t="shared" si="22"/>
        <v>7</v>
      </c>
      <c r="CE30" s="99"/>
      <c r="CG30" s="99"/>
      <c r="CH30" s="99"/>
      <c r="CI30" s="99"/>
      <c r="CJ30" s="99"/>
      <c r="CK30" s="99"/>
      <c r="CL30" s="99"/>
      <c r="CM30" s="99"/>
      <c r="CN30" s="99"/>
    </row>
    <row r="31" spans="1:92" ht="15" customHeight="1">
      <c r="A31" s="92" t="s">
        <v>576</v>
      </c>
      <c r="B31" s="97"/>
      <c r="C31" s="97">
        <f t="shared" ref="C31:R33" si="23">+C6-B6</f>
        <v>0</v>
      </c>
      <c r="D31" s="97">
        <f t="shared" si="23"/>
        <v>0</v>
      </c>
      <c r="E31" s="97">
        <f t="shared" si="23"/>
        <v>636</v>
      </c>
      <c r="F31" s="97">
        <f t="shared" si="23"/>
        <v>264.39999999999998</v>
      </c>
      <c r="G31" s="97">
        <f t="shared" si="23"/>
        <v>40.300000000000068</v>
      </c>
      <c r="H31" s="97">
        <f t="shared" si="23"/>
        <v>52.099999999999909</v>
      </c>
      <c r="I31" s="97">
        <f t="shared" si="23"/>
        <v>36.299999999999955</v>
      </c>
      <c r="J31" s="97">
        <f t="shared" si="23"/>
        <v>25.200000000000045</v>
      </c>
      <c r="K31" s="97">
        <f t="shared" si="23"/>
        <v>14.299999999999955</v>
      </c>
      <c r="L31" s="97">
        <f t="shared" si="23"/>
        <v>33.200000000000045</v>
      </c>
      <c r="M31" s="97">
        <f t="shared" si="23"/>
        <v>42.600000000000136</v>
      </c>
      <c r="N31" s="97">
        <f t="shared" si="23"/>
        <v>55.399999999999864</v>
      </c>
      <c r="O31" s="97">
        <f t="shared" si="23"/>
        <v>25.5</v>
      </c>
      <c r="P31" s="97">
        <f t="shared" si="23"/>
        <v>38.100000000000136</v>
      </c>
      <c r="Q31" s="97">
        <f t="shared" si="23"/>
        <v>65.5</v>
      </c>
      <c r="R31" s="97">
        <f t="shared" si="23"/>
        <v>78</v>
      </c>
      <c r="S31" s="100">
        <f t="shared" ref="S31:Z31" si="24">+S35</f>
        <v>21.347999999999956</v>
      </c>
      <c r="T31" s="100">
        <f t="shared" si="24"/>
        <v>21.774959999999965</v>
      </c>
      <c r="U31" s="100">
        <f t="shared" si="24"/>
        <v>22.210459200000059</v>
      </c>
      <c r="V31" s="100">
        <f t="shared" si="24"/>
        <v>22.654668383999933</v>
      </c>
      <c r="W31" s="100">
        <f t="shared" si="24"/>
        <v>23.107761751680073</v>
      </c>
      <c r="X31" s="100">
        <f t="shared" si="24"/>
        <v>23.569916986713679</v>
      </c>
      <c r="Y31" s="100">
        <f t="shared" si="24"/>
        <v>24.04131532644783</v>
      </c>
      <c r="Z31" s="100">
        <f t="shared" si="24"/>
        <v>24.522141632976854</v>
      </c>
      <c r="AA31" s="97"/>
      <c r="AB31" s="99" t="str">
        <f t="shared" si="19"/>
        <v>Customer adds</v>
      </c>
      <c r="AC31" s="97"/>
      <c r="AD31" s="97">
        <f t="shared" ref="AD31:CD33" si="25">+AD6-AC6</f>
        <v>0</v>
      </c>
      <c r="AE31" s="97">
        <f t="shared" si="25"/>
        <v>0</v>
      </c>
      <c r="AF31" s="97">
        <f t="shared" si="25"/>
        <v>0</v>
      </c>
      <c r="AG31" s="97">
        <f t="shared" si="25"/>
        <v>0</v>
      </c>
      <c r="AH31" s="97">
        <f t="shared" si="25"/>
        <v>0</v>
      </c>
      <c r="AI31" s="97">
        <f t="shared" si="25"/>
        <v>0</v>
      </c>
      <c r="AJ31" s="97">
        <f t="shared" si="25"/>
        <v>0</v>
      </c>
      <c r="AK31" s="97">
        <f t="shared" si="25"/>
        <v>0</v>
      </c>
      <c r="AL31" s="97">
        <f t="shared" si="25"/>
        <v>0</v>
      </c>
      <c r="AM31" s="97">
        <f t="shared" si="25"/>
        <v>0</v>
      </c>
      <c r="AN31" s="97">
        <f t="shared" si="25"/>
        <v>0</v>
      </c>
      <c r="AO31" s="97">
        <f t="shared" si="25"/>
        <v>636</v>
      </c>
      <c r="AP31" s="97">
        <f t="shared" si="25"/>
        <v>13</v>
      </c>
      <c r="AQ31" s="97">
        <f t="shared" si="25"/>
        <v>231.70000000000005</v>
      </c>
      <c r="AR31" s="97">
        <f t="shared" si="25"/>
        <v>18.5</v>
      </c>
      <c r="AS31" s="97">
        <f t="shared" si="25"/>
        <v>1.1999999999999318</v>
      </c>
      <c r="AT31" s="97">
        <f t="shared" si="25"/>
        <v>8.8999999999999773</v>
      </c>
      <c r="AU31" s="97">
        <f t="shared" si="25"/>
        <v>18.800000000000068</v>
      </c>
      <c r="AV31" s="97">
        <f t="shared" si="25"/>
        <v>5.6999999999999318</v>
      </c>
      <c r="AW31" s="97">
        <f t="shared" si="25"/>
        <v>6.9000000000000909</v>
      </c>
      <c r="AX31" s="97">
        <f t="shared" si="25"/>
        <v>12.799999999999955</v>
      </c>
      <c r="AY31" s="97">
        <f t="shared" si="25"/>
        <v>15.299999999999955</v>
      </c>
      <c r="AZ31" s="97">
        <f t="shared" si="25"/>
        <v>12.800000000000068</v>
      </c>
      <c r="BA31" s="97">
        <f t="shared" si="25"/>
        <v>11.199999999999932</v>
      </c>
      <c r="BB31" s="97">
        <f t="shared" si="25"/>
        <v>9.6000000000000227</v>
      </c>
      <c r="BC31" s="97">
        <f t="shared" si="25"/>
        <v>15.300000000000068</v>
      </c>
      <c r="BD31" s="97">
        <f t="shared" si="25"/>
        <v>10.099999999999909</v>
      </c>
      <c r="BE31" s="97">
        <f t="shared" si="25"/>
        <v>1.2999999999999545</v>
      </c>
      <c r="BF31" s="97">
        <f t="shared" si="25"/>
        <v>2.1000000000001364</v>
      </c>
      <c r="BG31" s="97">
        <f t="shared" si="25"/>
        <v>7.5999999999999091</v>
      </c>
      <c r="BH31" s="97">
        <f t="shared" si="25"/>
        <v>12.200000000000045</v>
      </c>
      <c r="BI31" s="97">
        <f t="shared" si="25"/>
        <v>3.2999999999999545</v>
      </c>
      <c r="BJ31" s="97">
        <f t="shared" si="25"/>
        <v>-3.5999999999999091</v>
      </c>
      <c r="BK31" s="97">
        <f t="shared" si="25"/>
        <v>15.5</v>
      </c>
      <c r="BL31" s="97">
        <f t="shared" si="25"/>
        <v>2.5999999999999091</v>
      </c>
      <c r="BM31" s="97">
        <f t="shared" si="25"/>
        <v>-0.20000000000004547</v>
      </c>
      <c r="BN31" s="97">
        <f t="shared" si="25"/>
        <v>6.1000000000001364</v>
      </c>
      <c r="BO31" s="97">
        <f t="shared" si="25"/>
        <v>15.099999999999909</v>
      </c>
      <c r="BP31" s="97">
        <f t="shared" si="25"/>
        <v>9.7999999999999545</v>
      </c>
      <c r="BQ31" s="97">
        <f t="shared" si="25"/>
        <v>2.2000000000000455</v>
      </c>
      <c r="BR31" s="97">
        <f t="shared" si="25"/>
        <v>7.1000000000001364</v>
      </c>
      <c r="BS31" s="97">
        <f t="shared" si="25"/>
        <v>12.199999999999818</v>
      </c>
      <c r="BT31" s="97">
        <f t="shared" si="25"/>
        <v>8.4000000000000909</v>
      </c>
      <c r="BU31" s="97">
        <f t="shared" si="25"/>
        <v>14.900000000000091</v>
      </c>
      <c r="BV31" s="97">
        <f t="shared" si="25"/>
        <v>23.5</v>
      </c>
      <c r="BW31" s="97">
        <f t="shared" si="25"/>
        <v>15</v>
      </c>
      <c r="BX31" s="97">
        <f t="shared" si="25"/>
        <v>10.899999999999864</v>
      </c>
      <c r="BY31" s="97">
        <f t="shared" si="25"/>
        <v>6</v>
      </c>
      <c r="BZ31" s="97">
        <f t="shared" si="25"/>
        <v>10.5</v>
      </c>
      <c r="CA31" s="97">
        <f t="shared" si="25"/>
        <v>14.400000000000091</v>
      </c>
      <c r="CB31" s="97">
        <f t="shared" si="25"/>
        <v>5.2000000000000455</v>
      </c>
      <c r="CC31" s="97">
        <f t="shared" si="25"/>
        <v>-4.6000000000001364</v>
      </c>
      <c r="CD31" s="97">
        <f t="shared" si="25"/>
        <v>12.600000000000136</v>
      </c>
      <c r="CE31" s="99"/>
      <c r="CG31" s="99"/>
      <c r="CH31" s="99"/>
      <c r="CI31" s="99"/>
      <c r="CJ31" s="99"/>
      <c r="CK31" s="99"/>
      <c r="CL31" s="99"/>
      <c r="CM31" s="99"/>
      <c r="CN31" s="99"/>
    </row>
    <row r="32" spans="1:92" ht="15" customHeight="1">
      <c r="A32" s="92" t="s">
        <v>577</v>
      </c>
      <c r="B32" s="97"/>
      <c r="C32" s="97">
        <f t="shared" si="23"/>
        <v>22.800000000000011</v>
      </c>
      <c r="D32" s="97">
        <f t="shared" si="23"/>
        <v>25.399999999999977</v>
      </c>
      <c r="E32" s="97">
        <f t="shared" si="23"/>
        <v>16.600000000000023</v>
      </c>
      <c r="F32" s="97">
        <f t="shared" si="23"/>
        <v>246.60000000000002</v>
      </c>
      <c r="G32" s="97">
        <f t="shared" si="23"/>
        <v>-54</v>
      </c>
      <c r="H32" s="97">
        <f t="shared" si="23"/>
        <v>-27.900000000000091</v>
      </c>
      <c r="I32" s="97">
        <f t="shared" si="23"/>
        <v>-137.29999999999995</v>
      </c>
      <c r="J32" s="97">
        <f t="shared" si="23"/>
        <v>-161.60000000000002</v>
      </c>
      <c r="K32" s="97">
        <f t="shared" si="23"/>
        <v>-81.399999999999977</v>
      </c>
      <c r="L32" s="97">
        <f t="shared" si="23"/>
        <v>-74.400000000000006</v>
      </c>
      <c r="M32" s="97">
        <f t="shared" si="23"/>
        <v>-51.400000000000006</v>
      </c>
      <c r="N32" s="97">
        <f t="shared" si="23"/>
        <v>-28.399999999999977</v>
      </c>
      <c r="O32" s="97">
        <f t="shared" si="23"/>
        <v>-24.500000000000014</v>
      </c>
      <c r="P32" s="97">
        <f t="shared" si="23"/>
        <v>-16.5</v>
      </c>
      <c r="Q32" s="97">
        <f t="shared" si="23"/>
        <v>0</v>
      </c>
      <c r="R32" s="97">
        <f t="shared" si="23"/>
        <v>-26.299999999999997</v>
      </c>
      <c r="S32" s="97">
        <f t="shared" ref="S32:Z33" si="26">+S7-R7</f>
        <v>-45.725039999999979</v>
      </c>
      <c r="T32" s="97">
        <f t="shared" si="26"/>
        <v>-21.774960000000021</v>
      </c>
      <c r="U32" s="97">
        <f t="shared" si="26"/>
        <v>0</v>
      </c>
      <c r="V32" s="97">
        <f t="shared" si="26"/>
        <v>0</v>
      </c>
      <c r="W32" s="97">
        <f t="shared" si="26"/>
        <v>0</v>
      </c>
      <c r="X32" s="97">
        <f t="shared" si="26"/>
        <v>0</v>
      </c>
      <c r="Y32" s="97">
        <f t="shared" si="26"/>
        <v>0</v>
      </c>
      <c r="Z32" s="97">
        <f t="shared" si="26"/>
        <v>0</v>
      </c>
      <c r="AA32" s="97"/>
      <c r="AB32" s="99" t="str">
        <f t="shared" si="19"/>
        <v>Basic video adds</v>
      </c>
      <c r="AC32" s="97"/>
      <c r="AD32" s="97">
        <f t="shared" si="25"/>
        <v>-2.1999999999999886</v>
      </c>
      <c r="AE32" s="97">
        <f t="shared" si="25"/>
        <v>10.399999999999977</v>
      </c>
      <c r="AF32" s="97">
        <f t="shared" si="25"/>
        <v>6.6999999999999886</v>
      </c>
      <c r="AG32" s="97">
        <f t="shared" si="25"/>
        <v>7.9000000000000341</v>
      </c>
      <c r="AH32" s="97">
        <f t="shared" si="25"/>
        <v>2.0999999999999659</v>
      </c>
      <c r="AI32" s="97">
        <f t="shared" si="25"/>
        <v>7.5</v>
      </c>
      <c r="AJ32" s="97">
        <f t="shared" si="25"/>
        <v>8.5</v>
      </c>
      <c r="AK32" s="97">
        <f t="shared" si="25"/>
        <v>7.3000000000000114</v>
      </c>
      <c r="AL32" s="97">
        <f t="shared" si="25"/>
        <v>2.1999999999999886</v>
      </c>
      <c r="AM32" s="97">
        <f t="shared" si="25"/>
        <v>9.4000000000000341</v>
      </c>
      <c r="AN32" s="97">
        <f t="shared" si="25"/>
        <v>7.8999999999999773</v>
      </c>
      <c r="AO32" s="97">
        <f t="shared" si="25"/>
        <v>-2.8999999999999773</v>
      </c>
      <c r="AP32" s="97">
        <f t="shared" si="25"/>
        <v>5.7999999999999545</v>
      </c>
      <c r="AQ32" s="97">
        <f t="shared" si="25"/>
        <v>224.10000000000002</v>
      </c>
      <c r="AR32" s="97">
        <f t="shared" si="25"/>
        <v>5</v>
      </c>
      <c r="AS32" s="97">
        <f t="shared" si="25"/>
        <v>11.700000000000045</v>
      </c>
      <c r="AT32" s="97">
        <f t="shared" si="25"/>
        <v>3.1999999999999318</v>
      </c>
      <c r="AU32" s="97">
        <f t="shared" si="25"/>
        <v>-20.199999999999932</v>
      </c>
      <c r="AV32" s="97">
        <f t="shared" si="25"/>
        <v>-16.800000000000068</v>
      </c>
      <c r="AW32" s="97">
        <f t="shared" si="25"/>
        <v>-20.199999999999932</v>
      </c>
      <c r="AX32" s="97">
        <f t="shared" si="25"/>
        <v>3.3999999999999773</v>
      </c>
      <c r="AY32" s="97">
        <f t="shared" si="25"/>
        <v>-4.3999999999999773</v>
      </c>
      <c r="AZ32" s="97">
        <f t="shared" si="25"/>
        <v>0.59999999999990905</v>
      </c>
      <c r="BA32" s="97">
        <f t="shared" si="25"/>
        <v>-27.5</v>
      </c>
      <c r="BB32" s="97">
        <f t="shared" si="25"/>
        <v>-30.599999999999909</v>
      </c>
      <c r="BC32" s="97">
        <f t="shared" si="25"/>
        <v>-35.800000000000068</v>
      </c>
      <c r="BD32" s="97">
        <f t="shared" si="25"/>
        <v>-31.199999999999932</v>
      </c>
      <c r="BE32" s="97">
        <f t="shared" si="25"/>
        <v>-39.700000000000045</v>
      </c>
      <c r="BF32" s="97">
        <f t="shared" si="25"/>
        <v>-71.899999999999977</v>
      </c>
      <c r="BG32" s="97">
        <f t="shared" si="25"/>
        <v>-42.600000000000023</v>
      </c>
      <c r="BH32" s="97">
        <f t="shared" si="25"/>
        <v>-27.800000000000011</v>
      </c>
      <c r="BI32" s="97">
        <f t="shared" si="25"/>
        <v>-19.300000000000011</v>
      </c>
      <c r="BJ32" s="97">
        <f t="shared" si="25"/>
        <v>-21.399999999999977</v>
      </c>
      <c r="BK32" s="97">
        <f t="shared" si="25"/>
        <v>-20.300000000000011</v>
      </c>
      <c r="BL32" s="97">
        <f t="shared" si="25"/>
        <v>-20.300000000000011</v>
      </c>
      <c r="BM32" s="97">
        <f t="shared" si="25"/>
        <v>-19.399999999999977</v>
      </c>
      <c r="BN32" s="97">
        <f t="shared" si="25"/>
        <v>-22.600000000000023</v>
      </c>
      <c r="BO32" s="97">
        <f t="shared" si="25"/>
        <v>-19.999999999999972</v>
      </c>
      <c r="BP32" s="97">
        <f t="shared" si="25"/>
        <v>-16</v>
      </c>
      <c r="BQ32" s="97">
        <f t="shared" si="25"/>
        <v>-15.800000000000011</v>
      </c>
      <c r="BR32" s="97">
        <f t="shared" si="25"/>
        <v>-15.199999999999989</v>
      </c>
      <c r="BS32" s="97">
        <f t="shared" si="25"/>
        <v>-14.5</v>
      </c>
      <c r="BT32" s="97">
        <f t="shared" si="25"/>
        <v>-12.300000000000011</v>
      </c>
      <c r="BU32" s="97">
        <f t="shared" si="25"/>
        <v>-9.4000000000000057</v>
      </c>
      <c r="BV32" s="97">
        <f t="shared" si="25"/>
        <v>-8.1999999999999886</v>
      </c>
      <c r="BW32" s="97">
        <f t="shared" si="25"/>
        <v>-7.3000000000000114</v>
      </c>
      <c r="BX32" s="97">
        <f t="shared" si="25"/>
        <v>-7.0999999999999943</v>
      </c>
      <c r="BY32" s="97">
        <f t="shared" si="25"/>
        <v>-5.7999999999999829</v>
      </c>
      <c r="BZ32" s="97">
        <f t="shared" si="25"/>
        <v>-6.9000000000000057</v>
      </c>
      <c r="CA32" s="97">
        <f t="shared" si="25"/>
        <v>-5.7000000000000028</v>
      </c>
      <c r="CB32" s="97">
        <f t="shared" si="25"/>
        <v>-6</v>
      </c>
      <c r="CC32" s="97">
        <f>+CC7-CB7</f>
        <v>-5.9000000000000057</v>
      </c>
      <c r="CD32" s="97">
        <f>+CD7-CC7</f>
        <v>-4.2000000000000028</v>
      </c>
      <c r="CE32" s="99"/>
      <c r="CG32" s="99"/>
      <c r="CH32" s="99"/>
      <c r="CI32" s="99"/>
      <c r="CJ32" s="99"/>
      <c r="CK32" s="99"/>
      <c r="CL32" s="99"/>
      <c r="CM32" s="99"/>
      <c r="CN32" s="99"/>
    </row>
    <row r="33" spans="1:92" ht="15" customHeight="1">
      <c r="A33" s="92" t="s">
        <v>578</v>
      </c>
      <c r="B33" s="97"/>
      <c r="C33" s="97">
        <f t="shared" si="23"/>
        <v>0</v>
      </c>
      <c r="D33" s="97">
        <f t="shared" si="23"/>
        <v>0</v>
      </c>
      <c r="E33" s="97">
        <f t="shared" si="23"/>
        <v>0</v>
      </c>
      <c r="F33" s="97">
        <f t="shared" si="23"/>
        <v>6.8</v>
      </c>
      <c r="G33" s="97">
        <f t="shared" si="23"/>
        <v>99.5</v>
      </c>
      <c r="H33" s="97">
        <f t="shared" si="23"/>
        <v>77.000000000000014</v>
      </c>
      <c r="I33" s="97">
        <f t="shared" si="23"/>
        <v>161.89999999999998</v>
      </c>
      <c r="J33" s="97">
        <f t="shared" si="23"/>
        <v>186.59999999999997</v>
      </c>
      <c r="K33" s="97">
        <f t="shared" si="23"/>
        <v>76.900000000000091</v>
      </c>
      <c r="L33" s="97">
        <f t="shared" si="23"/>
        <v>94</v>
      </c>
      <c r="M33" s="97">
        <f t="shared" si="23"/>
        <v>66.599999999999909</v>
      </c>
      <c r="N33" s="97">
        <f t="shared" si="23"/>
        <v>85.300000000000068</v>
      </c>
      <c r="O33" s="97">
        <f t="shared" si="23"/>
        <v>47.299999999999955</v>
      </c>
      <c r="P33" s="97">
        <f t="shared" si="23"/>
        <v>30.300000000000068</v>
      </c>
      <c r="Q33" s="97">
        <f t="shared" si="23"/>
        <v>21.299999999999955</v>
      </c>
      <c r="R33" s="97">
        <f t="shared" si="23"/>
        <v>46.399999999999977</v>
      </c>
      <c r="S33" s="97">
        <f t="shared" si="26"/>
        <v>67.073040000000105</v>
      </c>
      <c r="T33" s="97">
        <f t="shared" si="26"/>
        <v>43.549919999999929</v>
      </c>
      <c r="U33" s="97">
        <f t="shared" si="26"/>
        <v>22.210459200000059</v>
      </c>
      <c r="V33" s="97">
        <f t="shared" si="26"/>
        <v>22.654668383999933</v>
      </c>
      <c r="W33" s="97">
        <f t="shared" si="26"/>
        <v>23.107761751680073</v>
      </c>
      <c r="X33" s="97">
        <f t="shared" si="26"/>
        <v>23.569916986713679</v>
      </c>
      <c r="Y33" s="97">
        <f t="shared" si="26"/>
        <v>24.04131532644783</v>
      </c>
      <c r="Z33" s="97">
        <f t="shared" si="26"/>
        <v>24.522141632976854</v>
      </c>
      <c r="AA33" s="97"/>
      <c r="AB33" s="99" t="str">
        <f t="shared" si="19"/>
        <v>Enhanced video adds</v>
      </c>
      <c r="AC33" s="97"/>
      <c r="AD33" s="97">
        <f t="shared" si="25"/>
        <v>0</v>
      </c>
      <c r="AE33" s="97">
        <f t="shared" si="25"/>
        <v>0</v>
      </c>
      <c r="AF33" s="97">
        <f t="shared" si="25"/>
        <v>0</v>
      </c>
      <c r="AG33" s="97">
        <f t="shared" si="25"/>
        <v>0</v>
      </c>
      <c r="AH33" s="97">
        <f t="shared" si="25"/>
        <v>0</v>
      </c>
      <c r="AI33" s="97">
        <f t="shared" si="25"/>
        <v>0</v>
      </c>
      <c r="AJ33" s="97">
        <f t="shared" si="25"/>
        <v>0</v>
      </c>
      <c r="AK33" s="97">
        <f t="shared" si="25"/>
        <v>0</v>
      </c>
      <c r="AL33" s="97">
        <f t="shared" si="25"/>
        <v>0</v>
      </c>
      <c r="AM33" s="97">
        <f t="shared" si="25"/>
        <v>0</v>
      </c>
      <c r="AN33" s="97">
        <f t="shared" si="25"/>
        <v>0</v>
      </c>
      <c r="AO33" s="97">
        <f t="shared" si="25"/>
        <v>0</v>
      </c>
      <c r="AP33" s="97">
        <f t="shared" si="25"/>
        <v>0</v>
      </c>
      <c r="AQ33" s="97">
        <f t="shared" si="25"/>
        <v>0</v>
      </c>
      <c r="AR33" s="97">
        <f t="shared" si="25"/>
        <v>4.4000000000000004</v>
      </c>
      <c r="AS33" s="97">
        <f t="shared" si="25"/>
        <v>2.3999999999999995</v>
      </c>
      <c r="AT33" s="97">
        <f t="shared" si="25"/>
        <v>6.1000000000000005</v>
      </c>
      <c r="AU33" s="97">
        <f t="shared" si="25"/>
        <v>44.4</v>
      </c>
      <c r="AV33" s="97">
        <f t="shared" si="25"/>
        <v>24.100000000000009</v>
      </c>
      <c r="AW33" s="97">
        <f t="shared" si="25"/>
        <v>24.899999999999991</v>
      </c>
      <c r="AX33" s="97">
        <f t="shared" si="25"/>
        <v>4.7000000000000028</v>
      </c>
      <c r="AY33" s="97">
        <f t="shared" si="25"/>
        <v>19.800000000000011</v>
      </c>
      <c r="AZ33" s="97">
        <f t="shared" si="25"/>
        <v>12.699999999999989</v>
      </c>
      <c r="BA33" s="97">
        <f t="shared" si="25"/>
        <v>39.800000000000011</v>
      </c>
      <c r="BB33" s="97">
        <f t="shared" si="25"/>
        <v>38</v>
      </c>
      <c r="BC33" s="97">
        <f t="shared" si="25"/>
        <v>45.899999999999977</v>
      </c>
      <c r="BD33" s="97">
        <f t="shared" si="25"/>
        <v>38.5</v>
      </c>
      <c r="BE33" s="97">
        <f t="shared" si="25"/>
        <v>39.5</v>
      </c>
      <c r="BF33" s="97">
        <f t="shared" si="25"/>
        <v>77.699999999999989</v>
      </c>
      <c r="BG33" s="97">
        <f t="shared" si="25"/>
        <v>49.700000000000045</v>
      </c>
      <c r="BH33" s="97">
        <f t="shared" si="25"/>
        <v>36.399999999999977</v>
      </c>
      <c r="BI33" s="97">
        <f t="shared" si="25"/>
        <v>22.799999999999955</v>
      </c>
      <c r="BJ33" s="97">
        <f t="shared" si="25"/>
        <v>12.700000000000045</v>
      </c>
      <c r="BK33" s="97">
        <f t="shared" si="25"/>
        <v>25.700000000000045</v>
      </c>
      <c r="BL33" s="97">
        <f t="shared" si="25"/>
        <v>16.299999999999955</v>
      </c>
      <c r="BM33" s="97">
        <f t="shared" si="25"/>
        <v>22.200000000000045</v>
      </c>
      <c r="BN33" s="97">
        <f t="shared" si="25"/>
        <v>27.899999999999977</v>
      </c>
      <c r="BO33" s="97">
        <f t="shared" si="25"/>
        <v>31.399999999999977</v>
      </c>
      <c r="BP33" s="97">
        <f t="shared" si="25"/>
        <v>21.5</v>
      </c>
      <c r="BQ33" s="97">
        <f t="shared" si="25"/>
        <v>13.200000000000045</v>
      </c>
      <c r="BR33" s="97">
        <f t="shared" si="25"/>
        <v>18.599999999999909</v>
      </c>
      <c r="BS33" s="97">
        <f t="shared" si="25"/>
        <v>16.900000000000091</v>
      </c>
      <c r="BT33" s="97">
        <f t="shared" si="25"/>
        <v>6.5</v>
      </c>
      <c r="BU33" s="97">
        <f t="shared" si="25"/>
        <v>24.599999999999909</v>
      </c>
      <c r="BV33" s="97">
        <f t="shared" si="25"/>
        <v>30.600000000000023</v>
      </c>
      <c r="BW33" s="97">
        <f t="shared" si="25"/>
        <v>25.5</v>
      </c>
      <c r="BX33" s="97">
        <f t="shared" si="25"/>
        <v>19.100000000000023</v>
      </c>
      <c r="BY33" s="97">
        <f t="shared" si="25"/>
        <v>10.100000000000023</v>
      </c>
      <c r="BZ33" s="97">
        <f t="shared" si="25"/>
        <v>16.299999999999955</v>
      </c>
      <c r="CA33" s="97">
        <f t="shared" si="25"/>
        <v>14.800000000000068</v>
      </c>
      <c r="CB33" s="97">
        <f t="shared" si="25"/>
        <v>7.0999999999999091</v>
      </c>
      <c r="CC33" s="97">
        <f t="shared" si="25"/>
        <v>9.1000000000000227</v>
      </c>
      <c r="CD33" s="97">
        <f t="shared" si="25"/>
        <v>0.39999999999997726</v>
      </c>
      <c r="CE33" s="99"/>
      <c r="CG33" s="99"/>
      <c r="CH33" s="99"/>
      <c r="CI33" s="99"/>
      <c r="CJ33" s="99"/>
      <c r="CK33" s="99"/>
      <c r="CL33" s="99"/>
      <c r="CM33" s="99"/>
      <c r="CN33" s="99"/>
    </row>
    <row r="34" spans="1:92" ht="15" customHeight="1">
      <c r="A34" s="92" t="s">
        <v>579</v>
      </c>
      <c r="B34" s="97"/>
      <c r="C34" s="97">
        <f t="shared" ref="C34:R38" si="27">+C11-B11</f>
        <v>-1.5999999999999996</v>
      </c>
      <c r="D34" s="97">
        <f t="shared" si="27"/>
        <v>-1.4000000000000004</v>
      </c>
      <c r="E34" s="97">
        <f t="shared" si="27"/>
        <v>-1</v>
      </c>
      <c r="F34" s="97">
        <f t="shared" si="27"/>
        <v>-4.5</v>
      </c>
      <c r="G34" s="97">
        <f t="shared" si="27"/>
        <v>0</v>
      </c>
      <c r="H34" s="97">
        <f t="shared" si="27"/>
        <v>0</v>
      </c>
      <c r="I34" s="97">
        <f t="shared" si="27"/>
        <v>0</v>
      </c>
      <c r="J34" s="97">
        <f t="shared" si="27"/>
        <v>0</v>
      </c>
      <c r="K34" s="97">
        <f t="shared" si="27"/>
        <v>0</v>
      </c>
      <c r="L34" s="97">
        <f t="shared" si="27"/>
        <v>0</v>
      </c>
      <c r="M34" s="97">
        <f t="shared" si="27"/>
        <v>0</v>
      </c>
      <c r="N34" s="97">
        <f t="shared" si="27"/>
        <v>0</v>
      </c>
      <c r="O34" s="97">
        <f t="shared" si="27"/>
        <v>0</v>
      </c>
      <c r="P34" s="97">
        <f t="shared" si="27"/>
        <v>0</v>
      </c>
      <c r="Q34" s="97">
        <f t="shared" si="27"/>
        <v>0</v>
      </c>
      <c r="R34" s="97">
        <f t="shared" si="27"/>
        <v>0</v>
      </c>
      <c r="S34" s="100">
        <v>0</v>
      </c>
      <c r="T34" s="100">
        <v>0</v>
      </c>
      <c r="U34" s="100">
        <v>0</v>
      </c>
      <c r="V34" s="100">
        <v>0</v>
      </c>
      <c r="W34" s="100">
        <v>0</v>
      </c>
      <c r="X34" s="100">
        <v>0</v>
      </c>
      <c r="Y34" s="100">
        <v>0</v>
      </c>
      <c r="Z34" s="100">
        <v>0</v>
      </c>
      <c r="AA34" s="97"/>
      <c r="AB34" s="99" t="str">
        <f t="shared" si="19"/>
        <v>DTH/MMDS adds</v>
      </c>
      <c r="AC34" s="97"/>
      <c r="AD34" s="97">
        <f t="shared" ref="AD34:CD38" si="28">+AD11-AC11</f>
        <v>-9.9999999999999645E-2</v>
      </c>
      <c r="AE34" s="97">
        <f t="shared" si="28"/>
        <v>9.9999999999999645E-2</v>
      </c>
      <c r="AF34" s="97">
        <f t="shared" si="28"/>
        <v>-0.40000000000000036</v>
      </c>
      <c r="AG34" s="97">
        <f t="shared" si="28"/>
        <v>-1.1999999999999993</v>
      </c>
      <c r="AH34" s="97">
        <f t="shared" si="28"/>
        <v>-0.10000000000000053</v>
      </c>
      <c r="AI34" s="97">
        <f t="shared" si="28"/>
        <v>-0.5</v>
      </c>
      <c r="AJ34" s="97">
        <f t="shared" si="28"/>
        <v>-0.39999999999999947</v>
      </c>
      <c r="AK34" s="97">
        <f t="shared" si="28"/>
        <v>-0.40000000000000036</v>
      </c>
      <c r="AL34" s="97">
        <f t="shared" si="28"/>
        <v>-0.29999999999999982</v>
      </c>
      <c r="AM34" s="97">
        <f t="shared" si="28"/>
        <v>-0.20000000000000018</v>
      </c>
      <c r="AN34" s="97">
        <f t="shared" si="28"/>
        <v>-0.20000000000000018</v>
      </c>
      <c r="AO34" s="97">
        <f t="shared" si="28"/>
        <v>-0.29999999999999982</v>
      </c>
      <c r="AP34" s="97">
        <f t="shared" si="28"/>
        <v>-4.5</v>
      </c>
      <c r="AQ34" s="97">
        <f t="shared" si="28"/>
        <v>1</v>
      </c>
      <c r="AR34" s="97">
        <f t="shared" si="28"/>
        <v>-1</v>
      </c>
      <c r="AS34" s="97">
        <f t="shared" si="28"/>
        <v>0</v>
      </c>
      <c r="AT34" s="97">
        <f t="shared" si="28"/>
        <v>0</v>
      </c>
      <c r="AU34" s="97">
        <f t="shared" si="28"/>
        <v>0</v>
      </c>
      <c r="AV34" s="97">
        <f t="shared" si="28"/>
        <v>0</v>
      </c>
      <c r="AW34" s="97">
        <f t="shared" si="28"/>
        <v>0</v>
      </c>
      <c r="AX34" s="97">
        <f t="shared" si="28"/>
        <v>0</v>
      </c>
      <c r="AY34" s="97">
        <f t="shared" si="28"/>
        <v>0</v>
      </c>
      <c r="AZ34" s="97">
        <f t="shared" si="28"/>
        <v>0</v>
      </c>
      <c r="BA34" s="97">
        <f t="shared" si="28"/>
        <v>0</v>
      </c>
      <c r="BB34" s="97">
        <f t="shared" si="28"/>
        <v>0</v>
      </c>
      <c r="BC34" s="97">
        <f t="shared" si="28"/>
        <v>0</v>
      </c>
      <c r="BD34" s="97">
        <f t="shared" si="28"/>
        <v>0</v>
      </c>
      <c r="BE34" s="97">
        <f t="shared" si="28"/>
        <v>0</v>
      </c>
      <c r="BF34" s="97">
        <f t="shared" si="28"/>
        <v>0</v>
      </c>
      <c r="BG34" s="97">
        <f t="shared" si="28"/>
        <v>0</v>
      </c>
      <c r="BH34" s="97">
        <f t="shared" si="28"/>
        <v>0</v>
      </c>
      <c r="BI34" s="97">
        <f t="shared" si="28"/>
        <v>0</v>
      </c>
      <c r="BJ34" s="97">
        <f t="shared" si="28"/>
        <v>0</v>
      </c>
      <c r="BK34" s="97">
        <f t="shared" si="28"/>
        <v>0</v>
      </c>
      <c r="BL34" s="97">
        <f t="shared" si="28"/>
        <v>0</v>
      </c>
      <c r="BM34" s="97">
        <f t="shared" si="28"/>
        <v>0</v>
      </c>
      <c r="BN34" s="97">
        <f t="shared" si="28"/>
        <v>0</v>
      </c>
      <c r="BO34" s="97">
        <f t="shared" si="28"/>
        <v>0</v>
      </c>
      <c r="BP34" s="97">
        <f t="shared" si="28"/>
        <v>0</v>
      </c>
      <c r="BQ34" s="97">
        <f t="shared" si="28"/>
        <v>0</v>
      </c>
      <c r="BR34" s="97">
        <f t="shared" si="28"/>
        <v>0</v>
      </c>
      <c r="BS34" s="97">
        <f t="shared" si="28"/>
        <v>0</v>
      </c>
      <c r="BT34" s="97">
        <f t="shared" si="28"/>
        <v>0</v>
      </c>
      <c r="BU34" s="97">
        <f t="shared" si="28"/>
        <v>0</v>
      </c>
      <c r="BV34" s="97">
        <f t="shared" si="28"/>
        <v>0</v>
      </c>
      <c r="BW34" s="97">
        <f t="shared" si="28"/>
        <v>0</v>
      </c>
      <c r="BX34" s="97">
        <f t="shared" si="28"/>
        <v>0</v>
      </c>
      <c r="BY34" s="97">
        <f t="shared" si="28"/>
        <v>0</v>
      </c>
      <c r="BZ34" s="97">
        <f t="shared" si="28"/>
        <v>0</v>
      </c>
      <c r="CA34" s="97">
        <f t="shared" si="28"/>
        <v>0</v>
      </c>
      <c r="CB34" s="97">
        <f t="shared" si="28"/>
        <v>0</v>
      </c>
      <c r="CC34" s="97">
        <f t="shared" si="28"/>
        <v>0</v>
      </c>
      <c r="CD34" s="97">
        <f t="shared" si="28"/>
        <v>0</v>
      </c>
      <c r="CE34" s="99"/>
      <c r="CG34" s="99"/>
      <c r="CH34" s="99"/>
      <c r="CI34" s="99"/>
      <c r="CJ34" s="99"/>
      <c r="CK34" s="99"/>
      <c r="CL34" s="99"/>
      <c r="CM34" s="99"/>
      <c r="CN34" s="99"/>
    </row>
    <row r="35" spans="1:92" ht="15" customHeight="1">
      <c r="A35" s="92" t="s">
        <v>580</v>
      </c>
      <c r="B35" s="97"/>
      <c r="C35" s="97">
        <f t="shared" si="27"/>
        <v>21.199999999999989</v>
      </c>
      <c r="D35" s="97">
        <f t="shared" si="27"/>
        <v>24</v>
      </c>
      <c r="E35" s="97">
        <f t="shared" si="27"/>
        <v>15.600000000000023</v>
      </c>
      <c r="F35" s="97">
        <f t="shared" si="27"/>
        <v>248.89999999999998</v>
      </c>
      <c r="G35" s="97">
        <f t="shared" si="27"/>
        <v>45.5</v>
      </c>
      <c r="H35" s="97">
        <f t="shared" si="27"/>
        <v>49.099999999999909</v>
      </c>
      <c r="I35" s="97">
        <f t="shared" si="27"/>
        <v>24.600000000000136</v>
      </c>
      <c r="J35" s="97">
        <f t="shared" si="27"/>
        <v>24.999999999999886</v>
      </c>
      <c r="K35" s="97">
        <f t="shared" si="27"/>
        <v>-4.4999999999998863</v>
      </c>
      <c r="L35" s="97">
        <f t="shared" si="27"/>
        <v>19.600000000000023</v>
      </c>
      <c r="M35" s="97">
        <f t="shared" si="27"/>
        <v>15.199999999999932</v>
      </c>
      <c r="N35" s="97">
        <f t="shared" si="27"/>
        <v>56.900000000000091</v>
      </c>
      <c r="O35" s="97">
        <f t="shared" ref="O35:R36" si="29">+O12-N12</f>
        <v>24.099999999999909</v>
      </c>
      <c r="P35" s="97">
        <f t="shared" si="29"/>
        <v>12.5</v>
      </c>
      <c r="Q35" s="97">
        <f t="shared" si="29"/>
        <v>21.299999999999955</v>
      </c>
      <c r="R35" s="97">
        <f t="shared" si="29"/>
        <v>20.100000000000136</v>
      </c>
      <c r="S35" s="97">
        <f t="shared" ref="S35:Z35" si="30">+S12-R12</f>
        <v>21.347999999999956</v>
      </c>
      <c r="T35" s="97">
        <f t="shared" si="30"/>
        <v>21.774959999999965</v>
      </c>
      <c r="U35" s="97">
        <f t="shared" si="30"/>
        <v>22.210459200000059</v>
      </c>
      <c r="V35" s="97">
        <f t="shared" si="30"/>
        <v>22.654668383999933</v>
      </c>
      <c r="W35" s="97">
        <f t="shared" si="30"/>
        <v>23.107761751680073</v>
      </c>
      <c r="X35" s="97">
        <f t="shared" si="30"/>
        <v>23.569916986713679</v>
      </c>
      <c r="Y35" s="97">
        <f t="shared" si="30"/>
        <v>24.04131532644783</v>
      </c>
      <c r="Z35" s="97">
        <f t="shared" si="30"/>
        <v>24.522141632976854</v>
      </c>
      <c r="AA35" s="97"/>
      <c r="AB35" s="99" t="str">
        <f t="shared" si="19"/>
        <v>Video adds</v>
      </c>
      <c r="AC35" s="97"/>
      <c r="AD35" s="97">
        <f t="shared" si="28"/>
        <v>-2.3000000000000114</v>
      </c>
      <c r="AE35" s="97">
        <f t="shared" si="28"/>
        <v>10.5</v>
      </c>
      <c r="AF35" s="97">
        <f t="shared" si="28"/>
        <v>6.3000000000000114</v>
      </c>
      <c r="AG35" s="97">
        <f t="shared" si="28"/>
        <v>6.6999999999999886</v>
      </c>
      <c r="AH35" s="97">
        <f t="shared" si="28"/>
        <v>2</v>
      </c>
      <c r="AI35" s="97">
        <f t="shared" si="28"/>
        <v>7</v>
      </c>
      <c r="AJ35" s="97">
        <f t="shared" si="28"/>
        <v>8.0999999999999659</v>
      </c>
      <c r="AK35" s="97">
        <f t="shared" si="28"/>
        <v>6.9000000000000341</v>
      </c>
      <c r="AL35" s="97">
        <f t="shared" si="28"/>
        <v>1.8999999999999773</v>
      </c>
      <c r="AM35" s="97">
        <f t="shared" si="28"/>
        <v>9.2000000000000455</v>
      </c>
      <c r="AN35" s="97">
        <f t="shared" si="28"/>
        <v>7.6999999999999318</v>
      </c>
      <c r="AO35" s="97">
        <f t="shared" si="28"/>
        <v>-3.1999999999999318</v>
      </c>
      <c r="AP35" s="97">
        <f t="shared" si="28"/>
        <v>1.2999999999999545</v>
      </c>
      <c r="AQ35" s="97">
        <f t="shared" si="28"/>
        <v>225.10000000000002</v>
      </c>
      <c r="AR35" s="97">
        <f t="shared" si="28"/>
        <v>8.3999999999999773</v>
      </c>
      <c r="AS35" s="97">
        <f t="shared" si="28"/>
        <v>14.100000000000023</v>
      </c>
      <c r="AT35" s="97">
        <f t="shared" si="28"/>
        <v>9.2999999999999545</v>
      </c>
      <c r="AU35" s="97">
        <f t="shared" si="28"/>
        <v>24.200000000000045</v>
      </c>
      <c r="AV35" s="97">
        <f t="shared" si="28"/>
        <v>7.2999999999999545</v>
      </c>
      <c r="AW35" s="97">
        <f t="shared" si="28"/>
        <v>4.7000000000000455</v>
      </c>
      <c r="AX35" s="97">
        <f t="shared" si="28"/>
        <v>8.1000000000000227</v>
      </c>
      <c r="AY35" s="97">
        <f t="shared" si="28"/>
        <v>15.399999999999977</v>
      </c>
      <c r="AZ35" s="97">
        <f t="shared" si="28"/>
        <v>13.299999999999955</v>
      </c>
      <c r="BA35" s="97">
        <f t="shared" si="28"/>
        <v>12.299999999999955</v>
      </c>
      <c r="BB35" s="97">
        <f t="shared" si="28"/>
        <v>7.4000000000000909</v>
      </c>
      <c r="BC35" s="97">
        <f t="shared" si="28"/>
        <v>10.099999999999909</v>
      </c>
      <c r="BD35" s="97">
        <f t="shared" si="28"/>
        <v>7.3000000000001819</v>
      </c>
      <c r="BE35" s="97">
        <f t="shared" si="28"/>
        <v>-0.20000000000004547</v>
      </c>
      <c r="BF35" s="97">
        <f t="shared" si="28"/>
        <v>5.7999999999999545</v>
      </c>
      <c r="BG35" s="97">
        <f t="shared" si="28"/>
        <v>7.1000000000000227</v>
      </c>
      <c r="BH35" s="97">
        <f t="shared" si="28"/>
        <v>8.6000000000000227</v>
      </c>
      <c r="BI35" s="97">
        <f t="shared" si="28"/>
        <v>3.4999999999998863</v>
      </c>
      <c r="BJ35" s="97">
        <f t="shared" si="28"/>
        <v>-8.6999999999999318</v>
      </c>
      <c r="BK35" s="97">
        <f t="shared" si="28"/>
        <v>5.4000000000000909</v>
      </c>
      <c r="BL35" s="97">
        <f t="shared" si="28"/>
        <v>-4.0000000000001137</v>
      </c>
      <c r="BM35" s="97">
        <f t="shared" si="28"/>
        <v>2.8000000000000682</v>
      </c>
      <c r="BN35" s="97">
        <f t="shared" si="28"/>
        <v>5.2999999999999545</v>
      </c>
      <c r="BO35" s="97">
        <f t="shared" si="28"/>
        <v>11.399999999999977</v>
      </c>
      <c r="BP35" s="97">
        <f t="shared" si="28"/>
        <v>5.5</v>
      </c>
      <c r="BQ35" s="97">
        <f t="shared" si="28"/>
        <v>-2.5999999999999091</v>
      </c>
      <c r="BR35" s="97">
        <f t="shared" si="28"/>
        <v>3.3999999999998636</v>
      </c>
      <c r="BS35" s="97">
        <f t="shared" si="28"/>
        <v>2.4000000000000909</v>
      </c>
      <c r="BT35" s="97">
        <f t="shared" si="28"/>
        <v>-5.7999999999999545</v>
      </c>
      <c r="BU35" s="97">
        <f t="shared" si="28"/>
        <v>15.199999999999932</v>
      </c>
      <c r="BV35" s="97">
        <f t="shared" si="28"/>
        <v>22.399999999999977</v>
      </c>
      <c r="BW35" s="97">
        <f t="shared" si="28"/>
        <v>18.199999999999932</v>
      </c>
      <c r="BX35" s="97">
        <f t="shared" si="28"/>
        <v>12.000000000000114</v>
      </c>
      <c r="BY35" s="97">
        <f t="shared" si="28"/>
        <v>4.3000000000000682</v>
      </c>
      <c r="BZ35" s="97">
        <f t="shared" si="28"/>
        <v>9.3999999999998636</v>
      </c>
      <c r="CA35" s="97">
        <f t="shared" si="28"/>
        <v>9.1000000000000227</v>
      </c>
      <c r="CB35" s="97">
        <f t="shared" si="28"/>
        <v>1.1000000000000227</v>
      </c>
      <c r="CC35" s="97">
        <f t="shared" si="28"/>
        <v>4.5</v>
      </c>
      <c r="CD35" s="97">
        <f t="shared" si="28"/>
        <v>-5.1000000000000227</v>
      </c>
      <c r="CE35" s="99"/>
      <c r="CG35" s="99"/>
      <c r="CH35" s="99"/>
      <c r="CI35" s="99"/>
      <c r="CJ35" s="99"/>
      <c r="CK35" s="99"/>
      <c r="CL35" s="99"/>
      <c r="CM35" s="99"/>
      <c r="CN35" s="99"/>
    </row>
    <row r="36" spans="1:92" ht="15" customHeight="1">
      <c r="A36" s="92" t="s">
        <v>581</v>
      </c>
      <c r="B36" s="97"/>
      <c r="C36" s="97">
        <f t="shared" si="27"/>
        <v>45.5</v>
      </c>
      <c r="D36" s="97">
        <f t="shared" si="27"/>
        <v>58.899999999999991</v>
      </c>
      <c r="E36" s="97">
        <f t="shared" si="27"/>
        <v>47.100000000000023</v>
      </c>
      <c r="F36" s="97">
        <f t="shared" si="27"/>
        <v>126.69999999999999</v>
      </c>
      <c r="G36" s="97">
        <f t="shared" si="27"/>
        <v>110.80000000000001</v>
      </c>
      <c r="H36" s="97">
        <f t="shared" si="27"/>
        <v>106.49999999999994</v>
      </c>
      <c r="I36" s="97">
        <f t="shared" si="27"/>
        <v>68.400000000000091</v>
      </c>
      <c r="J36" s="97">
        <f t="shared" si="27"/>
        <v>64.599999999999909</v>
      </c>
      <c r="K36" s="97">
        <f t="shared" si="27"/>
        <v>44.700000000000045</v>
      </c>
      <c r="L36" s="97">
        <f t="shared" si="27"/>
        <v>68.299999999999955</v>
      </c>
      <c r="M36" s="97">
        <f t="shared" si="27"/>
        <v>59.200000000000045</v>
      </c>
      <c r="N36" s="97">
        <f t="shared" si="27"/>
        <v>60.200000000000045</v>
      </c>
      <c r="O36" s="97">
        <f t="shared" si="29"/>
        <v>46.299999999999955</v>
      </c>
      <c r="P36" s="97">
        <f t="shared" si="29"/>
        <v>71.100000000000023</v>
      </c>
      <c r="Q36" s="97">
        <f t="shared" si="29"/>
        <v>88.100000000000023</v>
      </c>
      <c r="R36" s="97">
        <f t="shared" si="29"/>
        <v>90.399999999999864</v>
      </c>
      <c r="S36" s="100">
        <v>30</v>
      </c>
      <c r="T36" s="100">
        <v>20</v>
      </c>
      <c r="U36" s="100">
        <v>20</v>
      </c>
      <c r="V36" s="100">
        <v>20</v>
      </c>
      <c r="W36" s="100">
        <v>20</v>
      </c>
      <c r="X36" s="100">
        <v>20</v>
      </c>
      <c r="Y36" s="100">
        <v>20</v>
      </c>
      <c r="Z36" s="100">
        <v>20</v>
      </c>
      <c r="AA36" s="97"/>
      <c r="AB36" s="99" t="str">
        <f t="shared" si="19"/>
        <v>Broadband adds</v>
      </c>
      <c r="AC36" s="97"/>
      <c r="AD36" s="97">
        <f t="shared" si="28"/>
        <v>5.5999999999999979</v>
      </c>
      <c r="AE36" s="97">
        <f t="shared" si="28"/>
        <v>12.600000000000001</v>
      </c>
      <c r="AF36" s="97">
        <f t="shared" si="28"/>
        <v>16.100000000000001</v>
      </c>
      <c r="AG36" s="97">
        <f t="shared" si="28"/>
        <v>11.199999999999996</v>
      </c>
      <c r="AH36" s="97">
        <f t="shared" si="28"/>
        <v>12</v>
      </c>
      <c r="AI36" s="97">
        <f t="shared" si="28"/>
        <v>16.799999999999997</v>
      </c>
      <c r="AJ36" s="97">
        <f t="shared" si="28"/>
        <v>15.700000000000003</v>
      </c>
      <c r="AK36" s="97">
        <f t="shared" si="28"/>
        <v>14.399999999999991</v>
      </c>
      <c r="AL36" s="97">
        <f t="shared" si="28"/>
        <v>9.6000000000000227</v>
      </c>
      <c r="AM36" s="97">
        <f t="shared" si="28"/>
        <v>12.299999999999983</v>
      </c>
      <c r="AN36" s="97">
        <f t="shared" si="28"/>
        <v>14</v>
      </c>
      <c r="AO36" s="97">
        <f t="shared" si="28"/>
        <v>11.200000000000017</v>
      </c>
      <c r="AP36" s="97">
        <f t="shared" si="28"/>
        <v>14.5</v>
      </c>
      <c r="AQ36" s="97">
        <f t="shared" si="28"/>
        <v>64.299999999999983</v>
      </c>
      <c r="AR36" s="97">
        <f t="shared" si="28"/>
        <v>24.200000000000017</v>
      </c>
      <c r="AS36" s="97">
        <f t="shared" si="28"/>
        <v>23.699999999999989</v>
      </c>
      <c r="AT36" s="97">
        <f t="shared" si="28"/>
        <v>27</v>
      </c>
      <c r="AU36" s="97">
        <f t="shared" si="28"/>
        <v>36</v>
      </c>
      <c r="AV36" s="97">
        <f t="shared" si="28"/>
        <v>28.699999999999989</v>
      </c>
      <c r="AW36" s="97">
        <f t="shared" si="28"/>
        <v>19.100000000000023</v>
      </c>
      <c r="AX36" s="97">
        <f t="shared" si="28"/>
        <v>23.599999999999966</v>
      </c>
      <c r="AY36" s="97">
        <f t="shared" si="28"/>
        <v>30.600000000000023</v>
      </c>
      <c r="AZ36" s="97">
        <f t="shared" si="28"/>
        <v>32</v>
      </c>
      <c r="BA36" s="97">
        <f t="shared" si="28"/>
        <v>20.299999999999955</v>
      </c>
      <c r="BB36" s="97">
        <f t="shared" si="28"/>
        <v>18.400000000000091</v>
      </c>
      <c r="BC36" s="97">
        <f t="shared" si="28"/>
        <v>25.299999999999955</v>
      </c>
      <c r="BD36" s="97">
        <f t="shared" si="28"/>
        <v>16.200000000000045</v>
      </c>
      <c r="BE36" s="97">
        <f t="shared" si="28"/>
        <v>8.5</v>
      </c>
      <c r="BF36" s="97">
        <f t="shared" si="28"/>
        <v>16.799999999999955</v>
      </c>
      <c r="BG36" s="97">
        <f t="shared" si="28"/>
        <v>23.299999999999955</v>
      </c>
      <c r="BH36" s="97">
        <f t="shared" si="28"/>
        <v>17.100000000000023</v>
      </c>
      <c r="BI36" s="97">
        <f t="shared" si="28"/>
        <v>7.3999999999999773</v>
      </c>
      <c r="BJ36" s="97">
        <f t="shared" si="28"/>
        <v>0.60000000000002274</v>
      </c>
      <c r="BK36" s="97">
        <f t="shared" si="28"/>
        <v>22.300000000000068</v>
      </c>
      <c r="BL36" s="97">
        <f t="shared" si="28"/>
        <v>13.5</v>
      </c>
      <c r="BM36" s="97">
        <f t="shared" si="28"/>
        <v>8.2999999999999545</v>
      </c>
      <c r="BN36" s="97">
        <f t="shared" si="28"/>
        <v>16</v>
      </c>
      <c r="BO36" s="97">
        <f t="shared" si="28"/>
        <v>28.700000000000045</v>
      </c>
      <c r="BP36" s="97">
        <f t="shared" si="28"/>
        <v>17.599999999999909</v>
      </c>
      <c r="BQ36" s="97">
        <f t="shared" si="28"/>
        <v>6</v>
      </c>
      <c r="BR36" s="97">
        <f t="shared" si="28"/>
        <v>15.300000000000068</v>
      </c>
      <c r="BS36" s="97">
        <f t="shared" si="28"/>
        <v>23.5</v>
      </c>
      <c r="BT36" s="97">
        <f t="shared" si="28"/>
        <v>14</v>
      </c>
      <c r="BU36" s="97">
        <f t="shared" si="28"/>
        <v>6.3999999999999773</v>
      </c>
      <c r="BV36" s="97">
        <f t="shared" si="28"/>
        <v>21</v>
      </c>
      <c r="BW36" s="97">
        <f t="shared" si="28"/>
        <v>20.600000000000023</v>
      </c>
      <c r="BX36" s="97">
        <f t="shared" si="28"/>
        <v>13.600000000000023</v>
      </c>
      <c r="BY36" s="97">
        <f t="shared" si="28"/>
        <v>5</v>
      </c>
      <c r="BZ36" s="97">
        <f t="shared" si="28"/>
        <v>13.699999999999932</v>
      </c>
      <c r="CA36" s="97">
        <f t="shared" si="28"/>
        <v>21.600000000000023</v>
      </c>
      <c r="CB36" s="97">
        <f t="shared" si="28"/>
        <v>11.600000000000023</v>
      </c>
      <c r="CC36" s="97">
        <f t="shared" si="28"/>
        <v>-0.60000000000002274</v>
      </c>
      <c r="CD36" s="97">
        <f t="shared" si="28"/>
        <v>22.899999999999977</v>
      </c>
      <c r="CE36" s="99"/>
      <c r="CG36" s="99"/>
      <c r="CH36" s="99"/>
      <c r="CI36" s="99"/>
      <c r="CJ36" s="99"/>
      <c r="CK36" s="99"/>
      <c r="CL36" s="99"/>
      <c r="CM36" s="99"/>
      <c r="CN36" s="99"/>
    </row>
    <row r="37" spans="1:92" ht="15" customHeight="1">
      <c r="A37" s="92" t="s">
        <v>582</v>
      </c>
      <c r="B37" s="97"/>
      <c r="C37" s="97">
        <f t="shared" si="27"/>
        <v>44.900000000000006</v>
      </c>
      <c r="D37" s="97">
        <f t="shared" si="27"/>
        <v>43.200000000000017</v>
      </c>
      <c r="E37" s="97">
        <f t="shared" si="27"/>
        <v>38.699999999999989</v>
      </c>
      <c r="F37" s="97">
        <f t="shared" si="27"/>
        <v>54.699999999999989</v>
      </c>
      <c r="G37" s="97">
        <f t="shared" si="27"/>
        <v>102.40000000000003</v>
      </c>
      <c r="H37" s="97">
        <f t="shared" si="27"/>
        <v>86.799999999999955</v>
      </c>
      <c r="I37" s="97">
        <f t="shared" si="27"/>
        <v>36.700000000000045</v>
      </c>
      <c r="J37" s="97">
        <f t="shared" si="27"/>
        <v>31.5</v>
      </c>
      <c r="K37" s="97">
        <f t="shared" si="27"/>
        <v>-0.20000000000004547</v>
      </c>
      <c r="L37" s="97">
        <f t="shared" si="27"/>
        <v>25.300000000000068</v>
      </c>
      <c r="M37" s="97">
        <f t="shared" si="27"/>
        <v>30.5</v>
      </c>
      <c r="N37" s="97">
        <f t="shared" si="27"/>
        <v>12</v>
      </c>
      <c r="O37" s="97">
        <f t="shared" si="27"/>
        <v>4.0999999999999091</v>
      </c>
      <c r="P37" s="97">
        <f t="shared" si="27"/>
        <v>-3.8999999999999773</v>
      </c>
      <c r="Q37" s="97">
        <f t="shared" si="27"/>
        <v>-32.899999999999977</v>
      </c>
      <c r="R37" s="97">
        <f t="shared" ca="1" si="27"/>
        <v>-32.899999999999977</v>
      </c>
      <c r="S37" s="100">
        <v>-5</v>
      </c>
      <c r="T37" s="100">
        <v>-5</v>
      </c>
      <c r="U37" s="100">
        <v>-5</v>
      </c>
      <c r="V37" s="100">
        <v>-5</v>
      </c>
      <c r="W37" s="100">
        <v>-5</v>
      </c>
      <c r="X37" s="100">
        <v>-5</v>
      </c>
      <c r="Y37" s="100">
        <v>-5</v>
      </c>
      <c r="Z37" s="100">
        <v>-5</v>
      </c>
      <c r="AA37" s="97"/>
      <c r="AB37" s="99" t="str">
        <f t="shared" si="19"/>
        <v>Telephony adds</v>
      </c>
      <c r="AC37" s="97"/>
      <c r="AD37" s="97">
        <f t="shared" si="28"/>
        <v>10.900000000000006</v>
      </c>
      <c r="AE37" s="97">
        <f t="shared" si="28"/>
        <v>14.800000000000011</v>
      </c>
      <c r="AF37" s="97">
        <f t="shared" si="28"/>
        <v>9</v>
      </c>
      <c r="AG37" s="97">
        <f t="shared" si="28"/>
        <v>10.199999999999989</v>
      </c>
      <c r="AH37" s="97">
        <f t="shared" si="28"/>
        <v>5.3000000000000114</v>
      </c>
      <c r="AI37" s="97">
        <f t="shared" si="28"/>
        <v>11.599999999999994</v>
      </c>
      <c r="AJ37" s="97">
        <f t="shared" si="28"/>
        <v>13.300000000000011</v>
      </c>
      <c r="AK37" s="97">
        <f t="shared" si="28"/>
        <v>13</v>
      </c>
      <c r="AL37" s="97">
        <f t="shared" si="28"/>
        <v>9.0999999999999659</v>
      </c>
      <c r="AM37" s="97">
        <f t="shared" si="28"/>
        <v>8.6000000000000227</v>
      </c>
      <c r="AN37" s="97">
        <f t="shared" si="28"/>
        <v>7.3000000000000114</v>
      </c>
      <c r="AO37" s="97">
        <f t="shared" si="28"/>
        <v>13.699999999999989</v>
      </c>
      <c r="AP37" s="97">
        <f t="shared" si="28"/>
        <v>6.8000000000000114</v>
      </c>
      <c r="AQ37" s="97">
        <f t="shared" si="28"/>
        <v>20.800000000000011</v>
      </c>
      <c r="AR37" s="97">
        <f t="shared" si="28"/>
        <v>5.3999999999999773</v>
      </c>
      <c r="AS37" s="97">
        <f t="shared" si="28"/>
        <v>21.699999999999989</v>
      </c>
      <c r="AT37" s="97">
        <f t="shared" si="28"/>
        <v>22.800000000000011</v>
      </c>
      <c r="AU37" s="97">
        <f t="shared" si="28"/>
        <v>31.100000000000023</v>
      </c>
      <c r="AV37" s="97">
        <f t="shared" si="28"/>
        <v>27.599999999999966</v>
      </c>
      <c r="AW37" s="97">
        <f t="shared" si="28"/>
        <v>20.900000000000034</v>
      </c>
      <c r="AX37" s="97">
        <f t="shared" si="28"/>
        <v>21</v>
      </c>
      <c r="AY37" s="97">
        <f t="shared" si="28"/>
        <v>18.199999999999989</v>
      </c>
      <c r="AZ37" s="97">
        <f t="shared" si="28"/>
        <v>23.099999999999966</v>
      </c>
      <c r="BA37" s="97">
        <f t="shared" si="28"/>
        <v>24.5</v>
      </c>
      <c r="BB37" s="97">
        <f t="shared" si="28"/>
        <v>11.300000000000068</v>
      </c>
      <c r="BC37" s="97">
        <f t="shared" si="28"/>
        <v>12.5</v>
      </c>
      <c r="BD37" s="97">
        <f t="shared" si="28"/>
        <v>8</v>
      </c>
      <c r="BE37" s="97">
        <f t="shared" si="28"/>
        <v>4.8999999999999773</v>
      </c>
      <c r="BF37" s="97">
        <f t="shared" si="28"/>
        <v>7.6999999999999318</v>
      </c>
      <c r="BG37" s="97">
        <f t="shared" si="28"/>
        <v>12.600000000000023</v>
      </c>
      <c r="BH37" s="97">
        <f t="shared" si="28"/>
        <v>9</v>
      </c>
      <c r="BI37" s="97">
        <f t="shared" si="28"/>
        <v>2.2000000000000455</v>
      </c>
      <c r="BJ37" s="97">
        <f t="shared" si="28"/>
        <v>-2.2000000000000455</v>
      </c>
      <c r="BK37" s="97">
        <f t="shared" si="28"/>
        <v>-0.89999999999997726</v>
      </c>
      <c r="BL37" s="97">
        <f t="shared" si="28"/>
        <v>-1.7000000000000455</v>
      </c>
      <c r="BM37" s="97">
        <f t="shared" si="28"/>
        <v>4.6000000000000227</v>
      </c>
      <c r="BN37" s="97">
        <f t="shared" si="28"/>
        <v>2.7000000000000455</v>
      </c>
      <c r="BO37" s="97">
        <f t="shared" si="28"/>
        <v>10.100000000000023</v>
      </c>
      <c r="BP37" s="97">
        <f t="shared" si="28"/>
        <v>7.1999999999999318</v>
      </c>
      <c r="BQ37" s="97">
        <f t="shared" si="28"/>
        <v>5.3000000000000682</v>
      </c>
      <c r="BR37" s="97">
        <f t="shared" si="28"/>
        <v>11.599999999999909</v>
      </c>
      <c r="BS37" s="97">
        <f t="shared" si="28"/>
        <v>15.700000000000045</v>
      </c>
      <c r="BT37" s="97">
        <f t="shared" si="28"/>
        <v>5.7000000000000455</v>
      </c>
      <c r="BU37" s="97">
        <f t="shared" si="28"/>
        <v>-2.5</v>
      </c>
      <c r="BV37" s="97">
        <f t="shared" si="28"/>
        <v>6.6999999999999318</v>
      </c>
      <c r="BW37" s="97">
        <f t="shared" si="28"/>
        <v>4.8999999999999773</v>
      </c>
      <c r="BX37" s="97">
        <f t="shared" si="28"/>
        <v>3.4000000000000909</v>
      </c>
      <c r="BY37" s="97">
        <f t="shared" si="28"/>
        <v>-3</v>
      </c>
      <c r="BZ37" s="97">
        <f t="shared" si="28"/>
        <v>8.6999999999999318</v>
      </c>
      <c r="CA37" s="97">
        <f t="shared" si="28"/>
        <v>10.5</v>
      </c>
      <c r="CB37" s="97">
        <f t="shared" si="28"/>
        <v>-3.5</v>
      </c>
      <c r="CC37" s="97">
        <f t="shared" si="28"/>
        <v>-11.600000000000023</v>
      </c>
      <c r="CD37" s="97">
        <f t="shared" si="28"/>
        <v>7.8000000000000682</v>
      </c>
      <c r="CE37" s="99"/>
      <c r="CG37" s="99"/>
      <c r="CH37" s="99"/>
      <c r="CI37" s="99"/>
      <c r="CJ37" s="99"/>
      <c r="CK37" s="99"/>
      <c r="CL37" s="99"/>
      <c r="CM37" s="99"/>
      <c r="CN37" s="99"/>
    </row>
    <row r="38" spans="1:92" ht="15" customHeight="1">
      <c r="A38" s="92" t="s">
        <v>583</v>
      </c>
      <c r="B38" s="97"/>
      <c r="C38" s="97">
        <f t="shared" si="27"/>
        <v>0</v>
      </c>
      <c r="D38" s="97">
        <f t="shared" si="27"/>
        <v>0</v>
      </c>
      <c r="E38" s="97">
        <f t="shared" si="27"/>
        <v>0</v>
      </c>
      <c r="F38" s="97">
        <f t="shared" si="27"/>
        <v>0</v>
      </c>
      <c r="G38" s="97">
        <f t="shared" si="27"/>
        <v>0</v>
      </c>
      <c r="H38" s="97">
        <f t="shared" si="27"/>
        <v>0</v>
      </c>
      <c r="I38" s="97">
        <f t="shared" si="27"/>
        <v>0</v>
      </c>
      <c r="J38" s="97">
        <f t="shared" si="27"/>
        <v>0</v>
      </c>
      <c r="K38" s="97">
        <f t="shared" si="27"/>
        <v>0</v>
      </c>
      <c r="L38" s="97">
        <f t="shared" si="27"/>
        <v>0</v>
      </c>
      <c r="M38" s="97">
        <f t="shared" si="27"/>
        <v>40</v>
      </c>
      <c r="N38" s="97">
        <f t="shared" si="27"/>
        <v>31.299999999999997</v>
      </c>
      <c r="O38" s="97">
        <f t="shared" si="27"/>
        <v>39.200000000000003</v>
      </c>
      <c r="P38" s="97">
        <f t="shared" si="27"/>
        <v>21.5</v>
      </c>
      <c r="Q38" s="97">
        <f t="shared" si="27"/>
        <v>34.199999999999989</v>
      </c>
      <c r="R38" s="97">
        <f t="shared" si="27"/>
        <v>48.700000000000017</v>
      </c>
      <c r="S38" s="100">
        <v>30</v>
      </c>
      <c r="T38" s="100">
        <v>30</v>
      </c>
      <c r="U38" s="100">
        <v>30</v>
      </c>
      <c r="V38" s="100">
        <v>30</v>
      </c>
      <c r="W38" s="100">
        <v>30</v>
      </c>
      <c r="X38" s="100">
        <v>30</v>
      </c>
      <c r="Y38" s="100">
        <v>30</v>
      </c>
      <c r="Z38" s="100">
        <v>30</v>
      </c>
      <c r="AA38" s="97"/>
      <c r="AB38" s="99" t="str">
        <f t="shared" si="19"/>
        <v>Mobile adds</v>
      </c>
      <c r="AC38" s="97"/>
      <c r="AD38" s="97">
        <f t="shared" si="28"/>
        <v>0</v>
      </c>
      <c r="AE38" s="97">
        <f t="shared" si="28"/>
        <v>0</v>
      </c>
      <c r="AF38" s="97">
        <f t="shared" si="28"/>
        <v>0</v>
      </c>
      <c r="AG38" s="97">
        <f t="shared" si="28"/>
        <v>0</v>
      </c>
      <c r="AH38" s="97">
        <f t="shared" si="28"/>
        <v>0</v>
      </c>
      <c r="AI38" s="97">
        <f t="shared" si="28"/>
        <v>0</v>
      </c>
      <c r="AJ38" s="97">
        <f t="shared" si="28"/>
        <v>0</v>
      </c>
      <c r="AK38" s="97">
        <f t="shared" si="28"/>
        <v>0</v>
      </c>
      <c r="AL38" s="97">
        <f t="shared" si="28"/>
        <v>0</v>
      </c>
      <c r="AM38" s="97">
        <f t="shared" si="28"/>
        <v>0</v>
      </c>
      <c r="AN38" s="97">
        <f t="shared" si="28"/>
        <v>0</v>
      </c>
      <c r="AO38" s="97">
        <f t="shared" si="28"/>
        <v>0</v>
      </c>
      <c r="AP38" s="97">
        <f t="shared" si="28"/>
        <v>0</v>
      </c>
      <c r="AQ38" s="97">
        <f t="shared" si="28"/>
        <v>0</v>
      </c>
      <c r="AR38" s="97">
        <f t="shared" si="28"/>
        <v>0</v>
      </c>
      <c r="AS38" s="97">
        <f t="shared" si="28"/>
        <v>0</v>
      </c>
      <c r="AT38" s="97">
        <f t="shared" si="28"/>
        <v>0</v>
      </c>
      <c r="AU38" s="97">
        <f t="shared" si="28"/>
        <v>0</v>
      </c>
      <c r="AV38" s="97">
        <f t="shared" si="28"/>
        <v>0</v>
      </c>
      <c r="AW38" s="97">
        <f t="shared" si="28"/>
        <v>0</v>
      </c>
      <c r="AX38" s="97">
        <f t="shared" si="28"/>
        <v>0</v>
      </c>
      <c r="AY38" s="97">
        <f t="shared" si="28"/>
        <v>0</v>
      </c>
      <c r="AZ38" s="97">
        <f t="shared" si="28"/>
        <v>0</v>
      </c>
      <c r="BA38" s="97">
        <f t="shared" si="28"/>
        <v>0</v>
      </c>
      <c r="BB38" s="97">
        <f t="shared" si="28"/>
        <v>0</v>
      </c>
      <c r="BC38" s="97">
        <f t="shared" si="28"/>
        <v>0</v>
      </c>
      <c r="BD38" s="97">
        <f t="shared" si="28"/>
        <v>0</v>
      </c>
      <c r="BE38" s="97">
        <f t="shared" si="28"/>
        <v>0</v>
      </c>
      <c r="BF38" s="97">
        <f t="shared" si="28"/>
        <v>0</v>
      </c>
      <c r="BG38" s="97">
        <f t="shared" si="28"/>
        <v>0</v>
      </c>
      <c r="BH38" s="97">
        <f t="shared" si="28"/>
        <v>0</v>
      </c>
      <c r="BI38" s="97">
        <f t="shared" si="28"/>
        <v>0</v>
      </c>
      <c r="BJ38" s="97">
        <f t="shared" si="28"/>
        <v>0</v>
      </c>
      <c r="BK38" s="97">
        <f t="shared" si="28"/>
        <v>0</v>
      </c>
      <c r="BL38" s="97">
        <f t="shared" si="28"/>
        <v>0</v>
      </c>
      <c r="BM38" s="97">
        <f t="shared" si="28"/>
        <v>0</v>
      </c>
      <c r="BN38" s="97">
        <f t="shared" si="28"/>
        <v>0</v>
      </c>
      <c r="BO38" s="97">
        <f t="shared" si="28"/>
        <v>0</v>
      </c>
      <c r="BP38" s="97">
        <f t="shared" si="28"/>
        <v>0</v>
      </c>
      <c r="BQ38" s="97">
        <f t="shared" si="28"/>
        <v>0</v>
      </c>
      <c r="BR38" s="97">
        <f t="shared" si="28"/>
        <v>0</v>
      </c>
      <c r="BS38" s="97">
        <f t="shared" si="28"/>
        <v>0</v>
      </c>
      <c r="BT38" s="97">
        <f t="shared" si="28"/>
        <v>0</v>
      </c>
      <c r="BU38" s="97">
        <f t="shared" ref="BU38:CD38" si="31">+BU15-BT15</f>
        <v>0</v>
      </c>
      <c r="BV38" s="97">
        <f t="shared" si="31"/>
        <v>47.5</v>
      </c>
      <c r="BW38" s="97">
        <f t="shared" si="31"/>
        <v>92.6</v>
      </c>
      <c r="BX38" s="97">
        <f t="shared" si="31"/>
        <v>-60.199999999999989</v>
      </c>
      <c r="BY38" s="97">
        <f t="shared" si="31"/>
        <v>-8.6000000000000085</v>
      </c>
      <c r="BZ38" s="97">
        <f t="shared" si="31"/>
        <v>11.700000000000003</v>
      </c>
      <c r="CA38" s="97">
        <f t="shared" si="31"/>
        <v>6.7000000000000028</v>
      </c>
      <c r="CB38" s="97">
        <f t="shared" si="31"/>
        <v>11</v>
      </c>
      <c r="CC38" s="97">
        <f t="shared" si="31"/>
        <v>9.7999999999999972</v>
      </c>
      <c r="CD38" s="97">
        <f t="shared" si="31"/>
        <v>7</v>
      </c>
      <c r="CE38" s="99"/>
      <c r="CG38" s="99"/>
      <c r="CH38" s="99"/>
      <c r="CI38" s="99"/>
      <c r="CJ38" s="99"/>
      <c r="CK38" s="99"/>
      <c r="CL38" s="99"/>
      <c r="CM38" s="99"/>
      <c r="CN38" s="99"/>
    </row>
    <row r="39" spans="1:92" ht="15" customHeight="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9"/>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row>
    <row r="40" spans="1:92" ht="15" customHeight="1">
      <c r="A40" s="92" t="s">
        <v>584</v>
      </c>
      <c r="B40" s="91"/>
      <c r="C40" s="101">
        <f t="shared" ref="C40:R40" si="32">+C5/C4</f>
        <v>0.57392743174565652</v>
      </c>
      <c r="D40" s="101">
        <f t="shared" si="32"/>
        <v>0.58826550995947724</v>
      </c>
      <c r="E40" s="101">
        <f t="shared" si="32"/>
        <v>0.59685601204080496</v>
      </c>
      <c r="F40" s="101">
        <f t="shared" si="32"/>
        <v>0.59169390855932591</v>
      </c>
      <c r="G40" s="101">
        <f t="shared" si="32"/>
        <v>0.63997098604770242</v>
      </c>
      <c r="H40" s="101">
        <f t="shared" si="32"/>
        <v>0.67688022284122573</v>
      </c>
      <c r="I40" s="101">
        <f t="shared" si="32"/>
        <v>0.70519223147047172</v>
      </c>
      <c r="J40" s="101">
        <f t="shared" si="32"/>
        <v>0.74809452679152777</v>
      </c>
      <c r="K40" s="101">
        <f t="shared" si="32"/>
        <v>0.75702608890381806</v>
      </c>
      <c r="L40" s="101">
        <f t="shared" si="32"/>
        <v>0.77214226153790377</v>
      </c>
      <c r="M40" s="101">
        <f t="shared" si="32"/>
        <v>0.81451190101709137</v>
      </c>
      <c r="N40" s="101">
        <f t="shared" si="32"/>
        <v>0.82195196939158943</v>
      </c>
      <c r="O40" s="101">
        <f t="shared" si="32"/>
        <v>0.82573519538069007</v>
      </c>
      <c r="P40" s="101">
        <f t="shared" si="32"/>
        <v>0.83132451412706188</v>
      </c>
      <c r="Q40" s="101">
        <f t="shared" si="32"/>
        <v>0.84265995150158557</v>
      </c>
      <c r="R40" s="101">
        <f t="shared" si="32"/>
        <v>0.85804342062627048</v>
      </c>
      <c r="S40" s="102">
        <f t="shared" ref="S40:Z40" si="33">+R40</f>
        <v>0.85804342062627048</v>
      </c>
      <c r="T40" s="102">
        <f t="shared" si="33"/>
        <v>0.85804342062627048</v>
      </c>
      <c r="U40" s="102">
        <f t="shared" si="33"/>
        <v>0.85804342062627048</v>
      </c>
      <c r="V40" s="102">
        <f t="shared" si="33"/>
        <v>0.85804342062627048</v>
      </c>
      <c r="W40" s="102">
        <f t="shared" si="33"/>
        <v>0.85804342062627048</v>
      </c>
      <c r="X40" s="102">
        <f t="shared" si="33"/>
        <v>0.85804342062627048</v>
      </c>
      <c r="Y40" s="102">
        <f t="shared" si="33"/>
        <v>0.85804342062627048</v>
      </c>
      <c r="Z40" s="102">
        <f t="shared" si="33"/>
        <v>0.85804342062627048</v>
      </c>
      <c r="AA40" s="91"/>
      <c r="AB40" s="99" t="str">
        <f t="shared" ref="AB40:AB52" si="34">+A40</f>
        <v>HU % HP</v>
      </c>
      <c r="AC40" s="91"/>
      <c r="AD40" s="101">
        <f t="shared" ref="AD40:CD40" si="35">+AD5/AD4</f>
        <v>0.53401683062700012</v>
      </c>
      <c r="AE40" s="101">
        <f t="shared" si="35"/>
        <v>0.54545992309967462</v>
      </c>
      <c r="AF40" s="101">
        <f t="shared" si="35"/>
        <v>0.56292134831460672</v>
      </c>
      <c r="AG40" s="101">
        <f t="shared" si="35"/>
        <v>0.57392743174565652</v>
      </c>
      <c r="AH40" s="101">
        <f t="shared" si="35"/>
        <v>0.57115407010597408</v>
      </c>
      <c r="AI40" s="101">
        <f t="shared" si="35"/>
        <v>0.58062096029547561</v>
      </c>
      <c r="AJ40" s="101">
        <f t="shared" si="35"/>
        <v>0.58247924420269104</v>
      </c>
      <c r="AK40" s="101">
        <f t="shared" si="35"/>
        <v>0.58826550995947724</v>
      </c>
      <c r="AL40" s="101">
        <f t="shared" si="35"/>
        <v>0.58959767825641607</v>
      </c>
      <c r="AM40" s="101">
        <f t="shared" si="35"/>
        <v>0.58635777191899918</v>
      </c>
      <c r="AN40" s="101">
        <f t="shared" si="35"/>
        <v>0.59425654832015251</v>
      </c>
      <c r="AO40" s="101">
        <f t="shared" si="35"/>
        <v>0.59685601204080496</v>
      </c>
      <c r="AP40" s="101">
        <f t="shared" si="35"/>
        <v>0.59918041865101346</v>
      </c>
      <c r="AQ40" s="101">
        <f t="shared" si="35"/>
        <v>0.64835164835164838</v>
      </c>
      <c r="AR40" s="101">
        <f t="shared" si="35"/>
        <v>0.61275164465548793</v>
      </c>
      <c r="AS40" s="101">
        <f t="shared" si="35"/>
        <v>0.59169390855932591</v>
      </c>
      <c r="AT40" s="101">
        <f t="shared" si="35"/>
        <v>0.60345363341767666</v>
      </c>
      <c r="AU40" s="101">
        <f t="shared" si="35"/>
        <v>0.61383840595576966</v>
      </c>
      <c r="AV40" s="101">
        <f t="shared" si="35"/>
        <v>0.62299672583146648</v>
      </c>
      <c r="AW40" s="101">
        <f t="shared" si="35"/>
        <v>0.63997098604770242</v>
      </c>
      <c r="AX40" s="101">
        <f t="shared" si="35"/>
        <v>0.644790085988872</v>
      </c>
      <c r="AY40" s="101">
        <f t="shared" si="35"/>
        <v>0.66087900162778079</v>
      </c>
      <c r="AZ40" s="101">
        <f t="shared" si="35"/>
        <v>0.67035563292713252</v>
      </c>
      <c r="BA40" s="101">
        <f t="shared" si="35"/>
        <v>0.67688022284122573</v>
      </c>
      <c r="BB40" s="101">
        <f t="shared" si="35"/>
        <v>0.67781130229144593</v>
      </c>
      <c r="BC40" s="101">
        <f t="shared" si="35"/>
        <v>0.68587428478675483</v>
      </c>
      <c r="BD40" s="101">
        <f t="shared" si="35"/>
        <v>0.69810639492898985</v>
      </c>
      <c r="BE40" s="101">
        <f t="shared" si="35"/>
        <v>0.70519223147047172</v>
      </c>
      <c r="BF40" s="101">
        <f t="shared" si="35"/>
        <v>0.72074164468763535</v>
      </c>
      <c r="BG40" s="101">
        <f t="shared" si="35"/>
        <v>0.72953056768558944</v>
      </c>
      <c r="BH40" s="101">
        <f t="shared" si="35"/>
        <v>0.74447439353099731</v>
      </c>
      <c r="BI40" s="101">
        <f t="shared" si="35"/>
        <v>0.74809452679152777</v>
      </c>
      <c r="BJ40" s="101">
        <f t="shared" si="35"/>
        <v>0.74999999999999989</v>
      </c>
      <c r="BK40" s="101">
        <f t="shared" si="35"/>
        <v>0.75288296860133208</v>
      </c>
      <c r="BL40" s="101">
        <f t="shared" si="35"/>
        <v>0.75589901339235477</v>
      </c>
      <c r="BM40" s="101">
        <f t="shared" si="35"/>
        <v>0.75702608890381806</v>
      </c>
      <c r="BN40" s="101">
        <f t="shared" si="35"/>
        <v>0.75731157557468054</v>
      </c>
      <c r="BO40" s="101">
        <f t="shared" si="35"/>
        <v>0.76560829000258146</v>
      </c>
      <c r="BP40" s="101">
        <f t="shared" si="35"/>
        <v>0.76866406506437135</v>
      </c>
      <c r="BQ40" s="101">
        <f t="shared" si="35"/>
        <v>0.77214226153790377</v>
      </c>
      <c r="BR40" s="101">
        <f t="shared" si="35"/>
        <v>0.7739344380924813</v>
      </c>
      <c r="BS40" s="101">
        <f t="shared" si="35"/>
        <v>0.79296133032290428</v>
      </c>
      <c r="BT40" s="101">
        <f t="shared" si="35"/>
        <v>0.80805788055043271</v>
      </c>
      <c r="BU40" s="101">
        <f t="shared" si="35"/>
        <v>0.81451190101709137</v>
      </c>
      <c r="BV40" s="101">
        <f t="shared" si="35"/>
        <v>0.81504986400725288</v>
      </c>
      <c r="BW40" s="101">
        <f t="shared" si="35"/>
        <v>0.8177945556556071</v>
      </c>
      <c r="BX40" s="101">
        <f t="shared" si="35"/>
        <v>0.82038133259911894</v>
      </c>
      <c r="BY40" s="101">
        <f t="shared" si="35"/>
        <v>0.82195196939158943</v>
      </c>
      <c r="BZ40" s="101">
        <f t="shared" si="35"/>
        <v>0.82241238238101744</v>
      </c>
      <c r="CA40" s="101">
        <f t="shared" si="35"/>
        <v>0.82345159758496711</v>
      </c>
      <c r="CB40" s="101">
        <f t="shared" si="35"/>
        <v>0.82495200242514055</v>
      </c>
      <c r="CC40" s="101">
        <f t="shared" si="35"/>
        <v>0.82573519538069007</v>
      </c>
      <c r="CD40" s="101">
        <f t="shared" si="35"/>
        <v>0.82624422265389508</v>
      </c>
    </row>
    <row r="41" spans="1:92" ht="15" customHeight="1">
      <c r="B41" s="9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91"/>
      <c r="AB41" s="99"/>
      <c r="AC41" s="9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row>
    <row r="42" spans="1:92" ht="15" customHeight="1">
      <c r="A42" s="92" t="s">
        <v>585</v>
      </c>
      <c r="B42" s="91"/>
      <c r="C42" s="101">
        <f t="shared" ref="C42:P42" si="36">+(C8+C11)/C12</f>
        <v>1.4696485623003196E-2</v>
      </c>
      <c r="D42" s="101">
        <f t="shared" si="36"/>
        <v>1.1144883485309016E-2</v>
      </c>
      <c r="E42" s="101">
        <f t="shared" si="36"/>
        <v>8.8391278727165574E-3</v>
      </c>
      <c r="F42" s="101">
        <f t="shared" si="36"/>
        <v>8.9709762532981536E-3</v>
      </c>
      <c r="G42" s="101">
        <f t="shared" si="36"/>
        <v>0.13229620410703175</v>
      </c>
      <c r="H42" s="101">
        <f t="shared" si="36"/>
        <v>0.2149894440534835</v>
      </c>
      <c r="I42" s="101">
        <f t="shared" si="36"/>
        <v>0.39352485180118557</v>
      </c>
      <c r="J42" s="101">
        <f t="shared" si="36"/>
        <v>0.58944801596098428</v>
      </c>
      <c r="K42" s="101">
        <f t="shared" si="36"/>
        <v>0.67806616909880812</v>
      </c>
      <c r="L42" s="101">
        <f t="shared" si="36"/>
        <v>0.76605254551400848</v>
      </c>
      <c r="M42" s="101">
        <f t="shared" si="36"/>
        <v>0.82498659517426265</v>
      </c>
      <c r="N42" s="101">
        <f t="shared" si="36"/>
        <v>0.86375581160299164</v>
      </c>
      <c r="O42" s="101">
        <f t="shared" si="36"/>
        <v>0.88988653182042421</v>
      </c>
      <c r="P42" s="101">
        <f t="shared" si="36"/>
        <v>0.90857699805068226</v>
      </c>
      <c r="Q42" s="101">
        <f>+(Q8+Q11)/Q12</f>
        <v>0.91043636016423191</v>
      </c>
      <c r="R42" s="101">
        <f>+(R8+R11)/R12</f>
        <v>0.93676222596964576</v>
      </c>
      <c r="S42" s="102">
        <v>0.98</v>
      </c>
      <c r="T42" s="102">
        <f t="shared" ref="T42:Z42" si="37">MIN(100%,+S42*1.1)</f>
        <v>1</v>
      </c>
      <c r="U42" s="102">
        <f t="shared" si="37"/>
        <v>1</v>
      </c>
      <c r="V42" s="102">
        <f t="shared" si="37"/>
        <v>1</v>
      </c>
      <c r="W42" s="102">
        <f t="shared" si="37"/>
        <v>1</v>
      </c>
      <c r="X42" s="102">
        <f t="shared" si="37"/>
        <v>1</v>
      </c>
      <c r="Y42" s="102">
        <f t="shared" si="37"/>
        <v>1</v>
      </c>
      <c r="Z42" s="102">
        <f t="shared" si="37"/>
        <v>1</v>
      </c>
      <c r="AA42" s="91"/>
      <c r="AB42" s="99" t="str">
        <f t="shared" si="34"/>
        <v>Digital % video</v>
      </c>
      <c r="AC42" s="91"/>
      <c r="AD42" s="101">
        <f t="shared" ref="AD42:CD42" si="38">+(AD8+AD11)/AD12</f>
        <v>1.883408071748879E-2</v>
      </c>
      <c r="AE42" s="101">
        <f t="shared" si="38"/>
        <v>1.8619934282584884E-2</v>
      </c>
      <c r="AF42" s="101">
        <f t="shared" si="38"/>
        <v>1.7502160760587724E-2</v>
      </c>
      <c r="AG42" s="101">
        <f t="shared" si="38"/>
        <v>1.4696485623003196E-2</v>
      </c>
      <c r="AH42" s="101">
        <f t="shared" si="38"/>
        <v>1.4422057264050901E-2</v>
      </c>
      <c r="AI42" s="101">
        <f t="shared" si="38"/>
        <v>1.3166144200626959E-2</v>
      </c>
      <c r="AJ42" s="101">
        <f t="shared" si="38"/>
        <v>1.2124948623099057E-2</v>
      </c>
      <c r="AK42" s="101">
        <f t="shared" si="38"/>
        <v>1.1144883485309016E-2</v>
      </c>
      <c r="AL42" s="101">
        <f t="shared" si="38"/>
        <v>1.0496568429551878E-2</v>
      </c>
      <c r="AM42" s="101">
        <f t="shared" si="38"/>
        <v>9.9088386841062227E-3</v>
      </c>
      <c r="AN42" s="101">
        <f t="shared" si="38"/>
        <v>9.3695100527034954E-3</v>
      </c>
      <c r="AO42" s="101">
        <f t="shared" si="38"/>
        <v>8.8391278727165574E-3</v>
      </c>
      <c r="AP42" s="101">
        <f t="shared" si="38"/>
        <v>0</v>
      </c>
      <c r="AQ42" s="101">
        <f t="shared" si="38"/>
        <v>1.3596193065941536E-3</v>
      </c>
      <c r="AR42" s="101">
        <f t="shared" si="38"/>
        <v>5.914773491060627E-3</v>
      </c>
      <c r="AS42" s="101">
        <f t="shared" si="38"/>
        <v>8.9709762532981536E-3</v>
      </c>
      <c r="AT42" s="101">
        <f t="shared" si="38"/>
        <v>1.6812198618532517E-2</v>
      </c>
      <c r="AU42" s="101">
        <f t="shared" si="38"/>
        <v>7.239418825015792E-2</v>
      </c>
      <c r="AV42" s="101">
        <f t="shared" si="38"/>
        <v>0.10190285428142215</v>
      </c>
      <c r="AW42" s="101">
        <f t="shared" si="38"/>
        <v>0.13229620410703175</v>
      </c>
      <c r="AX42" s="101">
        <f t="shared" si="38"/>
        <v>0.13676688023656974</v>
      </c>
      <c r="AY42" s="101">
        <f t="shared" si="38"/>
        <v>0.15816203143893592</v>
      </c>
      <c r="AZ42" s="101">
        <f t="shared" si="38"/>
        <v>0.17077234321075807</v>
      </c>
      <c r="BA42" s="101">
        <f t="shared" si="38"/>
        <v>0.2149894440534835</v>
      </c>
      <c r="BB42" s="101">
        <f t="shared" si="38"/>
        <v>0.25732558139534883</v>
      </c>
      <c r="BC42" s="101">
        <f t="shared" si="38"/>
        <v>0.30709113894954604</v>
      </c>
      <c r="BD42" s="101">
        <f t="shared" si="38"/>
        <v>0.34841577387736489</v>
      </c>
      <c r="BE42" s="101">
        <f t="shared" si="38"/>
        <v>0.39352485180118557</v>
      </c>
      <c r="BF42" s="101">
        <f t="shared" si="38"/>
        <v>0.47893544733861831</v>
      </c>
      <c r="BG42" s="101">
        <f t="shared" si="38"/>
        <v>0.53095157847432872</v>
      </c>
      <c r="BH42" s="101">
        <f t="shared" si="38"/>
        <v>0.56637365082897517</v>
      </c>
      <c r="BI42" s="101">
        <f t="shared" si="38"/>
        <v>0.58944801596098428</v>
      </c>
      <c r="BJ42" s="101">
        <f t="shared" si="38"/>
        <v>0.60940123111359823</v>
      </c>
      <c r="BK42" s="101">
        <f t="shared" si="38"/>
        <v>0.63433084881521862</v>
      </c>
      <c r="BL42" s="101">
        <f t="shared" si="38"/>
        <v>0.65538048944016092</v>
      </c>
      <c r="BM42" s="101">
        <f t="shared" si="38"/>
        <v>0.67806616909880812</v>
      </c>
      <c r="BN42" s="101">
        <f t="shared" si="38"/>
        <v>0.70498338870431898</v>
      </c>
      <c r="BO42" s="101">
        <f t="shared" si="38"/>
        <v>0.73053368328958879</v>
      </c>
      <c r="BP42" s="101">
        <f t="shared" si="38"/>
        <v>0.74953799326013704</v>
      </c>
      <c r="BQ42" s="101">
        <f t="shared" si="38"/>
        <v>0.76605254551400848</v>
      </c>
      <c r="BR42" s="101">
        <f t="shared" si="38"/>
        <v>0.78342565439339629</v>
      </c>
      <c r="BS42" s="101">
        <f t="shared" si="38"/>
        <v>0.7996966742498105</v>
      </c>
      <c r="BT42" s="101">
        <f t="shared" si="38"/>
        <v>0.81183909299029755</v>
      </c>
      <c r="BU42" s="101">
        <f t="shared" si="38"/>
        <v>0.82498659517426265</v>
      </c>
      <c r="BV42" s="101">
        <f t="shared" si="38"/>
        <v>0.8376793381505917</v>
      </c>
      <c r="BW42" s="101">
        <f t="shared" si="38"/>
        <v>0.84821703833110684</v>
      </c>
      <c r="BX42" s="101">
        <f t="shared" si="38"/>
        <v>0.8572733732615978</v>
      </c>
      <c r="BY42" s="101">
        <f t="shared" si="38"/>
        <v>0.86375581160299164</v>
      </c>
      <c r="BZ42" s="101">
        <f t="shared" si="38"/>
        <v>0.87194633560272328</v>
      </c>
      <c r="CA42" s="101">
        <f t="shared" si="38"/>
        <v>0.87875781327512659</v>
      </c>
      <c r="CB42" s="101">
        <f t="shared" si="38"/>
        <v>0.88483647175421209</v>
      </c>
      <c r="CC42" s="101">
        <f t="shared" si="38"/>
        <v>0.88988653182042421</v>
      </c>
      <c r="CD42" s="101">
        <f t="shared" si="38"/>
        <v>0.89478381594605316</v>
      </c>
    </row>
    <row r="43" spans="1:92" ht="15" customHeight="1">
      <c r="A43" s="92" t="s">
        <v>586</v>
      </c>
      <c r="B43" s="91"/>
      <c r="C43" s="101">
        <f t="shared" ref="C43:Z43" si="39">+C13/C5</f>
        <v>7.2384678747940689E-2</v>
      </c>
      <c r="D43" s="101">
        <f t="shared" si="39"/>
        <v>0.1253517027263025</v>
      </c>
      <c r="E43" s="101">
        <f t="shared" si="39"/>
        <v>0.1646586345381526</v>
      </c>
      <c r="F43" s="101">
        <f t="shared" si="39"/>
        <v>0.23577931678468603</v>
      </c>
      <c r="G43" s="101">
        <f t="shared" si="39"/>
        <v>0.27588505900393356</v>
      </c>
      <c r="H43" s="101">
        <f t="shared" si="39"/>
        <v>0.314875332849189</v>
      </c>
      <c r="I43" s="101">
        <f t="shared" si="39"/>
        <v>0.33087904676258995</v>
      </c>
      <c r="J43" s="101">
        <f t="shared" si="39"/>
        <v>0.334476756092566</v>
      </c>
      <c r="K43" s="101">
        <f t="shared" si="39"/>
        <v>0.34413055267958392</v>
      </c>
      <c r="L43" s="101">
        <f t="shared" si="39"/>
        <v>0.35979904216358338</v>
      </c>
      <c r="M43" s="101">
        <f t="shared" si="39"/>
        <v>0.35423103329900446</v>
      </c>
      <c r="N43" s="101">
        <f t="shared" si="39"/>
        <v>0.36810606375462368</v>
      </c>
      <c r="O43" s="101">
        <f t="shared" si="39"/>
        <v>0.37890799691019234</v>
      </c>
      <c r="P43" s="101">
        <f t="shared" si="39"/>
        <v>0.39412989666417825</v>
      </c>
      <c r="Q43" s="101">
        <f>+Q13/Q5</f>
        <v>0.40258254934513926</v>
      </c>
      <c r="R43" s="101">
        <f t="shared" si="39"/>
        <v>0.40565778632243882</v>
      </c>
      <c r="S43" s="101">
        <f t="shared" si="39"/>
        <v>0.39559865478172851</v>
      </c>
      <c r="T43" s="101">
        <f t="shared" si="39"/>
        <v>0.40345127372724288</v>
      </c>
      <c r="U43" s="101">
        <f t="shared" si="39"/>
        <v>0.40544443401719532</v>
      </c>
      <c r="V43" s="101">
        <f t="shared" si="39"/>
        <v>0.40739376088954976</v>
      </c>
      <c r="W43" s="101">
        <f t="shared" si="39"/>
        <v>0.40930068458878288</v>
      </c>
      <c r="X43" s="101">
        <f t="shared" si="39"/>
        <v>0.41116657380542221</v>
      </c>
      <c r="Y43" s="101">
        <f t="shared" si="39"/>
        <v>0.41299273895219679</v>
      </c>
      <c r="Z43" s="101">
        <f t="shared" si="39"/>
        <v>0.41478043523314678</v>
      </c>
      <c r="AA43" s="91"/>
      <c r="AB43" s="99" t="str">
        <f t="shared" si="34"/>
        <v>Broadband % HU</v>
      </c>
      <c r="AC43" s="91"/>
      <c r="AD43" s="101">
        <f t="shared" ref="AD43:CD43" si="40">+AD13/AD5</f>
        <v>3.3736544223726551E-2</v>
      </c>
      <c r="AE43" s="101">
        <f t="shared" si="40"/>
        <v>4.6632686259624766E-2</v>
      </c>
      <c r="AF43" s="101">
        <f t="shared" si="40"/>
        <v>6.2086353608572335E-2</v>
      </c>
      <c r="AG43" s="101">
        <f t="shared" si="40"/>
        <v>7.2384678747940689E-2</v>
      </c>
      <c r="AH43" s="101">
        <f t="shared" si="40"/>
        <v>8.3902538485064737E-2</v>
      </c>
      <c r="AI43" s="101">
        <f t="shared" si="40"/>
        <v>9.849915515356325E-2</v>
      </c>
      <c r="AJ43" s="101">
        <f t="shared" si="40"/>
        <v>0.11284773419836823</v>
      </c>
      <c r="AK43" s="101">
        <f t="shared" si="40"/>
        <v>0.1253517027263025</v>
      </c>
      <c r="AL43" s="101">
        <f t="shared" si="40"/>
        <v>0.13396390309815656</v>
      </c>
      <c r="AM43" s="101">
        <f t="shared" si="40"/>
        <v>0.14455180331005454</v>
      </c>
      <c r="AN43" s="101">
        <f t="shared" si="40"/>
        <v>0.15582822085889569</v>
      </c>
      <c r="AO43" s="101">
        <f t="shared" si="40"/>
        <v>0.1646586345381526</v>
      </c>
      <c r="AP43" s="101">
        <f t="shared" si="40"/>
        <v>0.17634011090573015</v>
      </c>
      <c r="AQ43" s="101">
        <f t="shared" si="40"/>
        <v>0.18717440751339054</v>
      </c>
      <c r="AR43" s="101">
        <f t="shared" si="40"/>
        <v>0.22546012269938653</v>
      </c>
      <c r="AS43" s="101">
        <f t="shared" si="40"/>
        <v>0.23577931678468603</v>
      </c>
      <c r="AT43" s="101">
        <f t="shared" si="40"/>
        <v>0.24275415624540236</v>
      </c>
      <c r="AU43" s="101">
        <f t="shared" si="40"/>
        <v>0.26111150745523293</v>
      </c>
      <c r="AV43" s="101">
        <f t="shared" si="40"/>
        <v>0.27294101376115071</v>
      </c>
      <c r="AW43" s="101">
        <f t="shared" si="40"/>
        <v>0.27588505900393356</v>
      </c>
      <c r="AX43" s="101">
        <f t="shared" si="40"/>
        <v>0.28593841929790154</v>
      </c>
      <c r="AY43" s="101">
        <f t="shared" si="40"/>
        <v>0.29556650246305416</v>
      </c>
      <c r="AZ43" s="101">
        <f t="shared" si="40"/>
        <v>0.30915723737092687</v>
      </c>
      <c r="BA43" s="101">
        <f t="shared" si="40"/>
        <v>0.314875332849189</v>
      </c>
      <c r="BB43" s="101">
        <f t="shared" si="40"/>
        <v>0.32404956689124159</v>
      </c>
      <c r="BC43" s="101">
        <f t="shared" si="40"/>
        <v>0.33368832090876821</v>
      </c>
      <c r="BD43" s="101">
        <f t="shared" si="40"/>
        <v>0.33342911326935237</v>
      </c>
      <c r="BE43" s="101">
        <f t="shared" si="40"/>
        <v>0.33087904676258995</v>
      </c>
      <c r="BF43" s="101">
        <f t="shared" si="40"/>
        <v>0.33071167185537165</v>
      </c>
      <c r="BG43" s="101">
        <f t="shared" si="40"/>
        <v>0.33605900272566941</v>
      </c>
      <c r="BH43" s="101">
        <f t="shared" si="40"/>
        <v>0.33407468707975585</v>
      </c>
      <c r="BI43" s="101">
        <f t="shared" si="40"/>
        <v>0.334476756092566</v>
      </c>
      <c r="BJ43" s="101">
        <f t="shared" si="40"/>
        <v>0.33652411095671864</v>
      </c>
      <c r="BK43" s="101">
        <f t="shared" si="40"/>
        <v>0.34182590233545651</v>
      </c>
      <c r="BL43" s="101">
        <f t="shared" si="40"/>
        <v>0.34228287841191068</v>
      </c>
      <c r="BM43" s="101">
        <f t="shared" si="40"/>
        <v>0.34413055267958392</v>
      </c>
      <c r="BN43" s="101">
        <f t="shared" si="40"/>
        <v>0.35125694888571851</v>
      </c>
      <c r="BO43" s="101">
        <f t="shared" si="40"/>
        <v>0.35773806656712109</v>
      </c>
      <c r="BP43" s="101">
        <f t="shared" si="40"/>
        <v>0.36074207629531219</v>
      </c>
      <c r="BQ43" s="101">
        <f t="shared" si="40"/>
        <v>0.35979904216358338</v>
      </c>
      <c r="BR43" s="101">
        <f t="shared" si="40"/>
        <v>0.3654043945769051</v>
      </c>
      <c r="BS43" s="101">
        <f t="shared" si="40"/>
        <v>0.36387055952273345</v>
      </c>
      <c r="BT43" s="101">
        <f t="shared" si="40"/>
        <v>0.3595066713483146</v>
      </c>
      <c r="BU43" s="101">
        <f t="shared" si="40"/>
        <v>0.35423103329900446</v>
      </c>
      <c r="BV43" s="101">
        <f t="shared" si="40"/>
        <v>0.36215453067510905</v>
      </c>
      <c r="BW43" s="101">
        <f t="shared" si="40"/>
        <v>0.3672129759031042</v>
      </c>
      <c r="BX43" s="101">
        <f t="shared" si="40"/>
        <v>0.36946763434996022</v>
      </c>
      <c r="BY43" s="101">
        <f t="shared" si="40"/>
        <v>0.36810606375462368</v>
      </c>
      <c r="BZ43" s="101">
        <f t="shared" si="40"/>
        <v>0.37283919910458896</v>
      </c>
      <c r="CA43" s="101">
        <f t="shared" si="40"/>
        <v>0.3793714215100713</v>
      </c>
      <c r="CB43" s="101">
        <f t="shared" si="40"/>
        <v>0.38077739670096361</v>
      </c>
      <c r="CC43" s="101">
        <f t="shared" si="40"/>
        <v>0.37890799691019234</v>
      </c>
      <c r="CD43" s="101">
        <f t="shared" si="40"/>
        <v>0.38706931495743818</v>
      </c>
    </row>
    <row r="44" spans="1:92" ht="15" customHeight="1">
      <c r="A44" s="92" t="s">
        <v>587</v>
      </c>
      <c r="B44" s="91"/>
      <c r="C44" s="101" t="e">
        <f t="shared" ref="C44:Z44" si="41">+C13/C6</f>
        <v>#DIV/0!</v>
      </c>
      <c r="D44" s="101" t="e">
        <f t="shared" si="41"/>
        <v>#DIV/0!</v>
      </c>
      <c r="E44" s="101">
        <f t="shared" si="41"/>
        <v>0.27720125786163524</v>
      </c>
      <c r="F44" s="101">
        <f t="shared" si="41"/>
        <v>0.33651710350955133</v>
      </c>
      <c r="G44" s="101">
        <f t="shared" si="41"/>
        <v>0.43988519187838843</v>
      </c>
      <c r="H44" s="101">
        <f t="shared" si="41"/>
        <v>0.52407332796132144</v>
      </c>
      <c r="I44" s="101">
        <f t="shared" si="41"/>
        <v>0.57205325041298227</v>
      </c>
      <c r="J44" s="101">
        <f t="shared" si="41"/>
        <v>0.6196528502323817</v>
      </c>
      <c r="K44" s="101">
        <f t="shared" si="41"/>
        <v>0.65319109114729557</v>
      </c>
      <c r="L44" s="101">
        <f t="shared" si="41"/>
        <v>0.69549827554910149</v>
      </c>
      <c r="M44" s="101">
        <f t="shared" si="41"/>
        <v>0.72133869276476748</v>
      </c>
      <c r="N44" s="101">
        <f t="shared" si="41"/>
        <v>0.73820636772795467</v>
      </c>
      <c r="O44" s="101">
        <f t="shared" si="41"/>
        <v>0.7606300497837265</v>
      </c>
      <c r="P44" s="101">
        <f t="shared" si="41"/>
        <v>0.79396865600759847</v>
      </c>
      <c r="Q44" s="101">
        <f>+Q13/Q6</f>
        <v>0.82113025810820972</v>
      </c>
      <c r="R44" s="101">
        <f t="shared" si="41"/>
        <v>0.83986068661596402</v>
      </c>
      <c r="S44" s="101">
        <f t="shared" si="41"/>
        <v>0.82505958461014639</v>
      </c>
      <c r="T44" s="101">
        <f t="shared" si="41"/>
        <v>0.82642467534984276</v>
      </c>
      <c r="U44" s="101">
        <f t="shared" si="41"/>
        <v>0.82751210961227617</v>
      </c>
      <c r="V44" s="101">
        <f t="shared" si="41"/>
        <v>0.82832831367282</v>
      </c>
      <c r="W44" s="101">
        <f t="shared" si="41"/>
        <v>0.8288796936576176</v>
      </c>
      <c r="X44" s="101">
        <f t="shared" si="41"/>
        <v>0.8291726315916722</v>
      </c>
      <c r="Y44" s="101">
        <f t="shared" si="41"/>
        <v>0.82921348156698671</v>
      </c>
      <c r="Z44" s="101">
        <f t="shared" si="41"/>
        <v>0.82900856603300688</v>
      </c>
      <c r="AA44" s="91"/>
      <c r="AB44" s="99" t="str">
        <f t="shared" si="34"/>
        <v>Broadband % customers</v>
      </c>
      <c r="AC44" s="91"/>
      <c r="AD44" s="101" t="e">
        <f t="shared" ref="AD44:CD44" si="42">+AD13/AD6</f>
        <v>#DIV/0!</v>
      </c>
      <c r="AE44" s="101" t="e">
        <f t="shared" si="42"/>
        <v>#DIV/0!</v>
      </c>
      <c r="AF44" s="101" t="e">
        <f t="shared" si="42"/>
        <v>#DIV/0!</v>
      </c>
      <c r="AG44" s="101" t="e">
        <f t="shared" si="42"/>
        <v>#DIV/0!</v>
      </c>
      <c r="AH44" s="101" t="e">
        <f t="shared" si="42"/>
        <v>#DIV/0!</v>
      </c>
      <c r="AI44" s="101" t="e">
        <f t="shared" si="42"/>
        <v>#DIV/0!</v>
      </c>
      <c r="AJ44" s="101" t="e">
        <f t="shared" si="42"/>
        <v>#DIV/0!</v>
      </c>
      <c r="AK44" s="101" t="e">
        <f t="shared" si="42"/>
        <v>#DIV/0!</v>
      </c>
      <c r="AL44" s="101" t="e">
        <f t="shared" si="42"/>
        <v>#DIV/0!</v>
      </c>
      <c r="AM44" s="101" t="e">
        <f t="shared" si="42"/>
        <v>#DIV/0!</v>
      </c>
      <c r="AN44" s="101" t="e">
        <f t="shared" si="42"/>
        <v>#DIV/0!</v>
      </c>
      <c r="AO44" s="101">
        <f t="shared" si="42"/>
        <v>0.27720125786163524</v>
      </c>
      <c r="AP44" s="101">
        <f t="shared" si="42"/>
        <v>0.29399075500770416</v>
      </c>
      <c r="AQ44" s="101">
        <f t="shared" si="42"/>
        <v>0.28965595548995116</v>
      </c>
      <c r="AR44" s="101">
        <f t="shared" si="42"/>
        <v>0.3106094306049822</v>
      </c>
      <c r="AS44" s="101">
        <f t="shared" si="42"/>
        <v>0.33651710350955133</v>
      </c>
      <c r="AT44" s="101">
        <f t="shared" si="42"/>
        <v>0.36291652919828443</v>
      </c>
      <c r="AU44" s="101">
        <f t="shared" si="42"/>
        <v>0.39435405667492723</v>
      </c>
      <c r="AV44" s="101">
        <f t="shared" si="42"/>
        <v>0.42268151638466483</v>
      </c>
      <c r="AW44" s="101">
        <f t="shared" si="42"/>
        <v>0.43988519187838843</v>
      </c>
      <c r="AX44" s="101">
        <f t="shared" si="42"/>
        <v>0.45873099108547455</v>
      </c>
      <c r="AY44" s="101">
        <f t="shared" si="42"/>
        <v>0.48307184145334436</v>
      </c>
      <c r="AZ44" s="101">
        <f t="shared" si="42"/>
        <v>0.50937245313773427</v>
      </c>
      <c r="BA44" s="101">
        <f t="shared" si="42"/>
        <v>0.52407332796132144</v>
      </c>
      <c r="BB44" s="101">
        <f t="shared" si="42"/>
        <v>0.53741021548284129</v>
      </c>
      <c r="BC44" s="101">
        <f t="shared" si="42"/>
        <v>0.55419082244276308</v>
      </c>
      <c r="BD44" s="101">
        <f t="shared" si="42"/>
        <v>0.56450671336835967</v>
      </c>
      <c r="BE44" s="101">
        <f t="shared" si="42"/>
        <v>0.57205325041298227</v>
      </c>
      <c r="BF44" s="101">
        <f t="shared" si="42"/>
        <v>0.58717998448409614</v>
      </c>
      <c r="BG44" s="101">
        <f t="shared" si="42"/>
        <v>0.60531382364266462</v>
      </c>
      <c r="BH44" s="101">
        <f t="shared" si="42"/>
        <v>0.61455756422454799</v>
      </c>
      <c r="BI44" s="101">
        <f t="shared" si="42"/>
        <v>0.6196528502323817</v>
      </c>
      <c r="BJ44" s="101">
        <f t="shared" si="42"/>
        <v>0.62234700675739973</v>
      </c>
      <c r="BK44" s="101">
        <f t="shared" si="42"/>
        <v>0.63421496904895891</v>
      </c>
      <c r="BL44" s="101">
        <f t="shared" si="42"/>
        <v>0.64530314371257491</v>
      </c>
      <c r="BM44" s="101">
        <f t="shared" si="42"/>
        <v>0.65319109114729557</v>
      </c>
      <c r="BN44" s="101">
        <f t="shared" si="42"/>
        <v>0.6643714524983716</v>
      </c>
      <c r="BO44" s="101">
        <f t="shared" si="42"/>
        <v>0.68150119287942745</v>
      </c>
      <c r="BP44" s="101">
        <f t="shared" si="42"/>
        <v>0.69143324845398324</v>
      </c>
      <c r="BQ44" s="101">
        <f t="shared" si="42"/>
        <v>0.69549827554910149</v>
      </c>
      <c r="BR44" s="101">
        <f t="shared" si="42"/>
        <v>0.70484263684732618</v>
      </c>
      <c r="BS44" s="101">
        <f t="shared" si="42"/>
        <v>0.71813397555971825</v>
      </c>
      <c r="BT44" s="101">
        <f t="shared" si="42"/>
        <v>0.72518813634351487</v>
      </c>
      <c r="BU44" s="101">
        <f t="shared" si="42"/>
        <v>0.72133869276476748</v>
      </c>
      <c r="BV44" s="101">
        <f t="shared" si="42"/>
        <v>0.72480520592516473</v>
      </c>
      <c r="BW44" s="101">
        <f t="shared" si="42"/>
        <v>0.73302899653394193</v>
      </c>
      <c r="BX44" s="101">
        <f t="shared" si="42"/>
        <v>0.73772826269056802</v>
      </c>
      <c r="BY44" s="101">
        <f t="shared" si="42"/>
        <v>0.73820636772795467</v>
      </c>
      <c r="BZ44" s="101">
        <f t="shared" si="42"/>
        <v>0.74312154011402132</v>
      </c>
      <c r="CA44" s="101">
        <f t="shared" si="42"/>
        <v>0.75202090307830483</v>
      </c>
      <c r="CB44" s="101">
        <f t="shared" si="42"/>
        <v>0.75827303032766891</v>
      </c>
      <c r="CC44" s="101">
        <f t="shared" si="42"/>
        <v>0.7606300497837265</v>
      </c>
      <c r="CD44" s="101">
        <f t="shared" si="42"/>
        <v>0.77138702641570389</v>
      </c>
    </row>
    <row r="45" spans="1:92" ht="15" customHeight="1">
      <c r="A45" s="92" t="s">
        <v>588</v>
      </c>
      <c r="B45" s="91"/>
      <c r="C45" s="101">
        <f t="shared" ref="C45:Z45" si="43">+C14/C5</f>
        <v>0.23486408566721581</v>
      </c>
      <c r="D45" s="101">
        <f t="shared" si="43"/>
        <v>0.26321917143688756</v>
      </c>
      <c r="E45" s="101">
        <f t="shared" si="43"/>
        <v>0.28953021387877087</v>
      </c>
      <c r="F45" s="101">
        <f t="shared" si="43"/>
        <v>0.28379114465800326</v>
      </c>
      <c r="G45" s="101">
        <f t="shared" si="43"/>
        <v>0.31142076138409225</v>
      </c>
      <c r="H45" s="101">
        <f t="shared" si="43"/>
        <v>0.33520939239893482</v>
      </c>
      <c r="I45" s="101">
        <f t="shared" si="43"/>
        <v>0.33194694244604317</v>
      </c>
      <c r="J45" s="101">
        <f t="shared" si="43"/>
        <v>0.31850296948597173</v>
      </c>
      <c r="K45" s="101">
        <f t="shared" si="43"/>
        <v>0.30661144801064932</v>
      </c>
      <c r="L45" s="101">
        <f t="shared" si="43"/>
        <v>0.3038782984317776</v>
      </c>
      <c r="M45" s="101">
        <f t="shared" si="43"/>
        <v>0.29080844490216273</v>
      </c>
      <c r="N45" s="101">
        <f t="shared" si="43"/>
        <v>0.28664644029757702</v>
      </c>
      <c r="O45" s="101">
        <f t="shared" si="43"/>
        <v>0.2820669187299264</v>
      </c>
      <c r="P45" s="101">
        <f t="shared" si="43"/>
        <v>0.27106989902164946</v>
      </c>
      <c r="Q45" s="101">
        <f>+Q14/Q5</f>
        <v>0.2423907028223575</v>
      </c>
      <c r="R45" s="101">
        <f t="shared" ca="1" si="43"/>
        <v>0.2142611919802252</v>
      </c>
      <c r="S45" s="101">
        <f t="shared" ca="1" si="43"/>
        <v>0.20214190093708168</v>
      </c>
      <c r="T45" s="101">
        <f t="shared" ca="1" si="43"/>
        <v>0.20116874569332566</v>
      </c>
      <c r="U45" s="101">
        <f t="shared" ca="1" si="43"/>
        <v>0.19731240393086744</v>
      </c>
      <c r="V45" s="101">
        <f t="shared" ca="1" si="43"/>
        <v>0.19354087052011407</v>
      </c>
      <c r="W45" s="101">
        <f t="shared" ca="1" si="43"/>
        <v>0.18985137824182399</v>
      </c>
      <c r="X45" s="101">
        <f t="shared" ca="1" si="43"/>
        <v>0.18624127897057136</v>
      </c>
      <c r="Y45" s="101">
        <f t="shared" ca="1" si="43"/>
        <v>0.18270803733609128</v>
      </c>
      <c r="Z45" s="101">
        <f t="shared" ca="1" si="43"/>
        <v>0.1792492247852035</v>
      </c>
      <c r="AA45" s="91"/>
      <c r="AB45" s="99" t="str">
        <f t="shared" si="34"/>
        <v>Telephony % HU</v>
      </c>
      <c r="AC45" s="91"/>
      <c r="AD45" s="101">
        <f t="shared" ref="AD45:CD45" si="44">+AD14/AD5</f>
        <v>0.21540339584951723</v>
      </c>
      <c r="AE45" s="101">
        <f t="shared" si="44"/>
        <v>0.22654809673571197</v>
      </c>
      <c r="AF45" s="101">
        <f t="shared" si="44"/>
        <v>0.22891059985292575</v>
      </c>
      <c r="AG45" s="101">
        <f t="shared" si="44"/>
        <v>0.23486408566721581</v>
      </c>
      <c r="AH45" s="101">
        <f t="shared" si="44"/>
        <v>0.23794474462228568</v>
      </c>
      <c r="AI45" s="101">
        <f t="shared" si="44"/>
        <v>0.24351456117682138</v>
      </c>
      <c r="AJ45" s="101">
        <f t="shared" si="44"/>
        <v>0.25390740194632855</v>
      </c>
      <c r="AK45" s="101">
        <f t="shared" si="44"/>
        <v>0.26321917143688756</v>
      </c>
      <c r="AL45" s="101">
        <f t="shared" si="44"/>
        <v>0.27063024804555547</v>
      </c>
      <c r="AM45" s="101">
        <f t="shared" si="44"/>
        <v>0.27647565292260595</v>
      </c>
      <c r="AN45" s="101">
        <f t="shared" si="44"/>
        <v>0.27966021708353</v>
      </c>
      <c r="AO45" s="101">
        <f t="shared" si="44"/>
        <v>0.28953021387877087</v>
      </c>
      <c r="AP45" s="101">
        <f t="shared" si="44"/>
        <v>0.29279112754158965</v>
      </c>
      <c r="AQ45" s="101">
        <f t="shared" si="44"/>
        <v>0.24770709516472228</v>
      </c>
      <c r="AR45" s="101">
        <f t="shared" si="44"/>
        <v>0.27688085243784311</v>
      </c>
      <c r="AS45" s="101">
        <f t="shared" si="44"/>
        <v>0.28379114465800326</v>
      </c>
      <c r="AT45" s="101">
        <f t="shared" si="44"/>
        <v>0.28505222892452553</v>
      </c>
      <c r="AU45" s="101">
        <f t="shared" si="44"/>
        <v>0.29863736890918169</v>
      </c>
      <c r="AV45" s="101">
        <f t="shared" si="44"/>
        <v>0.30855404190581565</v>
      </c>
      <c r="AW45" s="101">
        <f t="shared" si="44"/>
        <v>0.31142076138409225</v>
      </c>
      <c r="AX45" s="101">
        <f t="shared" si="44"/>
        <v>0.31908217297509317</v>
      </c>
      <c r="AY45" s="101">
        <f t="shared" si="44"/>
        <v>0.31975495768599216</v>
      </c>
      <c r="AZ45" s="101">
        <f t="shared" si="44"/>
        <v>0.32733568292833737</v>
      </c>
      <c r="BA45" s="101">
        <f t="shared" si="44"/>
        <v>0.33520939239893482</v>
      </c>
      <c r="BB45" s="101">
        <f t="shared" si="44"/>
        <v>0.33999037536092397</v>
      </c>
      <c r="BC45" s="101">
        <f t="shared" si="44"/>
        <v>0.3417938705478642</v>
      </c>
      <c r="BD45" s="101">
        <f t="shared" si="44"/>
        <v>0.33658985115797946</v>
      </c>
      <c r="BE45" s="101">
        <f t="shared" si="44"/>
        <v>0.33194694244604317</v>
      </c>
      <c r="BF45" s="101">
        <f t="shared" si="44"/>
        <v>0.32677917963842917</v>
      </c>
      <c r="BG45" s="101">
        <f t="shared" si="44"/>
        <v>0.32649243760354874</v>
      </c>
      <c r="BH45" s="101">
        <f t="shared" si="44"/>
        <v>0.32062687493534703</v>
      </c>
      <c r="BI45" s="101">
        <f t="shared" si="44"/>
        <v>0.31850296948597173</v>
      </c>
      <c r="BJ45" s="101">
        <f t="shared" si="44"/>
        <v>0.31902629818331535</v>
      </c>
      <c r="BK45" s="101">
        <f t="shared" si="44"/>
        <v>0.31291072692346578</v>
      </c>
      <c r="BL45" s="101">
        <f t="shared" si="44"/>
        <v>0.30635235732009924</v>
      </c>
      <c r="BM45" s="101">
        <f t="shared" si="44"/>
        <v>0.30661144801064932</v>
      </c>
      <c r="BN45" s="101">
        <f t="shared" si="44"/>
        <v>0.30727603679834703</v>
      </c>
      <c r="BO45" s="101">
        <f t="shared" si="44"/>
        <v>0.30571745098983677</v>
      </c>
      <c r="BP45" s="101">
        <f t="shared" si="44"/>
        <v>0.30456443347883849</v>
      </c>
      <c r="BQ45" s="101">
        <f t="shared" si="44"/>
        <v>0.3038782984317776</v>
      </c>
      <c r="BR45" s="101">
        <f t="shared" si="44"/>
        <v>0.30799438990182326</v>
      </c>
      <c r="BS45" s="101">
        <f t="shared" si="44"/>
        <v>0.30484497875802224</v>
      </c>
      <c r="BT45" s="101">
        <f t="shared" si="44"/>
        <v>0.2985428370786517</v>
      </c>
      <c r="BU45" s="101">
        <f t="shared" si="44"/>
        <v>0.29080844490216273</v>
      </c>
      <c r="BV45" s="101">
        <f t="shared" si="44"/>
        <v>0.29280397022332505</v>
      </c>
      <c r="BW45" s="101">
        <f t="shared" si="44"/>
        <v>0.29191547029178838</v>
      </c>
      <c r="BX45" s="101">
        <f t="shared" si="44"/>
        <v>0.29059864915887068</v>
      </c>
      <c r="BY45" s="101">
        <f t="shared" si="44"/>
        <v>0.28664644029757702</v>
      </c>
      <c r="BZ45" s="101">
        <f t="shared" si="44"/>
        <v>0.28951622932471083</v>
      </c>
      <c r="CA45" s="101">
        <f t="shared" si="44"/>
        <v>0.2920047781851135</v>
      </c>
      <c r="CB45" s="101">
        <f t="shared" si="44"/>
        <v>0.28801241221623386</v>
      </c>
      <c r="CC45" s="101">
        <f t="shared" si="44"/>
        <v>0.2820669187299264</v>
      </c>
      <c r="CD45" s="101">
        <f t="shared" si="44"/>
        <v>0.28439400081070126</v>
      </c>
    </row>
    <row r="46" spans="1:92" ht="15" customHeight="1">
      <c r="A46" s="92" t="s">
        <v>589</v>
      </c>
      <c r="B46" s="91"/>
      <c r="C46" s="101" t="e">
        <f t="shared" ref="C46:Z46" si="45">+C14/C6</f>
        <v>#DIV/0!</v>
      </c>
      <c r="D46" s="101" t="e">
        <f t="shared" si="45"/>
        <v>#DIV/0!</v>
      </c>
      <c r="E46" s="101">
        <f t="shared" si="45"/>
        <v>0.48742138364779874</v>
      </c>
      <c r="F46" s="101">
        <f t="shared" si="45"/>
        <v>0.40504220346512659</v>
      </c>
      <c r="G46" s="101">
        <f t="shared" si="45"/>
        <v>0.49654512597002232</v>
      </c>
      <c r="H46" s="101">
        <f t="shared" si="45"/>
        <v>0.55791700241740527</v>
      </c>
      <c r="I46" s="101">
        <f t="shared" si="45"/>
        <v>0.57389952385579635</v>
      </c>
      <c r="J46" s="101">
        <f t="shared" si="45"/>
        <v>0.5900597552878688</v>
      </c>
      <c r="K46" s="101">
        <f t="shared" si="45"/>
        <v>0.58197641774284115</v>
      </c>
      <c r="L46" s="101">
        <f t="shared" si="45"/>
        <v>0.58740243238337275</v>
      </c>
      <c r="M46" s="101">
        <f t="shared" si="45"/>
        <v>0.59218804613771403</v>
      </c>
      <c r="N46" s="101">
        <f t="shared" si="45"/>
        <v>0.5748458076346058</v>
      </c>
      <c r="O46" s="101">
        <f t="shared" si="45"/>
        <v>0.56622867869093285</v>
      </c>
      <c r="P46" s="101">
        <f t="shared" si="45"/>
        <v>0.54606617065062524</v>
      </c>
      <c r="Q46" s="101">
        <f>+Q14/Q6</f>
        <v>0.49439385958311383</v>
      </c>
      <c r="R46" s="101">
        <f t="shared" ca="1" si="45"/>
        <v>0.44359940294263983</v>
      </c>
      <c r="S46" s="101">
        <f t="shared" ca="1" si="45"/>
        <v>0.42158665304732723</v>
      </c>
      <c r="T46" s="101">
        <f t="shared" ca="1" si="45"/>
        <v>0.4120716085842307</v>
      </c>
      <c r="U46" s="101">
        <f t="shared" ca="1" si="45"/>
        <v>0.40271462605052533</v>
      </c>
      <c r="V46" s="101">
        <f t="shared" ca="1" si="45"/>
        <v>0.39351457556601971</v>
      </c>
      <c r="W46" s="101">
        <f t="shared" ca="1" si="45"/>
        <v>0.38447028837897085</v>
      </c>
      <c r="X46" s="101">
        <f t="shared" ca="1" si="45"/>
        <v>0.37558055842376675</v>
      </c>
      <c r="Y46" s="101">
        <f t="shared" ca="1" si="45"/>
        <v>0.36684414388037845</v>
      </c>
      <c r="Z46" s="101">
        <f t="shared" ca="1" si="45"/>
        <v>0.35825976873326382</v>
      </c>
      <c r="AA46" s="91"/>
      <c r="AB46" s="99" t="str">
        <f t="shared" si="34"/>
        <v>Telephony % customers</v>
      </c>
      <c r="AC46" s="91"/>
      <c r="AD46" s="101" t="e">
        <f t="shared" ref="AD46:CD46" si="46">+AD14/AD6</f>
        <v>#DIV/0!</v>
      </c>
      <c r="AE46" s="101" t="e">
        <f t="shared" si="46"/>
        <v>#DIV/0!</v>
      </c>
      <c r="AF46" s="101" t="e">
        <f t="shared" si="46"/>
        <v>#DIV/0!</v>
      </c>
      <c r="AG46" s="101" t="e">
        <f t="shared" si="46"/>
        <v>#DIV/0!</v>
      </c>
      <c r="AH46" s="101" t="e">
        <f t="shared" si="46"/>
        <v>#DIV/0!</v>
      </c>
      <c r="AI46" s="101" t="e">
        <f t="shared" si="46"/>
        <v>#DIV/0!</v>
      </c>
      <c r="AJ46" s="101" t="e">
        <f t="shared" si="46"/>
        <v>#DIV/0!</v>
      </c>
      <c r="AK46" s="101" t="e">
        <f t="shared" si="46"/>
        <v>#DIV/0!</v>
      </c>
      <c r="AL46" s="101" t="e">
        <f t="shared" si="46"/>
        <v>#DIV/0!</v>
      </c>
      <c r="AM46" s="101" t="e">
        <f t="shared" si="46"/>
        <v>#DIV/0!</v>
      </c>
      <c r="AN46" s="101" t="e">
        <f t="shared" si="46"/>
        <v>#DIV/0!</v>
      </c>
      <c r="AO46" s="101">
        <f t="shared" si="46"/>
        <v>0.48742138364779874</v>
      </c>
      <c r="AP46" s="101">
        <f t="shared" si="46"/>
        <v>0.488135593220339</v>
      </c>
      <c r="AQ46" s="101">
        <f t="shared" si="46"/>
        <v>0.38333144089928467</v>
      </c>
      <c r="AR46" s="101">
        <f t="shared" si="46"/>
        <v>0.38145017793594305</v>
      </c>
      <c r="AS46" s="101">
        <f t="shared" si="46"/>
        <v>0.40504220346512659</v>
      </c>
      <c r="AT46" s="101">
        <f t="shared" si="46"/>
        <v>0.42615198504344004</v>
      </c>
      <c r="AU46" s="101">
        <f t="shared" si="46"/>
        <v>0.45102898394569552</v>
      </c>
      <c r="AV46" s="101">
        <f t="shared" si="46"/>
        <v>0.47783251231527096</v>
      </c>
      <c r="AW46" s="101">
        <f t="shared" si="46"/>
        <v>0.49654512597002232</v>
      </c>
      <c r="AX46" s="101">
        <f t="shared" si="46"/>
        <v>0.51190351337178819</v>
      </c>
      <c r="AY46" s="101">
        <f t="shared" si="46"/>
        <v>0.52260528488852187</v>
      </c>
      <c r="AZ46" s="101">
        <f t="shared" si="46"/>
        <v>0.53932355338223303</v>
      </c>
      <c r="BA46" s="101">
        <f t="shared" si="46"/>
        <v>0.55791700241740527</v>
      </c>
      <c r="BB46" s="101">
        <f t="shared" si="46"/>
        <v>0.56384676775738229</v>
      </c>
      <c r="BC46" s="101">
        <f t="shared" si="46"/>
        <v>0.56765254986734792</v>
      </c>
      <c r="BD46" s="101">
        <f t="shared" si="46"/>
        <v>0.56985794901731857</v>
      </c>
      <c r="BE46" s="101">
        <f t="shared" si="46"/>
        <v>0.57389952385579635</v>
      </c>
      <c r="BF46" s="101">
        <f t="shared" si="46"/>
        <v>0.58019782777346773</v>
      </c>
      <c r="BG46" s="101">
        <f t="shared" si="46"/>
        <v>0.58808240277242974</v>
      </c>
      <c r="BH46" s="101">
        <f t="shared" si="46"/>
        <v>0.58981921979067553</v>
      </c>
      <c r="BI46" s="101">
        <f t="shared" si="46"/>
        <v>0.5900597552878688</v>
      </c>
      <c r="BJ46" s="101">
        <f t="shared" si="46"/>
        <v>0.58998762729608822</v>
      </c>
      <c r="BK46" s="101">
        <f t="shared" si="46"/>
        <v>0.58056649784280623</v>
      </c>
      <c r="BL46" s="101">
        <f t="shared" si="46"/>
        <v>0.57756362275449102</v>
      </c>
      <c r="BM46" s="101">
        <f t="shared" si="46"/>
        <v>0.58197641774284115</v>
      </c>
      <c r="BN46" s="101">
        <f t="shared" si="46"/>
        <v>0.58118544710151665</v>
      </c>
      <c r="BO46" s="101">
        <f t="shared" si="46"/>
        <v>0.5824004404477886</v>
      </c>
      <c r="BP46" s="101">
        <f t="shared" si="46"/>
        <v>0.58375773008366683</v>
      </c>
      <c r="BQ46" s="101">
        <f t="shared" si="46"/>
        <v>0.58740243238337275</v>
      </c>
      <c r="BR46" s="101">
        <f t="shared" si="46"/>
        <v>0.59410226350437356</v>
      </c>
      <c r="BS46" s="101">
        <f t="shared" si="46"/>
        <v>0.60164124520560169</v>
      </c>
      <c r="BT46" s="101">
        <f t="shared" si="46"/>
        <v>0.6022133687472333</v>
      </c>
      <c r="BU46" s="101">
        <f t="shared" si="46"/>
        <v>0.59218804613771403</v>
      </c>
      <c r="BV46" s="101">
        <f t="shared" si="46"/>
        <v>0.58600907611953068</v>
      </c>
      <c r="BW46" s="101">
        <f t="shared" si="46"/>
        <v>0.5827204328345591</v>
      </c>
      <c r="BX46" s="101">
        <f t="shared" si="46"/>
        <v>0.58024794772993804</v>
      </c>
      <c r="BY46" s="101">
        <f t="shared" si="46"/>
        <v>0.5748458076346058</v>
      </c>
      <c r="BZ46" s="101">
        <f t="shared" si="46"/>
        <v>0.57704701313723872</v>
      </c>
      <c r="CA46" s="101">
        <f t="shared" si="46"/>
        <v>0.57883563321629783</v>
      </c>
      <c r="CB46" s="101">
        <f t="shared" si="46"/>
        <v>0.57354256443613294</v>
      </c>
      <c r="CC46" s="101">
        <f t="shared" si="46"/>
        <v>0.56622867869093285</v>
      </c>
      <c r="CD46" s="101">
        <f t="shared" si="46"/>
        <v>0.56676629776233944</v>
      </c>
    </row>
    <row r="47" spans="1:92" ht="15" customHeight="1">
      <c r="A47" s="92" t="s">
        <v>590</v>
      </c>
      <c r="B47" s="91"/>
      <c r="C47" s="103">
        <f t="shared" ref="C47:R49" si="47">+C12/B12-1</f>
        <v>4.7289761320544299E-2</v>
      </c>
      <c r="D47" s="103">
        <f t="shared" si="47"/>
        <v>5.1118210862619806E-2</v>
      </c>
      <c r="E47" s="103">
        <f t="shared" si="47"/>
        <v>3.1610942249240104E-2</v>
      </c>
      <c r="F47" s="103">
        <f t="shared" si="47"/>
        <v>0.48890198389314476</v>
      </c>
      <c r="G47" s="103">
        <f t="shared" si="47"/>
        <v>6.0026385224274392E-2</v>
      </c>
      <c r="H47" s="103">
        <f t="shared" si="47"/>
        <v>6.1107654013689894E-2</v>
      </c>
      <c r="I47" s="103">
        <f t="shared" si="47"/>
        <v>2.8852920478536381E-2</v>
      </c>
      <c r="J47" s="103">
        <f t="shared" si="47"/>
        <v>2.8499772001823853E-2</v>
      </c>
      <c r="K47" s="103">
        <f t="shared" si="47"/>
        <v>-4.9878075814674405E-3</v>
      </c>
      <c r="L47" s="103">
        <f t="shared" si="47"/>
        <v>2.1833574690876656E-2</v>
      </c>
      <c r="M47" s="103">
        <f t="shared" si="47"/>
        <v>1.6570369562847409E-2</v>
      </c>
      <c r="N47" s="103">
        <f t="shared" si="47"/>
        <v>6.1018766756032239E-2</v>
      </c>
      <c r="O47" s="103">
        <f t="shared" si="47"/>
        <v>2.4358196887002137E-2</v>
      </c>
      <c r="P47" s="103">
        <f t="shared" si="47"/>
        <v>1.2333497779970504E-2</v>
      </c>
      <c r="Q47" s="103">
        <f t="shared" si="47"/>
        <v>2.0760233918128534E-2</v>
      </c>
      <c r="R47" s="103">
        <f t="shared" si="47"/>
        <v>1.9192208536236155E-2</v>
      </c>
      <c r="S47" s="104">
        <v>0.02</v>
      </c>
      <c r="T47" s="104">
        <v>0.02</v>
      </c>
      <c r="U47" s="104">
        <v>0.02</v>
      </c>
      <c r="V47" s="104">
        <v>0.02</v>
      </c>
      <c r="W47" s="104">
        <v>0.02</v>
      </c>
      <c r="X47" s="104">
        <v>0.02</v>
      </c>
      <c r="Y47" s="104">
        <v>0.02</v>
      </c>
      <c r="Z47" s="104">
        <v>0.02</v>
      </c>
      <c r="AA47" s="91"/>
      <c r="AB47" s="99" t="str">
        <f t="shared" si="34"/>
        <v>Video RGU growth</v>
      </c>
      <c r="AC47" s="91"/>
      <c r="AD47" s="103"/>
      <c r="AE47" s="103"/>
      <c r="AF47" s="103"/>
      <c r="AG47" s="103">
        <f t="shared" ref="AG47:CD49" si="48">+AG12/AC12-1</f>
        <v>4.7289761320544299E-2</v>
      </c>
      <c r="AH47" s="103">
        <f t="shared" si="48"/>
        <v>5.7174887892376791E-2</v>
      </c>
      <c r="AI47" s="103">
        <f t="shared" si="48"/>
        <v>4.8192771084337283E-2</v>
      </c>
      <c r="AJ47" s="103">
        <f t="shared" si="48"/>
        <v>5.1426101987899653E-2</v>
      </c>
      <c r="AK47" s="103">
        <f t="shared" si="48"/>
        <v>5.1118210862619806E-2</v>
      </c>
      <c r="AL47" s="103">
        <f t="shared" si="48"/>
        <v>5.0689289501590684E-2</v>
      </c>
      <c r="AM47" s="103">
        <f t="shared" si="48"/>
        <v>5.4545454545454675E-2</v>
      </c>
      <c r="AN47" s="103">
        <f t="shared" si="48"/>
        <v>5.2815454171804443E-2</v>
      </c>
      <c r="AO47" s="103">
        <f t="shared" si="48"/>
        <v>3.1610942249240104E-2</v>
      </c>
      <c r="AP47" s="103">
        <f t="shared" si="48"/>
        <v>3.0278562777553475E-2</v>
      </c>
      <c r="AQ47" s="103">
        <f t="shared" si="48"/>
        <v>0.45759017043202532</v>
      </c>
      <c r="AR47" s="103">
        <f t="shared" si="48"/>
        <v>0.45207886004294373</v>
      </c>
      <c r="AS47" s="103">
        <f t="shared" si="48"/>
        <v>0.48890198389314476</v>
      </c>
      <c r="AT47" s="103">
        <f t="shared" si="48"/>
        <v>0.50333072100313481</v>
      </c>
      <c r="AU47" s="103">
        <f t="shared" si="48"/>
        <v>7.6138681169272582E-2</v>
      </c>
      <c r="AV47" s="103">
        <f t="shared" si="48"/>
        <v>7.3800241968006386E-2</v>
      </c>
      <c r="AW47" s="103">
        <f t="shared" si="48"/>
        <v>6.0026385224274392E-2</v>
      </c>
      <c r="AX47" s="103">
        <f t="shared" si="48"/>
        <v>5.7734914635735768E-2</v>
      </c>
      <c r="AY47" s="103">
        <f t="shared" si="48"/>
        <v>4.4851547694251481E-2</v>
      </c>
      <c r="AZ47" s="103">
        <f t="shared" si="48"/>
        <v>5.1952929394091241E-2</v>
      </c>
      <c r="BA47" s="103">
        <f t="shared" si="48"/>
        <v>6.1107654013689894E-2</v>
      </c>
      <c r="BB47" s="103">
        <f t="shared" si="48"/>
        <v>5.9635288319369151E-2</v>
      </c>
      <c r="BC47" s="103">
        <f t="shared" si="48"/>
        <v>5.2116082224909155E-2</v>
      </c>
      <c r="BD47" s="103">
        <f t="shared" si="48"/>
        <v>4.4150898488635182E-2</v>
      </c>
      <c r="BE47" s="103">
        <f t="shared" si="48"/>
        <v>2.8852920478536381E-2</v>
      </c>
      <c r="BF47" s="103">
        <f t="shared" si="48"/>
        <v>2.6744186046511631E-2</v>
      </c>
      <c r="BG47" s="103">
        <f t="shared" si="48"/>
        <v>2.298586369382849E-2</v>
      </c>
      <c r="BH47" s="103">
        <f t="shared" si="48"/>
        <v>2.4276270800091204E-2</v>
      </c>
      <c r="BI47" s="103">
        <f t="shared" si="48"/>
        <v>2.8499772001823853E-2</v>
      </c>
      <c r="BJ47" s="103">
        <f t="shared" si="48"/>
        <v>1.1891279728199367E-2</v>
      </c>
      <c r="BK47" s="103">
        <f t="shared" si="48"/>
        <v>9.886529603415406E-3</v>
      </c>
      <c r="BL47" s="103">
        <f t="shared" si="48"/>
        <v>-4.2283298097252064E-3</v>
      </c>
      <c r="BM47" s="103">
        <f t="shared" si="48"/>
        <v>-4.9878075814674405E-3</v>
      </c>
      <c r="BN47" s="103">
        <f t="shared" si="48"/>
        <v>1.0632344711807518E-2</v>
      </c>
      <c r="BO47" s="103">
        <f t="shared" si="48"/>
        <v>1.7243297363443988E-2</v>
      </c>
      <c r="BP47" s="103">
        <f t="shared" si="48"/>
        <v>2.7936082243826155E-2</v>
      </c>
      <c r="BQ47" s="103">
        <f t="shared" si="48"/>
        <v>2.1833574690876656E-2</v>
      </c>
      <c r="BR47" s="103">
        <f t="shared" si="48"/>
        <v>1.9601328903654514E-2</v>
      </c>
      <c r="BS47" s="103">
        <f t="shared" si="48"/>
        <v>9.5144356955381149E-3</v>
      </c>
      <c r="BT47" s="103">
        <f t="shared" si="48"/>
        <v>-2.8263941732795672E-3</v>
      </c>
      <c r="BU47" s="103">
        <f t="shared" si="48"/>
        <v>1.6570369562847409E-2</v>
      </c>
      <c r="BV47" s="103">
        <f t="shared" si="48"/>
        <v>3.7145650048875822E-2</v>
      </c>
      <c r="BW47" s="103">
        <f t="shared" si="48"/>
        <v>5.416531253385326E-2</v>
      </c>
      <c r="BX47" s="103">
        <f t="shared" si="48"/>
        <v>7.3912569497438074E-2</v>
      </c>
      <c r="BY47" s="103">
        <f t="shared" si="48"/>
        <v>6.1018766756032239E-2</v>
      </c>
      <c r="BZ47" s="103">
        <f t="shared" si="48"/>
        <v>4.5973400356058125E-2</v>
      </c>
      <c r="CA47" s="103">
        <f t="shared" si="48"/>
        <v>3.5761997739184093E-2</v>
      </c>
      <c r="CB47" s="103">
        <f t="shared" si="48"/>
        <v>2.4261496294792462E-2</v>
      </c>
      <c r="CC47" s="103">
        <f t="shared" si="48"/>
        <v>2.4358196887002137E-2</v>
      </c>
      <c r="CD47" s="103">
        <f t="shared" si="48"/>
        <v>9.6115338406086437E-3</v>
      </c>
    </row>
    <row r="48" spans="1:92" ht="15" customHeight="1">
      <c r="A48" s="92" t="s">
        <v>591</v>
      </c>
      <c r="B48" s="91"/>
      <c r="C48" s="103">
        <f t="shared" si="47"/>
        <v>1.8346774193548385</v>
      </c>
      <c r="D48" s="103">
        <f t="shared" si="47"/>
        <v>0.83783783783783772</v>
      </c>
      <c r="E48" s="103">
        <f t="shared" si="47"/>
        <v>0.36455108359133148</v>
      </c>
      <c r="F48" s="103">
        <f t="shared" si="47"/>
        <v>0.71866137266023822</v>
      </c>
      <c r="G48" s="103">
        <f t="shared" si="47"/>
        <v>0.36567656765676571</v>
      </c>
      <c r="H48" s="103">
        <f t="shared" si="47"/>
        <v>0.25737071048815841</v>
      </c>
      <c r="I48" s="103">
        <f t="shared" si="47"/>
        <v>0.13146261772054602</v>
      </c>
      <c r="J48" s="103">
        <f t="shared" si="47"/>
        <v>0.10973331068455905</v>
      </c>
      <c r="K48" s="103">
        <f t="shared" si="47"/>
        <v>6.8421858258074453E-2</v>
      </c>
      <c r="L48" s="103">
        <f t="shared" si="47"/>
        <v>9.7851002865329439E-2</v>
      </c>
      <c r="M48" s="103">
        <f t="shared" si="47"/>
        <v>7.7254339031710861E-2</v>
      </c>
      <c r="N48" s="103">
        <f t="shared" si="47"/>
        <v>7.292549969715334E-2</v>
      </c>
      <c r="O48" s="103">
        <f t="shared" si="47"/>
        <v>5.2275036694140242E-2</v>
      </c>
      <c r="P48" s="103">
        <f t="shared" si="47"/>
        <v>7.6287553648068718E-2</v>
      </c>
      <c r="Q48" s="103">
        <f t="shared" si="47"/>
        <v>8.7827734024523929E-2</v>
      </c>
      <c r="R48" s="103">
        <f t="shared" si="47"/>
        <v>8.2844574780058577E-2</v>
      </c>
      <c r="S48" s="103">
        <f t="shared" ref="S48:Z49" si="49">+S13/R13-1</f>
        <v>2.5389302640487443E-2</v>
      </c>
      <c r="T48" s="103">
        <f t="shared" si="49"/>
        <v>1.6507098052162439E-2</v>
      </c>
      <c r="U48" s="103">
        <f t="shared" si="49"/>
        <v>1.6239038648911963E-2</v>
      </c>
      <c r="V48" s="103">
        <f t="shared" si="49"/>
        <v>1.5979546180888482E-2</v>
      </c>
      <c r="W48" s="103">
        <f t="shared" si="49"/>
        <v>1.5728216420257901E-2</v>
      </c>
      <c r="X48" s="103">
        <f t="shared" si="49"/>
        <v>1.5484670176525217E-2</v>
      </c>
      <c r="Y48" s="103">
        <f t="shared" si="49"/>
        <v>1.5248551387618159E-2</v>
      </c>
      <c r="Z48" s="103">
        <f t="shared" si="49"/>
        <v>1.5019525382997889E-2</v>
      </c>
      <c r="AA48" s="91"/>
      <c r="AB48" s="99" t="str">
        <f t="shared" si="34"/>
        <v>BB RGU growth</v>
      </c>
      <c r="AC48" s="91"/>
      <c r="AD48" s="103"/>
      <c r="AE48" s="103"/>
      <c r="AF48" s="103"/>
      <c r="AG48" s="103">
        <f t="shared" si="48"/>
        <v>1.8346774193548385</v>
      </c>
      <c r="AH48" s="103">
        <f t="shared" si="48"/>
        <v>1.7072368421052633</v>
      </c>
      <c r="AI48" s="103">
        <f t="shared" si="48"/>
        <v>1.3046511627906976</v>
      </c>
      <c r="AJ48" s="103">
        <f t="shared" si="48"/>
        <v>0.94247038917089676</v>
      </c>
      <c r="AK48" s="103">
        <f t="shared" si="48"/>
        <v>0.83783783783783772</v>
      </c>
      <c r="AL48" s="103">
        <f t="shared" si="48"/>
        <v>0.68651275820170121</v>
      </c>
      <c r="AM48" s="103">
        <f t="shared" si="48"/>
        <v>0.52472250252270447</v>
      </c>
      <c r="AN48" s="103">
        <f t="shared" si="48"/>
        <v>0.43815331010452963</v>
      </c>
      <c r="AO48" s="103">
        <f t="shared" si="48"/>
        <v>0.36455108359133148</v>
      </c>
      <c r="AP48" s="103">
        <f t="shared" si="48"/>
        <v>0.37463976945244948</v>
      </c>
      <c r="AQ48" s="103">
        <f t="shared" si="48"/>
        <v>0.6882859033752482</v>
      </c>
      <c r="AR48" s="103">
        <f t="shared" si="48"/>
        <v>0.69170199878861305</v>
      </c>
      <c r="AS48" s="103">
        <f t="shared" si="48"/>
        <v>0.71866137266023822</v>
      </c>
      <c r="AT48" s="103">
        <f t="shared" si="48"/>
        <v>0.72955974842767279</v>
      </c>
      <c r="AU48" s="103">
        <f t="shared" si="48"/>
        <v>0.43473147785182276</v>
      </c>
      <c r="AV48" s="103">
        <f t="shared" si="48"/>
        <v>0.41317579663444315</v>
      </c>
      <c r="AW48" s="103">
        <f t="shared" si="48"/>
        <v>0.36567656765676571</v>
      </c>
      <c r="AX48" s="103">
        <f t="shared" si="48"/>
        <v>0.32545454545454544</v>
      </c>
      <c r="AY48" s="103">
        <f t="shared" si="48"/>
        <v>0.27868852459016402</v>
      </c>
      <c r="AZ48" s="103">
        <f t="shared" si="48"/>
        <v>0.26678489992399301</v>
      </c>
      <c r="BA48" s="103">
        <f t="shared" si="48"/>
        <v>0.25737071048815841</v>
      </c>
      <c r="BB48" s="103">
        <f t="shared" si="48"/>
        <v>0.23159579332418856</v>
      </c>
      <c r="BC48" s="103">
        <f t="shared" si="48"/>
        <v>0.20512820512820507</v>
      </c>
      <c r="BD48" s="103">
        <f t="shared" si="48"/>
        <v>0.1604000000000001</v>
      </c>
      <c r="BE48" s="103">
        <f t="shared" si="48"/>
        <v>0.13146261772054602</v>
      </c>
      <c r="BF48" s="103">
        <f t="shared" si="48"/>
        <v>0.12400222758492663</v>
      </c>
      <c r="BG48" s="103">
        <f t="shared" si="48"/>
        <v>0.11489361702127643</v>
      </c>
      <c r="BH48" s="103">
        <f t="shared" si="48"/>
        <v>0.11323681489141668</v>
      </c>
      <c r="BI48" s="103">
        <f t="shared" si="48"/>
        <v>0.10973331068455905</v>
      </c>
      <c r="BJ48" s="103">
        <f t="shared" si="48"/>
        <v>7.9933938893476331E-2</v>
      </c>
      <c r="BK48" s="103">
        <f t="shared" si="48"/>
        <v>7.5381679389313172E-2</v>
      </c>
      <c r="BL48" s="103">
        <f t="shared" si="48"/>
        <v>6.7812354853692636E-2</v>
      </c>
      <c r="BM48" s="103">
        <f t="shared" si="48"/>
        <v>6.8421858258074453E-2</v>
      </c>
      <c r="BN48" s="103">
        <f t="shared" si="48"/>
        <v>9.1910077993577088E-2</v>
      </c>
      <c r="BO48" s="103">
        <f t="shared" si="48"/>
        <v>9.8343685300207095E-2</v>
      </c>
      <c r="BP48" s="103">
        <f t="shared" si="48"/>
        <v>0.1023633463824849</v>
      </c>
      <c r="BQ48" s="103">
        <f t="shared" si="48"/>
        <v>9.7851002865329439E-2</v>
      </c>
      <c r="BR48" s="103">
        <f t="shared" si="48"/>
        <v>9.4677871148459491E-2</v>
      </c>
      <c r="BS48" s="103">
        <f t="shared" si="48"/>
        <v>8.4017772990440331E-2</v>
      </c>
      <c r="BT48" s="103">
        <f t="shared" si="48"/>
        <v>7.7337892936998553E-2</v>
      </c>
      <c r="BU48" s="103">
        <f t="shared" si="48"/>
        <v>7.7254339031710861E-2</v>
      </c>
      <c r="BV48" s="103">
        <f t="shared" si="48"/>
        <v>8.3034800409416576E-2</v>
      </c>
      <c r="BW48" s="103">
        <f t="shared" si="48"/>
        <v>7.7009067196621483E-2</v>
      </c>
      <c r="BX48" s="103">
        <f t="shared" si="48"/>
        <v>7.5204492735929662E-2</v>
      </c>
      <c r="BY48" s="103">
        <f t="shared" si="48"/>
        <v>7.292549969715334E-2</v>
      </c>
      <c r="BZ48" s="103">
        <f t="shared" si="48"/>
        <v>6.2492616656822264E-2</v>
      </c>
      <c r="CA48" s="103">
        <f t="shared" si="48"/>
        <v>6.2161227078768366E-2</v>
      </c>
      <c r="CB48" s="103">
        <f t="shared" si="48"/>
        <v>5.8930396275689745E-2</v>
      </c>
      <c r="CC48" s="103">
        <f t="shared" si="48"/>
        <v>5.2275036694140242E-2</v>
      </c>
      <c r="CD48" s="103">
        <f t="shared" si="48"/>
        <v>6.1707805203468968E-2</v>
      </c>
    </row>
    <row r="49" spans="1:83" ht="15" customHeight="1">
      <c r="A49" s="92" t="s">
        <v>592</v>
      </c>
      <c r="B49" s="91"/>
      <c r="C49" s="103">
        <f t="shared" si="47"/>
        <v>0.2450873362445416</v>
      </c>
      <c r="D49" s="103">
        <f t="shared" si="47"/>
        <v>0.1893906181499343</v>
      </c>
      <c r="E49" s="103">
        <f t="shared" si="47"/>
        <v>0.14264651677110196</v>
      </c>
      <c r="F49" s="103">
        <f t="shared" si="47"/>
        <v>0.17645161290322586</v>
      </c>
      <c r="G49" s="103">
        <f t="shared" si="47"/>
        <v>0.28077872223745559</v>
      </c>
      <c r="H49" s="103">
        <f t="shared" si="47"/>
        <v>0.18582744594305267</v>
      </c>
      <c r="I49" s="103">
        <f t="shared" si="47"/>
        <v>6.6257447192634045E-2</v>
      </c>
      <c r="J49" s="103">
        <f t="shared" si="47"/>
        <v>5.3335590924483478E-2</v>
      </c>
      <c r="K49" s="103">
        <f t="shared" si="47"/>
        <v>-3.2149172158824069E-4</v>
      </c>
      <c r="L49" s="103">
        <f t="shared" si="47"/>
        <v>4.0681781636919156E-2</v>
      </c>
      <c r="M49" s="103">
        <f t="shared" si="47"/>
        <v>4.712608158220033E-2</v>
      </c>
      <c r="N49" s="103">
        <f t="shared" si="47"/>
        <v>1.7706949977866371E-2</v>
      </c>
      <c r="O49" s="103">
        <f t="shared" si="47"/>
        <v>5.9446136001157779E-3</v>
      </c>
      <c r="P49" s="103">
        <f>+P14/O14-1</f>
        <v>-5.6212164889016814E-3</v>
      </c>
      <c r="Q49" s="103">
        <f>+Q14/P14-1</f>
        <v>-4.7688070734889121E-2</v>
      </c>
      <c r="R49" s="103">
        <f t="shared" ca="1" si="47"/>
        <v>-5.0076103500760971E-2</v>
      </c>
      <c r="S49" s="103">
        <f t="shared" ca="1" si="49"/>
        <v>-8.0115366127223586E-3</v>
      </c>
      <c r="T49" s="103">
        <f t="shared" ca="1" si="49"/>
        <v>-8.0762397027943633E-3</v>
      </c>
      <c r="U49" s="103">
        <f t="shared" ca="1" si="49"/>
        <v>-8.1419964175215576E-3</v>
      </c>
      <c r="V49" s="103">
        <f t="shared" ca="1" si="49"/>
        <v>-8.2088327039895326E-3</v>
      </c>
      <c r="W49" s="103">
        <f t="shared" ca="1" si="49"/>
        <v>-8.2767753683165024E-3</v>
      </c>
      <c r="X49" s="103">
        <f t="shared" ca="1" si="49"/>
        <v>-8.345852111500629E-3</v>
      </c>
      <c r="Y49" s="103">
        <f t="shared" ca="1" si="49"/>
        <v>-8.4160915670762337E-3</v>
      </c>
      <c r="Z49" s="103">
        <f t="shared" ca="1" si="49"/>
        <v>-8.4875233406891404E-3</v>
      </c>
      <c r="AA49" s="91"/>
      <c r="AB49" s="99" t="str">
        <f t="shared" si="34"/>
        <v>Tel RGU growth</v>
      </c>
      <c r="AC49" s="91"/>
      <c r="AD49" s="103"/>
      <c r="AE49" s="103"/>
      <c r="AF49" s="103"/>
      <c r="AG49" s="103">
        <f t="shared" si="48"/>
        <v>0.2450873362445416</v>
      </c>
      <c r="AH49" s="103">
        <f t="shared" si="48"/>
        <v>0.20247295208655336</v>
      </c>
      <c r="AI49" s="103">
        <f t="shared" si="48"/>
        <v>0.17280995691718526</v>
      </c>
      <c r="AJ49" s="103">
        <f t="shared" si="48"/>
        <v>0.18540614960991286</v>
      </c>
      <c r="AK49" s="103">
        <f t="shared" si="48"/>
        <v>0.1893906181499343</v>
      </c>
      <c r="AL49" s="103">
        <f t="shared" si="48"/>
        <v>0.20137103684661506</v>
      </c>
      <c r="AM49" s="103">
        <f t="shared" si="48"/>
        <v>0.17959183673469381</v>
      </c>
      <c r="AN49" s="103">
        <f t="shared" si="48"/>
        <v>0.14711575687185441</v>
      </c>
      <c r="AO49" s="103">
        <f t="shared" si="48"/>
        <v>0.14264651677110196</v>
      </c>
      <c r="AP49" s="103">
        <f t="shared" si="48"/>
        <v>0.12981455064194014</v>
      </c>
      <c r="AQ49" s="103">
        <f t="shared" si="48"/>
        <v>0.16816608996539806</v>
      </c>
      <c r="AR49" s="103">
        <f t="shared" si="48"/>
        <v>0.15761052986837654</v>
      </c>
      <c r="AS49" s="103">
        <f t="shared" si="48"/>
        <v>0.17645161290322586</v>
      </c>
      <c r="AT49" s="103">
        <f t="shared" si="48"/>
        <v>0.22316919191919182</v>
      </c>
      <c r="AU49" s="103">
        <f t="shared" si="48"/>
        <v>0.23992890995260652</v>
      </c>
      <c r="AV49" s="103">
        <f t="shared" si="48"/>
        <v>0.30087463556851302</v>
      </c>
      <c r="AW49" s="103">
        <f t="shared" si="48"/>
        <v>0.28077872223745559</v>
      </c>
      <c r="AX49" s="103">
        <f t="shared" si="48"/>
        <v>0.25961290322580655</v>
      </c>
      <c r="AY49" s="103">
        <f t="shared" si="48"/>
        <v>0.20950788342092697</v>
      </c>
      <c r="AZ49" s="103">
        <f t="shared" si="48"/>
        <v>0.18646346929627966</v>
      </c>
      <c r="BA49" s="103">
        <f t="shared" si="48"/>
        <v>0.18582744594305267</v>
      </c>
      <c r="BB49" s="103">
        <f t="shared" si="48"/>
        <v>0.15795943454210204</v>
      </c>
      <c r="BC49" s="103">
        <f t="shared" si="48"/>
        <v>0.14102310882875768</v>
      </c>
      <c r="BD49" s="103">
        <f t="shared" si="48"/>
        <v>0.10634680770683813</v>
      </c>
      <c r="BE49" s="103">
        <f t="shared" si="48"/>
        <v>6.6257447192634045E-2</v>
      </c>
      <c r="BF49" s="103">
        <f t="shared" si="48"/>
        <v>5.8563340410473952E-2</v>
      </c>
      <c r="BG49" s="103">
        <f t="shared" si="48"/>
        <v>5.7469274710056917E-2</v>
      </c>
      <c r="BH49" s="103">
        <f t="shared" si="48"/>
        <v>5.8391668089465387E-2</v>
      </c>
      <c r="BI49" s="103">
        <f t="shared" si="48"/>
        <v>5.3335590924483478E-2</v>
      </c>
      <c r="BJ49" s="103">
        <f t="shared" si="48"/>
        <v>3.6102289821160038E-2</v>
      </c>
      <c r="BK49" s="103">
        <f t="shared" si="48"/>
        <v>1.3259125879849343E-2</v>
      </c>
      <c r="BL49" s="103">
        <f t="shared" si="48"/>
        <v>-4.1942248749798905E-3</v>
      </c>
      <c r="BM49" s="103">
        <f t="shared" si="48"/>
        <v>-3.2149172158824069E-4</v>
      </c>
      <c r="BN49" s="103">
        <f t="shared" si="48"/>
        <v>7.5818680432329089E-3</v>
      </c>
      <c r="BO49" s="103">
        <f t="shared" si="48"/>
        <v>2.5363489499192315E-2</v>
      </c>
      <c r="BP49" s="103">
        <f t="shared" si="48"/>
        <v>3.985096387493936E-2</v>
      </c>
      <c r="BQ49" s="103">
        <f t="shared" si="48"/>
        <v>4.0681781636919156E-2</v>
      </c>
      <c r="BR49" s="103">
        <f t="shared" si="48"/>
        <v>5.4755043227665556E-2</v>
      </c>
      <c r="BS49" s="103">
        <f t="shared" si="48"/>
        <v>6.2706790609736718E-2</v>
      </c>
      <c r="BT49" s="103">
        <f t="shared" si="48"/>
        <v>5.9666614737498236E-2</v>
      </c>
      <c r="BU49" s="103">
        <f t="shared" si="48"/>
        <v>4.712608158220033E-2</v>
      </c>
      <c r="BV49" s="103">
        <f t="shared" si="48"/>
        <v>3.8858530661809443E-2</v>
      </c>
      <c r="BW49" s="103">
        <f t="shared" si="48"/>
        <v>2.1942179392142158E-2</v>
      </c>
      <c r="BX49" s="103">
        <f t="shared" si="48"/>
        <v>1.837694795648348E-2</v>
      </c>
      <c r="BY49" s="103">
        <f t="shared" si="48"/>
        <v>1.7706949977866371E-2</v>
      </c>
      <c r="BZ49" s="103">
        <f t="shared" si="48"/>
        <v>2.0455873758036258E-2</v>
      </c>
      <c r="CA49" s="103">
        <f t="shared" si="48"/>
        <v>2.8434643841578344E-2</v>
      </c>
      <c r="CB49" s="103">
        <f t="shared" si="48"/>
        <v>1.8334055146528083E-2</v>
      </c>
      <c r="CC49" s="103">
        <f t="shared" si="48"/>
        <v>5.9446136001157779E-3</v>
      </c>
      <c r="CD49" s="103">
        <f t="shared" si="48"/>
        <v>4.5819014891179677E-3</v>
      </c>
    </row>
    <row r="50" spans="1:83" ht="15" customHeight="1">
      <c r="A50" s="92" t="s">
        <v>593</v>
      </c>
      <c r="B50" s="91"/>
      <c r="C50" s="103" t="e">
        <f t="shared" ref="C50:Z50" si="50">+C6/B6-1</f>
        <v>#DIV/0!</v>
      </c>
      <c r="D50" s="103" t="e">
        <f t="shared" si="50"/>
        <v>#DIV/0!</v>
      </c>
      <c r="E50" s="103" t="e">
        <f t="shared" si="50"/>
        <v>#DIV/0!</v>
      </c>
      <c r="F50" s="103">
        <f t="shared" si="50"/>
        <v>0.41572327044025159</v>
      </c>
      <c r="G50" s="103">
        <f t="shared" si="50"/>
        <v>4.4757885384273832E-2</v>
      </c>
      <c r="H50" s="103">
        <f t="shared" si="50"/>
        <v>5.5384288295949657E-2</v>
      </c>
      <c r="I50" s="103">
        <f t="shared" si="50"/>
        <v>3.6563255439161946E-2</v>
      </c>
      <c r="J50" s="103">
        <f t="shared" si="50"/>
        <v>2.4487416188903044E-2</v>
      </c>
      <c r="K50" s="103">
        <f t="shared" si="50"/>
        <v>1.3563501849568338E-2</v>
      </c>
      <c r="L50" s="103">
        <f t="shared" si="50"/>
        <v>3.1068688002994671E-2</v>
      </c>
      <c r="M50" s="103">
        <f t="shared" si="50"/>
        <v>3.8664004356507631E-2</v>
      </c>
      <c r="N50" s="103">
        <f t="shared" si="50"/>
        <v>4.8409646976581566E-2</v>
      </c>
      <c r="O50" s="103">
        <f t="shared" si="50"/>
        <v>2.125354225704279E-2</v>
      </c>
      <c r="P50" s="103">
        <f t="shared" si="50"/>
        <v>3.109442585489286E-2</v>
      </c>
      <c r="Q50" s="103">
        <f t="shared" si="50"/>
        <v>5.1844229855944279E-2</v>
      </c>
      <c r="R50" s="103">
        <f t="shared" si="50"/>
        <v>5.8695161411693952E-2</v>
      </c>
      <c r="S50" s="103">
        <f t="shared" si="50"/>
        <v>4.3784206411258797E-2</v>
      </c>
      <c r="T50" s="103">
        <f t="shared" si="50"/>
        <v>1.482802860061283E-2</v>
      </c>
      <c r="U50" s="103">
        <f t="shared" si="50"/>
        <v>1.4903598192376633E-2</v>
      </c>
      <c r="V50" s="103">
        <f t="shared" si="50"/>
        <v>1.4978437541555145E-2</v>
      </c>
      <c r="W50" s="103">
        <f t="shared" si="50"/>
        <v>1.5052542721392337E-2</v>
      </c>
      <c r="X50" s="103">
        <f t="shared" si="50"/>
        <v>1.5125910166833956E-2</v>
      </c>
      <c r="Y50" s="103">
        <f t="shared" si="50"/>
        <v>1.5198536669835283E-2</v>
      </c>
      <c r="Z50" s="103">
        <f t="shared" si="50"/>
        <v>1.527041937440643E-2</v>
      </c>
      <c r="AA50" s="91"/>
      <c r="AB50" s="99" t="str">
        <f t="shared" si="34"/>
        <v>Customer growth</v>
      </c>
      <c r="AC50" s="91"/>
      <c r="AD50" s="103" t="e">
        <f t="shared" ref="AD50:CD50" si="51">+AD6/AC6-1</f>
        <v>#DIV/0!</v>
      </c>
      <c r="AE50" s="103" t="e">
        <f t="shared" si="51"/>
        <v>#DIV/0!</v>
      </c>
      <c r="AF50" s="103" t="e">
        <f t="shared" si="51"/>
        <v>#DIV/0!</v>
      </c>
      <c r="AG50" s="103" t="e">
        <f t="shared" si="51"/>
        <v>#DIV/0!</v>
      </c>
      <c r="AH50" s="103" t="e">
        <f t="shared" si="51"/>
        <v>#DIV/0!</v>
      </c>
      <c r="AI50" s="103" t="e">
        <f t="shared" si="51"/>
        <v>#DIV/0!</v>
      </c>
      <c r="AJ50" s="103" t="e">
        <f t="shared" si="51"/>
        <v>#DIV/0!</v>
      </c>
      <c r="AK50" s="103" t="e">
        <f t="shared" si="51"/>
        <v>#DIV/0!</v>
      </c>
      <c r="AL50" s="103" t="e">
        <f t="shared" si="51"/>
        <v>#DIV/0!</v>
      </c>
      <c r="AM50" s="103" t="e">
        <f t="shared" si="51"/>
        <v>#DIV/0!</v>
      </c>
      <c r="AN50" s="103" t="e">
        <f t="shared" si="51"/>
        <v>#DIV/0!</v>
      </c>
      <c r="AO50" s="103" t="e">
        <f t="shared" si="51"/>
        <v>#DIV/0!</v>
      </c>
      <c r="AP50" s="103">
        <f t="shared" si="51"/>
        <v>2.0440251572326984E-2</v>
      </c>
      <c r="AQ50" s="103">
        <f t="shared" si="51"/>
        <v>0.3570107858243452</v>
      </c>
      <c r="AR50" s="103">
        <f t="shared" si="51"/>
        <v>2.1006017940274679E-2</v>
      </c>
      <c r="AS50" s="103">
        <f t="shared" si="51"/>
        <v>1.3345195729537185E-3</v>
      </c>
      <c r="AT50" s="103">
        <f t="shared" si="51"/>
        <v>9.8844957796535571E-3</v>
      </c>
      <c r="AU50" s="103">
        <f t="shared" si="51"/>
        <v>2.0675244693720618E-2</v>
      </c>
      <c r="AV50" s="103">
        <f t="shared" si="51"/>
        <v>6.1415795711667887E-3</v>
      </c>
      <c r="AW50" s="103">
        <f t="shared" si="51"/>
        <v>7.3891625615765122E-3</v>
      </c>
      <c r="AX50" s="103">
        <f t="shared" si="51"/>
        <v>1.3606888487296631E-2</v>
      </c>
      <c r="AY50" s="103">
        <f t="shared" si="51"/>
        <v>1.6046145778709997E-2</v>
      </c>
      <c r="AZ50" s="103">
        <f t="shared" si="51"/>
        <v>1.3212221304707006E-2</v>
      </c>
      <c r="BA50" s="103">
        <f t="shared" si="51"/>
        <v>1.140994295028519E-2</v>
      </c>
      <c r="BB50" s="103">
        <f t="shared" si="51"/>
        <v>9.6696212731668396E-3</v>
      </c>
      <c r="BC50" s="103">
        <f t="shared" si="51"/>
        <v>1.5263367916999337E-2</v>
      </c>
      <c r="BD50" s="103">
        <f t="shared" si="51"/>
        <v>9.9243391962267058E-3</v>
      </c>
      <c r="BE50" s="103">
        <f t="shared" si="51"/>
        <v>1.2648375170265513E-3</v>
      </c>
      <c r="BF50" s="103">
        <f t="shared" si="51"/>
        <v>2.0406180157419573E-3</v>
      </c>
      <c r="BG50" s="103">
        <f t="shared" si="51"/>
        <v>7.3700543056631762E-3</v>
      </c>
      <c r="BH50" s="103">
        <f t="shared" si="51"/>
        <v>1.1744320369657446E-2</v>
      </c>
      <c r="BI50" s="103">
        <f t="shared" si="51"/>
        <v>3.1398667935298441E-3</v>
      </c>
      <c r="BJ50" s="103">
        <f t="shared" si="51"/>
        <v>-3.4145878782129158E-3</v>
      </c>
      <c r="BK50" s="103">
        <f t="shared" si="51"/>
        <v>1.4752070048539068E-2</v>
      </c>
      <c r="BL50" s="103">
        <f t="shared" si="51"/>
        <v>2.4385668730069199E-3</v>
      </c>
      <c r="BM50" s="103">
        <f t="shared" si="51"/>
        <v>-1.8712574850299202E-4</v>
      </c>
      <c r="BN50" s="103">
        <f t="shared" si="51"/>
        <v>5.7084035186225623E-3</v>
      </c>
      <c r="BO50" s="103">
        <f t="shared" si="51"/>
        <v>1.4050432678887059E-2</v>
      </c>
      <c r="BP50" s="103">
        <f t="shared" si="51"/>
        <v>8.9924756836117226E-3</v>
      </c>
      <c r="BQ50" s="103">
        <f t="shared" si="51"/>
        <v>2.0007275372864175E-3</v>
      </c>
      <c r="BR50" s="103">
        <f t="shared" si="51"/>
        <v>6.4440007260846421E-3</v>
      </c>
      <c r="BS50" s="103">
        <f t="shared" si="51"/>
        <v>1.1001893768599391E-2</v>
      </c>
      <c r="BT50" s="103">
        <f t="shared" si="51"/>
        <v>7.4926411560076733E-3</v>
      </c>
      <c r="BU50" s="103">
        <f t="shared" si="51"/>
        <v>1.3191677733510376E-2</v>
      </c>
      <c r="BV50" s="103">
        <f t="shared" si="51"/>
        <v>2.0534778049632996E-2</v>
      </c>
      <c r="BW50" s="103">
        <f t="shared" si="51"/>
        <v>1.2843565373747756E-2</v>
      </c>
      <c r="BX50" s="103">
        <f t="shared" si="51"/>
        <v>9.214641981570626E-3</v>
      </c>
      <c r="BY50" s="103">
        <f t="shared" si="51"/>
        <v>5.0259674987434E-3</v>
      </c>
      <c r="BZ50" s="103">
        <f t="shared" si="51"/>
        <v>8.7514585764294495E-3</v>
      </c>
      <c r="CA50" s="103">
        <f t="shared" si="51"/>
        <v>1.1897876559530784E-2</v>
      </c>
      <c r="CB50" s="103">
        <f t="shared" si="51"/>
        <v>4.2459377806809417E-3</v>
      </c>
      <c r="CC50" s="103">
        <f t="shared" si="51"/>
        <v>-3.7401414749167472E-3</v>
      </c>
      <c r="CD50" s="103">
        <f t="shared" si="51"/>
        <v>1.028319595201177E-2</v>
      </c>
    </row>
    <row r="51" spans="1:83" ht="15" customHeight="1">
      <c r="A51" s="92" t="s">
        <v>594</v>
      </c>
      <c r="B51" s="91"/>
      <c r="C51" s="103" t="e">
        <f t="shared" ref="C51:Z51" si="52">+C15/C6</f>
        <v>#DIV/0!</v>
      </c>
      <c r="D51" s="103" t="e">
        <f t="shared" si="52"/>
        <v>#DIV/0!</v>
      </c>
      <c r="E51" s="103">
        <f t="shared" si="52"/>
        <v>0</v>
      </c>
      <c r="F51" s="103">
        <f t="shared" si="52"/>
        <v>0</v>
      </c>
      <c r="G51" s="103">
        <f t="shared" si="52"/>
        <v>0</v>
      </c>
      <c r="H51" s="103">
        <f t="shared" si="52"/>
        <v>0</v>
      </c>
      <c r="I51" s="103">
        <f t="shared" si="52"/>
        <v>0</v>
      </c>
      <c r="J51" s="103">
        <f t="shared" si="52"/>
        <v>0</v>
      </c>
      <c r="K51" s="103">
        <f t="shared" si="52"/>
        <v>0</v>
      </c>
      <c r="L51" s="103">
        <f t="shared" si="52"/>
        <v>0</v>
      </c>
      <c r="M51" s="103">
        <f t="shared" si="52"/>
        <v>3.4952813701502966E-2</v>
      </c>
      <c r="N51" s="103">
        <f t="shared" si="52"/>
        <v>5.9426571095182533E-2</v>
      </c>
      <c r="O51" s="103">
        <f t="shared" si="52"/>
        <v>9.0181996245817353E-2</v>
      </c>
      <c r="P51" s="103">
        <f>+P15/P6</f>
        <v>0.10447997467152129</v>
      </c>
      <c r="Q51" s="103">
        <f>+Q15/Q6</f>
        <v>0.12506584393107079</v>
      </c>
      <c r="R51" s="103">
        <f t="shared" si="52"/>
        <v>0.15274717463927784</v>
      </c>
      <c r="S51" s="103">
        <f t="shared" si="52"/>
        <v>0.16676881171263194</v>
      </c>
      <c r="T51" s="103">
        <f t="shared" si="52"/>
        <v>0.18446260413581664</v>
      </c>
      <c r="U51" s="103">
        <f t="shared" si="52"/>
        <v>0.20158872021475152</v>
      </c>
      <c r="V51" s="103">
        <f t="shared" si="52"/>
        <v>0.21815598635500741</v>
      </c>
      <c r="W51" s="103">
        <f t="shared" si="52"/>
        <v>0.23417327362625012</v>
      </c>
      <c r="X51" s="103">
        <f t="shared" si="52"/>
        <v>0.24964949086272595</v>
      </c>
      <c r="Y51" s="103">
        <f t="shared" si="52"/>
        <v>0.26459357788961602</v>
      </c>
      <c r="Z51" s="103">
        <f t="shared" si="52"/>
        <v>0.27901449888163277</v>
      </c>
      <c r="AA51" s="91"/>
      <c r="AB51" s="99" t="str">
        <f t="shared" si="34"/>
        <v>Mobile SIM % customers</v>
      </c>
      <c r="AC51" s="91"/>
      <c r="AD51" s="103" t="e">
        <f t="shared" ref="AD51:CD51" si="53">+AD15/AD6</f>
        <v>#DIV/0!</v>
      </c>
      <c r="AE51" s="103" t="e">
        <f t="shared" si="53"/>
        <v>#DIV/0!</v>
      </c>
      <c r="AF51" s="103" t="e">
        <f t="shared" si="53"/>
        <v>#DIV/0!</v>
      </c>
      <c r="AG51" s="103" t="e">
        <f t="shared" si="53"/>
        <v>#DIV/0!</v>
      </c>
      <c r="AH51" s="103" t="e">
        <f t="shared" si="53"/>
        <v>#DIV/0!</v>
      </c>
      <c r="AI51" s="103" t="e">
        <f t="shared" si="53"/>
        <v>#DIV/0!</v>
      </c>
      <c r="AJ51" s="103" t="e">
        <f t="shared" si="53"/>
        <v>#DIV/0!</v>
      </c>
      <c r="AK51" s="103" t="e">
        <f t="shared" si="53"/>
        <v>#DIV/0!</v>
      </c>
      <c r="AL51" s="103" t="e">
        <f t="shared" si="53"/>
        <v>#DIV/0!</v>
      </c>
      <c r="AM51" s="103" t="e">
        <f t="shared" si="53"/>
        <v>#DIV/0!</v>
      </c>
      <c r="AN51" s="103" t="e">
        <f t="shared" si="53"/>
        <v>#DIV/0!</v>
      </c>
      <c r="AO51" s="103">
        <f t="shared" si="53"/>
        <v>0</v>
      </c>
      <c r="AP51" s="103">
        <f t="shared" si="53"/>
        <v>0</v>
      </c>
      <c r="AQ51" s="103">
        <f t="shared" si="53"/>
        <v>0</v>
      </c>
      <c r="AR51" s="103">
        <f t="shared" si="53"/>
        <v>0</v>
      </c>
      <c r="AS51" s="103">
        <f t="shared" si="53"/>
        <v>0</v>
      </c>
      <c r="AT51" s="103">
        <f t="shared" si="53"/>
        <v>0</v>
      </c>
      <c r="AU51" s="103">
        <f t="shared" si="53"/>
        <v>0</v>
      </c>
      <c r="AV51" s="103">
        <f t="shared" si="53"/>
        <v>0</v>
      </c>
      <c r="AW51" s="103">
        <f t="shared" si="53"/>
        <v>0</v>
      </c>
      <c r="AX51" s="103">
        <f t="shared" si="53"/>
        <v>0</v>
      </c>
      <c r="AY51" s="103">
        <f t="shared" si="53"/>
        <v>0</v>
      </c>
      <c r="AZ51" s="103">
        <f t="shared" si="53"/>
        <v>0</v>
      </c>
      <c r="BA51" s="103">
        <f t="shared" si="53"/>
        <v>0</v>
      </c>
      <c r="BB51" s="103">
        <f t="shared" si="53"/>
        <v>0</v>
      </c>
      <c r="BC51" s="103">
        <f t="shared" si="53"/>
        <v>0</v>
      </c>
      <c r="BD51" s="103">
        <f t="shared" si="53"/>
        <v>0</v>
      </c>
      <c r="BE51" s="103">
        <f t="shared" si="53"/>
        <v>0</v>
      </c>
      <c r="BF51" s="103">
        <f t="shared" si="53"/>
        <v>0</v>
      </c>
      <c r="BG51" s="103">
        <f t="shared" si="53"/>
        <v>0</v>
      </c>
      <c r="BH51" s="103">
        <f t="shared" si="53"/>
        <v>0</v>
      </c>
      <c r="BI51" s="103">
        <f t="shared" si="53"/>
        <v>0</v>
      </c>
      <c r="BJ51" s="103">
        <f t="shared" si="53"/>
        <v>0</v>
      </c>
      <c r="BK51" s="103">
        <f t="shared" si="53"/>
        <v>0</v>
      </c>
      <c r="BL51" s="103">
        <f t="shared" si="53"/>
        <v>0</v>
      </c>
      <c r="BM51" s="103">
        <f t="shared" si="53"/>
        <v>0</v>
      </c>
      <c r="BN51" s="103">
        <f t="shared" si="53"/>
        <v>0</v>
      </c>
      <c r="BO51" s="103">
        <f t="shared" si="53"/>
        <v>0</v>
      </c>
      <c r="BP51" s="103">
        <f t="shared" si="53"/>
        <v>0</v>
      </c>
      <c r="BQ51" s="103">
        <f t="shared" si="53"/>
        <v>0</v>
      </c>
      <c r="BR51" s="103">
        <f t="shared" si="53"/>
        <v>0</v>
      </c>
      <c r="BS51" s="103">
        <f t="shared" si="53"/>
        <v>0</v>
      </c>
      <c r="BT51" s="103">
        <f t="shared" si="53"/>
        <v>0</v>
      </c>
      <c r="BU51" s="103">
        <f t="shared" si="53"/>
        <v>0</v>
      </c>
      <c r="BV51" s="103">
        <f t="shared" si="53"/>
        <v>4.0671290350201214E-2</v>
      </c>
      <c r="BW51" s="103">
        <f t="shared" si="53"/>
        <v>0.11843773776312451</v>
      </c>
      <c r="BX51" s="103">
        <f t="shared" si="53"/>
        <v>6.6929133858267723E-2</v>
      </c>
      <c r="BY51" s="103">
        <f t="shared" si="53"/>
        <v>5.9426571095182533E-2</v>
      </c>
      <c r="BZ51" s="103">
        <f t="shared" si="53"/>
        <v>6.8578038502850533E-2</v>
      </c>
      <c r="CA51" s="103">
        <f t="shared" si="53"/>
        <v>7.3242426716746953E-2</v>
      </c>
      <c r="CB51" s="103">
        <f t="shared" si="53"/>
        <v>8.187657533132775E-2</v>
      </c>
      <c r="CC51" s="103">
        <f t="shared" si="53"/>
        <v>9.0181996245817353E-2</v>
      </c>
      <c r="CD51" s="103">
        <f t="shared" si="53"/>
        <v>9.4918814120688255E-2</v>
      </c>
    </row>
    <row r="52" spans="1:83" ht="15" customHeight="1">
      <c r="A52" s="92" t="s">
        <v>595</v>
      </c>
      <c r="B52" s="91"/>
      <c r="C52" s="103">
        <f t="shared" ref="C52:Z52" si="54">+C15/C13</f>
        <v>0</v>
      </c>
      <c r="D52" s="103">
        <f t="shared" si="54"/>
        <v>0</v>
      </c>
      <c r="E52" s="103">
        <f t="shared" si="54"/>
        <v>0</v>
      </c>
      <c r="F52" s="103">
        <f t="shared" si="54"/>
        <v>0</v>
      </c>
      <c r="G52" s="103">
        <f t="shared" si="54"/>
        <v>0</v>
      </c>
      <c r="H52" s="103">
        <f t="shared" si="54"/>
        <v>0</v>
      </c>
      <c r="I52" s="103">
        <f t="shared" si="54"/>
        <v>0</v>
      </c>
      <c r="J52" s="103">
        <f t="shared" si="54"/>
        <v>0</v>
      </c>
      <c r="K52" s="103">
        <f t="shared" si="54"/>
        <v>0</v>
      </c>
      <c r="L52" s="103">
        <f t="shared" si="54"/>
        <v>0</v>
      </c>
      <c r="M52" s="103">
        <f t="shared" si="54"/>
        <v>4.8455481526347668E-2</v>
      </c>
      <c r="N52" s="103">
        <f t="shared" si="54"/>
        <v>8.0501298408038838E-2</v>
      </c>
      <c r="O52" s="103">
        <f t="shared" si="54"/>
        <v>0.11856223175965665</v>
      </c>
      <c r="P52" s="103">
        <f>+P15/P13</f>
        <v>0.13159206459974079</v>
      </c>
      <c r="Q52" s="103">
        <f>+Q15/Q13</f>
        <v>0.15230938416422285</v>
      </c>
      <c r="R52" s="103">
        <f t="shared" si="54"/>
        <v>0.18187203791469198</v>
      </c>
      <c r="S52" s="103">
        <f t="shared" si="54"/>
        <v>0.20212941564872897</v>
      </c>
      <c r="T52" s="103">
        <f t="shared" si="54"/>
        <v>0.22320558622929523</v>
      </c>
      <c r="U52" s="103">
        <f t="shared" si="54"/>
        <v>0.2436081815276446</v>
      </c>
      <c r="V52" s="103">
        <f t="shared" si="54"/>
        <v>0.26336898395721925</v>
      </c>
      <c r="W52" s="103">
        <f t="shared" si="54"/>
        <v>0.28251780737070303</v>
      </c>
      <c r="X52" s="103">
        <f t="shared" si="54"/>
        <v>0.3010826471485209</v>
      </c>
      <c r="Y52" s="103">
        <f t="shared" si="54"/>
        <v>0.31908981676179032</v>
      </c>
      <c r="Z52" s="103">
        <f t="shared" si="54"/>
        <v>0.33656407221071322</v>
      </c>
      <c r="AA52" s="91"/>
      <c r="AB52" s="99" t="str">
        <f t="shared" si="34"/>
        <v>Mobile SIM % broadband</v>
      </c>
      <c r="AC52" s="91"/>
      <c r="AD52" s="103">
        <f t="shared" ref="AD52:CD52" si="55">+AD15/AD13</f>
        <v>0</v>
      </c>
      <c r="AE52" s="103">
        <f t="shared" si="55"/>
        <v>0</v>
      </c>
      <c r="AF52" s="103">
        <f t="shared" si="55"/>
        <v>0</v>
      </c>
      <c r="AG52" s="103">
        <f t="shared" si="55"/>
        <v>0</v>
      </c>
      <c r="AH52" s="103">
        <f t="shared" si="55"/>
        <v>0</v>
      </c>
      <c r="AI52" s="103">
        <f t="shared" si="55"/>
        <v>0</v>
      </c>
      <c r="AJ52" s="103">
        <f t="shared" si="55"/>
        <v>0</v>
      </c>
      <c r="AK52" s="103">
        <f t="shared" si="55"/>
        <v>0</v>
      </c>
      <c r="AL52" s="103">
        <f t="shared" si="55"/>
        <v>0</v>
      </c>
      <c r="AM52" s="103">
        <f t="shared" si="55"/>
        <v>0</v>
      </c>
      <c r="AN52" s="103">
        <f t="shared" si="55"/>
        <v>0</v>
      </c>
      <c r="AO52" s="103">
        <f t="shared" si="55"/>
        <v>0</v>
      </c>
      <c r="AP52" s="103">
        <f t="shared" si="55"/>
        <v>0</v>
      </c>
      <c r="AQ52" s="103">
        <f t="shared" si="55"/>
        <v>0</v>
      </c>
      <c r="AR52" s="103">
        <f t="shared" si="55"/>
        <v>0</v>
      </c>
      <c r="AS52" s="103">
        <f t="shared" si="55"/>
        <v>0</v>
      </c>
      <c r="AT52" s="103">
        <f t="shared" si="55"/>
        <v>0</v>
      </c>
      <c r="AU52" s="103">
        <f t="shared" si="55"/>
        <v>0</v>
      </c>
      <c r="AV52" s="103">
        <f t="shared" si="55"/>
        <v>0</v>
      </c>
      <c r="AW52" s="103">
        <f t="shared" si="55"/>
        <v>0</v>
      </c>
      <c r="AX52" s="103">
        <f t="shared" si="55"/>
        <v>0</v>
      </c>
      <c r="AY52" s="103">
        <f t="shared" si="55"/>
        <v>0</v>
      </c>
      <c r="AZ52" s="103">
        <f t="shared" si="55"/>
        <v>0</v>
      </c>
      <c r="BA52" s="103">
        <f t="shared" si="55"/>
        <v>0</v>
      </c>
      <c r="BB52" s="103">
        <f t="shared" si="55"/>
        <v>0</v>
      </c>
      <c r="BC52" s="103">
        <f t="shared" si="55"/>
        <v>0</v>
      </c>
      <c r="BD52" s="103">
        <f t="shared" si="55"/>
        <v>0</v>
      </c>
      <c r="BE52" s="103">
        <f t="shared" si="55"/>
        <v>0</v>
      </c>
      <c r="BF52" s="103">
        <f t="shared" si="55"/>
        <v>0</v>
      </c>
      <c r="BG52" s="103">
        <f t="shared" si="55"/>
        <v>0</v>
      </c>
      <c r="BH52" s="103">
        <f t="shared" si="55"/>
        <v>0</v>
      </c>
      <c r="BI52" s="103">
        <f t="shared" si="55"/>
        <v>0</v>
      </c>
      <c r="BJ52" s="103">
        <f t="shared" si="55"/>
        <v>0</v>
      </c>
      <c r="BK52" s="103">
        <f t="shared" si="55"/>
        <v>0</v>
      </c>
      <c r="BL52" s="103">
        <f t="shared" si="55"/>
        <v>0</v>
      </c>
      <c r="BM52" s="103">
        <f t="shared" si="55"/>
        <v>0</v>
      </c>
      <c r="BN52" s="103">
        <f t="shared" si="55"/>
        <v>0</v>
      </c>
      <c r="BO52" s="103">
        <f t="shared" si="55"/>
        <v>0</v>
      </c>
      <c r="BP52" s="103">
        <f t="shared" si="55"/>
        <v>0</v>
      </c>
      <c r="BQ52" s="103">
        <f t="shared" si="55"/>
        <v>0</v>
      </c>
      <c r="BR52" s="103">
        <f t="shared" si="55"/>
        <v>0</v>
      </c>
      <c r="BS52" s="103">
        <f t="shared" si="55"/>
        <v>0</v>
      </c>
      <c r="BT52" s="103">
        <f t="shared" si="55"/>
        <v>0</v>
      </c>
      <c r="BU52" s="103">
        <f t="shared" si="55"/>
        <v>0</v>
      </c>
      <c r="BV52" s="103">
        <f t="shared" si="55"/>
        <v>5.6113408151210867E-2</v>
      </c>
      <c r="BW52" s="103">
        <f t="shared" si="55"/>
        <v>0.16157305962403412</v>
      </c>
      <c r="BX52" s="103">
        <f t="shared" si="55"/>
        <v>9.0723288293402982E-2</v>
      </c>
      <c r="BY52" s="103">
        <f t="shared" si="55"/>
        <v>8.0501298408038838E-2</v>
      </c>
      <c r="BZ52" s="103">
        <f t="shared" si="55"/>
        <v>9.2283744718701363E-2</v>
      </c>
      <c r="CA52" s="103">
        <f t="shared" si="55"/>
        <v>9.7394136807817597E-2</v>
      </c>
      <c r="CB52" s="103">
        <f t="shared" si="55"/>
        <v>0.10797769676174136</v>
      </c>
      <c r="CC52" s="103">
        <f t="shared" si="55"/>
        <v>0.11856223175965665</v>
      </c>
      <c r="CD52" s="103">
        <f t="shared" si="55"/>
        <v>0.12304953398261598</v>
      </c>
    </row>
    <row r="53" spans="1:83" ht="15" customHeight="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row>
    <row r="54" spans="1:83" ht="15" customHeight="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row>
    <row r="55" spans="1:83" ht="15" customHeight="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row>
    <row r="56" spans="1:83" ht="15" customHeight="1">
      <c r="A56" s="93" t="str">
        <f>CONCATENATE(A$1," revenues")</f>
        <v>Chile (VTR) revenues</v>
      </c>
      <c r="B56" s="94">
        <f t="shared" ref="B56:Z56" si="56">+B$1</f>
        <v>2001</v>
      </c>
      <c r="C56" s="94">
        <f t="shared" si="56"/>
        <v>2002</v>
      </c>
      <c r="D56" s="94">
        <f t="shared" si="56"/>
        <v>2003</v>
      </c>
      <c r="E56" s="94">
        <f t="shared" si="56"/>
        <v>2004</v>
      </c>
      <c r="F56" s="94">
        <f t="shared" si="56"/>
        <v>2005</v>
      </c>
      <c r="G56" s="94">
        <f t="shared" si="56"/>
        <v>2006</v>
      </c>
      <c r="H56" s="94">
        <f t="shared" si="56"/>
        <v>2007</v>
      </c>
      <c r="I56" s="94">
        <f t="shared" si="56"/>
        <v>2008</v>
      </c>
      <c r="J56" s="94">
        <f t="shared" si="56"/>
        <v>2009</v>
      </c>
      <c r="K56" s="94">
        <f t="shared" si="56"/>
        <v>2010</v>
      </c>
      <c r="L56" s="94">
        <f t="shared" si="56"/>
        <v>2011</v>
      </c>
      <c r="M56" s="94">
        <f t="shared" si="56"/>
        <v>2012</v>
      </c>
      <c r="N56" s="94">
        <f t="shared" si="56"/>
        <v>2013</v>
      </c>
      <c r="O56" s="94">
        <f t="shared" si="56"/>
        <v>2014</v>
      </c>
      <c r="P56" s="94">
        <f t="shared" si="56"/>
        <v>2015</v>
      </c>
      <c r="Q56" s="94">
        <f t="shared" si="56"/>
        <v>2016</v>
      </c>
      <c r="R56" s="94">
        <f t="shared" si="56"/>
        <v>2017</v>
      </c>
      <c r="S56" s="94" t="str">
        <f t="shared" si="56"/>
        <v>2018E</v>
      </c>
      <c r="T56" s="94" t="str">
        <f t="shared" si="56"/>
        <v>2019E</v>
      </c>
      <c r="U56" s="94" t="str">
        <f t="shared" si="56"/>
        <v>2020E</v>
      </c>
      <c r="V56" s="94" t="str">
        <f t="shared" si="56"/>
        <v>2021E</v>
      </c>
      <c r="W56" s="94" t="str">
        <f t="shared" si="56"/>
        <v>2022E</v>
      </c>
      <c r="X56" s="94" t="str">
        <f t="shared" si="56"/>
        <v>2023E</v>
      </c>
      <c r="Y56" s="94" t="str">
        <f t="shared" si="56"/>
        <v>2024E</v>
      </c>
      <c r="Z56" s="94" t="str">
        <f t="shared" si="56"/>
        <v>2025E</v>
      </c>
      <c r="AA56" s="91"/>
      <c r="AB56" s="93" t="str">
        <f>+A56</f>
        <v>Chile (VTR) revenues</v>
      </c>
      <c r="AC56" s="94" t="str">
        <f t="shared" ref="AC56:CD56" si="57">+AC$1</f>
        <v>Q4 01</v>
      </c>
      <c r="AD56" s="94" t="str">
        <f t="shared" si="57"/>
        <v>Q1 02</v>
      </c>
      <c r="AE56" s="94" t="str">
        <f t="shared" si="57"/>
        <v>Q2 02</v>
      </c>
      <c r="AF56" s="94" t="str">
        <f t="shared" si="57"/>
        <v>Q3 02</v>
      </c>
      <c r="AG56" s="94" t="str">
        <f t="shared" si="57"/>
        <v>Q4 02</v>
      </c>
      <c r="AH56" s="94" t="str">
        <f t="shared" si="57"/>
        <v>Q1 03</v>
      </c>
      <c r="AI56" s="94" t="str">
        <f t="shared" si="57"/>
        <v>Q2 03</v>
      </c>
      <c r="AJ56" s="94" t="str">
        <f t="shared" si="57"/>
        <v>Q3 03</v>
      </c>
      <c r="AK56" s="94" t="str">
        <f t="shared" si="57"/>
        <v>Q4 03</v>
      </c>
      <c r="AL56" s="94" t="str">
        <f t="shared" si="57"/>
        <v>1Q04</v>
      </c>
      <c r="AM56" s="94" t="str">
        <f t="shared" si="57"/>
        <v>Q2 04</v>
      </c>
      <c r="AN56" s="94" t="str">
        <f t="shared" si="57"/>
        <v>Q3 04</v>
      </c>
      <c r="AO56" s="94" t="str">
        <f t="shared" si="57"/>
        <v>Q4 04</v>
      </c>
      <c r="AP56" s="94" t="str">
        <f t="shared" si="57"/>
        <v>Q1 05</v>
      </c>
      <c r="AQ56" s="94" t="str">
        <f t="shared" si="57"/>
        <v>Q2 05</v>
      </c>
      <c r="AR56" s="94" t="str">
        <f t="shared" si="57"/>
        <v>Q3 05</v>
      </c>
      <c r="AS56" s="94" t="str">
        <f t="shared" si="57"/>
        <v>Q4 05</v>
      </c>
      <c r="AT56" s="94" t="str">
        <f t="shared" si="57"/>
        <v>Q1 06</v>
      </c>
      <c r="AU56" s="94" t="str">
        <f t="shared" si="57"/>
        <v>Q2 06</v>
      </c>
      <c r="AV56" s="94" t="str">
        <f t="shared" si="57"/>
        <v>Q3 06</v>
      </c>
      <c r="AW56" s="94" t="str">
        <f t="shared" si="57"/>
        <v>Q4 06</v>
      </c>
      <c r="AX56" s="94" t="str">
        <f t="shared" si="57"/>
        <v>Q1 07</v>
      </c>
      <c r="AY56" s="94" t="str">
        <f t="shared" si="57"/>
        <v>Q2 07</v>
      </c>
      <c r="AZ56" s="94" t="str">
        <f t="shared" si="57"/>
        <v>Q3 07</v>
      </c>
      <c r="BA56" s="94" t="str">
        <f t="shared" si="57"/>
        <v>Q4 07</v>
      </c>
      <c r="BB56" s="94" t="str">
        <f t="shared" si="57"/>
        <v>Q1 08</v>
      </c>
      <c r="BC56" s="94" t="str">
        <f t="shared" si="57"/>
        <v>Q2 08</v>
      </c>
      <c r="BD56" s="94" t="str">
        <f t="shared" si="57"/>
        <v>Q3 08</v>
      </c>
      <c r="BE56" s="94" t="str">
        <f t="shared" si="57"/>
        <v>Q4 08</v>
      </c>
      <c r="BF56" s="94" t="str">
        <f t="shared" si="57"/>
        <v>Q1 09</v>
      </c>
      <c r="BG56" s="94" t="str">
        <f t="shared" si="57"/>
        <v>Q2 09</v>
      </c>
      <c r="BH56" s="94" t="str">
        <f t="shared" si="57"/>
        <v>Q3 09</v>
      </c>
      <c r="BI56" s="94" t="str">
        <f t="shared" si="57"/>
        <v>Q4 09</v>
      </c>
      <c r="BJ56" s="94" t="str">
        <f t="shared" si="57"/>
        <v>Q1 10</v>
      </c>
      <c r="BK56" s="94" t="str">
        <f t="shared" si="57"/>
        <v>Q2 10</v>
      </c>
      <c r="BL56" s="94" t="str">
        <f t="shared" si="57"/>
        <v>Q3 10</v>
      </c>
      <c r="BM56" s="94" t="str">
        <f t="shared" si="57"/>
        <v>Q4 10</v>
      </c>
      <c r="BN56" s="94" t="str">
        <f t="shared" si="57"/>
        <v>Q1 11</v>
      </c>
      <c r="BO56" s="94" t="str">
        <f t="shared" si="57"/>
        <v>Q2 11</v>
      </c>
      <c r="BP56" s="94" t="str">
        <f t="shared" si="57"/>
        <v>Q3 11</v>
      </c>
      <c r="BQ56" s="94" t="str">
        <f t="shared" si="57"/>
        <v>Q4 11</v>
      </c>
      <c r="BR56" s="94" t="str">
        <f t="shared" si="57"/>
        <v>Q1 12</v>
      </c>
      <c r="BS56" s="94" t="str">
        <f t="shared" si="57"/>
        <v>Q2 12</v>
      </c>
      <c r="BT56" s="94" t="str">
        <f t="shared" si="57"/>
        <v>Q3 12</v>
      </c>
      <c r="BU56" s="94" t="str">
        <f t="shared" si="57"/>
        <v>Q4 12</v>
      </c>
      <c r="BV56" s="94" t="str">
        <f t="shared" si="57"/>
        <v>Q1 13</v>
      </c>
      <c r="BW56" s="94" t="str">
        <f t="shared" si="57"/>
        <v>Q2 13</v>
      </c>
      <c r="BX56" s="94" t="str">
        <f t="shared" si="57"/>
        <v>Q3 13</v>
      </c>
      <c r="BY56" s="94" t="str">
        <f t="shared" si="57"/>
        <v>Q4 13</v>
      </c>
      <c r="BZ56" s="94" t="str">
        <f t="shared" si="57"/>
        <v>Q1 14</v>
      </c>
      <c r="CA56" s="94" t="str">
        <f t="shared" si="57"/>
        <v>Q2 14</v>
      </c>
      <c r="CB56" s="94" t="str">
        <f t="shared" si="57"/>
        <v>Q3 14</v>
      </c>
      <c r="CC56" s="94" t="str">
        <f t="shared" si="57"/>
        <v>Q4 14</v>
      </c>
      <c r="CD56" s="94" t="str">
        <f t="shared" si="57"/>
        <v>Q1 15</v>
      </c>
    </row>
    <row r="57" spans="1:83" ht="15" customHeight="1">
      <c r="A57" s="92" t="s">
        <v>596</v>
      </c>
      <c r="B57" s="97"/>
      <c r="C57" s="97"/>
      <c r="D57" s="97"/>
      <c r="E57" s="97"/>
      <c r="F57" s="97"/>
      <c r="G57" s="105">
        <f>+G59*Forex!B61</f>
        <v>291493.3898991</v>
      </c>
      <c r="H57" s="105">
        <f>+H59*Forex!C61</f>
        <v>331294.02650640003</v>
      </c>
      <c r="I57" s="105">
        <f>+I59*Forex!D61</f>
        <v>393262.46339999995</v>
      </c>
      <c r="J57" s="105">
        <f>+J59*Forex!E61</f>
        <v>390506.30196023913</v>
      </c>
      <c r="K57" s="105">
        <f>+K59*Forex!F61</f>
        <v>407204.01642601675</v>
      </c>
      <c r="L57" s="106">
        <v>429600</v>
      </c>
      <c r="M57" s="106">
        <v>457100</v>
      </c>
      <c r="N57" s="106">
        <v>491000</v>
      </c>
      <c r="O57" s="106">
        <v>512400</v>
      </c>
      <c r="P57" s="106">
        <v>547500</v>
      </c>
      <c r="Q57" s="106">
        <v>580600</v>
      </c>
      <c r="R57" s="106">
        <v>617600</v>
      </c>
      <c r="S57" s="106">
        <f>S58*Forex!N38</f>
        <v>649298.08699999994</v>
      </c>
      <c r="T57" s="105">
        <f t="shared" ref="T57:Z57" ca="1" si="58">+T68+T69+T70+T81</f>
        <v>681509.13231876923</v>
      </c>
      <c r="U57" s="105">
        <f t="shared" ca="1" si="58"/>
        <v>712256.17993094434</v>
      </c>
      <c r="V57" s="105">
        <f t="shared" ca="1" si="58"/>
        <v>743929.5052518067</v>
      </c>
      <c r="W57" s="105">
        <f t="shared" ca="1" si="58"/>
        <v>776582.94773223344</v>
      </c>
      <c r="X57" s="105">
        <f t="shared" ca="1" si="58"/>
        <v>810272.30846505857</v>
      </c>
      <c r="Y57" s="105">
        <f t="shared" ca="1" si="58"/>
        <v>845055.45057967422</v>
      </c>
      <c r="Z57" s="105">
        <f t="shared" ca="1" si="58"/>
        <v>880992.40403983637</v>
      </c>
      <c r="AA57" s="91"/>
      <c r="AB57" s="92" t="s">
        <v>596</v>
      </c>
      <c r="BB57" s="105">
        <f>+BB59*Forex!F26</f>
        <v>86414.827975200009</v>
      </c>
      <c r="BC57" s="105">
        <f>+BC59*Forex!G26</f>
        <v>91736.780153200001</v>
      </c>
      <c r="BD57" s="105">
        <f>+BD59*Forex!H26</f>
        <v>93110.08122040001</v>
      </c>
      <c r="BE57" s="105">
        <f>+BE59*Forex!I26</f>
        <v>98389.049106599981</v>
      </c>
      <c r="BF57" s="105">
        <f>+BF59*Forex!J26</f>
        <v>94920.082222199999</v>
      </c>
      <c r="BG57" s="105">
        <f>+BG59*Forex!K26</f>
        <v>97848.095570399993</v>
      </c>
      <c r="BH57" s="105">
        <f>+BH59*Forex!L26</f>
        <v>98049.906755999997</v>
      </c>
      <c r="BI57" s="105">
        <f>+BI59*Forex!M26</f>
        <v>99667.925232000023</v>
      </c>
      <c r="BJ57" s="105">
        <f>+BJ59*Forex!N26</f>
        <v>94423.041793523385</v>
      </c>
      <c r="BK57" s="105">
        <f>+BK59*Forex!O26</f>
        <v>101570.78037620742</v>
      </c>
      <c r="BL57" s="105">
        <f>+BL59*Forex!P26</f>
        <v>105113.30475839999</v>
      </c>
      <c r="BM57" s="105">
        <f>+BM59*Forex!Q26</f>
        <v>105113.30475839999</v>
      </c>
      <c r="BN57" s="105">
        <f>+BN59*Forex!R26</f>
        <v>102930.49030319585</v>
      </c>
      <c r="BO57" s="105">
        <f>+BO59*Forex!S26</f>
        <v>107264.86253058875</v>
      </c>
      <c r="BP57" s="105">
        <f>+BP59*Forex!T26</f>
        <v>109418.7431153792</v>
      </c>
      <c r="BQ57" s="105">
        <f>+BQ59*Forex!U26</f>
        <v>107566.66481223922</v>
      </c>
      <c r="BR57" s="105">
        <f>+BR58*Forex!V15</f>
        <v>109758.04999999999</v>
      </c>
      <c r="BS57" s="105">
        <f>+BS58*Forex!W15</f>
        <v>112542.69600000001</v>
      </c>
      <c r="BT57" s="105">
        <f>+BT58*Forex!X15</f>
        <v>116188.51000000001</v>
      </c>
      <c r="BU57" s="105">
        <f>+BU58*Forex!Y15</f>
        <v>118637.74</v>
      </c>
      <c r="BV57" s="105">
        <f>+BV58*Forex!Z15</f>
        <v>118301.48</v>
      </c>
      <c r="BW57" s="105">
        <f>+BW58*Forex!AA15</f>
        <v>122675.74199999998</v>
      </c>
      <c r="BX57" s="105">
        <f>+BX58*Forex!AB15</f>
        <v>124076.88</v>
      </c>
      <c r="BY57" s="105">
        <f>+BY58*Forex!AC15</f>
        <v>126002.64799999999</v>
      </c>
      <c r="BZ57" s="105">
        <f>+BZ58*Forex!AD15</f>
        <v>124394.88900000001</v>
      </c>
      <c r="CA57" s="482">
        <v>127500</v>
      </c>
      <c r="CB57" s="482">
        <v>129200</v>
      </c>
      <c r="CC57" s="482">
        <f>O57-CB57-CA57-BZ57</f>
        <v>131305.11099999998</v>
      </c>
      <c r="CD57" s="482">
        <v>130300</v>
      </c>
    </row>
    <row r="58" spans="1:83" ht="15" customHeight="1">
      <c r="A58" s="92" t="s">
        <v>597</v>
      </c>
      <c r="B58" s="97"/>
      <c r="C58" s="97"/>
      <c r="D58" s="97"/>
      <c r="E58" s="97"/>
      <c r="F58" s="97"/>
      <c r="G58" s="97">
        <f>+G59/Forex!B31</f>
        <v>556.61438999999996</v>
      </c>
      <c r="H58" s="97">
        <f>+H59/Forex!C31</f>
        <v>642.3663600000001</v>
      </c>
      <c r="I58" s="97">
        <f>+I59/Forex!D31</f>
        <v>691.99800000000005</v>
      </c>
      <c r="J58" s="97">
        <f>+J59/Forex!E31</f>
        <v>698.31780898095371</v>
      </c>
      <c r="K58" s="97">
        <f>+K59/Forex!F31</f>
        <v>798.25142402967276</v>
      </c>
      <c r="L58" s="97">
        <f>+L59/Forex!G31</f>
        <v>888.19053919947078</v>
      </c>
      <c r="M58" s="97">
        <f>+M59/Forex!H31</f>
        <v>940.03208160243503</v>
      </c>
      <c r="N58" s="97">
        <f>+N59/Forex!I31</f>
        <v>991.01826622262593</v>
      </c>
      <c r="O58" s="97">
        <f>+O59/Forex!J31</f>
        <v>897.75036793047866</v>
      </c>
      <c r="P58" s="97">
        <f>+P59/Forex!K31</f>
        <v>833.33333333333326</v>
      </c>
      <c r="Q58" s="97">
        <f>+Q59/Forex!L31</f>
        <v>858.60901199331556</v>
      </c>
      <c r="R58" s="97">
        <f>+R59/Forex!M31</f>
        <v>951.91122071516645</v>
      </c>
      <c r="S58" s="934">
        <v>1011.1</v>
      </c>
      <c r="T58" s="97">
        <f ca="1">+T59/Forex!O31</f>
        <v>969.4297757023744</v>
      </c>
      <c r="U58" s="97">
        <f ca="1">+U59/Forex!P31</f>
        <v>899.31335849866696</v>
      </c>
      <c r="V58" s="97">
        <f ca="1">+V59/Forex!Q31</f>
        <v>977.56833804442408</v>
      </c>
      <c r="W58" s="97">
        <f ca="1">+W59/Forex!R31</f>
        <v>889.55664115948855</v>
      </c>
      <c r="X58" s="97">
        <f ca="1">+X59/Forex!S31</f>
        <v>1014.108020607082</v>
      </c>
      <c r="Y58" s="97">
        <f ca="1">+Y59/Forex!T31</f>
        <v>1041.9919242659362</v>
      </c>
      <c r="Z58" s="97">
        <f ca="1">+Z59/Forex!U31</f>
        <v>1086.3038274227329</v>
      </c>
      <c r="AA58" s="91"/>
      <c r="AB58" s="92" t="s">
        <v>597</v>
      </c>
      <c r="BB58" s="107">
        <f>+BB59*Forex!F8</f>
        <v>186.48804000000001</v>
      </c>
      <c r="BC58" s="107">
        <f>+BC59*Forex!G8</f>
        <v>194.69995999999998</v>
      </c>
      <c r="BD58" s="107">
        <f>+BD59*Forex!H8</f>
        <v>180.10732000000002</v>
      </c>
      <c r="BE58" s="107">
        <f>+BE59*Forex!I8</f>
        <v>153.41886</v>
      </c>
      <c r="BF58" s="107">
        <f>+BF59*Forex!J8</f>
        <v>155.82893999999999</v>
      </c>
      <c r="BG58" s="107">
        <f>+BG59*Forex!K8</f>
        <v>172.72696000000002</v>
      </c>
      <c r="BH58" s="107">
        <f>+BH59*Forex!L8</f>
        <v>179.77614</v>
      </c>
      <c r="BI58" s="107">
        <f>+BI59*Forex!M8</f>
        <v>192.48344000000006</v>
      </c>
      <c r="BJ58" s="107">
        <f>+BJ59*Forex!N8</f>
        <v>181.98173263216162</v>
      </c>
      <c r="BK58" s="107">
        <f>+BK59*Forex!O8</f>
        <v>191.40823589222165</v>
      </c>
      <c r="BL58" s="107">
        <f>+BL59*Forex!P8</f>
        <v>205.79783999999998</v>
      </c>
      <c r="BM58" s="107">
        <f>+BM59*Forex!Q8</f>
        <v>218.92675891612683</v>
      </c>
      <c r="BN58" s="107">
        <f>+BN59*Forex!R8</f>
        <v>213.73941546025677</v>
      </c>
      <c r="BO58" s="107">
        <f>+BO59*Forex!S8</f>
        <v>228.58787966028504</v>
      </c>
      <c r="BP58" s="107">
        <f>+BP59*Forex!T8</f>
        <v>231.88815139104648</v>
      </c>
      <c r="BQ58" s="107">
        <f>+BQ59*Forex!U8</f>
        <v>222.39221140472878</v>
      </c>
      <c r="BR58" s="108">
        <v>224.5</v>
      </c>
      <c r="BS58" s="108">
        <v>226.8</v>
      </c>
      <c r="BT58" s="108">
        <v>241</v>
      </c>
      <c r="BU58" s="108">
        <v>248.3</v>
      </c>
      <c r="BV58" s="108">
        <v>250.4</v>
      </c>
      <c r="BW58" s="108">
        <v>252.7</v>
      </c>
      <c r="BX58" s="108">
        <v>244.8</v>
      </c>
      <c r="BY58" s="108">
        <v>243.7</v>
      </c>
      <c r="BZ58" s="108">
        <v>225.3</v>
      </c>
      <c r="CA58" s="109">
        <f>+CA57/Forex!AE15</f>
        <v>229.85811894932303</v>
      </c>
      <c r="CB58" s="109">
        <f>+CB57/Forex!AF15</f>
        <v>223.57969785591914</v>
      </c>
      <c r="CC58" s="109">
        <f>+CC57/Forex!AG15</f>
        <v>219.38666187699451</v>
      </c>
      <c r="CD58" s="109">
        <f>+CD57/Forex!AH15</f>
        <v>208.61017274779462</v>
      </c>
    </row>
    <row r="59" spans="1:83" ht="15" customHeight="1">
      <c r="A59" s="92" t="s">
        <v>598</v>
      </c>
      <c r="B59" s="97"/>
      <c r="C59" s="97"/>
      <c r="D59" s="97"/>
      <c r="E59" s="97"/>
      <c r="F59" s="97"/>
      <c r="G59" s="96">
        <v>444.9</v>
      </c>
      <c r="H59" s="96">
        <v>462.6</v>
      </c>
      <c r="I59" s="96">
        <v>485</v>
      </c>
      <c r="J59" s="96">
        <v>502.3</v>
      </c>
      <c r="K59" s="96">
        <v>602.6</v>
      </c>
      <c r="L59" s="97">
        <f>+L57/Forex!G61</f>
        <v>638.60899768441948</v>
      </c>
      <c r="M59" s="97">
        <f>+M57/Forex!H61</f>
        <v>731.2509562785342</v>
      </c>
      <c r="N59" s="97">
        <f>+N57/Forex!I61</f>
        <v>746.23675446563732</v>
      </c>
      <c r="O59" s="97">
        <f>+O57/Forex!J61</f>
        <v>676.63445230920183</v>
      </c>
      <c r="P59" s="97">
        <f>+P57/Forex!K61</f>
        <v>750</v>
      </c>
      <c r="Q59" s="97">
        <f>+Q57/Forex!L61</f>
        <v>773.97292321629311</v>
      </c>
      <c r="R59" s="97">
        <f>+R57/Forex!M61</f>
        <v>837.68187422934648</v>
      </c>
      <c r="S59" s="97">
        <f>+S57/Forex!N61</f>
        <v>856.12679609425641</v>
      </c>
      <c r="T59" s="97">
        <f ca="1">+T57/Forex!O61</f>
        <v>856.49120683304773</v>
      </c>
      <c r="U59" s="97">
        <f ca="1">+U57/Forex!P61</f>
        <v>794.54335223357225</v>
      </c>
      <c r="V59" s="97">
        <f ca="1">+V57/Forex!Q61</f>
        <v>863.68162666224862</v>
      </c>
      <c r="W59" s="97">
        <f ca="1">+W57/Forex!R61</f>
        <v>785.92329246440806</v>
      </c>
      <c r="X59" s="97">
        <f ca="1">+X57/Forex!S61</f>
        <v>895.96443620635694</v>
      </c>
      <c r="Y59" s="97">
        <f ca="1">+Y57/Forex!T61</f>
        <v>920.59986508895452</v>
      </c>
      <c r="Z59" s="97">
        <f ca="1">+Z57/Forex!U61</f>
        <v>959.74943152798437</v>
      </c>
      <c r="AA59" s="91"/>
      <c r="AB59" s="92" t="s">
        <v>598</v>
      </c>
      <c r="BB59" s="108">
        <v>124.4</v>
      </c>
      <c r="BC59" s="108">
        <v>124.6</v>
      </c>
      <c r="BD59" s="108">
        <v>119.8</v>
      </c>
      <c r="BE59" s="108">
        <v>116.19999999999999</v>
      </c>
      <c r="BF59" s="108">
        <v>119.4</v>
      </c>
      <c r="BG59" s="108">
        <v>126.8</v>
      </c>
      <c r="BH59" s="108">
        <v>125.7</v>
      </c>
      <c r="BI59" s="108">
        <v>130.40000000000003</v>
      </c>
      <c r="BJ59" s="108">
        <v>131.5</v>
      </c>
      <c r="BK59" s="108">
        <v>150.6</v>
      </c>
      <c r="BL59" s="108">
        <v>159.19999999999999</v>
      </c>
      <c r="BM59" s="108">
        <v>161.2601347349196</v>
      </c>
      <c r="BN59" s="108">
        <v>156.5</v>
      </c>
      <c r="BO59" s="108">
        <v>158.80000000000001</v>
      </c>
      <c r="BP59" s="108">
        <v>164.2</v>
      </c>
      <c r="BQ59" s="110">
        <v>159.89999999999998</v>
      </c>
      <c r="BR59" s="109">
        <f>+BR57/Forex!V26</f>
        <v>171.15879999999996</v>
      </c>
      <c r="BS59" s="109">
        <f>+BS57/Forex!W26</f>
        <v>176.79060000000001</v>
      </c>
      <c r="BT59" s="109">
        <f>+BT57/Forex!X26</f>
        <v>192.53490000000005</v>
      </c>
      <c r="BU59" s="109">
        <f>+BU57/Forex!Y26</f>
        <v>191.30903767624625</v>
      </c>
      <c r="BV59" s="109">
        <f>+BV57/Forex!Z26</f>
        <v>189.678</v>
      </c>
      <c r="BW59" s="109">
        <f>+BW57/Forex!AA26</f>
        <v>193.39130999999958</v>
      </c>
      <c r="BX59" s="109">
        <f>+BX57/Forex!AB26</f>
        <v>184.75055999999947</v>
      </c>
      <c r="BY59" s="109">
        <f>+BY57/Forex!AC26</f>
        <v>179.15876363298293</v>
      </c>
      <c r="BZ59" s="109">
        <f>+BZ57/Forex!AD26</f>
        <v>164.37888000000004</v>
      </c>
      <c r="CA59" s="109">
        <f>+CA57/Forex!AE26</f>
        <v>167.63552614974125</v>
      </c>
      <c r="CB59" s="109">
        <f>+CB57/Forex!AF26</f>
        <v>168.80267188121894</v>
      </c>
      <c r="CC59" s="109">
        <f>+CC57/Forex!AG26</f>
        <v>175.66391374569181</v>
      </c>
      <c r="CD59" s="109">
        <f>+CD57/Forex!AH26</f>
        <v>185.18435219511284</v>
      </c>
      <c r="CE59" s="109"/>
    </row>
    <row r="60" spans="1:83" ht="15" customHeight="1">
      <c r="B60" s="97"/>
      <c r="C60" s="97"/>
      <c r="D60" s="97"/>
      <c r="E60" s="97"/>
      <c r="F60" s="97"/>
      <c r="G60" s="96"/>
      <c r="H60" s="96"/>
      <c r="I60" s="96"/>
      <c r="J60" s="96"/>
      <c r="K60" s="96"/>
      <c r="L60" s="97"/>
      <c r="M60" s="97"/>
      <c r="N60" s="97"/>
      <c r="O60" s="97"/>
      <c r="P60" s="97"/>
      <c r="Q60" s="97"/>
      <c r="R60" s="126"/>
      <c r="S60" s="97"/>
      <c r="T60" s="97"/>
      <c r="U60" s="97"/>
      <c r="V60" s="97"/>
      <c r="W60" s="97"/>
      <c r="X60" s="97"/>
      <c r="Y60" s="97"/>
      <c r="Z60" s="97"/>
      <c r="AA60" s="91"/>
      <c r="BB60" s="108"/>
      <c r="BC60" s="108"/>
      <c r="BD60" s="108"/>
      <c r="BE60" s="108"/>
      <c r="BF60" s="108"/>
      <c r="BG60" s="108"/>
      <c r="BH60" s="108"/>
      <c r="BI60" s="108"/>
      <c r="BJ60" s="108"/>
      <c r="BK60" s="108"/>
      <c r="BL60" s="108"/>
      <c r="BM60" s="108"/>
      <c r="BN60" s="108"/>
      <c r="BO60" s="108"/>
      <c r="BP60" s="108"/>
      <c r="BQ60" s="110"/>
      <c r="BR60" s="109"/>
      <c r="BS60" s="109"/>
      <c r="BT60" s="109"/>
      <c r="BU60" s="109"/>
      <c r="BV60" s="109"/>
      <c r="BW60" s="109"/>
      <c r="BX60" s="109"/>
      <c r="BY60" s="109"/>
      <c r="BZ60" s="109"/>
      <c r="CA60" s="109"/>
      <c r="CB60" s="109"/>
      <c r="CC60" s="109"/>
      <c r="CD60" s="109"/>
      <c r="CE60" s="109"/>
    </row>
    <row r="61" spans="1:83" ht="15" customHeight="1">
      <c r="A61" s="92" t="s">
        <v>599</v>
      </c>
      <c r="B61" s="97"/>
      <c r="C61" s="97"/>
      <c r="D61" s="97"/>
      <c r="E61" s="97"/>
      <c r="F61" s="97"/>
      <c r="G61" s="111"/>
      <c r="H61" s="112">
        <f t="shared" ref="H61:Z63" si="59">+H57/G57-1</f>
        <v>0.13654044306485624</v>
      </c>
      <c r="I61" s="112">
        <f t="shared" si="59"/>
        <v>0.18704966566127568</v>
      </c>
      <c r="J61" s="112">
        <f t="shared" si="59"/>
        <v>-7.0084528686823466E-3</v>
      </c>
      <c r="K61" s="112">
        <f t="shared" si="59"/>
        <v>4.275914212385179E-2</v>
      </c>
      <c r="L61" s="103">
        <f t="shared" si="59"/>
        <v>5.499941717311696E-2</v>
      </c>
      <c r="M61" s="103">
        <f t="shared" si="59"/>
        <v>6.4013035381750516E-2</v>
      </c>
      <c r="N61" s="103">
        <f t="shared" si="59"/>
        <v>7.4163202800262562E-2</v>
      </c>
      <c r="O61" s="103">
        <f t="shared" si="59"/>
        <v>4.3584521384928632E-2</v>
      </c>
      <c r="P61" s="103">
        <f t="shared" si="59"/>
        <v>6.8501170960187263E-2</v>
      </c>
      <c r="Q61" s="103">
        <f t="shared" si="59"/>
        <v>6.045662100456628E-2</v>
      </c>
      <c r="R61" s="103">
        <f t="shared" si="59"/>
        <v>6.3727178780571769E-2</v>
      </c>
      <c r="S61" s="103">
        <f t="shared" si="59"/>
        <v>5.1324622733160519E-2</v>
      </c>
      <c r="T61" s="103">
        <f t="shared" ca="1" si="59"/>
        <v>4.960902544407042E-2</v>
      </c>
      <c r="U61" s="103">
        <f t="shared" ca="1" si="59"/>
        <v>4.5116119732044213E-2</v>
      </c>
      <c r="V61" s="103">
        <f t="shared" ca="1" si="59"/>
        <v>4.4469007378683978E-2</v>
      </c>
      <c r="W61" s="103">
        <f t="shared" ca="1" si="59"/>
        <v>4.3893194516292366E-2</v>
      </c>
      <c r="X61" s="103">
        <f t="shared" ca="1" si="59"/>
        <v>4.3381535521999748E-2</v>
      </c>
      <c r="Y61" s="103">
        <f t="shared" ca="1" si="59"/>
        <v>4.2927719176911294E-2</v>
      </c>
      <c r="Z61" s="103">
        <f t="shared" ca="1" si="59"/>
        <v>4.2526148355721327E-2</v>
      </c>
      <c r="AA61" s="91"/>
      <c r="AB61" s="92" t="s">
        <v>599</v>
      </c>
      <c r="BB61" s="91"/>
      <c r="BC61" s="91"/>
      <c r="BD61" s="91"/>
      <c r="BE61" s="91"/>
      <c r="BF61" s="103">
        <f t="shared" ref="BF61:CD63" si="60">+BF57/BB57-1</f>
        <v>9.8423551215549354E-2</v>
      </c>
      <c r="BG61" s="103">
        <f t="shared" si="60"/>
        <v>6.6617941102730338E-2</v>
      </c>
      <c r="BH61" s="103">
        <f t="shared" si="60"/>
        <v>5.3053605698259121E-2</v>
      </c>
      <c r="BI61" s="103">
        <f t="shared" si="60"/>
        <v>1.2998155150523383E-2</v>
      </c>
      <c r="BJ61" s="103">
        <f t="shared" si="60"/>
        <v>-5.2364095883637995E-3</v>
      </c>
      <c r="BK61" s="103">
        <f t="shared" si="60"/>
        <v>3.8045551976318315E-2</v>
      </c>
      <c r="BL61" s="103">
        <f t="shared" si="60"/>
        <v>7.2038803871353529E-2</v>
      </c>
      <c r="BM61" s="103">
        <f t="shared" si="60"/>
        <v>5.4635225060866821E-2</v>
      </c>
      <c r="BN61" s="103">
        <f t="shared" si="60"/>
        <v>9.009928453984628E-2</v>
      </c>
      <c r="BO61" s="103">
        <f t="shared" si="60"/>
        <v>5.606023832140572E-2</v>
      </c>
      <c r="BP61" s="103">
        <f t="shared" si="60"/>
        <v>4.0959975208420429E-2</v>
      </c>
      <c r="BQ61" s="103">
        <f t="shared" si="60"/>
        <v>2.3340147657598731E-2</v>
      </c>
      <c r="BR61" s="103">
        <f t="shared" si="60"/>
        <v>6.6331751424603347E-2</v>
      </c>
      <c r="BS61" s="103">
        <f t="shared" si="60"/>
        <v>4.9203749903713012E-2</v>
      </c>
      <c r="BT61" s="103">
        <f t="shared" si="60"/>
        <v>6.1870267304041882E-2</v>
      </c>
      <c r="BU61" s="103">
        <f t="shared" si="60"/>
        <v>0.10292291954097177</v>
      </c>
      <c r="BV61" s="103">
        <f t="shared" si="60"/>
        <v>7.7838755335030152E-2</v>
      </c>
      <c r="BW61" s="103">
        <f t="shared" si="60"/>
        <v>9.0037349025297697E-2</v>
      </c>
      <c r="BX61" s="103">
        <f t="shared" si="60"/>
        <v>6.7892857908238957E-2</v>
      </c>
      <c r="BY61" s="103">
        <f t="shared" si="60"/>
        <v>6.2078964080064081E-2</v>
      </c>
      <c r="BZ61" s="103">
        <f t="shared" si="60"/>
        <v>5.1507462121353154E-2</v>
      </c>
      <c r="CA61" s="103">
        <f t="shared" si="60"/>
        <v>3.9325280787786188E-2</v>
      </c>
      <c r="CB61" s="103">
        <f t="shared" si="60"/>
        <v>4.1289884142799105E-2</v>
      </c>
      <c r="CC61" s="103">
        <f t="shared" si="60"/>
        <v>4.208215528930781E-2</v>
      </c>
      <c r="CD61" s="103">
        <f t="shared" si="60"/>
        <v>4.7470688285271789E-2</v>
      </c>
    </row>
    <row r="62" spans="1:83" ht="15" customHeight="1">
      <c r="A62" s="92" t="s">
        <v>600</v>
      </c>
      <c r="B62" s="97"/>
      <c r="C62" s="97"/>
      <c r="D62" s="97"/>
      <c r="E62" s="97"/>
      <c r="F62" s="97"/>
      <c r="G62" s="111"/>
      <c r="H62" s="112">
        <f t="shared" si="59"/>
        <v>0.15405992288485426</v>
      </c>
      <c r="I62" s="112">
        <f t="shared" si="59"/>
        <v>7.7263759577945512E-2</v>
      </c>
      <c r="J62" s="112">
        <f t="shared" si="59"/>
        <v>9.1326983328761102E-3</v>
      </c>
      <c r="K62" s="112">
        <f t="shared" si="59"/>
        <v>0.14310621004288993</v>
      </c>
      <c r="L62" s="103">
        <f t="shared" si="59"/>
        <v>0.11267015937882596</v>
      </c>
      <c r="M62" s="103">
        <f t="shared" si="59"/>
        <v>5.8367591316261125E-2</v>
      </c>
      <c r="N62" s="103">
        <f t="shared" si="59"/>
        <v>5.4238770801605884E-2</v>
      </c>
      <c r="O62" s="103">
        <f t="shared" si="59"/>
        <v>-9.4113197981353092E-2</v>
      </c>
      <c r="P62" s="103">
        <f t="shared" si="59"/>
        <v>-7.1753838147280868E-2</v>
      </c>
      <c r="Q62" s="103">
        <f t="shared" si="59"/>
        <v>3.0330814391978711E-2</v>
      </c>
      <c r="R62" s="103">
        <f t="shared" si="59"/>
        <v>0.10866670092973263</v>
      </c>
      <c r="S62" s="103">
        <f t="shared" si="59"/>
        <v>6.2178886010362699E-2</v>
      </c>
      <c r="T62" s="103">
        <f t="shared" ca="1" si="59"/>
        <v>-4.1212762632405919E-2</v>
      </c>
      <c r="U62" s="103">
        <f t="shared" ca="1" si="59"/>
        <v>-7.2327484631784178E-2</v>
      </c>
      <c r="V62" s="103">
        <f t="shared" ca="1" si="59"/>
        <v>8.7016365103702809E-2</v>
      </c>
      <c r="W62" s="103">
        <f t="shared" ca="1" si="59"/>
        <v>-9.0031247391868741E-2</v>
      </c>
      <c r="X62" s="103">
        <f t="shared" ca="1" si="59"/>
        <v>0.14001511953780432</v>
      </c>
      <c r="Y62" s="103">
        <f t="shared" ca="1" si="59"/>
        <v>2.7495989669978016E-2</v>
      </c>
      <c r="Z62" s="103">
        <f t="shared" ca="1" si="59"/>
        <v>4.2526148355721327E-2</v>
      </c>
      <c r="AA62" s="91"/>
      <c r="AB62" s="92" t="s">
        <v>600</v>
      </c>
      <c r="BB62" s="91"/>
      <c r="BC62" s="91"/>
      <c r="BD62" s="91"/>
      <c r="BE62" s="91"/>
      <c r="BF62" s="103">
        <f t="shared" si="60"/>
        <v>-0.16440250002091295</v>
      </c>
      <c r="BG62" s="103">
        <f t="shared" si="60"/>
        <v>-0.112855698583605</v>
      </c>
      <c r="BH62" s="103">
        <f t="shared" si="60"/>
        <v>-1.8387925599027133E-3</v>
      </c>
      <c r="BI62" s="103">
        <f t="shared" si="60"/>
        <v>0.25462697350247598</v>
      </c>
      <c r="BJ62" s="103">
        <f t="shared" si="60"/>
        <v>0.16783013881864073</v>
      </c>
      <c r="BK62" s="103">
        <f t="shared" si="60"/>
        <v>0.10815495098287853</v>
      </c>
      <c r="BL62" s="103">
        <f t="shared" si="60"/>
        <v>0.14474501454976152</v>
      </c>
      <c r="BM62" s="103">
        <f t="shared" si="60"/>
        <v>0.13737970869663774</v>
      </c>
      <c r="BN62" s="103">
        <f t="shared" si="60"/>
        <v>0.17451027841506894</v>
      </c>
      <c r="BO62" s="103">
        <f t="shared" si="60"/>
        <v>0.19424265416143616</v>
      </c>
      <c r="BP62" s="103">
        <f t="shared" si="60"/>
        <v>0.12677641024340436</v>
      </c>
      <c r="BQ62" s="103">
        <f t="shared" si="60"/>
        <v>1.5829277817654086E-2</v>
      </c>
      <c r="BR62" s="103">
        <f t="shared" si="60"/>
        <v>5.0344408945686814E-2</v>
      </c>
      <c r="BS62" s="103">
        <f t="shared" si="60"/>
        <v>-7.821410579345156E-3</v>
      </c>
      <c r="BT62" s="103">
        <f t="shared" si="60"/>
        <v>3.9294153471376214E-2</v>
      </c>
      <c r="BU62" s="103">
        <f t="shared" si="60"/>
        <v>0.11649593495934973</v>
      </c>
      <c r="BV62" s="103">
        <f t="shared" si="60"/>
        <v>0.11536748329621394</v>
      </c>
      <c r="BW62" s="103">
        <f t="shared" si="60"/>
        <v>0.11419753086419737</v>
      </c>
      <c r="BX62" s="103">
        <f t="shared" si="60"/>
        <v>1.5767634854771728E-2</v>
      </c>
      <c r="BY62" s="103">
        <f t="shared" si="60"/>
        <v>-1.8525976641159958E-2</v>
      </c>
      <c r="BZ62" s="103">
        <f t="shared" si="60"/>
        <v>-0.10023961661341851</v>
      </c>
      <c r="CA62" s="103">
        <f t="shared" si="60"/>
        <v>-9.0391298182338597E-2</v>
      </c>
      <c r="CB62" s="103">
        <f t="shared" si="60"/>
        <v>-8.6684240784644095E-2</v>
      </c>
      <c r="CC62" s="103">
        <f t="shared" si="60"/>
        <v>-9.9767493323781209E-2</v>
      </c>
      <c r="CD62" s="103">
        <f t="shared" si="60"/>
        <v>-7.4078239024435777E-2</v>
      </c>
    </row>
    <row r="63" spans="1:83" ht="15" customHeight="1">
      <c r="A63" s="92" t="s">
        <v>601</v>
      </c>
      <c r="B63" s="97"/>
      <c r="C63" s="97"/>
      <c r="D63" s="97"/>
      <c r="E63" s="97"/>
      <c r="F63" s="97"/>
      <c r="G63" s="111"/>
      <c r="H63" s="112">
        <f t="shared" si="59"/>
        <v>3.9784221173297496E-2</v>
      </c>
      <c r="I63" s="112">
        <f t="shared" si="59"/>
        <v>4.8421962818850028E-2</v>
      </c>
      <c r="J63" s="112">
        <f t="shared" si="59"/>
        <v>3.5670103092783512E-2</v>
      </c>
      <c r="K63" s="112">
        <f t="shared" si="59"/>
        <v>0.1996814652598049</v>
      </c>
      <c r="L63" s="103">
        <f t="shared" si="59"/>
        <v>5.9756053243311458E-2</v>
      </c>
      <c r="M63" s="103">
        <f t="shared" si="59"/>
        <v>0.1450683578371621</v>
      </c>
      <c r="N63" s="103">
        <f t="shared" si="59"/>
        <v>2.049337243040128E-2</v>
      </c>
      <c r="O63" s="103">
        <f t="shared" si="59"/>
        <v>-9.3271072136182909E-2</v>
      </c>
      <c r="P63" s="103">
        <f t="shared" si="59"/>
        <v>0.10842715359884192</v>
      </c>
      <c r="Q63" s="103">
        <f t="shared" si="59"/>
        <v>3.1963897621724247E-2</v>
      </c>
      <c r="R63" s="103">
        <f t="shared" si="59"/>
        <v>8.2314185809377882E-2</v>
      </c>
      <c r="S63" s="103">
        <f t="shared" si="59"/>
        <v>2.2019005582374573E-2</v>
      </c>
      <c r="T63" s="103">
        <f t="shared" ca="1" si="59"/>
        <v>4.2565042988229607E-4</v>
      </c>
      <c r="U63" s="103">
        <f t="shared" ca="1" si="59"/>
        <v>-7.2327484631784067E-2</v>
      </c>
      <c r="V63" s="103">
        <f t="shared" ca="1" si="59"/>
        <v>8.7016365103702586E-2</v>
      </c>
      <c r="W63" s="103">
        <f t="shared" ca="1" si="59"/>
        <v>-9.0031247391868741E-2</v>
      </c>
      <c r="X63" s="103">
        <f t="shared" ca="1" si="59"/>
        <v>0.14001511953780432</v>
      </c>
      <c r="Y63" s="103">
        <f t="shared" ca="1" si="59"/>
        <v>2.7495989669978016E-2</v>
      </c>
      <c r="Z63" s="103">
        <f t="shared" ca="1" si="59"/>
        <v>4.2526148355721327E-2</v>
      </c>
      <c r="AA63" s="91"/>
      <c r="AB63" s="92" t="s">
        <v>601</v>
      </c>
      <c r="BB63" s="91"/>
      <c r="BC63" s="91"/>
      <c r="BD63" s="91"/>
      <c r="BE63" s="91"/>
      <c r="BF63" s="103">
        <f t="shared" si="60"/>
        <v>-4.019292604501612E-2</v>
      </c>
      <c r="BG63" s="103">
        <f t="shared" si="60"/>
        <v>1.7656500802568198E-2</v>
      </c>
      <c r="BH63" s="103">
        <f t="shared" si="60"/>
        <v>4.9248747913188673E-2</v>
      </c>
      <c r="BI63" s="103">
        <f t="shared" si="60"/>
        <v>0.12220309810671304</v>
      </c>
      <c r="BJ63" s="103">
        <f t="shared" si="60"/>
        <v>0.10134003350083742</v>
      </c>
      <c r="BK63" s="103">
        <f t="shared" si="60"/>
        <v>0.1876971608832807</v>
      </c>
      <c r="BL63" s="103">
        <f t="shared" si="60"/>
        <v>0.26650755767700862</v>
      </c>
      <c r="BM63" s="103">
        <f t="shared" si="60"/>
        <v>0.2366574749610395</v>
      </c>
      <c r="BN63" s="103">
        <f t="shared" si="60"/>
        <v>0.19011406844106471</v>
      </c>
      <c r="BO63" s="103">
        <f t="shared" si="60"/>
        <v>5.4448871181939085E-2</v>
      </c>
      <c r="BP63" s="103">
        <f t="shared" si="60"/>
        <v>3.1407035175879505E-2</v>
      </c>
      <c r="BQ63" s="103">
        <f t="shared" si="60"/>
        <v>-8.4344139805875296E-3</v>
      </c>
      <c r="BR63" s="103">
        <f t="shared" si="60"/>
        <v>9.3666453674121186E-2</v>
      </c>
      <c r="BS63" s="103">
        <f t="shared" si="60"/>
        <v>0.11329093198992446</v>
      </c>
      <c r="BT63" s="103">
        <f t="shared" si="60"/>
        <v>0.172563337393423</v>
      </c>
      <c r="BU63" s="103">
        <f t="shared" si="60"/>
        <v>0.19642925376013931</v>
      </c>
      <c r="BV63" s="103">
        <f t="shared" si="60"/>
        <v>0.10819893572518646</v>
      </c>
      <c r="BW63" s="103">
        <f t="shared" si="60"/>
        <v>9.3900410994699701E-2</v>
      </c>
      <c r="BX63" s="103">
        <f t="shared" si="60"/>
        <v>-4.043079981863329E-2</v>
      </c>
      <c r="BY63" s="103">
        <f t="shared" si="60"/>
        <v>-6.3511239149220522E-2</v>
      </c>
      <c r="BZ63" s="103">
        <f t="shared" si="60"/>
        <v>-0.13337930598171621</v>
      </c>
      <c r="CA63" s="103">
        <f t="shared" si="60"/>
        <v>-0.13317963382252485</v>
      </c>
      <c r="CB63" s="103">
        <f t="shared" si="60"/>
        <v>-8.6321189601701764E-2</v>
      </c>
      <c r="CC63" s="103">
        <f t="shared" si="60"/>
        <v>-1.9506999358683386E-2</v>
      </c>
      <c r="CD63" s="103">
        <f t="shared" si="60"/>
        <v>0.12657022724034128</v>
      </c>
    </row>
    <row r="64" spans="1:83" ht="15" customHeight="1">
      <c r="B64" s="97"/>
      <c r="C64" s="97"/>
      <c r="D64" s="97"/>
      <c r="E64" s="97"/>
      <c r="F64" s="97"/>
      <c r="G64" s="111"/>
      <c r="H64" s="111"/>
      <c r="I64" s="111"/>
      <c r="J64" s="111"/>
      <c r="K64" s="111"/>
      <c r="L64" s="97"/>
      <c r="M64" s="97"/>
      <c r="N64" s="97"/>
      <c r="O64" s="105"/>
      <c r="P64" s="97"/>
      <c r="Q64" s="97"/>
      <c r="R64" s="97"/>
      <c r="S64" s="97"/>
      <c r="T64" s="97"/>
      <c r="U64" s="97"/>
      <c r="V64" s="97"/>
      <c r="W64" s="97"/>
      <c r="X64" s="97"/>
      <c r="Y64" s="97"/>
      <c r="Z64" s="97"/>
      <c r="A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107"/>
      <c r="BZ64" s="91"/>
      <c r="CA64" s="91"/>
      <c r="CB64" s="91"/>
      <c r="CC64" s="91"/>
    </row>
    <row r="65" spans="1:83" ht="15" customHeight="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row>
    <row r="66" spans="1:83" ht="15" customHeight="1">
      <c r="A66" s="92" t="s">
        <v>602</v>
      </c>
      <c r="B66" s="91"/>
      <c r="C66" s="91"/>
      <c r="D66" s="91"/>
      <c r="E66" s="91"/>
      <c r="F66" s="91"/>
      <c r="G66" s="97">
        <f t="shared" ref="G66:Z66" si="61">AVERAGE(F15:G15)</f>
        <v>0</v>
      </c>
      <c r="H66" s="97">
        <f t="shared" si="61"/>
        <v>0</v>
      </c>
      <c r="I66" s="97">
        <f t="shared" si="61"/>
        <v>0</v>
      </c>
      <c r="J66" s="97">
        <f t="shared" si="61"/>
        <v>0</v>
      </c>
      <c r="K66" s="97">
        <f t="shared" si="61"/>
        <v>0</v>
      </c>
      <c r="L66" s="97">
        <f t="shared" si="61"/>
        <v>0</v>
      </c>
      <c r="M66" s="97">
        <f t="shared" si="61"/>
        <v>20</v>
      </c>
      <c r="N66" s="97">
        <f t="shared" si="61"/>
        <v>55.65</v>
      </c>
      <c r="O66" s="97">
        <f t="shared" si="61"/>
        <v>90.9</v>
      </c>
      <c r="P66" s="97">
        <f t="shared" si="61"/>
        <v>121.25</v>
      </c>
      <c r="Q66" s="97">
        <f t="shared" si="61"/>
        <v>149.1</v>
      </c>
      <c r="R66" s="97">
        <f t="shared" si="61"/>
        <v>190.55</v>
      </c>
      <c r="S66" s="97">
        <f t="shared" si="61"/>
        <v>229.9</v>
      </c>
      <c r="T66" s="97">
        <f t="shared" si="61"/>
        <v>259.89999999999998</v>
      </c>
      <c r="U66" s="97">
        <f t="shared" si="61"/>
        <v>289.89999999999998</v>
      </c>
      <c r="V66" s="97">
        <f t="shared" si="61"/>
        <v>319.89999999999998</v>
      </c>
      <c r="W66" s="97">
        <f t="shared" si="61"/>
        <v>349.9</v>
      </c>
      <c r="X66" s="97">
        <f t="shared" si="61"/>
        <v>379.9</v>
      </c>
      <c r="Y66" s="97">
        <f t="shared" si="61"/>
        <v>409.9</v>
      </c>
      <c r="Z66" s="97">
        <f t="shared" si="61"/>
        <v>439.9</v>
      </c>
      <c r="AA66" s="91"/>
      <c r="AB66" s="92" t="s">
        <v>602</v>
      </c>
      <c r="BB66" s="97">
        <f t="shared" ref="BB66:CD66" si="62">AVERAGE(BA15:BB15)</f>
        <v>0</v>
      </c>
      <c r="BC66" s="97">
        <f t="shared" si="62"/>
        <v>0</v>
      </c>
      <c r="BD66" s="97">
        <f t="shared" si="62"/>
        <v>0</v>
      </c>
      <c r="BE66" s="97">
        <f t="shared" si="62"/>
        <v>0</v>
      </c>
      <c r="BF66" s="97">
        <f t="shared" si="62"/>
        <v>0</v>
      </c>
      <c r="BG66" s="97">
        <f t="shared" si="62"/>
        <v>0</v>
      </c>
      <c r="BH66" s="97">
        <f t="shared" si="62"/>
        <v>0</v>
      </c>
      <c r="BI66" s="97">
        <f t="shared" si="62"/>
        <v>0</v>
      </c>
      <c r="BJ66" s="97">
        <f t="shared" si="62"/>
        <v>0</v>
      </c>
      <c r="BK66" s="97">
        <f t="shared" si="62"/>
        <v>0</v>
      </c>
      <c r="BL66" s="97">
        <f t="shared" si="62"/>
        <v>0</v>
      </c>
      <c r="BM66" s="97">
        <f t="shared" si="62"/>
        <v>0</v>
      </c>
      <c r="BN66" s="97">
        <f t="shared" si="62"/>
        <v>0</v>
      </c>
      <c r="BO66" s="97">
        <f t="shared" si="62"/>
        <v>0</v>
      </c>
      <c r="BP66" s="97">
        <f t="shared" si="62"/>
        <v>0</v>
      </c>
      <c r="BQ66" s="97">
        <f t="shared" si="62"/>
        <v>0</v>
      </c>
      <c r="BR66" s="97">
        <f t="shared" si="62"/>
        <v>0</v>
      </c>
      <c r="BS66" s="97">
        <f t="shared" si="62"/>
        <v>0</v>
      </c>
      <c r="BT66" s="97">
        <f t="shared" si="62"/>
        <v>0</v>
      </c>
      <c r="BU66" s="97">
        <f t="shared" si="62"/>
        <v>0</v>
      </c>
      <c r="BV66" s="97">
        <f t="shared" si="62"/>
        <v>23.75</v>
      </c>
      <c r="BW66" s="97">
        <f t="shared" si="62"/>
        <v>93.8</v>
      </c>
      <c r="BX66" s="97">
        <f t="shared" si="62"/>
        <v>110</v>
      </c>
      <c r="BY66" s="97">
        <f t="shared" si="62"/>
        <v>75.599999999999994</v>
      </c>
      <c r="BZ66" s="97">
        <f t="shared" si="62"/>
        <v>77.150000000000006</v>
      </c>
      <c r="CA66" s="97">
        <f t="shared" si="62"/>
        <v>86.35</v>
      </c>
      <c r="CB66" s="97">
        <f t="shared" si="62"/>
        <v>95.2</v>
      </c>
      <c r="CC66" s="97">
        <f t="shared" si="62"/>
        <v>105.6</v>
      </c>
      <c r="CD66" s="97">
        <f t="shared" si="62"/>
        <v>114</v>
      </c>
    </row>
    <row r="67" spans="1:83" ht="15" customHeight="1">
      <c r="A67" s="92" t="s">
        <v>603</v>
      </c>
      <c r="B67" s="91"/>
      <c r="C67" s="91"/>
      <c r="D67" s="91"/>
      <c r="E67" s="91"/>
      <c r="F67" s="91"/>
      <c r="G67" s="105"/>
      <c r="H67" s="105"/>
      <c r="I67" s="105"/>
      <c r="J67" s="105"/>
      <c r="K67" s="105"/>
      <c r="L67" s="105"/>
      <c r="M67" s="105">
        <f t="shared" ref="M67:R67" si="63">1000*M68/AVERAGE(L15:M15)/12</f>
        <v>22083.333333333332</v>
      </c>
      <c r="N67" s="105">
        <f t="shared" si="63"/>
        <v>15274.034141958671</v>
      </c>
      <c r="O67" s="105">
        <f t="shared" si="63"/>
        <v>12834.616795012835</v>
      </c>
      <c r="P67" s="105">
        <f t="shared" si="63"/>
        <v>16013.745704467356</v>
      </c>
      <c r="Q67" s="105">
        <f t="shared" si="63"/>
        <v>16767.270288397049</v>
      </c>
      <c r="R67" s="105">
        <f t="shared" si="63"/>
        <v>15306.568704626958</v>
      </c>
      <c r="S67" s="113">
        <f t="shared" ref="S67:Z67" si="64">+R67*0.98</f>
        <v>15000.437330534418</v>
      </c>
      <c r="T67" s="113">
        <f t="shared" si="64"/>
        <v>14700.428583923729</v>
      </c>
      <c r="U67" s="113">
        <f t="shared" si="64"/>
        <v>14406.420012245255</v>
      </c>
      <c r="V67" s="113">
        <f t="shared" si="64"/>
        <v>14118.29161200035</v>
      </c>
      <c r="W67" s="113">
        <f t="shared" si="64"/>
        <v>13835.925779760342</v>
      </c>
      <c r="X67" s="113">
        <f t="shared" si="64"/>
        <v>13559.207264165136</v>
      </c>
      <c r="Y67" s="113">
        <f t="shared" si="64"/>
        <v>13288.023118881832</v>
      </c>
      <c r="Z67" s="113">
        <f t="shared" si="64"/>
        <v>13022.262656504196</v>
      </c>
      <c r="AA67" s="91"/>
      <c r="AB67" s="92" t="s">
        <v>603</v>
      </c>
      <c r="BB67" s="114"/>
      <c r="BC67" s="114"/>
      <c r="BD67" s="114"/>
      <c r="BE67" s="114"/>
      <c r="BF67" s="114"/>
      <c r="BG67" s="114"/>
      <c r="BH67" s="114"/>
      <c r="BI67" s="114"/>
      <c r="BJ67" s="114"/>
      <c r="BK67" s="114"/>
      <c r="BL67" s="114"/>
      <c r="BM67" s="114"/>
      <c r="BN67" s="114"/>
      <c r="BO67" s="114"/>
      <c r="BP67" s="114"/>
      <c r="BQ67" s="114"/>
      <c r="BR67" s="114"/>
      <c r="BS67" s="114"/>
      <c r="BT67" s="114"/>
      <c r="BU67" s="114"/>
      <c r="BV67" s="115">
        <f>+BV68*1000/AVERAGE(BU15:BV15)/12</f>
        <v>9824.5614035087729</v>
      </c>
      <c r="BW67" s="116">
        <f t="shared" ref="BW67:CD67" si="65">+BW68*1000/AVERAGE(BV15:BW15)/3</f>
        <v>8884.1506751954512</v>
      </c>
      <c r="BX67" s="116">
        <f t="shared" si="65"/>
        <v>7575.757575757576</v>
      </c>
      <c r="BY67" s="116">
        <f t="shared" si="65"/>
        <v>10582.010582010584</v>
      </c>
      <c r="BZ67" s="116">
        <f t="shared" si="65"/>
        <v>11233.527759775328</v>
      </c>
      <c r="CA67" s="116">
        <f t="shared" si="65"/>
        <v>12352.827639451845</v>
      </c>
      <c r="CB67" s="116">
        <f t="shared" si="65"/>
        <v>13305.32212885154</v>
      </c>
      <c r="CC67" s="116">
        <f t="shared" si="65"/>
        <v>13888.888888888891</v>
      </c>
      <c r="CD67" s="116">
        <f t="shared" si="65"/>
        <v>14619.883040935672</v>
      </c>
      <c r="CE67" s="117"/>
    </row>
    <row r="68" spans="1:83" ht="15" customHeight="1">
      <c r="A68" s="92" t="s">
        <v>604</v>
      </c>
      <c r="B68" s="91"/>
      <c r="C68" s="91"/>
      <c r="D68" s="91"/>
      <c r="E68" s="91"/>
      <c r="F68" s="91"/>
      <c r="G68" s="106">
        <f>+G66*G67*12/1000</f>
        <v>0</v>
      </c>
      <c r="H68" s="106">
        <f>+H66*H67*12/1000</f>
        <v>0</v>
      </c>
      <c r="I68" s="106">
        <f>+I66*I67*12/1000</f>
        <v>0</v>
      </c>
      <c r="J68" s="106">
        <f>+J66*J67*12/1000</f>
        <v>0</v>
      </c>
      <c r="K68" s="106">
        <f>+K66*K67*12/1000</f>
        <v>0</v>
      </c>
      <c r="L68" s="106">
        <v>0</v>
      </c>
      <c r="M68" s="106">
        <v>5300</v>
      </c>
      <c r="N68" s="106">
        <v>10200</v>
      </c>
      <c r="O68" s="106">
        <v>14000</v>
      </c>
      <c r="P68" s="106">
        <v>23300</v>
      </c>
      <c r="Q68" s="688">
        <v>30000</v>
      </c>
      <c r="R68" s="688">
        <v>35000</v>
      </c>
      <c r="S68" s="97">
        <f t="shared" ref="S68:Z68" si="66">+S66*S67*12/1000</f>
        <v>41383.206507478353</v>
      </c>
      <c r="T68" s="97">
        <f t="shared" si="66"/>
        <v>45847.69666754132</v>
      </c>
      <c r="U68" s="97">
        <f t="shared" si="66"/>
        <v>50117.053938598787</v>
      </c>
      <c r="V68" s="97">
        <f t="shared" si="66"/>
        <v>54197.297840146937</v>
      </c>
      <c r="W68" s="97">
        <f t="shared" si="66"/>
        <v>58094.285164057714</v>
      </c>
      <c r="X68" s="97">
        <f t="shared" si="66"/>
        <v>61813.714075876014</v>
      </c>
      <c r="Y68" s="97">
        <f t="shared" si="66"/>
        <v>65361.128117155953</v>
      </c>
      <c r="Z68" s="97">
        <f t="shared" si="66"/>
        <v>68741.920111154352</v>
      </c>
      <c r="AA68" s="91"/>
      <c r="AB68" s="92" t="s">
        <v>604</v>
      </c>
      <c r="BB68" s="97">
        <f t="shared" ref="BB68:BQ68" si="67">+BB66*BB67*3/1000</f>
        <v>0</v>
      </c>
      <c r="BC68" s="97">
        <f t="shared" si="67"/>
        <v>0</v>
      </c>
      <c r="BD68" s="97">
        <f t="shared" si="67"/>
        <v>0</v>
      </c>
      <c r="BE68" s="97">
        <f t="shared" si="67"/>
        <v>0</v>
      </c>
      <c r="BF68" s="97">
        <f t="shared" si="67"/>
        <v>0</v>
      </c>
      <c r="BG68" s="97">
        <f t="shared" si="67"/>
        <v>0</v>
      </c>
      <c r="BH68" s="97">
        <f t="shared" si="67"/>
        <v>0</v>
      </c>
      <c r="BI68" s="97">
        <f t="shared" si="67"/>
        <v>0</v>
      </c>
      <c r="BJ68" s="97">
        <f t="shared" si="67"/>
        <v>0</v>
      </c>
      <c r="BK68" s="97">
        <f t="shared" si="67"/>
        <v>0</v>
      </c>
      <c r="BL68" s="97">
        <f t="shared" si="67"/>
        <v>0</v>
      </c>
      <c r="BM68" s="97">
        <f t="shared" si="67"/>
        <v>0</v>
      </c>
      <c r="BN68" s="97">
        <f t="shared" si="67"/>
        <v>0</v>
      </c>
      <c r="BO68" s="97">
        <f t="shared" si="67"/>
        <v>0</v>
      </c>
      <c r="BP68" s="97">
        <f t="shared" si="67"/>
        <v>0</v>
      </c>
      <c r="BQ68" s="97">
        <f t="shared" si="67"/>
        <v>0</v>
      </c>
      <c r="BR68" s="97">
        <f>+BR66*BR67*3/1000</f>
        <v>0</v>
      </c>
      <c r="BS68" s="118">
        <v>1012.5561667735639</v>
      </c>
      <c r="BT68" s="118">
        <v>3340.1309788459344</v>
      </c>
      <c r="BU68" s="118">
        <v>4098.5062859999744</v>
      </c>
      <c r="BV68" s="96">
        <v>2800</v>
      </c>
      <c r="BW68" s="96">
        <v>2500</v>
      </c>
      <c r="BX68" s="96">
        <v>2500</v>
      </c>
      <c r="BY68" s="96">
        <f>10200-BX68-BW68-BV68</f>
        <v>2400</v>
      </c>
      <c r="BZ68" s="96">
        <v>2600</v>
      </c>
      <c r="CA68" s="96">
        <v>3200</v>
      </c>
      <c r="CB68" s="96">
        <v>3800</v>
      </c>
      <c r="CC68" s="96">
        <f>O68-CB68-CA68-BZ68</f>
        <v>4400</v>
      </c>
      <c r="CD68" s="96">
        <v>5000</v>
      </c>
      <c r="CE68" s="109"/>
    </row>
    <row r="69" spans="1:83" ht="15" customHeight="1">
      <c r="A69" s="92" t="s">
        <v>605</v>
      </c>
      <c r="B69" s="91"/>
      <c r="C69" s="91"/>
      <c r="D69" s="91"/>
      <c r="E69" s="91"/>
      <c r="F69" s="91"/>
      <c r="G69" s="105">
        <f t="shared" ref="G69:P69" si="68">+G57*G77</f>
        <v>0</v>
      </c>
      <c r="H69" s="105">
        <f t="shared" si="68"/>
        <v>0</v>
      </c>
      <c r="I69" s="105">
        <f t="shared" si="68"/>
        <v>0</v>
      </c>
      <c r="J69" s="105">
        <f t="shared" si="68"/>
        <v>0</v>
      </c>
      <c r="K69" s="105">
        <f t="shared" si="68"/>
        <v>0</v>
      </c>
      <c r="L69" s="105">
        <f t="shared" si="68"/>
        <v>0</v>
      </c>
      <c r="M69" s="105">
        <f t="shared" si="68"/>
        <v>0</v>
      </c>
      <c r="N69" s="105">
        <f t="shared" si="68"/>
        <v>0</v>
      </c>
      <c r="O69" s="105">
        <f t="shared" si="68"/>
        <v>0</v>
      </c>
      <c r="P69" s="105">
        <f t="shared" si="68"/>
        <v>0</v>
      </c>
      <c r="Q69" s="105">
        <f>+Q57*Q77</f>
        <v>0</v>
      </c>
      <c r="R69" s="105">
        <f>+R57*R77</f>
        <v>0</v>
      </c>
      <c r="S69" s="105">
        <f t="shared" ref="S69:Z70" si="69">+R69*(1+S73)</f>
        <v>0</v>
      </c>
      <c r="T69" s="105">
        <f t="shared" si="69"/>
        <v>0</v>
      </c>
      <c r="U69" s="105">
        <f t="shared" si="69"/>
        <v>0</v>
      </c>
      <c r="V69" s="105">
        <f t="shared" si="69"/>
        <v>0</v>
      </c>
      <c r="W69" s="105">
        <f t="shared" si="69"/>
        <v>0</v>
      </c>
      <c r="X69" s="105">
        <f t="shared" si="69"/>
        <v>0</v>
      </c>
      <c r="Y69" s="105">
        <f t="shared" si="69"/>
        <v>0</v>
      </c>
      <c r="Z69" s="105">
        <f t="shared" si="69"/>
        <v>0</v>
      </c>
      <c r="AA69" s="91"/>
      <c r="AB69" s="92" t="s">
        <v>605</v>
      </c>
      <c r="BB69" s="96">
        <v>0</v>
      </c>
      <c r="BC69" s="96">
        <v>0</v>
      </c>
      <c r="BD69" s="96">
        <v>0</v>
      </c>
      <c r="BE69" s="96">
        <v>0</v>
      </c>
      <c r="BF69" s="96">
        <v>0</v>
      </c>
      <c r="BG69" s="96">
        <v>0</v>
      </c>
      <c r="BH69" s="96">
        <v>0</v>
      </c>
      <c r="BI69" s="96">
        <v>0</v>
      </c>
      <c r="BJ69" s="96">
        <v>0</v>
      </c>
      <c r="BK69" s="96">
        <v>0</v>
      </c>
      <c r="BL69" s="96">
        <v>0</v>
      </c>
      <c r="BM69" s="96">
        <v>0</v>
      </c>
      <c r="BN69" s="96">
        <v>0</v>
      </c>
      <c r="BO69" s="96">
        <v>0</v>
      </c>
      <c r="BP69" s="96">
        <v>0</v>
      </c>
      <c r="BQ69" s="96">
        <v>0</v>
      </c>
      <c r="BR69" s="96">
        <v>0</v>
      </c>
      <c r="BS69" s="96">
        <v>0</v>
      </c>
      <c r="BT69" s="96">
        <v>0</v>
      </c>
      <c r="BU69" s="96">
        <v>0</v>
      </c>
      <c r="BV69" s="96">
        <v>0</v>
      </c>
      <c r="BW69" s="96">
        <v>0</v>
      </c>
      <c r="BX69" s="96">
        <v>0</v>
      </c>
      <c r="BY69" s="96">
        <v>0</v>
      </c>
      <c r="BZ69" s="96">
        <v>0</v>
      </c>
      <c r="CA69" s="96">
        <v>0</v>
      </c>
      <c r="CB69" s="96">
        <v>0</v>
      </c>
      <c r="CC69" s="96">
        <v>0</v>
      </c>
      <c r="CD69" s="96">
        <v>0</v>
      </c>
    </row>
    <row r="70" spans="1:83" ht="15" customHeight="1">
      <c r="A70" s="92" t="s">
        <v>606</v>
      </c>
      <c r="B70" s="91"/>
      <c r="C70" s="91"/>
      <c r="D70" s="91"/>
      <c r="E70" s="91"/>
      <c r="F70" s="91"/>
      <c r="G70" s="105">
        <f>+G78*G57</f>
        <v>23319.471191928002</v>
      </c>
      <c r="H70" s="105">
        <f>+H78*H57</f>
        <v>26503.522120512003</v>
      </c>
      <c r="I70" s="105">
        <f>+I78*I57</f>
        <v>31460.997071999998</v>
      </c>
      <c r="J70" s="105">
        <f>+J78*J57</f>
        <v>31240.50415681913</v>
      </c>
      <c r="K70" s="105">
        <f>+K78*K57</f>
        <v>32576.321314081342</v>
      </c>
      <c r="L70" s="106">
        <v>36200</v>
      </c>
      <c r="M70" s="106">
        <v>38300</v>
      </c>
      <c r="N70" s="106">
        <v>38700</v>
      </c>
      <c r="O70" s="106">
        <v>31400</v>
      </c>
      <c r="P70" s="106">
        <v>32400</v>
      </c>
      <c r="Q70" s="688">
        <v>33000</v>
      </c>
      <c r="R70" s="688">
        <v>35000</v>
      </c>
      <c r="S70" s="105">
        <f t="shared" si="69"/>
        <v>35700</v>
      </c>
      <c r="T70" s="105">
        <f t="shared" si="69"/>
        <v>36414</v>
      </c>
      <c r="U70" s="105">
        <f t="shared" si="69"/>
        <v>37142.28</v>
      </c>
      <c r="V70" s="105">
        <f t="shared" si="69"/>
        <v>37885.125599999999</v>
      </c>
      <c r="W70" s="105">
        <f t="shared" si="69"/>
        <v>38642.828112000003</v>
      </c>
      <c r="X70" s="105">
        <f t="shared" si="69"/>
        <v>39415.684674240001</v>
      </c>
      <c r="Y70" s="105">
        <f t="shared" si="69"/>
        <v>40203.998367724802</v>
      </c>
      <c r="Z70" s="105">
        <f t="shared" si="69"/>
        <v>41008.078335079299</v>
      </c>
      <c r="AA70" s="91"/>
      <c r="AB70" s="92" t="s">
        <v>606</v>
      </c>
      <c r="BB70" s="105">
        <f t="shared" ref="BB70:BU70" si="70">+BB78*BB57</f>
        <v>6049.0379582640016</v>
      </c>
      <c r="BC70" s="105">
        <f t="shared" si="70"/>
        <v>6421.5746107240011</v>
      </c>
      <c r="BD70" s="105">
        <f t="shared" si="70"/>
        <v>6517.7056854280017</v>
      </c>
      <c r="BE70" s="105">
        <f t="shared" si="70"/>
        <v>6887.2334374619995</v>
      </c>
      <c r="BF70" s="105">
        <f t="shared" si="70"/>
        <v>6644.4057555540003</v>
      </c>
      <c r="BG70" s="105">
        <f t="shared" si="70"/>
        <v>6849.3666899280006</v>
      </c>
      <c r="BH70" s="105">
        <f t="shared" si="70"/>
        <v>6863.4934729200004</v>
      </c>
      <c r="BI70" s="105">
        <f t="shared" si="70"/>
        <v>6976.754766240002</v>
      </c>
      <c r="BJ70" s="105">
        <f t="shared" si="70"/>
        <v>6609.6129255466376</v>
      </c>
      <c r="BK70" s="105">
        <f t="shared" si="70"/>
        <v>7109.9546263345201</v>
      </c>
      <c r="BL70" s="105">
        <f t="shared" si="70"/>
        <v>7357.9313330879995</v>
      </c>
      <c r="BM70" s="105">
        <f t="shared" si="70"/>
        <v>7357.9313330879995</v>
      </c>
      <c r="BN70" s="105">
        <f t="shared" si="70"/>
        <v>7205.1343212237107</v>
      </c>
      <c r="BO70" s="105">
        <f t="shared" si="70"/>
        <v>7508.5403771412139</v>
      </c>
      <c r="BP70" s="105">
        <f t="shared" si="70"/>
        <v>7659.3120180765445</v>
      </c>
      <c r="BQ70" s="105">
        <f t="shared" si="70"/>
        <v>7529.6665368567465</v>
      </c>
      <c r="BR70" s="105">
        <f t="shared" si="70"/>
        <v>7683.0635000000002</v>
      </c>
      <c r="BS70" s="105">
        <f t="shared" si="70"/>
        <v>7877.9887200000012</v>
      </c>
      <c r="BT70" s="105">
        <f t="shared" si="70"/>
        <v>8133.1957000000011</v>
      </c>
      <c r="BU70" s="105">
        <f t="shared" si="70"/>
        <v>8304.6418000000012</v>
      </c>
      <c r="BV70" s="96">
        <v>8900</v>
      </c>
      <c r="BW70" s="96">
        <v>9900</v>
      </c>
      <c r="BX70" s="96">
        <v>9700</v>
      </c>
      <c r="BY70" s="96">
        <f>38700-BX70-BW70-BV70</f>
        <v>10200</v>
      </c>
      <c r="BZ70" s="96">
        <v>7200</v>
      </c>
      <c r="CA70" s="96">
        <v>8500</v>
      </c>
      <c r="CB70" s="96">
        <v>7600</v>
      </c>
      <c r="CC70" s="96">
        <f>O70-CB70-CA70-BZ70</f>
        <v>8100</v>
      </c>
      <c r="CD70" s="96">
        <v>6300</v>
      </c>
    </row>
    <row r="71" spans="1:83" ht="15" customHeight="1">
      <c r="B71" s="91"/>
      <c r="C71" s="91"/>
      <c r="D71" s="91"/>
      <c r="E71" s="91"/>
      <c r="F71" s="91"/>
      <c r="G71" s="119"/>
      <c r="H71" s="119"/>
      <c r="I71" s="119"/>
      <c r="J71" s="119"/>
      <c r="K71" s="119"/>
      <c r="L71" s="106"/>
      <c r="M71" s="106"/>
      <c r="N71" s="106"/>
      <c r="O71" s="106"/>
      <c r="P71" s="105"/>
      <c r="Q71" s="105"/>
      <c r="R71" s="105"/>
      <c r="S71" s="105"/>
      <c r="T71" s="105"/>
      <c r="U71" s="105"/>
      <c r="V71" s="105"/>
      <c r="W71" s="105"/>
      <c r="X71" s="105"/>
      <c r="Y71" s="105"/>
      <c r="Z71" s="105"/>
      <c r="AA71" s="91"/>
      <c r="BB71" s="105"/>
      <c r="BC71" s="105"/>
      <c r="BD71" s="105"/>
      <c r="BE71" s="105"/>
      <c r="BF71" s="105"/>
      <c r="BG71" s="105"/>
      <c r="BH71" s="105"/>
      <c r="BI71" s="105"/>
      <c r="BJ71" s="105"/>
      <c r="BK71" s="105"/>
      <c r="BL71" s="105"/>
      <c r="BM71" s="105"/>
      <c r="BN71" s="105"/>
      <c r="BO71" s="105"/>
      <c r="BP71" s="105"/>
      <c r="BQ71" s="105"/>
      <c r="BR71" s="105"/>
      <c r="BS71" s="105"/>
      <c r="BT71" s="105"/>
      <c r="BU71" s="105"/>
      <c r="BV71" s="96"/>
      <c r="BW71" s="96"/>
      <c r="BX71" s="96"/>
      <c r="BY71" s="96"/>
      <c r="BZ71" s="96"/>
      <c r="CA71" s="96"/>
      <c r="CB71" s="96"/>
      <c r="CC71" s="96"/>
      <c r="CD71" s="96"/>
    </row>
    <row r="72" spans="1:83" ht="15" customHeight="1">
      <c r="A72" s="92" t="s">
        <v>607</v>
      </c>
      <c r="B72" s="91"/>
      <c r="C72" s="91"/>
      <c r="D72" s="91"/>
      <c r="E72" s="91"/>
      <c r="F72" s="91"/>
      <c r="G72" s="103"/>
      <c r="H72" s="103" t="e">
        <f t="shared" ref="H72:Z72" si="71">H68/G68-1</f>
        <v>#DIV/0!</v>
      </c>
      <c r="I72" s="103" t="e">
        <f t="shared" si="71"/>
        <v>#DIV/0!</v>
      </c>
      <c r="J72" s="103" t="e">
        <f t="shared" si="71"/>
        <v>#DIV/0!</v>
      </c>
      <c r="K72" s="103" t="e">
        <f t="shared" si="71"/>
        <v>#DIV/0!</v>
      </c>
      <c r="L72" s="103" t="e">
        <f t="shared" si="71"/>
        <v>#DIV/0!</v>
      </c>
      <c r="M72" s="103" t="e">
        <f t="shared" si="71"/>
        <v>#DIV/0!</v>
      </c>
      <c r="N72" s="103">
        <f t="shared" si="71"/>
        <v>0.92452830188679247</v>
      </c>
      <c r="O72" s="103">
        <f t="shared" si="71"/>
        <v>0.37254901960784315</v>
      </c>
      <c r="P72" s="103">
        <f t="shared" si="71"/>
        <v>0.66428571428571437</v>
      </c>
      <c r="Q72" s="103">
        <f t="shared" si="71"/>
        <v>0.28755364806866957</v>
      </c>
      <c r="R72" s="103">
        <f t="shared" si="71"/>
        <v>0.16666666666666674</v>
      </c>
      <c r="S72" s="103">
        <f t="shared" si="71"/>
        <v>0.18237732878509583</v>
      </c>
      <c r="T72" s="103">
        <f t="shared" si="71"/>
        <v>0.10788168769029993</v>
      </c>
      <c r="U72" s="103">
        <f t="shared" si="71"/>
        <v>9.3120430934975129E-2</v>
      </c>
      <c r="V72" s="103">
        <f t="shared" si="71"/>
        <v>8.1414280786478166E-2</v>
      </c>
      <c r="W72" s="103">
        <f t="shared" si="71"/>
        <v>7.1903719912472575E-2</v>
      </c>
      <c r="X72" s="103">
        <f t="shared" si="71"/>
        <v>6.40240068591027E-2</v>
      </c>
      <c r="Y72" s="103">
        <f t="shared" si="71"/>
        <v>5.7388786522769131E-2</v>
      </c>
      <c r="Z72" s="103">
        <f t="shared" si="71"/>
        <v>5.1724810929495213E-2</v>
      </c>
      <c r="AA72" s="91"/>
      <c r="AB72" s="92" t="s">
        <v>607</v>
      </c>
      <c r="BB72" s="120"/>
      <c r="BC72" s="120"/>
      <c r="BD72" s="120"/>
      <c r="BE72" s="120"/>
      <c r="BF72" s="121"/>
      <c r="BG72" s="121"/>
      <c r="BH72" s="121"/>
      <c r="BI72" s="121"/>
      <c r="BJ72" s="121"/>
      <c r="BK72" s="121"/>
      <c r="BL72" s="121"/>
      <c r="BM72" s="121"/>
      <c r="BN72" s="121"/>
      <c r="BO72" s="121"/>
      <c r="BP72" s="121"/>
      <c r="BQ72" s="121"/>
      <c r="BR72" s="121"/>
      <c r="BS72" s="121"/>
      <c r="BT72" s="121"/>
      <c r="BU72" s="121"/>
      <c r="BV72" s="122"/>
      <c r="BW72" s="122">
        <f t="shared" ref="BW72:CD72" si="72">BW68/BS68-1</f>
        <v>1.4689988388160895</v>
      </c>
      <c r="BX72" s="122">
        <f t="shared" si="72"/>
        <v>-0.25152635754907204</v>
      </c>
      <c r="BY72" s="122">
        <f t="shared" si="72"/>
        <v>-0.41442080784452529</v>
      </c>
      <c r="BZ72" s="122">
        <f t="shared" si="72"/>
        <v>-7.1428571428571397E-2</v>
      </c>
      <c r="CA72" s="122">
        <f t="shared" si="72"/>
        <v>0.28000000000000003</v>
      </c>
      <c r="CB72" s="122">
        <f t="shared" si="72"/>
        <v>0.52</v>
      </c>
      <c r="CC72" s="122">
        <f t="shared" si="72"/>
        <v>0.83333333333333326</v>
      </c>
      <c r="CD72" s="122">
        <f t="shared" si="72"/>
        <v>0.92307692307692313</v>
      </c>
    </row>
    <row r="73" spans="1:83" ht="15" customHeight="1">
      <c r="A73" s="92" t="s">
        <v>608</v>
      </c>
      <c r="B73" s="91"/>
      <c r="C73" s="91"/>
      <c r="D73" s="91"/>
      <c r="E73" s="91"/>
      <c r="F73" s="91"/>
      <c r="G73" s="103"/>
      <c r="H73" s="103" t="e">
        <f t="shared" ref="H73:R74" si="73">+H69/G69-1</f>
        <v>#DIV/0!</v>
      </c>
      <c r="I73" s="103" t="e">
        <f t="shared" si="73"/>
        <v>#DIV/0!</v>
      </c>
      <c r="J73" s="103" t="e">
        <f t="shared" si="73"/>
        <v>#DIV/0!</v>
      </c>
      <c r="K73" s="103" t="e">
        <f t="shared" si="73"/>
        <v>#DIV/0!</v>
      </c>
      <c r="L73" s="103" t="e">
        <f t="shared" si="73"/>
        <v>#DIV/0!</v>
      </c>
      <c r="M73" s="103" t="e">
        <f t="shared" si="73"/>
        <v>#DIV/0!</v>
      </c>
      <c r="N73" s="103" t="e">
        <f t="shared" si="73"/>
        <v>#DIV/0!</v>
      </c>
      <c r="O73" s="103" t="e">
        <f t="shared" si="73"/>
        <v>#DIV/0!</v>
      </c>
      <c r="P73" s="103" t="e">
        <f t="shared" si="73"/>
        <v>#DIV/0!</v>
      </c>
      <c r="Q73" s="103" t="e">
        <f t="shared" si="73"/>
        <v>#DIV/0!</v>
      </c>
      <c r="R73" s="103" t="e">
        <f t="shared" si="73"/>
        <v>#DIV/0!</v>
      </c>
      <c r="S73" s="123">
        <v>0</v>
      </c>
      <c r="T73" s="123">
        <v>0</v>
      </c>
      <c r="U73" s="123">
        <v>0</v>
      </c>
      <c r="V73" s="123">
        <v>0</v>
      </c>
      <c r="W73" s="123">
        <v>0</v>
      </c>
      <c r="X73" s="123">
        <v>0</v>
      </c>
      <c r="Y73" s="123">
        <v>0</v>
      </c>
      <c r="Z73" s="123">
        <v>0</v>
      </c>
      <c r="AA73" s="91"/>
      <c r="AB73" s="92" t="s">
        <v>608</v>
      </c>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2" t="e">
        <f t="shared" ref="BB73:CD74" si="74">+BB69/AX69-1</f>
        <v>#DIV/0!</v>
      </c>
      <c r="BC73" s="122" t="e">
        <f t="shared" si="74"/>
        <v>#DIV/0!</v>
      </c>
      <c r="BD73" s="122" t="e">
        <f t="shared" si="74"/>
        <v>#DIV/0!</v>
      </c>
      <c r="BE73" s="122" t="e">
        <f t="shared" si="74"/>
        <v>#DIV/0!</v>
      </c>
      <c r="BF73" s="122" t="e">
        <f t="shared" si="74"/>
        <v>#DIV/0!</v>
      </c>
      <c r="BG73" s="122" t="e">
        <f t="shared" si="74"/>
        <v>#DIV/0!</v>
      </c>
      <c r="BH73" s="122" t="e">
        <f t="shared" si="74"/>
        <v>#DIV/0!</v>
      </c>
      <c r="BI73" s="122" t="e">
        <f t="shared" si="74"/>
        <v>#DIV/0!</v>
      </c>
      <c r="BJ73" s="122" t="e">
        <f t="shared" si="74"/>
        <v>#DIV/0!</v>
      </c>
      <c r="BK73" s="122" t="e">
        <f t="shared" si="74"/>
        <v>#DIV/0!</v>
      </c>
      <c r="BL73" s="122" t="e">
        <f t="shared" si="74"/>
        <v>#DIV/0!</v>
      </c>
      <c r="BM73" s="122" t="e">
        <f t="shared" si="74"/>
        <v>#DIV/0!</v>
      </c>
      <c r="BN73" s="122" t="e">
        <f t="shared" si="74"/>
        <v>#DIV/0!</v>
      </c>
      <c r="BO73" s="122" t="e">
        <f t="shared" si="74"/>
        <v>#DIV/0!</v>
      </c>
      <c r="BP73" s="122" t="e">
        <f t="shared" si="74"/>
        <v>#DIV/0!</v>
      </c>
      <c r="BQ73" s="122" t="e">
        <f t="shared" si="74"/>
        <v>#DIV/0!</v>
      </c>
      <c r="BR73" s="122" t="e">
        <f t="shared" si="74"/>
        <v>#DIV/0!</v>
      </c>
      <c r="BS73" s="122" t="e">
        <f t="shared" si="74"/>
        <v>#DIV/0!</v>
      </c>
      <c r="BT73" s="122" t="e">
        <f t="shared" si="74"/>
        <v>#DIV/0!</v>
      </c>
      <c r="BU73" s="122" t="e">
        <f t="shared" si="74"/>
        <v>#DIV/0!</v>
      </c>
      <c r="BV73" s="122" t="e">
        <f t="shared" si="74"/>
        <v>#DIV/0!</v>
      </c>
      <c r="BW73" s="122" t="e">
        <f t="shared" si="74"/>
        <v>#DIV/0!</v>
      </c>
      <c r="BX73" s="122" t="e">
        <f t="shared" si="74"/>
        <v>#DIV/0!</v>
      </c>
      <c r="BY73" s="122" t="e">
        <f t="shared" si="74"/>
        <v>#DIV/0!</v>
      </c>
      <c r="BZ73" s="122" t="e">
        <f t="shared" si="74"/>
        <v>#DIV/0!</v>
      </c>
      <c r="CA73" s="122" t="e">
        <f t="shared" si="74"/>
        <v>#DIV/0!</v>
      </c>
      <c r="CB73" s="122" t="e">
        <f t="shared" si="74"/>
        <v>#DIV/0!</v>
      </c>
      <c r="CC73" s="122" t="e">
        <f t="shared" si="74"/>
        <v>#DIV/0!</v>
      </c>
      <c r="CD73" s="122" t="e">
        <f t="shared" si="74"/>
        <v>#DIV/0!</v>
      </c>
    </row>
    <row r="74" spans="1:83" ht="15" customHeight="1">
      <c r="A74" s="92" t="s">
        <v>609</v>
      </c>
      <c r="B74" s="91"/>
      <c r="C74" s="91"/>
      <c r="D74" s="91"/>
      <c r="E74" s="91"/>
      <c r="F74" s="91"/>
      <c r="G74" s="103"/>
      <c r="H74" s="103">
        <f t="shared" si="73"/>
        <v>0.13654044306485624</v>
      </c>
      <c r="I74" s="103">
        <f t="shared" si="73"/>
        <v>0.18704966566127568</v>
      </c>
      <c r="J74" s="103">
        <f t="shared" si="73"/>
        <v>-7.0084528686824576E-3</v>
      </c>
      <c r="K74" s="103">
        <f t="shared" si="73"/>
        <v>4.275914212385179E-2</v>
      </c>
      <c r="L74" s="103">
        <f t="shared" si="73"/>
        <v>0.11123658349822008</v>
      </c>
      <c r="M74" s="103">
        <f t="shared" si="73"/>
        <v>5.8011049723756924E-2</v>
      </c>
      <c r="N74" s="103">
        <f t="shared" si="73"/>
        <v>1.0443864229765065E-2</v>
      </c>
      <c r="O74" s="103">
        <f t="shared" si="73"/>
        <v>-0.18863049095607232</v>
      </c>
      <c r="P74" s="103">
        <f t="shared" si="73"/>
        <v>3.1847133757961776E-2</v>
      </c>
      <c r="Q74" s="103">
        <f t="shared" si="73"/>
        <v>1.8518518518518601E-2</v>
      </c>
      <c r="R74" s="103">
        <f t="shared" si="73"/>
        <v>6.0606060606060552E-2</v>
      </c>
      <c r="S74" s="123">
        <v>0.02</v>
      </c>
      <c r="T74" s="123">
        <v>0.02</v>
      </c>
      <c r="U74" s="123">
        <v>0.02</v>
      </c>
      <c r="V74" s="123">
        <v>0.02</v>
      </c>
      <c r="W74" s="123">
        <v>0.02</v>
      </c>
      <c r="X74" s="123">
        <v>0.02</v>
      </c>
      <c r="Y74" s="123">
        <v>0.02</v>
      </c>
      <c r="Z74" s="123">
        <v>0.02</v>
      </c>
      <c r="AA74" s="91"/>
      <c r="AB74" s="92" t="s">
        <v>609</v>
      </c>
      <c r="BB74" s="122" t="e">
        <f t="shared" si="74"/>
        <v>#DIV/0!</v>
      </c>
      <c r="BC74" s="122" t="e">
        <f t="shared" si="74"/>
        <v>#DIV/0!</v>
      </c>
      <c r="BD74" s="122" t="e">
        <f t="shared" si="74"/>
        <v>#DIV/0!</v>
      </c>
      <c r="BE74" s="122" t="e">
        <f t="shared" si="74"/>
        <v>#DIV/0!</v>
      </c>
      <c r="BF74" s="122">
        <f t="shared" si="74"/>
        <v>9.8423551215549354E-2</v>
      </c>
      <c r="BG74" s="122">
        <f t="shared" si="74"/>
        <v>6.6617941102730338E-2</v>
      </c>
      <c r="BH74" s="122">
        <f t="shared" si="74"/>
        <v>5.3053605698259121E-2</v>
      </c>
      <c r="BI74" s="122">
        <f t="shared" si="74"/>
        <v>1.2998155150523161E-2</v>
      </c>
      <c r="BJ74" s="122">
        <f t="shared" si="74"/>
        <v>-5.2364095883637995E-3</v>
      </c>
      <c r="BK74" s="122">
        <f t="shared" si="74"/>
        <v>3.8045551976318315E-2</v>
      </c>
      <c r="BL74" s="122">
        <f t="shared" si="74"/>
        <v>7.2038803871353529E-2</v>
      </c>
      <c r="BM74" s="122">
        <f t="shared" si="74"/>
        <v>5.4635225060866821E-2</v>
      </c>
      <c r="BN74" s="122">
        <f t="shared" si="74"/>
        <v>9.0099284539846503E-2</v>
      </c>
      <c r="BO74" s="122">
        <f t="shared" si="74"/>
        <v>5.606023832140572E-2</v>
      </c>
      <c r="BP74" s="122">
        <f t="shared" si="74"/>
        <v>4.0959975208420429E-2</v>
      </c>
      <c r="BQ74" s="122">
        <f t="shared" si="74"/>
        <v>2.3340147657598731E-2</v>
      </c>
      <c r="BR74" s="122">
        <f t="shared" si="74"/>
        <v>6.6331751424603347E-2</v>
      </c>
      <c r="BS74" s="122">
        <f t="shared" si="74"/>
        <v>4.9203749903713012E-2</v>
      </c>
      <c r="BT74" s="122">
        <f t="shared" si="74"/>
        <v>6.1870267304041882E-2</v>
      </c>
      <c r="BU74" s="122">
        <f t="shared" si="74"/>
        <v>0.10292291954097177</v>
      </c>
      <c r="BV74" s="122">
        <f t="shared" si="74"/>
        <v>0.15839209190448567</v>
      </c>
      <c r="BW74" s="122">
        <f t="shared" si="74"/>
        <v>0.25666592729013171</v>
      </c>
      <c r="BX74" s="122">
        <f t="shared" si="74"/>
        <v>0.1926431328831788</v>
      </c>
      <c r="BY74" s="122">
        <f t="shared" si="74"/>
        <v>0.22822877201037128</v>
      </c>
      <c r="BZ74" s="122">
        <f t="shared" si="74"/>
        <v>-0.1910112359550562</v>
      </c>
      <c r="CA74" s="122">
        <f t="shared" si="74"/>
        <v>-0.14141414141414144</v>
      </c>
      <c r="CB74" s="122">
        <f t="shared" si="74"/>
        <v>-0.21649484536082475</v>
      </c>
      <c r="CC74" s="122">
        <f t="shared" si="74"/>
        <v>-0.20588235294117652</v>
      </c>
      <c r="CD74" s="122">
        <f t="shared" si="74"/>
        <v>-0.125</v>
      </c>
    </row>
    <row r="75" spans="1:83" ht="15" customHeight="1">
      <c r="B75" s="91"/>
      <c r="C75" s="91"/>
      <c r="D75" s="91"/>
      <c r="E75" s="91"/>
      <c r="F75" s="91"/>
      <c r="G75" s="119"/>
      <c r="H75" s="119"/>
      <c r="I75" s="119"/>
      <c r="J75" s="119"/>
      <c r="K75" s="119"/>
      <c r="L75" s="106"/>
      <c r="M75" s="106"/>
      <c r="N75" s="106"/>
      <c r="O75" s="106"/>
      <c r="P75" s="105"/>
      <c r="Q75" s="105"/>
      <c r="R75" s="105"/>
      <c r="S75" s="105"/>
      <c r="T75" s="105"/>
      <c r="U75" s="105"/>
      <c r="V75" s="105"/>
      <c r="W75" s="105"/>
      <c r="X75" s="105"/>
      <c r="Y75" s="105"/>
      <c r="Z75" s="105"/>
      <c r="AA75" s="91"/>
      <c r="BB75" s="105"/>
      <c r="BC75" s="105"/>
      <c r="BD75" s="105"/>
      <c r="BE75" s="105"/>
      <c r="BF75" s="105"/>
      <c r="BG75" s="105"/>
      <c r="BH75" s="105"/>
      <c r="BI75" s="105"/>
      <c r="BJ75" s="105"/>
      <c r="BK75" s="105"/>
      <c r="BL75" s="105"/>
      <c r="BM75" s="105"/>
      <c r="BN75" s="105"/>
      <c r="BO75" s="105"/>
      <c r="BP75" s="105"/>
      <c r="BQ75" s="105"/>
      <c r="BR75" s="105"/>
      <c r="BS75" s="105"/>
      <c r="BT75" s="105"/>
      <c r="BU75" s="105"/>
      <c r="BV75" s="96"/>
      <c r="BW75" s="96"/>
      <c r="BX75" s="96"/>
      <c r="BY75" s="96"/>
      <c r="BZ75" s="96"/>
      <c r="CA75" s="96"/>
      <c r="CB75" s="96"/>
      <c r="CC75" s="96"/>
      <c r="CD75" s="96"/>
    </row>
    <row r="76" spans="1:83" ht="15" customHeight="1">
      <c r="A76" s="92" t="s">
        <v>610</v>
      </c>
      <c r="B76" s="91"/>
      <c r="C76" s="91"/>
      <c r="D76" s="91"/>
      <c r="E76" s="91"/>
      <c r="F76" s="91"/>
      <c r="G76" s="103">
        <f t="shared" ref="G76:Z76" si="75">G68/G57</f>
        <v>0</v>
      </c>
      <c r="H76" s="103">
        <f t="shared" si="75"/>
        <v>0</v>
      </c>
      <c r="I76" s="103">
        <f t="shared" si="75"/>
        <v>0</v>
      </c>
      <c r="J76" s="103">
        <f t="shared" si="75"/>
        <v>0</v>
      </c>
      <c r="K76" s="103">
        <f t="shared" si="75"/>
        <v>0</v>
      </c>
      <c r="L76" s="103">
        <f t="shared" si="75"/>
        <v>0</v>
      </c>
      <c r="M76" s="103">
        <f t="shared" si="75"/>
        <v>1.1594837015970248E-2</v>
      </c>
      <c r="N76" s="103">
        <f t="shared" si="75"/>
        <v>2.0773930753564155E-2</v>
      </c>
      <c r="O76" s="103">
        <f t="shared" si="75"/>
        <v>2.7322404371584699E-2</v>
      </c>
      <c r="P76" s="103">
        <f t="shared" si="75"/>
        <v>4.2557077625570774E-2</v>
      </c>
      <c r="Q76" s="103">
        <f>Q68/Q57</f>
        <v>5.1670685497760938E-2</v>
      </c>
      <c r="R76" s="103">
        <f>R68/R57</f>
        <v>5.6670984455958549E-2</v>
      </c>
      <c r="S76" s="103">
        <f t="shared" si="75"/>
        <v>6.3735297140153677E-2</v>
      </c>
      <c r="T76" s="103">
        <f t="shared" ca="1" si="75"/>
        <v>6.7273781807661095E-2</v>
      </c>
      <c r="U76" s="103">
        <f t="shared" ca="1" si="75"/>
        <v>7.0363803573396597E-2</v>
      </c>
      <c r="V76" s="103">
        <f t="shared" ca="1" si="75"/>
        <v>7.2852733300048544E-2</v>
      </c>
      <c r="W76" s="103">
        <f t="shared" ca="1" si="75"/>
        <v>7.4807572499117861E-2</v>
      </c>
      <c r="X76" s="103">
        <f t="shared" ca="1" si="75"/>
        <v>7.6287580644305839E-2</v>
      </c>
      <c r="Y76" s="103">
        <f t="shared" ca="1" si="75"/>
        <v>7.7345371918873293E-2</v>
      </c>
      <c r="Z76" s="103">
        <f t="shared" ca="1" si="75"/>
        <v>7.8027823844944305E-2</v>
      </c>
      <c r="AA76" s="91"/>
      <c r="AB76" s="92" t="s">
        <v>610</v>
      </c>
      <c r="BB76" s="105"/>
      <c r="BC76" s="105"/>
      <c r="BD76" s="105"/>
      <c r="BE76" s="105"/>
      <c r="BF76" s="122"/>
      <c r="BG76" s="122"/>
      <c r="BH76" s="122"/>
      <c r="BI76" s="122"/>
      <c r="BJ76" s="122"/>
      <c r="BK76" s="122"/>
      <c r="BL76" s="122"/>
      <c r="BM76" s="122"/>
      <c r="BN76" s="122"/>
      <c r="BO76" s="122"/>
      <c r="BP76" s="122"/>
      <c r="BQ76" s="122"/>
      <c r="BR76" s="122"/>
      <c r="BS76" s="122">
        <f t="shared" ref="BS76:CD76" si="76">BS68/BS57</f>
        <v>8.9970846866291865E-3</v>
      </c>
      <c r="BT76" s="122">
        <f t="shared" si="76"/>
        <v>2.8747515385522494E-2</v>
      </c>
      <c r="BU76" s="122">
        <f t="shared" si="76"/>
        <v>3.4546395489327211E-2</v>
      </c>
      <c r="BV76" s="122">
        <f t="shared" si="76"/>
        <v>2.3668342948879421E-2</v>
      </c>
      <c r="BW76" s="122">
        <f t="shared" si="76"/>
        <v>2.0378927074270317E-2</v>
      </c>
      <c r="BX76" s="122">
        <f t="shared" si="76"/>
        <v>2.0148798067778622E-2</v>
      </c>
      <c r="BY76" s="122">
        <f t="shared" si="76"/>
        <v>1.9047218753688415E-2</v>
      </c>
      <c r="BZ76" s="122">
        <f t="shared" si="76"/>
        <v>2.0901180272768279E-2</v>
      </c>
      <c r="CA76" s="122">
        <f t="shared" si="76"/>
        <v>2.5098039215686273E-2</v>
      </c>
      <c r="CB76" s="122">
        <f t="shared" si="76"/>
        <v>2.9411764705882353E-2</v>
      </c>
      <c r="CC76" s="122">
        <f t="shared" si="76"/>
        <v>3.3509739007798418E-2</v>
      </c>
      <c r="CD76" s="122">
        <f t="shared" si="76"/>
        <v>3.8372985418265539E-2</v>
      </c>
    </row>
    <row r="77" spans="1:83" ht="15" customHeight="1">
      <c r="A77" s="92" t="s">
        <v>611</v>
      </c>
      <c r="B77" s="91"/>
      <c r="C77" s="91"/>
      <c r="D77" s="91"/>
      <c r="E77" s="91"/>
      <c r="F77" s="91"/>
      <c r="G77" s="123">
        <v>0</v>
      </c>
      <c r="H77" s="123">
        <v>0</v>
      </c>
      <c r="I77" s="123">
        <v>0</v>
      </c>
      <c r="J77" s="123">
        <v>0</v>
      </c>
      <c r="K77" s="123">
        <v>0</v>
      </c>
      <c r="L77" s="123">
        <v>0</v>
      </c>
      <c r="M77" s="123">
        <v>0</v>
      </c>
      <c r="N77" s="123">
        <v>0</v>
      </c>
      <c r="O77" s="123">
        <v>0</v>
      </c>
      <c r="P77" s="123">
        <v>0</v>
      </c>
      <c r="Q77" s="123">
        <v>0</v>
      </c>
      <c r="R77" s="123">
        <v>0</v>
      </c>
      <c r="S77" s="103">
        <f t="shared" ref="S77:Z77" si="77">+S69/S57</f>
        <v>0</v>
      </c>
      <c r="T77" s="103">
        <f t="shared" ca="1" si="77"/>
        <v>0</v>
      </c>
      <c r="U77" s="103">
        <f t="shared" ca="1" si="77"/>
        <v>0</v>
      </c>
      <c r="V77" s="103">
        <f t="shared" ca="1" si="77"/>
        <v>0</v>
      </c>
      <c r="W77" s="103">
        <f t="shared" ca="1" si="77"/>
        <v>0</v>
      </c>
      <c r="X77" s="103">
        <f t="shared" ca="1" si="77"/>
        <v>0</v>
      </c>
      <c r="Y77" s="103">
        <f t="shared" ca="1" si="77"/>
        <v>0</v>
      </c>
      <c r="Z77" s="103">
        <f t="shared" ca="1" si="77"/>
        <v>0</v>
      </c>
      <c r="AA77" s="91"/>
      <c r="AB77" s="92" t="s">
        <v>611</v>
      </c>
      <c r="BB77" s="122">
        <f t="shared" ref="BB77:CD77" si="78">BB69/BB57</f>
        <v>0</v>
      </c>
      <c r="BC77" s="122">
        <f t="shared" si="78"/>
        <v>0</v>
      </c>
      <c r="BD77" s="122">
        <f t="shared" si="78"/>
        <v>0</v>
      </c>
      <c r="BE77" s="122">
        <f t="shared" si="78"/>
        <v>0</v>
      </c>
      <c r="BF77" s="122">
        <f t="shared" si="78"/>
        <v>0</v>
      </c>
      <c r="BG77" s="122">
        <f t="shared" si="78"/>
        <v>0</v>
      </c>
      <c r="BH77" s="122">
        <f t="shared" si="78"/>
        <v>0</v>
      </c>
      <c r="BI77" s="122">
        <f t="shared" si="78"/>
        <v>0</v>
      </c>
      <c r="BJ77" s="122">
        <f t="shared" si="78"/>
        <v>0</v>
      </c>
      <c r="BK77" s="122">
        <f t="shared" si="78"/>
        <v>0</v>
      </c>
      <c r="BL77" s="122">
        <f t="shared" si="78"/>
        <v>0</v>
      </c>
      <c r="BM77" s="122">
        <f t="shared" si="78"/>
        <v>0</v>
      </c>
      <c r="BN77" s="122">
        <f t="shared" si="78"/>
        <v>0</v>
      </c>
      <c r="BO77" s="122">
        <f t="shared" si="78"/>
        <v>0</v>
      </c>
      <c r="BP77" s="122">
        <f t="shared" si="78"/>
        <v>0</v>
      </c>
      <c r="BQ77" s="122">
        <f t="shared" si="78"/>
        <v>0</v>
      </c>
      <c r="BR77" s="122">
        <f t="shared" si="78"/>
        <v>0</v>
      </c>
      <c r="BS77" s="122">
        <f t="shared" si="78"/>
        <v>0</v>
      </c>
      <c r="BT77" s="122">
        <f t="shared" si="78"/>
        <v>0</v>
      </c>
      <c r="BU77" s="122">
        <f t="shared" si="78"/>
        <v>0</v>
      </c>
      <c r="BV77" s="122">
        <f t="shared" si="78"/>
        <v>0</v>
      </c>
      <c r="BW77" s="122">
        <f t="shared" si="78"/>
        <v>0</v>
      </c>
      <c r="BX77" s="122">
        <f t="shared" si="78"/>
        <v>0</v>
      </c>
      <c r="BY77" s="122">
        <f t="shared" si="78"/>
        <v>0</v>
      </c>
      <c r="BZ77" s="122">
        <f t="shared" si="78"/>
        <v>0</v>
      </c>
      <c r="CA77" s="122">
        <f t="shared" si="78"/>
        <v>0</v>
      </c>
      <c r="CB77" s="122">
        <f t="shared" si="78"/>
        <v>0</v>
      </c>
      <c r="CC77" s="122">
        <f t="shared" si="78"/>
        <v>0</v>
      </c>
      <c r="CD77" s="122">
        <f t="shared" si="78"/>
        <v>0</v>
      </c>
    </row>
    <row r="78" spans="1:83" ht="15" customHeight="1">
      <c r="A78" s="92" t="s">
        <v>612</v>
      </c>
      <c r="B78" s="91"/>
      <c r="C78" s="91"/>
      <c r="D78" s="91"/>
      <c r="E78" s="91"/>
      <c r="F78" s="91"/>
      <c r="G78" s="123">
        <v>0.08</v>
      </c>
      <c r="H78" s="123">
        <v>0.08</v>
      </c>
      <c r="I78" s="123">
        <v>0.08</v>
      </c>
      <c r="J78" s="123">
        <v>0.08</v>
      </c>
      <c r="K78" s="123">
        <v>0.08</v>
      </c>
      <c r="L78" s="122">
        <f>L70/L57</f>
        <v>8.4264432029795153E-2</v>
      </c>
      <c r="M78" s="122">
        <f>M70/M57</f>
        <v>8.3789105228615185E-2</v>
      </c>
      <c r="N78" s="122">
        <f>N70/N57</f>
        <v>7.8818737270875766E-2</v>
      </c>
      <c r="O78" s="103">
        <f t="shared" ref="O78:Z78" si="79">+O70/O57</f>
        <v>6.1280249804839967E-2</v>
      </c>
      <c r="P78" s="103">
        <f t="shared" si="79"/>
        <v>5.917808219178082E-2</v>
      </c>
      <c r="Q78" s="103">
        <f>+Q70/Q57</f>
        <v>5.6837754047537034E-2</v>
      </c>
      <c r="R78" s="103">
        <f>+R70/R57</f>
        <v>5.6670984455958549E-2</v>
      </c>
      <c r="S78" s="103">
        <f t="shared" si="79"/>
        <v>5.4982450610546775E-2</v>
      </c>
      <c r="T78" s="103">
        <f t="shared" ca="1" si="79"/>
        <v>5.3431418998164955E-2</v>
      </c>
      <c r="U78" s="103">
        <f t="shared" ca="1" si="79"/>
        <v>5.214736080436827E-2</v>
      </c>
      <c r="V78" s="103">
        <f t="shared" ca="1" si="79"/>
        <v>5.0925693002560196E-2</v>
      </c>
      <c r="W78" s="103">
        <f t="shared" ca="1" si="79"/>
        <v>4.976007807645564E-2</v>
      </c>
      <c r="X78" s="103">
        <f t="shared" ca="1" si="79"/>
        <v>4.8644985472732251E-2</v>
      </c>
      <c r="Y78" s="103">
        <f t="shared" ca="1" si="79"/>
        <v>4.7575574289410796E-2</v>
      </c>
      <c r="Z78" s="103">
        <f t="shared" ca="1" si="79"/>
        <v>4.6547595810173426E-2</v>
      </c>
      <c r="AA78" s="91"/>
      <c r="AB78" s="92" t="s">
        <v>612</v>
      </c>
      <c r="BB78" s="120">
        <v>7.0000000000000007E-2</v>
      </c>
      <c r="BC78" s="120">
        <v>7.0000000000000007E-2</v>
      </c>
      <c r="BD78" s="120">
        <v>7.0000000000000007E-2</v>
      </c>
      <c r="BE78" s="120">
        <v>7.0000000000000007E-2</v>
      </c>
      <c r="BF78" s="120">
        <v>7.0000000000000007E-2</v>
      </c>
      <c r="BG78" s="120">
        <v>7.0000000000000007E-2</v>
      </c>
      <c r="BH78" s="120">
        <v>7.0000000000000007E-2</v>
      </c>
      <c r="BI78" s="120">
        <v>7.0000000000000007E-2</v>
      </c>
      <c r="BJ78" s="120">
        <v>7.0000000000000007E-2</v>
      </c>
      <c r="BK78" s="120">
        <v>7.0000000000000007E-2</v>
      </c>
      <c r="BL78" s="120">
        <v>7.0000000000000007E-2</v>
      </c>
      <c r="BM78" s="120">
        <v>7.0000000000000007E-2</v>
      </c>
      <c r="BN78" s="120">
        <v>7.0000000000000007E-2</v>
      </c>
      <c r="BO78" s="120">
        <v>7.0000000000000007E-2</v>
      </c>
      <c r="BP78" s="120">
        <v>7.0000000000000007E-2</v>
      </c>
      <c r="BQ78" s="120">
        <v>7.0000000000000007E-2</v>
      </c>
      <c r="BR78" s="120">
        <v>7.0000000000000007E-2</v>
      </c>
      <c r="BS78" s="120">
        <v>7.0000000000000007E-2</v>
      </c>
      <c r="BT78" s="120">
        <v>7.0000000000000007E-2</v>
      </c>
      <c r="BU78" s="120">
        <v>7.0000000000000007E-2</v>
      </c>
      <c r="BV78" s="122">
        <f t="shared" ref="BV78:CD78" si="80">BV70/BV57</f>
        <v>7.5231518658938165E-2</v>
      </c>
      <c r="BW78" s="122">
        <f t="shared" si="80"/>
        <v>8.0700551214110461E-2</v>
      </c>
      <c r="BX78" s="122">
        <f t="shared" si="80"/>
        <v>7.8177336502981046E-2</v>
      </c>
      <c r="BY78" s="122">
        <f t="shared" si="80"/>
        <v>8.0950679703175765E-2</v>
      </c>
      <c r="BZ78" s="122">
        <f t="shared" si="80"/>
        <v>5.7880191524589078E-2</v>
      </c>
      <c r="CA78" s="122">
        <f t="shared" si="80"/>
        <v>6.6666666666666666E-2</v>
      </c>
      <c r="CB78" s="122">
        <f t="shared" si="80"/>
        <v>5.8823529411764705E-2</v>
      </c>
      <c r="CC78" s="122">
        <f t="shared" si="80"/>
        <v>6.1688383173447082E-2</v>
      </c>
      <c r="CD78" s="122">
        <f t="shared" si="80"/>
        <v>4.8349961627014583E-2</v>
      </c>
    </row>
    <row r="79" spans="1:83" ht="15" customHeight="1">
      <c r="B79" s="91"/>
      <c r="C79" s="91"/>
      <c r="D79" s="91"/>
      <c r="E79" s="91"/>
      <c r="F79" s="91"/>
      <c r="G79" s="122"/>
      <c r="H79" s="122"/>
      <c r="I79" s="122"/>
      <c r="J79" s="122"/>
      <c r="K79" s="122"/>
      <c r="L79" s="122"/>
      <c r="M79" s="122"/>
      <c r="N79" s="122"/>
      <c r="O79" s="103"/>
      <c r="P79" s="103"/>
      <c r="Q79" s="103"/>
      <c r="R79" s="103"/>
      <c r="S79" s="103"/>
      <c r="T79" s="103"/>
      <c r="U79" s="103"/>
      <c r="V79" s="103"/>
      <c r="W79" s="103"/>
      <c r="X79" s="103"/>
      <c r="Y79" s="103"/>
      <c r="Z79" s="103"/>
      <c r="AA79" s="91"/>
      <c r="BB79" s="120"/>
      <c r="BC79" s="120"/>
      <c r="BD79" s="120"/>
      <c r="BE79" s="120"/>
      <c r="BF79" s="121"/>
      <c r="BG79" s="121"/>
      <c r="BH79" s="121"/>
      <c r="BI79" s="121"/>
      <c r="BJ79" s="121"/>
      <c r="BK79" s="121"/>
      <c r="BL79" s="121"/>
      <c r="BM79" s="121"/>
      <c r="BN79" s="121"/>
      <c r="BO79" s="121"/>
      <c r="BP79" s="121"/>
      <c r="BQ79" s="121"/>
      <c r="BR79" s="121"/>
      <c r="BS79" s="121"/>
      <c r="BT79" s="121"/>
      <c r="BU79" s="121"/>
      <c r="BV79" s="122"/>
      <c r="BW79" s="122"/>
      <c r="BX79" s="122"/>
      <c r="BY79" s="122"/>
      <c r="BZ79" s="122"/>
      <c r="CA79" s="122"/>
      <c r="CB79" s="122"/>
      <c r="CC79" s="122"/>
      <c r="CD79" s="122"/>
    </row>
    <row r="80" spans="1:83" ht="15" customHeight="1">
      <c r="B80" s="91"/>
      <c r="C80" s="91"/>
      <c r="D80" s="91"/>
      <c r="E80" s="91"/>
      <c r="F80" s="91"/>
      <c r="G80" s="125"/>
      <c r="H80" s="125"/>
      <c r="I80" s="125"/>
      <c r="J80" s="125"/>
      <c r="K80" s="125"/>
      <c r="L80" s="122"/>
      <c r="M80" s="122"/>
      <c r="N80" s="122"/>
      <c r="O80" s="122"/>
      <c r="P80" s="126"/>
      <c r="Q80" s="126"/>
      <c r="R80" s="126"/>
      <c r="S80" s="126"/>
      <c r="T80" s="126"/>
      <c r="U80" s="126"/>
      <c r="V80" s="126"/>
      <c r="W80" s="126"/>
      <c r="X80" s="126"/>
      <c r="Y80" s="126"/>
      <c r="Z80" s="126"/>
      <c r="AA80" s="91"/>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row>
    <row r="81" spans="1:82" ht="15" customHeight="1">
      <c r="A81" s="92" t="s">
        <v>613</v>
      </c>
      <c r="B81" s="91"/>
      <c r="C81" s="91"/>
      <c r="D81" s="91"/>
      <c r="E81" s="91"/>
      <c r="F81" s="91"/>
      <c r="G81" s="127">
        <f t="shared" ref="G81:P81" si="81">+G57-G68-G69-G70</f>
        <v>268173.91870717198</v>
      </c>
      <c r="H81" s="127">
        <f t="shared" si="81"/>
        <v>304790.50438588799</v>
      </c>
      <c r="I81" s="127">
        <f t="shared" si="81"/>
        <v>361801.46632799995</v>
      </c>
      <c r="J81" s="127">
        <f t="shared" si="81"/>
        <v>359265.79780341999</v>
      </c>
      <c r="K81" s="127">
        <f t="shared" si="81"/>
        <v>374627.69511193543</v>
      </c>
      <c r="L81" s="127">
        <f t="shared" si="81"/>
        <v>393400</v>
      </c>
      <c r="M81" s="127">
        <f t="shared" si="81"/>
        <v>413500</v>
      </c>
      <c r="N81" s="127">
        <f t="shared" si="81"/>
        <v>442100</v>
      </c>
      <c r="O81" s="127">
        <f t="shared" si="81"/>
        <v>467000</v>
      </c>
      <c r="P81" s="127">
        <f t="shared" si="81"/>
        <v>491800</v>
      </c>
      <c r="Q81" s="127">
        <f>+Q57-Q68-Q69-Q70</f>
        <v>517600</v>
      </c>
      <c r="R81" s="127">
        <f>+R57-R68-R69-R70</f>
        <v>547600</v>
      </c>
      <c r="S81" s="127">
        <f t="shared" ref="S81:Z81" ca="1" si="82">12*S87*AVERAGE(R23:S23)/1000</f>
        <v>573563.00795963721</v>
      </c>
      <c r="T81" s="127">
        <f t="shared" ca="1" si="82"/>
        <v>599247.43565122795</v>
      </c>
      <c r="U81" s="127">
        <f t="shared" ca="1" si="82"/>
        <v>624996.8459923456</v>
      </c>
      <c r="V81" s="127">
        <f t="shared" ca="1" si="82"/>
        <v>651847.08181165974</v>
      </c>
      <c r="W81" s="127">
        <f t="shared" ca="1" si="82"/>
        <v>679845.83445617568</v>
      </c>
      <c r="X81" s="127">
        <f t="shared" ca="1" si="82"/>
        <v>709042.90971494257</v>
      </c>
      <c r="Y81" s="127">
        <f t="shared" ca="1" si="82"/>
        <v>739490.32409479341</v>
      </c>
      <c r="Z81" s="127">
        <f t="shared" ca="1" si="82"/>
        <v>771242.40559360269</v>
      </c>
      <c r="AA81" s="91"/>
      <c r="AB81" s="92" t="s">
        <v>613</v>
      </c>
      <c r="BB81" s="107">
        <f t="shared" ref="BB81:CD81" si="83">+BB57-BB68-BB69-BB70</f>
        <v>80365.790016936007</v>
      </c>
      <c r="BC81" s="107">
        <f t="shared" si="83"/>
        <v>85315.205542476004</v>
      </c>
      <c r="BD81" s="107">
        <f t="shared" si="83"/>
        <v>86592.375534972001</v>
      </c>
      <c r="BE81" s="107">
        <f t="shared" si="83"/>
        <v>91501.815669137985</v>
      </c>
      <c r="BF81" s="107">
        <f t="shared" si="83"/>
        <v>88275.676466645993</v>
      </c>
      <c r="BG81" s="107">
        <f t="shared" si="83"/>
        <v>90998.728880471986</v>
      </c>
      <c r="BH81" s="107">
        <f t="shared" si="83"/>
        <v>91186.413283079994</v>
      </c>
      <c r="BI81" s="107">
        <f t="shared" si="83"/>
        <v>92691.17046576002</v>
      </c>
      <c r="BJ81" s="107">
        <f t="shared" si="83"/>
        <v>87813.428867976749</v>
      </c>
      <c r="BK81" s="107">
        <f t="shared" si="83"/>
        <v>94460.825749872893</v>
      </c>
      <c r="BL81" s="107">
        <f t="shared" si="83"/>
        <v>97755.373425311991</v>
      </c>
      <c r="BM81" s="107">
        <f t="shared" si="83"/>
        <v>97755.373425311991</v>
      </c>
      <c r="BN81" s="107">
        <f t="shared" si="83"/>
        <v>95725.355981972141</v>
      </c>
      <c r="BO81" s="107">
        <f t="shared" si="83"/>
        <v>99756.322153447545</v>
      </c>
      <c r="BP81" s="107">
        <f t="shared" si="83"/>
        <v>101759.43109730266</v>
      </c>
      <c r="BQ81" s="107">
        <f t="shared" si="83"/>
        <v>100036.99827538247</v>
      </c>
      <c r="BR81" s="107">
        <f t="shared" si="83"/>
        <v>102074.98649999998</v>
      </c>
      <c r="BS81" s="107">
        <f t="shared" si="83"/>
        <v>103652.15111322646</v>
      </c>
      <c r="BT81" s="107">
        <f t="shared" si="83"/>
        <v>104715.18332115408</v>
      </c>
      <c r="BU81" s="107">
        <f t="shared" si="83"/>
        <v>106234.59191400003</v>
      </c>
      <c r="BV81" s="107">
        <f t="shared" si="83"/>
        <v>106601.48</v>
      </c>
      <c r="BW81" s="107">
        <f t="shared" si="83"/>
        <v>110275.74199999998</v>
      </c>
      <c r="BX81" s="107">
        <f t="shared" si="83"/>
        <v>111876.88</v>
      </c>
      <c r="BY81" s="107">
        <f t="shared" si="83"/>
        <v>113402.64799999999</v>
      </c>
      <c r="BZ81" s="107">
        <f t="shared" si="83"/>
        <v>114594.88900000001</v>
      </c>
      <c r="CA81" s="107">
        <f t="shared" si="83"/>
        <v>115800</v>
      </c>
      <c r="CB81" s="116">
        <f t="shared" si="83"/>
        <v>117800</v>
      </c>
      <c r="CC81" s="116">
        <f t="shared" si="83"/>
        <v>118805.11099999998</v>
      </c>
      <c r="CD81" s="116">
        <f t="shared" si="83"/>
        <v>119000</v>
      </c>
    </row>
    <row r="82" spans="1:82" ht="15" customHeight="1">
      <c r="A82" s="92" t="s">
        <v>614</v>
      </c>
      <c r="B82" s="91" t="s">
        <v>72</v>
      </c>
      <c r="C82" s="91"/>
      <c r="D82" s="91"/>
      <c r="E82" s="91"/>
      <c r="F82" s="91"/>
      <c r="G82" s="128"/>
      <c r="H82" s="103">
        <f t="shared" ref="H82:N82" si="84">H81/G81-1</f>
        <v>0.13654044306485624</v>
      </c>
      <c r="I82" s="103">
        <f t="shared" si="84"/>
        <v>0.18704966566127568</v>
      </c>
      <c r="J82" s="103">
        <f t="shared" si="84"/>
        <v>-7.0084528686823466E-3</v>
      </c>
      <c r="K82" s="103">
        <f t="shared" si="84"/>
        <v>4.275914212385179E-2</v>
      </c>
      <c r="L82" s="103">
        <f t="shared" si="84"/>
        <v>5.0109228797020844E-2</v>
      </c>
      <c r="M82" s="103">
        <f t="shared" si="84"/>
        <v>5.1093035078800142E-2</v>
      </c>
      <c r="N82" s="103">
        <f t="shared" si="84"/>
        <v>6.9165659008464386E-2</v>
      </c>
      <c r="O82" s="103">
        <f>O81/N81-1</f>
        <v>5.6322099072608101E-2</v>
      </c>
      <c r="P82" s="103">
        <f>P81/O81-1</f>
        <v>5.3104925053533147E-2</v>
      </c>
      <c r="Q82" s="103">
        <f>Q81/P81-1</f>
        <v>5.2460349735664824E-2</v>
      </c>
      <c r="R82" s="103">
        <f t="shared" ref="R82:Z82" si="85">R81/Q81-1</f>
        <v>5.7959814528593556E-2</v>
      </c>
      <c r="S82" s="103">
        <f t="shared" ca="1" si="85"/>
        <v>4.7412359312704933E-2</v>
      </c>
      <c r="T82" s="103">
        <f t="shared" ca="1" si="85"/>
        <v>4.4780481542837203E-2</v>
      </c>
      <c r="U82" s="103">
        <f t="shared" ca="1" si="85"/>
        <v>4.296957952458258E-2</v>
      </c>
      <c r="V82" s="103">
        <f t="shared" ca="1" si="85"/>
        <v>4.2960594107770866E-2</v>
      </c>
      <c r="W82" s="103">
        <f t="shared" ca="1" si="85"/>
        <v>4.295294621355028E-2</v>
      </c>
      <c r="X82" s="103">
        <f t="shared" ca="1" si="85"/>
        <v>4.2946611980232641E-2</v>
      </c>
      <c r="Y82" s="103">
        <f t="shared" ca="1" si="85"/>
        <v>4.2941568080966608E-2</v>
      </c>
      <c r="Z82" s="103">
        <f t="shared" ca="1" si="85"/>
        <v>4.293779169819012E-2</v>
      </c>
      <c r="AA82" s="91"/>
      <c r="AB82" s="92" t="s">
        <v>614</v>
      </c>
      <c r="BB82" s="91"/>
      <c r="BC82" s="91"/>
      <c r="BD82" s="91"/>
      <c r="BE82" s="91"/>
      <c r="BF82" s="91"/>
      <c r="BG82" s="103">
        <f t="shared" ref="BG82:CC82" si="86">BG81/BC81-1</f>
        <v>6.6617941102730116E-2</v>
      </c>
      <c r="BH82" s="103">
        <f t="shared" si="86"/>
        <v>5.3053605698259121E-2</v>
      </c>
      <c r="BI82" s="103">
        <f t="shared" si="86"/>
        <v>1.2998155150523161E-2</v>
      </c>
      <c r="BJ82" s="103">
        <f t="shared" si="86"/>
        <v>-5.2364095883637995E-3</v>
      </c>
      <c r="BK82" s="103">
        <f t="shared" si="86"/>
        <v>3.8045551976318537E-2</v>
      </c>
      <c r="BL82" s="103">
        <f t="shared" si="86"/>
        <v>7.2038803871353752E-2</v>
      </c>
      <c r="BM82" s="103">
        <f t="shared" si="86"/>
        <v>5.4635225060866821E-2</v>
      </c>
      <c r="BN82" s="103">
        <f t="shared" si="86"/>
        <v>9.009928453984628E-2</v>
      </c>
      <c r="BO82" s="103">
        <f t="shared" si="86"/>
        <v>5.606023832140572E-2</v>
      </c>
      <c r="BP82" s="103">
        <f t="shared" si="86"/>
        <v>4.0959975208420429E-2</v>
      </c>
      <c r="BQ82" s="103">
        <f t="shared" si="86"/>
        <v>2.3340147657598731E-2</v>
      </c>
      <c r="BR82" s="103">
        <f t="shared" si="86"/>
        <v>6.6331751424603347E-2</v>
      </c>
      <c r="BS82" s="103">
        <f t="shared" si="86"/>
        <v>3.9053454214022176E-2</v>
      </c>
      <c r="BT82" s="103">
        <f t="shared" si="86"/>
        <v>2.9046469619362636E-2</v>
      </c>
      <c r="BU82" s="103">
        <f t="shared" si="86"/>
        <v>6.1953014839137621E-2</v>
      </c>
      <c r="BV82" s="103">
        <f t="shared" si="86"/>
        <v>4.434478666328312E-2</v>
      </c>
      <c r="BW82" s="103">
        <f t="shared" si="86"/>
        <v>6.3902107343031478E-2</v>
      </c>
      <c r="BX82" s="103">
        <f t="shared" si="86"/>
        <v>6.8392151469395923E-2</v>
      </c>
      <c r="BY82" s="103">
        <f t="shared" si="86"/>
        <v>6.7473842153059627E-2</v>
      </c>
      <c r="BZ82" s="103">
        <f t="shared" si="86"/>
        <v>7.4984033992773869E-2</v>
      </c>
      <c r="CA82" s="103">
        <f t="shared" si="86"/>
        <v>5.0094951979557045E-2</v>
      </c>
      <c r="CB82" s="103">
        <f t="shared" si="86"/>
        <v>5.2943199703102239E-2</v>
      </c>
      <c r="CC82" s="103">
        <f t="shared" si="86"/>
        <v>4.763965476361709E-2</v>
      </c>
      <c r="CD82" s="103">
        <f>CD81/BZ81-1</f>
        <v>3.8440728364421028E-2</v>
      </c>
    </row>
    <row r="83" spans="1:82" ht="15" customHeight="1">
      <c r="A83" s="92" t="s">
        <v>615</v>
      </c>
      <c r="B83" s="91"/>
      <c r="C83" s="91"/>
      <c r="D83" s="91"/>
      <c r="E83" s="91"/>
      <c r="F83" s="91"/>
      <c r="G83" s="103">
        <f t="shared" ref="G83:Z83" si="87">1-G76-G77-G78</f>
        <v>0.92</v>
      </c>
      <c r="H83" s="103">
        <f t="shared" si="87"/>
        <v>0.92</v>
      </c>
      <c r="I83" s="103">
        <f t="shared" si="87"/>
        <v>0.92</v>
      </c>
      <c r="J83" s="103">
        <f t="shared" si="87"/>
        <v>0.92</v>
      </c>
      <c r="K83" s="103">
        <f t="shared" si="87"/>
        <v>0.92</v>
      </c>
      <c r="L83" s="103">
        <f t="shared" si="87"/>
        <v>0.91573556797020483</v>
      </c>
      <c r="M83" s="103">
        <f t="shared" si="87"/>
        <v>0.90461605775541465</v>
      </c>
      <c r="N83" s="103">
        <f t="shared" si="87"/>
        <v>0.90040733197556011</v>
      </c>
      <c r="O83" s="103">
        <f t="shared" si="87"/>
        <v>0.91139734582357534</v>
      </c>
      <c r="P83" s="103">
        <f>1-P76-P77-P78</f>
        <v>0.89826484018264841</v>
      </c>
      <c r="Q83" s="103">
        <f>1-Q76-Q77-Q78</f>
        <v>0.89149156045470213</v>
      </c>
      <c r="R83" s="103">
        <f t="shared" si="87"/>
        <v>0.88665803108808294</v>
      </c>
      <c r="S83" s="103">
        <f t="shared" si="87"/>
        <v>0.88128225224929957</v>
      </c>
      <c r="T83" s="103">
        <f t="shared" ca="1" si="87"/>
        <v>0.87929479919417397</v>
      </c>
      <c r="U83" s="103">
        <f t="shared" ca="1" si="87"/>
        <v>0.87748883562223523</v>
      </c>
      <c r="V83" s="103">
        <f t="shared" ca="1" si="87"/>
        <v>0.87622157369739118</v>
      </c>
      <c r="W83" s="103">
        <f t="shared" ca="1" si="87"/>
        <v>0.87543234942442649</v>
      </c>
      <c r="X83" s="103">
        <f t="shared" ca="1" si="87"/>
        <v>0.87506743388296193</v>
      </c>
      <c r="Y83" s="103">
        <f t="shared" ca="1" si="87"/>
        <v>0.87507905379171591</v>
      </c>
      <c r="Z83" s="103">
        <f t="shared" ca="1" si="87"/>
        <v>0.87542458034488224</v>
      </c>
      <c r="AA83" s="91"/>
      <c r="BB83" s="91"/>
      <c r="BC83" s="91"/>
      <c r="BD83" s="91"/>
      <c r="BE83" s="91"/>
      <c r="BF83" s="91"/>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row>
    <row r="84" spans="1:82" ht="15" customHeight="1">
      <c r="A84" s="92" t="s">
        <v>72</v>
      </c>
      <c r="B84" s="91"/>
      <c r="C84" s="91"/>
      <c r="D84" s="91"/>
      <c r="E84" s="91"/>
      <c r="F84" s="91"/>
      <c r="G84" s="128"/>
      <c r="H84" s="128"/>
      <c r="I84" s="128"/>
      <c r="J84" s="128"/>
      <c r="K84" s="128"/>
      <c r="L84" s="91"/>
      <c r="M84" s="91"/>
      <c r="N84" s="91"/>
      <c r="O84" s="91"/>
      <c r="P84" s="91"/>
      <c r="Q84" s="91"/>
      <c r="R84" s="91"/>
      <c r="S84" s="91"/>
      <c r="T84" s="91"/>
      <c r="U84" s="91"/>
      <c r="V84" s="91"/>
      <c r="W84" s="91"/>
      <c r="X84" s="91"/>
      <c r="Y84" s="91"/>
      <c r="Z84" s="91"/>
      <c r="A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row>
    <row r="85" spans="1:82" ht="15" customHeight="1">
      <c r="A85" s="92" t="s">
        <v>616</v>
      </c>
      <c r="B85" s="97"/>
      <c r="C85" s="97"/>
      <c r="D85" s="97"/>
      <c r="E85" s="97"/>
      <c r="F85" s="97"/>
      <c r="G85" s="111">
        <f t="shared" ref="G85:Z85" si="88">1000*G81/AVERAGE(F6:G6)/12</f>
        <v>24276.602638564989</v>
      </c>
      <c r="H85" s="111">
        <f t="shared" si="88"/>
        <v>26272.778586836303</v>
      </c>
      <c r="I85" s="111">
        <f t="shared" si="88"/>
        <v>29823.554274692116</v>
      </c>
      <c r="J85" s="111">
        <f t="shared" si="88"/>
        <v>28740.34413326134</v>
      </c>
      <c r="K85" s="111">
        <f t="shared" si="88"/>
        <v>29411.62993326232</v>
      </c>
      <c r="L85" s="97">
        <f t="shared" si="88"/>
        <v>30209.485194741374</v>
      </c>
      <c r="M85" s="97">
        <f t="shared" si="88"/>
        <v>30681.4471848752</v>
      </c>
      <c r="N85" s="97">
        <f t="shared" si="88"/>
        <v>31432.18724227171</v>
      </c>
      <c r="O85" s="97">
        <f t="shared" si="88"/>
        <v>32094.896430387755</v>
      </c>
      <c r="P85" s="97">
        <f t="shared" si="88"/>
        <v>32935.535286160113</v>
      </c>
      <c r="Q85" s="97">
        <f t="shared" si="88"/>
        <v>33278.041378955626</v>
      </c>
      <c r="R85" s="97">
        <f t="shared" si="88"/>
        <v>33360.138411677261</v>
      </c>
      <c r="S85" s="97">
        <f t="shared" ca="1" si="88"/>
        <v>33245.403999422524</v>
      </c>
      <c r="T85" s="97">
        <f t="shared" ca="1" si="88"/>
        <v>33755.379830758742</v>
      </c>
      <c r="U85" s="97">
        <f t="shared" ca="1" si="88"/>
        <v>34690.12769726113</v>
      </c>
      <c r="V85" s="97">
        <f t="shared" ca="1" si="88"/>
        <v>35647.8117341217</v>
      </c>
      <c r="W85" s="97">
        <f t="shared" ca="1" si="88"/>
        <v>36628.97812579506</v>
      </c>
      <c r="X85" s="97">
        <f t="shared" ca="1" si="88"/>
        <v>37634.187545809516</v>
      </c>
      <c r="Y85" s="97">
        <f t="shared" ca="1" si="88"/>
        <v>38664.015591032199</v>
      </c>
      <c r="Z85" s="97">
        <f t="shared" ca="1" si="88"/>
        <v>39719.053228657329</v>
      </c>
      <c r="AA85" s="91"/>
      <c r="AB85" s="92" t="s">
        <v>617</v>
      </c>
      <c r="BB85" s="97">
        <f t="shared" ref="BB85:CD85" si="89">1000*BB81/AVERAGE(BA6:BB6)/3</f>
        <v>26853.043977858866</v>
      </c>
      <c r="BC85" s="97">
        <f t="shared" si="89"/>
        <v>28155.439678720857</v>
      </c>
      <c r="BD85" s="97">
        <f t="shared" si="89"/>
        <v>28222.073017183084</v>
      </c>
      <c r="BE85" s="97">
        <f t="shared" si="89"/>
        <v>29656.867347023192</v>
      </c>
      <c r="BF85" s="97">
        <f t="shared" si="89"/>
        <v>28564.020277514919</v>
      </c>
      <c r="BG85" s="97">
        <f t="shared" si="89"/>
        <v>29307.159059733331</v>
      </c>
      <c r="BH85" s="97">
        <f t="shared" si="89"/>
        <v>29089.358880620148</v>
      </c>
      <c r="BI85" s="97">
        <f t="shared" si="89"/>
        <v>29351.690326243293</v>
      </c>
      <c r="BJ85" s="97">
        <f t="shared" si="89"/>
        <v>27811.06219096651</v>
      </c>
      <c r="BK85" s="97">
        <f t="shared" si="89"/>
        <v>29748.161856133305</v>
      </c>
      <c r="BL85" s="97">
        <f t="shared" si="89"/>
        <v>30524.706768247303</v>
      </c>
      <c r="BM85" s="97">
        <f t="shared" si="89"/>
        <v>30490.431809772625</v>
      </c>
      <c r="BN85" s="97">
        <f t="shared" si="89"/>
        <v>29775.068346932967</v>
      </c>
      <c r="BO85" s="97">
        <f t="shared" si="89"/>
        <v>30724.97794823979</v>
      </c>
      <c r="BP85" s="97">
        <f t="shared" si="89"/>
        <v>30985.484941780906</v>
      </c>
      <c r="BQ85" s="97">
        <f t="shared" si="89"/>
        <v>30294.963288629206</v>
      </c>
      <c r="BR85" s="97">
        <f t="shared" si="89"/>
        <v>30782.101144433891</v>
      </c>
      <c r="BS85" s="97">
        <f t="shared" si="89"/>
        <v>30987.190168378613</v>
      </c>
      <c r="BT85" s="97">
        <f t="shared" si="89"/>
        <v>31018.449397539644</v>
      </c>
      <c r="BU85" s="97">
        <f t="shared" si="89"/>
        <v>31146.075586437408</v>
      </c>
      <c r="BV85" s="97">
        <f t="shared" si="89"/>
        <v>30734.616327177846</v>
      </c>
      <c r="BW85" s="97">
        <f t="shared" si="89"/>
        <v>31273.252226192493</v>
      </c>
      <c r="BX85" s="97">
        <f t="shared" si="89"/>
        <v>31381.573890969274</v>
      </c>
      <c r="BY85" s="97">
        <f t="shared" si="89"/>
        <v>31584.962121212116</v>
      </c>
      <c r="BZ85" s="97">
        <f t="shared" si="89"/>
        <v>31698.515690911863</v>
      </c>
      <c r="CA85" s="97">
        <f t="shared" si="89"/>
        <v>31704.312114989734</v>
      </c>
      <c r="CB85" s="97">
        <f t="shared" si="89"/>
        <v>31994.350742822993</v>
      </c>
      <c r="CC85" s="97">
        <f t="shared" si="89"/>
        <v>32259.452318887797</v>
      </c>
      <c r="CD85" s="97">
        <f t="shared" si="89"/>
        <v>32207.42665367544</v>
      </c>
    </row>
    <row r="86" spans="1:82" ht="15" customHeight="1">
      <c r="A86" s="92" t="s">
        <v>618</v>
      </c>
      <c r="B86" s="97"/>
      <c r="C86" s="97"/>
      <c r="D86" s="97"/>
      <c r="E86" s="97"/>
      <c r="F86" s="97"/>
      <c r="G86" s="111"/>
      <c r="H86" s="112">
        <f t="shared" ref="H86:Z86" si="90">+H85/G85-1</f>
        <v>8.2226330347404453E-2</v>
      </c>
      <c r="I86" s="112">
        <f t="shared" si="90"/>
        <v>0.13515036775116318</v>
      </c>
      <c r="J86" s="112">
        <f t="shared" si="90"/>
        <v>-3.6320625350479196E-2</v>
      </c>
      <c r="K86" s="112">
        <f t="shared" si="90"/>
        <v>2.3356915870192951E-2</v>
      </c>
      <c r="L86" s="103">
        <f t="shared" si="90"/>
        <v>2.7127203194432292E-2</v>
      </c>
      <c r="M86" s="103">
        <f t="shared" si="90"/>
        <v>1.5622973615451841E-2</v>
      </c>
      <c r="N86" s="103">
        <f t="shared" si="90"/>
        <v>2.446886070506471E-2</v>
      </c>
      <c r="O86" s="103">
        <f t="shared" si="90"/>
        <v>2.1083775780795788E-2</v>
      </c>
      <c r="P86" s="103">
        <f t="shared" si="90"/>
        <v>2.6192290652679473E-2</v>
      </c>
      <c r="Q86" s="103">
        <f t="shared" si="90"/>
        <v>1.0399287268892055E-2</v>
      </c>
      <c r="R86" s="103">
        <f t="shared" si="90"/>
        <v>2.4670031444082863E-3</v>
      </c>
      <c r="S86" s="103">
        <f t="shared" ca="1" si="90"/>
        <v>-3.4392666732634414E-3</v>
      </c>
      <c r="T86" s="103">
        <f t="shared" ca="1" si="90"/>
        <v>1.5339739331941216E-2</v>
      </c>
      <c r="U86" s="103">
        <f t="shared" ca="1" si="90"/>
        <v>2.769181893935091E-2</v>
      </c>
      <c r="V86" s="103">
        <f t="shared" ca="1" si="90"/>
        <v>2.7606817859485266E-2</v>
      </c>
      <c r="W86" s="103">
        <f t="shared" ca="1" si="90"/>
        <v>2.7523888394366702E-2</v>
      </c>
      <c r="X86" s="103">
        <f t="shared" ca="1" si="90"/>
        <v>2.7443010191610107E-2</v>
      </c>
      <c r="Y86" s="103">
        <f t="shared" ca="1" si="90"/>
        <v>2.736416307563827E-2</v>
      </c>
      <c r="Z86" s="103">
        <f t="shared" ca="1" si="90"/>
        <v>2.7287327027403663E-2</v>
      </c>
      <c r="AA86" s="91"/>
      <c r="AB86" s="92" t="s">
        <v>619</v>
      </c>
      <c r="BB86" s="103"/>
      <c r="BC86" s="103"/>
      <c r="BD86" s="103"/>
      <c r="BE86" s="103"/>
      <c r="BF86" s="103">
        <f t="shared" ref="BF86:CD86" si="91">+BF85/BB85-1</f>
        <v>6.3716288591595172E-2</v>
      </c>
      <c r="BG86" s="103">
        <f t="shared" si="91"/>
        <v>4.0905750155374454E-2</v>
      </c>
      <c r="BH86" s="103">
        <f t="shared" si="91"/>
        <v>3.0730763927547589E-2</v>
      </c>
      <c r="BI86" s="103">
        <f t="shared" si="91"/>
        <v>-1.0290264889036949E-2</v>
      </c>
      <c r="BJ86" s="103">
        <f t="shared" si="91"/>
        <v>-2.6360368016582147E-2</v>
      </c>
      <c r="BK86" s="103">
        <f t="shared" si="91"/>
        <v>1.5047613298209139E-2</v>
      </c>
      <c r="BL86" s="103">
        <f t="shared" si="91"/>
        <v>4.9342713035295249E-2</v>
      </c>
      <c r="BM86" s="103">
        <f t="shared" si="91"/>
        <v>3.8796453317415436E-2</v>
      </c>
      <c r="BN86" s="103">
        <f t="shared" si="91"/>
        <v>7.0619602461800213E-2</v>
      </c>
      <c r="BO86" s="103">
        <f t="shared" si="91"/>
        <v>3.2836183184376866E-2</v>
      </c>
      <c r="BP86" s="103">
        <f t="shared" si="91"/>
        <v>1.5095253069324022E-2</v>
      </c>
      <c r="BQ86" s="103">
        <f t="shared" si="91"/>
        <v>-6.4108151161299531E-3</v>
      </c>
      <c r="BR86" s="103">
        <f t="shared" si="91"/>
        <v>3.3821342935881349E-2</v>
      </c>
      <c r="BS86" s="103">
        <f t="shared" si="91"/>
        <v>8.5341711418167598E-3</v>
      </c>
      <c r="BT86" s="103">
        <f t="shared" si="91"/>
        <v>1.0638676729015639E-3</v>
      </c>
      <c r="BU86" s="103">
        <f t="shared" si="91"/>
        <v>2.8094184822057722E-2</v>
      </c>
      <c r="BV86" s="103">
        <f t="shared" si="91"/>
        <v>-1.5426113062665392E-3</v>
      </c>
      <c r="BW86" s="103">
        <f t="shared" si="91"/>
        <v>9.2316230112983177E-3</v>
      </c>
      <c r="BX86" s="103">
        <f t="shared" si="91"/>
        <v>1.1706726173695614E-2</v>
      </c>
      <c r="BY86" s="103">
        <f t="shared" si="91"/>
        <v>1.4091230644987629E-2</v>
      </c>
      <c r="BZ86" s="103">
        <f t="shared" si="91"/>
        <v>3.1362010622584702E-2</v>
      </c>
      <c r="CA86" s="103">
        <f t="shared" si="91"/>
        <v>1.3783660416239352E-2</v>
      </c>
      <c r="CB86" s="103">
        <f t="shared" si="91"/>
        <v>1.9526644966333606E-2</v>
      </c>
      <c r="CC86" s="103">
        <f t="shared" si="91"/>
        <v>2.1354788873490627E-2</v>
      </c>
      <c r="CD86" s="103">
        <f t="shared" si="91"/>
        <v>1.6054725329283537E-2</v>
      </c>
    </row>
    <row r="87" spans="1:82" ht="15" customHeight="1">
      <c r="A87" s="92" t="s">
        <v>620</v>
      </c>
      <c r="B87" s="97"/>
      <c r="C87" s="97"/>
      <c r="D87" s="97"/>
      <c r="E87" s="97"/>
      <c r="F87" s="97"/>
      <c r="G87" s="111">
        <f t="shared" ref="G87:R87" si="92">1000*G81/AVERAGE(F23:G23)/12</f>
        <v>14371.130548169509</v>
      </c>
      <c r="H87" s="111">
        <f t="shared" si="92"/>
        <v>14066.907786233938</v>
      </c>
      <c r="I87" s="111">
        <f t="shared" si="92"/>
        <v>15138.263346471518</v>
      </c>
      <c r="J87" s="111">
        <f t="shared" si="92"/>
        <v>14141.761641727089</v>
      </c>
      <c r="K87" s="111">
        <f t="shared" si="92"/>
        <v>14205.940386176415</v>
      </c>
      <c r="L87" s="97">
        <f t="shared" si="92"/>
        <v>14415.325535719521</v>
      </c>
      <c r="M87" s="97">
        <f t="shared" si="92"/>
        <v>14458.547501660898</v>
      </c>
      <c r="N87" s="97">
        <f t="shared" si="92"/>
        <v>14735.193147351931</v>
      </c>
      <c r="O87" s="97">
        <f t="shared" si="92"/>
        <v>14956.156363892571</v>
      </c>
      <c r="P87" s="97">
        <f t="shared" si="92"/>
        <v>15297.140262147819</v>
      </c>
      <c r="Q87" s="97">
        <f t="shared" si="92"/>
        <v>15643.606250188896</v>
      </c>
      <c r="R87" s="97">
        <f t="shared" ca="1" si="92"/>
        <v>16100.389278951887</v>
      </c>
      <c r="S87" s="97">
        <f t="shared" ref="S87:Z87" ca="1" si="93">+R87*(1+S88)</f>
        <v>16502.899010925681</v>
      </c>
      <c r="T87" s="97">
        <f t="shared" ca="1" si="93"/>
        <v>16997.985981253452</v>
      </c>
      <c r="U87" s="97">
        <f t="shared" ca="1" si="93"/>
        <v>17507.925560691056</v>
      </c>
      <c r="V87" s="97">
        <f t="shared" ca="1" si="93"/>
        <v>18033.163327511789</v>
      </c>
      <c r="W87" s="97">
        <f t="shared" ca="1" si="93"/>
        <v>18574.158227337142</v>
      </c>
      <c r="X87" s="97">
        <f t="shared" ca="1" si="93"/>
        <v>19131.382974157255</v>
      </c>
      <c r="Y87" s="97">
        <f t="shared" ca="1" si="93"/>
        <v>19705.324463381974</v>
      </c>
      <c r="Z87" s="97">
        <f t="shared" ca="1" si="93"/>
        <v>20296.484197283433</v>
      </c>
      <c r="AA87" s="91"/>
      <c r="AB87" s="92" t="s">
        <v>621</v>
      </c>
      <c r="BB87" s="97">
        <f t="shared" ref="BB87:CD87" si="94">1000*BB81/AVERAGE(BA23:BB23)/3</f>
        <v>13770.579418774001</v>
      </c>
      <c r="BC87" s="97">
        <f t="shared" si="94"/>
        <v>14306.110545308751</v>
      </c>
      <c r="BD87" s="97">
        <f t="shared" si="94"/>
        <v>14235.962209723062</v>
      </c>
      <c r="BE87" s="97">
        <f t="shared" si="94"/>
        <v>14879.069819525828</v>
      </c>
      <c r="BF87" s="97">
        <f t="shared" si="94"/>
        <v>14203.762937215261</v>
      </c>
      <c r="BG87" s="97">
        <f t="shared" si="94"/>
        <v>14387.378279573111</v>
      </c>
      <c r="BH87" s="97">
        <f t="shared" si="94"/>
        <v>14156.19360285029</v>
      </c>
      <c r="BI87" s="97">
        <f t="shared" si="94"/>
        <v>14231.388877234522</v>
      </c>
      <c r="BJ87" s="97">
        <f t="shared" si="94"/>
        <v>13473.793622864623</v>
      </c>
      <c r="BK87" s="97">
        <f t="shared" si="94"/>
        <v>14438.914989051356</v>
      </c>
      <c r="BL87" s="97">
        <f t="shared" si="94"/>
        <v>14824.897395406733</v>
      </c>
      <c r="BM87" s="97">
        <f t="shared" si="94"/>
        <v>14746.068322255458</v>
      </c>
      <c r="BN87" s="97">
        <f t="shared" si="94"/>
        <v>14311.289914778756</v>
      </c>
      <c r="BO87" s="97">
        <f t="shared" si="94"/>
        <v>14669.831642688718</v>
      </c>
      <c r="BP87" s="97">
        <f t="shared" si="94"/>
        <v>14703.31405785455</v>
      </c>
      <c r="BQ87" s="97">
        <f t="shared" si="94"/>
        <v>14333.282938294034</v>
      </c>
      <c r="BR87" s="97">
        <f t="shared" si="94"/>
        <v>14503.717257401053</v>
      </c>
      <c r="BS87" s="97">
        <f t="shared" si="94"/>
        <v>14505.527955725329</v>
      </c>
      <c r="BT87" s="97">
        <f t="shared" si="94"/>
        <v>14485.531553151435</v>
      </c>
      <c r="BU87" s="97">
        <f t="shared" si="94"/>
        <v>14595.77134060137</v>
      </c>
      <c r="BV87" s="97">
        <f t="shared" si="94"/>
        <v>14440.242473500626</v>
      </c>
      <c r="BW87" s="97">
        <f t="shared" si="94"/>
        <v>14658.577020982457</v>
      </c>
      <c r="BX87" s="97">
        <f t="shared" si="94"/>
        <v>14658.92033542977</v>
      </c>
      <c r="BY87" s="97">
        <f t="shared" si="94"/>
        <v>14756.458792835345</v>
      </c>
      <c r="BZ87" s="97">
        <f t="shared" si="94"/>
        <v>14801.525296754115</v>
      </c>
      <c r="CA87" s="97">
        <f t="shared" si="94"/>
        <v>14748.586275408836</v>
      </c>
      <c r="CB87" s="97">
        <f t="shared" si="94"/>
        <v>14860.22807548693</v>
      </c>
      <c r="CC87" s="97">
        <f t="shared" si="94"/>
        <v>14982.768161726219</v>
      </c>
      <c r="CD87" s="97">
        <f t="shared" si="94"/>
        <v>14956.700979098323</v>
      </c>
    </row>
    <row r="88" spans="1:82" ht="15" customHeight="1">
      <c r="A88" s="92" t="s">
        <v>622</v>
      </c>
      <c r="B88" s="97"/>
      <c r="C88" s="97"/>
      <c r="D88" s="97"/>
      <c r="E88" s="97"/>
      <c r="F88" s="97"/>
      <c r="G88" s="111"/>
      <c r="H88" s="112">
        <f t="shared" ref="H88:R88" si="95">+H87/G87-1</f>
        <v>-2.116902083074601E-2</v>
      </c>
      <c r="I88" s="112">
        <f t="shared" si="95"/>
        <v>7.6161412054326805E-2</v>
      </c>
      <c r="J88" s="112">
        <f t="shared" si="95"/>
        <v>-6.5826685791980033E-2</v>
      </c>
      <c r="K88" s="112">
        <f t="shared" si="95"/>
        <v>4.5382425524664871E-3</v>
      </c>
      <c r="L88" s="103">
        <f t="shared" si="95"/>
        <v>1.4739267084835639E-2</v>
      </c>
      <c r="M88" s="103">
        <f t="shared" si="95"/>
        <v>2.9983343653445793E-3</v>
      </c>
      <c r="N88" s="103">
        <f t="shared" si="95"/>
        <v>1.9133709361832674E-2</v>
      </c>
      <c r="O88" s="103">
        <f t="shared" si="95"/>
        <v>1.4995610463399256E-2</v>
      </c>
      <c r="P88" s="103">
        <f t="shared" si="95"/>
        <v>2.279889899242149E-2</v>
      </c>
      <c r="Q88" s="103">
        <f t="shared" si="95"/>
        <v>2.2649069179184522E-2</v>
      </c>
      <c r="R88" s="103">
        <f t="shared" ca="1" si="95"/>
        <v>2.9199343262521493E-2</v>
      </c>
      <c r="S88" s="123">
        <v>2.5000000000000001E-2</v>
      </c>
      <c r="T88" s="123">
        <v>0.03</v>
      </c>
      <c r="U88" s="123">
        <v>0.03</v>
      </c>
      <c r="V88" s="123">
        <v>0.03</v>
      </c>
      <c r="W88" s="123">
        <v>0.03</v>
      </c>
      <c r="X88" s="123">
        <v>0.03</v>
      </c>
      <c r="Y88" s="123">
        <v>0.03</v>
      </c>
      <c r="Z88" s="123">
        <v>0.03</v>
      </c>
      <c r="AA88" s="91"/>
      <c r="AB88" s="92" t="s">
        <v>623</v>
      </c>
      <c r="BB88" s="103"/>
      <c r="BC88" s="103"/>
      <c r="BD88" s="103"/>
      <c r="BE88" s="103"/>
      <c r="BF88" s="103">
        <f t="shared" ref="BF88:CD88" si="96">+BF87/BB87-1</f>
        <v>3.1457174405506994E-2</v>
      </c>
      <c r="BG88" s="103">
        <f t="shared" si="96"/>
        <v>5.6806309448664827E-3</v>
      </c>
      <c r="BH88" s="103">
        <f t="shared" si="96"/>
        <v>-5.6033168462817917E-3</v>
      </c>
      <c r="BI88" s="103">
        <f t="shared" si="96"/>
        <v>-4.3529666178550586E-2</v>
      </c>
      <c r="BJ88" s="103">
        <f t="shared" si="96"/>
        <v>-5.1392670912441485E-2</v>
      </c>
      <c r="BK88" s="103">
        <f t="shared" si="96"/>
        <v>3.582077879429546E-3</v>
      </c>
      <c r="BL88" s="103">
        <f t="shared" si="96"/>
        <v>4.7237542189434434E-2</v>
      </c>
      <c r="BM88" s="103">
        <f t="shared" si="96"/>
        <v>3.6165088977664794E-2</v>
      </c>
      <c r="BN88" s="103">
        <f t="shared" si="96"/>
        <v>6.2157423169442616E-2</v>
      </c>
      <c r="BO88" s="103">
        <f t="shared" si="96"/>
        <v>1.5992659684779698E-2</v>
      </c>
      <c r="BP88" s="103">
        <f t="shared" si="96"/>
        <v>-8.201293695958678E-3</v>
      </c>
      <c r="BQ88" s="103">
        <f t="shared" si="96"/>
        <v>-2.799291139445137E-2</v>
      </c>
      <c r="BR88" s="103">
        <f t="shared" si="96"/>
        <v>1.3445841972887784E-2</v>
      </c>
      <c r="BS88" s="103">
        <f t="shared" si="96"/>
        <v>-1.1200107197227194E-2</v>
      </c>
      <c r="BT88" s="103">
        <f t="shared" si="96"/>
        <v>-1.4811797112282643E-2</v>
      </c>
      <c r="BU88" s="103">
        <f t="shared" si="96"/>
        <v>1.8313208735037945E-2</v>
      </c>
      <c r="BV88" s="103">
        <f t="shared" si="96"/>
        <v>-4.3764493456349696E-3</v>
      </c>
      <c r="BW88" s="103">
        <f t="shared" si="96"/>
        <v>1.0551085470606347E-2</v>
      </c>
      <c r="BX88" s="103">
        <f t="shared" si="96"/>
        <v>1.1969790797260238E-2</v>
      </c>
      <c r="BY88" s="103">
        <f t="shared" si="96"/>
        <v>1.1009178513710083E-2</v>
      </c>
      <c r="BZ88" s="103">
        <f t="shared" si="96"/>
        <v>2.5019165981214009E-2</v>
      </c>
      <c r="CA88" s="103">
        <f t="shared" si="96"/>
        <v>6.1403814502278831E-3</v>
      </c>
      <c r="CB88" s="103">
        <f t="shared" si="96"/>
        <v>1.373278082224183E-2</v>
      </c>
      <c r="CC88" s="103">
        <f t="shared" si="96"/>
        <v>1.5336292539288143E-2</v>
      </c>
      <c r="CD88" s="103">
        <f t="shared" si="96"/>
        <v>1.0483762938826136E-2</v>
      </c>
    </row>
    <row r="89" spans="1:82" ht="15" customHeight="1">
      <c r="B89" s="91"/>
      <c r="C89" s="91"/>
      <c r="D89" s="91"/>
      <c r="E89" s="91"/>
      <c r="F89" s="91"/>
      <c r="G89" s="128"/>
      <c r="H89" s="128"/>
      <c r="I89" s="128"/>
      <c r="J89" s="128"/>
      <c r="K89" s="128"/>
      <c r="L89" s="91"/>
      <c r="M89" s="91"/>
      <c r="N89" s="91"/>
      <c r="O89" s="91"/>
      <c r="P89" s="91"/>
      <c r="Q89" s="91"/>
      <c r="R89" s="91"/>
      <c r="S89" s="91"/>
      <c r="T89" s="91"/>
      <c r="U89" s="91"/>
      <c r="V89" s="91"/>
      <c r="W89" s="91"/>
      <c r="X89" s="91"/>
      <c r="Y89" s="91"/>
      <c r="Z89" s="91"/>
      <c r="A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row>
    <row r="90" spans="1:82" ht="15" hidden="1" customHeight="1">
      <c r="A90" s="130" t="s">
        <v>624</v>
      </c>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130" t="s">
        <v>625</v>
      </c>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row>
    <row r="91" spans="1:82" ht="15" hidden="1" customHeight="1">
      <c r="A91" s="92" t="s">
        <v>626</v>
      </c>
      <c r="B91" s="106"/>
      <c r="C91" s="106"/>
      <c r="D91" s="106"/>
      <c r="E91" s="106"/>
      <c r="F91" s="106"/>
      <c r="G91" s="106"/>
      <c r="H91" s="106"/>
      <c r="I91" s="106"/>
      <c r="J91" s="106"/>
      <c r="K91" s="106"/>
      <c r="L91" s="106">
        <v>178000</v>
      </c>
      <c r="M91" s="106">
        <v>192800</v>
      </c>
      <c r="N91" s="106">
        <v>203900</v>
      </c>
      <c r="O91" s="106">
        <v>216600</v>
      </c>
      <c r="P91" s="116">
        <f t="shared" ref="P91:Z93" si="97">P101*P$81</f>
        <v>227530.56027164686</v>
      </c>
      <c r="Q91" s="116">
        <f t="shared" si="97"/>
        <v>239466.89303904923</v>
      </c>
      <c r="R91" s="116">
        <f t="shared" si="97"/>
        <v>253346.34974533107</v>
      </c>
      <c r="S91" s="116">
        <f t="shared" ca="1" si="97"/>
        <v>265358.09791001893</v>
      </c>
      <c r="T91" s="116">
        <f t="shared" ca="1" si="97"/>
        <v>277240.96131572092</v>
      </c>
      <c r="U91" s="116">
        <f t="shared" ca="1" si="97"/>
        <v>289153.88885044848</v>
      </c>
      <c r="V91" s="116">
        <f t="shared" ca="1" si="97"/>
        <v>301576.11170403613</v>
      </c>
      <c r="W91" s="116">
        <f t="shared" ca="1" si="97"/>
        <v>314529.6942093512</v>
      </c>
      <c r="X91" s="116">
        <f t="shared" ca="1" si="97"/>
        <v>328037.67894282145</v>
      </c>
      <c r="Y91" s="116">
        <f t="shared" ca="1" si="97"/>
        <v>342124.13126626686</v>
      </c>
      <c r="Z91" s="116">
        <f t="shared" ca="1" si="97"/>
        <v>356814.18594950205</v>
      </c>
      <c r="AA91" s="91"/>
      <c r="AB91" s="92" t="s">
        <v>626</v>
      </c>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06"/>
      <c r="BC91" s="106"/>
      <c r="BD91" s="106"/>
      <c r="BE91" s="106"/>
      <c r="BF91" s="106"/>
      <c r="BG91" s="106"/>
      <c r="BH91" s="106"/>
      <c r="BI91" s="106"/>
      <c r="BJ91" s="106"/>
      <c r="BK91" s="106"/>
      <c r="BL91" s="106"/>
      <c r="BM91" s="106"/>
      <c r="BN91" s="106"/>
      <c r="BO91" s="106"/>
      <c r="BP91" s="106"/>
      <c r="BQ91" s="106"/>
      <c r="BR91" s="106"/>
      <c r="BS91" s="106"/>
      <c r="BT91" s="106"/>
      <c r="BU91" s="106"/>
      <c r="BV91" s="106">
        <v>49200</v>
      </c>
      <c r="BW91" s="106">
        <v>50800</v>
      </c>
      <c r="BX91" s="106">
        <v>51500</v>
      </c>
      <c r="BY91" s="106">
        <f>203900-BX91-BW91-BV91</f>
        <v>52400</v>
      </c>
      <c r="BZ91" s="106">
        <v>53200</v>
      </c>
      <c r="CA91" s="106">
        <v>53800</v>
      </c>
      <c r="CB91" s="106">
        <v>54500</v>
      </c>
      <c r="CC91" s="106">
        <f>O91-CB91-CA91-BZ91</f>
        <v>55100</v>
      </c>
      <c r="CD91" s="106">
        <v>55900</v>
      </c>
    </row>
    <row r="92" spans="1:82" ht="15" hidden="1" customHeight="1">
      <c r="A92" s="92" t="s">
        <v>627</v>
      </c>
      <c r="B92" s="106"/>
      <c r="C92" s="106"/>
      <c r="D92" s="106"/>
      <c r="E92" s="106"/>
      <c r="F92" s="106"/>
      <c r="G92" s="106"/>
      <c r="H92" s="106"/>
      <c r="I92" s="106"/>
      <c r="J92" s="106"/>
      <c r="K92" s="106"/>
      <c r="L92" s="106">
        <v>122300</v>
      </c>
      <c r="M92" s="106">
        <v>128300</v>
      </c>
      <c r="N92" s="106">
        <v>144900</v>
      </c>
      <c r="O92" s="106">
        <v>159800</v>
      </c>
      <c r="P92" s="116">
        <f t="shared" si="97"/>
        <v>168664.85568760612</v>
      </c>
      <c r="Q92" s="116">
        <f t="shared" si="97"/>
        <v>177513.07300509338</v>
      </c>
      <c r="R92" s="116">
        <f t="shared" si="97"/>
        <v>187801.69779286926</v>
      </c>
      <c r="S92" s="116">
        <f t="shared" ca="1" si="97"/>
        <v>196705.81936816082</v>
      </c>
      <c r="T92" s="116">
        <f t="shared" ca="1" si="97"/>
        <v>205514.40068174541</v>
      </c>
      <c r="U92" s="116">
        <f t="shared" ca="1" si="97"/>
        <v>214345.26806528663</v>
      </c>
      <c r="V92" s="116">
        <f t="shared" ca="1" si="97"/>
        <v>223553.66812556074</v>
      </c>
      <c r="W92" s="116">
        <f t="shared" ca="1" si="97"/>
        <v>233155.95680839982</v>
      </c>
      <c r="X92" s="116">
        <f t="shared" ca="1" si="97"/>
        <v>243169.21521633005</v>
      </c>
      <c r="Y92" s="116">
        <f t="shared" ca="1" si="97"/>
        <v>253611.28262673732</v>
      </c>
      <c r="Z92" s="116">
        <f t="shared" ca="1" si="97"/>
        <v>264500.79105247493</v>
      </c>
      <c r="AA92" s="91"/>
      <c r="AB92" s="92" t="s">
        <v>627</v>
      </c>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06"/>
      <c r="BC92" s="106"/>
      <c r="BD92" s="106"/>
      <c r="BE92" s="106"/>
      <c r="BF92" s="106"/>
      <c r="BG92" s="106"/>
      <c r="BH92" s="106"/>
      <c r="BI92" s="106"/>
      <c r="BJ92" s="106"/>
      <c r="BK92" s="106"/>
      <c r="BL92" s="106"/>
      <c r="BM92" s="106"/>
      <c r="BN92" s="106"/>
      <c r="BO92" s="106"/>
      <c r="BP92" s="106"/>
      <c r="BQ92" s="106"/>
      <c r="BR92" s="106"/>
      <c r="BS92" s="106"/>
      <c r="BT92" s="106"/>
      <c r="BU92" s="106"/>
      <c r="BV92" s="106">
        <v>34300</v>
      </c>
      <c r="BW92" s="106">
        <v>35900</v>
      </c>
      <c r="BX92" s="106">
        <v>37000</v>
      </c>
      <c r="BY92" s="106">
        <f>144900-BX92-BW92-BV92</f>
        <v>37700</v>
      </c>
      <c r="BZ92" s="106">
        <v>38500</v>
      </c>
      <c r="CA92" s="106">
        <v>39700</v>
      </c>
      <c r="CB92" s="106">
        <v>40400</v>
      </c>
      <c r="CC92" s="106">
        <f>O92-CB92-CA92-BZ92</f>
        <v>41200</v>
      </c>
      <c r="CD92" s="106">
        <v>41800</v>
      </c>
    </row>
    <row r="93" spans="1:82" ht="15" hidden="1" customHeight="1">
      <c r="A93" s="92" t="s">
        <v>628</v>
      </c>
      <c r="B93" s="132"/>
      <c r="C93" s="132"/>
      <c r="D93" s="132"/>
      <c r="E93" s="132"/>
      <c r="F93" s="132"/>
      <c r="G93" s="132"/>
      <c r="H93" s="132"/>
      <c r="I93" s="132"/>
      <c r="J93" s="132"/>
      <c r="K93" s="132"/>
      <c r="L93" s="132">
        <v>93100</v>
      </c>
      <c r="M93" s="132">
        <v>92400</v>
      </c>
      <c r="N93" s="132">
        <v>93300</v>
      </c>
      <c r="O93" s="132">
        <v>90600</v>
      </c>
      <c r="P93" s="133">
        <f t="shared" si="97"/>
        <v>95604.584040747024</v>
      </c>
      <c r="Q93" s="133">
        <f t="shared" si="97"/>
        <v>100620.03395585739</v>
      </c>
      <c r="R93" s="133">
        <f t="shared" si="97"/>
        <v>106451.95246179966</v>
      </c>
      <c r="S93" s="133">
        <f t="shared" ca="1" si="97"/>
        <v>111499.09068145748</v>
      </c>
      <c r="T93" s="133">
        <f t="shared" ca="1" si="97"/>
        <v>116492.07365376163</v>
      </c>
      <c r="U93" s="133">
        <f t="shared" ca="1" si="97"/>
        <v>121497.68907661048</v>
      </c>
      <c r="V93" s="133">
        <f t="shared" ca="1" si="97"/>
        <v>126717.30198206288</v>
      </c>
      <c r="W93" s="133">
        <f t="shared" ca="1" si="97"/>
        <v>132160.18343842463</v>
      </c>
      <c r="X93" s="133">
        <f t="shared" ca="1" si="97"/>
        <v>137836.01555579103</v>
      </c>
      <c r="Y93" s="133">
        <f t="shared" ca="1" si="97"/>
        <v>143754.9102017892</v>
      </c>
      <c r="Z93" s="133">
        <f t="shared" ca="1" si="97"/>
        <v>149927.42859162565</v>
      </c>
      <c r="AA93" s="91"/>
      <c r="AB93" s="92" t="s">
        <v>628</v>
      </c>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2"/>
      <c r="BC93" s="132"/>
      <c r="BD93" s="132"/>
      <c r="BE93" s="132"/>
      <c r="BF93" s="132"/>
      <c r="BG93" s="132"/>
      <c r="BH93" s="132"/>
      <c r="BI93" s="132"/>
      <c r="BJ93" s="132"/>
      <c r="BK93" s="132"/>
      <c r="BL93" s="132"/>
      <c r="BM93" s="132"/>
      <c r="BN93" s="132"/>
      <c r="BO93" s="132"/>
      <c r="BP93" s="132"/>
      <c r="BQ93" s="132"/>
      <c r="BR93" s="132"/>
      <c r="BS93" s="132"/>
      <c r="BT93" s="132"/>
      <c r="BU93" s="132"/>
      <c r="BV93" s="132">
        <v>23100</v>
      </c>
      <c r="BW93" s="132">
        <v>23600</v>
      </c>
      <c r="BX93" s="132">
        <v>23300</v>
      </c>
      <c r="BY93" s="132">
        <f>93300-BX93-BW93-BV93</f>
        <v>23300</v>
      </c>
      <c r="BZ93" s="132">
        <v>22800</v>
      </c>
      <c r="CA93" s="132">
        <v>22300</v>
      </c>
      <c r="CB93" s="132">
        <v>22900</v>
      </c>
      <c r="CC93" s="132">
        <f>O93-CB93-CA93-BZ93</f>
        <v>22600</v>
      </c>
      <c r="CD93" s="132">
        <v>21300</v>
      </c>
    </row>
    <row r="94" spans="1:82" ht="15" hidden="1" customHeight="1">
      <c r="A94" s="92" t="s">
        <v>629</v>
      </c>
      <c r="B94" s="116"/>
      <c r="C94" s="116"/>
      <c r="D94" s="116"/>
      <c r="E94" s="116"/>
      <c r="F94" s="116"/>
      <c r="G94" s="116"/>
      <c r="H94" s="116"/>
      <c r="I94" s="116"/>
      <c r="J94" s="116"/>
      <c r="K94" s="116"/>
      <c r="L94" s="116">
        <f>SUM(L91:L93)</f>
        <v>393400</v>
      </c>
      <c r="M94" s="116">
        <f>SUM(M91:M93)</f>
        <v>413500</v>
      </c>
      <c r="N94" s="116">
        <f>SUM(N91:N93)</f>
        <v>442100</v>
      </c>
      <c r="O94" s="116">
        <f t="shared" ref="O94:Z94" si="98">SUM(O91:O93)</f>
        <v>467000</v>
      </c>
      <c r="P94" s="116">
        <f t="shared" si="98"/>
        <v>491800</v>
      </c>
      <c r="Q94" s="116">
        <f t="shared" si="98"/>
        <v>517600</v>
      </c>
      <c r="R94" s="116">
        <f t="shared" si="98"/>
        <v>547600</v>
      </c>
      <c r="S94" s="116">
        <f t="shared" ca="1" si="98"/>
        <v>573563.00795963733</v>
      </c>
      <c r="T94" s="116">
        <f t="shared" ca="1" si="98"/>
        <v>599247.43565122795</v>
      </c>
      <c r="U94" s="116">
        <f t="shared" ca="1" si="98"/>
        <v>624996.8459923456</v>
      </c>
      <c r="V94" s="116">
        <f t="shared" ca="1" si="98"/>
        <v>651847.08181165974</v>
      </c>
      <c r="W94" s="116">
        <f t="shared" ca="1" si="98"/>
        <v>679845.83445617568</v>
      </c>
      <c r="X94" s="116">
        <f t="shared" ca="1" si="98"/>
        <v>709042.90971494257</v>
      </c>
      <c r="Y94" s="116">
        <f t="shared" ca="1" si="98"/>
        <v>739490.32409479341</v>
      </c>
      <c r="Z94" s="116">
        <f t="shared" ca="1" si="98"/>
        <v>771242.40559360257</v>
      </c>
      <c r="AA94" s="91"/>
      <c r="AB94" s="92" t="s">
        <v>629</v>
      </c>
      <c r="AC94" s="135">
        <f t="shared" ref="AC94:CA94" si="99">SUM(AC91:AC93)</f>
        <v>0</v>
      </c>
      <c r="AD94" s="135">
        <f t="shared" si="99"/>
        <v>0</v>
      </c>
      <c r="AE94" s="135">
        <f t="shared" si="99"/>
        <v>0</v>
      </c>
      <c r="AF94" s="135">
        <f t="shared" si="99"/>
        <v>0</v>
      </c>
      <c r="AG94" s="135">
        <f t="shared" si="99"/>
        <v>0</v>
      </c>
      <c r="AH94" s="135">
        <f t="shared" si="99"/>
        <v>0</v>
      </c>
      <c r="AI94" s="135">
        <f t="shared" si="99"/>
        <v>0</v>
      </c>
      <c r="AJ94" s="135">
        <f t="shared" si="99"/>
        <v>0</v>
      </c>
      <c r="AK94" s="135">
        <f t="shared" si="99"/>
        <v>0</v>
      </c>
      <c r="AL94" s="135">
        <f t="shared" si="99"/>
        <v>0</v>
      </c>
      <c r="AM94" s="135">
        <f t="shared" si="99"/>
        <v>0</v>
      </c>
      <c r="AN94" s="135">
        <f t="shared" si="99"/>
        <v>0</v>
      </c>
      <c r="AO94" s="135">
        <f t="shared" si="99"/>
        <v>0</v>
      </c>
      <c r="AP94" s="135">
        <f t="shared" si="99"/>
        <v>0</v>
      </c>
      <c r="AQ94" s="135">
        <f t="shared" si="99"/>
        <v>0</v>
      </c>
      <c r="AR94" s="135">
        <f t="shared" si="99"/>
        <v>0</v>
      </c>
      <c r="AS94" s="135">
        <f t="shared" si="99"/>
        <v>0</v>
      </c>
      <c r="AT94" s="135">
        <f t="shared" si="99"/>
        <v>0</v>
      </c>
      <c r="AU94" s="135">
        <f t="shared" si="99"/>
        <v>0</v>
      </c>
      <c r="AV94" s="135">
        <f t="shared" si="99"/>
        <v>0</v>
      </c>
      <c r="AW94" s="135">
        <f t="shared" si="99"/>
        <v>0</v>
      </c>
      <c r="AX94" s="135">
        <f t="shared" si="99"/>
        <v>0</v>
      </c>
      <c r="AY94" s="135">
        <f t="shared" si="99"/>
        <v>0</v>
      </c>
      <c r="AZ94" s="135">
        <f t="shared" si="99"/>
        <v>0</v>
      </c>
      <c r="BA94" s="135">
        <f t="shared" si="99"/>
        <v>0</v>
      </c>
      <c r="BB94" s="116">
        <f t="shared" si="99"/>
        <v>0</v>
      </c>
      <c r="BC94" s="116">
        <f t="shared" si="99"/>
        <v>0</v>
      </c>
      <c r="BD94" s="116">
        <f t="shared" si="99"/>
        <v>0</v>
      </c>
      <c r="BE94" s="116">
        <f t="shared" si="99"/>
        <v>0</v>
      </c>
      <c r="BF94" s="116">
        <f t="shared" si="99"/>
        <v>0</v>
      </c>
      <c r="BG94" s="116">
        <f t="shared" si="99"/>
        <v>0</v>
      </c>
      <c r="BH94" s="116">
        <f t="shared" si="99"/>
        <v>0</v>
      </c>
      <c r="BI94" s="116">
        <f t="shared" si="99"/>
        <v>0</v>
      </c>
      <c r="BJ94" s="116">
        <f t="shared" si="99"/>
        <v>0</v>
      </c>
      <c r="BK94" s="116">
        <f t="shared" si="99"/>
        <v>0</v>
      </c>
      <c r="BL94" s="116">
        <f t="shared" si="99"/>
        <v>0</v>
      </c>
      <c r="BM94" s="116">
        <f t="shared" si="99"/>
        <v>0</v>
      </c>
      <c r="BN94" s="116">
        <f t="shared" si="99"/>
        <v>0</v>
      </c>
      <c r="BO94" s="116">
        <f t="shared" si="99"/>
        <v>0</v>
      </c>
      <c r="BP94" s="116">
        <f t="shared" si="99"/>
        <v>0</v>
      </c>
      <c r="BQ94" s="116">
        <f t="shared" si="99"/>
        <v>0</v>
      </c>
      <c r="BR94" s="116">
        <f t="shared" si="99"/>
        <v>0</v>
      </c>
      <c r="BS94" s="116">
        <f t="shared" si="99"/>
        <v>0</v>
      </c>
      <c r="BT94" s="116">
        <f t="shared" si="99"/>
        <v>0</v>
      </c>
      <c r="BU94" s="116">
        <f t="shared" si="99"/>
        <v>0</v>
      </c>
      <c r="BV94" s="116">
        <f t="shared" si="99"/>
        <v>106600</v>
      </c>
      <c r="BW94" s="116">
        <f t="shared" si="99"/>
        <v>110300</v>
      </c>
      <c r="BX94" s="116">
        <f t="shared" si="99"/>
        <v>111800</v>
      </c>
      <c r="BY94" s="116">
        <f t="shared" si="99"/>
        <v>113400</v>
      </c>
      <c r="BZ94" s="116">
        <f t="shared" si="99"/>
        <v>114500</v>
      </c>
      <c r="CA94" s="116">
        <f t="shared" si="99"/>
        <v>115800</v>
      </c>
      <c r="CB94" s="116">
        <f>SUM(CB91:CB93)</f>
        <v>117800</v>
      </c>
      <c r="CC94" s="116">
        <f>SUM(CC91:CC93)</f>
        <v>118900</v>
      </c>
      <c r="CD94" s="116">
        <f>SUM(CD91:CD93)</f>
        <v>119000</v>
      </c>
    </row>
    <row r="95" spans="1:82" ht="15" hidden="1" customHeight="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row>
    <row r="96" spans="1:82" ht="15" hidden="1" customHeight="1">
      <c r="A96" s="92" t="s">
        <v>630</v>
      </c>
      <c r="B96" s="103"/>
      <c r="C96" s="103"/>
      <c r="D96" s="103"/>
      <c r="E96" s="103"/>
      <c r="F96" s="103"/>
      <c r="G96" s="103"/>
      <c r="H96" s="103"/>
      <c r="I96" s="103"/>
      <c r="J96" s="103"/>
      <c r="K96" s="103"/>
      <c r="L96" s="103"/>
      <c r="M96" s="103">
        <f t="shared" ref="M96:N99" si="100">M91/L91-1</f>
        <v>8.3146067415730274E-2</v>
      </c>
      <c r="N96" s="103">
        <f t="shared" si="100"/>
        <v>5.7572614107883835E-2</v>
      </c>
      <c r="O96" s="103">
        <f t="shared" ref="O96:Z99" si="101">O91/N91-1</f>
        <v>6.2285434036292386E-2</v>
      </c>
      <c r="P96" s="103">
        <f t="shared" si="101"/>
        <v>5.0464267182118494E-2</v>
      </c>
      <c r="Q96" s="103">
        <f t="shared" si="101"/>
        <v>5.2460349735664824E-2</v>
      </c>
      <c r="R96" s="103">
        <f t="shared" si="101"/>
        <v>5.7959814528593556E-2</v>
      </c>
      <c r="S96" s="103">
        <f t="shared" ca="1" si="101"/>
        <v>4.7412359312704933E-2</v>
      </c>
      <c r="T96" s="103">
        <f t="shared" ca="1" si="101"/>
        <v>4.4780481542837203E-2</v>
      </c>
      <c r="U96" s="103">
        <f t="shared" ca="1" si="101"/>
        <v>4.2969579524582358E-2</v>
      </c>
      <c r="V96" s="103">
        <f t="shared" ca="1" si="101"/>
        <v>4.2960594107771088E-2</v>
      </c>
      <c r="W96" s="103">
        <f t="shared" ca="1" si="101"/>
        <v>4.295294621355028E-2</v>
      </c>
      <c r="X96" s="103">
        <f t="shared" ca="1" si="101"/>
        <v>4.2946611980232641E-2</v>
      </c>
      <c r="Y96" s="103">
        <f t="shared" ca="1" si="101"/>
        <v>4.2941568080966608E-2</v>
      </c>
      <c r="Z96" s="103">
        <f t="shared" ca="1" si="101"/>
        <v>4.293779169819012E-2</v>
      </c>
      <c r="AA96" s="91"/>
      <c r="AB96" s="92" t="s">
        <v>630</v>
      </c>
      <c r="BB96" s="103" t="e">
        <f t="shared" ref="BB96:CB99" si="102">BB91/AX91-1</f>
        <v>#DIV/0!</v>
      </c>
      <c r="BC96" s="103" t="e">
        <f t="shared" si="102"/>
        <v>#DIV/0!</v>
      </c>
      <c r="BD96" s="103" t="e">
        <f t="shared" si="102"/>
        <v>#DIV/0!</v>
      </c>
      <c r="BE96" s="103" t="e">
        <f t="shared" si="102"/>
        <v>#DIV/0!</v>
      </c>
      <c r="BF96" s="103" t="e">
        <f t="shared" si="102"/>
        <v>#DIV/0!</v>
      </c>
      <c r="BG96" s="103" t="e">
        <f t="shared" si="102"/>
        <v>#DIV/0!</v>
      </c>
      <c r="BH96" s="103" t="e">
        <f t="shared" si="102"/>
        <v>#DIV/0!</v>
      </c>
      <c r="BI96" s="103" t="e">
        <f t="shared" si="102"/>
        <v>#DIV/0!</v>
      </c>
      <c r="BJ96" s="103" t="e">
        <f t="shared" si="102"/>
        <v>#DIV/0!</v>
      </c>
      <c r="BK96" s="103" t="e">
        <f t="shared" si="102"/>
        <v>#DIV/0!</v>
      </c>
      <c r="BL96" s="103" t="e">
        <f t="shared" si="102"/>
        <v>#DIV/0!</v>
      </c>
      <c r="BM96" s="103" t="e">
        <f t="shared" si="102"/>
        <v>#DIV/0!</v>
      </c>
      <c r="BN96" s="103" t="e">
        <f t="shared" si="102"/>
        <v>#DIV/0!</v>
      </c>
      <c r="BO96" s="103" t="e">
        <f t="shared" si="102"/>
        <v>#DIV/0!</v>
      </c>
      <c r="BP96" s="103" t="e">
        <f t="shared" si="102"/>
        <v>#DIV/0!</v>
      </c>
      <c r="BQ96" s="103" t="e">
        <f t="shared" si="102"/>
        <v>#DIV/0!</v>
      </c>
      <c r="BR96" s="103" t="e">
        <f t="shared" si="102"/>
        <v>#DIV/0!</v>
      </c>
      <c r="BS96" s="103" t="e">
        <f t="shared" si="102"/>
        <v>#DIV/0!</v>
      </c>
      <c r="BT96" s="103" t="e">
        <f t="shared" si="102"/>
        <v>#DIV/0!</v>
      </c>
      <c r="BU96" s="103" t="e">
        <f t="shared" si="102"/>
        <v>#DIV/0!</v>
      </c>
      <c r="BV96" s="103" t="e">
        <f t="shared" si="102"/>
        <v>#DIV/0!</v>
      </c>
      <c r="BW96" s="103" t="e">
        <f t="shared" si="102"/>
        <v>#DIV/0!</v>
      </c>
      <c r="BX96" s="103" t="e">
        <f t="shared" si="102"/>
        <v>#DIV/0!</v>
      </c>
      <c r="BY96" s="103" t="e">
        <f t="shared" si="102"/>
        <v>#DIV/0!</v>
      </c>
      <c r="BZ96" s="103">
        <f t="shared" si="102"/>
        <v>8.1300813008130079E-2</v>
      </c>
      <c r="CA96" s="103">
        <f t="shared" si="102"/>
        <v>5.9055118110236116E-2</v>
      </c>
      <c r="CB96" s="103">
        <f t="shared" si="102"/>
        <v>5.8252427184465994E-2</v>
      </c>
      <c r="CC96" s="103">
        <f>CC91/BY91-1</f>
        <v>5.15267175572518E-2</v>
      </c>
      <c r="CD96" s="103">
        <f>CD91/BZ91-1</f>
        <v>5.0751879699248104E-2</v>
      </c>
    </row>
    <row r="97" spans="1:82" ht="15" hidden="1" customHeight="1">
      <c r="A97" s="92" t="s">
        <v>631</v>
      </c>
      <c r="B97" s="103"/>
      <c r="C97" s="103"/>
      <c r="D97" s="103"/>
      <c r="E97" s="103"/>
      <c r="F97" s="103"/>
      <c r="G97" s="103"/>
      <c r="H97" s="103"/>
      <c r="I97" s="103"/>
      <c r="J97" s="103"/>
      <c r="K97" s="103"/>
      <c r="L97" s="103"/>
      <c r="M97" s="103">
        <f t="shared" si="100"/>
        <v>4.9059689288634578E-2</v>
      </c>
      <c r="N97" s="103">
        <f t="shared" si="100"/>
        <v>0.12938425565081846</v>
      </c>
      <c r="O97" s="103">
        <f t="shared" si="101"/>
        <v>0.10282953761214642</v>
      </c>
      <c r="P97" s="103">
        <f t="shared" si="101"/>
        <v>5.5474691411802945E-2</v>
      </c>
      <c r="Q97" s="103">
        <f t="shared" si="101"/>
        <v>5.2460349735664824E-2</v>
      </c>
      <c r="R97" s="103">
        <f t="shared" si="101"/>
        <v>5.7959814528593556E-2</v>
      </c>
      <c r="S97" s="103">
        <f t="shared" ca="1" si="101"/>
        <v>4.7412359312704933E-2</v>
      </c>
      <c r="T97" s="103">
        <f t="shared" ca="1" si="101"/>
        <v>4.4780481542837203E-2</v>
      </c>
      <c r="U97" s="103">
        <f t="shared" ca="1" si="101"/>
        <v>4.2969579524582802E-2</v>
      </c>
      <c r="V97" s="103">
        <f t="shared" ca="1" si="101"/>
        <v>4.2960594107770866E-2</v>
      </c>
      <c r="W97" s="103">
        <f t="shared" ca="1" si="101"/>
        <v>4.295294621355028E-2</v>
      </c>
      <c r="X97" s="103">
        <f t="shared" ca="1" si="101"/>
        <v>4.2946611980232641E-2</v>
      </c>
      <c r="Y97" s="103">
        <f t="shared" ca="1" si="101"/>
        <v>4.2941568080966608E-2</v>
      </c>
      <c r="Z97" s="103">
        <f t="shared" ca="1" si="101"/>
        <v>4.2937791698189898E-2</v>
      </c>
      <c r="AA97" s="91"/>
      <c r="AB97" s="92" t="s">
        <v>631</v>
      </c>
      <c r="BB97" s="103" t="e">
        <f t="shared" si="102"/>
        <v>#DIV/0!</v>
      </c>
      <c r="BC97" s="103" t="e">
        <f t="shared" si="102"/>
        <v>#DIV/0!</v>
      </c>
      <c r="BD97" s="103" t="e">
        <f t="shared" si="102"/>
        <v>#DIV/0!</v>
      </c>
      <c r="BE97" s="103" t="e">
        <f t="shared" si="102"/>
        <v>#DIV/0!</v>
      </c>
      <c r="BF97" s="103" t="e">
        <f t="shared" si="102"/>
        <v>#DIV/0!</v>
      </c>
      <c r="BG97" s="103" t="e">
        <f t="shared" si="102"/>
        <v>#DIV/0!</v>
      </c>
      <c r="BH97" s="103" t="e">
        <f t="shared" si="102"/>
        <v>#DIV/0!</v>
      </c>
      <c r="BI97" s="103" t="e">
        <f t="shared" si="102"/>
        <v>#DIV/0!</v>
      </c>
      <c r="BJ97" s="103" t="e">
        <f t="shared" si="102"/>
        <v>#DIV/0!</v>
      </c>
      <c r="BK97" s="103" t="e">
        <f t="shared" si="102"/>
        <v>#DIV/0!</v>
      </c>
      <c r="BL97" s="103" t="e">
        <f t="shared" si="102"/>
        <v>#DIV/0!</v>
      </c>
      <c r="BM97" s="103" t="e">
        <f t="shared" si="102"/>
        <v>#DIV/0!</v>
      </c>
      <c r="BN97" s="103" t="e">
        <f t="shared" si="102"/>
        <v>#DIV/0!</v>
      </c>
      <c r="BO97" s="103" t="e">
        <f t="shared" si="102"/>
        <v>#DIV/0!</v>
      </c>
      <c r="BP97" s="103" t="e">
        <f t="shared" si="102"/>
        <v>#DIV/0!</v>
      </c>
      <c r="BQ97" s="103" t="e">
        <f t="shared" si="102"/>
        <v>#DIV/0!</v>
      </c>
      <c r="BR97" s="103" t="e">
        <f t="shared" si="102"/>
        <v>#DIV/0!</v>
      </c>
      <c r="BS97" s="103" t="e">
        <f t="shared" si="102"/>
        <v>#DIV/0!</v>
      </c>
      <c r="BT97" s="103" t="e">
        <f t="shared" si="102"/>
        <v>#DIV/0!</v>
      </c>
      <c r="BU97" s="103" t="e">
        <f t="shared" si="102"/>
        <v>#DIV/0!</v>
      </c>
      <c r="BV97" s="103" t="e">
        <f t="shared" si="102"/>
        <v>#DIV/0!</v>
      </c>
      <c r="BW97" s="103" t="e">
        <f t="shared" si="102"/>
        <v>#DIV/0!</v>
      </c>
      <c r="BX97" s="103" t="e">
        <f t="shared" si="102"/>
        <v>#DIV/0!</v>
      </c>
      <c r="BY97" s="103" t="e">
        <f t="shared" si="102"/>
        <v>#DIV/0!</v>
      </c>
      <c r="BZ97" s="103">
        <f t="shared" si="102"/>
        <v>0.12244897959183665</v>
      </c>
      <c r="CA97" s="103">
        <f t="shared" si="102"/>
        <v>0.10584958217270191</v>
      </c>
      <c r="CB97" s="103">
        <f t="shared" si="102"/>
        <v>9.1891891891891841E-2</v>
      </c>
      <c r="CC97" s="103">
        <f t="shared" ref="CB97:CD99" si="103">CC92/BY92-1</f>
        <v>9.2838196286472163E-2</v>
      </c>
      <c r="CD97" s="103">
        <f t="shared" si="103"/>
        <v>8.5714285714285632E-2</v>
      </c>
    </row>
    <row r="98" spans="1:82" ht="15" hidden="1" customHeight="1">
      <c r="A98" s="92" t="s">
        <v>632</v>
      </c>
      <c r="B98" s="136"/>
      <c r="C98" s="136"/>
      <c r="D98" s="136"/>
      <c r="E98" s="136"/>
      <c r="F98" s="136"/>
      <c r="G98" s="136"/>
      <c r="H98" s="136"/>
      <c r="I98" s="136"/>
      <c r="J98" s="136"/>
      <c r="K98" s="136"/>
      <c r="L98" s="136"/>
      <c r="M98" s="136">
        <f t="shared" si="100"/>
        <v>-7.5187969924812581E-3</v>
      </c>
      <c r="N98" s="136">
        <f t="shared" si="100"/>
        <v>9.7402597402598268E-3</v>
      </c>
      <c r="O98" s="136">
        <f t="shared" si="101"/>
        <v>-2.8938906752411619E-2</v>
      </c>
      <c r="P98" s="136">
        <f t="shared" si="101"/>
        <v>5.5238234445331491E-2</v>
      </c>
      <c r="Q98" s="136">
        <f t="shared" si="101"/>
        <v>5.2460349735665046E-2</v>
      </c>
      <c r="R98" s="136">
        <f t="shared" si="101"/>
        <v>5.7959814528593556E-2</v>
      </c>
      <c r="S98" s="136">
        <f t="shared" ca="1" si="101"/>
        <v>4.7412359312704933E-2</v>
      </c>
      <c r="T98" s="136">
        <f t="shared" ca="1" si="101"/>
        <v>4.4780481542837203E-2</v>
      </c>
      <c r="U98" s="136">
        <f t="shared" ca="1" si="101"/>
        <v>4.296957952458258E-2</v>
      </c>
      <c r="V98" s="136">
        <f t="shared" ca="1" si="101"/>
        <v>4.2960594107770866E-2</v>
      </c>
      <c r="W98" s="136">
        <f t="shared" ca="1" si="101"/>
        <v>4.295294621355028E-2</v>
      </c>
      <c r="X98" s="136">
        <f t="shared" ca="1" si="101"/>
        <v>4.2946611980232641E-2</v>
      </c>
      <c r="Y98" s="136">
        <f t="shared" ca="1" si="101"/>
        <v>4.2941568080966608E-2</v>
      </c>
      <c r="Z98" s="136">
        <f t="shared" ca="1" si="101"/>
        <v>4.293779169819012E-2</v>
      </c>
      <c r="AA98" s="91"/>
      <c r="AB98" s="92" t="s">
        <v>632</v>
      </c>
      <c r="BB98" s="136" t="e">
        <f t="shared" si="102"/>
        <v>#DIV/0!</v>
      </c>
      <c r="BC98" s="136" t="e">
        <f t="shared" si="102"/>
        <v>#DIV/0!</v>
      </c>
      <c r="BD98" s="136" t="e">
        <f t="shared" si="102"/>
        <v>#DIV/0!</v>
      </c>
      <c r="BE98" s="136" t="e">
        <f t="shared" si="102"/>
        <v>#DIV/0!</v>
      </c>
      <c r="BF98" s="136" t="e">
        <f t="shared" si="102"/>
        <v>#DIV/0!</v>
      </c>
      <c r="BG98" s="136" t="e">
        <f t="shared" si="102"/>
        <v>#DIV/0!</v>
      </c>
      <c r="BH98" s="136" t="e">
        <f t="shared" si="102"/>
        <v>#DIV/0!</v>
      </c>
      <c r="BI98" s="136" t="e">
        <f t="shared" si="102"/>
        <v>#DIV/0!</v>
      </c>
      <c r="BJ98" s="136" t="e">
        <f t="shared" si="102"/>
        <v>#DIV/0!</v>
      </c>
      <c r="BK98" s="136" t="e">
        <f t="shared" si="102"/>
        <v>#DIV/0!</v>
      </c>
      <c r="BL98" s="136" t="e">
        <f t="shared" si="102"/>
        <v>#DIV/0!</v>
      </c>
      <c r="BM98" s="136" t="e">
        <f t="shared" si="102"/>
        <v>#DIV/0!</v>
      </c>
      <c r="BN98" s="136" t="e">
        <f t="shared" si="102"/>
        <v>#DIV/0!</v>
      </c>
      <c r="BO98" s="136" t="e">
        <f t="shared" si="102"/>
        <v>#DIV/0!</v>
      </c>
      <c r="BP98" s="136" t="e">
        <f t="shared" si="102"/>
        <v>#DIV/0!</v>
      </c>
      <c r="BQ98" s="136" t="e">
        <f t="shared" si="102"/>
        <v>#DIV/0!</v>
      </c>
      <c r="BR98" s="136" t="e">
        <f t="shared" si="102"/>
        <v>#DIV/0!</v>
      </c>
      <c r="BS98" s="136" t="e">
        <f t="shared" si="102"/>
        <v>#DIV/0!</v>
      </c>
      <c r="BT98" s="136" t="e">
        <f t="shared" si="102"/>
        <v>#DIV/0!</v>
      </c>
      <c r="BU98" s="136" t="e">
        <f t="shared" si="102"/>
        <v>#DIV/0!</v>
      </c>
      <c r="BV98" s="136" t="e">
        <f t="shared" si="102"/>
        <v>#DIV/0!</v>
      </c>
      <c r="BW98" s="136" t="e">
        <f t="shared" si="102"/>
        <v>#DIV/0!</v>
      </c>
      <c r="BX98" s="136" t="e">
        <f t="shared" si="102"/>
        <v>#DIV/0!</v>
      </c>
      <c r="BY98" s="136" t="e">
        <f t="shared" si="102"/>
        <v>#DIV/0!</v>
      </c>
      <c r="BZ98" s="136">
        <f t="shared" si="102"/>
        <v>-1.2987012987012991E-2</v>
      </c>
      <c r="CA98" s="136">
        <f t="shared" si="102"/>
        <v>-5.5084745762711829E-2</v>
      </c>
      <c r="CB98" s="136">
        <f t="shared" si="103"/>
        <v>-1.7167381974248941E-2</v>
      </c>
      <c r="CC98" s="136">
        <f t="shared" si="103"/>
        <v>-3.0042918454935674E-2</v>
      </c>
      <c r="CD98" s="136">
        <f t="shared" si="103"/>
        <v>-6.5789473684210509E-2</v>
      </c>
    </row>
    <row r="99" spans="1:82" ht="15" hidden="1" customHeight="1">
      <c r="A99" s="92" t="s">
        <v>633</v>
      </c>
      <c r="B99" s="103"/>
      <c r="C99" s="103"/>
      <c r="D99" s="103"/>
      <c r="E99" s="103"/>
      <c r="F99" s="103"/>
      <c r="G99" s="103"/>
      <c r="H99" s="103"/>
      <c r="I99" s="103"/>
      <c r="J99" s="103"/>
      <c r="K99" s="103"/>
      <c r="L99" s="103"/>
      <c r="M99" s="103">
        <f t="shared" si="100"/>
        <v>5.1093035078800142E-2</v>
      </c>
      <c r="N99" s="103">
        <f t="shared" si="100"/>
        <v>6.9165659008464386E-2</v>
      </c>
      <c r="O99" s="103">
        <f t="shared" si="101"/>
        <v>5.6322099072608101E-2</v>
      </c>
      <c r="P99" s="103">
        <f t="shared" si="101"/>
        <v>5.3104925053533147E-2</v>
      </c>
      <c r="Q99" s="103">
        <f t="shared" si="101"/>
        <v>5.2460349735664824E-2</v>
      </c>
      <c r="R99" s="103">
        <f t="shared" si="101"/>
        <v>5.7959814528593556E-2</v>
      </c>
      <c r="S99" s="103">
        <f t="shared" ca="1" si="101"/>
        <v>4.7412359312705155E-2</v>
      </c>
      <c r="T99" s="103">
        <f t="shared" ca="1" si="101"/>
        <v>4.4780481542836981E-2</v>
      </c>
      <c r="U99" s="103">
        <f t="shared" ca="1" si="101"/>
        <v>4.296957952458258E-2</v>
      </c>
      <c r="V99" s="103">
        <f t="shared" ca="1" si="101"/>
        <v>4.2960594107770866E-2</v>
      </c>
      <c r="W99" s="103">
        <f t="shared" ca="1" si="101"/>
        <v>4.295294621355028E-2</v>
      </c>
      <c r="X99" s="103">
        <f t="shared" ca="1" si="101"/>
        <v>4.2946611980232641E-2</v>
      </c>
      <c r="Y99" s="103">
        <f t="shared" ca="1" si="101"/>
        <v>4.2941568080966608E-2</v>
      </c>
      <c r="Z99" s="103">
        <f t="shared" ca="1" si="101"/>
        <v>4.2937791698189898E-2</v>
      </c>
      <c r="AA99" s="91"/>
      <c r="AB99" s="92" t="s">
        <v>633</v>
      </c>
      <c r="BB99" s="103" t="e">
        <f t="shared" si="102"/>
        <v>#DIV/0!</v>
      </c>
      <c r="BC99" s="103" t="e">
        <f t="shared" si="102"/>
        <v>#DIV/0!</v>
      </c>
      <c r="BD99" s="103" t="e">
        <f t="shared" si="102"/>
        <v>#DIV/0!</v>
      </c>
      <c r="BE99" s="103" t="e">
        <f t="shared" si="102"/>
        <v>#DIV/0!</v>
      </c>
      <c r="BF99" s="103" t="e">
        <f t="shared" si="102"/>
        <v>#DIV/0!</v>
      </c>
      <c r="BG99" s="103" t="e">
        <f t="shared" si="102"/>
        <v>#DIV/0!</v>
      </c>
      <c r="BH99" s="103" t="e">
        <f t="shared" si="102"/>
        <v>#DIV/0!</v>
      </c>
      <c r="BI99" s="103" t="e">
        <f t="shared" si="102"/>
        <v>#DIV/0!</v>
      </c>
      <c r="BJ99" s="103" t="e">
        <f t="shared" si="102"/>
        <v>#DIV/0!</v>
      </c>
      <c r="BK99" s="103" t="e">
        <f t="shared" si="102"/>
        <v>#DIV/0!</v>
      </c>
      <c r="BL99" s="103" t="e">
        <f t="shared" si="102"/>
        <v>#DIV/0!</v>
      </c>
      <c r="BM99" s="103" t="e">
        <f t="shared" si="102"/>
        <v>#DIV/0!</v>
      </c>
      <c r="BN99" s="103" t="e">
        <f t="shared" si="102"/>
        <v>#DIV/0!</v>
      </c>
      <c r="BO99" s="103" t="e">
        <f t="shared" si="102"/>
        <v>#DIV/0!</v>
      </c>
      <c r="BP99" s="103" t="e">
        <f t="shared" si="102"/>
        <v>#DIV/0!</v>
      </c>
      <c r="BQ99" s="103" t="e">
        <f t="shared" si="102"/>
        <v>#DIV/0!</v>
      </c>
      <c r="BR99" s="103" t="e">
        <f t="shared" si="102"/>
        <v>#DIV/0!</v>
      </c>
      <c r="BS99" s="103" t="e">
        <f t="shared" si="102"/>
        <v>#DIV/0!</v>
      </c>
      <c r="BT99" s="103" t="e">
        <f t="shared" si="102"/>
        <v>#DIV/0!</v>
      </c>
      <c r="BU99" s="103" t="e">
        <f t="shared" si="102"/>
        <v>#DIV/0!</v>
      </c>
      <c r="BV99" s="103" t="e">
        <f t="shared" si="102"/>
        <v>#DIV/0!</v>
      </c>
      <c r="BW99" s="103" t="e">
        <f t="shared" si="102"/>
        <v>#DIV/0!</v>
      </c>
      <c r="BX99" s="103" t="e">
        <f t="shared" si="102"/>
        <v>#DIV/0!</v>
      </c>
      <c r="BY99" s="103" t="e">
        <f t="shared" si="102"/>
        <v>#DIV/0!</v>
      </c>
      <c r="BZ99" s="103">
        <f t="shared" si="102"/>
        <v>7.4108818011257016E-2</v>
      </c>
      <c r="CA99" s="103">
        <f t="shared" si="102"/>
        <v>4.9864007252946596E-2</v>
      </c>
      <c r="CB99" s="103">
        <f t="shared" si="103"/>
        <v>5.3667262969588458E-2</v>
      </c>
      <c r="CC99" s="103">
        <f t="shared" si="103"/>
        <v>4.8500881834215193E-2</v>
      </c>
      <c r="CD99" s="103">
        <f t="shared" si="103"/>
        <v>3.9301310043668103E-2</v>
      </c>
    </row>
    <row r="100" spans="1:82" ht="15" hidden="1" customHeight="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row>
    <row r="101" spans="1:82" ht="15" hidden="1" customHeight="1">
      <c r="A101" s="92" t="s">
        <v>634</v>
      </c>
      <c r="B101" s="101"/>
      <c r="C101" s="101"/>
      <c r="D101" s="101"/>
      <c r="E101" s="101"/>
      <c r="F101" s="101"/>
      <c r="G101" s="101"/>
      <c r="H101" s="101"/>
      <c r="I101" s="101"/>
      <c r="J101" s="101"/>
      <c r="K101" s="101"/>
      <c r="L101" s="101">
        <f t="shared" ref="L101:O104" si="104">L91/L$94</f>
        <v>0.45246568378240976</v>
      </c>
      <c r="M101" s="101">
        <f t="shared" si="104"/>
        <v>0.46626360338573158</v>
      </c>
      <c r="N101" s="101">
        <f t="shared" si="104"/>
        <v>0.46120787152228004</v>
      </c>
      <c r="O101" s="101">
        <f t="shared" si="104"/>
        <v>0.46381156316916489</v>
      </c>
      <c r="P101" s="102">
        <v>0.4626485568760611</v>
      </c>
      <c r="Q101" s="102">
        <v>0.4626485568760611</v>
      </c>
      <c r="R101" s="102">
        <v>0.4626485568760611</v>
      </c>
      <c r="S101" s="102">
        <v>0.4626485568760611</v>
      </c>
      <c r="T101" s="102">
        <v>0.4626485568760611</v>
      </c>
      <c r="U101" s="102">
        <v>0.4626485568760611</v>
      </c>
      <c r="V101" s="102">
        <v>0.4626485568760611</v>
      </c>
      <c r="W101" s="102">
        <v>0.4626485568760611</v>
      </c>
      <c r="X101" s="102">
        <v>0.4626485568760611</v>
      </c>
      <c r="Y101" s="102">
        <v>0.4626485568760611</v>
      </c>
      <c r="Z101" s="102">
        <v>0.4626485568760611</v>
      </c>
      <c r="AA101" s="91"/>
      <c r="AB101" s="92" t="s">
        <v>634</v>
      </c>
      <c r="BB101" s="101" t="e">
        <f t="shared" ref="BB101:CB104" si="105">BB91/BB$94</f>
        <v>#DIV/0!</v>
      </c>
      <c r="BC101" s="101" t="e">
        <f t="shared" si="105"/>
        <v>#DIV/0!</v>
      </c>
      <c r="BD101" s="101" t="e">
        <f t="shared" si="105"/>
        <v>#DIV/0!</v>
      </c>
      <c r="BE101" s="101" t="e">
        <f t="shared" si="105"/>
        <v>#DIV/0!</v>
      </c>
      <c r="BF101" s="101" t="e">
        <f t="shared" si="105"/>
        <v>#DIV/0!</v>
      </c>
      <c r="BG101" s="101" t="e">
        <f t="shared" si="105"/>
        <v>#DIV/0!</v>
      </c>
      <c r="BH101" s="101" t="e">
        <f t="shared" si="105"/>
        <v>#DIV/0!</v>
      </c>
      <c r="BI101" s="101" t="e">
        <f t="shared" si="105"/>
        <v>#DIV/0!</v>
      </c>
      <c r="BJ101" s="101" t="e">
        <f t="shared" si="105"/>
        <v>#DIV/0!</v>
      </c>
      <c r="BK101" s="101" t="e">
        <f t="shared" si="105"/>
        <v>#DIV/0!</v>
      </c>
      <c r="BL101" s="101" t="e">
        <f t="shared" si="105"/>
        <v>#DIV/0!</v>
      </c>
      <c r="BM101" s="101" t="e">
        <f t="shared" si="105"/>
        <v>#DIV/0!</v>
      </c>
      <c r="BN101" s="101" t="e">
        <f t="shared" si="105"/>
        <v>#DIV/0!</v>
      </c>
      <c r="BO101" s="101" t="e">
        <f t="shared" si="105"/>
        <v>#DIV/0!</v>
      </c>
      <c r="BP101" s="101" t="e">
        <f t="shared" si="105"/>
        <v>#DIV/0!</v>
      </c>
      <c r="BQ101" s="101" t="e">
        <f t="shared" si="105"/>
        <v>#DIV/0!</v>
      </c>
      <c r="BR101" s="101" t="e">
        <f t="shared" si="105"/>
        <v>#DIV/0!</v>
      </c>
      <c r="BS101" s="101" t="e">
        <f t="shared" si="105"/>
        <v>#DIV/0!</v>
      </c>
      <c r="BT101" s="101" t="e">
        <f t="shared" si="105"/>
        <v>#DIV/0!</v>
      </c>
      <c r="BU101" s="101" t="e">
        <f t="shared" si="105"/>
        <v>#DIV/0!</v>
      </c>
      <c r="BV101" s="101">
        <f t="shared" si="105"/>
        <v>0.46153846153846156</v>
      </c>
      <c r="BW101" s="101">
        <f t="shared" si="105"/>
        <v>0.46056210335448777</v>
      </c>
      <c r="BX101" s="101">
        <f t="shared" si="105"/>
        <v>0.46064400715563508</v>
      </c>
      <c r="BY101" s="101">
        <f t="shared" si="105"/>
        <v>0.46208112874779539</v>
      </c>
      <c r="BZ101" s="101">
        <f t="shared" si="105"/>
        <v>0.46462882096069869</v>
      </c>
      <c r="CA101" s="101">
        <f t="shared" si="105"/>
        <v>0.46459412780656306</v>
      </c>
      <c r="CB101" s="101">
        <f t="shared" si="105"/>
        <v>0.4626485568760611</v>
      </c>
      <c r="CC101" s="101">
        <f>CC91/CC$94</f>
        <v>0.46341463414634149</v>
      </c>
      <c r="CD101" s="101">
        <f>CD91/CD$94</f>
        <v>0.46974789915966386</v>
      </c>
    </row>
    <row r="102" spans="1:82" ht="15" hidden="1" customHeight="1">
      <c r="A102" s="92" t="s">
        <v>635</v>
      </c>
      <c r="B102" s="101"/>
      <c r="C102" s="101"/>
      <c r="D102" s="101"/>
      <c r="E102" s="101"/>
      <c r="F102" s="101"/>
      <c r="G102" s="101"/>
      <c r="H102" s="101"/>
      <c r="I102" s="101"/>
      <c r="J102" s="101"/>
      <c r="K102" s="101"/>
      <c r="L102" s="101">
        <f t="shared" si="104"/>
        <v>0.3108795119471276</v>
      </c>
      <c r="M102" s="101">
        <f t="shared" si="104"/>
        <v>0.31027811366384522</v>
      </c>
      <c r="N102" s="101">
        <f t="shared" si="104"/>
        <v>0.32775390183216468</v>
      </c>
      <c r="O102" s="101">
        <f t="shared" si="104"/>
        <v>0.34218415417558884</v>
      </c>
      <c r="P102" s="102">
        <v>0.34295415959252973</v>
      </c>
      <c r="Q102" s="102">
        <v>0.34295415959252973</v>
      </c>
      <c r="R102" s="102">
        <v>0.34295415959252973</v>
      </c>
      <c r="S102" s="102">
        <v>0.34295415959252973</v>
      </c>
      <c r="T102" s="102">
        <v>0.34295415959252973</v>
      </c>
      <c r="U102" s="102">
        <v>0.34295415959252973</v>
      </c>
      <c r="V102" s="102">
        <v>0.34295415959252973</v>
      </c>
      <c r="W102" s="102">
        <v>0.34295415959252973</v>
      </c>
      <c r="X102" s="102">
        <v>0.34295415959252973</v>
      </c>
      <c r="Y102" s="102">
        <v>0.34295415959252973</v>
      </c>
      <c r="Z102" s="102">
        <v>0.34295415959252973</v>
      </c>
      <c r="AA102" s="91"/>
      <c r="AB102" s="92" t="s">
        <v>635</v>
      </c>
      <c r="BB102" s="101" t="e">
        <f t="shared" si="105"/>
        <v>#DIV/0!</v>
      </c>
      <c r="BC102" s="101" t="e">
        <f t="shared" si="105"/>
        <v>#DIV/0!</v>
      </c>
      <c r="BD102" s="101" t="e">
        <f t="shared" si="105"/>
        <v>#DIV/0!</v>
      </c>
      <c r="BE102" s="101" t="e">
        <f t="shared" si="105"/>
        <v>#DIV/0!</v>
      </c>
      <c r="BF102" s="101" t="e">
        <f t="shared" si="105"/>
        <v>#DIV/0!</v>
      </c>
      <c r="BG102" s="101" t="e">
        <f t="shared" si="105"/>
        <v>#DIV/0!</v>
      </c>
      <c r="BH102" s="101" t="e">
        <f t="shared" si="105"/>
        <v>#DIV/0!</v>
      </c>
      <c r="BI102" s="101" t="e">
        <f t="shared" si="105"/>
        <v>#DIV/0!</v>
      </c>
      <c r="BJ102" s="101" t="e">
        <f t="shared" si="105"/>
        <v>#DIV/0!</v>
      </c>
      <c r="BK102" s="101" t="e">
        <f t="shared" si="105"/>
        <v>#DIV/0!</v>
      </c>
      <c r="BL102" s="101" t="e">
        <f t="shared" si="105"/>
        <v>#DIV/0!</v>
      </c>
      <c r="BM102" s="101" t="e">
        <f t="shared" si="105"/>
        <v>#DIV/0!</v>
      </c>
      <c r="BN102" s="101" t="e">
        <f t="shared" si="105"/>
        <v>#DIV/0!</v>
      </c>
      <c r="BO102" s="101" t="e">
        <f t="shared" si="105"/>
        <v>#DIV/0!</v>
      </c>
      <c r="BP102" s="101" t="e">
        <f t="shared" si="105"/>
        <v>#DIV/0!</v>
      </c>
      <c r="BQ102" s="101" t="e">
        <f t="shared" si="105"/>
        <v>#DIV/0!</v>
      </c>
      <c r="BR102" s="101" t="e">
        <f t="shared" si="105"/>
        <v>#DIV/0!</v>
      </c>
      <c r="BS102" s="101" t="e">
        <f t="shared" si="105"/>
        <v>#DIV/0!</v>
      </c>
      <c r="BT102" s="101" t="e">
        <f t="shared" si="105"/>
        <v>#DIV/0!</v>
      </c>
      <c r="BU102" s="101" t="e">
        <f t="shared" si="105"/>
        <v>#DIV/0!</v>
      </c>
      <c r="BV102" s="101">
        <f t="shared" si="105"/>
        <v>0.32176360225140715</v>
      </c>
      <c r="BW102" s="101">
        <f t="shared" si="105"/>
        <v>0.32547597461468719</v>
      </c>
      <c r="BX102" s="101">
        <f t="shared" si="105"/>
        <v>0.33094812164579607</v>
      </c>
      <c r="BY102" s="101">
        <f t="shared" si="105"/>
        <v>0.33245149911816579</v>
      </c>
      <c r="BZ102" s="101">
        <f t="shared" si="105"/>
        <v>0.33624454148471616</v>
      </c>
      <c r="CA102" s="101">
        <f t="shared" si="105"/>
        <v>0.34283246977547494</v>
      </c>
      <c r="CB102" s="101">
        <f t="shared" si="105"/>
        <v>0.34295415959252973</v>
      </c>
      <c r="CC102" s="101">
        <f t="shared" ref="CC102:CD104" si="106">CC92/CC$94</f>
        <v>0.34650967199327165</v>
      </c>
      <c r="CD102" s="101">
        <f t="shared" si="106"/>
        <v>0.35126050420168065</v>
      </c>
    </row>
    <row r="103" spans="1:82" ht="15" hidden="1" customHeight="1">
      <c r="A103" s="92" t="s">
        <v>636</v>
      </c>
      <c r="B103" s="137"/>
      <c r="C103" s="137"/>
      <c r="D103" s="137"/>
      <c r="E103" s="137"/>
      <c r="F103" s="137"/>
      <c r="G103" s="137"/>
      <c r="H103" s="137"/>
      <c r="I103" s="137"/>
      <c r="J103" s="137"/>
      <c r="K103" s="137"/>
      <c r="L103" s="137">
        <f t="shared" si="104"/>
        <v>0.23665480427046262</v>
      </c>
      <c r="M103" s="137">
        <f t="shared" si="104"/>
        <v>0.22345828295042322</v>
      </c>
      <c r="N103" s="137">
        <f t="shared" si="104"/>
        <v>0.2110382266455553</v>
      </c>
      <c r="O103" s="137">
        <f t="shared" si="104"/>
        <v>0.19400428265524625</v>
      </c>
      <c r="P103" s="138">
        <v>0.19439728353140917</v>
      </c>
      <c r="Q103" s="138">
        <v>0.19439728353140917</v>
      </c>
      <c r="R103" s="138">
        <v>0.19439728353140917</v>
      </c>
      <c r="S103" s="138">
        <v>0.19439728353140917</v>
      </c>
      <c r="T103" s="138">
        <v>0.19439728353140917</v>
      </c>
      <c r="U103" s="138">
        <v>0.19439728353140917</v>
      </c>
      <c r="V103" s="138">
        <v>0.19439728353140917</v>
      </c>
      <c r="W103" s="138">
        <v>0.19439728353140917</v>
      </c>
      <c r="X103" s="138">
        <v>0.19439728353140917</v>
      </c>
      <c r="Y103" s="138">
        <v>0.19439728353140917</v>
      </c>
      <c r="Z103" s="138">
        <v>0.19439728353140917</v>
      </c>
      <c r="AA103" s="91"/>
      <c r="AB103" s="92" t="s">
        <v>636</v>
      </c>
      <c r="BB103" s="137" t="e">
        <f t="shared" si="105"/>
        <v>#DIV/0!</v>
      </c>
      <c r="BC103" s="137" t="e">
        <f t="shared" si="105"/>
        <v>#DIV/0!</v>
      </c>
      <c r="BD103" s="137" t="e">
        <f t="shared" si="105"/>
        <v>#DIV/0!</v>
      </c>
      <c r="BE103" s="137" t="e">
        <f t="shared" si="105"/>
        <v>#DIV/0!</v>
      </c>
      <c r="BF103" s="137" t="e">
        <f t="shared" si="105"/>
        <v>#DIV/0!</v>
      </c>
      <c r="BG103" s="137" t="e">
        <f t="shared" si="105"/>
        <v>#DIV/0!</v>
      </c>
      <c r="BH103" s="137" t="e">
        <f t="shared" si="105"/>
        <v>#DIV/0!</v>
      </c>
      <c r="BI103" s="137" t="e">
        <f t="shared" si="105"/>
        <v>#DIV/0!</v>
      </c>
      <c r="BJ103" s="137" t="e">
        <f t="shared" si="105"/>
        <v>#DIV/0!</v>
      </c>
      <c r="BK103" s="137" t="e">
        <f t="shared" si="105"/>
        <v>#DIV/0!</v>
      </c>
      <c r="BL103" s="137" t="e">
        <f t="shared" si="105"/>
        <v>#DIV/0!</v>
      </c>
      <c r="BM103" s="137" t="e">
        <f t="shared" si="105"/>
        <v>#DIV/0!</v>
      </c>
      <c r="BN103" s="137" t="e">
        <f t="shared" si="105"/>
        <v>#DIV/0!</v>
      </c>
      <c r="BO103" s="137" t="e">
        <f t="shared" si="105"/>
        <v>#DIV/0!</v>
      </c>
      <c r="BP103" s="137" t="e">
        <f t="shared" si="105"/>
        <v>#DIV/0!</v>
      </c>
      <c r="BQ103" s="137" t="e">
        <f t="shared" si="105"/>
        <v>#DIV/0!</v>
      </c>
      <c r="BR103" s="137" t="e">
        <f t="shared" si="105"/>
        <v>#DIV/0!</v>
      </c>
      <c r="BS103" s="137" t="e">
        <f t="shared" si="105"/>
        <v>#DIV/0!</v>
      </c>
      <c r="BT103" s="137" t="e">
        <f t="shared" si="105"/>
        <v>#DIV/0!</v>
      </c>
      <c r="BU103" s="137" t="e">
        <f t="shared" si="105"/>
        <v>#DIV/0!</v>
      </c>
      <c r="BV103" s="137">
        <f t="shared" si="105"/>
        <v>0.21669793621013134</v>
      </c>
      <c r="BW103" s="137">
        <f t="shared" si="105"/>
        <v>0.21396192203082504</v>
      </c>
      <c r="BX103" s="137">
        <f t="shared" si="105"/>
        <v>0.20840787119856888</v>
      </c>
      <c r="BY103" s="137">
        <f t="shared" si="105"/>
        <v>0.20546737213403879</v>
      </c>
      <c r="BZ103" s="137">
        <f t="shared" si="105"/>
        <v>0.19912663755458515</v>
      </c>
      <c r="CA103" s="137">
        <f t="shared" si="105"/>
        <v>0.192573402417962</v>
      </c>
      <c r="CB103" s="137">
        <f t="shared" si="105"/>
        <v>0.19439728353140917</v>
      </c>
      <c r="CC103" s="137">
        <f t="shared" si="106"/>
        <v>0.19007569386038689</v>
      </c>
      <c r="CD103" s="137">
        <f t="shared" si="106"/>
        <v>0.17899159663865546</v>
      </c>
    </row>
    <row r="104" spans="1:82" ht="15" hidden="1" customHeight="1">
      <c r="A104" s="92" t="s">
        <v>637</v>
      </c>
      <c r="B104" s="101"/>
      <c r="C104" s="101"/>
      <c r="D104" s="101"/>
      <c r="E104" s="101"/>
      <c r="F104" s="101"/>
      <c r="G104" s="101"/>
      <c r="H104" s="101"/>
      <c r="I104" s="101"/>
      <c r="J104" s="101"/>
      <c r="K104" s="101"/>
      <c r="L104" s="101">
        <f t="shared" si="104"/>
        <v>1</v>
      </c>
      <c r="M104" s="101">
        <f t="shared" si="104"/>
        <v>1</v>
      </c>
      <c r="N104" s="101">
        <f t="shared" si="104"/>
        <v>1</v>
      </c>
      <c r="O104" s="101">
        <f t="shared" si="104"/>
        <v>1</v>
      </c>
      <c r="P104" s="102">
        <v>1</v>
      </c>
      <c r="Q104" s="102">
        <v>1</v>
      </c>
      <c r="R104" s="102">
        <v>1</v>
      </c>
      <c r="S104" s="102">
        <v>1</v>
      </c>
      <c r="T104" s="102">
        <v>1</v>
      </c>
      <c r="U104" s="102">
        <v>1</v>
      </c>
      <c r="V104" s="102">
        <v>1</v>
      </c>
      <c r="W104" s="102">
        <v>1</v>
      </c>
      <c r="X104" s="102">
        <v>1</v>
      </c>
      <c r="Y104" s="102">
        <v>1</v>
      </c>
      <c r="Z104" s="102">
        <v>1</v>
      </c>
      <c r="AA104" s="91"/>
      <c r="AB104" s="92" t="s">
        <v>637</v>
      </c>
      <c r="BB104" s="101" t="e">
        <f t="shared" si="105"/>
        <v>#DIV/0!</v>
      </c>
      <c r="BC104" s="101" t="e">
        <f t="shared" si="105"/>
        <v>#DIV/0!</v>
      </c>
      <c r="BD104" s="101" t="e">
        <f t="shared" si="105"/>
        <v>#DIV/0!</v>
      </c>
      <c r="BE104" s="101" t="e">
        <f t="shared" si="105"/>
        <v>#DIV/0!</v>
      </c>
      <c r="BF104" s="101" t="e">
        <f t="shared" si="105"/>
        <v>#DIV/0!</v>
      </c>
      <c r="BG104" s="101" t="e">
        <f t="shared" si="105"/>
        <v>#DIV/0!</v>
      </c>
      <c r="BH104" s="101" t="e">
        <f t="shared" si="105"/>
        <v>#DIV/0!</v>
      </c>
      <c r="BI104" s="101" t="e">
        <f t="shared" si="105"/>
        <v>#DIV/0!</v>
      </c>
      <c r="BJ104" s="101" t="e">
        <f t="shared" si="105"/>
        <v>#DIV/0!</v>
      </c>
      <c r="BK104" s="101" t="e">
        <f t="shared" si="105"/>
        <v>#DIV/0!</v>
      </c>
      <c r="BL104" s="101" t="e">
        <f t="shared" si="105"/>
        <v>#DIV/0!</v>
      </c>
      <c r="BM104" s="101" t="e">
        <f t="shared" si="105"/>
        <v>#DIV/0!</v>
      </c>
      <c r="BN104" s="101" t="e">
        <f t="shared" si="105"/>
        <v>#DIV/0!</v>
      </c>
      <c r="BO104" s="101" t="e">
        <f t="shared" si="105"/>
        <v>#DIV/0!</v>
      </c>
      <c r="BP104" s="101" t="e">
        <f t="shared" si="105"/>
        <v>#DIV/0!</v>
      </c>
      <c r="BQ104" s="101" t="e">
        <f t="shared" si="105"/>
        <v>#DIV/0!</v>
      </c>
      <c r="BR104" s="101" t="e">
        <f t="shared" si="105"/>
        <v>#DIV/0!</v>
      </c>
      <c r="BS104" s="101" t="e">
        <f t="shared" si="105"/>
        <v>#DIV/0!</v>
      </c>
      <c r="BT104" s="101" t="e">
        <f t="shared" si="105"/>
        <v>#DIV/0!</v>
      </c>
      <c r="BU104" s="101" t="e">
        <f t="shared" si="105"/>
        <v>#DIV/0!</v>
      </c>
      <c r="BV104" s="101">
        <f t="shared" si="105"/>
        <v>1</v>
      </c>
      <c r="BW104" s="101">
        <f t="shared" si="105"/>
        <v>1</v>
      </c>
      <c r="BX104" s="101">
        <f t="shared" si="105"/>
        <v>1</v>
      </c>
      <c r="BY104" s="101">
        <f t="shared" si="105"/>
        <v>1</v>
      </c>
      <c r="BZ104" s="101">
        <f t="shared" si="105"/>
        <v>1</v>
      </c>
      <c r="CA104" s="101">
        <f t="shared" si="105"/>
        <v>1</v>
      </c>
      <c r="CB104" s="101">
        <f t="shared" si="105"/>
        <v>1</v>
      </c>
      <c r="CC104" s="101">
        <f t="shared" si="106"/>
        <v>1</v>
      </c>
      <c r="CD104" s="101">
        <f t="shared" si="106"/>
        <v>1</v>
      </c>
    </row>
    <row r="105" spans="1:82" ht="15" hidden="1" customHeight="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91"/>
      <c r="BB105" s="101"/>
      <c r="BC105" s="101"/>
      <c r="BD105" s="101"/>
      <c r="BE105" s="101"/>
      <c r="BF105" s="101"/>
      <c r="BG105" s="101"/>
      <c r="BH105" s="101"/>
      <c r="BI105" s="101"/>
      <c r="BJ105" s="101"/>
      <c r="BK105" s="101"/>
      <c r="BL105" s="101"/>
      <c r="BM105" s="101"/>
      <c r="BN105" s="101"/>
      <c r="BO105" s="101"/>
      <c r="BP105" s="101"/>
      <c r="BQ105" s="101"/>
      <c r="BR105" s="101"/>
      <c r="BS105" s="101"/>
      <c r="BT105" s="101"/>
      <c r="BU105" s="101"/>
      <c r="BV105" s="101"/>
      <c r="BW105" s="101"/>
      <c r="BX105" s="101"/>
      <c r="BY105" s="101"/>
      <c r="BZ105" s="101"/>
      <c r="CA105" s="101"/>
      <c r="CB105" s="101"/>
      <c r="CC105" s="101"/>
      <c r="CD105" s="101"/>
    </row>
    <row r="106" spans="1:82" ht="15" hidden="1" customHeight="1">
      <c r="A106" s="92" t="s">
        <v>638</v>
      </c>
      <c r="B106" s="116"/>
      <c r="C106" s="116"/>
      <c r="D106" s="116"/>
      <c r="E106" s="116"/>
      <c r="F106" s="116"/>
      <c r="G106" s="116"/>
      <c r="H106" s="116"/>
      <c r="I106" s="116"/>
      <c r="J106" s="116"/>
      <c r="K106" s="116"/>
      <c r="L106" s="116">
        <f t="shared" ref="L106:Z108" si="107">L91*1000/AVERAGE(K12:L12)/12</f>
        <v>16345.270890725436</v>
      </c>
      <c r="M106" s="116">
        <f t="shared" si="107"/>
        <v>17371.247342054994</v>
      </c>
      <c r="N106" s="116">
        <f t="shared" si="107"/>
        <v>17682.154812078323</v>
      </c>
      <c r="O106" s="116">
        <f t="shared" si="107"/>
        <v>18023.865395176992</v>
      </c>
      <c r="P106" s="116">
        <f t="shared" si="107"/>
        <v>18593.655329872261</v>
      </c>
      <c r="Q106" s="116">
        <f t="shared" si="107"/>
        <v>19250.059730787409</v>
      </c>
      <c r="R106" s="116">
        <f t="shared" si="107"/>
        <v>19967.083569405517</v>
      </c>
      <c r="S106" s="116">
        <f t="shared" ca="1" si="107"/>
        <v>20511.741147486082</v>
      </c>
      <c r="T106" s="116">
        <f t="shared" ca="1" si="107"/>
        <v>21010.065483678958</v>
      </c>
      <c r="U106" s="116">
        <f t="shared" ca="1" si="107"/>
        <v>21483.19525813391</v>
      </c>
      <c r="V106" s="116">
        <f t="shared" ca="1" si="107"/>
        <v>21966.790284075087</v>
      </c>
      <c r="W106" s="116">
        <f t="shared" ca="1" si="107"/>
        <v>22461.106515324802</v>
      </c>
      <c r="X106" s="116">
        <f t="shared" ca="1" si="107"/>
        <v>22966.406805377585</v>
      </c>
      <c r="Y106" s="116">
        <f t="shared" ca="1" si="107"/>
        <v>23482.961104692036</v>
      </c>
      <c r="Z106" s="116">
        <f t="shared" ca="1" si="107"/>
        <v>24011.046663786274</v>
      </c>
      <c r="AA106" s="91"/>
      <c r="AB106" s="92" t="s">
        <v>639</v>
      </c>
      <c r="BB106" s="139"/>
      <c r="BC106" s="116">
        <f t="shared" ref="BC106:CD108" si="108">BC91*1000/AVERAGE(BB12:BC12)/3</f>
        <v>0</v>
      </c>
      <c r="BD106" s="116">
        <f t="shared" si="108"/>
        <v>0</v>
      </c>
      <c r="BE106" s="116">
        <f t="shared" si="108"/>
        <v>0</v>
      </c>
      <c r="BF106" s="116">
        <f t="shared" si="108"/>
        <v>0</v>
      </c>
      <c r="BG106" s="116">
        <f t="shared" si="108"/>
        <v>0</v>
      </c>
      <c r="BH106" s="116">
        <f t="shared" si="108"/>
        <v>0</v>
      </c>
      <c r="BI106" s="116">
        <f t="shared" si="108"/>
        <v>0</v>
      </c>
      <c r="BJ106" s="116">
        <f t="shared" si="108"/>
        <v>0</v>
      </c>
      <c r="BK106" s="116">
        <f t="shared" si="108"/>
        <v>0</v>
      </c>
      <c r="BL106" s="116">
        <f t="shared" si="108"/>
        <v>0</v>
      </c>
      <c r="BM106" s="116">
        <f t="shared" si="108"/>
        <v>0</v>
      </c>
      <c r="BN106" s="116">
        <f t="shared" si="108"/>
        <v>0</v>
      </c>
      <c r="BO106" s="116">
        <f t="shared" si="108"/>
        <v>0</v>
      </c>
      <c r="BP106" s="116">
        <f t="shared" si="108"/>
        <v>0</v>
      </c>
      <c r="BQ106" s="116">
        <f t="shared" si="108"/>
        <v>0</v>
      </c>
      <c r="BR106" s="116">
        <f t="shared" si="108"/>
        <v>0</v>
      </c>
      <c r="BS106" s="116">
        <f t="shared" si="108"/>
        <v>0</v>
      </c>
      <c r="BT106" s="116">
        <f t="shared" si="108"/>
        <v>0</v>
      </c>
      <c r="BU106" s="116">
        <f t="shared" si="108"/>
        <v>0</v>
      </c>
      <c r="BV106" s="116">
        <f t="shared" si="108"/>
        <v>17378.404153862455</v>
      </c>
      <c r="BW106" s="116">
        <f t="shared" si="108"/>
        <v>17565.69847856155</v>
      </c>
      <c r="BX106" s="116">
        <f t="shared" si="108"/>
        <v>17533.10863718381</v>
      </c>
      <c r="BY106" s="116">
        <f t="shared" si="108"/>
        <v>17692.242761880643</v>
      </c>
      <c r="BZ106" s="116">
        <f t="shared" si="108"/>
        <v>17838.580961003252</v>
      </c>
      <c r="CA106" s="116">
        <f t="shared" si="108"/>
        <v>17873.457251540673</v>
      </c>
      <c r="CB106" s="116">
        <f t="shared" si="108"/>
        <v>18014.444609714577</v>
      </c>
      <c r="CC106" s="116">
        <f t="shared" si="108"/>
        <v>18162.340337865677</v>
      </c>
      <c r="CD106" s="116">
        <f t="shared" si="108"/>
        <v>18431.50831725934</v>
      </c>
    </row>
    <row r="107" spans="1:82" ht="15" hidden="1" customHeight="1">
      <c r="A107" s="92" t="s">
        <v>640</v>
      </c>
      <c r="B107" s="116"/>
      <c r="C107" s="116"/>
      <c r="D107" s="116"/>
      <c r="E107" s="116"/>
      <c r="F107" s="116"/>
      <c r="G107" s="116"/>
      <c r="H107" s="116"/>
      <c r="I107" s="116"/>
      <c r="J107" s="116"/>
      <c r="K107" s="116"/>
      <c r="L107" s="116">
        <f t="shared" si="107"/>
        <v>13920.189396526213</v>
      </c>
      <c r="M107" s="116">
        <f t="shared" si="107"/>
        <v>13433.42966034259</v>
      </c>
      <c r="N107" s="116">
        <f t="shared" si="107"/>
        <v>14112.903225806453</v>
      </c>
      <c r="O107" s="116">
        <f t="shared" si="107"/>
        <v>14652.216170618545</v>
      </c>
      <c r="P107" s="116">
        <f t="shared" si="107"/>
        <v>14526.799277178279</v>
      </c>
      <c r="Q107" s="116">
        <f t="shared" si="107"/>
        <v>14126.682981194461</v>
      </c>
      <c r="R107" s="116">
        <f t="shared" si="107"/>
        <v>13771.683810928464</v>
      </c>
      <c r="S107" s="116">
        <f t="shared" ca="1" si="107"/>
        <v>13698.940008368212</v>
      </c>
      <c r="T107" s="116">
        <f t="shared" ca="1" si="107"/>
        <v>14019.482692216863</v>
      </c>
      <c r="U107" s="116">
        <f t="shared" ca="1" si="107"/>
        <v>14386.360882818315</v>
      </c>
      <c r="V107" s="116">
        <f t="shared" ca="1" si="107"/>
        <v>14766.544343529429</v>
      </c>
      <c r="W107" s="116">
        <f t="shared" ca="1" si="107"/>
        <v>15160.473679281096</v>
      </c>
      <c r="X107" s="116">
        <f t="shared" ca="1" si="107"/>
        <v>15568.608841447071</v>
      </c>
      <c r="Y107" s="116">
        <f t="shared" ca="1" si="107"/>
        <v>15991.429745935317</v>
      </c>
      <c r="Z107" s="116">
        <f t="shared" ca="1" si="107"/>
        <v>16429.436931802509</v>
      </c>
      <c r="AA107" s="91"/>
      <c r="AB107" s="92" t="s">
        <v>641</v>
      </c>
      <c r="BB107" s="139"/>
      <c r="BC107" s="116">
        <f t="shared" si="108"/>
        <v>0</v>
      </c>
      <c r="BD107" s="116">
        <f t="shared" si="108"/>
        <v>0</v>
      </c>
      <c r="BE107" s="116">
        <f t="shared" si="108"/>
        <v>0</v>
      </c>
      <c r="BF107" s="116">
        <f t="shared" si="108"/>
        <v>0</v>
      </c>
      <c r="BG107" s="116">
        <f t="shared" si="108"/>
        <v>0</v>
      </c>
      <c r="BH107" s="116">
        <f t="shared" si="108"/>
        <v>0</v>
      </c>
      <c r="BI107" s="116">
        <f t="shared" si="108"/>
        <v>0</v>
      </c>
      <c r="BJ107" s="116">
        <f t="shared" si="108"/>
        <v>0</v>
      </c>
      <c r="BK107" s="116">
        <f t="shared" si="108"/>
        <v>0</v>
      </c>
      <c r="BL107" s="116">
        <f t="shared" si="108"/>
        <v>0</v>
      </c>
      <c r="BM107" s="116">
        <f t="shared" si="108"/>
        <v>0</v>
      </c>
      <c r="BN107" s="116">
        <f t="shared" si="108"/>
        <v>0</v>
      </c>
      <c r="BO107" s="116">
        <f t="shared" si="108"/>
        <v>0</v>
      </c>
      <c r="BP107" s="116">
        <f t="shared" si="108"/>
        <v>0</v>
      </c>
      <c r="BQ107" s="116">
        <f t="shared" si="108"/>
        <v>0</v>
      </c>
      <c r="BR107" s="116">
        <f t="shared" si="108"/>
        <v>0</v>
      </c>
      <c r="BS107" s="116">
        <f t="shared" si="108"/>
        <v>0</v>
      </c>
      <c r="BT107" s="116">
        <f t="shared" si="108"/>
        <v>0</v>
      </c>
      <c r="BU107" s="116">
        <f t="shared" si="108"/>
        <v>0</v>
      </c>
      <c r="BV107" s="116">
        <f t="shared" si="108"/>
        <v>13676.236044657096</v>
      </c>
      <c r="BW107" s="116">
        <f t="shared" si="108"/>
        <v>13966.697790227203</v>
      </c>
      <c r="BX107" s="116">
        <f t="shared" si="108"/>
        <v>14112.980127398252</v>
      </c>
      <c r="BY107" s="116">
        <f t="shared" si="108"/>
        <v>14228.562801932365</v>
      </c>
      <c r="BZ107" s="116">
        <f t="shared" si="108"/>
        <v>14378.279461468081</v>
      </c>
      <c r="CA107" s="116">
        <f t="shared" si="108"/>
        <v>14538.929173075514</v>
      </c>
      <c r="CB107" s="116">
        <f t="shared" si="108"/>
        <v>14530.283412458639</v>
      </c>
      <c r="CC107" s="116">
        <f t="shared" si="108"/>
        <v>14730.594586864028</v>
      </c>
      <c r="CD107" s="116">
        <f t="shared" si="108"/>
        <v>14768.491529316161</v>
      </c>
    </row>
    <row r="108" spans="1:82" ht="15" hidden="1" customHeight="1">
      <c r="A108" s="92" t="s">
        <v>642</v>
      </c>
      <c r="B108" s="133"/>
      <c r="C108" s="133"/>
      <c r="D108" s="133"/>
      <c r="E108" s="133"/>
      <c r="F108" s="133"/>
      <c r="G108" s="133"/>
      <c r="H108" s="133"/>
      <c r="I108" s="133"/>
      <c r="J108" s="133"/>
      <c r="K108" s="133"/>
      <c r="L108" s="133">
        <f t="shared" si="107"/>
        <v>12226.512226512226</v>
      </c>
      <c r="M108" s="133">
        <f t="shared" si="107"/>
        <v>11623.518756132537</v>
      </c>
      <c r="N108" s="133">
        <f t="shared" si="107"/>
        <v>11371.946760274974</v>
      </c>
      <c r="O108" s="133">
        <f t="shared" si="107"/>
        <v>10914.347668955548</v>
      </c>
      <c r="P108" s="133">
        <f t="shared" si="107"/>
        <v>11515.572262863701</v>
      </c>
      <c r="Q108" s="133">
        <f t="shared" si="107"/>
        <v>12450.817179678939</v>
      </c>
      <c r="R108" s="133">
        <f t="shared" ca="1" si="107"/>
        <v>13849.029800145667</v>
      </c>
      <c r="S108" s="133">
        <f t="shared" ca="1" si="107"/>
        <v>14947.861792344687</v>
      </c>
      <c r="T108" s="133">
        <f t="shared" ca="1" si="107"/>
        <v>15743.87415582247</v>
      </c>
      <c r="U108" s="133">
        <f t="shared" ca="1" si="107"/>
        <v>16554.622993869969</v>
      </c>
      <c r="V108" s="133">
        <f t="shared" ca="1" si="107"/>
        <v>17408.135781687943</v>
      </c>
      <c r="W108" s="133">
        <f t="shared" ca="1" si="107"/>
        <v>18306.762998451992</v>
      </c>
      <c r="X108" s="133">
        <f t="shared" ca="1" si="107"/>
        <v>19252.991333639377</v>
      </c>
      <c r="Y108" s="133">
        <f t="shared" ca="1" si="107"/>
        <v>20249.452079359533</v>
      </c>
      <c r="Z108" s="133">
        <f t="shared" ca="1" si="107"/>
        <v>21298.930076091838</v>
      </c>
      <c r="AA108" s="91"/>
      <c r="AB108" s="92" t="s">
        <v>643</v>
      </c>
      <c r="BB108" s="140"/>
      <c r="BC108" s="133">
        <f t="shared" si="108"/>
        <v>0</v>
      </c>
      <c r="BD108" s="133">
        <f t="shared" si="108"/>
        <v>0</v>
      </c>
      <c r="BE108" s="133">
        <f t="shared" si="108"/>
        <v>0</v>
      </c>
      <c r="BF108" s="133">
        <f t="shared" si="108"/>
        <v>0</v>
      </c>
      <c r="BG108" s="133">
        <f t="shared" si="108"/>
        <v>0</v>
      </c>
      <c r="BH108" s="133">
        <f t="shared" si="108"/>
        <v>0</v>
      </c>
      <c r="BI108" s="133">
        <f t="shared" si="108"/>
        <v>0</v>
      </c>
      <c r="BJ108" s="133">
        <f t="shared" si="108"/>
        <v>0</v>
      </c>
      <c r="BK108" s="133">
        <f t="shared" si="108"/>
        <v>0</v>
      </c>
      <c r="BL108" s="133">
        <f t="shared" si="108"/>
        <v>0</v>
      </c>
      <c r="BM108" s="133">
        <f t="shared" si="108"/>
        <v>0</v>
      </c>
      <c r="BN108" s="133">
        <f t="shared" si="108"/>
        <v>0</v>
      </c>
      <c r="BO108" s="133">
        <f t="shared" si="108"/>
        <v>0</v>
      </c>
      <c r="BP108" s="133">
        <f t="shared" si="108"/>
        <v>0</v>
      </c>
      <c r="BQ108" s="133">
        <f t="shared" si="108"/>
        <v>0</v>
      </c>
      <c r="BR108" s="133">
        <f t="shared" si="108"/>
        <v>0</v>
      </c>
      <c r="BS108" s="133">
        <f t="shared" si="108"/>
        <v>0</v>
      </c>
      <c r="BT108" s="133">
        <f t="shared" si="108"/>
        <v>0</v>
      </c>
      <c r="BU108" s="133">
        <f t="shared" si="108"/>
        <v>0</v>
      </c>
      <c r="BV108" s="133">
        <f t="shared" si="108"/>
        <v>11306.071507231483</v>
      </c>
      <c r="BW108" s="133">
        <f t="shared" si="108"/>
        <v>11453.25277231807</v>
      </c>
      <c r="BX108" s="133">
        <f t="shared" si="108"/>
        <v>11239.749155812831</v>
      </c>
      <c r="BY108" s="133">
        <f t="shared" si="108"/>
        <v>11236.496913580246</v>
      </c>
      <c r="BZ108" s="133">
        <f t="shared" si="108"/>
        <v>10950.21972480369</v>
      </c>
      <c r="CA108" s="133">
        <f t="shared" si="108"/>
        <v>10563.964091996495</v>
      </c>
      <c r="CB108" s="133">
        <f t="shared" si="108"/>
        <v>10794.503759221288</v>
      </c>
      <c r="CC108" s="133">
        <f t="shared" si="108"/>
        <v>10768.05793786926</v>
      </c>
      <c r="CD108" s="133">
        <f t="shared" si="108"/>
        <v>10176.293535903684</v>
      </c>
    </row>
    <row r="109" spans="1:82" ht="15" hidden="1" customHeight="1">
      <c r="A109" s="92" t="s">
        <v>644</v>
      </c>
      <c r="B109" s="116"/>
      <c r="C109" s="116"/>
      <c r="D109" s="116"/>
      <c r="E109" s="116"/>
      <c r="F109" s="116"/>
      <c r="G109" s="116"/>
      <c r="H109" s="116"/>
      <c r="I109" s="116"/>
      <c r="J109" s="116"/>
      <c r="K109" s="116"/>
      <c r="L109" s="116">
        <f t="shared" ref="L109:Z109" si="109">L94*1000/AVERAGE(K23:L23)/12</f>
        <v>14415.325535719521</v>
      </c>
      <c r="M109" s="116">
        <f t="shared" si="109"/>
        <v>14458.547501660898</v>
      </c>
      <c r="N109" s="116">
        <f t="shared" si="109"/>
        <v>14735.193147351931</v>
      </c>
      <c r="O109" s="116">
        <f t="shared" si="109"/>
        <v>14956.156363892571</v>
      </c>
      <c r="P109" s="116">
        <f t="shared" si="109"/>
        <v>15297.140262147819</v>
      </c>
      <c r="Q109" s="116">
        <f t="shared" si="109"/>
        <v>15643.606250188896</v>
      </c>
      <c r="R109" s="116">
        <f t="shared" ca="1" si="109"/>
        <v>16100.389278951887</v>
      </c>
      <c r="S109" s="116">
        <f t="shared" ca="1" si="109"/>
        <v>16502.899010925685</v>
      </c>
      <c r="T109" s="116">
        <f t="shared" ca="1" si="109"/>
        <v>16997.985981253452</v>
      </c>
      <c r="U109" s="116">
        <f t="shared" ca="1" si="109"/>
        <v>17507.925560691056</v>
      </c>
      <c r="V109" s="116">
        <f t="shared" ca="1" si="109"/>
        <v>18033.163327511789</v>
      </c>
      <c r="W109" s="116">
        <f t="shared" ca="1" si="109"/>
        <v>18574.158227337142</v>
      </c>
      <c r="X109" s="116">
        <f t="shared" ca="1" si="109"/>
        <v>19131.382974157252</v>
      </c>
      <c r="Y109" s="116">
        <f t="shared" ca="1" si="109"/>
        <v>19705.324463381974</v>
      </c>
      <c r="Z109" s="116">
        <f t="shared" ca="1" si="109"/>
        <v>20296.484197283429</v>
      </c>
      <c r="AA109" s="91"/>
      <c r="AB109" s="92" t="s">
        <v>644</v>
      </c>
      <c r="BB109" s="139"/>
      <c r="BC109" s="116">
        <f t="shared" ref="BC109:CD109" si="110">BC94*1000/AVERAGE(BB23:BC23)/3</f>
        <v>0</v>
      </c>
      <c r="BD109" s="116">
        <f t="shared" si="110"/>
        <v>0</v>
      </c>
      <c r="BE109" s="116">
        <f t="shared" si="110"/>
        <v>0</v>
      </c>
      <c r="BF109" s="116">
        <f t="shared" si="110"/>
        <v>0</v>
      </c>
      <c r="BG109" s="116">
        <f t="shared" si="110"/>
        <v>0</v>
      </c>
      <c r="BH109" s="116">
        <f t="shared" si="110"/>
        <v>0</v>
      </c>
      <c r="BI109" s="116">
        <f t="shared" si="110"/>
        <v>0</v>
      </c>
      <c r="BJ109" s="116">
        <f t="shared" si="110"/>
        <v>0</v>
      </c>
      <c r="BK109" s="116">
        <f t="shared" si="110"/>
        <v>0</v>
      </c>
      <c r="BL109" s="116">
        <f t="shared" si="110"/>
        <v>0</v>
      </c>
      <c r="BM109" s="116">
        <f t="shared" si="110"/>
        <v>0</v>
      </c>
      <c r="BN109" s="116">
        <f t="shared" si="110"/>
        <v>0</v>
      </c>
      <c r="BO109" s="116">
        <f t="shared" si="110"/>
        <v>0</v>
      </c>
      <c r="BP109" s="116">
        <f t="shared" si="110"/>
        <v>0</v>
      </c>
      <c r="BQ109" s="116">
        <f t="shared" si="110"/>
        <v>0</v>
      </c>
      <c r="BR109" s="116">
        <f t="shared" si="110"/>
        <v>0</v>
      </c>
      <c r="BS109" s="116">
        <f t="shared" si="110"/>
        <v>0</v>
      </c>
      <c r="BT109" s="116">
        <f t="shared" si="110"/>
        <v>0</v>
      </c>
      <c r="BU109" s="116">
        <f t="shared" si="110"/>
        <v>0</v>
      </c>
      <c r="BV109" s="116">
        <f t="shared" si="110"/>
        <v>14440.041992617427</v>
      </c>
      <c r="BW109" s="116">
        <f t="shared" si="110"/>
        <v>14661.801553911697</v>
      </c>
      <c r="BX109" s="116">
        <f t="shared" si="110"/>
        <v>14648.846960167715</v>
      </c>
      <c r="BY109" s="116">
        <f t="shared" si="110"/>
        <v>14756.114223254541</v>
      </c>
      <c r="BZ109" s="116">
        <f t="shared" si="110"/>
        <v>14789.269061365781</v>
      </c>
      <c r="CA109" s="116">
        <f t="shared" si="110"/>
        <v>14748.586275408836</v>
      </c>
      <c r="CB109" s="116">
        <f t="shared" si="110"/>
        <v>14860.22807548693</v>
      </c>
      <c r="CC109" s="116">
        <f t="shared" si="110"/>
        <v>14994.734817673358</v>
      </c>
      <c r="CD109" s="116">
        <f t="shared" si="110"/>
        <v>14956.700979098323</v>
      </c>
    </row>
    <row r="110" spans="1:82" ht="15" customHeight="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14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row>
    <row r="111" spans="1:82" ht="15" customHeight="1">
      <c r="A111" s="93" t="str">
        <f>CONCATENATE(A$1," financials")</f>
        <v>Chile (VTR) financials</v>
      </c>
      <c r="B111" s="94">
        <f t="shared" ref="B111:Z111" si="111">+B$1</f>
        <v>2001</v>
      </c>
      <c r="C111" s="94">
        <f t="shared" si="111"/>
        <v>2002</v>
      </c>
      <c r="D111" s="94">
        <f t="shared" si="111"/>
        <v>2003</v>
      </c>
      <c r="E111" s="94">
        <f t="shared" si="111"/>
        <v>2004</v>
      </c>
      <c r="F111" s="94">
        <f t="shared" si="111"/>
        <v>2005</v>
      </c>
      <c r="G111" s="94">
        <f t="shared" si="111"/>
        <v>2006</v>
      </c>
      <c r="H111" s="94">
        <f t="shared" si="111"/>
        <v>2007</v>
      </c>
      <c r="I111" s="94">
        <f t="shared" si="111"/>
        <v>2008</v>
      </c>
      <c r="J111" s="94">
        <f t="shared" si="111"/>
        <v>2009</v>
      </c>
      <c r="K111" s="94">
        <f t="shared" si="111"/>
        <v>2010</v>
      </c>
      <c r="L111" s="94">
        <f t="shared" si="111"/>
        <v>2011</v>
      </c>
      <c r="M111" s="94">
        <f t="shared" si="111"/>
        <v>2012</v>
      </c>
      <c r="N111" s="94">
        <f t="shared" si="111"/>
        <v>2013</v>
      </c>
      <c r="O111" s="94">
        <f t="shared" si="111"/>
        <v>2014</v>
      </c>
      <c r="P111" s="94">
        <f t="shared" si="111"/>
        <v>2015</v>
      </c>
      <c r="Q111" s="94">
        <f t="shared" si="111"/>
        <v>2016</v>
      </c>
      <c r="R111" s="94">
        <f t="shared" si="111"/>
        <v>2017</v>
      </c>
      <c r="S111" s="94" t="str">
        <f t="shared" si="111"/>
        <v>2018E</v>
      </c>
      <c r="T111" s="94" t="str">
        <f t="shared" si="111"/>
        <v>2019E</v>
      </c>
      <c r="U111" s="94" t="str">
        <f t="shared" si="111"/>
        <v>2020E</v>
      </c>
      <c r="V111" s="94" t="str">
        <f t="shared" si="111"/>
        <v>2021E</v>
      </c>
      <c r="W111" s="94" t="str">
        <f t="shared" si="111"/>
        <v>2022E</v>
      </c>
      <c r="X111" s="94" t="str">
        <f t="shared" si="111"/>
        <v>2023E</v>
      </c>
      <c r="Y111" s="94" t="str">
        <f t="shared" si="111"/>
        <v>2024E</v>
      </c>
      <c r="Z111" s="94" t="str">
        <f t="shared" si="111"/>
        <v>2025E</v>
      </c>
      <c r="AA111" s="91"/>
      <c r="AB111" s="93" t="str">
        <f>+A111</f>
        <v>Chile (VTR) financials</v>
      </c>
      <c r="AC111" s="94" t="str">
        <f t="shared" ref="AC111:CD111" si="112">+AC$1</f>
        <v>Q4 01</v>
      </c>
      <c r="AD111" s="94" t="str">
        <f t="shared" si="112"/>
        <v>Q1 02</v>
      </c>
      <c r="AE111" s="94" t="str">
        <f t="shared" si="112"/>
        <v>Q2 02</v>
      </c>
      <c r="AF111" s="94" t="str">
        <f t="shared" si="112"/>
        <v>Q3 02</v>
      </c>
      <c r="AG111" s="94" t="str">
        <f t="shared" si="112"/>
        <v>Q4 02</v>
      </c>
      <c r="AH111" s="94" t="str">
        <f t="shared" si="112"/>
        <v>Q1 03</v>
      </c>
      <c r="AI111" s="94" t="str">
        <f t="shared" si="112"/>
        <v>Q2 03</v>
      </c>
      <c r="AJ111" s="94" t="str">
        <f t="shared" si="112"/>
        <v>Q3 03</v>
      </c>
      <c r="AK111" s="94" t="str">
        <f t="shared" si="112"/>
        <v>Q4 03</v>
      </c>
      <c r="AL111" s="94" t="str">
        <f t="shared" si="112"/>
        <v>1Q04</v>
      </c>
      <c r="AM111" s="94" t="str">
        <f t="shared" si="112"/>
        <v>Q2 04</v>
      </c>
      <c r="AN111" s="94" t="str">
        <f t="shared" si="112"/>
        <v>Q3 04</v>
      </c>
      <c r="AO111" s="94" t="str">
        <f t="shared" si="112"/>
        <v>Q4 04</v>
      </c>
      <c r="AP111" s="94" t="str">
        <f t="shared" si="112"/>
        <v>Q1 05</v>
      </c>
      <c r="AQ111" s="94" t="str">
        <f t="shared" si="112"/>
        <v>Q2 05</v>
      </c>
      <c r="AR111" s="94" t="str">
        <f t="shared" si="112"/>
        <v>Q3 05</v>
      </c>
      <c r="AS111" s="94" t="str">
        <f t="shared" si="112"/>
        <v>Q4 05</v>
      </c>
      <c r="AT111" s="94" t="str">
        <f t="shared" si="112"/>
        <v>Q1 06</v>
      </c>
      <c r="AU111" s="94" t="str">
        <f t="shared" si="112"/>
        <v>Q2 06</v>
      </c>
      <c r="AV111" s="94" t="str">
        <f t="shared" si="112"/>
        <v>Q3 06</v>
      </c>
      <c r="AW111" s="94" t="str">
        <f t="shared" si="112"/>
        <v>Q4 06</v>
      </c>
      <c r="AX111" s="94" t="str">
        <f t="shared" si="112"/>
        <v>Q1 07</v>
      </c>
      <c r="AY111" s="94" t="str">
        <f t="shared" si="112"/>
        <v>Q2 07</v>
      </c>
      <c r="AZ111" s="94" t="str">
        <f t="shared" si="112"/>
        <v>Q3 07</v>
      </c>
      <c r="BA111" s="94" t="str">
        <f t="shared" si="112"/>
        <v>Q4 07</v>
      </c>
      <c r="BB111" s="94" t="str">
        <f t="shared" si="112"/>
        <v>Q1 08</v>
      </c>
      <c r="BC111" s="94" t="str">
        <f t="shared" si="112"/>
        <v>Q2 08</v>
      </c>
      <c r="BD111" s="94" t="str">
        <f t="shared" si="112"/>
        <v>Q3 08</v>
      </c>
      <c r="BE111" s="94" t="str">
        <f t="shared" si="112"/>
        <v>Q4 08</v>
      </c>
      <c r="BF111" s="94" t="str">
        <f t="shared" si="112"/>
        <v>Q1 09</v>
      </c>
      <c r="BG111" s="94" t="str">
        <f t="shared" si="112"/>
        <v>Q2 09</v>
      </c>
      <c r="BH111" s="94" t="str">
        <f t="shared" si="112"/>
        <v>Q3 09</v>
      </c>
      <c r="BI111" s="94" t="str">
        <f t="shared" si="112"/>
        <v>Q4 09</v>
      </c>
      <c r="BJ111" s="94" t="str">
        <f t="shared" si="112"/>
        <v>Q1 10</v>
      </c>
      <c r="BK111" s="94" t="str">
        <f t="shared" si="112"/>
        <v>Q2 10</v>
      </c>
      <c r="BL111" s="94" t="str">
        <f t="shared" si="112"/>
        <v>Q3 10</v>
      </c>
      <c r="BM111" s="94" t="str">
        <f t="shared" si="112"/>
        <v>Q4 10</v>
      </c>
      <c r="BN111" s="94" t="str">
        <f t="shared" si="112"/>
        <v>Q1 11</v>
      </c>
      <c r="BO111" s="94" t="str">
        <f t="shared" si="112"/>
        <v>Q2 11</v>
      </c>
      <c r="BP111" s="94" t="str">
        <f t="shared" si="112"/>
        <v>Q3 11</v>
      </c>
      <c r="BQ111" s="94" t="str">
        <f t="shared" si="112"/>
        <v>Q4 11</v>
      </c>
      <c r="BR111" s="94" t="str">
        <f t="shared" si="112"/>
        <v>Q1 12</v>
      </c>
      <c r="BS111" s="94" t="str">
        <f t="shared" si="112"/>
        <v>Q2 12</v>
      </c>
      <c r="BT111" s="94" t="str">
        <f t="shared" si="112"/>
        <v>Q3 12</v>
      </c>
      <c r="BU111" s="94" t="str">
        <f t="shared" si="112"/>
        <v>Q4 12</v>
      </c>
      <c r="BV111" s="94" t="str">
        <f t="shared" si="112"/>
        <v>Q1 13</v>
      </c>
      <c r="BW111" s="94" t="str">
        <f t="shared" si="112"/>
        <v>Q2 13</v>
      </c>
      <c r="BX111" s="94" t="str">
        <f t="shared" si="112"/>
        <v>Q3 13</v>
      </c>
      <c r="BY111" s="94" t="str">
        <f t="shared" si="112"/>
        <v>Q4 13</v>
      </c>
      <c r="BZ111" s="94" t="str">
        <f t="shared" si="112"/>
        <v>Q1 14</v>
      </c>
      <c r="CA111" s="94" t="str">
        <f t="shared" si="112"/>
        <v>Q2 14</v>
      </c>
      <c r="CB111" s="94" t="str">
        <f t="shared" si="112"/>
        <v>Q3 14</v>
      </c>
      <c r="CC111" s="94" t="str">
        <f t="shared" si="112"/>
        <v>Q4 14</v>
      </c>
      <c r="CD111" s="94" t="str">
        <f t="shared" si="112"/>
        <v>Q1 15</v>
      </c>
    </row>
    <row r="112" spans="1:82" ht="15" customHeight="1">
      <c r="A112" s="142" t="s">
        <v>645</v>
      </c>
      <c r="B112" s="97"/>
      <c r="C112" s="97"/>
      <c r="D112" s="97"/>
      <c r="E112" s="97"/>
      <c r="F112" s="97"/>
      <c r="G112" s="97"/>
      <c r="H112" s="97"/>
      <c r="I112" s="97"/>
      <c r="J112" s="97"/>
      <c r="K112" s="97"/>
      <c r="L112" s="97"/>
      <c r="M112" s="97"/>
      <c r="N112" s="97"/>
      <c r="O112" s="97"/>
      <c r="P112" s="97"/>
      <c r="Q112" s="97"/>
      <c r="R112" s="97"/>
      <c r="S112" s="126"/>
      <c r="T112" s="97"/>
      <c r="U112" s="97"/>
      <c r="V112" s="97"/>
      <c r="W112" s="97"/>
      <c r="X112" s="97"/>
      <c r="Y112" s="97"/>
      <c r="Z112" s="97"/>
      <c r="AA112" s="91"/>
      <c r="AB112" s="143" t="s">
        <v>646</v>
      </c>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row>
    <row r="113" spans="1:83" ht="15" customHeight="1">
      <c r="A113" s="92" t="s">
        <v>647</v>
      </c>
      <c r="B113" s="97"/>
      <c r="C113" s="97"/>
      <c r="D113" s="97"/>
      <c r="E113" s="97"/>
      <c r="F113" s="97"/>
      <c r="G113" s="97">
        <f t="shared" ref="G113:Z113" si="113">+G57/1000</f>
        <v>291.49338989910001</v>
      </c>
      <c r="H113" s="97">
        <f t="shared" si="113"/>
        <v>331.29402650640003</v>
      </c>
      <c r="I113" s="97">
        <f t="shared" si="113"/>
        <v>393.26246339999994</v>
      </c>
      <c r="J113" s="97">
        <f t="shared" si="113"/>
        <v>390.50630196023911</v>
      </c>
      <c r="K113" s="97">
        <f t="shared" si="113"/>
        <v>407.20401642601678</v>
      </c>
      <c r="L113" s="97">
        <f t="shared" si="113"/>
        <v>429.6</v>
      </c>
      <c r="M113" s="97">
        <f t="shared" si="113"/>
        <v>457.1</v>
      </c>
      <c r="N113" s="97">
        <f t="shared" si="113"/>
        <v>491</v>
      </c>
      <c r="O113" s="97">
        <f t="shared" si="113"/>
        <v>512.4</v>
      </c>
      <c r="P113" s="97">
        <f t="shared" si="113"/>
        <v>547.5</v>
      </c>
      <c r="Q113" s="97">
        <f>+Q57/1000</f>
        <v>580.6</v>
      </c>
      <c r="R113" s="97">
        <f t="shared" si="113"/>
        <v>617.6</v>
      </c>
      <c r="S113" s="97">
        <f t="shared" si="113"/>
        <v>649.2980869999999</v>
      </c>
      <c r="T113" s="97">
        <f t="shared" ca="1" si="113"/>
        <v>681.50913231876928</v>
      </c>
      <c r="U113" s="97">
        <f t="shared" ca="1" si="113"/>
        <v>712.25617993094431</v>
      </c>
      <c r="V113" s="97">
        <f t="shared" ca="1" si="113"/>
        <v>743.92950525180675</v>
      </c>
      <c r="W113" s="97">
        <f t="shared" ca="1" si="113"/>
        <v>776.58294773223349</v>
      </c>
      <c r="X113" s="97">
        <f t="shared" ca="1" si="113"/>
        <v>810.27230846505859</v>
      </c>
      <c r="Y113" s="97">
        <f t="shared" ca="1" si="113"/>
        <v>845.05545057967424</v>
      </c>
      <c r="Z113" s="97">
        <f t="shared" ca="1" si="113"/>
        <v>880.9924040398364</v>
      </c>
      <c r="AA113" s="91"/>
      <c r="AB113" s="141" t="s">
        <v>647</v>
      </c>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7">
        <f t="shared" ref="BB113:CB113" si="114">+BB57/1000</f>
        <v>86.414827975200012</v>
      </c>
      <c r="BC113" s="97">
        <f t="shared" si="114"/>
        <v>91.736780153200002</v>
      </c>
      <c r="BD113" s="97">
        <f t="shared" si="114"/>
        <v>93.110081220400005</v>
      </c>
      <c r="BE113" s="97">
        <f t="shared" si="114"/>
        <v>98.389049106599984</v>
      </c>
      <c r="BF113" s="97">
        <f t="shared" si="114"/>
        <v>94.920082222199994</v>
      </c>
      <c r="BG113" s="97">
        <f t="shared" si="114"/>
        <v>97.848095570399991</v>
      </c>
      <c r="BH113" s="97">
        <f t="shared" si="114"/>
        <v>98.049906755999999</v>
      </c>
      <c r="BI113" s="97">
        <f t="shared" si="114"/>
        <v>99.66792523200003</v>
      </c>
      <c r="BJ113" s="97">
        <f t="shared" si="114"/>
        <v>94.423041793523382</v>
      </c>
      <c r="BK113" s="97">
        <f t="shared" si="114"/>
        <v>101.57078037620742</v>
      </c>
      <c r="BL113" s="97">
        <f t="shared" si="114"/>
        <v>105.11330475839999</v>
      </c>
      <c r="BM113" s="97">
        <f t="shared" si="114"/>
        <v>105.11330475839999</v>
      </c>
      <c r="BN113" s="97">
        <f t="shared" si="114"/>
        <v>102.93049030319585</v>
      </c>
      <c r="BO113" s="97">
        <f t="shared" si="114"/>
        <v>107.26486253058876</v>
      </c>
      <c r="BP113" s="97">
        <f t="shared" si="114"/>
        <v>109.4187431153792</v>
      </c>
      <c r="BQ113" s="97">
        <f t="shared" si="114"/>
        <v>107.56666481223922</v>
      </c>
      <c r="BR113" s="97">
        <f t="shared" si="114"/>
        <v>109.75804999999998</v>
      </c>
      <c r="BS113" s="97">
        <f t="shared" si="114"/>
        <v>112.54269600000001</v>
      </c>
      <c r="BT113" s="97">
        <f t="shared" si="114"/>
        <v>116.18851000000001</v>
      </c>
      <c r="BU113" s="97">
        <f t="shared" si="114"/>
        <v>118.63774000000001</v>
      </c>
      <c r="BV113" s="97">
        <f t="shared" si="114"/>
        <v>118.30148</v>
      </c>
      <c r="BW113" s="97">
        <f t="shared" si="114"/>
        <v>122.67574199999999</v>
      </c>
      <c r="BX113" s="97">
        <f t="shared" si="114"/>
        <v>124.07688</v>
      </c>
      <c r="BY113" s="97">
        <f t="shared" si="114"/>
        <v>126.00264799999999</v>
      </c>
      <c r="BZ113" s="97">
        <f t="shared" si="114"/>
        <v>124.39488900000001</v>
      </c>
      <c r="CA113" s="97">
        <f t="shared" si="114"/>
        <v>127.5</v>
      </c>
      <c r="CB113" s="97">
        <f t="shared" si="114"/>
        <v>129.19999999999999</v>
      </c>
      <c r="CC113" s="96">
        <f>+O113-CB113-CA113-BZ113</f>
        <v>131.30511099999998</v>
      </c>
      <c r="CD113" s="97">
        <f>+CD57/1000</f>
        <v>130.30000000000001</v>
      </c>
    </row>
    <row r="114" spans="1:83" ht="15" customHeight="1">
      <c r="A114" s="92" t="s">
        <v>648</v>
      </c>
      <c r="B114" s="97"/>
      <c r="C114" s="97"/>
      <c r="D114" s="97"/>
      <c r="E114" s="97"/>
      <c r="F114" s="97"/>
      <c r="G114" s="97"/>
      <c r="H114" s="103">
        <f>+H113/G113-1</f>
        <v>0.13654044306485624</v>
      </c>
      <c r="I114" s="103">
        <f t="shared" ref="I114:Z114" si="115">+I113/H113-1</f>
        <v>0.18704966566127568</v>
      </c>
      <c r="J114" s="103">
        <f t="shared" si="115"/>
        <v>-7.0084528686823466E-3</v>
      </c>
      <c r="K114" s="103">
        <f t="shared" si="115"/>
        <v>4.275914212385179E-2</v>
      </c>
      <c r="L114" s="103">
        <f t="shared" si="115"/>
        <v>5.499941717311696E-2</v>
      </c>
      <c r="M114" s="103">
        <f t="shared" si="115"/>
        <v>6.4013035381750516E-2</v>
      </c>
      <c r="N114" s="103">
        <f t="shared" si="115"/>
        <v>7.4163202800262562E-2</v>
      </c>
      <c r="O114" s="103">
        <f t="shared" si="115"/>
        <v>4.3584521384928632E-2</v>
      </c>
      <c r="P114" s="103">
        <f t="shared" si="115"/>
        <v>6.8501170960187485E-2</v>
      </c>
      <c r="Q114" s="103">
        <f t="shared" si="115"/>
        <v>6.045662100456628E-2</v>
      </c>
      <c r="R114" s="103">
        <f t="shared" si="115"/>
        <v>6.3727178780571769E-2</v>
      </c>
      <c r="S114" s="103">
        <f t="shared" si="115"/>
        <v>5.1324622733160519E-2</v>
      </c>
      <c r="T114" s="103">
        <f t="shared" ca="1" si="115"/>
        <v>4.9609025444070642E-2</v>
      </c>
      <c r="U114" s="103">
        <f t="shared" ca="1" si="115"/>
        <v>4.5116119732043991E-2</v>
      </c>
      <c r="V114" s="103">
        <f t="shared" ca="1" si="115"/>
        <v>4.4469007378683978E-2</v>
      </c>
      <c r="W114" s="103">
        <f t="shared" ca="1" si="115"/>
        <v>4.3893194516292366E-2</v>
      </c>
      <c r="X114" s="103">
        <f t="shared" ca="1" si="115"/>
        <v>4.3381535521999748E-2</v>
      </c>
      <c r="Y114" s="103">
        <f t="shared" ca="1" si="115"/>
        <v>4.2927719176911294E-2</v>
      </c>
      <c r="Z114" s="103">
        <f t="shared" ca="1" si="115"/>
        <v>4.2526148355721327E-2</v>
      </c>
      <c r="AA114" s="91"/>
      <c r="AB114" s="141" t="s">
        <v>648</v>
      </c>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103"/>
      <c r="BC114" s="103"/>
      <c r="BD114" s="103"/>
      <c r="BE114" s="103"/>
      <c r="BF114" s="103">
        <f>+BF113/BB113-1</f>
        <v>9.8423551215549354E-2</v>
      </c>
      <c r="BG114" s="103">
        <f t="shared" ref="BG114:CD114" si="116">+BG113/BC113-1</f>
        <v>6.6617941102730338E-2</v>
      </c>
      <c r="BH114" s="103">
        <f t="shared" si="116"/>
        <v>5.3053605698259343E-2</v>
      </c>
      <c r="BI114" s="103">
        <f t="shared" si="116"/>
        <v>1.2998155150523383E-2</v>
      </c>
      <c r="BJ114" s="103">
        <f t="shared" si="116"/>
        <v>-5.2364095883637995E-3</v>
      </c>
      <c r="BK114" s="103">
        <f t="shared" si="116"/>
        <v>3.8045551976318537E-2</v>
      </c>
      <c r="BL114" s="103">
        <f t="shared" si="116"/>
        <v>7.2038803871353529E-2</v>
      </c>
      <c r="BM114" s="103">
        <f t="shared" si="116"/>
        <v>5.4635225060866821E-2</v>
      </c>
      <c r="BN114" s="103">
        <f t="shared" si="116"/>
        <v>9.0099284539846503E-2</v>
      </c>
      <c r="BO114" s="103">
        <f t="shared" si="116"/>
        <v>5.6060238321405498E-2</v>
      </c>
      <c r="BP114" s="103">
        <f t="shared" si="116"/>
        <v>4.0959975208420429E-2</v>
      </c>
      <c r="BQ114" s="103">
        <f t="shared" si="116"/>
        <v>2.3340147657598731E-2</v>
      </c>
      <c r="BR114" s="103">
        <f t="shared" si="116"/>
        <v>6.6331751424603347E-2</v>
      </c>
      <c r="BS114" s="103">
        <f t="shared" si="116"/>
        <v>4.9203749903713012E-2</v>
      </c>
      <c r="BT114" s="103">
        <f t="shared" si="116"/>
        <v>6.1870267304041882E-2</v>
      </c>
      <c r="BU114" s="103">
        <f t="shared" si="116"/>
        <v>0.10292291954097177</v>
      </c>
      <c r="BV114" s="103">
        <f t="shared" si="116"/>
        <v>7.7838755335030152E-2</v>
      </c>
      <c r="BW114" s="103">
        <f t="shared" si="116"/>
        <v>9.0037349025297697E-2</v>
      </c>
      <c r="BX114" s="103">
        <f t="shared" si="116"/>
        <v>6.7892857908238957E-2</v>
      </c>
      <c r="BY114" s="103">
        <f t="shared" si="116"/>
        <v>6.2078964080064081E-2</v>
      </c>
      <c r="BZ114" s="103">
        <f t="shared" si="116"/>
        <v>5.1507462121353154E-2</v>
      </c>
      <c r="CA114" s="103">
        <f t="shared" si="116"/>
        <v>3.9325280787786188E-2</v>
      </c>
      <c r="CB114" s="103">
        <f t="shared" si="116"/>
        <v>4.1289884142799105E-2</v>
      </c>
      <c r="CC114" s="103">
        <f t="shared" si="116"/>
        <v>4.208215528930781E-2</v>
      </c>
      <c r="CD114" s="103">
        <f t="shared" si="116"/>
        <v>4.7470688285272011E-2</v>
      </c>
    </row>
    <row r="115" spans="1:83" ht="15" customHeight="1">
      <c r="A115" s="92" t="s">
        <v>649</v>
      </c>
      <c r="B115" s="91"/>
      <c r="C115" s="91"/>
      <c r="D115" s="91"/>
      <c r="E115" s="91"/>
      <c r="F115" s="91"/>
      <c r="G115" s="144">
        <f>+G113-G116</f>
        <v>133.52742832420003</v>
      </c>
      <c r="H115" s="144">
        <f>+H113-H116</f>
        <v>142.30030926679999</v>
      </c>
      <c r="I115" s="144">
        <f>+I113-I116</f>
        <v>164.03504401199996</v>
      </c>
      <c r="J115" s="144">
        <f>+J113-J116</f>
        <v>167.07108160711803</v>
      </c>
      <c r="K115" s="144">
        <f>+K113-K116</f>
        <v>170.08504967545372</v>
      </c>
      <c r="L115" s="96">
        <v>184.9</v>
      </c>
      <c r="M115" s="96">
        <v>215.2</v>
      </c>
      <c r="N115" s="96">
        <v>231.7</v>
      </c>
      <c r="O115" s="96">
        <v>225.3</v>
      </c>
      <c r="P115" s="96">
        <v>241.1</v>
      </c>
      <c r="Q115" s="97">
        <f>+Q130+Q139</f>
        <v>256.27993803891655</v>
      </c>
      <c r="R115" s="97">
        <f t="shared" ref="R115:Z115" si="117">+R130+R139</f>
        <v>261.89850000000001</v>
      </c>
      <c r="S115" s="97">
        <f t="shared" si="117"/>
        <v>273.94669273522436</v>
      </c>
      <c r="T115" s="97">
        <f t="shared" ca="1" si="117"/>
        <v>288.88058934521183</v>
      </c>
      <c r="U115" s="97">
        <f t="shared" ca="1" si="117"/>
        <v>302.63752456713166</v>
      </c>
      <c r="V115" s="97">
        <f t="shared" ca="1" si="117"/>
        <v>316.83523997060996</v>
      </c>
      <c r="W115" s="97">
        <f t="shared" ca="1" si="117"/>
        <v>331.5001099153007</v>
      </c>
      <c r="X115" s="97">
        <f t="shared" ca="1" si="117"/>
        <v>346.65953254393605</v>
      </c>
      <c r="Y115" s="97">
        <f t="shared" ca="1" si="117"/>
        <v>362.34198334421552</v>
      </c>
      <c r="Z115" s="97">
        <f t="shared" ca="1" si="117"/>
        <v>378.57707117149539</v>
      </c>
      <c r="AA115" s="91"/>
      <c r="AB115" s="141" t="s">
        <v>649</v>
      </c>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7">
        <f>+BB113-BB116</f>
        <v>36.121953816000001</v>
      </c>
      <c r="BC115" s="97">
        <f t="shared" ref="BC115:BU115" si="118">+BC113-BC116</f>
        <v>35.8553867854</v>
      </c>
      <c r="BD115" s="97">
        <f t="shared" si="118"/>
        <v>39.948732677199999</v>
      </c>
      <c r="BE115" s="97">
        <f t="shared" si="118"/>
        <v>42.505423968600013</v>
      </c>
      <c r="BF115" s="97">
        <f t="shared" si="118"/>
        <v>42.690187733099997</v>
      </c>
      <c r="BG115" s="97">
        <f t="shared" si="118"/>
        <v>41.515990076400001</v>
      </c>
      <c r="BH115" s="97">
        <f t="shared" si="118"/>
        <v>42.199681428000005</v>
      </c>
      <c r="BI115" s="97">
        <f t="shared" si="118"/>
        <v>40.738500114000018</v>
      </c>
      <c r="BJ115" s="97">
        <f t="shared" si="118"/>
        <v>41.646664821477991</v>
      </c>
      <c r="BK115" s="97">
        <f t="shared" si="118"/>
        <v>42.219992374173863</v>
      </c>
      <c r="BL115" s="97">
        <f t="shared" si="118"/>
        <v>43.048916270399999</v>
      </c>
      <c r="BM115" s="97">
        <f t="shared" si="118"/>
        <v>42.955233759199984</v>
      </c>
      <c r="BN115" s="97">
        <f t="shared" si="118"/>
        <v>42.487601748156237</v>
      </c>
      <c r="BO115" s="97">
        <f t="shared" si="118"/>
        <v>44.648661292644313</v>
      </c>
      <c r="BP115" s="97">
        <f t="shared" si="118"/>
        <v>45.380124276232181</v>
      </c>
      <c r="BQ115" s="97">
        <f t="shared" si="118"/>
        <v>43.188116828929083</v>
      </c>
      <c r="BR115" s="97">
        <f t="shared" si="118"/>
        <v>49.818909999999995</v>
      </c>
      <c r="BS115" s="97">
        <f t="shared" si="118"/>
        <v>52.599320000000006</v>
      </c>
      <c r="BT115" s="97">
        <f t="shared" si="118"/>
        <v>56.117604000000014</v>
      </c>
      <c r="BU115" s="97">
        <f t="shared" si="118"/>
        <v>56.42817999999999</v>
      </c>
      <c r="BV115" s="96">
        <v>57</v>
      </c>
      <c r="BW115" s="96">
        <v>58.9</v>
      </c>
      <c r="BX115" s="96">
        <v>60.3</v>
      </c>
      <c r="BY115" s="96">
        <f>231.7-BV115-BW115-BX115</f>
        <v>55.499999999999986</v>
      </c>
      <c r="BZ115" s="96">
        <v>56.2</v>
      </c>
      <c r="CA115" s="96">
        <v>56.9</v>
      </c>
      <c r="CB115" s="96">
        <v>57.8</v>
      </c>
      <c r="CC115" s="96">
        <f>+O115-CB115-CA115-BZ115</f>
        <v>54.399999999999991</v>
      </c>
      <c r="CD115" s="96">
        <v>58.2</v>
      </c>
    </row>
    <row r="116" spans="1:83" ht="15" customHeight="1">
      <c r="A116" s="92" t="s">
        <v>650</v>
      </c>
      <c r="B116" s="91"/>
      <c r="C116" s="91"/>
      <c r="D116" s="91"/>
      <c r="E116" s="91"/>
      <c r="F116" s="91"/>
      <c r="G116" s="97">
        <f>+G117*G113</f>
        <v>157.96596157489998</v>
      </c>
      <c r="H116" s="97">
        <f>+H117*H113</f>
        <v>188.99371723960004</v>
      </c>
      <c r="I116" s="97">
        <f>+I117*I113</f>
        <v>229.22741938799999</v>
      </c>
      <c r="J116" s="97">
        <f>+J117*J113</f>
        <v>223.43522035312108</v>
      </c>
      <c r="K116" s="97">
        <f>+K117*K113</f>
        <v>237.11896675056306</v>
      </c>
      <c r="L116" s="97">
        <f>L113-L115</f>
        <v>244.70000000000002</v>
      </c>
      <c r="M116" s="97">
        <f>M113-M115</f>
        <v>241.90000000000003</v>
      </c>
      <c r="N116" s="97">
        <f>N113-N115</f>
        <v>259.3</v>
      </c>
      <c r="O116" s="97">
        <f>+O113-O115</f>
        <v>287.09999999999997</v>
      </c>
      <c r="P116" s="97">
        <f t="shared" ref="P116:Z116" si="119">+P113-P115</f>
        <v>306.39999999999998</v>
      </c>
      <c r="Q116" s="97">
        <f>+Q113-Q115</f>
        <v>324.32006196108347</v>
      </c>
      <c r="R116" s="97">
        <f t="shared" si="119"/>
        <v>355.70150000000001</v>
      </c>
      <c r="S116" s="97">
        <f t="shared" si="119"/>
        <v>375.35139426477554</v>
      </c>
      <c r="T116" s="97">
        <f t="shared" ca="1" si="119"/>
        <v>392.62854297355744</v>
      </c>
      <c r="U116" s="97">
        <f t="shared" ca="1" si="119"/>
        <v>409.61865536381265</v>
      </c>
      <c r="V116" s="97">
        <f t="shared" ca="1" si="119"/>
        <v>427.09426528119678</v>
      </c>
      <c r="W116" s="97">
        <f t="shared" ca="1" si="119"/>
        <v>445.08283781693279</v>
      </c>
      <c r="X116" s="97">
        <f t="shared" ca="1" si="119"/>
        <v>463.61277592112253</v>
      </c>
      <c r="Y116" s="97">
        <f t="shared" ca="1" si="119"/>
        <v>482.71346723545872</v>
      </c>
      <c r="Z116" s="97">
        <f t="shared" ca="1" si="119"/>
        <v>502.41533286834101</v>
      </c>
      <c r="AA116" s="91"/>
      <c r="AB116" s="141" t="s">
        <v>650</v>
      </c>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7">
        <f>+BB117*BB113</f>
        <v>50.292874159200011</v>
      </c>
      <c r="BC116" s="97">
        <f t="shared" ref="BC116:BU116" si="120">+BC117*BC113</f>
        <v>55.881393367800001</v>
      </c>
      <c r="BD116" s="97">
        <f t="shared" si="120"/>
        <v>53.161348543200006</v>
      </c>
      <c r="BE116" s="97">
        <f t="shared" si="120"/>
        <v>55.883625137999971</v>
      </c>
      <c r="BF116" s="97">
        <f t="shared" si="120"/>
        <v>52.229894489099998</v>
      </c>
      <c r="BG116" s="97">
        <f t="shared" si="120"/>
        <v>56.33210549399999</v>
      </c>
      <c r="BH116" s="97">
        <f t="shared" si="120"/>
        <v>55.850225327999993</v>
      </c>
      <c r="BI116" s="97">
        <f t="shared" si="120"/>
        <v>58.929425118000012</v>
      </c>
      <c r="BJ116" s="97">
        <f t="shared" si="120"/>
        <v>52.776376972045391</v>
      </c>
      <c r="BK116" s="97">
        <f t="shared" si="120"/>
        <v>59.350788002033561</v>
      </c>
      <c r="BL116" s="97">
        <f t="shared" si="120"/>
        <v>62.064388487999992</v>
      </c>
      <c r="BM116" s="97">
        <f t="shared" si="120"/>
        <v>62.158070999200007</v>
      </c>
      <c r="BN116" s="97">
        <f t="shared" si="120"/>
        <v>60.442888555039616</v>
      </c>
      <c r="BO116" s="97">
        <f t="shared" si="120"/>
        <v>62.616201237944445</v>
      </c>
      <c r="BP116" s="97">
        <f t="shared" si="120"/>
        <v>64.03861883914702</v>
      </c>
      <c r="BQ116" s="97">
        <f t="shared" si="120"/>
        <v>64.378547983310142</v>
      </c>
      <c r="BR116" s="97">
        <f t="shared" si="120"/>
        <v>59.939139999999988</v>
      </c>
      <c r="BS116" s="97">
        <f t="shared" si="120"/>
        <v>59.943376000000001</v>
      </c>
      <c r="BT116" s="97">
        <f t="shared" si="120"/>
        <v>60.070905999999994</v>
      </c>
      <c r="BU116" s="97">
        <f t="shared" si="120"/>
        <v>62.209560000000018</v>
      </c>
      <c r="BV116" s="97">
        <f t="shared" ref="BV116:CD116" si="121">+BV113-BV115</f>
        <v>61.301479999999998</v>
      </c>
      <c r="BW116" s="97">
        <f t="shared" si="121"/>
        <v>63.775741999999987</v>
      </c>
      <c r="BX116" s="97">
        <f t="shared" si="121"/>
        <v>63.776880000000006</v>
      </c>
      <c r="BY116" s="97">
        <f t="shared" si="121"/>
        <v>70.502648000000008</v>
      </c>
      <c r="BZ116" s="97">
        <f t="shared" si="121"/>
        <v>68.194889000000003</v>
      </c>
      <c r="CA116" s="97">
        <f t="shared" si="121"/>
        <v>70.599999999999994</v>
      </c>
      <c r="CB116" s="97">
        <f t="shared" si="121"/>
        <v>71.399999999999991</v>
      </c>
      <c r="CC116" s="97">
        <f t="shared" si="121"/>
        <v>76.905110999999991</v>
      </c>
      <c r="CD116" s="97">
        <f t="shared" si="121"/>
        <v>72.100000000000009</v>
      </c>
    </row>
    <row r="117" spans="1:83" ht="15" customHeight="1">
      <c r="A117" s="92" t="s">
        <v>651</v>
      </c>
      <c r="B117" s="91"/>
      <c r="C117" s="145"/>
      <c r="D117" s="145"/>
      <c r="E117" s="145"/>
      <c r="F117" s="145"/>
      <c r="G117" s="146">
        <v>0.54191953247920877</v>
      </c>
      <c r="H117" s="146">
        <v>0.57047124945957639</v>
      </c>
      <c r="I117" s="146">
        <v>0.58288659793814435</v>
      </c>
      <c r="J117" s="146">
        <v>0.57216802707545289</v>
      </c>
      <c r="K117" s="146">
        <v>0.58230999004314643</v>
      </c>
      <c r="L117" s="147">
        <f>L116/L113</f>
        <v>0.5695996275605214</v>
      </c>
      <c r="M117" s="147">
        <f>M116/M113</f>
        <v>0.529205863049661</v>
      </c>
      <c r="N117" s="147">
        <f>N116/N113</f>
        <v>0.52810590631364562</v>
      </c>
      <c r="O117" s="147">
        <f>+O116/O113</f>
        <v>0.56030444964871196</v>
      </c>
      <c r="P117" s="103">
        <f t="shared" ref="P117:Z117" si="122">+P116/P113</f>
        <v>0.55963470319634701</v>
      </c>
      <c r="Q117" s="103">
        <f>+Q116/Q113</f>
        <v>0.5585946640735161</v>
      </c>
      <c r="R117" s="103">
        <f t="shared" si="122"/>
        <v>0.57594154792746111</v>
      </c>
      <c r="S117" s="103">
        <f t="shared" si="122"/>
        <v>0.57808794108579531</v>
      </c>
      <c r="T117" s="103">
        <f t="shared" ca="1" si="122"/>
        <v>0.57611633410938545</v>
      </c>
      <c r="U117" s="103">
        <f t="shared" ca="1" si="122"/>
        <v>0.57510017730351826</v>
      </c>
      <c r="V117" s="103">
        <f t="shared" ca="1" si="122"/>
        <v>0.57410582893419859</v>
      </c>
      <c r="W117" s="103">
        <f t="shared" ca="1" si="122"/>
        <v>0.573129810687522</v>
      </c>
      <c r="X117" s="103">
        <f t="shared" ca="1" si="122"/>
        <v>0.57216909806453653</v>
      </c>
      <c r="Y117" s="103">
        <f t="shared" ca="1" si="122"/>
        <v>0.57122105644586585</v>
      </c>
      <c r="Z117" s="103">
        <f t="shared" ca="1" si="122"/>
        <v>0.57028338787541122</v>
      </c>
      <c r="AA117" s="91"/>
      <c r="AB117" s="141" t="s">
        <v>651</v>
      </c>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146">
        <v>0.58199356913183287</v>
      </c>
      <c r="BC117" s="146">
        <v>0.6091492776886035</v>
      </c>
      <c r="BD117" s="146">
        <v>0.57095158597662776</v>
      </c>
      <c r="BE117" s="146">
        <v>0.56798623063683285</v>
      </c>
      <c r="BF117" s="146">
        <v>0.55025125628140703</v>
      </c>
      <c r="BG117" s="146">
        <v>0.5757097791798107</v>
      </c>
      <c r="BH117" s="146">
        <v>0.56961018297533805</v>
      </c>
      <c r="BI117" s="146">
        <v>0.59125766871165641</v>
      </c>
      <c r="BJ117" s="146">
        <v>0.55893536121673004</v>
      </c>
      <c r="BK117" s="146">
        <v>0.58432934926958835</v>
      </c>
      <c r="BL117" s="146">
        <v>0.59045226130653261</v>
      </c>
      <c r="BM117" s="146">
        <v>0.59134351395447615</v>
      </c>
      <c r="BN117" s="146">
        <v>0.58722044728434508</v>
      </c>
      <c r="BO117" s="146">
        <v>0.58375314861460958</v>
      </c>
      <c r="BP117" s="146">
        <v>0.58526187576126676</v>
      </c>
      <c r="BQ117" s="146">
        <v>0.59849906191369595</v>
      </c>
      <c r="BR117" s="146">
        <v>0.54610244988864143</v>
      </c>
      <c r="BS117" s="146">
        <v>0.53262786596119926</v>
      </c>
      <c r="BT117" s="146">
        <v>0.51701244813278002</v>
      </c>
      <c r="BU117" s="146">
        <v>0.52436568666935168</v>
      </c>
      <c r="BV117" s="147">
        <f t="shared" ref="BV117:CA117" si="123">+BV116/BV113</f>
        <v>0.51818016139781176</v>
      </c>
      <c r="BW117" s="147">
        <f t="shared" si="123"/>
        <v>0.51987247813019133</v>
      </c>
      <c r="BX117" s="147">
        <f t="shared" si="123"/>
        <v>0.51401099060517963</v>
      </c>
      <c r="BY117" s="147">
        <f t="shared" si="123"/>
        <v>0.55953306632095545</v>
      </c>
      <c r="BZ117" s="147">
        <f t="shared" si="123"/>
        <v>0.54821294948862409</v>
      </c>
      <c r="CA117" s="147">
        <f t="shared" si="123"/>
        <v>0.55372549019607842</v>
      </c>
      <c r="CB117" s="147">
        <f>+CB116/CB113</f>
        <v>0.55263157894736836</v>
      </c>
      <c r="CC117" s="147">
        <f>+CC116/CC113</f>
        <v>0.58569777226721964</v>
      </c>
      <c r="CD117" s="147">
        <f>+CD116/CD113</f>
        <v>0.55333844973138913</v>
      </c>
    </row>
    <row r="118" spans="1:83" ht="15" customHeight="1">
      <c r="A118" s="92" t="s">
        <v>652</v>
      </c>
      <c r="B118" s="91"/>
      <c r="C118" s="91"/>
      <c r="D118" s="91"/>
      <c r="E118" s="91"/>
      <c r="F118" s="91"/>
      <c r="G118" s="97">
        <f>+G116-G119</f>
        <v>54.708244676499987</v>
      </c>
      <c r="H118" s="97">
        <f>+H116-H119</f>
        <v>59.082916530000006</v>
      </c>
      <c r="I118" s="97">
        <f>+I116-I119</f>
        <v>66.327565992000046</v>
      </c>
      <c r="J118" s="97">
        <f>+J116-J119</f>
        <v>62.972348116224111</v>
      </c>
      <c r="K118" s="97">
        <f>+K116-K119</f>
        <v>67.033917075109315</v>
      </c>
      <c r="L118" s="96">
        <v>80</v>
      </c>
      <c r="M118" s="96">
        <f>90-0.5</f>
        <v>89.5</v>
      </c>
      <c r="N118" s="96">
        <f>85.7-1.3</f>
        <v>84.4</v>
      </c>
      <c r="O118" s="96">
        <f>91.4-3.2</f>
        <v>88.2</v>
      </c>
      <c r="P118" s="96">
        <f>92.4-0.3</f>
        <v>92.100000000000009</v>
      </c>
      <c r="Q118" s="97">
        <f>Q116-Q119</f>
        <v>95.220061961083474</v>
      </c>
      <c r="R118" s="97">
        <f>R116-R119</f>
        <v>107.50150000000002</v>
      </c>
      <c r="S118" s="97">
        <f t="shared" ref="S118:Z118" si="124">+S131+S140+S141</f>
        <v>114.42242136649043</v>
      </c>
      <c r="T118" s="97">
        <f t="shared" ca="1" si="124"/>
        <v>117.97850267726454</v>
      </c>
      <c r="U118" s="97">
        <f t="shared" ca="1" si="124"/>
        <v>121.37680525998195</v>
      </c>
      <c r="V118" s="97">
        <f t="shared" ca="1" si="124"/>
        <v>124.6025058963691</v>
      </c>
      <c r="W118" s="97">
        <f t="shared" ca="1" si="124"/>
        <v>128.25032535964132</v>
      </c>
      <c r="X118" s="97">
        <f t="shared" ca="1" si="124"/>
        <v>131.58306843943615</v>
      </c>
      <c r="Y118" s="97">
        <f t="shared" ca="1" si="124"/>
        <v>135.21587577819568</v>
      </c>
      <c r="Z118" s="97">
        <f t="shared" ca="1" si="124"/>
        <v>138.93147570520745</v>
      </c>
      <c r="AA118" s="91"/>
      <c r="AB118" s="141" t="s">
        <v>652</v>
      </c>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7">
        <f>+BB116-BB119</f>
        <v>15.282365076000005</v>
      </c>
      <c r="BC118" s="97">
        <f t="shared" ref="BC118:BU118" si="125">+BC116-BC119</f>
        <v>17.228255662800002</v>
      </c>
      <c r="BD118" s="97">
        <f t="shared" si="125"/>
        <v>15.855139039199997</v>
      </c>
      <c r="BE118" s="97">
        <f t="shared" si="125"/>
        <v>13.547545487999997</v>
      </c>
      <c r="BF118" s="97">
        <f t="shared" si="125"/>
        <v>14.866043028100002</v>
      </c>
      <c r="BG118" s="97">
        <f t="shared" si="125"/>
        <v>16.590962576999992</v>
      </c>
      <c r="BH118" s="97">
        <f t="shared" si="125"/>
        <v>15.132602951999999</v>
      </c>
      <c r="BI118" s="97">
        <f t="shared" si="125"/>
        <v>16.356546011999988</v>
      </c>
      <c r="BJ118" s="97">
        <f t="shared" si="125"/>
        <v>16.371447550512045</v>
      </c>
      <c r="BK118" s="97">
        <f t="shared" si="125"/>
        <v>16.928463396034573</v>
      </c>
      <c r="BL118" s="97">
        <f t="shared" si="125"/>
        <v>16.440460354799995</v>
      </c>
      <c r="BM118" s="97">
        <f t="shared" si="125"/>
        <v>17.208166483200003</v>
      </c>
      <c r="BN118" s="97">
        <f t="shared" si="125"/>
        <v>17.166043430756623</v>
      </c>
      <c r="BO118" s="97">
        <f t="shared" si="125"/>
        <v>18.575464229163664</v>
      </c>
      <c r="BP118" s="97">
        <f t="shared" si="125"/>
        <v>18.991681965824043</v>
      </c>
      <c r="BQ118" s="97">
        <f t="shared" si="125"/>
        <v>15.674191933240628</v>
      </c>
      <c r="BR118" s="97">
        <f t="shared" si="125"/>
        <v>23.173859999999991</v>
      </c>
      <c r="BS118" s="97">
        <f t="shared" si="125"/>
        <v>22.578009999999999</v>
      </c>
      <c r="BT118" s="97">
        <f t="shared" si="125"/>
        <v>20.778940999999989</v>
      </c>
      <c r="BU118" s="97">
        <f t="shared" si="125"/>
        <v>22.934400000000011</v>
      </c>
      <c r="BV118" s="96">
        <v>21.2</v>
      </c>
      <c r="BW118" s="96">
        <v>22</v>
      </c>
      <c r="BX118" s="96">
        <v>21.4</v>
      </c>
      <c r="BY118" s="96">
        <f>85.7-BV118-BW118-BX118</f>
        <v>21.1</v>
      </c>
      <c r="BZ118" s="96">
        <v>23.3</v>
      </c>
      <c r="CA118" s="96">
        <v>23.7</v>
      </c>
      <c r="CB118" s="96">
        <v>22.2</v>
      </c>
      <c r="CC118" s="96">
        <f>+O118-CB118-CA118-BZ118</f>
        <v>18.999999999999996</v>
      </c>
      <c r="CD118" s="96">
        <v>24.8</v>
      </c>
      <c r="CE118" s="117"/>
    </row>
    <row r="119" spans="1:83" ht="15" customHeight="1">
      <c r="A119" s="92" t="s">
        <v>653</v>
      </c>
      <c r="B119" s="91"/>
      <c r="C119" s="91"/>
      <c r="D119" s="91"/>
      <c r="E119" s="91"/>
      <c r="F119" s="91"/>
      <c r="G119" s="97">
        <f>+G113*G120</f>
        <v>103.25771689839999</v>
      </c>
      <c r="H119" s="97">
        <f>+H113*H120</f>
        <v>129.91080070960004</v>
      </c>
      <c r="I119" s="97">
        <f>+I113*I120</f>
        <v>162.89985339599994</v>
      </c>
      <c r="J119" s="97">
        <f>+J113*J120</f>
        <v>160.46287223689697</v>
      </c>
      <c r="K119" s="97">
        <f>+K113*K120</f>
        <v>170.08504967545375</v>
      </c>
      <c r="L119" s="97">
        <f>L116-L118</f>
        <v>164.70000000000002</v>
      </c>
      <c r="M119" s="97">
        <f>M116-M118</f>
        <v>152.40000000000003</v>
      </c>
      <c r="N119" s="97">
        <f>N116-N118</f>
        <v>174.9</v>
      </c>
      <c r="O119" s="97">
        <f>+O116-O118</f>
        <v>198.89999999999998</v>
      </c>
      <c r="P119" s="97">
        <f t="shared" ref="P119:Z119" si="126">+P116-P118</f>
        <v>214.29999999999995</v>
      </c>
      <c r="Q119" s="96">
        <v>229.1</v>
      </c>
      <c r="R119" s="96">
        <v>248.2</v>
      </c>
      <c r="S119" s="97">
        <f>+S116-S118</f>
        <v>260.92897289828511</v>
      </c>
      <c r="T119" s="97">
        <f t="shared" ca="1" si="126"/>
        <v>274.6500402962929</v>
      </c>
      <c r="U119" s="97">
        <f t="shared" ca="1" si="126"/>
        <v>288.2418501038307</v>
      </c>
      <c r="V119" s="97">
        <f t="shared" ca="1" si="126"/>
        <v>302.49175938482767</v>
      </c>
      <c r="W119" s="97">
        <f t="shared" ca="1" si="126"/>
        <v>316.8325124572915</v>
      </c>
      <c r="X119" s="97">
        <f t="shared" ca="1" si="126"/>
        <v>332.02970748168639</v>
      </c>
      <c r="Y119" s="97">
        <f t="shared" ca="1" si="126"/>
        <v>347.49759145726307</v>
      </c>
      <c r="Z119" s="97">
        <f t="shared" ca="1" si="126"/>
        <v>363.48385716313356</v>
      </c>
      <c r="AA119" s="91"/>
      <c r="AB119" s="141" t="s">
        <v>653</v>
      </c>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7">
        <f>+BB113*BB120</f>
        <v>35.010509083200006</v>
      </c>
      <c r="BC119" s="97">
        <f t="shared" ref="BC119:BQ119" si="127">+BC113*BC120</f>
        <v>38.653137704999999</v>
      </c>
      <c r="BD119" s="97">
        <f t="shared" si="127"/>
        <v>37.306209504000009</v>
      </c>
      <c r="BE119" s="97">
        <f t="shared" si="127"/>
        <v>42.336079649999974</v>
      </c>
      <c r="BF119" s="97">
        <f t="shared" si="127"/>
        <v>37.363851460999996</v>
      </c>
      <c r="BG119" s="97">
        <f t="shared" si="127"/>
        <v>39.741142916999998</v>
      </c>
      <c r="BH119" s="97">
        <f t="shared" si="127"/>
        <v>40.717622375999994</v>
      </c>
      <c r="BI119" s="97">
        <f t="shared" si="127"/>
        <v>42.572879106000023</v>
      </c>
      <c r="BJ119" s="97">
        <f t="shared" si="127"/>
        <v>36.404929421533346</v>
      </c>
      <c r="BK119" s="97">
        <f t="shared" si="127"/>
        <v>42.422324605998988</v>
      </c>
      <c r="BL119" s="97">
        <f t="shared" si="127"/>
        <v>45.623928133199996</v>
      </c>
      <c r="BM119" s="97">
        <f t="shared" si="127"/>
        <v>44.949904516000004</v>
      </c>
      <c r="BN119" s="97">
        <f t="shared" si="127"/>
        <v>43.276845124282993</v>
      </c>
      <c r="BO119" s="97">
        <f t="shared" si="127"/>
        <v>44.040737008780781</v>
      </c>
      <c r="BP119" s="97">
        <f t="shared" si="127"/>
        <v>45.046936873322977</v>
      </c>
      <c r="BQ119" s="97">
        <f t="shared" si="127"/>
        <v>48.704356050069514</v>
      </c>
      <c r="BR119" s="118">
        <v>36.765279999999997</v>
      </c>
      <c r="BS119" s="118">
        <v>37.365366000000002</v>
      </c>
      <c r="BT119" s="118">
        <v>39.291965000000005</v>
      </c>
      <c r="BU119" s="118">
        <v>39.275160000000007</v>
      </c>
      <c r="BV119" s="96">
        <v>40.299999999999997</v>
      </c>
      <c r="BW119" s="96">
        <v>42.1</v>
      </c>
      <c r="BX119" s="96">
        <v>42.8</v>
      </c>
      <c r="BY119" s="118">
        <v>50.204583999999997</v>
      </c>
      <c r="BZ119" s="96">
        <v>45.7</v>
      </c>
      <c r="CA119" s="96">
        <v>47.5</v>
      </c>
      <c r="CB119" s="96">
        <v>50.1</v>
      </c>
      <c r="CC119" s="96">
        <f>+O119-CB119-CA119-BZ119</f>
        <v>55.59999999999998</v>
      </c>
      <c r="CD119" s="96">
        <v>47.4</v>
      </c>
      <c r="CE119" s="117"/>
    </row>
    <row r="120" spans="1:83" ht="15" customHeight="1">
      <c r="A120" s="92" t="s">
        <v>651</v>
      </c>
      <c r="B120" s="91"/>
      <c r="C120" s="91"/>
      <c r="D120" s="91"/>
      <c r="E120" s="91"/>
      <c r="F120" s="91"/>
      <c r="G120" s="146">
        <v>0.35423690717015055</v>
      </c>
      <c r="H120" s="146">
        <v>0.39213143104193693</v>
      </c>
      <c r="I120" s="146">
        <v>0.41422680412371127</v>
      </c>
      <c r="J120" s="146">
        <v>0.41090981485168221</v>
      </c>
      <c r="K120" s="146">
        <v>0.41769000995685368</v>
      </c>
      <c r="L120" s="147">
        <f>L119/L113</f>
        <v>0.38337988826815644</v>
      </c>
      <c r="M120" s="147">
        <f>M119/M113</f>
        <v>0.33340625683657849</v>
      </c>
      <c r="N120" s="147">
        <f>N119/N113</f>
        <v>0.35621181262729124</v>
      </c>
      <c r="O120" s="147">
        <f>+O119/O113</f>
        <v>0.38817330210772832</v>
      </c>
      <c r="P120" s="103">
        <f t="shared" ref="P120:Z120" si="128">+P119/P113</f>
        <v>0.39141552511415517</v>
      </c>
      <c r="Q120" s="103">
        <f t="shared" si="128"/>
        <v>0.39459180158456764</v>
      </c>
      <c r="R120" s="103">
        <f t="shared" si="128"/>
        <v>0.4018782383419689</v>
      </c>
      <c r="S120" s="103">
        <f t="shared" si="128"/>
        <v>0.40186314748573276</v>
      </c>
      <c r="T120" s="103">
        <f t="shared" ca="1" si="128"/>
        <v>0.40300272919575203</v>
      </c>
      <c r="U120" s="103">
        <f t="shared" ca="1" si="128"/>
        <v>0.4046884509050897</v>
      </c>
      <c r="V120" s="103">
        <f t="shared" ca="1" si="128"/>
        <v>0.40661347244513396</v>
      </c>
      <c r="W120" s="103">
        <f t="shared" ca="1" si="128"/>
        <v>0.40798283477959607</v>
      </c>
      <c r="X120" s="103">
        <f t="shared" ca="1" si="128"/>
        <v>0.40977545945099336</v>
      </c>
      <c r="Y120" s="103">
        <f t="shared" ca="1" si="128"/>
        <v>0.41121276860458522</v>
      </c>
      <c r="Z120" s="103">
        <f t="shared" ca="1" si="128"/>
        <v>0.41258455293866264</v>
      </c>
      <c r="AA120" s="91"/>
      <c r="AB120" s="141" t="s">
        <v>651</v>
      </c>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146">
        <v>0.40514469453376206</v>
      </c>
      <c r="BC120" s="146">
        <v>0.42134831460674155</v>
      </c>
      <c r="BD120" s="146">
        <v>0.40066777963272127</v>
      </c>
      <c r="BE120" s="146">
        <v>0.43029259896729755</v>
      </c>
      <c r="BF120" s="146">
        <v>0.39363484087102174</v>
      </c>
      <c r="BG120" s="146">
        <v>0.40615141955835965</v>
      </c>
      <c r="BH120" s="146">
        <v>0.41527446300715987</v>
      </c>
      <c r="BI120" s="146">
        <v>0.42714723926380377</v>
      </c>
      <c r="BJ120" s="146">
        <v>0.38555133079847909</v>
      </c>
      <c r="BK120" s="146">
        <v>0.41766268260292166</v>
      </c>
      <c r="BL120" s="146">
        <v>0.43404522613065327</v>
      </c>
      <c r="BM120" s="146">
        <v>0.42763287311074571</v>
      </c>
      <c r="BN120" s="146">
        <v>0.42044728434504802</v>
      </c>
      <c r="BO120" s="146">
        <v>0.4105793450881613</v>
      </c>
      <c r="BP120" s="146">
        <v>0.41169305724725941</v>
      </c>
      <c r="BQ120" s="146">
        <v>0.45278298936835498</v>
      </c>
      <c r="BR120" s="103">
        <f>+BR119/BR113</f>
        <v>0.33496659242761695</v>
      </c>
      <c r="BS120" s="103">
        <f t="shared" ref="BS120:CD120" si="129">+BS119/BS113</f>
        <v>0.33201058201058198</v>
      </c>
      <c r="BT120" s="103">
        <f t="shared" si="129"/>
        <v>0.33817427385892118</v>
      </c>
      <c r="BU120" s="103">
        <f t="shared" si="129"/>
        <v>0.33105114780507455</v>
      </c>
      <c r="BV120" s="103">
        <f t="shared" si="129"/>
        <v>0.34065507887137164</v>
      </c>
      <c r="BW120" s="103">
        <f t="shared" si="129"/>
        <v>0.34318113193071215</v>
      </c>
      <c r="BX120" s="103">
        <f t="shared" si="129"/>
        <v>0.34494742292037001</v>
      </c>
      <c r="BY120" s="103">
        <f t="shared" si="129"/>
        <v>0.39844070578580221</v>
      </c>
      <c r="BZ120" s="103">
        <f t="shared" si="129"/>
        <v>0.36737843787135016</v>
      </c>
      <c r="CA120" s="103">
        <f t="shared" si="129"/>
        <v>0.37254901960784315</v>
      </c>
      <c r="CB120" s="103">
        <f>+CB119/CB113</f>
        <v>0.38777089783281737</v>
      </c>
      <c r="CC120" s="103">
        <f t="shared" si="129"/>
        <v>0.42344124746217982</v>
      </c>
      <c r="CD120" s="103">
        <f t="shared" si="129"/>
        <v>0.36377590176515728</v>
      </c>
    </row>
    <row r="121" spans="1:83" ht="15" customHeight="1">
      <c r="A121" s="92" t="s">
        <v>648</v>
      </c>
      <c r="B121" s="91"/>
      <c r="C121" s="91"/>
      <c r="D121" s="91"/>
      <c r="E121" s="91"/>
      <c r="F121" s="91"/>
      <c r="G121" s="97"/>
      <c r="H121" s="103">
        <f>+H119/G119-1</f>
        <v>0.25812195554764439</v>
      </c>
      <c r="I121" s="103">
        <f t="shared" ref="I121:Z121" si="130">+I119/H119-1</f>
        <v>0.25393618164314891</v>
      </c>
      <c r="J121" s="103">
        <f t="shared" si="130"/>
        <v>-1.4959996023930167E-2</v>
      </c>
      <c r="K121" s="103">
        <f t="shared" si="130"/>
        <v>5.9965132771344187E-2</v>
      </c>
      <c r="L121" s="103">
        <f t="shared" si="130"/>
        <v>-3.1660923083652315E-2</v>
      </c>
      <c r="M121" s="103">
        <f t="shared" si="130"/>
        <v>-7.468123861566478E-2</v>
      </c>
      <c r="N121" s="103">
        <f t="shared" si="130"/>
        <v>0.14763779527559029</v>
      </c>
      <c r="O121" s="103">
        <f t="shared" si="130"/>
        <v>0.13722126929674072</v>
      </c>
      <c r="P121" s="103">
        <f t="shared" si="130"/>
        <v>7.7425842131724432E-2</v>
      </c>
      <c r="Q121" s="103">
        <f t="shared" si="130"/>
        <v>6.9062062529164914E-2</v>
      </c>
      <c r="R121" s="103">
        <f t="shared" si="130"/>
        <v>8.3369707551287586E-2</v>
      </c>
      <c r="S121" s="103">
        <f t="shared" si="130"/>
        <v>5.1285144634509061E-2</v>
      </c>
      <c r="T121" s="103">
        <f t="shared" ca="1" si="130"/>
        <v>5.2585449770488069E-2</v>
      </c>
      <c r="U121" s="103">
        <f t="shared" ca="1" si="130"/>
        <v>4.9487740081432197E-2</v>
      </c>
      <c r="V121" s="103">
        <f t="shared" ca="1" si="130"/>
        <v>4.9437336305827362E-2</v>
      </c>
      <c r="W121" s="103">
        <f t="shared" ca="1" si="130"/>
        <v>4.7408739668242106E-2</v>
      </c>
      <c r="X121" s="103">
        <f t="shared" ca="1" si="130"/>
        <v>4.7966021247404234E-2</v>
      </c>
      <c r="Y121" s="103">
        <f t="shared" ca="1" si="130"/>
        <v>4.658584345628114E-2</v>
      </c>
      <c r="Z121" s="103">
        <f t="shared" ca="1" si="130"/>
        <v>4.6003961175185681E-2</v>
      </c>
      <c r="AA121" s="91"/>
      <c r="AB121" s="141" t="s">
        <v>648</v>
      </c>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103"/>
      <c r="BC121" s="103"/>
      <c r="BD121" s="103"/>
      <c r="BE121" s="103"/>
      <c r="BF121" s="103">
        <f>+BF119/BB119-1</f>
        <v>6.7218170755741768E-2</v>
      </c>
      <c r="BG121" s="103">
        <f t="shared" ref="BG121:CD121" si="131">+BG119/BC119-1</f>
        <v>2.8147914415218578E-2</v>
      </c>
      <c r="BH121" s="103">
        <f t="shared" si="131"/>
        <v>9.1443567099311229E-2</v>
      </c>
      <c r="BI121" s="103">
        <f t="shared" si="131"/>
        <v>5.5933250777520094E-3</v>
      </c>
      <c r="BJ121" s="103">
        <f t="shared" si="131"/>
        <v>-2.5664432385070435E-2</v>
      </c>
      <c r="BK121" s="103">
        <f t="shared" si="131"/>
        <v>6.746614445887178E-2</v>
      </c>
      <c r="BL121" s="103">
        <f t="shared" si="131"/>
        <v>0.12049588042969583</v>
      </c>
      <c r="BM121" s="103">
        <f t="shared" si="131"/>
        <v>5.5834264910332942E-2</v>
      </c>
      <c r="BN121" s="103">
        <f t="shared" si="131"/>
        <v>0.18876332991006817</v>
      </c>
      <c r="BO121" s="103">
        <f t="shared" si="131"/>
        <v>3.815001695010678E-2</v>
      </c>
      <c r="BP121" s="103">
        <f t="shared" si="131"/>
        <v>-1.2646680886233219E-2</v>
      </c>
      <c r="BQ121" s="103">
        <f t="shared" si="131"/>
        <v>8.352523936359213E-2</v>
      </c>
      <c r="BR121" s="103">
        <f t="shared" si="131"/>
        <v>-0.15046302718192606</v>
      </c>
      <c r="BS121" s="103">
        <f t="shared" si="131"/>
        <v>-0.15157264528633685</v>
      </c>
      <c r="BT121" s="103">
        <f t="shared" si="131"/>
        <v>-0.12775501005776702</v>
      </c>
      <c r="BU121" s="103">
        <f t="shared" si="131"/>
        <v>-0.19360067178336193</v>
      </c>
      <c r="BV121" s="103">
        <f t="shared" si="131"/>
        <v>9.6142882632744842E-2</v>
      </c>
      <c r="BW121" s="103">
        <f t="shared" si="131"/>
        <v>0.12671183255638385</v>
      </c>
      <c r="BX121" s="103">
        <f t="shared" si="131"/>
        <v>8.928123090815121E-2</v>
      </c>
      <c r="BY121" s="103">
        <f t="shared" si="131"/>
        <v>0.2782782807250177</v>
      </c>
      <c r="BZ121" s="103">
        <f t="shared" si="131"/>
        <v>0.13399503722084383</v>
      </c>
      <c r="CA121" s="103">
        <f t="shared" si="131"/>
        <v>0.12826603325415675</v>
      </c>
      <c r="CB121" s="103">
        <f>+CB119/BX119-1</f>
        <v>0.17056074766355156</v>
      </c>
      <c r="CC121" s="103">
        <f t="shared" si="131"/>
        <v>0.10746859290777078</v>
      </c>
      <c r="CD121" s="103">
        <f t="shared" si="131"/>
        <v>3.7199124726476906E-2</v>
      </c>
    </row>
    <row r="122" spans="1:83" ht="15" customHeight="1">
      <c r="A122" s="92" t="s">
        <v>19</v>
      </c>
      <c r="B122" s="91"/>
      <c r="C122" s="91"/>
      <c r="D122" s="91"/>
      <c r="E122" s="91"/>
      <c r="F122" s="91"/>
      <c r="G122" s="97">
        <f>+G123*G113</f>
        <v>72.201779201800008</v>
      </c>
      <c r="H122" s="97">
        <f>+H123*H113</f>
        <v>82.501236172800006</v>
      </c>
      <c r="I122" s="97">
        <f>+I123*I113</f>
        <v>99.977859251999988</v>
      </c>
      <c r="J122" s="97">
        <f>+J123*J113</f>
        <v>87.539338245516461</v>
      </c>
      <c r="K122" s="97">
        <f>+K123*K113</f>
        <v>92.374359517816941</v>
      </c>
      <c r="L122" s="96">
        <v>131.4</v>
      </c>
      <c r="M122" s="96">
        <v>118.5</v>
      </c>
      <c r="N122" s="96">
        <v>92.9</v>
      </c>
      <c r="O122" s="96">
        <v>111.7</v>
      </c>
      <c r="P122" s="96">
        <v>96.4</v>
      </c>
      <c r="Q122" s="96">
        <v>132</v>
      </c>
      <c r="R122" s="96">
        <v>137.9</v>
      </c>
      <c r="S122" s="97">
        <f>+S123*S113</f>
        <v>136.35259826999999</v>
      </c>
      <c r="T122" s="97">
        <f t="shared" ref="T122:Z122" ca="1" si="132">+T123*T113</f>
        <v>143.11691778694154</v>
      </c>
      <c r="U122" s="97">
        <f t="shared" ca="1" si="132"/>
        <v>142.45123598618886</v>
      </c>
      <c r="V122" s="97">
        <f t="shared" ca="1" si="132"/>
        <v>141.34660599784328</v>
      </c>
      <c r="W122" s="97">
        <f t="shared" ca="1" si="132"/>
        <v>146.77417712139214</v>
      </c>
      <c r="X122" s="97">
        <f t="shared" ca="1" si="132"/>
        <v>152.33119399143101</v>
      </c>
      <c r="Y122" s="97">
        <f t="shared" ca="1" si="132"/>
        <v>158.02536925839908</v>
      </c>
      <c r="Z122" s="97">
        <f t="shared" ca="1" si="132"/>
        <v>163.86458715140958</v>
      </c>
      <c r="AA122" s="91"/>
      <c r="AB122" s="141" t="s">
        <v>19</v>
      </c>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7">
        <f>+BB123*BB113</f>
        <v>21.673172289600004</v>
      </c>
      <c r="BC122" s="97">
        <f t="shared" ref="BC122:BQ122" si="133">+BC123*BC113</f>
        <v>21.2776319938</v>
      </c>
      <c r="BD122" s="97">
        <f t="shared" si="133"/>
        <v>27.979657128000003</v>
      </c>
      <c r="BE122" s="97">
        <f t="shared" si="133"/>
        <v>23.030827329599997</v>
      </c>
      <c r="BF122" s="97">
        <f t="shared" si="133"/>
        <v>26.552183804199995</v>
      </c>
      <c r="BG122" s="97">
        <f t="shared" si="133"/>
        <v>25.465198373999996</v>
      </c>
      <c r="BH122" s="97">
        <f t="shared" si="133"/>
        <v>19.344770783999998</v>
      </c>
      <c r="BI122" s="97">
        <f t="shared" si="133"/>
        <v>16.356546011999992</v>
      </c>
      <c r="BJ122" s="97">
        <f t="shared" si="133"/>
        <v>21.684987544976472</v>
      </c>
      <c r="BK122" s="97">
        <f t="shared" si="133"/>
        <v>31.968492628368072</v>
      </c>
      <c r="BL122" s="97">
        <f t="shared" si="133"/>
        <v>25.882170518400002</v>
      </c>
      <c r="BM122" s="97">
        <f t="shared" si="133"/>
        <v>12.971307311199995</v>
      </c>
      <c r="BN122" s="97">
        <f t="shared" si="133"/>
        <v>22.822287626331608</v>
      </c>
      <c r="BO122" s="97">
        <f t="shared" si="133"/>
        <v>23.641499928026487</v>
      </c>
      <c r="BP122" s="97">
        <f t="shared" si="133"/>
        <v>23.123205761898046</v>
      </c>
      <c r="BQ122" s="97">
        <f t="shared" si="133"/>
        <v>18.634125173852567</v>
      </c>
      <c r="BR122" s="118">
        <v>37.928379769150048</v>
      </c>
      <c r="BS122" s="118">
        <v>36.803832116741489</v>
      </c>
      <c r="BT122" s="118">
        <v>29.34626924183253</v>
      </c>
      <c r="BU122" s="118">
        <v>19.681604491999977</v>
      </c>
      <c r="BV122" s="96">
        <v>26</v>
      </c>
      <c r="BW122" s="96">
        <v>27.4</v>
      </c>
      <c r="BX122" s="96">
        <v>19.3</v>
      </c>
      <c r="BY122" s="96">
        <f>92.9-BX122-BW122-BV122</f>
        <v>20.20000000000001</v>
      </c>
      <c r="BZ122" s="96">
        <v>25</v>
      </c>
      <c r="CA122" s="96">
        <v>31.1</v>
      </c>
      <c r="CB122" s="96">
        <v>26.9</v>
      </c>
      <c r="CC122" s="96">
        <f>+O122-CB122-CA122-BZ122</f>
        <v>28.70000000000001</v>
      </c>
      <c r="CD122" s="96">
        <v>25.3</v>
      </c>
      <c r="CE122" s="117"/>
    </row>
    <row r="123" spans="1:83" ht="15" customHeight="1">
      <c r="A123" s="92" t="s">
        <v>654</v>
      </c>
      <c r="B123" s="91"/>
      <c r="C123" s="91"/>
      <c r="D123" s="91"/>
      <c r="E123" s="91"/>
      <c r="F123" s="91"/>
      <c r="G123" s="146">
        <v>0.24769611148572715</v>
      </c>
      <c r="H123" s="146">
        <v>0.24902723735408561</v>
      </c>
      <c r="I123" s="146">
        <v>0.25422680412371135</v>
      </c>
      <c r="J123" s="146">
        <v>0.22416882341230338</v>
      </c>
      <c r="K123" s="146">
        <v>0.22685031530036506</v>
      </c>
      <c r="L123" s="147">
        <f t="shared" ref="L123:R123" si="134">L122/L113</f>
        <v>0.30586592178770949</v>
      </c>
      <c r="M123" s="147">
        <f t="shared" si="134"/>
        <v>0.25924305403631587</v>
      </c>
      <c r="N123" s="147">
        <f t="shared" si="134"/>
        <v>0.18920570264765785</v>
      </c>
      <c r="O123" s="147">
        <f t="shared" si="134"/>
        <v>0.2179937548790008</v>
      </c>
      <c r="P123" s="147">
        <f t="shared" si="134"/>
        <v>0.17607305936073062</v>
      </c>
      <c r="Q123" s="147">
        <f t="shared" si="134"/>
        <v>0.22735101619014811</v>
      </c>
      <c r="R123" s="147">
        <f t="shared" si="134"/>
        <v>0.22328367875647667</v>
      </c>
      <c r="S123" s="104">
        <v>0.21</v>
      </c>
      <c r="T123" s="104">
        <v>0.21</v>
      </c>
      <c r="U123" s="104">
        <v>0.2</v>
      </c>
      <c r="V123" s="104">
        <v>0.19</v>
      </c>
      <c r="W123" s="104">
        <f>+V123-0.001</f>
        <v>0.189</v>
      </c>
      <c r="X123" s="104">
        <f>+W123-0.001</f>
        <v>0.188</v>
      </c>
      <c r="Y123" s="104">
        <f>+X123-0.001</f>
        <v>0.187</v>
      </c>
      <c r="Z123" s="104">
        <f>+Y123-0.001</f>
        <v>0.186</v>
      </c>
      <c r="AA123" s="91"/>
      <c r="AB123" s="141" t="s">
        <v>654</v>
      </c>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146">
        <v>0.25080385852090031</v>
      </c>
      <c r="BC123" s="146">
        <v>0.2319422150882825</v>
      </c>
      <c r="BD123" s="146">
        <v>0.30050083472454092</v>
      </c>
      <c r="BE123" s="146">
        <v>0.23407917383821</v>
      </c>
      <c r="BF123" s="146">
        <v>0.27973199329983245</v>
      </c>
      <c r="BG123" s="146">
        <v>0.26025236593059936</v>
      </c>
      <c r="BH123" s="146">
        <v>0.19729514717581542</v>
      </c>
      <c r="BI123" s="146">
        <v>0.16411042944785265</v>
      </c>
      <c r="BJ123" s="146">
        <v>0.22965779467680608</v>
      </c>
      <c r="BK123" s="146">
        <v>0.3147410358565737</v>
      </c>
      <c r="BL123" s="146">
        <v>0.24623115577889451</v>
      </c>
      <c r="BM123" s="146">
        <v>0.12340309669659977</v>
      </c>
      <c r="BN123" s="146">
        <v>0.22172523961661345</v>
      </c>
      <c r="BO123" s="146">
        <v>0.22040302267002518</v>
      </c>
      <c r="BP123" s="146">
        <v>0.21132764920828262</v>
      </c>
      <c r="BQ123" s="146">
        <v>0.17323327079424636</v>
      </c>
      <c r="BR123" s="103">
        <f t="shared" ref="BR123:CD123" si="135">+BR122/BR113</f>
        <v>0.34556353514981408</v>
      </c>
      <c r="BS123" s="103">
        <f t="shared" si="135"/>
        <v>0.32702106333707776</v>
      </c>
      <c r="BT123" s="103">
        <f t="shared" si="135"/>
        <v>0.25257462413307935</v>
      </c>
      <c r="BU123" s="103">
        <f t="shared" si="135"/>
        <v>0.16589665726943192</v>
      </c>
      <c r="BV123" s="103">
        <f t="shared" si="135"/>
        <v>0.21977747023959465</v>
      </c>
      <c r="BW123" s="103">
        <f t="shared" si="135"/>
        <v>0.22335304073400267</v>
      </c>
      <c r="BX123" s="103">
        <f t="shared" si="135"/>
        <v>0.15554872108325096</v>
      </c>
      <c r="BY123" s="103">
        <f>+BY122/BY113</f>
        <v>0.16031409117687759</v>
      </c>
      <c r="BZ123" s="103">
        <f t="shared" si="135"/>
        <v>0.20097288723815654</v>
      </c>
      <c r="CA123" s="103">
        <f t="shared" si="135"/>
        <v>0.24392156862745099</v>
      </c>
      <c r="CB123" s="103">
        <f>+CB122/CB113</f>
        <v>0.20820433436532509</v>
      </c>
      <c r="CC123" s="103">
        <f t="shared" si="135"/>
        <v>0.21857488852813972</v>
      </c>
      <c r="CD123" s="103">
        <f t="shared" si="135"/>
        <v>0.19416730621642361</v>
      </c>
    </row>
    <row r="124" spans="1:83" ht="15" customHeight="1">
      <c r="A124" s="92" t="s">
        <v>27</v>
      </c>
      <c r="B124" s="91"/>
      <c r="C124" s="91"/>
      <c r="D124" s="91"/>
      <c r="E124" s="91"/>
      <c r="F124" s="91"/>
      <c r="G124" s="97">
        <f t="shared" ref="G124:Y124" si="136">G119-G122</f>
        <v>31.055937696599983</v>
      </c>
      <c r="H124" s="97">
        <f t="shared" si="136"/>
        <v>47.409564536800033</v>
      </c>
      <c r="I124" s="97">
        <f t="shared" si="136"/>
        <v>62.921994143999953</v>
      </c>
      <c r="J124" s="97">
        <f t="shared" si="136"/>
        <v>72.923533991380509</v>
      </c>
      <c r="K124" s="97">
        <f t="shared" si="136"/>
        <v>77.710690157636805</v>
      </c>
      <c r="L124" s="97">
        <f t="shared" si="136"/>
        <v>33.300000000000011</v>
      </c>
      <c r="M124" s="97">
        <f t="shared" si="136"/>
        <v>33.900000000000034</v>
      </c>
      <c r="N124" s="97">
        <f t="shared" si="136"/>
        <v>82</v>
      </c>
      <c r="O124" s="97">
        <f t="shared" si="136"/>
        <v>87.199999999999974</v>
      </c>
      <c r="P124" s="97">
        <f t="shared" si="136"/>
        <v>117.89999999999995</v>
      </c>
      <c r="Q124" s="97">
        <f t="shared" si="136"/>
        <v>97.1</v>
      </c>
      <c r="R124" s="97">
        <f t="shared" si="136"/>
        <v>110.29999999999998</v>
      </c>
      <c r="S124" s="97">
        <f t="shared" si="136"/>
        <v>124.57637462828512</v>
      </c>
      <c r="T124" s="97">
        <f t="shared" ca="1" si="136"/>
        <v>131.53312250935136</v>
      </c>
      <c r="U124" s="97">
        <f t="shared" ca="1" si="136"/>
        <v>145.79061411764184</v>
      </c>
      <c r="V124" s="97">
        <f t="shared" ca="1" si="136"/>
        <v>161.14515338698439</v>
      </c>
      <c r="W124" s="97">
        <f t="shared" ca="1" si="136"/>
        <v>170.05833533589936</v>
      </c>
      <c r="X124" s="97">
        <f t="shared" ca="1" si="136"/>
        <v>179.69851349025538</v>
      </c>
      <c r="Y124" s="97">
        <f t="shared" ca="1" si="136"/>
        <v>189.47222219886399</v>
      </c>
      <c r="Z124" s="97">
        <f ca="1">Z119-Z122</f>
        <v>199.61927001172398</v>
      </c>
      <c r="AA124" s="91"/>
      <c r="AB124" s="92" t="s">
        <v>27</v>
      </c>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97"/>
      <c r="AY124" s="97"/>
      <c r="AZ124" s="97"/>
      <c r="BA124" s="97"/>
      <c r="BB124" s="97">
        <f t="shared" ref="BB124:CD124" si="137">BB119-BB122</f>
        <v>13.337336793600002</v>
      </c>
      <c r="BC124" s="97">
        <f t="shared" si="137"/>
        <v>17.375505711199999</v>
      </c>
      <c r="BD124" s="97">
        <f t="shared" si="137"/>
        <v>9.3265523760000058</v>
      </c>
      <c r="BE124" s="97">
        <f t="shared" si="137"/>
        <v>19.305252320399976</v>
      </c>
      <c r="BF124" s="97">
        <f t="shared" si="137"/>
        <v>10.811667656800001</v>
      </c>
      <c r="BG124" s="97">
        <f t="shared" si="137"/>
        <v>14.275944543000001</v>
      </c>
      <c r="BH124" s="97">
        <f t="shared" si="137"/>
        <v>21.372851591999996</v>
      </c>
      <c r="BI124" s="97">
        <f t="shared" si="137"/>
        <v>26.216333094000031</v>
      </c>
      <c r="BJ124" s="97">
        <f t="shared" si="137"/>
        <v>14.719941876556874</v>
      </c>
      <c r="BK124" s="97">
        <f t="shared" si="137"/>
        <v>10.453831977630916</v>
      </c>
      <c r="BL124" s="97">
        <f t="shared" si="137"/>
        <v>19.741757614799994</v>
      </c>
      <c r="BM124" s="97">
        <f t="shared" si="137"/>
        <v>31.97859720480001</v>
      </c>
      <c r="BN124" s="97">
        <f t="shared" si="137"/>
        <v>20.454557497951384</v>
      </c>
      <c r="BO124" s="97">
        <f t="shared" si="137"/>
        <v>20.399237080754293</v>
      </c>
      <c r="BP124" s="97">
        <f t="shared" si="137"/>
        <v>21.923731111424932</v>
      </c>
      <c r="BQ124" s="97">
        <f t="shared" si="137"/>
        <v>30.070230876216947</v>
      </c>
      <c r="BR124" s="97">
        <f t="shared" si="137"/>
        <v>-1.1630997691500511</v>
      </c>
      <c r="BS124" s="97">
        <f t="shared" si="137"/>
        <v>0.56153388325851239</v>
      </c>
      <c r="BT124" s="97">
        <f t="shared" si="137"/>
        <v>9.9456957581674743</v>
      </c>
      <c r="BU124" s="97">
        <f t="shared" si="137"/>
        <v>19.59355550800003</v>
      </c>
      <c r="BV124" s="97">
        <f t="shared" si="137"/>
        <v>14.299999999999997</v>
      </c>
      <c r="BW124" s="97">
        <f t="shared" si="137"/>
        <v>14.700000000000003</v>
      </c>
      <c r="BX124" s="97">
        <f t="shared" si="137"/>
        <v>23.499999999999996</v>
      </c>
      <c r="BY124" s="97">
        <f t="shared" si="137"/>
        <v>30.004583999999987</v>
      </c>
      <c r="BZ124" s="97">
        <f t="shared" si="137"/>
        <v>20.700000000000003</v>
      </c>
      <c r="CA124" s="97">
        <f t="shared" si="137"/>
        <v>16.399999999999999</v>
      </c>
      <c r="CB124" s="97">
        <f t="shared" si="137"/>
        <v>23.200000000000003</v>
      </c>
      <c r="CC124" s="97">
        <f t="shared" si="137"/>
        <v>26.89999999999997</v>
      </c>
      <c r="CD124" s="97">
        <f t="shared" si="137"/>
        <v>22.099999999999998</v>
      </c>
    </row>
    <row r="125" spans="1:83" ht="15" customHeight="1">
      <c r="A125" s="92" t="s">
        <v>651</v>
      </c>
      <c r="B125" s="91"/>
      <c r="C125" s="91"/>
      <c r="D125" s="91"/>
      <c r="E125" s="91"/>
      <c r="F125" s="91"/>
      <c r="G125" s="103">
        <f t="shared" ref="G125:Y125" si="138">G124/G113</f>
        <v>0.1065407956844234</v>
      </c>
      <c r="H125" s="103">
        <f t="shared" si="138"/>
        <v>0.14310419368785135</v>
      </c>
      <c r="I125" s="103">
        <f t="shared" si="138"/>
        <v>0.15999999999999989</v>
      </c>
      <c r="J125" s="103">
        <f t="shared" si="138"/>
        <v>0.18674099143937886</v>
      </c>
      <c r="K125" s="103">
        <f t="shared" si="138"/>
        <v>0.19083969465648859</v>
      </c>
      <c r="L125" s="103">
        <f t="shared" si="138"/>
        <v>7.751396648044695E-2</v>
      </c>
      <c r="M125" s="103">
        <f t="shared" si="138"/>
        <v>7.416320280026259E-2</v>
      </c>
      <c r="N125" s="103">
        <f t="shared" si="138"/>
        <v>0.16700610997963339</v>
      </c>
      <c r="O125" s="103">
        <f t="shared" si="138"/>
        <v>0.17017954722872752</v>
      </c>
      <c r="P125" s="103">
        <f t="shared" si="138"/>
        <v>0.21534246575342456</v>
      </c>
      <c r="Q125" s="103">
        <f t="shared" si="138"/>
        <v>0.16724078539441956</v>
      </c>
      <c r="R125" s="103">
        <f t="shared" si="138"/>
        <v>0.1785945595854922</v>
      </c>
      <c r="S125" s="103">
        <f t="shared" si="138"/>
        <v>0.19186314748573277</v>
      </c>
      <c r="T125" s="103">
        <f t="shared" ca="1" si="138"/>
        <v>0.19300272919575201</v>
      </c>
      <c r="U125" s="103">
        <f t="shared" ca="1" si="138"/>
        <v>0.20468845090508972</v>
      </c>
      <c r="V125" s="103">
        <f t="shared" ca="1" si="138"/>
        <v>0.21661347244513399</v>
      </c>
      <c r="W125" s="103">
        <f t="shared" ca="1" si="138"/>
        <v>0.21898283477959604</v>
      </c>
      <c r="X125" s="103">
        <f t="shared" ca="1" si="138"/>
        <v>0.22177545945099336</v>
      </c>
      <c r="Y125" s="103">
        <f t="shared" ca="1" si="138"/>
        <v>0.22421276860458519</v>
      </c>
      <c r="Z125" s="103">
        <f ca="1">Z124/Z113</f>
        <v>0.22658455293866264</v>
      </c>
      <c r="AA125" s="91"/>
      <c r="AB125" s="92" t="s">
        <v>651</v>
      </c>
      <c r="AC125" s="103"/>
      <c r="AD125" s="103"/>
      <c r="AE125" s="103"/>
      <c r="AF125" s="103"/>
      <c r="AG125" s="103"/>
      <c r="AH125" s="103"/>
      <c r="AI125" s="103"/>
      <c r="AJ125" s="103"/>
      <c r="AK125" s="103"/>
      <c r="AL125" s="103"/>
      <c r="AM125" s="103"/>
      <c r="AN125" s="103"/>
      <c r="AO125" s="103"/>
      <c r="AP125" s="103"/>
      <c r="AQ125" s="103"/>
      <c r="AR125" s="103"/>
      <c r="AS125" s="103"/>
      <c r="AT125" s="103"/>
      <c r="AU125" s="103"/>
      <c r="AV125" s="103"/>
      <c r="AW125" s="103"/>
      <c r="AX125" s="103"/>
      <c r="AY125" s="103"/>
      <c r="AZ125" s="103"/>
      <c r="BA125" s="103"/>
      <c r="BB125" s="103">
        <f t="shared" ref="BB125:CD125" si="139">BB124/BB113</f>
        <v>0.15434083601286175</v>
      </c>
      <c r="BC125" s="103">
        <f t="shared" si="139"/>
        <v>0.18940609951845905</v>
      </c>
      <c r="BD125" s="103">
        <f t="shared" si="139"/>
        <v>0.10016694490818036</v>
      </c>
      <c r="BE125" s="103">
        <f t="shared" si="139"/>
        <v>0.19621342512908757</v>
      </c>
      <c r="BF125" s="103">
        <f t="shared" si="139"/>
        <v>0.11390284757118929</v>
      </c>
      <c r="BG125" s="103">
        <f t="shared" si="139"/>
        <v>0.14589905362776029</v>
      </c>
      <c r="BH125" s="103">
        <f t="shared" si="139"/>
        <v>0.21797931583134444</v>
      </c>
      <c r="BI125" s="103">
        <f t="shared" si="139"/>
        <v>0.26303680981595118</v>
      </c>
      <c r="BJ125" s="103">
        <f t="shared" si="139"/>
        <v>0.15589353612167298</v>
      </c>
      <c r="BK125" s="103">
        <f t="shared" si="139"/>
        <v>0.102921646746348</v>
      </c>
      <c r="BL125" s="103">
        <f t="shared" si="139"/>
        <v>0.18781407035175876</v>
      </c>
      <c r="BM125" s="103">
        <f t="shared" si="139"/>
        <v>0.30422977641414595</v>
      </c>
      <c r="BN125" s="103">
        <f t="shared" si="139"/>
        <v>0.19872204472843455</v>
      </c>
      <c r="BO125" s="103">
        <f t="shared" si="139"/>
        <v>0.19017632241813609</v>
      </c>
      <c r="BP125" s="103">
        <f t="shared" si="139"/>
        <v>0.20036540803897676</v>
      </c>
      <c r="BQ125" s="103">
        <f t="shared" si="139"/>
        <v>0.2795497185741086</v>
      </c>
      <c r="BR125" s="103">
        <f t="shared" si="139"/>
        <v>-1.0596942722197153E-2</v>
      </c>
      <c r="BS125" s="103">
        <f t="shared" si="139"/>
        <v>4.9895186735042524E-3</v>
      </c>
      <c r="BT125" s="103">
        <f t="shared" si="139"/>
        <v>8.5599649725841859E-2</v>
      </c>
      <c r="BU125" s="103">
        <f t="shared" si="139"/>
        <v>0.1651544905356426</v>
      </c>
      <c r="BV125" s="103">
        <f t="shared" si="139"/>
        <v>0.12087760863177703</v>
      </c>
      <c r="BW125" s="103">
        <f t="shared" si="139"/>
        <v>0.11982809119670949</v>
      </c>
      <c r="BX125" s="103">
        <f t="shared" si="139"/>
        <v>0.18939870183711902</v>
      </c>
      <c r="BY125" s="103">
        <f t="shared" si="139"/>
        <v>0.23812661460892465</v>
      </c>
      <c r="BZ125" s="103">
        <f t="shared" si="139"/>
        <v>0.16640555063319362</v>
      </c>
      <c r="CA125" s="103">
        <f t="shared" si="139"/>
        <v>0.12862745098039213</v>
      </c>
      <c r="CB125" s="103">
        <f t="shared" si="139"/>
        <v>0.17956656346749231</v>
      </c>
      <c r="CC125" s="103">
        <f t="shared" si="139"/>
        <v>0.20486635893404007</v>
      </c>
      <c r="CD125" s="103">
        <f t="shared" si="139"/>
        <v>0.16960859554873367</v>
      </c>
    </row>
    <row r="126" spans="1:83" ht="15" customHeight="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14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row>
    <row r="127" spans="1:83" ht="15" customHeight="1">
      <c r="A127" s="92" t="s">
        <v>655</v>
      </c>
      <c r="B127" s="91"/>
      <c r="C127" s="91"/>
      <c r="D127" s="91"/>
      <c r="E127" s="91"/>
      <c r="F127" s="91"/>
      <c r="G127" s="97"/>
      <c r="H127" s="97"/>
      <c r="I127" s="97"/>
      <c r="J127" s="97"/>
      <c r="K127" s="97"/>
      <c r="L127" s="97">
        <f>+L113-L136</f>
        <v>429.6</v>
      </c>
      <c r="M127" s="97">
        <f t="shared" ref="M127:Z127" si="140">+M113-M136</f>
        <v>451.8</v>
      </c>
      <c r="N127" s="97">
        <f t="shared" si="140"/>
        <v>480.8</v>
      </c>
      <c r="O127" s="97">
        <f t="shared" si="140"/>
        <v>498.4</v>
      </c>
      <c r="P127" s="97">
        <f>+P113-P136</f>
        <v>524.20000000000005</v>
      </c>
      <c r="Q127" s="97">
        <f t="shared" si="140"/>
        <v>550.6</v>
      </c>
      <c r="R127" s="97">
        <f t="shared" si="140"/>
        <v>582.6</v>
      </c>
      <c r="S127" s="97">
        <f t="shared" si="140"/>
        <v>607.91488049252155</v>
      </c>
      <c r="T127" s="97">
        <f t="shared" ca="1" si="140"/>
        <v>635.66143565122798</v>
      </c>
      <c r="U127" s="97">
        <f t="shared" ca="1" si="140"/>
        <v>662.1391259923455</v>
      </c>
      <c r="V127" s="97">
        <f t="shared" ca="1" si="140"/>
        <v>689.73220741165983</v>
      </c>
      <c r="W127" s="97">
        <f t="shared" ca="1" si="140"/>
        <v>718.48866256817576</v>
      </c>
      <c r="X127" s="97">
        <f t="shared" ca="1" si="140"/>
        <v>748.45859438918262</v>
      </c>
      <c r="Y127" s="97">
        <f t="shared" ca="1" si="140"/>
        <v>779.69432246251824</v>
      </c>
      <c r="Z127" s="97">
        <f t="shared" ca="1" si="140"/>
        <v>812.250483928682</v>
      </c>
      <c r="AA127" s="91"/>
      <c r="AB127" s="141" t="s">
        <v>655</v>
      </c>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148"/>
      <c r="CB127" s="97"/>
      <c r="CC127" s="91"/>
    </row>
    <row r="128" spans="1:83" ht="15" customHeight="1">
      <c r="A128" s="92" t="s">
        <v>656</v>
      </c>
      <c r="B128" s="91"/>
      <c r="C128" s="91"/>
      <c r="D128" s="149"/>
      <c r="E128" s="149"/>
      <c r="F128" s="149"/>
      <c r="G128" s="97"/>
      <c r="H128" s="97"/>
      <c r="I128" s="97"/>
      <c r="J128" s="97"/>
      <c r="K128" s="97"/>
      <c r="L128" s="97">
        <f>+L116-L137</f>
        <v>244.70000000000002</v>
      </c>
      <c r="M128" s="97">
        <f>+M116-M137</f>
        <v>239.51500000000004</v>
      </c>
      <c r="N128" s="97">
        <f>+N116-N137</f>
        <v>254.71</v>
      </c>
      <c r="O128" s="97">
        <f>+O116-O137</f>
        <v>280.09999999999997</v>
      </c>
      <c r="P128" s="97">
        <f>+P116-P137</f>
        <v>293.58499999999998</v>
      </c>
      <c r="Q128" s="97">
        <f>+Q127*Q129</f>
        <v>307.82006196108347</v>
      </c>
      <c r="R128" s="97">
        <f t="shared" ref="R128:Z128" si="141">+R127*R129</f>
        <v>336.45150000000001</v>
      </c>
      <c r="S128" s="97">
        <f t="shared" si="141"/>
        <v>352.59063068566246</v>
      </c>
      <c r="T128" s="97">
        <f t="shared" ca="1" si="141"/>
        <v>367.41230980640972</v>
      </c>
      <c r="U128" s="97">
        <f t="shared" ca="1" si="141"/>
        <v>382.05427569758331</v>
      </c>
      <c r="V128" s="97">
        <f t="shared" ca="1" si="141"/>
        <v>397.28575146911601</v>
      </c>
      <c r="W128" s="97">
        <f t="shared" ca="1" si="141"/>
        <v>413.13098097670104</v>
      </c>
      <c r="X128" s="97">
        <f t="shared" ca="1" si="141"/>
        <v>429.61523317939077</v>
      </c>
      <c r="Y128" s="97">
        <f t="shared" ca="1" si="141"/>
        <v>446.76484677102292</v>
      </c>
      <c r="Z128" s="97">
        <f t="shared" ca="1" si="141"/>
        <v>464.60727680720606</v>
      </c>
      <c r="AA128" s="91"/>
      <c r="AB128" s="141" t="s">
        <v>656</v>
      </c>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row>
    <row r="129" spans="1:83" ht="15" customHeight="1">
      <c r="A129" s="92" t="s">
        <v>654</v>
      </c>
      <c r="B129" s="91"/>
      <c r="C129" s="91"/>
      <c r="D129" s="149"/>
      <c r="E129" s="149"/>
      <c r="F129" s="149"/>
      <c r="G129" s="97"/>
      <c r="H129" s="97"/>
      <c r="I129" s="97"/>
      <c r="J129" s="97"/>
      <c r="K129" s="97"/>
      <c r="L129" s="103">
        <f>+L128/L127</f>
        <v>0.5695996275605214</v>
      </c>
      <c r="M129" s="103">
        <f>+M128/M127</f>
        <v>0.53013501549358133</v>
      </c>
      <c r="N129" s="103">
        <f>+N128/N127</f>
        <v>0.52976289517470887</v>
      </c>
      <c r="O129" s="103">
        <f>+O128/O127</f>
        <v>0.5619983948635634</v>
      </c>
      <c r="P129" s="103">
        <f>+P128/P127</f>
        <v>0.56006295307134668</v>
      </c>
      <c r="Q129" s="123">
        <f>+P129-0.001</f>
        <v>0.55906295307134668</v>
      </c>
      <c r="R129" s="123">
        <v>0.57750000000000001</v>
      </c>
      <c r="S129" s="123">
        <v>0.57999999999999996</v>
      </c>
      <c r="T129" s="123">
        <f>+S129-0.002</f>
        <v>0.57799999999999996</v>
      </c>
      <c r="U129" s="123">
        <f t="shared" ref="U129:Z129" si="142">+T129-0.001</f>
        <v>0.57699999999999996</v>
      </c>
      <c r="V129" s="123">
        <f t="shared" si="142"/>
        <v>0.57599999999999996</v>
      </c>
      <c r="W129" s="123">
        <f t="shared" si="142"/>
        <v>0.57499999999999996</v>
      </c>
      <c r="X129" s="123">
        <f t="shared" si="142"/>
        <v>0.57399999999999995</v>
      </c>
      <c r="Y129" s="123">
        <f t="shared" si="142"/>
        <v>0.57299999999999995</v>
      </c>
      <c r="Z129" s="123">
        <f t="shared" si="142"/>
        <v>0.57199999999999995</v>
      </c>
      <c r="AA129" s="91"/>
      <c r="AB129" s="141" t="s">
        <v>654</v>
      </c>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row>
    <row r="130" spans="1:83" ht="15" customHeight="1">
      <c r="A130" s="92" t="s">
        <v>657</v>
      </c>
      <c r="B130" s="91"/>
      <c r="C130" s="91"/>
      <c r="D130" s="91"/>
      <c r="E130" s="91"/>
      <c r="F130" s="91"/>
      <c r="G130" s="97"/>
      <c r="H130" s="97"/>
      <c r="I130" s="97"/>
      <c r="J130" s="97"/>
      <c r="K130" s="97"/>
      <c r="L130" s="97">
        <f>+L115-L139</f>
        <v>184.9</v>
      </c>
      <c r="M130" s="97">
        <f>+M115-M139</f>
        <v>212.285</v>
      </c>
      <c r="N130" s="97">
        <f>+N115-N139</f>
        <v>226.08999999999997</v>
      </c>
      <c r="O130" s="97">
        <f>+O115-O139</f>
        <v>218.3</v>
      </c>
      <c r="P130" s="97">
        <f>+P115-P139</f>
        <v>230.61500000000001</v>
      </c>
      <c r="Q130" s="97">
        <f t="shared" ref="Q130:Z130" si="143">+Q127-Q128</f>
        <v>242.77993803891655</v>
      </c>
      <c r="R130" s="97">
        <f t="shared" si="143"/>
        <v>246.14850000000001</v>
      </c>
      <c r="S130" s="97">
        <f t="shared" si="143"/>
        <v>255.32424980685909</v>
      </c>
      <c r="T130" s="97">
        <f t="shared" ca="1" si="143"/>
        <v>268.24912584481825</v>
      </c>
      <c r="U130" s="97">
        <f t="shared" ca="1" si="143"/>
        <v>280.08485029476219</v>
      </c>
      <c r="V130" s="97">
        <f t="shared" ca="1" si="143"/>
        <v>292.44645594254382</v>
      </c>
      <c r="W130" s="97">
        <f t="shared" ca="1" si="143"/>
        <v>305.35768159147472</v>
      </c>
      <c r="X130" s="97">
        <f t="shared" ca="1" si="143"/>
        <v>318.84336120979185</v>
      </c>
      <c r="Y130" s="97">
        <f t="shared" ca="1" si="143"/>
        <v>332.92947569149533</v>
      </c>
      <c r="Z130" s="97">
        <f t="shared" ca="1" si="143"/>
        <v>347.64320712147594</v>
      </c>
      <c r="AA130" s="91"/>
      <c r="AB130" s="141" t="s">
        <v>657</v>
      </c>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row>
    <row r="131" spans="1:83" ht="15" customHeight="1">
      <c r="A131" s="92" t="s">
        <v>658</v>
      </c>
      <c r="B131" s="91"/>
      <c r="C131" s="91"/>
      <c r="D131" s="91"/>
      <c r="E131" s="91"/>
      <c r="F131" s="91"/>
      <c r="G131" s="97"/>
      <c r="H131" s="97"/>
      <c r="I131" s="97"/>
      <c r="J131" s="97"/>
      <c r="K131" s="97"/>
      <c r="L131" s="97">
        <f>+L118-L141-L140</f>
        <v>62.900000000000006</v>
      </c>
      <c r="M131" s="97">
        <f>+M118-M141-M140</f>
        <v>39.015000000000001</v>
      </c>
      <c r="N131" s="97">
        <f>+N118-N141-N140</f>
        <v>35.910000000000004</v>
      </c>
      <c r="O131" s="97">
        <f>+O118-O141-O140</f>
        <v>51.2</v>
      </c>
      <c r="P131" s="97">
        <f>+P118-P141-P140</f>
        <v>61.040587500000015</v>
      </c>
      <c r="Q131" s="97">
        <f t="shared" ref="Q131:Z131" si="144">+Q127*Q132</f>
        <v>68.825000000000003</v>
      </c>
      <c r="R131" s="97">
        <f t="shared" si="144"/>
        <v>74.281500000000008</v>
      </c>
      <c r="S131" s="97">
        <f t="shared" si="144"/>
        <v>82.068508866490419</v>
      </c>
      <c r="T131" s="97">
        <f t="shared" ca="1" si="144"/>
        <v>85.178632377264549</v>
      </c>
      <c r="U131" s="97">
        <f t="shared" ca="1" si="144"/>
        <v>88.064503756981949</v>
      </c>
      <c r="V131" s="97">
        <f t="shared" ca="1" si="144"/>
        <v>91.044651378339097</v>
      </c>
      <c r="W131" s="97">
        <f t="shared" ca="1" si="144"/>
        <v>94.122014796431031</v>
      </c>
      <c r="X131" s="97">
        <f t="shared" ca="1" si="144"/>
        <v>97.299617270593743</v>
      </c>
      <c r="Y131" s="97">
        <f t="shared" ca="1" si="144"/>
        <v>100.58056759766485</v>
      </c>
      <c r="Z131" s="97">
        <f t="shared" ca="1" si="144"/>
        <v>103.9680619428713</v>
      </c>
      <c r="AA131" s="91"/>
      <c r="AB131" s="141" t="s">
        <v>658</v>
      </c>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row>
    <row r="132" spans="1:83" ht="15" customHeight="1">
      <c r="A132" s="92" t="s">
        <v>654</v>
      </c>
      <c r="B132" s="91"/>
      <c r="C132" s="91"/>
      <c r="D132" s="91"/>
      <c r="E132" s="91"/>
      <c r="F132" s="91"/>
      <c r="G132" s="97"/>
      <c r="H132" s="97"/>
      <c r="I132" s="97"/>
      <c r="J132" s="97"/>
      <c r="K132" s="97"/>
      <c r="L132" s="103">
        <f>+L131/L127</f>
        <v>0.14641527001862198</v>
      </c>
      <c r="M132" s="103">
        <f>+M131/M127</f>
        <v>8.6354581673306771E-2</v>
      </c>
      <c r="N132" s="103">
        <f>+N131/N127</f>
        <v>7.4688019966722141E-2</v>
      </c>
      <c r="O132" s="103">
        <f>+O131/O127</f>
        <v>0.1027287319422151</v>
      </c>
      <c r="P132" s="103">
        <f>+P131/P127</f>
        <v>0.11644522605875622</v>
      </c>
      <c r="Q132" s="104">
        <v>0.125</v>
      </c>
      <c r="R132" s="104">
        <v>0.1275</v>
      </c>
      <c r="S132" s="104">
        <v>0.13500000000000001</v>
      </c>
      <c r="T132" s="104">
        <f t="shared" ref="T132:Z132" si="145">+S132-0.001</f>
        <v>0.13400000000000001</v>
      </c>
      <c r="U132" s="104">
        <f t="shared" si="145"/>
        <v>0.13300000000000001</v>
      </c>
      <c r="V132" s="104">
        <f t="shared" si="145"/>
        <v>0.13200000000000001</v>
      </c>
      <c r="W132" s="104">
        <f t="shared" si="145"/>
        <v>0.13100000000000001</v>
      </c>
      <c r="X132" s="104">
        <f t="shared" si="145"/>
        <v>0.13</v>
      </c>
      <c r="Y132" s="104">
        <f t="shared" si="145"/>
        <v>0.129</v>
      </c>
      <c r="Z132" s="104">
        <f t="shared" si="145"/>
        <v>0.128</v>
      </c>
      <c r="AA132" s="91"/>
      <c r="AB132" s="141" t="s">
        <v>654</v>
      </c>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row>
    <row r="133" spans="1:83" ht="15" customHeight="1">
      <c r="A133" s="92" t="s">
        <v>659</v>
      </c>
      <c r="B133" s="91"/>
      <c r="C133" s="91"/>
      <c r="D133" s="91"/>
      <c r="E133" s="91"/>
      <c r="F133" s="91"/>
      <c r="G133" s="97"/>
      <c r="H133" s="97"/>
      <c r="I133" s="97"/>
      <c r="J133" s="97"/>
      <c r="K133" s="97"/>
      <c r="L133" s="97">
        <f>+L128-L131</f>
        <v>181.8</v>
      </c>
      <c r="M133" s="97">
        <f>+M128-M131</f>
        <v>200.50000000000006</v>
      </c>
      <c r="N133" s="97">
        <f>+N128-N131</f>
        <v>218.8</v>
      </c>
      <c r="O133" s="97">
        <f>+O128-O131</f>
        <v>228.89999999999998</v>
      </c>
      <c r="P133" s="97">
        <f>+P128-P131</f>
        <v>232.54441249999996</v>
      </c>
      <c r="Q133" s="97">
        <f t="shared" ref="Q133:Z133" si="146">+Q128-Q131</f>
        <v>238.99506196108348</v>
      </c>
      <c r="R133" s="97">
        <f t="shared" si="146"/>
        <v>262.17</v>
      </c>
      <c r="S133" s="97">
        <f t="shared" si="146"/>
        <v>270.52212181917207</v>
      </c>
      <c r="T133" s="97">
        <f t="shared" ca="1" si="146"/>
        <v>282.23367742914519</v>
      </c>
      <c r="U133" s="97">
        <f t="shared" ca="1" si="146"/>
        <v>293.98977194060137</v>
      </c>
      <c r="V133" s="97">
        <f t="shared" ca="1" si="146"/>
        <v>306.24110009077691</v>
      </c>
      <c r="W133" s="97">
        <f t="shared" ca="1" si="146"/>
        <v>319.00896618027002</v>
      </c>
      <c r="X133" s="97">
        <f t="shared" ca="1" si="146"/>
        <v>332.31561590879704</v>
      </c>
      <c r="Y133" s="97">
        <f t="shared" ca="1" si="146"/>
        <v>346.18427917335805</v>
      </c>
      <c r="Z133" s="97">
        <f t="shared" ca="1" si="146"/>
        <v>360.63921486433475</v>
      </c>
      <c r="AA133" s="91"/>
      <c r="AB133" s="141" t="s">
        <v>659</v>
      </c>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row>
    <row r="134" spans="1:83" ht="15" customHeight="1">
      <c r="A134" s="92" t="s">
        <v>654</v>
      </c>
      <c r="B134" s="91"/>
      <c r="C134" s="91"/>
      <c r="D134" s="91"/>
      <c r="E134" s="91"/>
      <c r="F134" s="91"/>
      <c r="G134" s="97"/>
      <c r="H134" s="97"/>
      <c r="I134" s="97"/>
      <c r="J134" s="97"/>
      <c r="K134" s="97"/>
      <c r="L134" s="101">
        <f>+L133/L127</f>
        <v>0.42318435754189943</v>
      </c>
      <c r="M134" s="101">
        <f>+M133/M127</f>
        <v>0.44378043382027454</v>
      </c>
      <c r="N134" s="101">
        <f>+N133/N127</f>
        <v>0.45507487520798673</v>
      </c>
      <c r="O134" s="101">
        <f>+O133/O127</f>
        <v>0.4592696629213483</v>
      </c>
      <c r="P134" s="101">
        <f>+P133/P127</f>
        <v>0.4436177270125905</v>
      </c>
      <c r="Q134" s="101">
        <f t="shared" ref="Q134:Z134" si="147">+Q133/Q127</f>
        <v>0.43406295307134668</v>
      </c>
      <c r="R134" s="101">
        <f t="shared" si="147"/>
        <v>0.45</v>
      </c>
      <c r="S134" s="101">
        <f t="shared" si="147"/>
        <v>0.44499999999999995</v>
      </c>
      <c r="T134" s="101">
        <f t="shared" ca="1" si="147"/>
        <v>0.44399999999999995</v>
      </c>
      <c r="U134" s="101">
        <f t="shared" ca="1" si="147"/>
        <v>0.44399999999999995</v>
      </c>
      <c r="V134" s="101">
        <f t="shared" ca="1" si="147"/>
        <v>0.44399999999999995</v>
      </c>
      <c r="W134" s="101">
        <f t="shared" ca="1" si="147"/>
        <v>0.44400000000000001</v>
      </c>
      <c r="X134" s="101">
        <f t="shared" ca="1" si="147"/>
        <v>0.44399999999999995</v>
      </c>
      <c r="Y134" s="101">
        <f t="shared" ca="1" si="147"/>
        <v>0.44399999999999995</v>
      </c>
      <c r="Z134" s="101">
        <f t="shared" ca="1" si="147"/>
        <v>0.44399999999999995</v>
      </c>
      <c r="AA134" s="91"/>
      <c r="AB134" s="141" t="s">
        <v>654</v>
      </c>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row>
    <row r="135" spans="1:83" ht="15" customHeight="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14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row>
    <row r="136" spans="1:83" ht="15" customHeight="1">
      <c r="A136" s="92" t="s">
        <v>660</v>
      </c>
      <c r="B136" s="91"/>
      <c r="C136" s="91"/>
      <c r="D136" s="91"/>
      <c r="E136" s="91"/>
      <c r="F136" s="91"/>
      <c r="G136" s="91"/>
      <c r="H136" s="91"/>
      <c r="I136" s="91"/>
      <c r="J136" s="91"/>
      <c r="K136" s="91"/>
      <c r="L136" s="91">
        <f t="shared" ref="L136:Z136" si="148">+L68/1000</f>
        <v>0</v>
      </c>
      <c r="M136" s="91">
        <f t="shared" si="148"/>
        <v>5.3</v>
      </c>
      <c r="N136" s="91">
        <f t="shared" si="148"/>
        <v>10.199999999999999</v>
      </c>
      <c r="O136" s="149">
        <f>+O68/1000</f>
        <v>14</v>
      </c>
      <c r="P136" s="149">
        <f t="shared" si="148"/>
        <v>23.3</v>
      </c>
      <c r="Q136" s="149">
        <f t="shared" si="148"/>
        <v>30</v>
      </c>
      <c r="R136" s="149">
        <f t="shared" si="148"/>
        <v>35</v>
      </c>
      <c r="S136" s="149">
        <f t="shared" si="148"/>
        <v>41.383206507478356</v>
      </c>
      <c r="T136" s="149">
        <f t="shared" si="148"/>
        <v>45.847696667541321</v>
      </c>
      <c r="U136" s="149">
        <f t="shared" si="148"/>
        <v>50.117053938598787</v>
      </c>
      <c r="V136" s="149">
        <f t="shared" si="148"/>
        <v>54.197297840146938</v>
      </c>
      <c r="W136" s="149">
        <f t="shared" si="148"/>
        <v>58.094285164057716</v>
      </c>
      <c r="X136" s="149">
        <f t="shared" si="148"/>
        <v>61.813714075876014</v>
      </c>
      <c r="Y136" s="149">
        <f t="shared" si="148"/>
        <v>65.361128117155957</v>
      </c>
      <c r="Z136" s="149">
        <f t="shared" si="148"/>
        <v>68.741920111154357</v>
      </c>
      <c r="AA136" s="91"/>
      <c r="AB136" s="141" t="s">
        <v>660</v>
      </c>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row>
    <row r="137" spans="1:83" ht="15" customHeight="1">
      <c r="A137" s="92" t="s">
        <v>661</v>
      </c>
      <c r="B137" s="91"/>
      <c r="C137" s="91"/>
      <c r="D137" s="91"/>
      <c r="E137" s="91"/>
      <c r="F137" s="91"/>
      <c r="G137" s="91"/>
      <c r="H137" s="91"/>
      <c r="I137" s="91"/>
      <c r="J137" s="91"/>
      <c r="K137" s="91"/>
      <c r="L137" s="97">
        <f>+L136*L138</f>
        <v>0</v>
      </c>
      <c r="M137" s="97">
        <f>+M136*M138</f>
        <v>2.3849999999999998</v>
      </c>
      <c r="N137" s="97">
        <f>+N136*N138</f>
        <v>4.59</v>
      </c>
      <c r="O137" s="97">
        <f>+O136*O138</f>
        <v>7</v>
      </c>
      <c r="P137" s="97">
        <f t="shared" ref="P137:Z137" si="149">+P136*P138</f>
        <v>12.815000000000001</v>
      </c>
      <c r="Q137" s="97">
        <f t="shared" si="149"/>
        <v>16.5</v>
      </c>
      <c r="R137" s="97">
        <f t="shared" si="149"/>
        <v>19.25</v>
      </c>
      <c r="S137" s="97">
        <f t="shared" si="149"/>
        <v>22.760763579113096</v>
      </c>
      <c r="T137" s="97">
        <f t="shared" si="149"/>
        <v>25.216233167147728</v>
      </c>
      <c r="U137" s="97">
        <f t="shared" si="149"/>
        <v>27.564379666229335</v>
      </c>
      <c r="V137" s="97">
        <f t="shared" si="149"/>
        <v>29.808513812080818</v>
      </c>
      <c r="W137" s="97">
        <f t="shared" si="149"/>
        <v>31.951856840231745</v>
      </c>
      <c r="X137" s="97">
        <f t="shared" si="149"/>
        <v>33.997542741731813</v>
      </c>
      <c r="Y137" s="97">
        <f t="shared" si="149"/>
        <v>35.948620464435777</v>
      </c>
      <c r="Z137" s="97">
        <f t="shared" si="149"/>
        <v>37.808056061134899</v>
      </c>
      <c r="AA137" s="91"/>
      <c r="AB137" s="141" t="s">
        <v>661</v>
      </c>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row>
    <row r="138" spans="1:83" ht="15" customHeight="1">
      <c r="A138" s="92" t="s">
        <v>662</v>
      </c>
      <c r="B138" s="91"/>
      <c r="C138" s="91"/>
      <c r="D138" s="91"/>
      <c r="E138" s="91"/>
      <c r="F138" s="91"/>
      <c r="G138" s="91"/>
      <c r="H138" s="91"/>
      <c r="I138" s="91"/>
      <c r="J138" s="91"/>
      <c r="K138" s="91"/>
      <c r="L138" s="104">
        <v>0.45</v>
      </c>
      <c r="M138" s="104">
        <v>0.45</v>
      </c>
      <c r="N138" s="104">
        <v>0.45</v>
      </c>
      <c r="O138" s="104">
        <v>0.5</v>
      </c>
      <c r="P138" s="104">
        <v>0.55000000000000004</v>
      </c>
      <c r="Q138" s="104">
        <v>0.55000000000000004</v>
      </c>
      <c r="R138" s="104">
        <v>0.55000000000000004</v>
      </c>
      <c r="S138" s="104">
        <v>0.55000000000000004</v>
      </c>
      <c r="T138" s="104">
        <v>0.55000000000000004</v>
      </c>
      <c r="U138" s="104">
        <v>0.55000000000000004</v>
      </c>
      <c r="V138" s="104">
        <v>0.55000000000000004</v>
      </c>
      <c r="W138" s="104">
        <v>0.55000000000000004</v>
      </c>
      <c r="X138" s="104">
        <v>0.55000000000000004</v>
      </c>
      <c r="Y138" s="104">
        <v>0.55000000000000004</v>
      </c>
      <c r="Z138" s="104">
        <v>0.55000000000000004</v>
      </c>
      <c r="AA138" s="91"/>
      <c r="AB138" s="141" t="s">
        <v>662</v>
      </c>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150"/>
      <c r="BY138" s="91"/>
      <c r="BZ138" s="91"/>
      <c r="CA138" s="91"/>
      <c r="CB138" s="91"/>
      <c r="CC138" s="91"/>
    </row>
    <row r="139" spans="1:83" ht="15" customHeight="1">
      <c r="A139" s="92" t="s">
        <v>663</v>
      </c>
      <c r="B139" s="91"/>
      <c r="C139" s="91"/>
      <c r="D139" s="91"/>
      <c r="E139" s="91"/>
      <c r="F139" s="91"/>
      <c r="G139" s="91"/>
      <c r="H139" s="91"/>
      <c r="I139" s="91"/>
      <c r="J139" s="91"/>
      <c r="K139" s="91"/>
      <c r="L139" s="145">
        <f>+L136-L137</f>
        <v>0</v>
      </c>
      <c r="M139" s="145">
        <f t="shared" ref="M139:Z139" si="150">+M136-M137</f>
        <v>2.915</v>
      </c>
      <c r="N139" s="145">
        <f t="shared" si="150"/>
        <v>5.6099999999999994</v>
      </c>
      <c r="O139" s="97">
        <f>+O136-O137</f>
        <v>7</v>
      </c>
      <c r="P139" s="97">
        <f t="shared" si="150"/>
        <v>10.484999999999999</v>
      </c>
      <c r="Q139" s="97">
        <f t="shared" si="150"/>
        <v>13.5</v>
      </c>
      <c r="R139" s="97">
        <f t="shared" si="150"/>
        <v>15.75</v>
      </c>
      <c r="S139" s="97">
        <f t="shared" si="150"/>
        <v>18.62244292836526</v>
      </c>
      <c r="T139" s="97">
        <f t="shared" si="150"/>
        <v>20.631463500393593</v>
      </c>
      <c r="U139" s="97">
        <f t="shared" si="150"/>
        <v>22.552674272369451</v>
      </c>
      <c r="V139" s="97">
        <f t="shared" si="150"/>
        <v>24.388784028066119</v>
      </c>
      <c r="W139" s="97">
        <f t="shared" si="150"/>
        <v>26.142428323825971</v>
      </c>
      <c r="X139" s="97">
        <f t="shared" si="150"/>
        <v>27.816171334144201</v>
      </c>
      <c r="Y139" s="97">
        <f t="shared" si="150"/>
        <v>29.41250765272018</v>
      </c>
      <c r="Z139" s="97">
        <f t="shared" si="150"/>
        <v>30.933864050019459</v>
      </c>
      <c r="AA139" s="91"/>
      <c r="AB139" s="141" t="s">
        <v>663</v>
      </c>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row>
    <row r="140" spans="1:83" ht="15" customHeight="1">
      <c r="A140" s="92" t="s">
        <v>664</v>
      </c>
      <c r="B140" s="91"/>
      <c r="C140" s="91"/>
      <c r="D140" s="91"/>
      <c r="E140" s="91"/>
      <c r="F140" s="91"/>
      <c r="G140" s="91"/>
      <c r="H140" s="91"/>
      <c r="I140" s="91"/>
      <c r="J140" s="91"/>
      <c r="K140" s="91"/>
      <c r="L140" s="107">
        <f>+L137-L141-L142</f>
        <v>17.099999999999994</v>
      </c>
      <c r="M140" s="107">
        <f>+M137-M141-M142</f>
        <v>49.026219999999995</v>
      </c>
      <c r="N140" s="107">
        <f>+N137-N141-N142</f>
        <v>47.326931125000009</v>
      </c>
      <c r="O140" s="107">
        <f>+O137-O141-O142</f>
        <v>35.321965599999999</v>
      </c>
      <c r="P140" s="151">
        <v>30</v>
      </c>
      <c r="Q140" s="151">
        <f t="shared" ref="Q140:Z140" si="151">+P140*1.01</f>
        <v>30.3</v>
      </c>
      <c r="R140" s="151">
        <f t="shared" si="151"/>
        <v>30.603000000000002</v>
      </c>
      <c r="S140" s="151">
        <f t="shared" si="151"/>
        <v>30.909030000000001</v>
      </c>
      <c r="T140" s="151">
        <f t="shared" si="151"/>
        <v>31.218120300000002</v>
      </c>
      <c r="U140" s="151">
        <f t="shared" si="151"/>
        <v>31.530301503000004</v>
      </c>
      <c r="V140" s="151">
        <f t="shared" si="151"/>
        <v>31.845604518030004</v>
      </c>
      <c r="W140" s="151">
        <f t="shared" si="151"/>
        <v>32.164060563210306</v>
      </c>
      <c r="X140" s="151">
        <f t="shared" si="151"/>
        <v>32.485701168842411</v>
      </c>
      <c r="Y140" s="151">
        <f t="shared" si="151"/>
        <v>32.810558180530833</v>
      </c>
      <c r="Z140" s="151">
        <f t="shared" si="151"/>
        <v>33.138663762336144</v>
      </c>
      <c r="AA140" s="91"/>
      <c r="AB140" s="141" t="s">
        <v>664</v>
      </c>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row>
    <row r="141" spans="1:83" ht="15" customHeight="1">
      <c r="A141" s="92" t="s">
        <v>665</v>
      </c>
      <c r="B141" s="91"/>
      <c r="C141" s="91"/>
      <c r="D141" s="91"/>
      <c r="E141" s="91"/>
      <c r="F141" s="91"/>
      <c r="G141" s="91"/>
      <c r="H141" s="91"/>
      <c r="I141" s="91"/>
      <c r="J141" s="91"/>
      <c r="K141" s="91"/>
      <c r="L141" s="151">
        <f>+L38*75*Forex!G38/1000</f>
        <v>0</v>
      </c>
      <c r="M141" s="152">
        <f>+(M38*75*Forex!H38)/1000000</f>
        <v>1.45878</v>
      </c>
      <c r="N141" s="152">
        <f>+(N38*75*Forex!I38)/1000000</f>
        <v>1.163068875</v>
      </c>
      <c r="O141" s="152">
        <f>+(O38*75*Forex!J38)/1000000</f>
        <v>1.6780343999999998</v>
      </c>
      <c r="P141" s="152">
        <f>+(P38*75*Forex!K38)/1000000</f>
        <v>1.0594125000000001</v>
      </c>
      <c r="Q141" s="152">
        <f>+(Q38*75*Forex!L38)/1000000</f>
        <v>1.7344786499999993</v>
      </c>
      <c r="R141" s="152">
        <f>+(R38*75*Forex!M38)/1000000</f>
        <v>2.3697420000000009</v>
      </c>
      <c r="S141" s="152">
        <f>+(S38*75*Forex!N38)/1000000</f>
        <v>1.4448825000000001</v>
      </c>
      <c r="T141" s="152">
        <f>+(T38*75*Forex!O38)/1000000</f>
        <v>1.58175</v>
      </c>
      <c r="U141" s="152">
        <f>+(U38*75*Forex!P38)/1000000</f>
        <v>1.782</v>
      </c>
      <c r="V141" s="152">
        <f>+(V38*75*Forex!Q38)/1000000</f>
        <v>1.71225</v>
      </c>
      <c r="W141" s="152">
        <f>+(W38*75*Forex!R38)/1000000</f>
        <v>1.9642500000000001</v>
      </c>
      <c r="X141" s="152">
        <f>+(X38*75*Forex!S38)/1000000</f>
        <v>1.79775</v>
      </c>
      <c r="Y141" s="152">
        <f>+(Y38*75*Forex!T38)/1000000</f>
        <v>1.8247500000000001</v>
      </c>
      <c r="Z141" s="152">
        <f>+(Z38*75*Forex!U38)/1000000</f>
        <v>1.8247500000000001</v>
      </c>
      <c r="AA141" s="91"/>
      <c r="AB141" s="141" t="s">
        <v>665</v>
      </c>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row>
    <row r="142" spans="1:83" ht="15" customHeight="1">
      <c r="A142" s="92" t="s">
        <v>666</v>
      </c>
      <c r="B142" s="91"/>
      <c r="C142" s="91"/>
      <c r="D142" s="91"/>
      <c r="E142" s="91"/>
      <c r="F142" s="91"/>
      <c r="G142" s="91"/>
      <c r="H142" s="91"/>
      <c r="I142" s="91"/>
      <c r="J142" s="91"/>
      <c r="K142" s="91"/>
      <c r="L142" s="96">
        <f>165-182.1</f>
        <v>-17.099999999999994</v>
      </c>
      <c r="M142" s="96">
        <f>153-201.1</f>
        <v>-48.099999999999994</v>
      </c>
      <c r="N142" s="96">
        <f>175-218.9</f>
        <v>-43.900000000000006</v>
      </c>
      <c r="O142" s="96">
        <v>-30</v>
      </c>
      <c r="P142" s="149">
        <f t="shared" ref="P142:Z142" si="152">+P137-P140-P141</f>
        <v>-18.244412499999999</v>
      </c>
      <c r="Q142" s="149">
        <f t="shared" si="152"/>
        <v>-15.53447865</v>
      </c>
      <c r="R142" s="149">
        <f t="shared" si="152"/>
        <v>-13.722742000000002</v>
      </c>
      <c r="S142" s="149">
        <f t="shared" si="152"/>
        <v>-9.5931489208869056</v>
      </c>
      <c r="T142" s="149">
        <f t="shared" si="152"/>
        <v>-7.5836371328522745</v>
      </c>
      <c r="U142" s="149">
        <f t="shared" si="152"/>
        <v>-5.7479218367706686</v>
      </c>
      <c r="V142" s="149">
        <f t="shared" si="152"/>
        <v>-3.7493407059491863</v>
      </c>
      <c r="W142" s="149">
        <f t="shared" si="152"/>
        <v>-2.176453722978561</v>
      </c>
      <c r="X142" s="149">
        <f t="shared" si="152"/>
        <v>-0.28590842711059783</v>
      </c>
      <c r="Y142" s="149">
        <f t="shared" si="152"/>
        <v>1.3133122839049436</v>
      </c>
      <c r="Z142" s="149">
        <f t="shared" si="152"/>
        <v>2.844642298798755</v>
      </c>
      <c r="AA142" s="91"/>
      <c r="AB142" s="141" t="s">
        <v>666</v>
      </c>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row>
    <row r="143" spans="1:83" ht="15" customHeight="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14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row>
    <row r="144" spans="1:83" ht="15" customHeight="1">
      <c r="A144" s="92" t="s">
        <v>667</v>
      </c>
      <c r="B144" s="91"/>
      <c r="C144" s="91"/>
      <c r="D144" s="91"/>
      <c r="E144" s="91"/>
      <c r="F144" s="91"/>
      <c r="G144" s="91"/>
      <c r="H144" s="91"/>
      <c r="I144" s="91"/>
      <c r="J144" s="91"/>
      <c r="K144" s="91"/>
      <c r="L144" s="91"/>
      <c r="M144" s="91"/>
      <c r="N144" s="91"/>
      <c r="O144" s="91"/>
      <c r="P144" s="91"/>
      <c r="Q144" s="126"/>
      <c r="R144" s="91"/>
      <c r="S144" s="91"/>
      <c r="T144" s="91"/>
      <c r="U144" s="91"/>
      <c r="V144" s="91"/>
      <c r="W144" s="91"/>
      <c r="X144" s="91"/>
      <c r="Y144" s="91"/>
      <c r="Z144" s="91"/>
      <c r="AA144" s="91"/>
      <c r="AB144" s="14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row>
    <row r="145" spans="1:83" ht="15" customHeight="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14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row>
    <row r="146" spans="1:83" ht="15" customHeight="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14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row>
    <row r="147" spans="1:83" ht="15" customHeight="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14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row>
    <row r="148" spans="1:83" ht="15" customHeight="1">
      <c r="A148" s="93" t="str">
        <f>CONCATENATE(A$1," Income statement")</f>
        <v>Chile (VTR) Income statement</v>
      </c>
      <c r="B148" s="94">
        <f t="shared" ref="B148:Z148" si="153">+B$1</f>
        <v>2001</v>
      </c>
      <c r="C148" s="94">
        <f t="shared" si="153"/>
        <v>2002</v>
      </c>
      <c r="D148" s="94">
        <f t="shared" si="153"/>
        <v>2003</v>
      </c>
      <c r="E148" s="94">
        <f t="shared" si="153"/>
        <v>2004</v>
      </c>
      <c r="F148" s="94">
        <f t="shared" si="153"/>
        <v>2005</v>
      </c>
      <c r="G148" s="94">
        <f t="shared" si="153"/>
        <v>2006</v>
      </c>
      <c r="H148" s="94">
        <f t="shared" si="153"/>
        <v>2007</v>
      </c>
      <c r="I148" s="94">
        <f t="shared" si="153"/>
        <v>2008</v>
      </c>
      <c r="J148" s="94">
        <f t="shared" si="153"/>
        <v>2009</v>
      </c>
      <c r="K148" s="94">
        <f t="shared" si="153"/>
        <v>2010</v>
      </c>
      <c r="L148" s="94">
        <f t="shared" si="153"/>
        <v>2011</v>
      </c>
      <c r="M148" s="94">
        <f t="shared" si="153"/>
        <v>2012</v>
      </c>
      <c r="N148" s="94">
        <f t="shared" si="153"/>
        <v>2013</v>
      </c>
      <c r="O148" s="94">
        <f t="shared" si="153"/>
        <v>2014</v>
      </c>
      <c r="P148" s="94">
        <f t="shared" si="153"/>
        <v>2015</v>
      </c>
      <c r="Q148" s="94">
        <f t="shared" si="153"/>
        <v>2016</v>
      </c>
      <c r="R148" s="94">
        <f t="shared" si="153"/>
        <v>2017</v>
      </c>
      <c r="S148" s="94" t="str">
        <f t="shared" si="153"/>
        <v>2018E</v>
      </c>
      <c r="T148" s="94" t="str">
        <f t="shared" si="153"/>
        <v>2019E</v>
      </c>
      <c r="U148" s="94" t="str">
        <f t="shared" si="153"/>
        <v>2020E</v>
      </c>
      <c r="V148" s="94" t="str">
        <f t="shared" si="153"/>
        <v>2021E</v>
      </c>
      <c r="W148" s="94" t="str">
        <f t="shared" si="153"/>
        <v>2022E</v>
      </c>
      <c r="X148" s="94" t="str">
        <f t="shared" si="153"/>
        <v>2023E</v>
      </c>
      <c r="Y148" s="94" t="str">
        <f t="shared" si="153"/>
        <v>2024E</v>
      </c>
      <c r="Z148" s="94" t="str">
        <f t="shared" si="153"/>
        <v>2025E</v>
      </c>
      <c r="AA148" s="91"/>
      <c r="AB148" s="14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row>
    <row r="149" spans="1:83" ht="15" customHeight="1">
      <c r="A149" s="92" t="s">
        <v>15</v>
      </c>
      <c r="B149" s="97"/>
      <c r="C149" s="97"/>
      <c r="D149" s="97"/>
      <c r="E149" s="97"/>
      <c r="F149" s="97"/>
      <c r="G149" s="97"/>
      <c r="H149" s="97"/>
      <c r="I149" s="97"/>
      <c r="J149" s="97"/>
      <c r="K149" s="97"/>
      <c r="L149" s="97"/>
      <c r="M149" s="97">
        <f>M113</f>
        <v>457.1</v>
      </c>
      <c r="N149" s="97">
        <f>N113</f>
        <v>491</v>
      </c>
      <c r="O149" s="97">
        <f>O113</f>
        <v>512.4</v>
      </c>
      <c r="P149" s="97">
        <f>P113</f>
        <v>547.5</v>
      </c>
      <c r="Q149" s="97">
        <f>Q113</f>
        <v>580.6</v>
      </c>
      <c r="R149" s="97">
        <f t="shared" ref="R149:Z149" si="154">R113</f>
        <v>617.6</v>
      </c>
      <c r="S149" s="97">
        <f t="shared" si="154"/>
        <v>649.2980869999999</v>
      </c>
      <c r="T149" s="97">
        <f t="shared" ca="1" si="154"/>
        <v>681.50913231876928</v>
      </c>
      <c r="U149" s="97">
        <f t="shared" ca="1" si="154"/>
        <v>712.25617993094431</v>
      </c>
      <c r="V149" s="97">
        <f t="shared" ca="1" si="154"/>
        <v>743.92950525180675</v>
      </c>
      <c r="W149" s="97">
        <f t="shared" ca="1" si="154"/>
        <v>776.58294773223349</v>
      </c>
      <c r="X149" s="97">
        <f t="shared" ca="1" si="154"/>
        <v>810.27230846505859</v>
      </c>
      <c r="Y149" s="97">
        <f t="shared" ca="1" si="154"/>
        <v>845.05545057967424</v>
      </c>
      <c r="Z149" s="97">
        <f t="shared" ca="1" si="154"/>
        <v>880.9924040398364</v>
      </c>
      <c r="AA149" s="91"/>
      <c r="AB149" s="14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row>
    <row r="150" spans="1:83" ht="15" customHeight="1">
      <c r="A150" s="92" t="s">
        <v>649</v>
      </c>
      <c r="B150" s="153"/>
      <c r="C150" s="153"/>
      <c r="D150" s="153"/>
      <c r="E150" s="153"/>
      <c r="F150" s="153"/>
      <c r="G150" s="153"/>
      <c r="H150" s="153"/>
      <c r="I150" s="153"/>
      <c r="J150" s="153"/>
      <c r="K150" s="153"/>
      <c r="L150" s="153"/>
      <c r="M150" s="153">
        <f>-M115</f>
        <v>-215.2</v>
      </c>
      <c r="N150" s="153">
        <f>-N115</f>
        <v>-231.7</v>
      </c>
      <c r="O150" s="153">
        <f>-O115</f>
        <v>-225.3</v>
      </c>
      <c r="P150" s="153">
        <f>-P115</f>
        <v>-241.1</v>
      </c>
      <c r="Q150" s="153">
        <f>-Q115</f>
        <v>-256.27993803891655</v>
      </c>
      <c r="R150" s="153">
        <f t="shared" ref="R150:Z150" si="155">-R115</f>
        <v>-261.89850000000001</v>
      </c>
      <c r="S150" s="153">
        <f t="shared" si="155"/>
        <v>-273.94669273522436</v>
      </c>
      <c r="T150" s="153">
        <f t="shared" ca="1" si="155"/>
        <v>-288.88058934521183</v>
      </c>
      <c r="U150" s="153">
        <f t="shared" ca="1" si="155"/>
        <v>-302.63752456713166</v>
      </c>
      <c r="V150" s="153">
        <f t="shared" ca="1" si="155"/>
        <v>-316.83523997060996</v>
      </c>
      <c r="W150" s="153">
        <f t="shared" ca="1" si="155"/>
        <v>-331.5001099153007</v>
      </c>
      <c r="X150" s="153">
        <f t="shared" ca="1" si="155"/>
        <v>-346.65953254393605</v>
      </c>
      <c r="Y150" s="153">
        <f t="shared" ca="1" si="155"/>
        <v>-362.34198334421552</v>
      </c>
      <c r="Z150" s="153">
        <f t="shared" ca="1" si="155"/>
        <v>-378.57707117149539</v>
      </c>
      <c r="AA150" s="91"/>
      <c r="AB150" s="14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row>
    <row r="151" spans="1:83" ht="15" customHeight="1">
      <c r="A151" s="92" t="s">
        <v>650</v>
      </c>
      <c r="B151" s="97"/>
      <c r="C151" s="97"/>
      <c r="D151" s="97"/>
      <c r="E151" s="97"/>
      <c r="F151" s="97"/>
      <c r="G151" s="97"/>
      <c r="H151" s="97"/>
      <c r="I151" s="97"/>
      <c r="J151" s="97"/>
      <c r="K151" s="97"/>
      <c r="L151" s="97"/>
      <c r="M151" s="97">
        <f>M149+M150</f>
        <v>241.90000000000003</v>
      </c>
      <c r="N151" s="97">
        <f>N149+N150</f>
        <v>259.3</v>
      </c>
      <c r="O151" s="97">
        <f>O149+O150</f>
        <v>287.09999999999997</v>
      </c>
      <c r="P151" s="97">
        <f>P149+P150</f>
        <v>306.39999999999998</v>
      </c>
      <c r="Q151" s="97">
        <f>Q149+Q150</f>
        <v>324.32006196108347</v>
      </c>
      <c r="R151" s="97">
        <f t="shared" ref="R151:Z151" si="156">R149+R150</f>
        <v>355.70150000000001</v>
      </c>
      <c r="S151" s="97">
        <f t="shared" si="156"/>
        <v>375.35139426477554</v>
      </c>
      <c r="T151" s="97">
        <f t="shared" ca="1" si="156"/>
        <v>392.62854297355744</v>
      </c>
      <c r="U151" s="97">
        <f t="shared" ca="1" si="156"/>
        <v>409.61865536381265</v>
      </c>
      <c r="V151" s="97">
        <f t="shared" ca="1" si="156"/>
        <v>427.09426528119678</v>
      </c>
      <c r="W151" s="97">
        <f t="shared" ca="1" si="156"/>
        <v>445.08283781693279</v>
      </c>
      <c r="X151" s="97">
        <f t="shared" ca="1" si="156"/>
        <v>463.61277592112253</v>
      </c>
      <c r="Y151" s="97">
        <f t="shared" ca="1" si="156"/>
        <v>482.71346723545872</v>
      </c>
      <c r="Z151" s="97">
        <f t="shared" ca="1" si="156"/>
        <v>502.41533286834101</v>
      </c>
      <c r="AA151" s="91"/>
      <c r="AB151" s="14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row>
    <row r="152" spans="1:83" ht="15" customHeight="1">
      <c r="A152" s="92" t="s">
        <v>652</v>
      </c>
      <c r="B152" s="97"/>
      <c r="C152" s="97"/>
      <c r="D152" s="97"/>
      <c r="E152" s="97"/>
      <c r="F152" s="97"/>
      <c r="G152" s="97"/>
      <c r="H152" s="97"/>
      <c r="I152" s="97"/>
      <c r="J152" s="97"/>
      <c r="K152" s="97"/>
      <c r="L152" s="97"/>
      <c r="M152" s="97">
        <f>-M118</f>
        <v>-89.5</v>
      </c>
      <c r="N152" s="97">
        <f>-N118</f>
        <v>-84.4</v>
      </c>
      <c r="O152" s="97">
        <f>-O118</f>
        <v>-88.2</v>
      </c>
      <c r="P152" s="97">
        <f>-P118</f>
        <v>-92.100000000000009</v>
      </c>
      <c r="Q152" s="97">
        <f t="shared" ref="Q152:Z152" si="157">-Q118</f>
        <v>-95.220061961083474</v>
      </c>
      <c r="R152" s="97">
        <f t="shared" si="157"/>
        <v>-107.50150000000002</v>
      </c>
      <c r="S152" s="97">
        <f t="shared" si="157"/>
        <v>-114.42242136649043</v>
      </c>
      <c r="T152" s="97">
        <f t="shared" ca="1" si="157"/>
        <v>-117.97850267726454</v>
      </c>
      <c r="U152" s="97">
        <f t="shared" ca="1" si="157"/>
        <v>-121.37680525998195</v>
      </c>
      <c r="V152" s="97">
        <f t="shared" ca="1" si="157"/>
        <v>-124.6025058963691</v>
      </c>
      <c r="W152" s="97">
        <f t="shared" ca="1" si="157"/>
        <v>-128.25032535964132</v>
      </c>
      <c r="X152" s="97">
        <f t="shared" ca="1" si="157"/>
        <v>-131.58306843943615</v>
      </c>
      <c r="Y152" s="97">
        <f t="shared" ca="1" si="157"/>
        <v>-135.21587577819568</v>
      </c>
      <c r="Z152" s="97">
        <f t="shared" ca="1" si="157"/>
        <v>-138.93147570520745</v>
      </c>
      <c r="AA152" s="91"/>
      <c r="AB152" s="14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row>
    <row r="153" spans="1:83" ht="15" customHeight="1">
      <c r="A153" s="92" t="s">
        <v>653</v>
      </c>
      <c r="B153" s="97"/>
      <c r="C153" s="97"/>
      <c r="D153" s="97"/>
      <c r="E153" s="97"/>
      <c r="F153" s="97"/>
      <c r="G153" s="97"/>
      <c r="H153" s="97"/>
      <c r="I153" s="97"/>
      <c r="J153" s="97"/>
      <c r="K153" s="97"/>
      <c r="L153" s="97"/>
      <c r="M153" s="97">
        <f>M151+M152</f>
        <v>152.40000000000003</v>
      </c>
      <c r="N153" s="97">
        <f>N151+N152</f>
        <v>174.9</v>
      </c>
      <c r="O153" s="97">
        <f>O151+O152</f>
        <v>198.89999999999998</v>
      </c>
      <c r="P153" s="97">
        <f>P151+P152</f>
        <v>214.29999999999995</v>
      </c>
      <c r="Q153" s="97">
        <f>Q151+Q152</f>
        <v>229.1</v>
      </c>
      <c r="R153" s="97">
        <f t="shared" ref="R153:Z153" si="158">R151+R152</f>
        <v>248.2</v>
      </c>
      <c r="S153" s="97">
        <f t="shared" si="158"/>
        <v>260.92897289828511</v>
      </c>
      <c r="T153" s="97">
        <f t="shared" ca="1" si="158"/>
        <v>274.6500402962929</v>
      </c>
      <c r="U153" s="97">
        <f t="shared" ca="1" si="158"/>
        <v>288.2418501038307</v>
      </c>
      <c r="V153" s="97">
        <f t="shared" ca="1" si="158"/>
        <v>302.49175938482767</v>
      </c>
      <c r="W153" s="97">
        <f t="shared" ca="1" si="158"/>
        <v>316.8325124572915</v>
      </c>
      <c r="X153" s="97">
        <f t="shared" ca="1" si="158"/>
        <v>332.02970748168639</v>
      </c>
      <c r="Y153" s="97">
        <f t="shared" ca="1" si="158"/>
        <v>347.49759145726307</v>
      </c>
      <c r="Z153" s="97">
        <f t="shared" ca="1" si="158"/>
        <v>363.48385716313356</v>
      </c>
      <c r="AA153" s="91"/>
      <c r="AB153" s="14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row>
    <row r="154" spans="1:83" ht="15" customHeight="1">
      <c r="A154" s="92" t="s">
        <v>56</v>
      </c>
      <c r="B154" s="96"/>
      <c r="C154" s="96"/>
      <c r="D154" s="96"/>
      <c r="E154" s="96"/>
      <c r="F154" s="96"/>
      <c r="G154" s="96"/>
      <c r="H154" s="96"/>
      <c r="I154" s="96"/>
      <c r="J154" s="96"/>
      <c r="K154" s="96"/>
      <c r="L154" s="96"/>
      <c r="M154" s="96">
        <v>-93.1</v>
      </c>
      <c r="N154" s="96">
        <v>-142.9</v>
      </c>
      <c r="O154" s="96">
        <v>-87.2</v>
      </c>
      <c r="P154" s="96">
        <v>-92.6</v>
      </c>
      <c r="Q154" s="100">
        <f t="shared" ref="Q154:Z155" si="159">P154</f>
        <v>-92.6</v>
      </c>
      <c r="R154" s="100">
        <f t="shared" si="159"/>
        <v>-92.6</v>
      </c>
      <c r="S154" s="100">
        <f t="shared" si="159"/>
        <v>-92.6</v>
      </c>
      <c r="T154" s="100">
        <f t="shared" si="159"/>
        <v>-92.6</v>
      </c>
      <c r="U154" s="100">
        <f t="shared" si="159"/>
        <v>-92.6</v>
      </c>
      <c r="V154" s="100">
        <f t="shared" si="159"/>
        <v>-92.6</v>
      </c>
      <c r="W154" s="100">
        <f t="shared" si="159"/>
        <v>-92.6</v>
      </c>
      <c r="X154" s="100">
        <f t="shared" si="159"/>
        <v>-92.6</v>
      </c>
      <c r="Y154" s="100">
        <f t="shared" si="159"/>
        <v>-92.6</v>
      </c>
      <c r="Z154" s="100">
        <f t="shared" si="159"/>
        <v>-92.6</v>
      </c>
      <c r="AA154" s="91"/>
      <c r="AB154" s="14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row>
    <row r="155" spans="1:83" ht="15" customHeight="1">
      <c r="A155" s="92" t="s">
        <v>4</v>
      </c>
      <c r="B155" s="154"/>
      <c r="C155" s="154"/>
      <c r="D155" s="154"/>
      <c r="E155" s="154"/>
      <c r="F155" s="154"/>
      <c r="G155" s="154"/>
      <c r="H155" s="154"/>
      <c r="I155" s="154"/>
      <c r="J155" s="154"/>
      <c r="K155" s="154"/>
      <c r="L155" s="154"/>
      <c r="M155" s="154">
        <f>-416.4-M154-M152-M150</f>
        <v>-18.599999999999966</v>
      </c>
      <c r="N155" s="154">
        <f>-416.4-N154-N152-N150</f>
        <v>42.599999999999994</v>
      </c>
      <c r="O155" s="154">
        <f>-416.4-O154-O152-O150</f>
        <v>-15.699999999999989</v>
      </c>
      <c r="P155" s="154">
        <f>-438-P154-P152-P150</f>
        <v>-12.19999999999996</v>
      </c>
      <c r="Q155" s="155">
        <f t="shared" si="159"/>
        <v>-12.19999999999996</v>
      </c>
      <c r="R155" s="155">
        <f t="shared" si="159"/>
        <v>-12.19999999999996</v>
      </c>
      <c r="S155" s="155">
        <f t="shared" si="159"/>
        <v>-12.19999999999996</v>
      </c>
      <c r="T155" s="155">
        <f t="shared" si="159"/>
        <v>-12.19999999999996</v>
      </c>
      <c r="U155" s="155">
        <f t="shared" si="159"/>
        <v>-12.19999999999996</v>
      </c>
      <c r="V155" s="155">
        <f t="shared" si="159"/>
        <v>-12.19999999999996</v>
      </c>
      <c r="W155" s="155">
        <f t="shared" si="159"/>
        <v>-12.19999999999996</v>
      </c>
      <c r="X155" s="155">
        <f t="shared" si="159"/>
        <v>-12.19999999999996</v>
      </c>
      <c r="Y155" s="155">
        <f t="shared" si="159"/>
        <v>-12.19999999999996</v>
      </c>
      <c r="Z155" s="155">
        <f t="shared" si="159"/>
        <v>-12.19999999999996</v>
      </c>
      <c r="AA155" s="91"/>
      <c r="AB155" s="14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row>
    <row r="156" spans="1:83" ht="15" customHeight="1">
      <c r="A156" s="92" t="s">
        <v>668</v>
      </c>
      <c r="B156" s="97"/>
      <c r="C156" s="97"/>
      <c r="D156" s="97"/>
      <c r="E156" s="97"/>
      <c r="F156" s="97"/>
      <c r="G156" s="97"/>
      <c r="H156" s="97"/>
      <c r="I156" s="97"/>
      <c r="J156" s="97"/>
      <c r="K156" s="97"/>
      <c r="L156" s="97"/>
      <c r="M156" s="97">
        <f>M153+M154+M155</f>
        <v>40.700000000000074</v>
      </c>
      <c r="N156" s="97">
        <f>N153+N154+N155</f>
        <v>74.599999999999994</v>
      </c>
      <c r="O156" s="97">
        <f>O153+O154+O155</f>
        <v>95.999999999999986</v>
      </c>
      <c r="P156" s="97">
        <f t="shared" ref="P156:Z156" si="160">P153+P154+P155</f>
        <v>109.5</v>
      </c>
      <c r="Q156" s="97">
        <f t="shared" si="160"/>
        <v>124.30000000000004</v>
      </c>
      <c r="R156" s="97">
        <f t="shared" si="160"/>
        <v>143.40000000000003</v>
      </c>
      <c r="S156" s="97">
        <f t="shared" si="160"/>
        <v>156.12897289828516</v>
      </c>
      <c r="T156" s="97">
        <f t="shared" ca="1" si="160"/>
        <v>169.85004029629295</v>
      </c>
      <c r="U156" s="97">
        <f t="shared" ca="1" si="160"/>
        <v>183.44185010383075</v>
      </c>
      <c r="V156" s="97">
        <f t="shared" ca="1" si="160"/>
        <v>197.69175938482772</v>
      </c>
      <c r="W156" s="97">
        <f t="shared" ca="1" si="160"/>
        <v>212.03251245729155</v>
      </c>
      <c r="X156" s="97">
        <f t="shared" ca="1" si="160"/>
        <v>227.22970748168643</v>
      </c>
      <c r="Y156" s="97">
        <f t="shared" ca="1" si="160"/>
        <v>242.69759145726312</v>
      </c>
      <c r="Z156" s="97">
        <f t="shared" ca="1" si="160"/>
        <v>258.68385716313367</v>
      </c>
      <c r="AA156" s="91"/>
      <c r="AB156" s="14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row>
    <row r="157" spans="1:83" ht="15" customHeight="1">
      <c r="A157" s="92" t="s">
        <v>669</v>
      </c>
      <c r="B157" s="96"/>
      <c r="C157" s="96"/>
      <c r="D157" s="96"/>
      <c r="E157" s="96"/>
      <c r="F157" s="96"/>
      <c r="G157" s="96"/>
      <c r="H157" s="96"/>
      <c r="I157" s="96"/>
      <c r="J157" s="96"/>
      <c r="K157" s="96"/>
      <c r="L157" s="96"/>
      <c r="M157" s="96">
        <f>-3.5-10.7</f>
        <v>-14.2</v>
      </c>
      <c r="N157" s="96">
        <f>-6-10.5</f>
        <v>-16.5</v>
      </c>
      <c r="O157" s="96">
        <f>-55.8-0.3</f>
        <v>-56.099999999999994</v>
      </c>
      <c r="P157" s="96">
        <v>-70.099999999999994</v>
      </c>
      <c r="Q157" s="97">
        <f t="shared" ref="Q157:Z157" si="161">-Q274</f>
        <v>-102.50295000000001</v>
      </c>
      <c r="R157" s="97">
        <f t="shared" si="161"/>
        <v>-105.9939</v>
      </c>
      <c r="S157" s="97">
        <f t="shared" si="161"/>
        <v>-105.9939</v>
      </c>
      <c r="T157" s="97">
        <f t="shared" si="161"/>
        <v>-105.9939</v>
      </c>
      <c r="U157" s="97">
        <f t="shared" si="161"/>
        <v>-105.9939</v>
      </c>
      <c r="V157" s="97">
        <f t="shared" si="161"/>
        <v>-105.9939</v>
      </c>
      <c r="W157" s="97">
        <f t="shared" si="161"/>
        <v>-105.9939</v>
      </c>
      <c r="X157" s="97">
        <f t="shared" si="161"/>
        <v>-105.9939</v>
      </c>
      <c r="Y157" s="97">
        <f t="shared" si="161"/>
        <v>-63.813899999999997</v>
      </c>
      <c r="Z157" s="97">
        <f t="shared" si="161"/>
        <v>-21.633899999999997</v>
      </c>
      <c r="AA157" s="91"/>
      <c r="AB157" s="14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row>
    <row r="158" spans="1:83" ht="15" customHeight="1">
      <c r="A158" s="92" t="s">
        <v>670</v>
      </c>
      <c r="B158" s="96"/>
      <c r="C158" s="96"/>
      <c r="D158" s="96"/>
      <c r="E158" s="96"/>
      <c r="F158" s="96"/>
      <c r="G158" s="96"/>
      <c r="H158" s="96"/>
      <c r="I158" s="96"/>
      <c r="J158" s="96"/>
      <c r="K158" s="96"/>
      <c r="L158" s="96"/>
      <c r="M158" s="96">
        <v>1.4</v>
      </c>
      <c r="N158" s="96">
        <v>1.3</v>
      </c>
      <c r="O158" s="96">
        <v>1.9</v>
      </c>
      <c r="P158" s="96">
        <v>1.9</v>
      </c>
      <c r="Q158" s="97">
        <f t="shared" ref="Q158:Z158" si="162">P227*Q167</f>
        <v>3.3001934235976784</v>
      </c>
      <c r="R158" s="97">
        <f t="shared" si="162"/>
        <v>3.0760154738878138</v>
      </c>
      <c r="S158" s="97">
        <f t="shared" si="162"/>
        <v>-1.1283247388781452</v>
      </c>
      <c r="T158" s="97">
        <f t="shared" si="162"/>
        <v>-2.6522701646471631</v>
      </c>
      <c r="U158" s="97">
        <f t="shared" ca="1" si="162"/>
        <v>-3.9688180226809284</v>
      </c>
      <c r="V158" s="97">
        <f t="shared" ca="1" si="162"/>
        <v>-4.4520172653853951</v>
      </c>
      <c r="W158" s="97">
        <f t="shared" ca="1" si="162"/>
        <v>-4.5587546884748997</v>
      </c>
      <c r="X158" s="97">
        <f t="shared" ca="1" si="162"/>
        <v>-4.5902929919928726</v>
      </c>
      <c r="Y158" s="97">
        <f t="shared" ca="1" si="162"/>
        <v>-4.4574680253745589</v>
      </c>
      <c r="Z158" s="97">
        <f t="shared" ca="1" si="162"/>
        <v>-31.119317803447903</v>
      </c>
      <c r="AA158" s="91"/>
      <c r="AB158" s="14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row>
    <row r="159" spans="1:83" ht="15" customHeight="1">
      <c r="A159" s="92" t="s">
        <v>671</v>
      </c>
      <c r="B159" s="97"/>
      <c r="C159" s="97"/>
      <c r="D159" s="97"/>
      <c r="E159" s="97"/>
      <c r="F159" s="97"/>
      <c r="G159" s="97"/>
      <c r="H159" s="97"/>
      <c r="I159" s="97"/>
      <c r="J159" s="97"/>
      <c r="K159" s="97"/>
      <c r="L159" s="97"/>
      <c r="M159" s="97">
        <f>M157+M158</f>
        <v>-12.799999999999999</v>
      </c>
      <c r="N159" s="97">
        <f>N157+N158</f>
        <v>-15.2</v>
      </c>
      <c r="O159" s="97">
        <f>O157+O158</f>
        <v>-54.199999999999996</v>
      </c>
      <c r="P159" s="97">
        <f>P157+P158</f>
        <v>-68.199999999999989</v>
      </c>
      <c r="Q159" s="97">
        <f t="shared" ref="Q159:Z159" si="163">Q157+Q158</f>
        <v>-99.202756576402336</v>
      </c>
      <c r="R159" s="97">
        <f t="shared" si="163"/>
        <v>-102.91788452611219</v>
      </c>
      <c r="S159" s="97">
        <f t="shared" si="163"/>
        <v>-107.12222473887815</v>
      </c>
      <c r="T159" s="97">
        <f t="shared" si="163"/>
        <v>-108.64617016464716</v>
      </c>
      <c r="U159" s="97">
        <f t="shared" ca="1" si="163"/>
        <v>-109.96271802268093</v>
      </c>
      <c r="V159" s="97">
        <f t="shared" ca="1" si="163"/>
        <v>-110.44591726538539</v>
      </c>
      <c r="W159" s="97">
        <f t="shared" ca="1" si="163"/>
        <v>-110.5526546884749</v>
      </c>
      <c r="X159" s="97">
        <f t="shared" ca="1" si="163"/>
        <v>-110.58419299199286</v>
      </c>
      <c r="Y159" s="97">
        <f t="shared" ca="1" si="163"/>
        <v>-68.271368025374557</v>
      </c>
      <c r="Z159" s="97">
        <f t="shared" ca="1" si="163"/>
        <v>-52.753217803447896</v>
      </c>
      <c r="AA159" s="91"/>
      <c r="AB159" s="14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row>
    <row r="160" spans="1:83" ht="15" customHeight="1">
      <c r="A160" s="92" t="s">
        <v>4</v>
      </c>
      <c r="B160" s="154"/>
      <c r="C160" s="154"/>
      <c r="D160" s="154"/>
      <c r="E160" s="154"/>
      <c r="F160" s="154"/>
      <c r="G160" s="154"/>
      <c r="H160" s="154"/>
      <c r="I160" s="154"/>
      <c r="J160" s="154"/>
      <c r="K160" s="154"/>
      <c r="L160" s="154"/>
      <c r="M160" s="154">
        <f>34.3-M156-M159</f>
        <v>6.3999999999999222</v>
      </c>
      <c r="N160" s="154">
        <f>-37-N156-N159</f>
        <v>-96.399999999999991</v>
      </c>
      <c r="O160" s="154">
        <f>14-O156-O159</f>
        <v>-27.79999999999999</v>
      </c>
      <c r="P160" s="154">
        <f>53.9-P156-P159</f>
        <v>12.599999999999987</v>
      </c>
      <c r="Q160" s="155">
        <f t="shared" ref="Q160:Z160" si="164">P160</f>
        <v>12.599999999999987</v>
      </c>
      <c r="R160" s="155">
        <f t="shared" si="164"/>
        <v>12.599999999999987</v>
      </c>
      <c r="S160" s="155">
        <f t="shared" si="164"/>
        <v>12.599999999999987</v>
      </c>
      <c r="T160" s="155">
        <f t="shared" si="164"/>
        <v>12.599999999999987</v>
      </c>
      <c r="U160" s="155">
        <f t="shared" si="164"/>
        <v>12.599999999999987</v>
      </c>
      <c r="V160" s="155">
        <f t="shared" si="164"/>
        <v>12.599999999999987</v>
      </c>
      <c r="W160" s="155">
        <f t="shared" si="164"/>
        <v>12.599999999999987</v>
      </c>
      <c r="X160" s="155">
        <f t="shared" si="164"/>
        <v>12.599999999999987</v>
      </c>
      <c r="Y160" s="155">
        <f t="shared" si="164"/>
        <v>12.599999999999987</v>
      </c>
      <c r="Z160" s="155">
        <f t="shared" si="164"/>
        <v>12.599999999999987</v>
      </c>
      <c r="AA160" s="91"/>
      <c r="AB160" s="14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row>
    <row r="161" spans="1:83" ht="15" customHeight="1">
      <c r="A161" s="92" t="s">
        <v>672</v>
      </c>
      <c r="B161" s="97"/>
      <c r="C161" s="97"/>
      <c r="D161" s="97"/>
      <c r="E161" s="97"/>
      <c r="F161" s="97"/>
      <c r="G161" s="97"/>
      <c r="H161" s="97"/>
      <c r="I161" s="97"/>
      <c r="J161" s="97"/>
      <c r="K161" s="97"/>
      <c r="L161" s="97"/>
      <c r="M161" s="97">
        <f>M156+M159+M160</f>
        <v>34.299999999999997</v>
      </c>
      <c r="N161" s="97">
        <f>N156+N159+N160</f>
        <v>-37</v>
      </c>
      <c r="O161" s="97">
        <f>O156+O159+O160</f>
        <v>14</v>
      </c>
      <c r="P161" s="97">
        <f t="shared" ref="P161:Z161" si="165">P156+P159+P160</f>
        <v>53.9</v>
      </c>
      <c r="Q161" s="97">
        <f t="shared" si="165"/>
        <v>37.697243423597691</v>
      </c>
      <c r="R161" s="97">
        <f t="shared" si="165"/>
        <v>53.082115473887832</v>
      </c>
      <c r="S161" s="97">
        <f t="shared" si="165"/>
        <v>61.606748159406997</v>
      </c>
      <c r="T161" s="97">
        <f t="shared" ca="1" si="165"/>
        <v>73.803870131645766</v>
      </c>
      <c r="U161" s="97">
        <f t="shared" ca="1" si="165"/>
        <v>86.079132081149794</v>
      </c>
      <c r="V161" s="97">
        <f t="shared" ca="1" si="165"/>
        <v>99.845842119442324</v>
      </c>
      <c r="W161" s="97">
        <f t="shared" ca="1" si="165"/>
        <v>114.07985776881662</v>
      </c>
      <c r="X161" s="97">
        <f t="shared" ca="1" si="165"/>
        <v>129.24551448969356</v>
      </c>
      <c r="Y161" s="97">
        <f t="shared" ca="1" si="165"/>
        <v>187.02622343188855</v>
      </c>
      <c r="Z161" s="97">
        <f t="shared" ca="1" si="165"/>
        <v>218.53063935968575</v>
      </c>
      <c r="AA161" s="91"/>
      <c r="AB161" s="14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row>
    <row r="162" spans="1:83" ht="15" customHeight="1">
      <c r="A162" s="92" t="s">
        <v>67</v>
      </c>
      <c r="B162" s="154"/>
      <c r="C162" s="154"/>
      <c r="D162" s="154"/>
      <c r="E162" s="154"/>
      <c r="F162" s="154"/>
      <c r="G162" s="154"/>
      <c r="H162" s="154"/>
      <c r="I162" s="154"/>
      <c r="J162" s="154"/>
      <c r="K162" s="154"/>
      <c r="L162" s="154"/>
      <c r="M162" s="154">
        <v>3.3</v>
      </c>
      <c r="N162" s="154">
        <v>9.1999999999999993</v>
      </c>
      <c r="O162" s="154">
        <v>-5.3</v>
      </c>
      <c r="P162" s="154">
        <v>-29.8</v>
      </c>
      <c r="Q162" s="153">
        <f>IF(Q161&gt;0,Q161*'LiLAC valuation'!H40,0)</f>
        <v>9.0473384216634454</v>
      </c>
      <c r="R162" s="153">
        <f>IF(R161&gt;0,R161*'LiLAC valuation'!I40,0)</f>
        <v>13.535939445841397</v>
      </c>
      <c r="S162" s="153">
        <f>IF(S161&gt;0,S161*'LiLAC valuation'!J40,0)</f>
        <v>16.633822003039889</v>
      </c>
      <c r="T162" s="153">
        <f ca="1">IF(T161&gt;0,T161*'LiLAC valuation'!K40,0)</f>
        <v>25.831354546076017</v>
      </c>
      <c r="U162" s="153">
        <f ca="1">IF(U161&gt;0,U161*'LiLAC valuation'!L40,0)</f>
        <v>30.127696228402424</v>
      </c>
      <c r="V162" s="153">
        <f ca="1">IF(V161&gt;0,V161*'LiLAC valuation'!M40,0)</f>
        <v>34.946044741804812</v>
      </c>
      <c r="W162" s="153">
        <f ca="1">IF(W161&gt;0,W161*'LiLAC valuation'!N40,0)</f>
        <v>39.927950219085815</v>
      </c>
      <c r="X162" s="153">
        <f ca="1">IF(X161&gt;0,X161*'LiLAC valuation'!O40,0)</f>
        <v>45.235930071392744</v>
      </c>
      <c r="Y162" s="153">
        <f ca="1">IF(Y161&gt;0,Y161*'LiLAC valuation'!P40,0)</f>
        <v>65.459178201160995</v>
      </c>
      <c r="Z162" s="153">
        <f ca="1">IF(Z161&gt;0,Z161*'LiLAC valuation'!Q40,0)</f>
        <v>76.485723775890008</v>
      </c>
      <c r="AA162" s="91"/>
      <c r="AB162" s="14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row>
    <row r="163" spans="1:83" ht="15" customHeight="1">
      <c r="A163" s="92" t="s">
        <v>673</v>
      </c>
      <c r="B163" s="97"/>
      <c r="C163" s="97"/>
      <c r="D163" s="97"/>
      <c r="E163" s="97"/>
      <c r="F163" s="97"/>
      <c r="G163" s="97"/>
      <c r="H163" s="97"/>
      <c r="I163" s="97"/>
      <c r="J163" s="97"/>
      <c r="K163" s="97"/>
      <c r="L163" s="97"/>
      <c r="M163" s="97">
        <f>M161+M162</f>
        <v>37.599999999999994</v>
      </c>
      <c r="N163" s="97">
        <f>N161+N162</f>
        <v>-27.8</v>
      </c>
      <c r="O163" s="97">
        <f>O161+O162</f>
        <v>8.6999999999999993</v>
      </c>
      <c r="P163" s="97">
        <f t="shared" ref="P163:Z163" si="166">P161+P162</f>
        <v>24.099999999999998</v>
      </c>
      <c r="Q163" s="97">
        <f t="shared" si="166"/>
        <v>46.744581845261138</v>
      </c>
      <c r="R163" s="97">
        <f t="shared" si="166"/>
        <v>66.618054919729232</v>
      </c>
      <c r="S163" s="97">
        <f t="shared" si="166"/>
        <v>78.240570162446886</v>
      </c>
      <c r="T163" s="97">
        <f t="shared" ca="1" si="166"/>
        <v>99.63522467772178</v>
      </c>
      <c r="U163" s="97">
        <f t="shared" ca="1" si="166"/>
        <v>116.20682830955222</v>
      </c>
      <c r="V163" s="97">
        <f t="shared" ca="1" si="166"/>
        <v>134.79188686124712</v>
      </c>
      <c r="W163" s="97">
        <f t="shared" ca="1" si="166"/>
        <v>154.00780798790242</v>
      </c>
      <c r="X163" s="97">
        <f t="shared" ca="1" si="166"/>
        <v>174.48144456108631</v>
      </c>
      <c r="Y163" s="97">
        <f t="shared" ca="1" si="166"/>
        <v>252.48540163304955</v>
      </c>
      <c r="Z163" s="97">
        <f t="shared" ca="1" si="166"/>
        <v>295.01636313557577</v>
      </c>
      <c r="AA163" s="91"/>
      <c r="AB163" s="14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row>
    <row r="164" spans="1:83" ht="15" customHeight="1">
      <c r="A164" s="92" t="s">
        <v>674</v>
      </c>
      <c r="B164" s="96"/>
      <c r="C164" s="96"/>
      <c r="D164" s="96"/>
      <c r="E164" s="96"/>
      <c r="F164" s="96"/>
      <c r="G164" s="96"/>
      <c r="H164" s="96"/>
      <c r="I164" s="96"/>
      <c r="J164" s="96"/>
      <c r="K164" s="96"/>
      <c r="L164" s="96"/>
      <c r="M164" s="96">
        <v>-8.9</v>
      </c>
      <c r="N164" s="96">
        <v>6.2</v>
      </c>
      <c r="O164" s="96">
        <v>2.5</v>
      </c>
      <c r="P164" s="96">
        <v>0</v>
      </c>
      <c r="Q164" s="97">
        <f>Q168*Q163</f>
        <v>0</v>
      </c>
      <c r="R164" s="97">
        <f t="shared" ref="R164:Z164" si="167">R168*R163</f>
        <v>0</v>
      </c>
      <c r="S164" s="97">
        <f t="shared" si="167"/>
        <v>0</v>
      </c>
      <c r="T164" s="97">
        <f t="shared" ca="1" si="167"/>
        <v>0</v>
      </c>
      <c r="U164" s="97">
        <f t="shared" ca="1" si="167"/>
        <v>0</v>
      </c>
      <c r="V164" s="97">
        <f t="shared" ca="1" si="167"/>
        <v>0</v>
      </c>
      <c r="W164" s="97">
        <f t="shared" ca="1" si="167"/>
        <v>0</v>
      </c>
      <c r="X164" s="97">
        <f t="shared" ca="1" si="167"/>
        <v>0</v>
      </c>
      <c r="Y164" s="97">
        <f t="shared" ca="1" si="167"/>
        <v>0</v>
      </c>
      <c r="Z164" s="97">
        <f t="shared" ca="1" si="167"/>
        <v>0</v>
      </c>
      <c r="AA164" s="91"/>
      <c r="AB164" s="14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row>
    <row r="165" spans="1:83" ht="15" customHeight="1">
      <c r="A165" s="92" t="s">
        <v>675</v>
      </c>
      <c r="B165" s="97"/>
      <c r="C165" s="97"/>
      <c r="D165" s="97"/>
      <c r="E165" s="97"/>
      <c r="F165" s="97"/>
      <c r="G165" s="97"/>
      <c r="H165" s="97"/>
      <c r="I165" s="97"/>
      <c r="J165" s="97"/>
      <c r="K165" s="97"/>
      <c r="L165" s="97"/>
      <c r="M165" s="97">
        <f>M163+M164</f>
        <v>28.699999999999996</v>
      </c>
      <c r="N165" s="97">
        <f>N163+N164</f>
        <v>-21.6</v>
      </c>
      <c r="O165" s="97">
        <f>O163+O164</f>
        <v>11.2</v>
      </c>
      <c r="P165" s="97">
        <f t="shared" ref="P165:Z165" si="168">P163+P164</f>
        <v>24.099999999999998</v>
      </c>
      <c r="Q165" s="97">
        <f t="shared" si="168"/>
        <v>46.744581845261138</v>
      </c>
      <c r="R165" s="97">
        <f t="shared" si="168"/>
        <v>66.618054919729232</v>
      </c>
      <c r="S165" s="97">
        <f t="shared" si="168"/>
        <v>78.240570162446886</v>
      </c>
      <c r="T165" s="97">
        <f t="shared" ca="1" si="168"/>
        <v>99.63522467772178</v>
      </c>
      <c r="U165" s="97">
        <f t="shared" ca="1" si="168"/>
        <v>116.20682830955222</v>
      </c>
      <c r="V165" s="97">
        <f t="shared" ca="1" si="168"/>
        <v>134.79188686124712</v>
      </c>
      <c r="W165" s="97">
        <f t="shared" ca="1" si="168"/>
        <v>154.00780798790242</v>
      </c>
      <c r="X165" s="97">
        <f t="shared" ca="1" si="168"/>
        <v>174.48144456108631</v>
      </c>
      <c r="Y165" s="97">
        <f t="shared" ca="1" si="168"/>
        <v>252.48540163304955</v>
      </c>
      <c r="Z165" s="97">
        <f t="shared" ca="1" si="168"/>
        <v>295.01636313557577</v>
      </c>
      <c r="AA165" s="91"/>
      <c r="AB165" s="14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row>
    <row r="166" spans="1:83" ht="15" customHeight="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14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row>
    <row r="167" spans="1:83" ht="15" customHeight="1">
      <c r="A167" s="92" t="s">
        <v>676</v>
      </c>
      <c r="B167" s="101"/>
      <c r="C167" s="101"/>
      <c r="D167" s="101"/>
      <c r="E167" s="101"/>
      <c r="F167" s="101"/>
      <c r="G167" s="101"/>
      <c r="H167" s="101"/>
      <c r="I167" s="101"/>
      <c r="J167" s="101"/>
      <c r="K167" s="101"/>
      <c r="L167" s="101"/>
      <c r="M167" s="101"/>
      <c r="N167" s="101">
        <f>N158/M227</f>
        <v>6.1320754716981139E-2</v>
      </c>
      <c r="O167" s="101">
        <f>O158/N227</f>
        <v>2.1864211737629455E-2</v>
      </c>
      <c r="P167" s="101">
        <f>P158/O227</f>
        <v>3.6750483558994192E-2</v>
      </c>
      <c r="Q167" s="102">
        <f t="shared" ref="Q167:Z168" si="169">P167</f>
        <v>3.6750483558994192E-2</v>
      </c>
      <c r="R167" s="102">
        <f t="shared" si="169"/>
        <v>3.6750483558994192E-2</v>
      </c>
      <c r="S167" s="102">
        <f t="shared" si="169"/>
        <v>3.6750483558994192E-2</v>
      </c>
      <c r="T167" s="102">
        <f t="shared" si="169"/>
        <v>3.6750483558994192E-2</v>
      </c>
      <c r="U167" s="102">
        <f t="shared" si="169"/>
        <v>3.6750483558994192E-2</v>
      </c>
      <c r="V167" s="102">
        <f t="shared" si="169"/>
        <v>3.6750483558994192E-2</v>
      </c>
      <c r="W167" s="102">
        <f t="shared" si="169"/>
        <v>3.6750483558994192E-2</v>
      </c>
      <c r="X167" s="102">
        <f t="shared" si="169"/>
        <v>3.6750483558994192E-2</v>
      </c>
      <c r="Y167" s="102">
        <f t="shared" si="169"/>
        <v>3.6750483558994192E-2</v>
      </c>
      <c r="Z167" s="102">
        <f t="shared" si="169"/>
        <v>3.6750483558994192E-2</v>
      </c>
      <c r="AA167" s="91"/>
      <c r="AB167" s="14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row>
    <row r="168" spans="1:83" ht="15" customHeight="1">
      <c r="A168" s="92" t="s">
        <v>677</v>
      </c>
      <c r="B168" s="101"/>
      <c r="C168" s="101"/>
      <c r="D168" s="101"/>
      <c r="E168" s="101"/>
      <c r="F168" s="101"/>
      <c r="G168" s="101"/>
      <c r="H168" s="101"/>
      <c r="I168" s="101"/>
      <c r="J168" s="101"/>
      <c r="K168" s="101"/>
      <c r="L168" s="101"/>
      <c r="M168" s="101">
        <f>M164/M163</f>
        <v>-0.23670212765957452</v>
      </c>
      <c r="N168" s="101">
        <f>N164/N163</f>
        <v>-0.22302158273381295</v>
      </c>
      <c r="O168" s="101">
        <f>O164/O163</f>
        <v>0.2873563218390805</v>
      </c>
      <c r="P168" s="101">
        <f>P164/P163</f>
        <v>0</v>
      </c>
      <c r="Q168" s="102">
        <v>0</v>
      </c>
      <c r="R168" s="102">
        <v>0</v>
      </c>
      <c r="S168" s="102">
        <v>0</v>
      </c>
      <c r="T168" s="102">
        <v>0</v>
      </c>
      <c r="U168" s="102">
        <v>0</v>
      </c>
      <c r="V168" s="102">
        <v>0</v>
      </c>
      <c r="W168" s="102">
        <v>0</v>
      </c>
      <c r="X168" s="102">
        <v>0</v>
      </c>
      <c r="Y168" s="102">
        <v>0</v>
      </c>
      <c r="Z168" s="102">
        <f t="shared" si="169"/>
        <v>0</v>
      </c>
      <c r="AA168" s="91"/>
      <c r="AB168" s="14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row>
    <row r="169" spans="1:83" ht="15" customHeight="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14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row>
    <row r="170" spans="1:83" ht="15" customHeight="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14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row>
    <row r="171" spans="1:83" ht="15" customHeight="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14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row>
    <row r="172" spans="1:83" ht="15" customHeight="1">
      <c r="A172" s="93" t="str">
        <f>CONCATENATE(A$1," cash flow statement")</f>
        <v>Chile (VTR) cash flow statement</v>
      </c>
      <c r="B172" s="94">
        <f t="shared" ref="B172:Z172" si="170">+B$1</f>
        <v>2001</v>
      </c>
      <c r="C172" s="94">
        <f t="shared" si="170"/>
        <v>2002</v>
      </c>
      <c r="D172" s="94">
        <f t="shared" si="170"/>
        <v>2003</v>
      </c>
      <c r="E172" s="94">
        <f t="shared" si="170"/>
        <v>2004</v>
      </c>
      <c r="F172" s="94">
        <f t="shared" si="170"/>
        <v>2005</v>
      </c>
      <c r="G172" s="94">
        <f t="shared" si="170"/>
        <v>2006</v>
      </c>
      <c r="H172" s="94">
        <f t="shared" si="170"/>
        <v>2007</v>
      </c>
      <c r="I172" s="94">
        <f t="shared" si="170"/>
        <v>2008</v>
      </c>
      <c r="J172" s="94">
        <f t="shared" si="170"/>
        <v>2009</v>
      </c>
      <c r="K172" s="94">
        <f t="shared" si="170"/>
        <v>2010</v>
      </c>
      <c r="L172" s="94">
        <f t="shared" si="170"/>
        <v>2011</v>
      </c>
      <c r="M172" s="94">
        <f t="shared" si="170"/>
        <v>2012</v>
      </c>
      <c r="N172" s="94">
        <f t="shared" si="170"/>
        <v>2013</v>
      </c>
      <c r="O172" s="94">
        <f t="shared" si="170"/>
        <v>2014</v>
      </c>
      <c r="P172" s="94">
        <f t="shared" si="170"/>
        <v>2015</v>
      </c>
      <c r="Q172" s="94">
        <f t="shared" si="170"/>
        <v>2016</v>
      </c>
      <c r="R172" s="94">
        <f t="shared" si="170"/>
        <v>2017</v>
      </c>
      <c r="S172" s="94" t="str">
        <f t="shared" si="170"/>
        <v>2018E</v>
      </c>
      <c r="T172" s="94" t="str">
        <f t="shared" si="170"/>
        <v>2019E</v>
      </c>
      <c r="U172" s="94" t="str">
        <f t="shared" si="170"/>
        <v>2020E</v>
      </c>
      <c r="V172" s="94" t="str">
        <f t="shared" si="170"/>
        <v>2021E</v>
      </c>
      <c r="W172" s="94" t="str">
        <f t="shared" si="170"/>
        <v>2022E</v>
      </c>
      <c r="X172" s="94" t="str">
        <f t="shared" si="170"/>
        <v>2023E</v>
      </c>
      <c r="Y172" s="94" t="str">
        <f t="shared" si="170"/>
        <v>2024E</v>
      </c>
      <c r="Z172" s="94" t="str">
        <f t="shared" si="170"/>
        <v>2025E</v>
      </c>
      <c r="AA172" s="91"/>
      <c r="AB172" s="14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row>
    <row r="173" spans="1:83" ht="15" customHeight="1">
      <c r="A173" s="92" t="s">
        <v>8</v>
      </c>
      <c r="B173" s="91"/>
      <c r="C173" s="91"/>
      <c r="D173" s="91"/>
      <c r="E173" s="91"/>
      <c r="F173" s="91"/>
      <c r="G173" s="91"/>
      <c r="H173" s="91"/>
      <c r="I173" s="91"/>
      <c r="J173" s="91"/>
      <c r="K173" s="91"/>
      <c r="L173" s="91"/>
      <c r="M173" s="97">
        <f t="shared" ref="M173:Z173" si="171">M119</f>
        <v>152.40000000000003</v>
      </c>
      <c r="N173" s="97">
        <f t="shared" si="171"/>
        <v>174.9</v>
      </c>
      <c r="O173" s="97">
        <f t="shared" si="171"/>
        <v>198.89999999999998</v>
      </c>
      <c r="P173" s="97">
        <f t="shared" si="171"/>
        <v>214.29999999999995</v>
      </c>
      <c r="Q173" s="97">
        <f t="shared" si="171"/>
        <v>229.1</v>
      </c>
      <c r="R173" s="97">
        <f t="shared" si="171"/>
        <v>248.2</v>
      </c>
      <c r="S173" s="97">
        <f t="shared" si="171"/>
        <v>260.92897289828511</v>
      </c>
      <c r="T173" s="97">
        <f t="shared" ca="1" si="171"/>
        <v>274.6500402962929</v>
      </c>
      <c r="U173" s="97">
        <f t="shared" ca="1" si="171"/>
        <v>288.2418501038307</v>
      </c>
      <c r="V173" s="97">
        <f t="shared" ca="1" si="171"/>
        <v>302.49175938482767</v>
      </c>
      <c r="W173" s="97">
        <f t="shared" ca="1" si="171"/>
        <v>316.8325124572915</v>
      </c>
      <c r="X173" s="97">
        <f t="shared" ca="1" si="171"/>
        <v>332.02970748168639</v>
      </c>
      <c r="Y173" s="97">
        <f t="shared" ca="1" si="171"/>
        <v>347.49759145726307</v>
      </c>
      <c r="Z173" s="97">
        <f t="shared" ca="1" si="171"/>
        <v>363.48385716313356</v>
      </c>
      <c r="AA173" s="91"/>
      <c r="AB173" s="14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row>
    <row r="174" spans="1:83" ht="15" customHeight="1">
      <c r="A174" s="92" t="s">
        <v>19</v>
      </c>
      <c r="B174" s="91"/>
      <c r="C174" s="91"/>
      <c r="D174" s="91"/>
      <c r="E174" s="91"/>
      <c r="F174" s="91"/>
      <c r="G174" s="91"/>
      <c r="H174" s="91"/>
      <c r="I174" s="91"/>
      <c r="J174" s="91"/>
      <c r="K174" s="91"/>
      <c r="L174" s="91"/>
      <c r="M174" s="97">
        <f t="shared" ref="M174:Z174" si="172">-M122</f>
        <v>-118.5</v>
      </c>
      <c r="N174" s="97">
        <f t="shared" si="172"/>
        <v>-92.9</v>
      </c>
      <c r="O174" s="97">
        <f t="shared" si="172"/>
        <v>-111.7</v>
      </c>
      <c r="P174" s="97">
        <f t="shared" si="172"/>
        <v>-96.4</v>
      </c>
      <c r="Q174" s="97">
        <f>-Q122</f>
        <v>-132</v>
      </c>
      <c r="R174" s="97">
        <f t="shared" si="172"/>
        <v>-137.9</v>
      </c>
      <c r="S174" s="97">
        <f>-S122</f>
        <v>-136.35259826999999</v>
      </c>
      <c r="T174" s="97">
        <f t="shared" ca="1" si="172"/>
        <v>-143.11691778694154</v>
      </c>
      <c r="U174" s="97">
        <f t="shared" ca="1" si="172"/>
        <v>-142.45123598618886</v>
      </c>
      <c r="V174" s="97">
        <f t="shared" ca="1" si="172"/>
        <v>-141.34660599784328</v>
      </c>
      <c r="W174" s="97">
        <f t="shared" ca="1" si="172"/>
        <v>-146.77417712139214</v>
      </c>
      <c r="X174" s="97">
        <f t="shared" ca="1" si="172"/>
        <v>-152.33119399143101</v>
      </c>
      <c r="Y174" s="97">
        <f t="shared" ca="1" si="172"/>
        <v>-158.02536925839908</v>
      </c>
      <c r="Z174" s="97">
        <f t="shared" ca="1" si="172"/>
        <v>-163.86458715140958</v>
      </c>
      <c r="AA174" s="91"/>
      <c r="AB174" s="14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row>
    <row r="175" spans="1:83" ht="15" customHeight="1">
      <c r="A175" s="92" t="s">
        <v>678</v>
      </c>
      <c r="B175" s="91"/>
      <c r="C175" s="91"/>
      <c r="D175" s="91"/>
      <c r="E175" s="91"/>
      <c r="F175" s="91"/>
      <c r="G175" s="91"/>
      <c r="H175" s="91"/>
      <c r="I175" s="91"/>
      <c r="J175" s="91"/>
      <c r="K175" s="91"/>
      <c r="L175" s="91"/>
      <c r="M175" s="96">
        <f>-0.3-33.8</f>
        <v>-34.099999999999994</v>
      </c>
      <c r="N175" s="96">
        <f>22.7-46</f>
        <v>-23.3</v>
      </c>
      <c r="O175" s="96">
        <f>-25.6-11.6</f>
        <v>-37.200000000000003</v>
      </c>
      <c r="P175" s="97">
        <f>P187*P113</f>
        <v>-5.4750000000000005</v>
      </c>
      <c r="Q175" s="97">
        <f t="shared" ref="Q175:Z175" si="173">Q187*Q113</f>
        <v>-11.612</v>
      </c>
      <c r="R175" s="97">
        <f t="shared" si="173"/>
        <v>-12.352</v>
      </c>
      <c r="S175" s="97">
        <f t="shared" si="173"/>
        <v>-12.985961739999999</v>
      </c>
      <c r="T175" s="97">
        <f t="shared" ca="1" si="173"/>
        <v>-13.630182646375387</v>
      </c>
      <c r="U175" s="97">
        <f t="shared" ca="1" si="173"/>
        <v>-14.245123598618887</v>
      </c>
      <c r="V175" s="97">
        <f t="shared" ca="1" si="173"/>
        <v>-14.878590105036135</v>
      </c>
      <c r="W175" s="97">
        <f t="shared" ca="1" si="173"/>
        <v>-15.531658954644671</v>
      </c>
      <c r="X175" s="97">
        <f t="shared" ca="1" si="173"/>
        <v>-16.205446169301172</v>
      </c>
      <c r="Y175" s="97">
        <f t="shared" ca="1" si="173"/>
        <v>-16.901109011593483</v>
      </c>
      <c r="Z175" s="97">
        <f t="shared" ca="1" si="173"/>
        <v>-17.619848080796729</v>
      </c>
      <c r="AA175" s="91"/>
      <c r="AB175" s="14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row>
    <row r="176" spans="1:83" ht="15" customHeight="1">
      <c r="A176" s="92" t="s">
        <v>679</v>
      </c>
      <c r="B176" s="91"/>
      <c r="C176" s="91"/>
      <c r="D176" s="91"/>
      <c r="E176" s="91"/>
      <c r="F176" s="91"/>
      <c r="G176" s="91"/>
      <c r="H176" s="91"/>
      <c r="I176" s="91"/>
      <c r="J176" s="91"/>
      <c r="K176" s="91"/>
      <c r="L176" s="91"/>
      <c r="M176" s="96">
        <v>-8.8000000000000007</v>
      </c>
      <c r="N176" s="96">
        <v>-10.8</v>
      </c>
      <c r="O176" s="96">
        <v>-31.2</v>
      </c>
      <c r="P176" s="97">
        <f t="shared" ref="P176:Z176" si="174">-P274</f>
        <v>-96.664349999999999</v>
      </c>
      <c r="Q176" s="97">
        <f t="shared" si="174"/>
        <v>-102.50295000000001</v>
      </c>
      <c r="R176" s="97">
        <f t="shared" si="174"/>
        <v>-105.9939</v>
      </c>
      <c r="S176" s="97">
        <f t="shared" si="174"/>
        <v>-105.9939</v>
      </c>
      <c r="T176" s="97">
        <f t="shared" si="174"/>
        <v>-105.9939</v>
      </c>
      <c r="U176" s="97">
        <f t="shared" si="174"/>
        <v>-105.9939</v>
      </c>
      <c r="V176" s="97">
        <f t="shared" si="174"/>
        <v>-105.9939</v>
      </c>
      <c r="W176" s="97">
        <f t="shared" si="174"/>
        <v>-105.9939</v>
      </c>
      <c r="X176" s="97">
        <f t="shared" si="174"/>
        <v>-105.9939</v>
      </c>
      <c r="Y176" s="97">
        <f t="shared" si="174"/>
        <v>-63.813899999999997</v>
      </c>
      <c r="Z176" s="97">
        <f t="shared" si="174"/>
        <v>-21.633899999999997</v>
      </c>
      <c r="AA176" s="91"/>
      <c r="AB176" s="14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row>
    <row r="177" spans="1:83" ht="15" customHeight="1">
      <c r="A177" s="92" t="s">
        <v>205</v>
      </c>
      <c r="B177" s="91"/>
      <c r="C177" s="91"/>
      <c r="D177" s="91"/>
      <c r="E177" s="91"/>
      <c r="F177" s="91"/>
      <c r="G177" s="91"/>
      <c r="H177" s="91"/>
      <c r="I177" s="91"/>
      <c r="J177" s="91"/>
      <c r="K177" s="91"/>
      <c r="L177" s="91"/>
      <c r="M177" s="96">
        <v>-10.7</v>
      </c>
      <c r="N177" s="96">
        <v>-19.399999999999999</v>
      </c>
      <c r="O177" s="96">
        <v>-20.5</v>
      </c>
      <c r="P177" s="97">
        <f>+P197</f>
        <v>-37</v>
      </c>
      <c r="Q177" s="97">
        <f t="shared" ref="Q177:Z177" si="175">+Q197</f>
        <v>-40</v>
      </c>
      <c r="R177" s="97">
        <f t="shared" si="175"/>
        <v>-40</v>
      </c>
      <c r="S177" s="97">
        <f t="shared" si="175"/>
        <v>-40</v>
      </c>
      <c r="T177" s="97">
        <f t="shared" si="175"/>
        <v>-40</v>
      </c>
      <c r="U177" s="97">
        <f t="shared" ca="1" si="175"/>
        <v>-29.98769622840242</v>
      </c>
      <c r="V177" s="97">
        <f t="shared" ca="1" si="175"/>
        <v>-34.806044741804797</v>
      </c>
      <c r="W177" s="97">
        <f t="shared" ca="1" si="175"/>
        <v>-39.787950219085808</v>
      </c>
      <c r="X177" s="97">
        <f t="shared" ca="1" si="175"/>
        <v>-45.095930071392729</v>
      </c>
      <c r="Y177" s="97">
        <f t="shared" ca="1" si="175"/>
        <v>-65.31917820116098</v>
      </c>
      <c r="Z177" s="97">
        <f t="shared" ca="1" si="175"/>
        <v>-76.345723775889979</v>
      </c>
      <c r="AA177" s="91"/>
      <c r="AB177" s="14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row>
    <row r="178" spans="1:83" ht="15" customHeight="1">
      <c r="A178" s="92" t="s">
        <v>680</v>
      </c>
      <c r="B178" s="91"/>
      <c r="C178" s="91"/>
      <c r="D178" s="91"/>
      <c r="E178" s="91"/>
      <c r="F178" s="91"/>
      <c r="G178" s="91"/>
      <c r="H178" s="91"/>
      <c r="I178" s="91"/>
      <c r="J178" s="91"/>
      <c r="K178" s="91"/>
      <c r="L178" s="91"/>
      <c r="M178" s="96">
        <f>-2.2-0.1</f>
        <v>-2.3000000000000003</v>
      </c>
      <c r="N178" s="96">
        <f>-2.4-0.3-315.9</f>
        <v>-318.59999999999997</v>
      </c>
      <c r="O178" s="96">
        <f>-233.9-60.4</f>
        <v>-294.3</v>
      </c>
      <c r="P178" s="97">
        <f t="shared" ref="P178:Z178" si="176">-P248</f>
        <v>0</v>
      </c>
      <c r="Q178" s="97">
        <f t="shared" si="176"/>
        <v>0</v>
      </c>
      <c r="R178" s="97">
        <f t="shared" si="176"/>
        <v>0</v>
      </c>
      <c r="S178" s="97">
        <f t="shared" si="176"/>
        <v>0</v>
      </c>
      <c r="T178" s="97">
        <f t="shared" si="176"/>
        <v>0</v>
      </c>
      <c r="U178" s="97">
        <f t="shared" si="176"/>
        <v>0</v>
      </c>
      <c r="V178" s="97">
        <f t="shared" si="176"/>
        <v>0</v>
      </c>
      <c r="W178" s="97">
        <f t="shared" si="176"/>
        <v>0</v>
      </c>
      <c r="X178" s="97">
        <f t="shared" si="176"/>
        <v>0</v>
      </c>
      <c r="Y178" s="97">
        <f t="shared" si="176"/>
        <v>-760</v>
      </c>
      <c r="Z178" s="97">
        <f t="shared" si="176"/>
        <v>0</v>
      </c>
      <c r="AA178" s="91"/>
      <c r="AB178" s="14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row>
    <row r="179" spans="1:83" ht="15" customHeight="1">
      <c r="A179" s="92" t="s">
        <v>681</v>
      </c>
      <c r="B179" s="91"/>
      <c r="C179" s="91"/>
      <c r="D179" s="91"/>
      <c r="E179" s="91"/>
      <c r="F179" s="91"/>
      <c r="G179" s="91"/>
      <c r="H179" s="91"/>
      <c r="I179" s="91"/>
      <c r="J179" s="91"/>
      <c r="K179" s="91"/>
      <c r="L179" s="91"/>
      <c r="M179" s="96">
        <v>27.5</v>
      </c>
      <c r="N179" s="96">
        <f>15.4</f>
        <v>15.4</v>
      </c>
      <c r="O179" s="96">
        <f>13.5+339.9</f>
        <v>353.4</v>
      </c>
      <c r="P179" s="97">
        <f t="shared" ref="P179:Z179" si="177">P261</f>
        <v>0</v>
      </c>
      <c r="Q179" s="97">
        <f t="shared" si="177"/>
        <v>0</v>
      </c>
      <c r="R179" s="97">
        <f t="shared" si="177"/>
        <v>0</v>
      </c>
      <c r="S179" s="97">
        <f t="shared" si="177"/>
        <v>0</v>
      </c>
      <c r="T179" s="97">
        <f t="shared" si="177"/>
        <v>0</v>
      </c>
      <c r="U179" s="97">
        <f t="shared" si="177"/>
        <v>0</v>
      </c>
      <c r="V179" s="97">
        <f t="shared" si="177"/>
        <v>0</v>
      </c>
      <c r="W179" s="97">
        <f t="shared" si="177"/>
        <v>0</v>
      </c>
      <c r="X179" s="97">
        <f t="shared" si="177"/>
        <v>0</v>
      </c>
      <c r="Y179" s="97">
        <f t="shared" si="177"/>
        <v>0</v>
      </c>
      <c r="Z179" s="97">
        <f t="shared" si="177"/>
        <v>0</v>
      </c>
      <c r="AA179" s="91"/>
      <c r="AB179" s="14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row>
    <row r="180" spans="1:83" ht="15" customHeight="1">
      <c r="A180" s="92" t="s">
        <v>682</v>
      </c>
      <c r="B180" s="91"/>
      <c r="C180" s="91"/>
      <c r="D180" s="91"/>
      <c r="E180" s="91"/>
      <c r="F180" s="91"/>
      <c r="G180" s="91"/>
      <c r="H180" s="91"/>
      <c r="I180" s="91"/>
      <c r="J180" s="91"/>
      <c r="K180" s="91"/>
      <c r="L180" s="91"/>
      <c r="M180" s="96">
        <f>-11+8.4-9.9</f>
        <v>-12.5</v>
      </c>
      <c r="N180" s="96">
        <f>-15.8+10.9+360.4</f>
        <v>355.5</v>
      </c>
      <c r="O180" s="96">
        <f>-240.6+156.2</f>
        <v>-84.4</v>
      </c>
      <c r="P180" s="152">
        <v>0</v>
      </c>
      <c r="Q180" s="152">
        <v>0</v>
      </c>
      <c r="R180" s="152">
        <v>0</v>
      </c>
      <c r="S180" s="152">
        <v>0</v>
      </c>
      <c r="T180" s="152">
        <v>0</v>
      </c>
      <c r="U180" s="152">
        <v>0</v>
      </c>
      <c r="V180" s="152">
        <v>0</v>
      </c>
      <c r="W180" s="152">
        <v>0</v>
      </c>
      <c r="X180" s="152">
        <v>0</v>
      </c>
      <c r="Y180" s="152">
        <v>0</v>
      </c>
      <c r="Z180" s="152">
        <v>0</v>
      </c>
      <c r="AA180" s="91"/>
      <c r="AB180" s="14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row>
    <row r="181" spans="1:83" ht="15" customHeight="1">
      <c r="A181" s="92" t="s">
        <v>683</v>
      </c>
      <c r="B181" s="156"/>
      <c r="C181" s="156"/>
      <c r="D181" s="156"/>
      <c r="E181" s="156"/>
      <c r="F181" s="156"/>
      <c r="G181" s="156"/>
      <c r="H181" s="156"/>
      <c r="I181" s="156"/>
      <c r="J181" s="156"/>
      <c r="K181" s="156"/>
      <c r="L181" s="156"/>
      <c r="M181" s="154">
        <f>-9.6-SUM(M173:M180)</f>
        <v>-2.6000000000000387</v>
      </c>
      <c r="N181" s="154">
        <f>65.7-SUM(N173:N180)</f>
        <v>-15.100000000000009</v>
      </c>
      <c r="O181" s="154">
        <f>-35.2-SUM(O173:O180)</f>
        <v>-8.1999999999999176</v>
      </c>
      <c r="P181" s="155">
        <f>(100/1000*Forex!K38)-(11/1000*Forex!K38)</f>
        <v>58.473000000000006</v>
      </c>
      <c r="Q181" s="155">
        <f>-(11/1000*Forex!L38)</f>
        <v>-7.4383099999999995</v>
      </c>
      <c r="R181" s="155">
        <f>-(11/1000*Forex!M38)</f>
        <v>-7.1367999999999991</v>
      </c>
      <c r="S181" s="155">
        <f>-(11/1000*Forex!N38)</f>
        <v>-7.0638699999999988</v>
      </c>
      <c r="T181" s="155">
        <f>-(11/1000*Forex!O38)</f>
        <v>-7.7329999999999997</v>
      </c>
      <c r="U181" s="155">
        <f>-(11/1000*Forex!P38)</f>
        <v>-8.7119999999999997</v>
      </c>
      <c r="V181" s="155">
        <f>-(11/1000*Forex!Q38)</f>
        <v>-8.3709999999999987</v>
      </c>
      <c r="W181" s="155">
        <f>-(11/1000*Forex!R38)</f>
        <v>-9.6029999999999998</v>
      </c>
      <c r="X181" s="155">
        <f>-(11/1000*Forex!S38)</f>
        <v>-8.7889999999999997</v>
      </c>
      <c r="Y181" s="155">
        <f>-(11/1000*Forex!T38)</f>
        <v>-8.9209999999999994</v>
      </c>
      <c r="Z181" s="155">
        <f>-(11/1000*Forex!U38)</f>
        <v>-8.9209999999999994</v>
      </c>
      <c r="AA181" s="91"/>
      <c r="AB181" s="14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row>
    <row r="182" spans="1:83" ht="15" customHeight="1">
      <c r="A182" s="92" t="s">
        <v>684</v>
      </c>
      <c r="B182" s="91"/>
      <c r="C182" s="91"/>
      <c r="D182" s="91"/>
      <c r="E182" s="91"/>
      <c r="F182" s="91"/>
      <c r="G182" s="91"/>
      <c r="H182" s="91"/>
      <c r="I182" s="91"/>
      <c r="J182" s="91"/>
      <c r="K182" s="91"/>
      <c r="L182" s="91"/>
      <c r="M182" s="97">
        <f>SUM(M173:M181)</f>
        <v>-9.6</v>
      </c>
      <c r="N182" s="97">
        <f>SUM(N173:N181)</f>
        <v>65.7</v>
      </c>
      <c r="O182" s="97">
        <f>SUM(O173:O181)</f>
        <v>-35.200000000000003</v>
      </c>
      <c r="P182" s="97">
        <f>SUM(P173:P181)</f>
        <v>37.233649999999962</v>
      </c>
      <c r="Q182" s="97">
        <f t="shared" ref="Q182:Z182" si="178">SUM(Q173:Q181)</f>
        <v>-64.453260000000014</v>
      </c>
      <c r="R182" s="97">
        <f t="shared" si="178"/>
        <v>-55.182700000000018</v>
      </c>
      <c r="S182" s="97">
        <f t="shared" si="178"/>
        <v>-41.467357111714868</v>
      </c>
      <c r="T182" s="97">
        <f t="shared" ca="1" si="178"/>
        <v>-35.823960137024024</v>
      </c>
      <c r="U182" s="97">
        <f t="shared" ca="1" si="178"/>
        <v>-13.148105709379454</v>
      </c>
      <c r="V182" s="97">
        <f t="shared" ca="1" si="178"/>
        <v>-2.904381459856527</v>
      </c>
      <c r="W182" s="97">
        <f t="shared" ca="1" si="178"/>
        <v>-0.85817383783112966</v>
      </c>
      <c r="X182" s="97">
        <f t="shared" ca="1" si="178"/>
        <v>3.6142372495614712</v>
      </c>
      <c r="Y182" s="97">
        <f t="shared" ca="1" si="178"/>
        <v>-725.48296501389052</v>
      </c>
      <c r="Z182" s="97">
        <f t="shared" ca="1" si="178"/>
        <v>75.098798155037315</v>
      </c>
      <c r="AA182" s="91"/>
      <c r="AB182" s="14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row>
    <row r="183" spans="1:83" ht="15" customHeight="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14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row>
    <row r="184" spans="1:83" ht="15" customHeight="1">
      <c r="A184" s="92" t="s">
        <v>685</v>
      </c>
      <c r="B184" s="91"/>
      <c r="C184" s="91"/>
      <c r="D184" s="91"/>
      <c r="E184" s="91"/>
      <c r="F184" s="91"/>
      <c r="G184" s="91"/>
      <c r="H184" s="91"/>
      <c r="I184" s="91"/>
      <c r="J184" s="91"/>
      <c r="K184" s="91"/>
      <c r="L184" s="91"/>
      <c r="M184" s="91"/>
      <c r="N184" s="91"/>
      <c r="O184" s="145">
        <f>N185</f>
        <v>86.9</v>
      </c>
      <c r="P184" s="145">
        <f t="shared" ref="P184:Z184" si="179">O185</f>
        <v>51.7</v>
      </c>
      <c r="Q184" s="145">
        <f t="shared" si="179"/>
        <v>88.933649999999972</v>
      </c>
      <c r="R184" s="145">
        <f t="shared" si="179"/>
        <v>24.480389999999957</v>
      </c>
      <c r="S184" s="145">
        <f t="shared" si="179"/>
        <v>-30.702310000000061</v>
      </c>
      <c r="T184" s="145">
        <f t="shared" si="179"/>
        <v>-72.169667111714929</v>
      </c>
      <c r="U184" s="145">
        <f t="shared" ca="1" si="179"/>
        <v>-107.99362724873896</v>
      </c>
      <c r="V184" s="145">
        <f t="shared" ca="1" si="179"/>
        <v>-121.14173295811841</v>
      </c>
      <c r="W184" s="145">
        <f t="shared" ca="1" si="179"/>
        <v>-124.04611441797493</v>
      </c>
      <c r="X184" s="145">
        <f t="shared" ca="1" si="179"/>
        <v>-124.90428825580607</v>
      </c>
      <c r="Y184" s="145">
        <f t="shared" ca="1" si="179"/>
        <v>-121.2900510062446</v>
      </c>
      <c r="Z184" s="145">
        <f t="shared" ca="1" si="179"/>
        <v>-846.77301602013517</v>
      </c>
      <c r="AA184" s="91"/>
      <c r="AB184" s="14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row>
    <row r="185" spans="1:83" ht="15" customHeight="1">
      <c r="A185" s="92" t="s">
        <v>686</v>
      </c>
      <c r="B185" s="91"/>
      <c r="C185" s="91"/>
      <c r="D185" s="91"/>
      <c r="E185" s="91"/>
      <c r="F185" s="91"/>
      <c r="G185" s="91"/>
      <c r="H185" s="91"/>
      <c r="I185" s="91"/>
      <c r="J185" s="91"/>
      <c r="K185" s="91"/>
      <c r="L185" s="91"/>
      <c r="M185" s="96">
        <v>21.2</v>
      </c>
      <c r="N185" s="96">
        <v>86.9</v>
      </c>
      <c r="O185" s="96">
        <v>51.7</v>
      </c>
      <c r="P185" s="97">
        <f>P184+P182</f>
        <v>88.933649999999972</v>
      </c>
      <c r="Q185" s="97">
        <f t="shared" ref="Q185:Z185" si="180">Q184+Q182</f>
        <v>24.480389999999957</v>
      </c>
      <c r="R185" s="97">
        <f t="shared" si="180"/>
        <v>-30.702310000000061</v>
      </c>
      <c r="S185" s="97">
        <f t="shared" si="180"/>
        <v>-72.169667111714929</v>
      </c>
      <c r="T185" s="97">
        <f t="shared" ca="1" si="180"/>
        <v>-107.99362724873896</v>
      </c>
      <c r="U185" s="97">
        <f t="shared" ca="1" si="180"/>
        <v>-121.14173295811841</v>
      </c>
      <c r="V185" s="97">
        <f t="shared" ca="1" si="180"/>
        <v>-124.04611441797493</v>
      </c>
      <c r="W185" s="97">
        <f t="shared" ca="1" si="180"/>
        <v>-124.90428825580607</v>
      </c>
      <c r="X185" s="97">
        <f t="shared" ca="1" si="180"/>
        <v>-121.2900510062446</v>
      </c>
      <c r="Y185" s="97">
        <f t="shared" ca="1" si="180"/>
        <v>-846.77301602013517</v>
      </c>
      <c r="Z185" s="97">
        <f t="shared" ca="1" si="180"/>
        <v>-771.67421786509783</v>
      </c>
      <c r="AA185" s="91"/>
      <c r="AB185" s="14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row>
    <row r="186" spans="1:83" ht="15" customHeight="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14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row>
    <row r="187" spans="1:83" ht="15" customHeight="1">
      <c r="A187" s="92" t="s">
        <v>687</v>
      </c>
      <c r="B187" s="91"/>
      <c r="C187" s="91"/>
      <c r="D187" s="91"/>
      <c r="E187" s="91"/>
      <c r="F187" s="91"/>
      <c r="G187" s="91"/>
      <c r="H187" s="91"/>
      <c r="I187" s="91"/>
      <c r="J187" s="91"/>
      <c r="K187" s="91"/>
      <c r="L187" s="91"/>
      <c r="M187" s="103">
        <f>M175/M113</f>
        <v>-7.4600743819733084E-2</v>
      </c>
      <c r="N187" s="103">
        <f>N175/N113</f>
        <v>-4.7454175152749495E-2</v>
      </c>
      <c r="O187" s="103">
        <f>O175/O113</f>
        <v>-7.259953161592507E-2</v>
      </c>
      <c r="P187" s="104">
        <v>-0.01</v>
      </c>
      <c r="Q187" s="104">
        <v>-0.02</v>
      </c>
      <c r="R187" s="104">
        <v>-0.02</v>
      </c>
      <c r="S187" s="104">
        <v>-0.02</v>
      </c>
      <c r="T187" s="104">
        <v>-0.02</v>
      </c>
      <c r="U187" s="104">
        <v>-0.02</v>
      </c>
      <c r="V187" s="104">
        <v>-0.02</v>
      </c>
      <c r="W187" s="104">
        <v>-0.02</v>
      </c>
      <c r="X187" s="104">
        <v>-0.02</v>
      </c>
      <c r="Y187" s="104">
        <v>-0.02</v>
      </c>
      <c r="Z187" s="104">
        <v>-0.02</v>
      </c>
      <c r="AA187" s="91"/>
      <c r="AB187" s="14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row>
    <row r="188" spans="1:83" ht="15" customHeight="1">
      <c r="A188" s="92" t="s">
        <v>688</v>
      </c>
      <c r="B188" s="91"/>
      <c r="C188" s="91"/>
      <c r="D188" s="91"/>
      <c r="E188" s="91"/>
      <c r="F188" s="91"/>
      <c r="G188" s="91"/>
      <c r="H188" s="91"/>
      <c r="I188" s="91"/>
      <c r="J188" s="91"/>
      <c r="K188" s="91"/>
      <c r="L188" s="91"/>
      <c r="M188" s="103">
        <f>M177/SUM(M193:M195)</f>
        <v>-0.2301075268817202</v>
      </c>
      <c r="N188" s="103">
        <f>N177/SUM(N193:N195)</f>
        <v>-1.1547619047619047</v>
      </c>
      <c r="O188" s="103">
        <f>O177/SUM(O193:O195)</f>
        <v>-0.35652173913043489</v>
      </c>
      <c r="P188" s="104">
        <f>O188</f>
        <v>-0.35652173913043489</v>
      </c>
      <c r="Q188" s="104">
        <f t="shared" ref="Q188:Z188" si="181">P188</f>
        <v>-0.35652173913043489</v>
      </c>
      <c r="R188" s="104">
        <f t="shared" si="181"/>
        <v>-0.35652173913043489</v>
      </c>
      <c r="S188" s="104">
        <f t="shared" si="181"/>
        <v>-0.35652173913043489</v>
      </c>
      <c r="T188" s="104">
        <f t="shared" si="181"/>
        <v>-0.35652173913043489</v>
      </c>
      <c r="U188" s="104">
        <f t="shared" si="181"/>
        <v>-0.35652173913043489</v>
      </c>
      <c r="V188" s="104">
        <f t="shared" si="181"/>
        <v>-0.35652173913043489</v>
      </c>
      <c r="W188" s="104">
        <f t="shared" si="181"/>
        <v>-0.35652173913043489</v>
      </c>
      <c r="X188" s="104">
        <f t="shared" si="181"/>
        <v>-0.35652173913043489</v>
      </c>
      <c r="Y188" s="104">
        <f t="shared" si="181"/>
        <v>-0.35652173913043489</v>
      </c>
      <c r="Z188" s="104">
        <f t="shared" si="181"/>
        <v>-0.35652173913043489</v>
      </c>
      <c r="AA188" s="91"/>
      <c r="AB188" s="14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row>
    <row r="189" spans="1:83" ht="15" customHeight="1">
      <c r="A189" s="99"/>
      <c r="B189" s="99"/>
      <c r="C189" s="99"/>
      <c r="D189" s="99"/>
      <c r="E189" s="99"/>
      <c r="F189" s="99"/>
      <c r="G189" s="99"/>
      <c r="H189" s="99"/>
      <c r="I189" s="99"/>
      <c r="J189" s="99"/>
      <c r="K189" s="99"/>
      <c r="L189" s="99"/>
      <c r="M189" s="99"/>
      <c r="N189" s="99"/>
      <c r="O189" s="99"/>
      <c r="P189" s="99"/>
      <c r="Q189" s="91"/>
      <c r="R189" s="91"/>
      <c r="S189" s="91"/>
      <c r="T189" s="91"/>
      <c r="U189" s="91"/>
      <c r="V189" s="91"/>
      <c r="W189" s="91"/>
      <c r="X189" s="91"/>
      <c r="Y189" s="91"/>
      <c r="Z189" s="91"/>
      <c r="AA189" s="91"/>
      <c r="AB189" s="14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row>
    <row r="190" spans="1:83" ht="15" customHeight="1">
      <c r="A190" s="99"/>
      <c r="B190" s="99"/>
      <c r="C190" s="99"/>
      <c r="D190" s="99"/>
      <c r="E190" s="99"/>
      <c r="F190" s="99"/>
      <c r="G190" s="99"/>
      <c r="H190" s="99"/>
      <c r="I190" s="99"/>
      <c r="J190" s="99"/>
      <c r="K190" s="99"/>
      <c r="L190" s="99"/>
      <c r="M190" s="99"/>
      <c r="N190" s="99"/>
      <c r="O190" s="99"/>
      <c r="P190" s="99"/>
      <c r="Q190" s="91"/>
      <c r="R190" s="91"/>
      <c r="S190" s="91"/>
      <c r="T190" s="91"/>
      <c r="U190" s="91"/>
      <c r="V190" s="91"/>
      <c r="W190" s="91"/>
      <c r="X190" s="91"/>
      <c r="Y190" s="91"/>
      <c r="Z190" s="91"/>
      <c r="AA190" s="91"/>
      <c r="AB190" s="14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row>
    <row r="191" spans="1:83" ht="15" customHeight="1">
      <c r="A191" s="99"/>
      <c r="B191" s="99"/>
      <c r="C191" s="99"/>
      <c r="D191" s="99"/>
      <c r="E191" s="99"/>
      <c r="F191" s="99"/>
      <c r="G191" s="99"/>
      <c r="H191" s="99"/>
      <c r="I191" s="99"/>
      <c r="J191" s="99"/>
      <c r="K191" s="99"/>
      <c r="L191" s="99"/>
      <c r="M191" s="99"/>
      <c r="N191" s="99"/>
      <c r="O191" s="99"/>
      <c r="P191" s="99"/>
      <c r="Q191" s="91"/>
      <c r="R191" s="91"/>
      <c r="S191" s="91"/>
      <c r="T191" s="91"/>
      <c r="U191" s="91"/>
      <c r="V191" s="91"/>
      <c r="W191" s="91"/>
      <c r="X191" s="91"/>
      <c r="Y191" s="91"/>
      <c r="Z191" s="91"/>
      <c r="AA191" s="91"/>
      <c r="AB191" s="14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row>
    <row r="192" spans="1:83" ht="15" customHeight="1">
      <c r="A192" s="93" t="str">
        <f>CONCATENATE(A$1," EFCF and Net income")</f>
        <v>Chile (VTR) EFCF and Net income</v>
      </c>
      <c r="B192" s="94">
        <f t="shared" ref="B192:Z192" si="182">+B$1</f>
        <v>2001</v>
      </c>
      <c r="C192" s="94">
        <f t="shared" si="182"/>
        <v>2002</v>
      </c>
      <c r="D192" s="94">
        <f t="shared" si="182"/>
        <v>2003</v>
      </c>
      <c r="E192" s="94">
        <f t="shared" si="182"/>
        <v>2004</v>
      </c>
      <c r="F192" s="94">
        <f t="shared" si="182"/>
        <v>2005</v>
      </c>
      <c r="G192" s="94">
        <f t="shared" si="182"/>
        <v>2006</v>
      </c>
      <c r="H192" s="94">
        <f t="shared" si="182"/>
        <v>2007</v>
      </c>
      <c r="I192" s="94">
        <f t="shared" si="182"/>
        <v>2008</v>
      </c>
      <c r="J192" s="94">
        <f t="shared" si="182"/>
        <v>2009</v>
      </c>
      <c r="K192" s="94">
        <f t="shared" si="182"/>
        <v>2010</v>
      </c>
      <c r="L192" s="94">
        <f t="shared" si="182"/>
        <v>2011</v>
      </c>
      <c r="M192" s="94">
        <f t="shared" si="182"/>
        <v>2012</v>
      </c>
      <c r="N192" s="94">
        <f t="shared" si="182"/>
        <v>2013</v>
      </c>
      <c r="O192" s="94">
        <f t="shared" si="182"/>
        <v>2014</v>
      </c>
      <c r="P192" s="94">
        <f t="shared" si="182"/>
        <v>2015</v>
      </c>
      <c r="Q192" s="94">
        <f t="shared" si="182"/>
        <v>2016</v>
      </c>
      <c r="R192" s="94">
        <f t="shared" si="182"/>
        <v>2017</v>
      </c>
      <c r="S192" s="94" t="str">
        <f t="shared" si="182"/>
        <v>2018E</v>
      </c>
      <c r="T192" s="94" t="str">
        <f t="shared" si="182"/>
        <v>2019E</v>
      </c>
      <c r="U192" s="94" t="str">
        <f t="shared" si="182"/>
        <v>2020E</v>
      </c>
      <c r="V192" s="94" t="str">
        <f t="shared" si="182"/>
        <v>2021E</v>
      </c>
      <c r="W192" s="94" t="str">
        <f t="shared" si="182"/>
        <v>2022E</v>
      </c>
      <c r="X192" s="94" t="str">
        <f t="shared" si="182"/>
        <v>2023E</v>
      </c>
      <c r="Y192" s="94" t="str">
        <f t="shared" si="182"/>
        <v>2024E</v>
      </c>
      <c r="Z192" s="94" t="str">
        <f t="shared" si="182"/>
        <v>2025E</v>
      </c>
      <c r="AA192" s="91"/>
      <c r="AB192" s="14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row>
    <row r="193" spans="1:83" ht="15" customHeight="1">
      <c r="A193" s="157" t="s">
        <v>8</v>
      </c>
      <c r="B193" s="158"/>
      <c r="C193" s="158"/>
      <c r="D193" s="158"/>
      <c r="E193" s="158"/>
      <c r="F193" s="158"/>
      <c r="G193" s="158"/>
      <c r="H193" s="158"/>
      <c r="I193" s="158"/>
      <c r="J193" s="158"/>
      <c r="K193" s="158"/>
      <c r="L193" s="158"/>
      <c r="M193" s="158">
        <f t="shared" ref="M193:Z193" si="183">M119</f>
        <v>152.40000000000003</v>
      </c>
      <c r="N193" s="158">
        <f t="shared" si="183"/>
        <v>174.9</v>
      </c>
      <c r="O193" s="158">
        <f t="shared" si="183"/>
        <v>198.89999999999998</v>
      </c>
      <c r="P193" s="158">
        <f t="shared" si="183"/>
        <v>214.29999999999995</v>
      </c>
      <c r="Q193" s="158">
        <f t="shared" si="183"/>
        <v>229.1</v>
      </c>
      <c r="R193" s="158">
        <f t="shared" si="183"/>
        <v>248.2</v>
      </c>
      <c r="S193" s="158">
        <f t="shared" si="183"/>
        <v>260.92897289828511</v>
      </c>
      <c r="T193" s="158">
        <f t="shared" ca="1" si="183"/>
        <v>274.6500402962929</v>
      </c>
      <c r="U193" s="158">
        <f t="shared" ca="1" si="183"/>
        <v>288.2418501038307</v>
      </c>
      <c r="V193" s="158">
        <f t="shared" ca="1" si="183"/>
        <v>302.49175938482767</v>
      </c>
      <c r="W193" s="158">
        <f t="shared" ca="1" si="183"/>
        <v>316.8325124572915</v>
      </c>
      <c r="X193" s="158">
        <f t="shared" ca="1" si="183"/>
        <v>332.02970748168639</v>
      </c>
      <c r="Y193" s="158">
        <f t="shared" ca="1" si="183"/>
        <v>347.49759145726307</v>
      </c>
      <c r="Z193" s="158">
        <f t="shared" ca="1" si="183"/>
        <v>363.48385716313356</v>
      </c>
      <c r="AA193" s="91"/>
      <c r="AB193" s="14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row>
    <row r="194" spans="1:83" ht="15" customHeight="1">
      <c r="A194" s="157" t="s">
        <v>689</v>
      </c>
      <c r="B194" s="158"/>
      <c r="C194" s="158"/>
      <c r="D194" s="158"/>
      <c r="E194" s="158"/>
      <c r="F194" s="158"/>
      <c r="G194" s="158"/>
      <c r="H194" s="158"/>
      <c r="I194" s="158"/>
      <c r="J194" s="158"/>
      <c r="K194" s="158"/>
      <c r="L194" s="158"/>
      <c r="M194" s="116">
        <f>M154</f>
        <v>-93.1</v>
      </c>
      <c r="N194" s="116">
        <f t="shared" ref="N194:Z194" si="184">N154</f>
        <v>-142.9</v>
      </c>
      <c r="O194" s="116">
        <f t="shared" si="184"/>
        <v>-87.2</v>
      </c>
      <c r="P194" s="116">
        <f t="shared" si="184"/>
        <v>-92.6</v>
      </c>
      <c r="Q194" s="116">
        <f t="shared" si="184"/>
        <v>-92.6</v>
      </c>
      <c r="R194" s="116">
        <f t="shared" si="184"/>
        <v>-92.6</v>
      </c>
      <c r="S194" s="116">
        <f t="shared" si="184"/>
        <v>-92.6</v>
      </c>
      <c r="T194" s="116">
        <f t="shared" si="184"/>
        <v>-92.6</v>
      </c>
      <c r="U194" s="116">
        <f t="shared" si="184"/>
        <v>-92.6</v>
      </c>
      <c r="V194" s="116">
        <f t="shared" si="184"/>
        <v>-92.6</v>
      </c>
      <c r="W194" s="116">
        <f t="shared" si="184"/>
        <v>-92.6</v>
      </c>
      <c r="X194" s="116">
        <f t="shared" si="184"/>
        <v>-92.6</v>
      </c>
      <c r="Y194" s="116">
        <f t="shared" si="184"/>
        <v>-92.6</v>
      </c>
      <c r="Z194" s="116">
        <f t="shared" si="184"/>
        <v>-92.6</v>
      </c>
      <c r="AA194" s="91"/>
      <c r="AB194" s="14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row>
    <row r="195" spans="1:83" ht="15" customHeight="1">
      <c r="A195" s="157" t="s">
        <v>690</v>
      </c>
      <c r="B195" s="91"/>
      <c r="C195" s="158"/>
      <c r="D195" s="158"/>
      <c r="E195" s="158"/>
      <c r="F195" s="158"/>
      <c r="G195" s="158"/>
      <c r="H195" s="158"/>
      <c r="I195" s="158"/>
      <c r="J195" s="158"/>
      <c r="K195" s="158"/>
      <c r="L195" s="158"/>
      <c r="M195" s="116">
        <f>M159</f>
        <v>-12.799999999999999</v>
      </c>
      <c r="N195" s="116">
        <f t="shared" ref="N195:Z195" si="185">N159</f>
        <v>-15.2</v>
      </c>
      <c r="O195" s="116">
        <f t="shared" si="185"/>
        <v>-54.199999999999996</v>
      </c>
      <c r="P195" s="116">
        <f t="shared" si="185"/>
        <v>-68.199999999999989</v>
      </c>
      <c r="Q195" s="116">
        <f t="shared" si="185"/>
        <v>-99.202756576402336</v>
      </c>
      <c r="R195" s="116">
        <f t="shared" si="185"/>
        <v>-102.91788452611219</v>
      </c>
      <c r="S195" s="116">
        <f t="shared" si="185"/>
        <v>-107.12222473887815</v>
      </c>
      <c r="T195" s="116">
        <f t="shared" si="185"/>
        <v>-108.64617016464716</v>
      </c>
      <c r="U195" s="116">
        <f t="shared" ca="1" si="185"/>
        <v>-109.96271802268093</v>
      </c>
      <c r="V195" s="116">
        <f t="shared" ca="1" si="185"/>
        <v>-110.44591726538539</v>
      </c>
      <c r="W195" s="116">
        <f t="shared" ca="1" si="185"/>
        <v>-110.5526546884749</v>
      </c>
      <c r="X195" s="116">
        <f t="shared" ca="1" si="185"/>
        <v>-110.58419299199286</v>
      </c>
      <c r="Y195" s="116">
        <f t="shared" ca="1" si="185"/>
        <v>-68.271368025374557</v>
      </c>
      <c r="Z195" s="116">
        <f t="shared" ca="1" si="185"/>
        <v>-52.753217803447896</v>
      </c>
      <c r="AA195" s="91"/>
      <c r="AB195" s="14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row>
    <row r="196" spans="1:83" ht="15" customHeight="1">
      <c r="A196" s="157" t="s">
        <v>691</v>
      </c>
      <c r="B196" s="159"/>
      <c r="C196" s="159"/>
      <c r="D196" s="159"/>
      <c r="E196" s="159"/>
      <c r="F196" s="159"/>
      <c r="G196" s="159"/>
      <c r="H196" s="159"/>
      <c r="I196" s="159"/>
      <c r="J196" s="159"/>
      <c r="K196" s="159"/>
      <c r="L196" s="159"/>
      <c r="M196" s="106">
        <v>0</v>
      </c>
      <c r="N196" s="106">
        <v>0</v>
      </c>
      <c r="O196" s="106">
        <v>0</v>
      </c>
      <c r="P196" s="160">
        <f>O196</f>
        <v>0</v>
      </c>
      <c r="Q196" s="160">
        <f t="shared" ref="Q196:Z196" si="186">P196</f>
        <v>0</v>
      </c>
      <c r="R196" s="160">
        <f t="shared" si="186"/>
        <v>0</v>
      </c>
      <c r="S196" s="160">
        <f t="shared" si="186"/>
        <v>0</v>
      </c>
      <c r="T196" s="160">
        <f t="shared" si="186"/>
        <v>0</v>
      </c>
      <c r="U196" s="160">
        <f t="shared" si="186"/>
        <v>0</v>
      </c>
      <c r="V196" s="160">
        <f t="shared" si="186"/>
        <v>0</v>
      </c>
      <c r="W196" s="160">
        <f t="shared" si="186"/>
        <v>0</v>
      </c>
      <c r="X196" s="160">
        <f t="shared" si="186"/>
        <v>0</v>
      </c>
      <c r="Y196" s="160">
        <f t="shared" si="186"/>
        <v>0</v>
      </c>
      <c r="Z196" s="160">
        <f t="shared" si="186"/>
        <v>0</v>
      </c>
      <c r="AA196" s="91"/>
      <c r="AB196" s="14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row>
    <row r="197" spans="1:83" ht="15" customHeight="1">
      <c r="A197" s="157" t="s">
        <v>692</v>
      </c>
      <c r="B197" s="161"/>
      <c r="C197" s="161"/>
      <c r="D197" s="161"/>
      <c r="E197" s="161"/>
      <c r="F197" s="161"/>
      <c r="G197" s="161"/>
      <c r="H197" s="161"/>
      <c r="I197" s="161"/>
      <c r="J197" s="161"/>
      <c r="K197" s="161"/>
      <c r="L197" s="161"/>
      <c r="M197" s="106">
        <v>3.3</v>
      </c>
      <c r="N197" s="106">
        <v>9.1999999999999993</v>
      </c>
      <c r="O197" s="106">
        <v>-5.3</v>
      </c>
      <c r="P197" s="160">
        <v>-37</v>
      </c>
      <c r="Q197" s="160">
        <v>-40</v>
      </c>
      <c r="R197" s="160">
        <v>-40</v>
      </c>
      <c r="S197" s="160">
        <v>-40</v>
      </c>
      <c r="T197" s="160">
        <v>-40</v>
      </c>
      <c r="U197" s="161">
        <f ca="1">IF(SUM(U193:U195)&gt;0,SUM(U193:U195)*-'LiLAC valuation'!L40,0)</f>
        <v>-29.98769622840242</v>
      </c>
      <c r="V197" s="161">
        <f ca="1">IF(SUM(V193:V195)&gt;0,SUM(V193:V195)*-'LiLAC valuation'!M40,0)</f>
        <v>-34.806044741804797</v>
      </c>
      <c r="W197" s="161">
        <f ca="1">IF(SUM(W193:W195)&gt;0,SUM(W193:W195)*-'LiLAC valuation'!N40,0)</f>
        <v>-39.787950219085808</v>
      </c>
      <c r="X197" s="161">
        <f ca="1">IF(SUM(X193:X195)&gt;0,SUM(X193:X195)*-'LiLAC valuation'!O40,0)</f>
        <v>-45.095930071392729</v>
      </c>
      <c r="Y197" s="161">
        <f ca="1">IF(SUM(Y193:Y195)&gt;0,SUM(Y193:Y195)*-'LiLAC valuation'!P40,0)</f>
        <v>-65.31917820116098</v>
      </c>
      <c r="Z197" s="161">
        <f ca="1">IF(SUM(Z193:Z195)&gt;0,SUM(Z193:Z195)*-'LiLAC valuation'!Q40,0)</f>
        <v>-76.345723775889979</v>
      </c>
      <c r="AA197" s="91"/>
      <c r="AB197" s="14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row>
    <row r="198" spans="1:83" ht="15" customHeight="1">
      <c r="A198" s="157" t="s">
        <v>693</v>
      </c>
      <c r="B198" s="132"/>
      <c r="C198" s="132"/>
      <c r="D198" s="132"/>
      <c r="E198" s="132"/>
      <c r="F198" s="132"/>
      <c r="G198" s="132"/>
      <c r="H198" s="132"/>
      <c r="I198" s="132"/>
      <c r="J198" s="132"/>
      <c r="K198" s="132"/>
      <c r="L198" s="132"/>
      <c r="M198" s="133">
        <f>M164</f>
        <v>-8.9</v>
      </c>
      <c r="N198" s="133">
        <f t="shared" ref="N198:Z198" si="187">N164</f>
        <v>6.2</v>
      </c>
      <c r="O198" s="133">
        <f t="shared" si="187"/>
        <v>2.5</v>
      </c>
      <c r="P198" s="133">
        <f t="shared" si="187"/>
        <v>0</v>
      </c>
      <c r="Q198" s="133">
        <f t="shared" si="187"/>
        <v>0</v>
      </c>
      <c r="R198" s="133">
        <f t="shared" si="187"/>
        <v>0</v>
      </c>
      <c r="S198" s="133">
        <f t="shared" si="187"/>
        <v>0</v>
      </c>
      <c r="T198" s="133">
        <f t="shared" ca="1" si="187"/>
        <v>0</v>
      </c>
      <c r="U198" s="133">
        <f t="shared" ca="1" si="187"/>
        <v>0</v>
      </c>
      <c r="V198" s="133">
        <f t="shared" ca="1" si="187"/>
        <v>0</v>
      </c>
      <c r="W198" s="133">
        <f t="shared" ca="1" si="187"/>
        <v>0</v>
      </c>
      <c r="X198" s="133">
        <f t="shared" ca="1" si="187"/>
        <v>0</v>
      </c>
      <c r="Y198" s="133">
        <f t="shared" ca="1" si="187"/>
        <v>0</v>
      </c>
      <c r="Z198" s="133">
        <f t="shared" ca="1" si="187"/>
        <v>0</v>
      </c>
      <c r="AA198" s="91"/>
      <c r="AB198" s="14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row>
    <row r="199" spans="1:83" ht="15" customHeight="1">
      <c r="A199" s="162" t="s">
        <v>228</v>
      </c>
      <c r="B199" s="158"/>
      <c r="C199" s="158"/>
      <c r="D199" s="158"/>
      <c r="E199" s="158"/>
      <c r="F199" s="158"/>
      <c r="G199" s="158"/>
      <c r="H199" s="158"/>
      <c r="I199" s="158"/>
      <c r="J199" s="158"/>
      <c r="K199" s="158"/>
      <c r="L199" s="158"/>
      <c r="M199" s="158">
        <f>SUM(M193:M198)</f>
        <v>40.900000000000041</v>
      </c>
      <c r="N199" s="158">
        <f t="shared" ref="N199:Z199" si="188">SUM(N193:N198)</f>
        <v>32.200000000000003</v>
      </c>
      <c r="O199" s="158">
        <f t="shared" si="188"/>
        <v>54.699999999999982</v>
      </c>
      <c r="P199" s="158">
        <f t="shared" si="188"/>
        <v>16.499999999999972</v>
      </c>
      <c r="Q199" s="158">
        <f t="shared" si="188"/>
        <v>-2.7027565764023365</v>
      </c>
      <c r="R199" s="158">
        <f t="shared" si="188"/>
        <v>12.682115473887805</v>
      </c>
      <c r="S199" s="158">
        <f t="shared" si="188"/>
        <v>21.20674815940697</v>
      </c>
      <c r="T199" s="158">
        <f t="shared" ca="1" si="188"/>
        <v>33.403870131645746</v>
      </c>
      <c r="U199" s="158">
        <f t="shared" ca="1" si="188"/>
        <v>55.691435852747354</v>
      </c>
      <c r="V199" s="158">
        <f t="shared" ca="1" si="188"/>
        <v>64.639797377637493</v>
      </c>
      <c r="W199" s="158">
        <f t="shared" ca="1" si="188"/>
        <v>73.891907549730803</v>
      </c>
      <c r="X199" s="158">
        <f t="shared" ca="1" si="188"/>
        <v>83.749584418300799</v>
      </c>
      <c r="Y199" s="158">
        <f t="shared" ca="1" si="188"/>
        <v>121.30704523072754</v>
      </c>
      <c r="Z199" s="158">
        <f t="shared" ca="1" si="188"/>
        <v>141.78491558379571</v>
      </c>
      <c r="AA199" s="91"/>
      <c r="AB199" s="14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row>
    <row r="200" spans="1:83" ht="15" customHeight="1">
      <c r="A200" s="157" t="s">
        <v>694</v>
      </c>
      <c r="B200" s="163"/>
      <c r="C200" s="163"/>
      <c r="D200" s="163"/>
      <c r="E200" s="163"/>
      <c r="F200" s="163"/>
      <c r="G200" s="163"/>
      <c r="H200" s="163"/>
      <c r="I200" s="163"/>
      <c r="J200" s="163"/>
      <c r="K200" s="163"/>
      <c r="L200" s="163"/>
      <c r="M200" s="163"/>
      <c r="N200" s="163"/>
      <c r="O200" s="163"/>
      <c r="P200" s="163"/>
      <c r="Q200" s="91"/>
      <c r="R200" s="91"/>
      <c r="S200" s="91"/>
      <c r="T200" s="91"/>
      <c r="U200" s="91"/>
      <c r="V200" s="91"/>
      <c r="W200" s="91"/>
      <c r="X200" s="91"/>
      <c r="Y200" s="91"/>
      <c r="Z200" s="91"/>
      <c r="AA200" s="91"/>
      <c r="AB200" s="14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row>
    <row r="201" spans="1:83" ht="15" customHeight="1">
      <c r="A201" s="157"/>
      <c r="B201" s="157"/>
      <c r="C201" s="157"/>
      <c r="D201" s="157"/>
      <c r="E201" s="157"/>
      <c r="F201" s="157"/>
      <c r="G201" s="157"/>
      <c r="H201" s="157"/>
      <c r="I201" s="157"/>
      <c r="J201" s="157"/>
      <c r="K201" s="157"/>
      <c r="L201" s="157"/>
      <c r="M201" s="159"/>
      <c r="N201" s="159"/>
      <c r="O201" s="159"/>
      <c r="P201" s="159"/>
      <c r="Q201" s="91"/>
      <c r="R201" s="91"/>
      <c r="S201" s="91"/>
      <c r="T201" s="91"/>
      <c r="U201" s="91"/>
      <c r="V201" s="91"/>
      <c r="W201" s="91"/>
      <c r="X201" s="91"/>
      <c r="Y201" s="91"/>
      <c r="Z201" s="91"/>
      <c r="AA201" s="91"/>
      <c r="AB201" s="14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row>
    <row r="202" spans="1:83" ht="15" customHeight="1">
      <c r="A202" s="157" t="s">
        <v>228</v>
      </c>
      <c r="B202" s="164"/>
      <c r="C202" s="164"/>
      <c r="D202" s="164"/>
      <c r="E202" s="164"/>
      <c r="F202" s="164"/>
      <c r="G202" s="164"/>
      <c r="H202" s="164"/>
      <c r="I202" s="164"/>
      <c r="J202" s="164"/>
      <c r="K202" s="164"/>
      <c r="L202" s="164"/>
      <c r="M202" s="158">
        <f>M199</f>
        <v>40.900000000000041</v>
      </c>
      <c r="N202" s="158">
        <f t="shared" ref="N202:Z202" si="189">N199</f>
        <v>32.200000000000003</v>
      </c>
      <c r="O202" s="158">
        <f t="shared" si="189"/>
        <v>54.699999999999982</v>
      </c>
      <c r="P202" s="158">
        <f t="shared" si="189"/>
        <v>16.499999999999972</v>
      </c>
      <c r="Q202" s="158">
        <f t="shared" si="189"/>
        <v>-2.7027565764023365</v>
      </c>
      <c r="R202" s="158">
        <f t="shared" si="189"/>
        <v>12.682115473887805</v>
      </c>
      <c r="S202" s="158">
        <f t="shared" si="189"/>
        <v>21.20674815940697</v>
      </c>
      <c r="T202" s="158">
        <f t="shared" ca="1" si="189"/>
        <v>33.403870131645746</v>
      </c>
      <c r="U202" s="158">
        <f t="shared" ca="1" si="189"/>
        <v>55.691435852747354</v>
      </c>
      <c r="V202" s="158">
        <f t="shared" ca="1" si="189"/>
        <v>64.639797377637493</v>
      </c>
      <c r="W202" s="158">
        <f t="shared" ca="1" si="189"/>
        <v>73.891907549730803</v>
      </c>
      <c r="X202" s="158">
        <f t="shared" ca="1" si="189"/>
        <v>83.749584418300799</v>
      </c>
      <c r="Y202" s="158">
        <f t="shared" ca="1" si="189"/>
        <v>121.30704523072754</v>
      </c>
      <c r="Z202" s="158">
        <f t="shared" ca="1" si="189"/>
        <v>141.78491558379571</v>
      </c>
      <c r="AA202" s="91"/>
      <c r="AB202" s="14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row>
    <row r="203" spans="1:83" ht="15" customHeight="1">
      <c r="A203" s="157" t="s">
        <v>695</v>
      </c>
      <c r="B203" s="164"/>
      <c r="C203" s="164"/>
      <c r="D203" s="164"/>
      <c r="E203" s="164"/>
      <c r="F203" s="164"/>
      <c r="G203" s="164"/>
      <c r="H203" s="164"/>
      <c r="I203" s="164"/>
      <c r="J203" s="164"/>
      <c r="K203" s="164"/>
      <c r="L203" s="164"/>
      <c r="M203" s="158">
        <f>-M194</f>
        <v>93.1</v>
      </c>
      <c r="N203" s="158">
        <f t="shared" ref="N203:Z203" si="190">-N194</f>
        <v>142.9</v>
      </c>
      <c r="O203" s="158">
        <f t="shared" si="190"/>
        <v>87.2</v>
      </c>
      <c r="P203" s="158">
        <f t="shared" si="190"/>
        <v>92.6</v>
      </c>
      <c r="Q203" s="158">
        <f t="shared" si="190"/>
        <v>92.6</v>
      </c>
      <c r="R203" s="158">
        <f t="shared" si="190"/>
        <v>92.6</v>
      </c>
      <c r="S203" s="158">
        <f t="shared" si="190"/>
        <v>92.6</v>
      </c>
      <c r="T203" s="158">
        <f t="shared" si="190"/>
        <v>92.6</v>
      </c>
      <c r="U203" s="158">
        <f t="shared" si="190"/>
        <v>92.6</v>
      </c>
      <c r="V203" s="158">
        <f t="shared" si="190"/>
        <v>92.6</v>
      </c>
      <c r="W203" s="158">
        <f t="shared" si="190"/>
        <v>92.6</v>
      </c>
      <c r="X203" s="158">
        <f t="shared" si="190"/>
        <v>92.6</v>
      </c>
      <c r="Y203" s="158">
        <f t="shared" si="190"/>
        <v>92.6</v>
      </c>
      <c r="Z203" s="158">
        <f t="shared" si="190"/>
        <v>92.6</v>
      </c>
      <c r="AA203" s="91"/>
      <c r="AB203" s="14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row>
    <row r="204" spans="1:83" ht="15" customHeight="1">
      <c r="A204" s="157" t="s">
        <v>696</v>
      </c>
      <c r="B204" s="165"/>
      <c r="C204" s="165"/>
      <c r="D204" s="165"/>
      <c r="E204" s="165"/>
      <c r="F204" s="165"/>
      <c r="G204" s="165"/>
      <c r="H204" s="165"/>
      <c r="I204" s="165"/>
      <c r="J204" s="165"/>
      <c r="K204" s="165"/>
      <c r="L204" s="165"/>
      <c r="M204" s="166">
        <f t="shared" ref="M204:Z204" si="191">-M122</f>
        <v>-118.5</v>
      </c>
      <c r="N204" s="166">
        <f t="shared" si="191"/>
        <v>-92.9</v>
      </c>
      <c r="O204" s="166">
        <f t="shared" si="191"/>
        <v>-111.7</v>
      </c>
      <c r="P204" s="166">
        <f t="shared" si="191"/>
        <v>-96.4</v>
      </c>
      <c r="Q204" s="166">
        <f t="shared" si="191"/>
        <v>-132</v>
      </c>
      <c r="R204" s="166">
        <f t="shared" si="191"/>
        <v>-137.9</v>
      </c>
      <c r="S204" s="166">
        <f t="shared" si="191"/>
        <v>-136.35259826999999</v>
      </c>
      <c r="T204" s="166">
        <f t="shared" ca="1" si="191"/>
        <v>-143.11691778694154</v>
      </c>
      <c r="U204" s="166">
        <f t="shared" ca="1" si="191"/>
        <v>-142.45123598618886</v>
      </c>
      <c r="V204" s="166">
        <f t="shared" ca="1" si="191"/>
        <v>-141.34660599784328</v>
      </c>
      <c r="W204" s="166">
        <f t="shared" ca="1" si="191"/>
        <v>-146.77417712139214</v>
      </c>
      <c r="X204" s="166">
        <f t="shared" ca="1" si="191"/>
        <v>-152.33119399143101</v>
      </c>
      <c r="Y204" s="166">
        <f t="shared" ca="1" si="191"/>
        <v>-158.02536925839908</v>
      </c>
      <c r="Z204" s="166">
        <f t="shared" ca="1" si="191"/>
        <v>-163.86458715140958</v>
      </c>
      <c r="AA204" s="91"/>
      <c r="AB204" s="14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row>
    <row r="205" spans="1:83" ht="15" customHeight="1">
      <c r="A205" s="162" t="s">
        <v>241</v>
      </c>
      <c r="B205" s="164"/>
      <c r="C205" s="164"/>
      <c r="D205" s="164"/>
      <c r="E205" s="164"/>
      <c r="F205" s="164"/>
      <c r="G205" s="164"/>
      <c r="H205" s="164"/>
      <c r="I205" s="164"/>
      <c r="J205" s="164"/>
      <c r="K205" s="164"/>
      <c r="L205" s="164"/>
      <c r="M205" s="158">
        <f>SUM(M202:M204)</f>
        <v>15.500000000000028</v>
      </c>
      <c r="N205" s="158">
        <f t="shared" ref="N205:Z205" si="192">SUM(N202:N204)</f>
        <v>82.200000000000017</v>
      </c>
      <c r="O205" s="158">
        <f t="shared" si="192"/>
        <v>30.199999999999974</v>
      </c>
      <c r="P205" s="158">
        <f t="shared" si="192"/>
        <v>12.69999999999996</v>
      </c>
      <c r="Q205" s="158">
        <f t="shared" si="192"/>
        <v>-42.102756576402342</v>
      </c>
      <c r="R205" s="158">
        <f t="shared" si="192"/>
        <v>-32.617884526112206</v>
      </c>
      <c r="S205" s="158">
        <f t="shared" si="192"/>
        <v>-22.545850110593022</v>
      </c>
      <c r="T205" s="158">
        <f t="shared" ca="1" si="192"/>
        <v>-17.113047655295802</v>
      </c>
      <c r="U205" s="158">
        <f t="shared" ca="1" si="192"/>
        <v>5.8401998665584927</v>
      </c>
      <c r="V205" s="158">
        <f t="shared" ca="1" si="192"/>
        <v>15.893191379794217</v>
      </c>
      <c r="W205" s="158">
        <f t="shared" ca="1" si="192"/>
        <v>19.717730428338655</v>
      </c>
      <c r="X205" s="158">
        <f t="shared" ca="1" si="192"/>
        <v>24.018390426869786</v>
      </c>
      <c r="Y205" s="158">
        <f t="shared" ca="1" si="192"/>
        <v>55.881675972328452</v>
      </c>
      <c r="Z205" s="158">
        <f t="shared" ca="1" si="192"/>
        <v>70.520328432386123</v>
      </c>
      <c r="AA205" s="91"/>
      <c r="AB205" s="14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row>
    <row r="206" spans="1:83" ht="15" customHeight="1">
      <c r="A206" s="99"/>
      <c r="B206" s="99"/>
      <c r="C206" s="99"/>
      <c r="D206" s="99"/>
      <c r="E206" s="99"/>
      <c r="F206" s="99"/>
      <c r="G206" s="99"/>
      <c r="H206" s="99"/>
      <c r="I206" s="99"/>
      <c r="J206" s="99"/>
      <c r="K206" s="99"/>
      <c r="L206" s="99"/>
      <c r="M206" s="97"/>
      <c r="N206" s="97"/>
      <c r="O206" s="97"/>
      <c r="P206" s="97"/>
      <c r="Q206" s="91"/>
      <c r="R206" s="91"/>
      <c r="S206" s="91"/>
      <c r="T206" s="91"/>
      <c r="U206" s="91"/>
      <c r="V206" s="91"/>
      <c r="W206" s="91"/>
      <c r="X206" s="91"/>
      <c r="Y206" s="91"/>
      <c r="Z206" s="91"/>
      <c r="AA206" s="91"/>
      <c r="AB206" s="14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row>
    <row r="207" spans="1:83" ht="15" customHeight="1">
      <c r="A207" s="99"/>
      <c r="B207" s="99"/>
      <c r="C207" s="99"/>
      <c r="D207" s="99"/>
      <c r="E207" s="99"/>
      <c r="F207" s="99"/>
      <c r="G207" s="99"/>
      <c r="H207" s="99"/>
      <c r="I207" s="99"/>
      <c r="J207" s="99"/>
      <c r="K207" s="99"/>
      <c r="L207" s="99"/>
      <c r="M207" s="97"/>
      <c r="N207" s="97"/>
      <c r="O207" s="97"/>
      <c r="P207" s="97"/>
      <c r="Q207" s="91"/>
      <c r="R207" s="91"/>
      <c r="S207" s="91"/>
      <c r="T207" s="91"/>
      <c r="U207" s="91"/>
      <c r="V207" s="91"/>
      <c r="W207" s="91"/>
      <c r="X207" s="91"/>
      <c r="Y207" s="91"/>
      <c r="Z207" s="91"/>
      <c r="AA207" s="91"/>
      <c r="AB207" s="14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row>
    <row r="208" spans="1:83" ht="15" customHeight="1">
      <c r="A208" s="99"/>
      <c r="B208" s="99"/>
      <c r="C208" s="99"/>
      <c r="D208" s="99"/>
      <c r="E208" s="99"/>
      <c r="F208" s="99"/>
      <c r="G208" s="99"/>
      <c r="H208" s="99"/>
      <c r="I208" s="99"/>
      <c r="J208" s="99"/>
      <c r="K208" s="99"/>
      <c r="L208" s="99"/>
      <c r="M208" s="97"/>
      <c r="N208" s="97"/>
      <c r="O208" s="97"/>
      <c r="P208" s="97"/>
      <c r="Q208" s="91"/>
      <c r="R208" s="91"/>
      <c r="S208" s="91"/>
      <c r="T208" s="91"/>
      <c r="U208" s="91"/>
      <c r="V208" s="91"/>
      <c r="W208" s="91"/>
      <c r="X208" s="91"/>
      <c r="Y208" s="91"/>
      <c r="Z208" s="91"/>
      <c r="AA208" s="91"/>
      <c r="AB208" s="14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row>
    <row r="209" spans="1:83" ht="15" customHeight="1">
      <c r="A209" s="93" t="str">
        <f>CONCATENATE(A$1," Tax")</f>
        <v>Chile (VTR) Tax</v>
      </c>
      <c r="B209" s="94">
        <f t="shared" ref="B209:Z209" si="193">+B$1</f>
        <v>2001</v>
      </c>
      <c r="C209" s="94">
        <f t="shared" si="193"/>
        <v>2002</v>
      </c>
      <c r="D209" s="94">
        <f t="shared" si="193"/>
        <v>2003</v>
      </c>
      <c r="E209" s="94">
        <f t="shared" si="193"/>
        <v>2004</v>
      </c>
      <c r="F209" s="94">
        <f t="shared" si="193"/>
        <v>2005</v>
      </c>
      <c r="G209" s="94">
        <f t="shared" si="193"/>
        <v>2006</v>
      </c>
      <c r="H209" s="94">
        <f t="shared" si="193"/>
        <v>2007</v>
      </c>
      <c r="I209" s="94">
        <f t="shared" si="193"/>
        <v>2008</v>
      </c>
      <c r="J209" s="94">
        <f t="shared" si="193"/>
        <v>2009</v>
      </c>
      <c r="K209" s="94">
        <f t="shared" si="193"/>
        <v>2010</v>
      </c>
      <c r="L209" s="94">
        <f t="shared" si="193"/>
        <v>2011</v>
      </c>
      <c r="M209" s="94">
        <f t="shared" si="193"/>
        <v>2012</v>
      </c>
      <c r="N209" s="94">
        <f t="shared" si="193"/>
        <v>2013</v>
      </c>
      <c r="O209" s="94">
        <f t="shared" si="193"/>
        <v>2014</v>
      </c>
      <c r="P209" s="94">
        <f t="shared" si="193"/>
        <v>2015</v>
      </c>
      <c r="Q209" s="94">
        <f t="shared" si="193"/>
        <v>2016</v>
      </c>
      <c r="R209" s="94">
        <f t="shared" si="193"/>
        <v>2017</v>
      </c>
      <c r="S209" s="94" t="str">
        <f t="shared" si="193"/>
        <v>2018E</v>
      </c>
      <c r="T209" s="94" t="str">
        <f t="shared" si="193"/>
        <v>2019E</v>
      </c>
      <c r="U209" s="94" t="str">
        <f t="shared" si="193"/>
        <v>2020E</v>
      </c>
      <c r="V209" s="94" t="str">
        <f t="shared" si="193"/>
        <v>2021E</v>
      </c>
      <c r="W209" s="94" t="str">
        <f t="shared" si="193"/>
        <v>2022E</v>
      </c>
      <c r="X209" s="94" t="str">
        <f t="shared" si="193"/>
        <v>2023E</v>
      </c>
      <c r="Y209" s="94" t="str">
        <f t="shared" si="193"/>
        <v>2024E</v>
      </c>
      <c r="Z209" s="94" t="str">
        <f t="shared" si="193"/>
        <v>2025E</v>
      </c>
      <c r="AA209" s="91"/>
      <c r="AB209" s="14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row>
    <row r="210" spans="1:83" ht="15" customHeight="1">
      <c r="A210" s="99" t="s">
        <v>189</v>
      </c>
      <c r="B210" s="167"/>
      <c r="C210" s="167"/>
      <c r="D210" s="167"/>
      <c r="E210" s="167"/>
      <c r="F210" s="167"/>
      <c r="G210" s="167"/>
      <c r="H210" s="167"/>
      <c r="I210" s="167"/>
      <c r="J210" s="167"/>
      <c r="K210" s="167"/>
      <c r="L210" s="167"/>
      <c r="M210" s="167">
        <f t="shared" ref="M210:Y210" si="194">-M197</f>
        <v>-3.3</v>
      </c>
      <c r="N210" s="167">
        <f t="shared" si="194"/>
        <v>-9.1999999999999993</v>
      </c>
      <c r="O210" s="167">
        <f t="shared" si="194"/>
        <v>5.3</v>
      </c>
      <c r="P210" s="167">
        <f t="shared" si="194"/>
        <v>37</v>
      </c>
      <c r="Q210" s="167">
        <f t="shared" si="194"/>
        <v>40</v>
      </c>
      <c r="R210" s="167">
        <f t="shared" si="194"/>
        <v>40</v>
      </c>
      <c r="S210" s="167">
        <f t="shared" si="194"/>
        <v>40</v>
      </c>
      <c r="T210" s="167">
        <f t="shared" si="194"/>
        <v>40</v>
      </c>
      <c r="U210" s="167">
        <f t="shared" ca="1" si="194"/>
        <v>29.98769622840242</v>
      </c>
      <c r="V210" s="167">
        <f t="shared" ca="1" si="194"/>
        <v>34.806044741804797</v>
      </c>
      <c r="W210" s="167">
        <f t="shared" ca="1" si="194"/>
        <v>39.787950219085808</v>
      </c>
      <c r="X210" s="167">
        <f t="shared" ca="1" si="194"/>
        <v>45.095930071392729</v>
      </c>
      <c r="Y210" s="167">
        <f t="shared" ca="1" si="194"/>
        <v>65.31917820116098</v>
      </c>
      <c r="Z210" s="167">
        <f ca="1">-Z197</f>
        <v>76.345723775889979</v>
      </c>
      <c r="AA210" s="91"/>
      <c r="AB210" s="14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row>
    <row r="211" spans="1:83" ht="15" customHeight="1">
      <c r="A211" s="99" t="s">
        <v>697</v>
      </c>
      <c r="B211" s="153"/>
      <c r="C211" s="153"/>
      <c r="D211" s="153"/>
      <c r="E211" s="153"/>
      <c r="F211" s="153"/>
      <c r="G211" s="153"/>
      <c r="H211" s="153"/>
      <c r="I211" s="153"/>
      <c r="J211" s="153"/>
      <c r="K211" s="153"/>
      <c r="L211" s="153"/>
      <c r="M211" s="133">
        <f t="shared" ref="M211:Z211" si="195">-M177</f>
        <v>10.7</v>
      </c>
      <c r="N211" s="133">
        <f t="shared" si="195"/>
        <v>19.399999999999999</v>
      </c>
      <c r="O211" s="133">
        <f t="shared" si="195"/>
        <v>20.5</v>
      </c>
      <c r="P211" s="133">
        <f t="shared" si="195"/>
        <v>37</v>
      </c>
      <c r="Q211" s="133">
        <f t="shared" si="195"/>
        <v>40</v>
      </c>
      <c r="R211" s="133">
        <f t="shared" si="195"/>
        <v>40</v>
      </c>
      <c r="S211" s="133">
        <f t="shared" si="195"/>
        <v>40</v>
      </c>
      <c r="T211" s="133">
        <f t="shared" si="195"/>
        <v>40</v>
      </c>
      <c r="U211" s="133">
        <f t="shared" ca="1" si="195"/>
        <v>29.98769622840242</v>
      </c>
      <c r="V211" s="133">
        <f t="shared" ca="1" si="195"/>
        <v>34.806044741804797</v>
      </c>
      <c r="W211" s="133">
        <f t="shared" ca="1" si="195"/>
        <v>39.787950219085808</v>
      </c>
      <c r="X211" s="133">
        <f t="shared" ca="1" si="195"/>
        <v>45.095930071392729</v>
      </c>
      <c r="Y211" s="133">
        <f t="shared" ca="1" si="195"/>
        <v>65.31917820116098</v>
      </c>
      <c r="Z211" s="133">
        <f t="shared" ca="1" si="195"/>
        <v>76.345723775889979</v>
      </c>
      <c r="AA211" s="91"/>
      <c r="AB211" s="14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row>
    <row r="212" spans="1:83" ht="15" customHeight="1" thickBot="1">
      <c r="A212" s="99" t="s">
        <v>698</v>
      </c>
      <c r="B212" s="97"/>
      <c r="C212" s="97"/>
      <c r="D212" s="97"/>
      <c r="E212" s="97"/>
      <c r="F212" s="97"/>
      <c r="G212" s="97"/>
      <c r="H212" s="97"/>
      <c r="I212" s="97"/>
      <c r="J212" s="97"/>
      <c r="K212" s="97"/>
      <c r="L212" s="97"/>
      <c r="M212" s="97">
        <f>M210-M211</f>
        <v>-14</v>
      </c>
      <c r="N212" s="97">
        <f t="shared" ref="N212:Z212" si="196">N210-N211</f>
        <v>-28.599999999999998</v>
      </c>
      <c r="O212" s="97">
        <f t="shared" si="196"/>
        <v>-15.2</v>
      </c>
      <c r="P212" s="97">
        <f t="shared" si="196"/>
        <v>0</v>
      </c>
      <c r="Q212" s="97">
        <f t="shared" si="196"/>
        <v>0</v>
      </c>
      <c r="R212" s="97">
        <f t="shared" si="196"/>
        <v>0</v>
      </c>
      <c r="S212" s="97">
        <f t="shared" si="196"/>
        <v>0</v>
      </c>
      <c r="T212" s="97">
        <f t="shared" si="196"/>
        <v>0</v>
      </c>
      <c r="U212" s="97">
        <f t="shared" ca="1" si="196"/>
        <v>0</v>
      </c>
      <c r="V212" s="97">
        <f t="shared" ca="1" si="196"/>
        <v>0</v>
      </c>
      <c r="W212" s="97">
        <f t="shared" ca="1" si="196"/>
        <v>0</v>
      </c>
      <c r="X212" s="97">
        <f t="shared" ca="1" si="196"/>
        <v>0</v>
      </c>
      <c r="Y212" s="97">
        <f t="shared" ca="1" si="196"/>
        <v>0</v>
      </c>
      <c r="Z212" s="97">
        <f t="shared" ca="1" si="196"/>
        <v>0</v>
      </c>
      <c r="AA212" s="91"/>
      <c r="AB212" s="14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row>
    <row r="213" spans="1:83" ht="15" customHeight="1" thickBot="1">
      <c r="A213" s="99" t="s">
        <v>204</v>
      </c>
      <c r="B213" s="97"/>
      <c r="C213" s="97"/>
      <c r="D213" s="97"/>
      <c r="E213" s="97"/>
      <c r="F213" s="97"/>
      <c r="G213" s="97"/>
      <c r="H213" s="97"/>
      <c r="I213" s="97"/>
      <c r="J213" s="97"/>
      <c r="K213" s="97"/>
      <c r="L213" s="97"/>
      <c r="M213" s="97"/>
      <c r="N213" s="97"/>
      <c r="O213" s="97"/>
      <c r="P213" s="168">
        <f ca="1">NPV(6.8%,Q212:U212)</f>
        <v>0</v>
      </c>
      <c r="Q213" s="91"/>
      <c r="R213" s="91"/>
      <c r="S213" s="91"/>
      <c r="T213" s="91"/>
      <c r="U213" s="91"/>
      <c r="V213" s="91"/>
      <c r="W213" s="91"/>
      <c r="X213" s="91"/>
      <c r="Y213" s="91"/>
      <c r="Z213" s="91"/>
      <c r="AA213" s="91"/>
      <c r="AB213" s="14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row>
    <row r="214" spans="1:83" ht="15" customHeight="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14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row>
    <row r="215" spans="1:83" ht="15" customHeight="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14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row>
    <row r="216" spans="1:83" ht="15" customHeight="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14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row>
    <row r="217" spans="1:83" ht="15" customHeight="1">
      <c r="A217" s="93" t="str">
        <f>CONCATENATE(A$1," Debt structure (CHP bn)")</f>
        <v>Chile (VTR) Debt structure (CHP bn)</v>
      </c>
      <c r="B217" s="94">
        <f t="shared" ref="B217:Z217" si="197">+B$1</f>
        <v>2001</v>
      </c>
      <c r="C217" s="94">
        <f t="shared" si="197"/>
        <v>2002</v>
      </c>
      <c r="D217" s="94">
        <f t="shared" si="197"/>
        <v>2003</v>
      </c>
      <c r="E217" s="94">
        <f t="shared" si="197"/>
        <v>2004</v>
      </c>
      <c r="F217" s="94">
        <f t="shared" si="197"/>
        <v>2005</v>
      </c>
      <c r="G217" s="94">
        <f t="shared" si="197"/>
        <v>2006</v>
      </c>
      <c r="H217" s="94">
        <f t="shared" si="197"/>
        <v>2007</v>
      </c>
      <c r="I217" s="94">
        <f t="shared" si="197"/>
        <v>2008</v>
      </c>
      <c r="J217" s="94">
        <f t="shared" si="197"/>
        <v>2009</v>
      </c>
      <c r="K217" s="94">
        <f t="shared" si="197"/>
        <v>2010</v>
      </c>
      <c r="L217" s="94">
        <f t="shared" si="197"/>
        <v>2011</v>
      </c>
      <c r="M217" s="94">
        <f t="shared" si="197"/>
        <v>2012</v>
      </c>
      <c r="N217" s="94">
        <f t="shared" si="197"/>
        <v>2013</v>
      </c>
      <c r="O217" s="94">
        <f t="shared" si="197"/>
        <v>2014</v>
      </c>
      <c r="P217" s="94">
        <f t="shared" si="197"/>
        <v>2015</v>
      </c>
      <c r="Q217" s="94">
        <f t="shared" si="197"/>
        <v>2016</v>
      </c>
      <c r="R217" s="94">
        <f t="shared" si="197"/>
        <v>2017</v>
      </c>
      <c r="S217" s="94" t="str">
        <f t="shared" si="197"/>
        <v>2018E</v>
      </c>
      <c r="T217" s="94" t="str">
        <f t="shared" si="197"/>
        <v>2019E</v>
      </c>
      <c r="U217" s="94" t="str">
        <f t="shared" si="197"/>
        <v>2020E</v>
      </c>
      <c r="V217" s="94" t="str">
        <f t="shared" si="197"/>
        <v>2021E</v>
      </c>
      <c r="W217" s="94" t="str">
        <f t="shared" si="197"/>
        <v>2022E</v>
      </c>
      <c r="X217" s="94" t="str">
        <f t="shared" si="197"/>
        <v>2023E</v>
      </c>
      <c r="Y217" s="94" t="str">
        <f t="shared" si="197"/>
        <v>2024E</v>
      </c>
      <c r="Z217" s="94" t="str">
        <f t="shared" si="197"/>
        <v>2025E</v>
      </c>
      <c r="AA217" s="91"/>
      <c r="AB217" s="93" t="str">
        <f>CONCATENATE(AB$1," Debt structure (CHP bn)")</f>
        <v>Chile (VTR) Debt structure (CHP bn)</v>
      </c>
      <c r="AC217" s="94" t="str">
        <f t="shared" ref="AC217:CD217" si="198">+AC$1</f>
        <v>Q4 01</v>
      </c>
      <c r="AD217" s="94" t="str">
        <f t="shared" si="198"/>
        <v>Q1 02</v>
      </c>
      <c r="AE217" s="94" t="str">
        <f t="shared" si="198"/>
        <v>Q2 02</v>
      </c>
      <c r="AF217" s="94" t="str">
        <f t="shared" si="198"/>
        <v>Q3 02</v>
      </c>
      <c r="AG217" s="94" t="str">
        <f t="shared" si="198"/>
        <v>Q4 02</v>
      </c>
      <c r="AH217" s="94" t="str">
        <f t="shared" si="198"/>
        <v>Q1 03</v>
      </c>
      <c r="AI217" s="94" t="str">
        <f t="shared" si="198"/>
        <v>Q2 03</v>
      </c>
      <c r="AJ217" s="94" t="str">
        <f t="shared" si="198"/>
        <v>Q3 03</v>
      </c>
      <c r="AK217" s="94" t="str">
        <f t="shared" si="198"/>
        <v>Q4 03</v>
      </c>
      <c r="AL217" s="94" t="str">
        <f t="shared" si="198"/>
        <v>1Q04</v>
      </c>
      <c r="AM217" s="94" t="str">
        <f t="shared" si="198"/>
        <v>Q2 04</v>
      </c>
      <c r="AN217" s="94" t="str">
        <f t="shared" si="198"/>
        <v>Q3 04</v>
      </c>
      <c r="AO217" s="94" t="str">
        <f t="shared" si="198"/>
        <v>Q4 04</v>
      </c>
      <c r="AP217" s="94" t="str">
        <f t="shared" si="198"/>
        <v>Q1 05</v>
      </c>
      <c r="AQ217" s="94" t="str">
        <f t="shared" si="198"/>
        <v>Q2 05</v>
      </c>
      <c r="AR217" s="94" t="str">
        <f t="shared" si="198"/>
        <v>Q3 05</v>
      </c>
      <c r="AS217" s="94" t="str">
        <f t="shared" si="198"/>
        <v>Q4 05</v>
      </c>
      <c r="AT217" s="94" t="str">
        <f t="shared" si="198"/>
        <v>Q1 06</v>
      </c>
      <c r="AU217" s="94" t="str">
        <f t="shared" si="198"/>
        <v>Q2 06</v>
      </c>
      <c r="AV217" s="94" t="str">
        <f t="shared" si="198"/>
        <v>Q3 06</v>
      </c>
      <c r="AW217" s="94" t="str">
        <f t="shared" si="198"/>
        <v>Q4 06</v>
      </c>
      <c r="AX217" s="94" t="str">
        <f t="shared" si="198"/>
        <v>Q1 07</v>
      </c>
      <c r="AY217" s="94" t="str">
        <f t="shared" si="198"/>
        <v>Q2 07</v>
      </c>
      <c r="AZ217" s="94" t="str">
        <f t="shared" si="198"/>
        <v>Q3 07</v>
      </c>
      <c r="BA217" s="94" t="str">
        <f t="shared" si="198"/>
        <v>Q4 07</v>
      </c>
      <c r="BB217" s="94" t="str">
        <f t="shared" si="198"/>
        <v>Q1 08</v>
      </c>
      <c r="BC217" s="94" t="str">
        <f t="shared" si="198"/>
        <v>Q2 08</v>
      </c>
      <c r="BD217" s="94" t="str">
        <f t="shared" si="198"/>
        <v>Q3 08</v>
      </c>
      <c r="BE217" s="94" t="str">
        <f t="shared" si="198"/>
        <v>Q4 08</v>
      </c>
      <c r="BF217" s="94" t="str">
        <f t="shared" si="198"/>
        <v>Q1 09</v>
      </c>
      <c r="BG217" s="94" t="str">
        <f t="shared" si="198"/>
        <v>Q2 09</v>
      </c>
      <c r="BH217" s="94" t="str">
        <f t="shared" si="198"/>
        <v>Q3 09</v>
      </c>
      <c r="BI217" s="94" t="str">
        <f t="shared" si="198"/>
        <v>Q4 09</v>
      </c>
      <c r="BJ217" s="94" t="str">
        <f t="shared" si="198"/>
        <v>Q1 10</v>
      </c>
      <c r="BK217" s="94" t="str">
        <f t="shared" si="198"/>
        <v>Q2 10</v>
      </c>
      <c r="BL217" s="94" t="str">
        <f t="shared" si="198"/>
        <v>Q3 10</v>
      </c>
      <c r="BM217" s="94" t="str">
        <f t="shared" si="198"/>
        <v>Q4 10</v>
      </c>
      <c r="BN217" s="94" t="str">
        <f t="shared" si="198"/>
        <v>Q1 11</v>
      </c>
      <c r="BO217" s="94" t="str">
        <f t="shared" si="198"/>
        <v>Q2 11</v>
      </c>
      <c r="BP217" s="94" t="str">
        <f t="shared" si="198"/>
        <v>Q3 11</v>
      </c>
      <c r="BQ217" s="94" t="str">
        <f t="shared" si="198"/>
        <v>Q4 11</v>
      </c>
      <c r="BR217" s="94" t="str">
        <f t="shared" si="198"/>
        <v>Q1 12</v>
      </c>
      <c r="BS217" s="94" t="str">
        <f t="shared" si="198"/>
        <v>Q2 12</v>
      </c>
      <c r="BT217" s="94" t="str">
        <f t="shared" si="198"/>
        <v>Q3 12</v>
      </c>
      <c r="BU217" s="94" t="str">
        <f t="shared" si="198"/>
        <v>Q4 12</v>
      </c>
      <c r="BV217" s="94" t="str">
        <f t="shared" si="198"/>
        <v>Q1 13</v>
      </c>
      <c r="BW217" s="94" t="str">
        <f t="shared" si="198"/>
        <v>Q2 13</v>
      </c>
      <c r="BX217" s="94" t="str">
        <f t="shared" si="198"/>
        <v>Q3 13</v>
      </c>
      <c r="BY217" s="94" t="str">
        <f t="shared" si="198"/>
        <v>Q4 13</v>
      </c>
      <c r="BZ217" s="94" t="str">
        <f t="shared" si="198"/>
        <v>Q1 14</v>
      </c>
      <c r="CA217" s="94" t="str">
        <f t="shared" si="198"/>
        <v>Q2 14</v>
      </c>
      <c r="CB217" s="94" t="str">
        <f t="shared" si="198"/>
        <v>Q3 14</v>
      </c>
      <c r="CC217" s="94" t="str">
        <f t="shared" si="198"/>
        <v>Q4 14</v>
      </c>
      <c r="CD217" s="94" t="str">
        <f t="shared" si="198"/>
        <v>Q1 15</v>
      </c>
      <c r="CE217" s="91"/>
    </row>
    <row r="218" spans="1:83" ht="15" customHeight="1">
      <c r="A218" s="169" t="s">
        <v>699</v>
      </c>
      <c r="B218" s="91"/>
      <c r="C218" s="91"/>
      <c r="D218" s="91"/>
      <c r="E218" s="91"/>
      <c r="F218" s="91"/>
      <c r="G218" s="91"/>
      <c r="H218" s="91"/>
      <c r="I218" s="91"/>
      <c r="J218" s="91"/>
      <c r="K218" s="91"/>
      <c r="L218" s="91"/>
      <c r="M218" s="96">
        <v>44</v>
      </c>
      <c r="N218" s="96">
        <v>59.4</v>
      </c>
      <c r="O218" s="96">
        <v>0</v>
      </c>
      <c r="P218" s="96">
        <v>0</v>
      </c>
      <c r="Q218" s="96">
        <v>0</v>
      </c>
      <c r="R218" s="170">
        <f t="shared" ref="R218:Z220" si="199">Q218-R239+R252</f>
        <v>0</v>
      </c>
      <c r="S218" s="170">
        <f t="shared" si="199"/>
        <v>0</v>
      </c>
      <c r="T218" s="170">
        <f t="shared" si="199"/>
        <v>0</v>
      </c>
      <c r="U218" s="170">
        <f t="shared" si="199"/>
        <v>0</v>
      </c>
      <c r="V218" s="170">
        <f t="shared" si="199"/>
        <v>0</v>
      </c>
      <c r="W218" s="170">
        <f t="shared" si="199"/>
        <v>0</v>
      </c>
      <c r="X218" s="170">
        <f t="shared" si="199"/>
        <v>0</v>
      </c>
      <c r="Y218" s="170">
        <f t="shared" si="199"/>
        <v>0</v>
      </c>
      <c r="Z218" s="170">
        <f t="shared" si="199"/>
        <v>0</v>
      </c>
      <c r="AA218" s="91"/>
      <c r="AB218" s="169" t="s">
        <v>699</v>
      </c>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0"/>
      <c r="AY218" s="110"/>
      <c r="AZ218" s="110"/>
      <c r="BA218" s="110"/>
      <c r="BB218" s="96"/>
      <c r="BC218" s="96"/>
      <c r="BD218" s="96"/>
      <c r="BE218" s="96"/>
      <c r="BF218" s="96"/>
      <c r="BG218" s="96"/>
      <c r="BH218" s="96"/>
      <c r="BI218" s="96"/>
      <c r="BJ218" s="96"/>
      <c r="BK218" s="96"/>
      <c r="BL218" s="96"/>
      <c r="BM218" s="96"/>
      <c r="BN218" s="96"/>
      <c r="BO218" s="96"/>
      <c r="BP218" s="96"/>
      <c r="BQ218" s="96"/>
      <c r="BR218" s="96"/>
      <c r="BS218" s="96"/>
      <c r="BT218" s="96"/>
      <c r="BU218" s="96">
        <v>44</v>
      </c>
      <c r="BV218" s="96"/>
      <c r="BW218" s="96"/>
      <c r="BX218" s="96"/>
      <c r="BY218" s="96">
        <v>59.4</v>
      </c>
      <c r="BZ218" s="96">
        <v>0</v>
      </c>
      <c r="CA218" s="96">
        <v>0</v>
      </c>
      <c r="CB218" s="96">
        <v>0</v>
      </c>
      <c r="CC218" s="96">
        <v>0</v>
      </c>
      <c r="CD218" s="96">
        <v>0</v>
      </c>
      <c r="CE218" s="141" t="str">
        <f>AB218</f>
        <v>VTR Wireless Bank facilities</v>
      </c>
    </row>
    <row r="219" spans="1:83" ht="15" customHeight="1">
      <c r="A219" s="169" t="s">
        <v>700</v>
      </c>
      <c r="B219" s="91"/>
      <c r="C219" s="91"/>
      <c r="D219" s="91"/>
      <c r="E219" s="91"/>
      <c r="F219" s="91"/>
      <c r="G219" s="91"/>
      <c r="H219" s="91"/>
      <c r="I219" s="91"/>
      <c r="J219" s="91"/>
      <c r="K219" s="91"/>
      <c r="L219" s="91"/>
      <c r="M219" s="96">
        <v>0</v>
      </c>
      <c r="N219" s="96">
        <v>0</v>
      </c>
      <c r="O219" s="96">
        <v>0</v>
      </c>
      <c r="P219" s="96">
        <v>0</v>
      </c>
      <c r="Q219" s="96">
        <v>0</v>
      </c>
      <c r="R219" s="145">
        <f>Q219-R240+R253</f>
        <v>0</v>
      </c>
      <c r="S219" s="145">
        <f>R219-S240+S253</f>
        <v>0</v>
      </c>
      <c r="T219" s="145">
        <f t="shared" si="199"/>
        <v>0</v>
      </c>
      <c r="U219" s="145">
        <f t="shared" si="199"/>
        <v>0</v>
      </c>
      <c r="V219" s="145">
        <f t="shared" si="199"/>
        <v>0</v>
      </c>
      <c r="W219" s="145">
        <f t="shared" si="199"/>
        <v>0</v>
      </c>
      <c r="X219" s="145">
        <f t="shared" si="199"/>
        <v>0</v>
      </c>
      <c r="Y219" s="145">
        <f t="shared" si="199"/>
        <v>0</v>
      </c>
      <c r="Z219" s="145">
        <f t="shared" si="199"/>
        <v>0</v>
      </c>
      <c r="AA219" s="91"/>
      <c r="AB219" s="169" t="s">
        <v>700</v>
      </c>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0"/>
      <c r="AY219" s="110"/>
      <c r="AZ219" s="110"/>
      <c r="BA219" s="110"/>
      <c r="BB219" s="96"/>
      <c r="BC219" s="96"/>
      <c r="BD219" s="96"/>
      <c r="BE219" s="96"/>
      <c r="BF219" s="96"/>
      <c r="BG219" s="96"/>
      <c r="BH219" s="96"/>
      <c r="BI219" s="96"/>
      <c r="BJ219" s="96"/>
      <c r="BK219" s="96"/>
      <c r="BL219" s="96"/>
      <c r="BM219" s="96"/>
      <c r="BN219" s="96"/>
      <c r="BO219" s="96"/>
      <c r="BP219" s="96"/>
      <c r="BQ219" s="96"/>
      <c r="BR219" s="96"/>
      <c r="BS219" s="96"/>
      <c r="BT219" s="96"/>
      <c r="BU219" s="96">
        <v>0</v>
      </c>
      <c r="BV219" s="96"/>
      <c r="BW219" s="96"/>
      <c r="BX219" s="96"/>
      <c r="BY219" s="96">
        <v>0</v>
      </c>
      <c r="BZ219" s="96">
        <v>0</v>
      </c>
      <c r="CA219" s="96">
        <v>0</v>
      </c>
      <c r="CB219" s="96">
        <v>0</v>
      </c>
      <c r="CC219" s="96">
        <v>0</v>
      </c>
      <c r="CD219" s="96">
        <v>0</v>
      </c>
      <c r="CE219" s="141" t="str">
        <f t="shared" ref="CE219:CE251" si="200">AB219</f>
        <v>VTR Senior Credit facilities</v>
      </c>
    </row>
    <row r="220" spans="1:83" ht="15" customHeight="1">
      <c r="A220" s="169" t="s">
        <v>701</v>
      </c>
      <c r="B220" s="91"/>
      <c r="C220" s="91"/>
      <c r="D220" s="91"/>
      <c r="E220" s="91"/>
      <c r="F220" s="91"/>
      <c r="G220" s="91"/>
      <c r="H220" s="91"/>
      <c r="I220" s="91"/>
      <c r="J220" s="91"/>
      <c r="K220" s="91"/>
      <c r="L220" s="91"/>
      <c r="M220" s="96">
        <v>0</v>
      </c>
      <c r="N220" s="96">
        <v>0</v>
      </c>
      <c r="O220" s="96">
        <v>849.7</v>
      </c>
      <c r="P220" s="96">
        <f>992-100</f>
        <v>892</v>
      </c>
      <c r="Q220" s="96">
        <v>954.9</v>
      </c>
      <c r="R220" s="145">
        <f t="shared" si="199"/>
        <v>954.9</v>
      </c>
      <c r="S220" s="145">
        <f t="shared" si="199"/>
        <v>954.9</v>
      </c>
      <c r="T220" s="145">
        <f t="shared" si="199"/>
        <v>954.9</v>
      </c>
      <c r="U220" s="145">
        <f t="shared" si="199"/>
        <v>954.9</v>
      </c>
      <c r="V220" s="145">
        <f t="shared" si="199"/>
        <v>954.9</v>
      </c>
      <c r="W220" s="145">
        <f t="shared" si="199"/>
        <v>954.9</v>
      </c>
      <c r="X220" s="145">
        <f t="shared" si="199"/>
        <v>954.9</v>
      </c>
      <c r="Y220" s="145">
        <f t="shared" si="199"/>
        <v>194.89999999999998</v>
      </c>
      <c r="Z220" s="145">
        <f t="shared" si="199"/>
        <v>194.89999999999998</v>
      </c>
      <c r="AA220" s="91"/>
      <c r="AB220" s="169" t="s">
        <v>701</v>
      </c>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0"/>
      <c r="AY220" s="110"/>
      <c r="AZ220" s="110"/>
      <c r="BA220" s="110"/>
      <c r="BB220" s="96"/>
      <c r="BC220" s="96"/>
      <c r="BD220" s="96"/>
      <c r="BE220" s="96"/>
      <c r="BF220" s="96"/>
      <c r="BG220" s="96"/>
      <c r="BH220" s="96"/>
      <c r="BI220" s="96"/>
      <c r="BJ220" s="96"/>
      <c r="BK220" s="96"/>
      <c r="BL220" s="96"/>
      <c r="BM220" s="96"/>
      <c r="BN220" s="96"/>
      <c r="BO220" s="96"/>
      <c r="BP220" s="96"/>
      <c r="BQ220" s="96"/>
      <c r="BR220" s="96"/>
      <c r="BS220" s="96"/>
      <c r="BT220" s="96"/>
      <c r="BU220" s="96">
        <v>0</v>
      </c>
      <c r="BV220" s="96"/>
      <c r="BW220" s="96"/>
      <c r="BX220" s="96"/>
      <c r="BY220" s="96">
        <v>0</v>
      </c>
      <c r="BZ220" s="96">
        <v>769.2</v>
      </c>
      <c r="CA220" s="96">
        <v>774.1</v>
      </c>
      <c r="CB220" s="96">
        <v>837.7</v>
      </c>
      <c r="CC220" s="96">
        <v>849.7</v>
      </c>
      <c r="CD220" s="96">
        <v>875.3</v>
      </c>
      <c r="CE220" s="141" t="str">
        <f t="shared" si="200"/>
        <v>VTR Finance 6.875% SSN 2024</v>
      </c>
    </row>
    <row r="221" spans="1:83" ht="15" customHeight="1">
      <c r="A221" s="169" t="s">
        <v>702</v>
      </c>
      <c r="B221" s="91"/>
      <c r="C221" s="91"/>
      <c r="D221" s="91"/>
      <c r="E221" s="91"/>
      <c r="F221" s="91"/>
      <c r="G221" s="91"/>
      <c r="H221" s="91"/>
      <c r="I221" s="91"/>
      <c r="J221" s="91"/>
      <c r="K221" s="91"/>
      <c r="L221" s="91"/>
      <c r="M221" s="96">
        <v>0</v>
      </c>
      <c r="N221" s="96">
        <v>0</v>
      </c>
      <c r="O221" s="96">
        <v>0</v>
      </c>
      <c r="P221" s="96">
        <v>0</v>
      </c>
      <c r="Q221" s="96">
        <v>0</v>
      </c>
      <c r="R221" s="145">
        <f t="shared" ref="R221:Z222" si="201">Q221-R242+R255</f>
        <v>0</v>
      </c>
      <c r="S221" s="145">
        <f t="shared" si="201"/>
        <v>0</v>
      </c>
      <c r="T221" s="145">
        <f t="shared" si="201"/>
        <v>0</v>
      </c>
      <c r="U221" s="145">
        <f t="shared" si="201"/>
        <v>0</v>
      </c>
      <c r="V221" s="145">
        <f t="shared" si="201"/>
        <v>0</v>
      </c>
      <c r="W221" s="145">
        <f t="shared" si="201"/>
        <v>0</v>
      </c>
      <c r="X221" s="145">
        <f t="shared" si="201"/>
        <v>0</v>
      </c>
      <c r="Y221" s="145">
        <f t="shared" si="201"/>
        <v>0</v>
      </c>
      <c r="Z221" s="145">
        <f t="shared" si="201"/>
        <v>0</v>
      </c>
      <c r="AA221" s="91"/>
      <c r="AB221" s="169" t="s">
        <v>702</v>
      </c>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96"/>
      <c r="BC221" s="96"/>
      <c r="BD221" s="96"/>
      <c r="BE221" s="96"/>
      <c r="BF221" s="96"/>
      <c r="BG221" s="96"/>
      <c r="BH221" s="96"/>
      <c r="BI221" s="96"/>
      <c r="BJ221" s="96"/>
      <c r="BK221" s="96"/>
      <c r="BL221" s="96"/>
      <c r="BM221" s="96"/>
      <c r="BN221" s="96"/>
      <c r="BO221" s="96"/>
      <c r="BP221" s="96"/>
      <c r="BQ221" s="96"/>
      <c r="BR221" s="96"/>
      <c r="BS221" s="96"/>
      <c r="BT221" s="96"/>
      <c r="BU221" s="96">
        <v>0</v>
      </c>
      <c r="BV221" s="96">
        <v>0</v>
      </c>
      <c r="BW221" s="96">
        <v>0</v>
      </c>
      <c r="BX221" s="96">
        <v>0</v>
      </c>
      <c r="BY221" s="96">
        <v>0</v>
      </c>
      <c r="BZ221" s="96">
        <v>0</v>
      </c>
      <c r="CA221" s="96">
        <v>0</v>
      </c>
      <c r="CB221" s="96">
        <v>0</v>
      </c>
      <c r="CC221" s="96">
        <v>0</v>
      </c>
      <c r="CD221" s="96">
        <v>0</v>
      </c>
      <c r="CE221" s="141" t="str">
        <f t="shared" si="200"/>
        <v>New SSN debt</v>
      </c>
    </row>
    <row r="222" spans="1:83" ht="15" customHeight="1">
      <c r="A222" s="92" t="s">
        <v>703</v>
      </c>
      <c r="B222" s="156"/>
      <c r="C222" s="156"/>
      <c r="D222" s="156"/>
      <c r="E222" s="156"/>
      <c r="F222" s="156"/>
      <c r="G222" s="156"/>
      <c r="H222" s="156"/>
      <c r="I222" s="156"/>
      <c r="J222" s="156"/>
      <c r="K222" s="156"/>
      <c r="L222" s="156"/>
      <c r="M222" s="154">
        <v>0.1</v>
      </c>
      <c r="N222" s="154">
        <v>0.5</v>
      </c>
      <c r="O222" s="154">
        <v>0.2</v>
      </c>
      <c r="P222" s="154">
        <v>0.2</v>
      </c>
      <c r="Q222" s="154">
        <v>0.2</v>
      </c>
      <c r="R222" s="171">
        <f t="shared" si="201"/>
        <v>0.2</v>
      </c>
      <c r="S222" s="171">
        <f t="shared" si="201"/>
        <v>0.2</v>
      </c>
      <c r="T222" s="171">
        <f t="shared" si="201"/>
        <v>0.2</v>
      </c>
      <c r="U222" s="171">
        <f t="shared" si="201"/>
        <v>0.2</v>
      </c>
      <c r="V222" s="171">
        <f t="shared" si="201"/>
        <v>0.2</v>
      </c>
      <c r="W222" s="171">
        <f t="shared" si="201"/>
        <v>0.2</v>
      </c>
      <c r="X222" s="171">
        <f t="shared" si="201"/>
        <v>0.2</v>
      </c>
      <c r="Y222" s="171">
        <f t="shared" si="201"/>
        <v>0.2</v>
      </c>
      <c r="Z222" s="171">
        <f t="shared" si="201"/>
        <v>0.2</v>
      </c>
      <c r="AA222" s="91"/>
      <c r="AB222" s="92" t="s">
        <v>703</v>
      </c>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v>0.1</v>
      </c>
      <c r="BV222" s="154"/>
      <c r="BW222" s="154"/>
      <c r="BX222" s="154"/>
      <c r="BY222" s="154">
        <v>0.5</v>
      </c>
      <c r="BZ222" s="154">
        <v>0.4</v>
      </c>
      <c r="CA222" s="154">
        <v>0.4</v>
      </c>
      <c r="CB222" s="154">
        <v>0.4</v>
      </c>
      <c r="CC222" s="154">
        <v>0.3</v>
      </c>
      <c r="CD222" s="154">
        <v>0.3</v>
      </c>
      <c r="CE222" s="141" t="str">
        <f t="shared" si="200"/>
        <v>Capital leases</v>
      </c>
    </row>
    <row r="223" spans="1:83" ht="15" customHeight="1">
      <c r="A223" s="92" t="s">
        <v>704</v>
      </c>
      <c r="B223" s="144"/>
      <c r="C223" s="144"/>
      <c r="D223" s="144"/>
      <c r="E223" s="144"/>
      <c r="F223" s="144"/>
      <c r="G223" s="144"/>
      <c r="H223" s="144"/>
      <c r="I223" s="144"/>
      <c r="J223" s="144"/>
      <c r="K223" s="144"/>
      <c r="L223" s="144"/>
      <c r="M223" s="144">
        <f t="shared" ref="M223:Z223" si="202">SUM(M218:M222)</f>
        <v>44.1</v>
      </c>
      <c r="N223" s="144">
        <f t="shared" si="202"/>
        <v>59.9</v>
      </c>
      <c r="O223" s="144">
        <f t="shared" si="202"/>
        <v>849.90000000000009</v>
      </c>
      <c r="P223" s="144">
        <f t="shared" si="202"/>
        <v>892.2</v>
      </c>
      <c r="Q223" s="144">
        <f>SUM(Q218:Q222)</f>
        <v>955.1</v>
      </c>
      <c r="R223" s="144">
        <f>SUM(R218:R222)</f>
        <v>955.1</v>
      </c>
      <c r="S223" s="144">
        <f>SUM(S218:S222)</f>
        <v>955.1</v>
      </c>
      <c r="T223" s="144">
        <f t="shared" si="202"/>
        <v>955.1</v>
      </c>
      <c r="U223" s="144">
        <f t="shared" si="202"/>
        <v>955.1</v>
      </c>
      <c r="V223" s="144">
        <f t="shared" si="202"/>
        <v>955.1</v>
      </c>
      <c r="W223" s="144">
        <f t="shared" si="202"/>
        <v>955.1</v>
      </c>
      <c r="X223" s="144">
        <f t="shared" si="202"/>
        <v>955.1</v>
      </c>
      <c r="Y223" s="144">
        <f t="shared" si="202"/>
        <v>195.09999999999997</v>
      </c>
      <c r="Z223" s="144">
        <f t="shared" si="202"/>
        <v>195.09999999999997</v>
      </c>
      <c r="AA223" s="91"/>
      <c r="AB223" s="92" t="s">
        <v>704</v>
      </c>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144">
        <f t="shared" ref="BB223:CD223" si="203">SUM(BB218:BB222)</f>
        <v>0</v>
      </c>
      <c r="BC223" s="144">
        <f t="shared" si="203"/>
        <v>0</v>
      </c>
      <c r="BD223" s="144">
        <f t="shared" si="203"/>
        <v>0</v>
      </c>
      <c r="BE223" s="144">
        <f t="shared" si="203"/>
        <v>0</v>
      </c>
      <c r="BF223" s="144">
        <f t="shared" si="203"/>
        <v>0</v>
      </c>
      <c r="BG223" s="144">
        <f t="shared" si="203"/>
        <v>0</v>
      </c>
      <c r="BH223" s="144">
        <f t="shared" si="203"/>
        <v>0</v>
      </c>
      <c r="BI223" s="144">
        <f t="shared" si="203"/>
        <v>0</v>
      </c>
      <c r="BJ223" s="144">
        <f t="shared" si="203"/>
        <v>0</v>
      </c>
      <c r="BK223" s="144">
        <f t="shared" si="203"/>
        <v>0</v>
      </c>
      <c r="BL223" s="144">
        <f t="shared" si="203"/>
        <v>0</v>
      </c>
      <c r="BM223" s="144">
        <f t="shared" si="203"/>
        <v>0</v>
      </c>
      <c r="BN223" s="144">
        <f t="shared" si="203"/>
        <v>0</v>
      </c>
      <c r="BO223" s="144">
        <f t="shared" si="203"/>
        <v>0</v>
      </c>
      <c r="BP223" s="144">
        <f t="shared" si="203"/>
        <v>0</v>
      </c>
      <c r="BQ223" s="144">
        <f t="shared" si="203"/>
        <v>0</v>
      </c>
      <c r="BR223" s="144">
        <f t="shared" si="203"/>
        <v>0</v>
      </c>
      <c r="BS223" s="144">
        <f t="shared" si="203"/>
        <v>0</v>
      </c>
      <c r="BT223" s="144">
        <f t="shared" si="203"/>
        <v>0</v>
      </c>
      <c r="BU223" s="144">
        <f t="shared" si="203"/>
        <v>44.1</v>
      </c>
      <c r="BV223" s="144">
        <f t="shared" si="203"/>
        <v>0</v>
      </c>
      <c r="BW223" s="144">
        <f t="shared" si="203"/>
        <v>0</v>
      </c>
      <c r="BX223" s="144">
        <f t="shared" si="203"/>
        <v>0</v>
      </c>
      <c r="BY223" s="144">
        <f t="shared" si="203"/>
        <v>59.9</v>
      </c>
      <c r="BZ223" s="144">
        <f t="shared" si="203"/>
        <v>769.6</v>
      </c>
      <c r="CA223" s="144">
        <f t="shared" si="203"/>
        <v>774.5</v>
      </c>
      <c r="CB223" s="144">
        <f t="shared" si="203"/>
        <v>838.1</v>
      </c>
      <c r="CC223" s="144">
        <f t="shared" si="203"/>
        <v>850</v>
      </c>
      <c r="CD223" s="144">
        <f t="shared" si="203"/>
        <v>875.59999999999991</v>
      </c>
      <c r="CE223" s="141" t="str">
        <f t="shared" si="200"/>
        <v>Total senior secured debt</v>
      </c>
    </row>
    <row r="224" spans="1:83" ht="15" customHeight="1">
      <c r="A224" s="92" t="s">
        <v>705</v>
      </c>
      <c r="B224" s="91"/>
      <c r="C224" s="91"/>
      <c r="D224" s="91"/>
      <c r="E224" s="91"/>
      <c r="F224" s="91"/>
      <c r="G224" s="91"/>
      <c r="H224" s="91"/>
      <c r="I224" s="91"/>
      <c r="J224" s="91"/>
      <c r="K224" s="91"/>
      <c r="L224" s="91"/>
      <c r="M224" s="96">
        <v>0</v>
      </c>
      <c r="N224" s="96">
        <v>0</v>
      </c>
      <c r="O224" s="96">
        <v>0</v>
      </c>
      <c r="P224" s="96">
        <v>0</v>
      </c>
      <c r="Q224" s="96">
        <v>0</v>
      </c>
      <c r="R224" s="145">
        <f t="shared" ref="R224:Z225" si="204">Q224-R245+R258</f>
        <v>0</v>
      </c>
      <c r="S224" s="145">
        <f t="shared" si="204"/>
        <v>0</v>
      </c>
      <c r="T224" s="145">
        <f t="shared" si="204"/>
        <v>0</v>
      </c>
      <c r="U224" s="145">
        <f t="shared" si="204"/>
        <v>0</v>
      </c>
      <c r="V224" s="145">
        <f t="shared" si="204"/>
        <v>0</v>
      </c>
      <c r="W224" s="145">
        <f t="shared" si="204"/>
        <v>0</v>
      </c>
      <c r="X224" s="145">
        <f t="shared" si="204"/>
        <v>0</v>
      </c>
      <c r="Y224" s="145">
        <f t="shared" si="204"/>
        <v>0</v>
      </c>
      <c r="Z224" s="145">
        <f t="shared" si="204"/>
        <v>0</v>
      </c>
      <c r="AA224" s="91"/>
      <c r="AB224" s="92" t="s">
        <v>705</v>
      </c>
      <c r="AC224" s="110"/>
      <c r="AD224" s="110"/>
      <c r="AE224" s="110"/>
      <c r="AF224" s="110"/>
      <c r="AG224" s="110"/>
      <c r="AH224" s="110"/>
      <c r="AI224" s="110"/>
      <c r="AJ224" s="110"/>
      <c r="AK224" s="110"/>
      <c r="AL224" s="110"/>
      <c r="AM224" s="110"/>
      <c r="AN224" s="110"/>
      <c r="AO224" s="110"/>
      <c r="AP224" s="110"/>
      <c r="AQ224" s="110"/>
      <c r="AR224" s="110"/>
      <c r="AS224" s="110"/>
      <c r="AT224" s="110"/>
      <c r="AU224" s="110"/>
      <c r="AV224" s="110"/>
      <c r="AW224" s="110"/>
      <c r="AX224" s="110"/>
      <c r="AY224" s="110"/>
      <c r="AZ224" s="110"/>
      <c r="BA224" s="110"/>
      <c r="BB224" s="96"/>
      <c r="BC224" s="96"/>
      <c r="BD224" s="96"/>
      <c r="BE224" s="96"/>
      <c r="BF224" s="96"/>
      <c r="BG224" s="96"/>
      <c r="BH224" s="96"/>
      <c r="BI224" s="96"/>
      <c r="BJ224" s="96"/>
      <c r="BK224" s="96"/>
      <c r="BL224" s="96"/>
      <c r="BM224" s="96"/>
      <c r="BN224" s="96"/>
      <c r="BO224" s="96"/>
      <c r="BP224" s="96"/>
      <c r="BQ224" s="96"/>
      <c r="BR224" s="96"/>
      <c r="BS224" s="96"/>
      <c r="BT224" s="96"/>
      <c r="BU224" s="96">
        <v>0</v>
      </c>
      <c r="BV224" s="96"/>
      <c r="BW224" s="96"/>
      <c r="BX224" s="96">
        <v>0</v>
      </c>
      <c r="BY224" s="96">
        <v>0</v>
      </c>
      <c r="BZ224" s="96">
        <v>0</v>
      </c>
      <c r="CA224" s="96">
        <v>0</v>
      </c>
      <c r="CB224" s="96">
        <v>0</v>
      </c>
      <c r="CC224" s="96">
        <v>0</v>
      </c>
      <c r="CD224" s="96">
        <v>0</v>
      </c>
      <c r="CE224" s="141" t="str">
        <f t="shared" si="200"/>
        <v>HY debt</v>
      </c>
    </row>
    <row r="225" spans="1:83" ht="15" customHeight="1">
      <c r="A225" s="92" t="s">
        <v>4</v>
      </c>
      <c r="B225" s="91"/>
      <c r="C225" s="91"/>
      <c r="D225" s="91"/>
      <c r="E225" s="91"/>
      <c r="F225" s="91"/>
      <c r="G225" s="91"/>
      <c r="H225" s="91"/>
      <c r="I225" s="91"/>
      <c r="J225" s="91"/>
      <c r="K225" s="91"/>
      <c r="L225" s="91"/>
      <c r="M225" s="154">
        <v>0</v>
      </c>
      <c r="N225" s="154">
        <v>0</v>
      </c>
      <c r="O225" s="154">
        <v>0</v>
      </c>
      <c r="P225" s="154">
        <v>0</v>
      </c>
      <c r="Q225" s="154">
        <v>0</v>
      </c>
      <c r="R225" s="171">
        <f t="shared" si="204"/>
        <v>0</v>
      </c>
      <c r="S225" s="171">
        <f t="shared" si="204"/>
        <v>0</v>
      </c>
      <c r="T225" s="171">
        <f t="shared" si="204"/>
        <v>0</v>
      </c>
      <c r="U225" s="171">
        <f t="shared" si="204"/>
        <v>0</v>
      </c>
      <c r="V225" s="171">
        <f t="shared" si="204"/>
        <v>0</v>
      </c>
      <c r="W225" s="171">
        <f t="shared" si="204"/>
        <v>0</v>
      </c>
      <c r="X225" s="171">
        <f t="shared" si="204"/>
        <v>0</v>
      </c>
      <c r="Y225" s="171">
        <f t="shared" si="204"/>
        <v>0</v>
      </c>
      <c r="Z225" s="171">
        <f t="shared" si="204"/>
        <v>0</v>
      </c>
      <c r="AB225" s="92" t="s">
        <v>4</v>
      </c>
      <c r="AC225" s="172"/>
      <c r="AD225" s="172"/>
      <c r="AE225" s="172"/>
      <c r="AF225" s="172"/>
      <c r="AG225" s="172"/>
      <c r="AH225" s="172"/>
      <c r="AI225" s="172"/>
      <c r="AJ225" s="172"/>
      <c r="AK225" s="172"/>
      <c r="AL225" s="172"/>
      <c r="AM225" s="172"/>
      <c r="AN225" s="172"/>
      <c r="AO225" s="172"/>
      <c r="AP225" s="172"/>
      <c r="AQ225" s="172"/>
      <c r="AR225" s="172"/>
      <c r="AS225" s="172"/>
      <c r="AT225" s="172"/>
      <c r="AU225" s="172"/>
      <c r="AV225" s="172"/>
      <c r="AW225" s="172"/>
      <c r="AX225" s="172"/>
      <c r="AY225" s="172"/>
      <c r="AZ225" s="172"/>
      <c r="BA225" s="172"/>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v>0</v>
      </c>
      <c r="BV225" s="154"/>
      <c r="BW225" s="154"/>
      <c r="BX225" s="154">
        <v>0</v>
      </c>
      <c r="BY225" s="154">
        <v>0</v>
      </c>
      <c r="BZ225" s="154">
        <v>0</v>
      </c>
      <c r="CA225" s="154">
        <v>0</v>
      </c>
      <c r="CB225" s="154">
        <v>0</v>
      </c>
      <c r="CC225" s="154">
        <v>0</v>
      </c>
      <c r="CD225" s="154">
        <v>0</v>
      </c>
      <c r="CE225" s="141" t="str">
        <f t="shared" si="200"/>
        <v>Other</v>
      </c>
    </row>
    <row r="226" spans="1:83" ht="15" customHeight="1">
      <c r="A226" s="92" t="s">
        <v>706</v>
      </c>
      <c r="M226" s="144">
        <f>SUM(M223:M225)</f>
        <v>44.1</v>
      </c>
      <c r="N226" s="144">
        <f>SUM(N223:N225)</f>
        <v>59.9</v>
      </c>
      <c r="O226" s="144">
        <f>SUM(O223:O225)</f>
        <v>849.90000000000009</v>
      </c>
      <c r="P226" s="144">
        <f t="shared" ref="P226:Z226" si="205">SUM(P223:P225)</f>
        <v>892.2</v>
      </c>
      <c r="Q226" s="144">
        <f>SUM(Q223:Q225)</f>
        <v>955.1</v>
      </c>
      <c r="R226" s="144">
        <f t="shared" si="205"/>
        <v>955.1</v>
      </c>
      <c r="S226" s="144">
        <f t="shared" si="205"/>
        <v>955.1</v>
      </c>
      <c r="T226" s="144">
        <f t="shared" si="205"/>
        <v>955.1</v>
      </c>
      <c r="U226" s="144">
        <f t="shared" si="205"/>
        <v>955.1</v>
      </c>
      <c r="V226" s="144">
        <f t="shared" si="205"/>
        <v>955.1</v>
      </c>
      <c r="W226" s="144">
        <f t="shared" si="205"/>
        <v>955.1</v>
      </c>
      <c r="X226" s="144">
        <f t="shared" si="205"/>
        <v>955.1</v>
      </c>
      <c r="Y226" s="144">
        <f t="shared" si="205"/>
        <v>195.09999999999997</v>
      </c>
      <c r="Z226" s="144">
        <f t="shared" si="205"/>
        <v>195.09999999999997</v>
      </c>
      <c r="AB226" s="92" t="s">
        <v>706</v>
      </c>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144">
        <f t="shared" ref="BB226:CD226" si="206">SUM(BB223:BB224)</f>
        <v>0</v>
      </c>
      <c r="BC226" s="144">
        <f t="shared" si="206"/>
        <v>0</v>
      </c>
      <c r="BD226" s="144">
        <f t="shared" si="206"/>
        <v>0</v>
      </c>
      <c r="BE226" s="144">
        <f t="shared" si="206"/>
        <v>0</v>
      </c>
      <c r="BF226" s="144">
        <f t="shared" si="206"/>
        <v>0</v>
      </c>
      <c r="BG226" s="144">
        <f t="shared" si="206"/>
        <v>0</v>
      </c>
      <c r="BH226" s="144">
        <f t="shared" si="206"/>
        <v>0</v>
      </c>
      <c r="BI226" s="144">
        <f t="shared" si="206"/>
        <v>0</v>
      </c>
      <c r="BJ226" s="144">
        <f t="shared" si="206"/>
        <v>0</v>
      </c>
      <c r="BK226" s="144">
        <f t="shared" si="206"/>
        <v>0</v>
      </c>
      <c r="BL226" s="144">
        <f t="shared" si="206"/>
        <v>0</v>
      </c>
      <c r="BM226" s="144">
        <f t="shared" si="206"/>
        <v>0</v>
      </c>
      <c r="BN226" s="144">
        <f t="shared" si="206"/>
        <v>0</v>
      </c>
      <c r="BO226" s="144">
        <f t="shared" si="206"/>
        <v>0</v>
      </c>
      <c r="BP226" s="144">
        <f t="shared" si="206"/>
        <v>0</v>
      </c>
      <c r="BQ226" s="144">
        <f t="shared" si="206"/>
        <v>0</v>
      </c>
      <c r="BR226" s="144">
        <f t="shared" si="206"/>
        <v>0</v>
      </c>
      <c r="BS226" s="144">
        <f t="shared" si="206"/>
        <v>0</v>
      </c>
      <c r="BT226" s="144">
        <f t="shared" si="206"/>
        <v>0</v>
      </c>
      <c r="BU226" s="144">
        <f t="shared" si="206"/>
        <v>44.1</v>
      </c>
      <c r="BV226" s="144">
        <f t="shared" si="206"/>
        <v>0</v>
      </c>
      <c r="BW226" s="144">
        <f t="shared" si="206"/>
        <v>0</v>
      </c>
      <c r="BX226" s="144">
        <f t="shared" si="206"/>
        <v>0</v>
      </c>
      <c r="BY226" s="144">
        <f t="shared" si="206"/>
        <v>59.9</v>
      </c>
      <c r="BZ226" s="144">
        <f t="shared" si="206"/>
        <v>769.6</v>
      </c>
      <c r="CA226" s="144">
        <f t="shared" si="206"/>
        <v>774.5</v>
      </c>
      <c r="CB226" s="144">
        <f t="shared" si="206"/>
        <v>838.1</v>
      </c>
      <c r="CC226" s="144">
        <f t="shared" si="206"/>
        <v>850</v>
      </c>
      <c r="CD226" s="144">
        <f t="shared" si="206"/>
        <v>875.59999999999991</v>
      </c>
      <c r="CE226" s="141" t="str">
        <f t="shared" si="200"/>
        <v>Total third pary debt</v>
      </c>
    </row>
    <row r="227" spans="1:83" ht="15" customHeight="1">
      <c r="A227" s="92" t="s">
        <v>707</v>
      </c>
      <c r="M227" s="154">
        <v>21.2</v>
      </c>
      <c r="N227" s="154">
        <v>86.9</v>
      </c>
      <c r="O227" s="154">
        <v>51.7</v>
      </c>
      <c r="P227" s="154">
        <v>89.8</v>
      </c>
      <c r="Q227" s="154">
        <v>83.7</v>
      </c>
      <c r="R227" s="171">
        <f t="shared" ref="R227:Z227" si="207">R185</f>
        <v>-30.702310000000061</v>
      </c>
      <c r="S227" s="171">
        <f t="shared" si="207"/>
        <v>-72.169667111714929</v>
      </c>
      <c r="T227" s="171">
        <f t="shared" ca="1" si="207"/>
        <v>-107.99362724873896</v>
      </c>
      <c r="U227" s="171">
        <f t="shared" ca="1" si="207"/>
        <v>-121.14173295811841</v>
      </c>
      <c r="V227" s="171">
        <f t="shared" ca="1" si="207"/>
        <v>-124.04611441797493</v>
      </c>
      <c r="W227" s="171">
        <f t="shared" ca="1" si="207"/>
        <v>-124.90428825580607</v>
      </c>
      <c r="X227" s="171">
        <f t="shared" ca="1" si="207"/>
        <v>-121.2900510062446</v>
      </c>
      <c r="Y227" s="171">
        <f t="shared" ca="1" si="207"/>
        <v>-846.77301602013517</v>
      </c>
      <c r="Z227" s="171">
        <f t="shared" ca="1" si="207"/>
        <v>-771.67421786509783</v>
      </c>
      <c r="AB227" s="92" t="s">
        <v>707</v>
      </c>
      <c r="AC227" s="172"/>
      <c r="AD227" s="172"/>
      <c r="AE227" s="172"/>
      <c r="AF227" s="172"/>
      <c r="AG227" s="172"/>
      <c r="AH227" s="172"/>
      <c r="AI227" s="172"/>
      <c r="AJ227" s="172"/>
      <c r="AK227" s="172"/>
      <c r="AL227" s="172"/>
      <c r="AM227" s="172"/>
      <c r="AN227" s="172"/>
      <c r="AO227" s="172"/>
      <c r="AP227" s="172"/>
      <c r="AQ227" s="172"/>
      <c r="AR227" s="172"/>
      <c r="AS227" s="172"/>
      <c r="AT227" s="172"/>
      <c r="AU227" s="172"/>
      <c r="AV227" s="172"/>
      <c r="AW227" s="172"/>
      <c r="AX227" s="172"/>
      <c r="AY227" s="172"/>
      <c r="AZ227" s="172"/>
      <c r="BA227" s="172"/>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v>21.2</v>
      </c>
      <c r="BV227" s="154"/>
      <c r="BW227" s="154"/>
      <c r="BX227" s="154"/>
      <c r="BY227" s="154">
        <v>86.9</v>
      </c>
      <c r="BZ227" s="154">
        <v>58.1</v>
      </c>
      <c r="CA227" s="154">
        <v>61.1</v>
      </c>
      <c r="CB227" s="154">
        <v>35.700000000000003</v>
      </c>
      <c r="CC227" s="154">
        <v>51.7</v>
      </c>
      <c r="CD227" s="154">
        <v>31.1</v>
      </c>
      <c r="CE227" s="141" t="str">
        <f t="shared" si="200"/>
        <v>Cash</v>
      </c>
    </row>
    <row r="228" spans="1:83" ht="15" customHeight="1">
      <c r="A228" s="92" t="s">
        <v>708</v>
      </c>
      <c r="M228" s="144">
        <f t="shared" ref="M228:Z228" si="208">M226-M227</f>
        <v>22.900000000000002</v>
      </c>
      <c r="N228" s="144">
        <f t="shared" si="208"/>
        <v>-27.000000000000007</v>
      </c>
      <c r="O228" s="144">
        <f t="shared" si="208"/>
        <v>798.2</v>
      </c>
      <c r="P228" s="144">
        <f>P226-P227</f>
        <v>802.40000000000009</v>
      </c>
      <c r="Q228" s="144">
        <f t="shared" si="208"/>
        <v>871.4</v>
      </c>
      <c r="R228" s="144">
        <f>R226-R227</f>
        <v>985.80231000000003</v>
      </c>
      <c r="S228" s="144">
        <f>S226-S227</f>
        <v>1027.2696671117149</v>
      </c>
      <c r="T228" s="144">
        <f ca="1">T226-T227</f>
        <v>1063.093627248739</v>
      </c>
      <c r="U228" s="144">
        <f t="shared" ca="1" si="208"/>
        <v>1076.2417329581185</v>
      </c>
      <c r="V228" s="144">
        <f t="shared" ca="1" si="208"/>
        <v>1079.146114417975</v>
      </c>
      <c r="W228" s="144">
        <f t="shared" ca="1" si="208"/>
        <v>1080.0042882558062</v>
      </c>
      <c r="X228" s="144">
        <f t="shared" ca="1" si="208"/>
        <v>1076.3900510062447</v>
      </c>
      <c r="Y228" s="144">
        <f t="shared" ca="1" si="208"/>
        <v>1041.8730160201351</v>
      </c>
      <c r="Z228" s="144">
        <f t="shared" ca="1" si="208"/>
        <v>966.77421786509785</v>
      </c>
      <c r="AB228" s="92" t="s">
        <v>708</v>
      </c>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144">
        <f t="shared" ref="BB228:CD228" si="209">BB226-BB227</f>
        <v>0</v>
      </c>
      <c r="BC228" s="144">
        <f t="shared" si="209"/>
        <v>0</v>
      </c>
      <c r="BD228" s="144">
        <f t="shared" si="209"/>
        <v>0</v>
      </c>
      <c r="BE228" s="144">
        <f t="shared" si="209"/>
        <v>0</v>
      </c>
      <c r="BF228" s="144">
        <f t="shared" si="209"/>
        <v>0</v>
      </c>
      <c r="BG228" s="144">
        <f t="shared" si="209"/>
        <v>0</v>
      </c>
      <c r="BH228" s="144">
        <f t="shared" si="209"/>
        <v>0</v>
      </c>
      <c r="BI228" s="144">
        <f t="shared" si="209"/>
        <v>0</v>
      </c>
      <c r="BJ228" s="144">
        <f t="shared" si="209"/>
        <v>0</v>
      </c>
      <c r="BK228" s="144">
        <f t="shared" si="209"/>
        <v>0</v>
      </c>
      <c r="BL228" s="144">
        <f t="shared" si="209"/>
        <v>0</v>
      </c>
      <c r="BM228" s="144">
        <f t="shared" si="209"/>
        <v>0</v>
      </c>
      <c r="BN228" s="144">
        <f t="shared" si="209"/>
        <v>0</v>
      </c>
      <c r="BO228" s="144">
        <f t="shared" si="209"/>
        <v>0</v>
      </c>
      <c r="BP228" s="144">
        <f t="shared" si="209"/>
        <v>0</v>
      </c>
      <c r="BQ228" s="144">
        <f t="shared" si="209"/>
        <v>0</v>
      </c>
      <c r="BR228" s="144">
        <f t="shared" si="209"/>
        <v>0</v>
      </c>
      <c r="BS228" s="144">
        <f t="shared" si="209"/>
        <v>0</v>
      </c>
      <c r="BT228" s="144">
        <f t="shared" si="209"/>
        <v>0</v>
      </c>
      <c r="BU228" s="144">
        <f t="shared" si="209"/>
        <v>22.900000000000002</v>
      </c>
      <c r="BV228" s="144">
        <f t="shared" si="209"/>
        <v>0</v>
      </c>
      <c r="BW228" s="144">
        <f t="shared" si="209"/>
        <v>0</v>
      </c>
      <c r="BX228" s="144">
        <f t="shared" si="209"/>
        <v>0</v>
      </c>
      <c r="BY228" s="144">
        <f t="shared" si="209"/>
        <v>-27.000000000000007</v>
      </c>
      <c r="BZ228" s="144">
        <f t="shared" si="209"/>
        <v>711.5</v>
      </c>
      <c r="CA228" s="144">
        <f t="shared" si="209"/>
        <v>713.4</v>
      </c>
      <c r="CB228" s="144">
        <f t="shared" si="209"/>
        <v>802.4</v>
      </c>
      <c r="CC228" s="144">
        <f t="shared" si="209"/>
        <v>798.3</v>
      </c>
      <c r="CD228" s="144">
        <f t="shared" si="209"/>
        <v>844.49999999999989</v>
      </c>
      <c r="CE228" s="141" t="str">
        <f t="shared" si="200"/>
        <v>Total third party net debt</v>
      </c>
    </row>
    <row r="229" spans="1:83" ht="15" customHeight="1">
      <c r="A229" s="92" t="s">
        <v>709</v>
      </c>
      <c r="M229" s="96">
        <v>262.39999999999998</v>
      </c>
      <c r="N229" s="96">
        <v>290.60000000000002</v>
      </c>
      <c r="O229" s="96">
        <v>0</v>
      </c>
      <c r="P229" s="96">
        <v>0</v>
      </c>
      <c r="Q229" s="96">
        <v>0</v>
      </c>
      <c r="R229" s="145">
        <f t="shared" ref="R229:Z229" si="210">Q229-R247+R260</f>
        <v>0</v>
      </c>
      <c r="S229" s="145">
        <f t="shared" si="210"/>
        <v>0</v>
      </c>
      <c r="T229" s="145">
        <f t="shared" si="210"/>
        <v>0</v>
      </c>
      <c r="U229" s="145">
        <f t="shared" si="210"/>
        <v>0</v>
      </c>
      <c r="V229" s="145">
        <f t="shared" si="210"/>
        <v>0</v>
      </c>
      <c r="W229" s="145">
        <f t="shared" si="210"/>
        <v>0</v>
      </c>
      <c r="X229" s="145">
        <f t="shared" si="210"/>
        <v>0</v>
      </c>
      <c r="Y229" s="145">
        <f t="shared" si="210"/>
        <v>0</v>
      </c>
      <c r="Z229" s="145">
        <f t="shared" si="210"/>
        <v>0</v>
      </c>
      <c r="AB229" s="92" t="s">
        <v>709</v>
      </c>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0"/>
      <c r="AY229" s="110"/>
      <c r="AZ229" s="110"/>
      <c r="BA229" s="110"/>
      <c r="BB229" s="96"/>
      <c r="BC229" s="96"/>
      <c r="BD229" s="96"/>
      <c r="BE229" s="96"/>
      <c r="BF229" s="96"/>
      <c r="BG229" s="96"/>
      <c r="BH229" s="96"/>
      <c r="BI229" s="96"/>
      <c r="BJ229" s="96"/>
      <c r="BK229" s="96"/>
      <c r="BL229" s="96"/>
      <c r="BM229" s="96"/>
      <c r="BN229" s="96"/>
      <c r="BO229" s="96"/>
      <c r="BP229" s="96"/>
      <c r="BQ229" s="96"/>
      <c r="BR229" s="96"/>
      <c r="BS229" s="96"/>
      <c r="BT229" s="96"/>
      <c r="BU229" s="96">
        <v>262.39999999999998</v>
      </c>
      <c r="BV229" s="96"/>
      <c r="BW229" s="96"/>
      <c r="BX229" s="96"/>
      <c r="BY229" s="96">
        <v>290.60000000000002</v>
      </c>
      <c r="BZ229" s="96">
        <v>0</v>
      </c>
      <c r="CA229" s="96">
        <v>0</v>
      </c>
      <c r="CB229" s="96">
        <v>0</v>
      </c>
      <c r="CC229" s="96">
        <v>0</v>
      </c>
      <c r="CD229" s="96">
        <v>0</v>
      </c>
      <c r="CE229" s="141" t="str">
        <f t="shared" si="200"/>
        <v>Related party debt</v>
      </c>
    </row>
    <row r="230" spans="1:83" ht="15" customHeight="1">
      <c r="A230" s="92" t="s">
        <v>710</v>
      </c>
      <c r="M230" s="144">
        <f>M228+M229</f>
        <v>285.29999999999995</v>
      </c>
      <c r="N230" s="144">
        <f t="shared" ref="N230:Z230" si="211">N228+N229</f>
        <v>263.60000000000002</v>
      </c>
      <c r="O230" s="144">
        <f t="shared" si="211"/>
        <v>798.2</v>
      </c>
      <c r="P230" s="144">
        <f t="shared" si="211"/>
        <v>802.40000000000009</v>
      </c>
      <c r="Q230" s="144">
        <f t="shared" si="211"/>
        <v>871.4</v>
      </c>
      <c r="R230" s="144">
        <f t="shared" si="211"/>
        <v>985.80231000000003</v>
      </c>
      <c r="S230" s="144">
        <f t="shared" si="211"/>
        <v>1027.2696671117149</v>
      </c>
      <c r="T230" s="144">
        <f t="shared" ca="1" si="211"/>
        <v>1063.093627248739</v>
      </c>
      <c r="U230" s="144">
        <f t="shared" ca="1" si="211"/>
        <v>1076.2417329581185</v>
      </c>
      <c r="V230" s="144">
        <f t="shared" ca="1" si="211"/>
        <v>1079.146114417975</v>
      </c>
      <c r="W230" s="144">
        <f t="shared" ca="1" si="211"/>
        <v>1080.0042882558062</v>
      </c>
      <c r="X230" s="144">
        <f t="shared" ca="1" si="211"/>
        <v>1076.3900510062447</v>
      </c>
      <c r="Y230" s="144">
        <f t="shared" ca="1" si="211"/>
        <v>1041.8730160201351</v>
      </c>
      <c r="Z230" s="144">
        <f t="shared" ca="1" si="211"/>
        <v>966.77421786509785</v>
      </c>
      <c r="AB230" s="92" t="s">
        <v>710</v>
      </c>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144">
        <f t="shared" ref="BB230:CB230" si="212">BB228+BB229</f>
        <v>0</v>
      </c>
      <c r="BC230" s="144">
        <f t="shared" si="212"/>
        <v>0</v>
      </c>
      <c r="BD230" s="144">
        <f t="shared" si="212"/>
        <v>0</v>
      </c>
      <c r="BE230" s="144">
        <f t="shared" si="212"/>
        <v>0</v>
      </c>
      <c r="BF230" s="144">
        <f t="shared" si="212"/>
        <v>0</v>
      </c>
      <c r="BG230" s="144">
        <f t="shared" si="212"/>
        <v>0</v>
      </c>
      <c r="BH230" s="144">
        <f t="shared" si="212"/>
        <v>0</v>
      </c>
      <c r="BI230" s="144">
        <f t="shared" si="212"/>
        <v>0</v>
      </c>
      <c r="BJ230" s="144">
        <f t="shared" si="212"/>
        <v>0</v>
      </c>
      <c r="BK230" s="144">
        <f t="shared" si="212"/>
        <v>0</v>
      </c>
      <c r="BL230" s="144">
        <f t="shared" si="212"/>
        <v>0</v>
      </c>
      <c r="BM230" s="144">
        <f t="shared" si="212"/>
        <v>0</v>
      </c>
      <c r="BN230" s="144">
        <f t="shared" si="212"/>
        <v>0</v>
      </c>
      <c r="BO230" s="144">
        <f t="shared" si="212"/>
        <v>0</v>
      </c>
      <c r="BP230" s="144">
        <f t="shared" si="212"/>
        <v>0</v>
      </c>
      <c r="BQ230" s="144">
        <f t="shared" si="212"/>
        <v>0</v>
      </c>
      <c r="BR230" s="144">
        <f t="shared" si="212"/>
        <v>0</v>
      </c>
      <c r="BS230" s="144">
        <f t="shared" si="212"/>
        <v>0</v>
      </c>
      <c r="BT230" s="144">
        <f t="shared" si="212"/>
        <v>0</v>
      </c>
      <c r="BU230" s="144">
        <f t="shared" si="212"/>
        <v>285.29999999999995</v>
      </c>
      <c r="BV230" s="144">
        <f t="shared" si="212"/>
        <v>0</v>
      </c>
      <c r="BW230" s="144">
        <f t="shared" si="212"/>
        <v>0</v>
      </c>
      <c r="BX230" s="144">
        <f t="shared" si="212"/>
        <v>0</v>
      </c>
      <c r="BY230" s="144">
        <f t="shared" si="212"/>
        <v>263.60000000000002</v>
      </c>
      <c r="BZ230" s="144">
        <f t="shared" si="212"/>
        <v>711.5</v>
      </c>
      <c r="CA230" s="144">
        <f>CA228+CA229</f>
        <v>713.4</v>
      </c>
      <c r="CB230" s="144">
        <f t="shared" si="212"/>
        <v>802.4</v>
      </c>
      <c r="CC230" s="144">
        <f>CC228+CC229</f>
        <v>798.3</v>
      </c>
      <c r="CD230" s="144">
        <f>CD228+CD229</f>
        <v>844.49999999999989</v>
      </c>
      <c r="CE230" s="141" t="str">
        <f t="shared" si="200"/>
        <v>Total net debt</v>
      </c>
    </row>
    <row r="231" spans="1:83" ht="15" customHeight="1">
      <c r="A231" s="92" t="s">
        <v>711</v>
      </c>
      <c r="M231" s="144">
        <f>M230+M227</f>
        <v>306.49999999999994</v>
      </c>
      <c r="N231" s="144">
        <f t="shared" ref="N231:Z231" si="213">N230+N227</f>
        <v>350.5</v>
      </c>
      <c r="O231" s="144">
        <f t="shared" si="213"/>
        <v>849.90000000000009</v>
      </c>
      <c r="P231" s="144">
        <f t="shared" si="213"/>
        <v>892.2</v>
      </c>
      <c r="Q231" s="144">
        <f t="shared" si="213"/>
        <v>955.1</v>
      </c>
      <c r="R231" s="144">
        <f t="shared" si="213"/>
        <v>955.1</v>
      </c>
      <c r="S231" s="144">
        <f t="shared" si="213"/>
        <v>955.09999999999991</v>
      </c>
      <c r="T231" s="144">
        <f t="shared" ca="1" si="213"/>
        <v>955.10000000000014</v>
      </c>
      <c r="U231" s="144">
        <f t="shared" ca="1" si="213"/>
        <v>955.10000000000014</v>
      </c>
      <c r="V231" s="144">
        <f t="shared" ca="1" si="213"/>
        <v>955.10000000000014</v>
      </c>
      <c r="W231" s="144">
        <f t="shared" ca="1" si="213"/>
        <v>955.10000000000014</v>
      </c>
      <c r="X231" s="144">
        <f t="shared" ca="1" si="213"/>
        <v>955.10000000000014</v>
      </c>
      <c r="Y231" s="144">
        <f t="shared" ca="1" si="213"/>
        <v>195.09999999999991</v>
      </c>
      <c r="Z231" s="144">
        <f t="shared" ca="1" si="213"/>
        <v>195.10000000000002</v>
      </c>
      <c r="AB231" s="92" t="s">
        <v>711</v>
      </c>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144">
        <f t="shared" ref="BB231:CB231" si="214">BB226+BB229</f>
        <v>0</v>
      </c>
      <c r="BC231" s="144">
        <f t="shared" si="214"/>
        <v>0</v>
      </c>
      <c r="BD231" s="144">
        <f t="shared" si="214"/>
        <v>0</v>
      </c>
      <c r="BE231" s="144">
        <f t="shared" si="214"/>
        <v>0</v>
      </c>
      <c r="BF231" s="144">
        <f t="shared" si="214"/>
        <v>0</v>
      </c>
      <c r="BG231" s="144">
        <f t="shared" si="214"/>
        <v>0</v>
      </c>
      <c r="BH231" s="144">
        <f t="shared" si="214"/>
        <v>0</v>
      </c>
      <c r="BI231" s="144">
        <f t="shared" si="214"/>
        <v>0</v>
      </c>
      <c r="BJ231" s="144">
        <f t="shared" si="214"/>
        <v>0</v>
      </c>
      <c r="BK231" s="144">
        <f t="shared" si="214"/>
        <v>0</v>
      </c>
      <c r="BL231" s="144">
        <f t="shared" si="214"/>
        <v>0</v>
      </c>
      <c r="BM231" s="144">
        <f t="shared" si="214"/>
        <v>0</v>
      </c>
      <c r="BN231" s="144">
        <f t="shared" si="214"/>
        <v>0</v>
      </c>
      <c r="BO231" s="144">
        <f t="shared" si="214"/>
        <v>0</v>
      </c>
      <c r="BP231" s="144">
        <f t="shared" si="214"/>
        <v>0</v>
      </c>
      <c r="BQ231" s="144">
        <f t="shared" si="214"/>
        <v>0</v>
      </c>
      <c r="BR231" s="144">
        <f t="shared" si="214"/>
        <v>0</v>
      </c>
      <c r="BS231" s="144">
        <f t="shared" si="214"/>
        <v>0</v>
      </c>
      <c r="BT231" s="144">
        <f t="shared" si="214"/>
        <v>0</v>
      </c>
      <c r="BU231" s="144">
        <f t="shared" si="214"/>
        <v>306.5</v>
      </c>
      <c r="BV231" s="144">
        <f t="shared" si="214"/>
        <v>0</v>
      </c>
      <c r="BW231" s="144">
        <f t="shared" si="214"/>
        <v>0</v>
      </c>
      <c r="BX231" s="144">
        <f t="shared" si="214"/>
        <v>0</v>
      </c>
      <c r="BY231" s="144">
        <f t="shared" si="214"/>
        <v>350.5</v>
      </c>
      <c r="BZ231" s="144">
        <f t="shared" si="214"/>
        <v>769.6</v>
      </c>
      <c r="CA231" s="144">
        <f t="shared" si="214"/>
        <v>774.5</v>
      </c>
      <c r="CB231" s="144">
        <f t="shared" si="214"/>
        <v>838.1</v>
      </c>
      <c r="CC231" s="144">
        <f>CC226+CC229</f>
        <v>850</v>
      </c>
      <c r="CD231" s="144">
        <f>CD226+CD229</f>
        <v>875.59999999999991</v>
      </c>
      <c r="CE231" s="141" t="str">
        <f t="shared" si="200"/>
        <v>Total gross debt</v>
      </c>
    </row>
    <row r="232" spans="1:83" ht="15" customHeight="1">
      <c r="M232" s="144"/>
      <c r="N232" s="144"/>
      <c r="O232" s="144"/>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144"/>
      <c r="BC232" s="144"/>
      <c r="BD232" s="144"/>
      <c r="BE232" s="144"/>
      <c r="BF232" s="144"/>
      <c r="BG232" s="144"/>
      <c r="BH232" s="144"/>
      <c r="BI232" s="144"/>
      <c r="BJ232" s="144"/>
      <c r="BK232" s="144"/>
      <c r="BL232" s="144"/>
      <c r="BM232" s="144"/>
      <c r="BN232" s="144"/>
      <c r="BO232" s="144"/>
      <c r="BP232" s="144"/>
      <c r="BQ232" s="144"/>
      <c r="BR232" s="144"/>
      <c r="BS232" s="144"/>
      <c r="BT232" s="144"/>
      <c r="BU232" s="144"/>
      <c r="BV232" s="144"/>
      <c r="BW232" s="144"/>
      <c r="BX232" s="144"/>
      <c r="BY232" s="144"/>
      <c r="BZ232" s="144"/>
      <c r="CA232" s="144"/>
      <c r="CB232" s="144"/>
      <c r="CC232" s="144"/>
      <c r="CD232" s="144"/>
      <c r="CE232" s="141"/>
    </row>
    <row r="233" spans="1:83" ht="15" customHeight="1">
      <c r="M233" s="144"/>
      <c r="N233" s="144"/>
      <c r="O233" s="144"/>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1"/>
    </row>
    <row r="234" spans="1:83" ht="15" customHeight="1">
      <c r="A234" s="92" t="s">
        <v>712</v>
      </c>
      <c r="M234" s="173">
        <f t="shared" ref="M234:Z234" si="215">M228/M119</f>
        <v>0.15026246719160102</v>
      </c>
      <c r="N234" s="173">
        <f t="shared" si="215"/>
        <v>-0.15437392795883365</v>
      </c>
      <c r="O234" s="173">
        <f t="shared" si="215"/>
        <v>4.0130718954248374</v>
      </c>
      <c r="P234" s="173">
        <f t="shared" si="215"/>
        <v>3.7442837144190397</v>
      </c>
      <c r="Q234" s="173">
        <f t="shared" si="215"/>
        <v>3.8035792230467047</v>
      </c>
      <c r="R234" s="173">
        <f t="shared" si="215"/>
        <v>3.971806244963739</v>
      </c>
      <c r="S234" s="173">
        <f t="shared" si="215"/>
        <v>3.9369704931623803</v>
      </c>
      <c r="T234" s="173">
        <f t="shared" ca="1" si="215"/>
        <v>3.8707208129366082</v>
      </c>
      <c r="U234" s="173">
        <f t="shared" ca="1" si="215"/>
        <v>3.7338149632693307</v>
      </c>
      <c r="V234" s="173">
        <f t="shared" ca="1" si="215"/>
        <v>3.5675223570143402</v>
      </c>
      <c r="W234" s="173">
        <f t="shared" ca="1" si="215"/>
        <v>3.4087546125853767</v>
      </c>
      <c r="X234" s="173">
        <f t="shared" ca="1" si="215"/>
        <v>3.2418486260468566</v>
      </c>
      <c r="Y234" s="173">
        <f t="shared" ca="1" si="215"/>
        <v>2.9982165103675822</v>
      </c>
      <c r="Z234" s="173">
        <f t="shared" ca="1" si="215"/>
        <v>2.6597445768580701</v>
      </c>
      <c r="AB234" s="92" t="s">
        <v>8</v>
      </c>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144">
        <f t="shared" ref="BB234:CD234" si="216">BB119</f>
        <v>35.010509083200006</v>
      </c>
      <c r="BC234" s="144">
        <f t="shared" si="216"/>
        <v>38.653137704999999</v>
      </c>
      <c r="BD234" s="144">
        <f t="shared" si="216"/>
        <v>37.306209504000009</v>
      </c>
      <c r="BE234" s="144">
        <f t="shared" si="216"/>
        <v>42.336079649999974</v>
      </c>
      <c r="BF234" s="144">
        <f t="shared" si="216"/>
        <v>37.363851460999996</v>
      </c>
      <c r="BG234" s="144">
        <f t="shared" si="216"/>
        <v>39.741142916999998</v>
      </c>
      <c r="BH234" s="144">
        <f t="shared" si="216"/>
        <v>40.717622375999994</v>
      </c>
      <c r="BI234" s="144">
        <f t="shared" si="216"/>
        <v>42.572879106000023</v>
      </c>
      <c r="BJ234" s="144">
        <f t="shared" si="216"/>
        <v>36.404929421533346</v>
      </c>
      <c r="BK234" s="144">
        <f t="shared" si="216"/>
        <v>42.422324605998988</v>
      </c>
      <c r="BL234" s="144">
        <f t="shared" si="216"/>
        <v>45.623928133199996</v>
      </c>
      <c r="BM234" s="144">
        <f t="shared" si="216"/>
        <v>44.949904516000004</v>
      </c>
      <c r="BN234" s="144">
        <f t="shared" si="216"/>
        <v>43.276845124282993</v>
      </c>
      <c r="BO234" s="144">
        <f t="shared" si="216"/>
        <v>44.040737008780781</v>
      </c>
      <c r="BP234" s="144">
        <f t="shared" si="216"/>
        <v>45.046936873322977</v>
      </c>
      <c r="BQ234" s="144">
        <f t="shared" si="216"/>
        <v>48.704356050069514</v>
      </c>
      <c r="BR234" s="144">
        <f t="shared" si="216"/>
        <v>36.765279999999997</v>
      </c>
      <c r="BS234" s="144">
        <f t="shared" si="216"/>
        <v>37.365366000000002</v>
      </c>
      <c r="BT234" s="144">
        <f t="shared" si="216"/>
        <v>39.291965000000005</v>
      </c>
      <c r="BU234" s="144">
        <f t="shared" si="216"/>
        <v>39.275160000000007</v>
      </c>
      <c r="BV234" s="144">
        <f t="shared" si="216"/>
        <v>40.299999999999997</v>
      </c>
      <c r="BW234" s="144">
        <f t="shared" si="216"/>
        <v>42.1</v>
      </c>
      <c r="BX234" s="144">
        <f t="shared" si="216"/>
        <v>42.8</v>
      </c>
      <c r="BY234" s="144">
        <f t="shared" si="216"/>
        <v>50.204583999999997</v>
      </c>
      <c r="BZ234" s="144">
        <f t="shared" si="216"/>
        <v>45.7</v>
      </c>
      <c r="CA234" s="144">
        <f t="shared" si="216"/>
        <v>47.5</v>
      </c>
      <c r="CB234" s="144">
        <f t="shared" si="216"/>
        <v>50.1</v>
      </c>
      <c r="CC234" s="144">
        <f t="shared" si="216"/>
        <v>55.59999999999998</v>
      </c>
      <c r="CD234" s="144">
        <f t="shared" si="216"/>
        <v>47.4</v>
      </c>
      <c r="CE234" s="141" t="str">
        <f t="shared" si="200"/>
        <v>EBITDA</v>
      </c>
    </row>
    <row r="235" spans="1:83" ht="15" customHeight="1">
      <c r="A235" s="92" t="s">
        <v>713</v>
      </c>
      <c r="M235" s="173">
        <f t="shared" ref="M235:Z235" si="217">M226/M119</f>
        <v>0.28937007874015741</v>
      </c>
      <c r="N235" s="173">
        <f t="shared" si="217"/>
        <v>0.34248141795311604</v>
      </c>
      <c r="O235" s="173">
        <f t="shared" si="217"/>
        <v>4.2730015082956267</v>
      </c>
      <c r="P235" s="173">
        <f t="shared" si="217"/>
        <v>4.1633224451703228</v>
      </c>
      <c r="Q235" s="173">
        <f t="shared" si="217"/>
        <v>4.1689218681798339</v>
      </c>
      <c r="R235" s="173">
        <f t="shared" si="217"/>
        <v>3.8481063658340049</v>
      </c>
      <c r="S235" s="173">
        <f t="shared" si="217"/>
        <v>3.6603830896629308</v>
      </c>
      <c r="T235" s="173">
        <f t="shared" ca="1" si="217"/>
        <v>3.4775163293973548</v>
      </c>
      <c r="U235" s="173">
        <f t="shared" ca="1" si="217"/>
        <v>3.3135368776461611</v>
      </c>
      <c r="V235" s="173">
        <f t="shared" ca="1" si="217"/>
        <v>3.1574413859814583</v>
      </c>
      <c r="W235" s="173">
        <f t="shared" ca="1" si="217"/>
        <v>3.0145264846477708</v>
      </c>
      <c r="X235" s="173">
        <f t="shared" ca="1" si="217"/>
        <v>2.876549834182172</v>
      </c>
      <c r="Y235" s="173">
        <f t="shared" ca="1" si="217"/>
        <v>0.56144274031319241</v>
      </c>
      <c r="Z235" s="173">
        <f t="shared" ca="1" si="217"/>
        <v>0.53675010913191123</v>
      </c>
      <c r="AB235" s="92" t="s">
        <v>714</v>
      </c>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144"/>
      <c r="BA235" s="144"/>
      <c r="BB235" s="144"/>
      <c r="BC235" s="144"/>
      <c r="BD235" s="144"/>
      <c r="BE235" s="144">
        <f>SUM(BB234:BE234)</f>
        <v>153.30593594219999</v>
      </c>
      <c r="BF235" s="144">
        <f t="shared" ref="BF235:CA235" si="218">SUM(BC234:BF234)</f>
        <v>155.65927832</v>
      </c>
      <c r="BG235" s="144">
        <f t="shared" si="218"/>
        <v>156.74728353199998</v>
      </c>
      <c r="BH235" s="144">
        <f t="shared" si="218"/>
        <v>160.15869640399995</v>
      </c>
      <c r="BI235" s="144">
        <f t="shared" si="218"/>
        <v>160.39549586000001</v>
      </c>
      <c r="BJ235" s="144">
        <f t="shared" si="218"/>
        <v>159.43657382053337</v>
      </c>
      <c r="BK235" s="144">
        <f t="shared" si="218"/>
        <v>162.11775550953237</v>
      </c>
      <c r="BL235" s="144">
        <f t="shared" si="218"/>
        <v>167.02406126673236</v>
      </c>
      <c r="BM235" s="144">
        <f t="shared" si="218"/>
        <v>169.40108667673235</v>
      </c>
      <c r="BN235" s="144">
        <f t="shared" si="218"/>
        <v>176.27300237948199</v>
      </c>
      <c r="BO235" s="144">
        <f t="shared" si="218"/>
        <v>177.89141478226378</v>
      </c>
      <c r="BP235" s="144">
        <f t="shared" si="218"/>
        <v>177.31442352238676</v>
      </c>
      <c r="BQ235" s="144">
        <f t="shared" si="218"/>
        <v>181.06887505645628</v>
      </c>
      <c r="BR235" s="144">
        <f t="shared" si="218"/>
        <v>174.55730993217327</v>
      </c>
      <c r="BS235" s="144">
        <f t="shared" si="218"/>
        <v>167.88193892339248</v>
      </c>
      <c r="BT235" s="144">
        <f t="shared" si="218"/>
        <v>162.12696705006951</v>
      </c>
      <c r="BU235" s="144">
        <f t="shared" si="218"/>
        <v>152.69777100000002</v>
      </c>
      <c r="BV235" s="144">
        <f t="shared" si="218"/>
        <v>156.23249099999998</v>
      </c>
      <c r="BW235" s="144">
        <f t="shared" si="218"/>
        <v>160.96712500000001</v>
      </c>
      <c r="BX235" s="144">
        <f t="shared" si="218"/>
        <v>164.47516000000002</v>
      </c>
      <c r="BY235" s="144">
        <f t="shared" si="218"/>
        <v>175.404584</v>
      </c>
      <c r="BZ235" s="144">
        <f t="shared" si="218"/>
        <v>180.80458399999998</v>
      </c>
      <c r="CA235" s="144">
        <f t="shared" si="218"/>
        <v>186.20458400000001</v>
      </c>
      <c r="CB235" s="144">
        <f>SUM(BY234:CB234)</f>
        <v>193.50458399999999</v>
      </c>
      <c r="CC235" s="144">
        <f>SUM(BZ234:CC234)</f>
        <v>198.89999999999998</v>
      </c>
      <c r="CD235" s="144">
        <f>SUM(CA234:CD234)</f>
        <v>200.6</v>
      </c>
      <c r="CE235" s="141" t="str">
        <f t="shared" si="200"/>
        <v>LTM EBITDA</v>
      </c>
    </row>
    <row r="236" spans="1:83" ht="15" customHeight="1">
      <c r="M236" s="144"/>
      <c r="N236" s="144"/>
      <c r="O236" s="144"/>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144"/>
      <c r="BC236" s="144"/>
      <c r="BD236" s="144"/>
      <c r="BE236" s="144"/>
      <c r="BF236" s="144"/>
      <c r="BG236" s="144"/>
      <c r="BH236" s="144"/>
      <c r="BI236" s="144"/>
      <c r="BJ236" s="144"/>
      <c r="BK236" s="144"/>
      <c r="BL236" s="144"/>
      <c r="BM236" s="144"/>
      <c r="BN236" s="144"/>
      <c r="BO236" s="144"/>
      <c r="BP236" s="144"/>
      <c r="BQ236" s="144"/>
      <c r="BR236" s="144"/>
      <c r="BS236" s="144"/>
      <c r="BT236" s="144"/>
      <c r="BU236" s="144"/>
      <c r="BV236" s="144"/>
      <c r="BW236" s="144"/>
      <c r="BX236" s="144"/>
      <c r="BY236" s="144"/>
      <c r="BZ236" s="144"/>
      <c r="CA236" s="144"/>
      <c r="CB236" s="144"/>
      <c r="CC236" s="144"/>
      <c r="CD236" s="144"/>
      <c r="CE236" s="141"/>
    </row>
    <row r="237" spans="1:83" ht="15" customHeight="1">
      <c r="M237" s="144"/>
      <c r="N237" s="144"/>
      <c r="O237" s="144"/>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144"/>
      <c r="BC237" s="144"/>
      <c r="BD237" s="144"/>
      <c r="BE237" s="144"/>
      <c r="BF237" s="144"/>
      <c r="BG237" s="144"/>
      <c r="BH237" s="144"/>
      <c r="BI237" s="144"/>
      <c r="BJ237" s="144"/>
      <c r="BK237" s="144"/>
      <c r="BL237" s="144"/>
      <c r="BM237" s="144"/>
      <c r="BN237" s="144"/>
      <c r="BO237" s="144"/>
      <c r="BP237" s="144"/>
      <c r="BQ237" s="144"/>
      <c r="BR237" s="144"/>
      <c r="BS237" s="144"/>
      <c r="BT237" s="144"/>
      <c r="BU237" s="144"/>
      <c r="BV237" s="144"/>
      <c r="BW237" s="144"/>
      <c r="BX237" s="144"/>
      <c r="BY237" s="144"/>
      <c r="BZ237" s="144"/>
      <c r="CA237" s="144"/>
      <c r="CB237" s="144"/>
      <c r="CC237" s="144"/>
      <c r="CD237" s="144"/>
      <c r="CE237" s="141"/>
    </row>
    <row r="238" spans="1:83" ht="15" customHeight="1">
      <c r="A238" s="174" t="s">
        <v>244</v>
      </c>
      <c r="B238" s="94"/>
      <c r="C238" s="94"/>
      <c r="D238" s="94"/>
      <c r="E238" s="94"/>
      <c r="F238" s="94"/>
      <c r="G238" s="94"/>
      <c r="H238" s="94"/>
      <c r="I238" s="94"/>
      <c r="J238" s="94"/>
      <c r="K238" s="94"/>
      <c r="L238" s="94"/>
      <c r="M238" s="94"/>
      <c r="N238" s="94"/>
      <c r="O238" s="94"/>
      <c r="P238" s="94">
        <f t="shared" ref="P238:Z238" si="219">P1</f>
        <v>2015</v>
      </c>
      <c r="Q238" s="94">
        <f t="shared" si="219"/>
        <v>2016</v>
      </c>
      <c r="R238" s="94">
        <f t="shared" si="219"/>
        <v>2017</v>
      </c>
      <c r="S238" s="94" t="str">
        <f t="shared" si="219"/>
        <v>2018E</v>
      </c>
      <c r="T238" s="94" t="str">
        <f t="shared" si="219"/>
        <v>2019E</v>
      </c>
      <c r="U238" s="94" t="str">
        <f t="shared" si="219"/>
        <v>2020E</v>
      </c>
      <c r="V238" s="94" t="str">
        <f t="shared" si="219"/>
        <v>2021E</v>
      </c>
      <c r="W238" s="94" t="str">
        <f t="shared" si="219"/>
        <v>2022E</v>
      </c>
      <c r="X238" s="94" t="str">
        <f t="shared" si="219"/>
        <v>2023E</v>
      </c>
      <c r="Y238" s="94" t="str">
        <f t="shared" si="219"/>
        <v>2024E</v>
      </c>
      <c r="Z238" s="94" t="str">
        <f t="shared" si="219"/>
        <v>2025E</v>
      </c>
      <c r="AB238" s="92" t="s">
        <v>715</v>
      </c>
      <c r="AC238" s="173" t="e">
        <f t="shared" ref="AC238:CD238" si="220">(AC218+AC219)/AC235</f>
        <v>#DIV/0!</v>
      </c>
      <c r="AD238" s="173" t="e">
        <f t="shared" si="220"/>
        <v>#DIV/0!</v>
      </c>
      <c r="AE238" s="173" t="e">
        <f t="shared" si="220"/>
        <v>#DIV/0!</v>
      </c>
      <c r="AF238" s="173" t="e">
        <f t="shared" si="220"/>
        <v>#DIV/0!</v>
      </c>
      <c r="AG238" s="173" t="e">
        <f t="shared" si="220"/>
        <v>#DIV/0!</v>
      </c>
      <c r="AH238" s="173" t="e">
        <f t="shared" si="220"/>
        <v>#DIV/0!</v>
      </c>
      <c r="AI238" s="173" t="e">
        <f t="shared" si="220"/>
        <v>#DIV/0!</v>
      </c>
      <c r="AJ238" s="173" t="e">
        <f t="shared" si="220"/>
        <v>#DIV/0!</v>
      </c>
      <c r="AK238" s="173" t="e">
        <f t="shared" si="220"/>
        <v>#DIV/0!</v>
      </c>
      <c r="AL238" s="173" t="e">
        <f t="shared" si="220"/>
        <v>#DIV/0!</v>
      </c>
      <c r="AM238" s="173" t="e">
        <f t="shared" si="220"/>
        <v>#DIV/0!</v>
      </c>
      <c r="AN238" s="173" t="e">
        <f t="shared" si="220"/>
        <v>#DIV/0!</v>
      </c>
      <c r="AO238" s="173" t="e">
        <f t="shared" si="220"/>
        <v>#DIV/0!</v>
      </c>
      <c r="AP238" s="173" t="e">
        <f t="shared" si="220"/>
        <v>#DIV/0!</v>
      </c>
      <c r="AQ238" s="173" t="e">
        <f t="shared" si="220"/>
        <v>#DIV/0!</v>
      </c>
      <c r="AR238" s="173" t="e">
        <f t="shared" si="220"/>
        <v>#DIV/0!</v>
      </c>
      <c r="AS238" s="173" t="e">
        <f t="shared" si="220"/>
        <v>#DIV/0!</v>
      </c>
      <c r="AT238" s="173" t="e">
        <f t="shared" si="220"/>
        <v>#DIV/0!</v>
      </c>
      <c r="AU238" s="173" t="e">
        <f t="shared" si="220"/>
        <v>#DIV/0!</v>
      </c>
      <c r="AV238" s="173" t="e">
        <f t="shared" si="220"/>
        <v>#DIV/0!</v>
      </c>
      <c r="AW238" s="173" t="e">
        <f t="shared" si="220"/>
        <v>#DIV/0!</v>
      </c>
      <c r="AX238" s="173" t="e">
        <f t="shared" si="220"/>
        <v>#DIV/0!</v>
      </c>
      <c r="AY238" s="173" t="e">
        <f t="shared" si="220"/>
        <v>#DIV/0!</v>
      </c>
      <c r="AZ238" s="173" t="e">
        <f t="shared" si="220"/>
        <v>#DIV/0!</v>
      </c>
      <c r="BA238" s="173" t="e">
        <f t="shared" si="220"/>
        <v>#DIV/0!</v>
      </c>
      <c r="BB238" s="173" t="e">
        <f t="shared" si="220"/>
        <v>#DIV/0!</v>
      </c>
      <c r="BC238" s="173" t="e">
        <f t="shared" si="220"/>
        <v>#DIV/0!</v>
      </c>
      <c r="BD238" s="173" t="e">
        <f t="shared" si="220"/>
        <v>#DIV/0!</v>
      </c>
      <c r="BE238" s="173">
        <f t="shared" si="220"/>
        <v>0</v>
      </c>
      <c r="BF238" s="173">
        <f t="shared" si="220"/>
        <v>0</v>
      </c>
      <c r="BG238" s="173">
        <f t="shared" si="220"/>
        <v>0</v>
      </c>
      <c r="BH238" s="173">
        <f t="shared" si="220"/>
        <v>0</v>
      </c>
      <c r="BI238" s="173">
        <f t="shared" si="220"/>
        <v>0</v>
      </c>
      <c r="BJ238" s="173">
        <f t="shared" si="220"/>
        <v>0</v>
      </c>
      <c r="BK238" s="173">
        <f t="shared" si="220"/>
        <v>0</v>
      </c>
      <c r="BL238" s="173">
        <f t="shared" si="220"/>
        <v>0</v>
      </c>
      <c r="BM238" s="173">
        <f t="shared" si="220"/>
        <v>0</v>
      </c>
      <c r="BN238" s="173">
        <f t="shared" si="220"/>
        <v>0</v>
      </c>
      <c r="BO238" s="173">
        <f t="shared" si="220"/>
        <v>0</v>
      </c>
      <c r="BP238" s="173">
        <f t="shared" si="220"/>
        <v>0</v>
      </c>
      <c r="BQ238" s="173">
        <f t="shared" si="220"/>
        <v>0</v>
      </c>
      <c r="BR238" s="173">
        <f t="shared" si="220"/>
        <v>0</v>
      </c>
      <c r="BS238" s="173">
        <f t="shared" si="220"/>
        <v>0</v>
      </c>
      <c r="BT238" s="173">
        <f t="shared" si="220"/>
        <v>0</v>
      </c>
      <c r="BU238" s="173">
        <f t="shared" si="220"/>
        <v>0.2881508990723905</v>
      </c>
      <c r="BV238" s="173">
        <f t="shared" si="220"/>
        <v>0</v>
      </c>
      <c r="BW238" s="173">
        <f t="shared" si="220"/>
        <v>0</v>
      </c>
      <c r="BX238" s="173">
        <f t="shared" si="220"/>
        <v>0</v>
      </c>
      <c r="BY238" s="173">
        <f t="shared" si="220"/>
        <v>0.33864565363924581</v>
      </c>
      <c r="BZ238" s="173">
        <f t="shared" si="220"/>
        <v>0</v>
      </c>
      <c r="CA238" s="173">
        <f t="shared" si="220"/>
        <v>0</v>
      </c>
      <c r="CB238" s="173">
        <f t="shared" si="220"/>
        <v>0</v>
      </c>
      <c r="CC238" s="173">
        <f t="shared" si="220"/>
        <v>0</v>
      </c>
      <c r="CD238" s="173">
        <f t="shared" si="220"/>
        <v>0</v>
      </c>
      <c r="CE238" s="141" t="str">
        <f t="shared" si="200"/>
        <v>Bank gross leverage</v>
      </c>
    </row>
    <row r="239" spans="1:83" ht="15" customHeight="1">
      <c r="A239" s="92" t="s">
        <v>699</v>
      </c>
      <c r="M239" s="144"/>
      <c r="N239" s="144"/>
      <c r="O239" s="144"/>
      <c r="P239" s="100"/>
      <c r="Q239" s="100"/>
      <c r="R239" s="100"/>
      <c r="S239" s="100"/>
      <c r="T239" s="100"/>
      <c r="U239" s="100"/>
      <c r="V239" s="100"/>
      <c r="W239" s="100"/>
      <c r="X239" s="100"/>
      <c r="Y239" s="100"/>
      <c r="Z239" s="100"/>
      <c r="AB239" s="92" t="s">
        <v>716</v>
      </c>
      <c r="AC239" s="173" t="e">
        <f t="shared" ref="AC239:CD239" si="221">AC223/AC235</f>
        <v>#DIV/0!</v>
      </c>
      <c r="AD239" s="173" t="e">
        <f t="shared" si="221"/>
        <v>#DIV/0!</v>
      </c>
      <c r="AE239" s="173" t="e">
        <f t="shared" si="221"/>
        <v>#DIV/0!</v>
      </c>
      <c r="AF239" s="173" t="e">
        <f t="shared" si="221"/>
        <v>#DIV/0!</v>
      </c>
      <c r="AG239" s="173" t="e">
        <f t="shared" si="221"/>
        <v>#DIV/0!</v>
      </c>
      <c r="AH239" s="173" t="e">
        <f t="shared" si="221"/>
        <v>#DIV/0!</v>
      </c>
      <c r="AI239" s="173" t="e">
        <f t="shared" si="221"/>
        <v>#DIV/0!</v>
      </c>
      <c r="AJ239" s="173" t="e">
        <f t="shared" si="221"/>
        <v>#DIV/0!</v>
      </c>
      <c r="AK239" s="173" t="e">
        <f t="shared" si="221"/>
        <v>#DIV/0!</v>
      </c>
      <c r="AL239" s="173" t="e">
        <f t="shared" si="221"/>
        <v>#DIV/0!</v>
      </c>
      <c r="AM239" s="173" t="e">
        <f t="shared" si="221"/>
        <v>#DIV/0!</v>
      </c>
      <c r="AN239" s="173" t="e">
        <f t="shared" si="221"/>
        <v>#DIV/0!</v>
      </c>
      <c r="AO239" s="173" t="e">
        <f t="shared" si="221"/>
        <v>#DIV/0!</v>
      </c>
      <c r="AP239" s="173" t="e">
        <f t="shared" si="221"/>
        <v>#DIV/0!</v>
      </c>
      <c r="AQ239" s="173" t="e">
        <f t="shared" si="221"/>
        <v>#DIV/0!</v>
      </c>
      <c r="AR239" s="173" t="e">
        <f t="shared" si="221"/>
        <v>#DIV/0!</v>
      </c>
      <c r="AS239" s="173" t="e">
        <f t="shared" si="221"/>
        <v>#DIV/0!</v>
      </c>
      <c r="AT239" s="173" t="e">
        <f t="shared" si="221"/>
        <v>#DIV/0!</v>
      </c>
      <c r="AU239" s="173" t="e">
        <f t="shared" si="221"/>
        <v>#DIV/0!</v>
      </c>
      <c r="AV239" s="173" t="e">
        <f t="shared" si="221"/>
        <v>#DIV/0!</v>
      </c>
      <c r="AW239" s="173" t="e">
        <f t="shared" si="221"/>
        <v>#DIV/0!</v>
      </c>
      <c r="AX239" s="173" t="e">
        <f t="shared" si="221"/>
        <v>#DIV/0!</v>
      </c>
      <c r="AY239" s="173" t="e">
        <f t="shared" si="221"/>
        <v>#DIV/0!</v>
      </c>
      <c r="AZ239" s="173" t="e">
        <f t="shared" si="221"/>
        <v>#DIV/0!</v>
      </c>
      <c r="BA239" s="173" t="e">
        <f t="shared" si="221"/>
        <v>#DIV/0!</v>
      </c>
      <c r="BB239" s="173" t="e">
        <f t="shared" si="221"/>
        <v>#DIV/0!</v>
      </c>
      <c r="BC239" s="173" t="e">
        <f t="shared" si="221"/>
        <v>#DIV/0!</v>
      </c>
      <c r="BD239" s="173" t="e">
        <f t="shared" si="221"/>
        <v>#DIV/0!</v>
      </c>
      <c r="BE239" s="173">
        <f t="shared" si="221"/>
        <v>0</v>
      </c>
      <c r="BF239" s="173">
        <f t="shared" si="221"/>
        <v>0</v>
      </c>
      <c r="BG239" s="173">
        <f t="shared" si="221"/>
        <v>0</v>
      </c>
      <c r="BH239" s="173">
        <f t="shared" si="221"/>
        <v>0</v>
      </c>
      <c r="BI239" s="173">
        <f t="shared" si="221"/>
        <v>0</v>
      </c>
      <c r="BJ239" s="173">
        <f t="shared" si="221"/>
        <v>0</v>
      </c>
      <c r="BK239" s="173">
        <f t="shared" si="221"/>
        <v>0</v>
      </c>
      <c r="BL239" s="173">
        <f t="shared" si="221"/>
        <v>0</v>
      </c>
      <c r="BM239" s="173">
        <f t="shared" si="221"/>
        <v>0</v>
      </c>
      <c r="BN239" s="173">
        <f t="shared" si="221"/>
        <v>0</v>
      </c>
      <c r="BO239" s="173">
        <f t="shared" si="221"/>
        <v>0</v>
      </c>
      <c r="BP239" s="173">
        <f t="shared" si="221"/>
        <v>0</v>
      </c>
      <c r="BQ239" s="173">
        <f t="shared" si="221"/>
        <v>0</v>
      </c>
      <c r="BR239" s="173">
        <f t="shared" si="221"/>
        <v>0</v>
      </c>
      <c r="BS239" s="173">
        <f t="shared" si="221"/>
        <v>0</v>
      </c>
      <c r="BT239" s="173">
        <f t="shared" si="221"/>
        <v>0</v>
      </c>
      <c r="BU239" s="173">
        <f t="shared" si="221"/>
        <v>0.28880578747937319</v>
      </c>
      <c r="BV239" s="173">
        <f t="shared" si="221"/>
        <v>0</v>
      </c>
      <c r="BW239" s="173">
        <f t="shared" si="221"/>
        <v>0</v>
      </c>
      <c r="BX239" s="173">
        <f t="shared" si="221"/>
        <v>0</v>
      </c>
      <c r="BY239" s="173">
        <f t="shared" si="221"/>
        <v>0.34149620627930682</v>
      </c>
      <c r="BZ239" s="173">
        <f t="shared" si="221"/>
        <v>4.2565292481743722</v>
      </c>
      <c r="CA239" s="173">
        <f t="shared" si="221"/>
        <v>4.1594035085623879</v>
      </c>
      <c r="CB239" s="173">
        <f t="shared" si="221"/>
        <v>4.3311635449421706</v>
      </c>
      <c r="CC239" s="173">
        <f t="shared" si="221"/>
        <v>4.2735042735042743</v>
      </c>
      <c r="CD239" s="173">
        <f t="shared" si="221"/>
        <v>4.3649052841475573</v>
      </c>
      <c r="CE239" s="141" t="str">
        <f t="shared" si="200"/>
        <v>Senior secured debt gross leverage</v>
      </c>
    </row>
    <row r="240" spans="1:83" ht="15" customHeight="1">
      <c r="A240" s="92" t="s">
        <v>700</v>
      </c>
      <c r="M240" s="144"/>
      <c r="N240" s="144"/>
      <c r="O240" s="144"/>
      <c r="P240" s="100"/>
      <c r="Q240" s="100"/>
      <c r="R240" s="100"/>
      <c r="S240" s="100"/>
      <c r="T240" s="100"/>
      <c r="U240" s="100"/>
      <c r="V240" s="100"/>
      <c r="W240" s="100"/>
      <c r="X240" s="100"/>
      <c r="Y240" s="100"/>
      <c r="Z240" s="100"/>
      <c r="AB240" s="92" t="s">
        <v>717</v>
      </c>
      <c r="AC240" s="173" t="e">
        <f t="shared" ref="AC240:CB240" si="222">AC226/AC235</f>
        <v>#DIV/0!</v>
      </c>
      <c r="AD240" s="173" t="e">
        <f t="shared" si="222"/>
        <v>#DIV/0!</v>
      </c>
      <c r="AE240" s="173" t="e">
        <f t="shared" si="222"/>
        <v>#DIV/0!</v>
      </c>
      <c r="AF240" s="173" t="e">
        <f t="shared" si="222"/>
        <v>#DIV/0!</v>
      </c>
      <c r="AG240" s="173" t="e">
        <f t="shared" si="222"/>
        <v>#DIV/0!</v>
      </c>
      <c r="AH240" s="173" t="e">
        <f t="shared" si="222"/>
        <v>#DIV/0!</v>
      </c>
      <c r="AI240" s="173" t="e">
        <f t="shared" si="222"/>
        <v>#DIV/0!</v>
      </c>
      <c r="AJ240" s="173" t="e">
        <f t="shared" si="222"/>
        <v>#DIV/0!</v>
      </c>
      <c r="AK240" s="173" t="e">
        <f t="shared" si="222"/>
        <v>#DIV/0!</v>
      </c>
      <c r="AL240" s="173" t="e">
        <f t="shared" si="222"/>
        <v>#DIV/0!</v>
      </c>
      <c r="AM240" s="173" t="e">
        <f t="shared" si="222"/>
        <v>#DIV/0!</v>
      </c>
      <c r="AN240" s="173" t="e">
        <f t="shared" si="222"/>
        <v>#DIV/0!</v>
      </c>
      <c r="AO240" s="173" t="e">
        <f t="shared" si="222"/>
        <v>#DIV/0!</v>
      </c>
      <c r="AP240" s="173" t="e">
        <f t="shared" si="222"/>
        <v>#DIV/0!</v>
      </c>
      <c r="AQ240" s="173" t="e">
        <f t="shared" si="222"/>
        <v>#DIV/0!</v>
      </c>
      <c r="AR240" s="173" t="e">
        <f t="shared" si="222"/>
        <v>#DIV/0!</v>
      </c>
      <c r="AS240" s="173" t="e">
        <f t="shared" si="222"/>
        <v>#DIV/0!</v>
      </c>
      <c r="AT240" s="173" t="e">
        <f t="shared" si="222"/>
        <v>#DIV/0!</v>
      </c>
      <c r="AU240" s="173" t="e">
        <f t="shared" si="222"/>
        <v>#DIV/0!</v>
      </c>
      <c r="AV240" s="173" t="e">
        <f t="shared" si="222"/>
        <v>#DIV/0!</v>
      </c>
      <c r="AW240" s="173" t="e">
        <f t="shared" si="222"/>
        <v>#DIV/0!</v>
      </c>
      <c r="AX240" s="173" t="e">
        <f t="shared" si="222"/>
        <v>#DIV/0!</v>
      </c>
      <c r="AY240" s="173" t="e">
        <f t="shared" si="222"/>
        <v>#DIV/0!</v>
      </c>
      <c r="AZ240" s="173" t="e">
        <f t="shared" si="222"/>
        <v>#DIV/0!</v>
      </c>
      <c r="BA240" s="173" t="e">
        <f t="shared" si="222"/>
        <v>#DIV/0!</v>
      </c>
      <c r="BB240" s="173" t="e">
        <f t="shared" si="222"/>
        <v>#DIV/0!</v>
      </c>
      <c r="BC240" s="173" t="e">
        <f t="shared" si="222"/>
        <v>#DIV/0!</v>
      </c>
      <c r="BD240" s="173" t="e">
        <f t="shared" si="222"/>
        <v>#DIV/0!</v>
      </c>
      <c r="BE240" s="173">
        <f t="shared" si="222"/>
        <v>0</v>
      </c>
      <c r="BF240" s="173">
        <f t="shared" si="222"/>
        <v>0</v>
      </c>
      <c r="BG240" s="173">
        <f t="shared" si="222"/>
        <v>0</v>
      </c>
      <c r="BH240" s="173">
        <f t="shared" si="222"/>
        <v>0</v>
      </c>
      <c r="BI240" s="173">
        <f t="shared" si="222"/>
        <v>0</v>
      </c>
      <c r="BJ240" s="173">
        <f t="shared" si="222"/>
        <v>0</v>
      </c>
      <c r="BK240" s="173">
        <f t="shared" si="222"/>
        <v>0</v>
      </c>
      <c r="BL240" s="173">
        <f t="shared" si="222"/>
        <v>0</v>
      </c>
      <c r="BM240" s="173">
        <f t="shared" si="222"/>
        <v>0</v>
      </c>
      <c r="BN240" s="173">
        <f t="shared" si="222"/>
        <v>0</v>
      </c>
      <c r="BO240" s="173">
        <f t="shared" si="222"/>
        <v>0</v>
      </c>
      <c r="BP240" s="173">
        <f t="shared" si="222"/>
        <v>0</v>
      </c>
      <c r="BQ240" s="173">
        <f t="shared" si="222"/>
        <v>0</v>
      </c>
      <c r="BR240" s="173">
        <f t="shared" si="222"/>
        <v>0</v>
      </c>
      <c r="BS240" s="173">
        <f t="shared" si="222"/>
        <v>0</v>
      </c>
      <c r="BT240" s="173">
        <f t="shared" si="222"/>
        <v>0</v>
      </c>
      <c r="BU240" s="173">
        <f t="shared" si="222"/>
        <v>0.28880578747937319</v>
      </c>
      <c r="BV240" s="173">
        <f t="shared" si="222"/>
        <v>0</v>
      </c>
      <c r="BW240" s="173">
        <f t="shared" si="222"/>
        <v>0</v>
      </c>
      <c r="BX240" s="173">
        <f t="shared" si="222"/>
        <v>0</v>
      </c>
      <c r="BY240" s="173">
        <f t="shared" si="222"/>
        <v>0.34149620627930682</v>
      </c>
      <c r="BZ240" s="173">
        <f t="shared" si="222"/>
        <v>4.2565292481743722</v>
      </c>
      <c r="CA240" s="173">
        <f t="shared" si="222"/>
        <v>4.1594035085623879</v>
      </c>
      <c r="CB240" s="173">
        <f t="shared" si="222"/>
        <v>4.3311635449421706</v>
      </c>
      <c r="CC240" s="173">
        <f>CC226/CC235</f>
        <v>4.2735042735042743</v>
      </c>
      <c r="CD240" s="173">
        <f>CD226/CD235</f>
        <v>4.3649052841475573</v>
      </c>
      <c r="CE240" s="141" t="str">
        <f t="shared" si="200"/>
        <v>Total gross leverage - 3rd party</v>
      </c>
    </row>
    <row r="241" spans="1:83" ht="15" customHeight="1">
      <c r="A241" s="92" t="s">
        <v>701</v>
      </c>
      <c r="M241" s="144"/>
      <c r="N241" s="144"/>
      <c r="O241" s="144"/>
      <c r="P241" s="100"/>
      <c r="Q241" s="100"/>
      <c r="R241" s="100"/>
      <c r="S241" s="100"/>
      <c r="T241" s="100"/>
      <c r="U241" s="100"/>
      <c r="V241" s="100"/>
      <c r="W241" s="100"/>
      <c r="X241" s="100"/>
      <c r="Y241" s="100">
        <v>760</v>
      </c>
      <c r="Z241" s="100"/>
      <c r="AB241" s="175" t="s">
        <v>718</v>
      </c>
      <c r="AC241" s="176" t="e">
        <f t="shared" ref="AC241:BA241" si="223">AC226/AC235</f>
        <v>#DIV/0!</v>
      </c>
      <c r="AD241" s="176" t="e">
        <f t="shared" si="223"/>
        <v>#DIV/0!</v>
      </c>
      <c r="AE241" s="176" t="e">
        <f t="shared" si="223"/>
        <v>#DIV/0!</v>
      </c>
      <c r="AF241" s="176" t="e">
        <f t="shared" si="223"/>
        <v>#DIV/0!</v>
      </c>
      <c r="AG241" s="176" t="e">
        <f t="shared" si="223"/>
        <v>#DIV/0!</v>
      </c>
      <c r="AH241" s="176" t="e">
        <f t="shared" si="223"/>
        <v>#DIV/0!</v>
      </c>
      <c r="AI241" s="176" t="e">
        <f t="shared" si="223"/>
        <v>#DIV/0!</v>
      </c>
      <c r="AJ241" s="176" t="e">
        <f t="shared" si="223"/>
        <v>#DIV/0!</v>
      </c>
      <c r="AK241" s="176" t="e">
        <f t="shared" si="223"/>
        <v>#DIV/0!</v>
      </c>
      <c r="AL241" s="176" t="e">
        <f t="shared" si="223"/>
        <v>#DIV/0!</v>
      </c>
      <c r="AM241" s="176" t="e">
        <f t="shared" si="223"/>
        <v>#DIV/0!</v>
      </c>
      <c r="AN241" s="176" t="e">
        <f t="shared" si="223"/>
        <v>#DIV/0!</v>
      </c>
      <c r="AO241" s="176" t="e">
        <f t="shared" si="223"/>
        <v>#DIV/0!</v>
      </c>
      <c r="AP241" s="176" t="e">
        <f t="shared" si="223"/>
        <v>#DIV/0!</v>
      </c>
      <c r="AQ241" s="176" t="e">
        <f t="shared" si="223"/>
        <v>#DIV/0!</v>
      </c>
      <c r="AR241" s="176" t="e">
        <f t="shared" si="223"/>
        <v>#DIV/0!</v>
      </c>
      <c r="AS241" s="176" t="e">
        <f t="shared" si="223"/>
        <v>#DIV/0!</v>
      </c>
      <c r="AT241" s="176" t="e">
        <f t="shared" si="223"/>
        <v>#DIV/0!</v>
      </c>
      <c r="AU241" s="176" t="e">
        <f t="shared" si="223"/>
        <v>#DIV/0!</v>
      </c>
      <c r="AV241" s="176" t="e">
        <f t="shared" si="223"/>
        <v>#DIV/0!</v>
      </c>
      <c r="AW241" s="176" t="e">
        <f t="shared" si="223"/>
        <v>#DIV/0!</v>
      </c>
      <c r="AX241" s="176" t="e">
        <f t="shared" si="223"/>
        <v>#DIV/0!</v>
      </c>
      <c r="AY241" s="176" t="e">
        <f t="shared" si="223"/>
        <v>#DIV/0!</v>
      </c>
      <c r="AZ241" s="176" t="e">
        <f t="shared" si="223"/>
        <v>#DIV/0!</v>
      </c>
      <c r="BA241" s="176" t="e">
        <f t="shared" si="223"/>
        <v>#DIV/0!</v>
      </c>
      <c r="BB241" s="176" t="e">
        <f t="shared" ref="BB241:CD241" si="224">(BB226+BB229)/BB235</f>
        <v>#DIV/0!</v>
      </c>
      <c r="BC241" s="176" t="e">
        <f t="shared" si="224"/>
        <v>#DIV/0!</v>
      </c>
      <c r="BD241" s="176" t="e">
        <f t="shared" si="224"/>
        <v>#DIV/0!</v>
      </c>
      <c r="BE241" s="176">
        <f t="shared" si="224"/>
        <v>0</v>
      </c>
      <c r="BF241" s="176">
        <f t="shared" si="224"/>
        <v>0</v>
      </c>
      <c r="BG241" s="176">
        <f t="shared" si="224"/>
        <v>0</v>
      </c>
      <c r="BH241" s="176">
        <f t="shared" si="224"/>
        <v>0</v>
      </c>
      <c r="BI241" s="176">
        <f t="shared" si="224"/>
        <v>0</v>
      </c>
      <c r="BJ241" s="176">
        <f t="shared" si="224"/>
        <v>0</v>
      </c>
      <c r="BK241" s="176">
        <f t="shared" si="224"/>
        <v>0</v>
      </c>
      <c r="BL241" s="176">
        <f t="shared" si="224"/>
        <v>0</v>
      </c>
      <c r="BM241" s="176">
        <f t="shared" si="224"/>
        <v>0</v>
      </c>
      <c r="BN241" s="176">
        <f t="shared" si="224"/>
        <v>0</v>
      </c>
      <c r="BO241" s="176">
        <f t="shared" si="224"/>
        <v>0</v>
      </c>
      <c r="BP241" s="176">
        <f t="shared" si="224"/>
        <v>0</v>
      </c>
      <c r="BQ241" s="176">
        <f t="shared" si="224"/>
        <v>0</v>
      </c>
      <c r="BR241" s="176">
        <f t="shared" si="224"/>
        <v>0</v>
      </c>
      <c r="BS241" s="176">
        <f t="shared" si="224"/>
        <v>0</v>
      </c>
      <c r="BT241" s="176">
        <f t="shared" si="224"/>
        <v>0</v>
      </c>
      <c r="BU241" s="176">
        <f t="shared" si="224"/>
        <v>2.0072329674019929</v>
      </c>
      <c r="BV241" s="176">
        <f t="shared" si="224"/>
        <v>0</v>
      </c>
      <c r="BW241" s="176">
        <f t="shared" si="224"/>
        <v>0</v>
      </c>
      <c r="BX241" s="176">
        <f t="shared" si="224"/>
        <v>0</v>
      </c>
      <c r="BY241" s="176">
        <f t="shared" si="224"/>
        <v>1.9982374006827552</v>
      </c>
      <c r="BZ241" s="176">
        <f t="shared" si="224"/>
        <v>4.2565292481743722</v>
      </c>
      <c r="CA241" s="176">
        <f t="shared" si="224"/>
        <v>4.1594035085623879</v>
      </c>
      <c r="CB241" s="176">
        <f t="shared" si="224"/>
        <v>4.3311635449421706</v>
      </c>
      <c r="CC241" s="176">
        <f t="shared" si="224"/>
        <v>4.2735042735042743</v>
      </c>
      <c r="CD241" s="176">
        <f t="shared" si="224"/>
        <v>4.3649052841475573</v>
      </c>
      <c r="CE241" s="141" t="str">
        <f t="shared" si="200"/>
        <v>Total gross leverage</v>
      </c>
    </row>
    <row r="242" spans="1:83" ht="15" customHeight="1">
      <c r="A242" s="169" t="s">
        <v>702</v>
      </c>
      <c r="M242" s="144"/>
      <c r="N242" s="144"/>
      <c r="O242" s="144"/>
      <c r="P242" s="100"/>
      <c r="Q242" s="100"/>
      <c r="R242" s="100"/>
      <c r="S242" s="100"/>
      <c r="T242" s="100"/>
      <c r="U242" s="100"/>
      <c r="V242" s="100"/>
      <c r="W242" s="100"/>
      <c r="X242" s="100"/>
      <c r="Y242" s="100"/>
      <c r="Z242" s="100"/>
      <c r="AB242" s="92" t="s">
        <v>719</v>
      </c>
      <c r="AC242" s="173" t="e">
        <f t="shared" ref="AC242:CD242" si="225">(AC218+AC219-AC227)/AC235</f>
        <v>#DIV/0!</v>
      </c>
      <c r="AD242" s="173" t="e">
        <f t="shared" si="225"/>
        <v>#DIV/0!</v>
      </c>
      <c r="AE242" s="173" t="e">
        <f t="shared" si="225"/>
        <v>#DIV/0!</v>
      </c>
      <c r="AF242" s="173" t="e">
        <f t="shared" si="225"/>
        <v>#DIV/0!</v>
      </c>
      <c r="AG242" s="173" t="e">
        <f t="shared" si="225"/>
        <v>#DIV/0!</v>
      </c>
      <c r="AH242" s="173" t="e">
        <f t="shared" si="225"/>
        <v>#DIV/0!</v>
      </c>
      <c r="AI242" s="173" t="e">
        <f t="shared" si="225"/>
        <v>#DIV/0!</v>
      </c>
      <c r="AJ242" s="173" t="e">
        <f t="shared" si="225"/>
        <v>#DIV/0!</v>
      </c>
      <c r="AK242" s="173" t="e">
        <f t="shared" si="225"/>
        <v>#DIV/0!</v>
      </c>
      <c r="AL242" s="173" t="e">
        <f t="shared" si="225"/>
        <v>#DIV/0!</v>
      </c>
      <c r="AM242" s="173" t="e">
        <f t="shared" si="225"/>
        <v>#DIV/0!</v>
      </c>
      <c r="AN242" s="173" t="e">
        <f t="shared" si="225"/>
        <v>#DIV/0!</v>
      </c>
      <c r="AO242" s="173" t="e">
        <f t="shared" si="225"/>
        <v>#DIV/0!</v>
      </c>
      <c r="AP242" s="173" t="e">
        <f t="shared" si="225"/>
        <v>#DIV/0!</v>
      </c>
      <c r="AQ242" s="173" t="e">
        <f t="shared" si="225"/>
        <v>#DIV/0!</v>
      </c>
      <c r="AR242" s="173" t="e">
        <f t="shared" si="225"/>
        <v>#DIV/0!</v>
      </c>
      <c r="AS242" s="173" t="e">
        <f t="shared" si="225"/>
        <v>#DIV/0!</v>
      </c>
      <c r="AT242" s="173" t="e">
        <f t="shared" si="225"/>
        <v>#DIV/0!</v>
      </c>
      <c r="AU242" s="173" t="e">
        <f t="shared" si="225"/>
        <v>#DIV/0!</v>
      </c>
      <c r="AV242" s="173" t="e">
        <f t="shared" si="225"/>
        <v>#DIV/0!</v>
      </c>
      <c r="AW242" s="173" t="e">
        <f t="shared" si="225"/>
        <v>#DIV/0!</v>
      </c>
      <c r="AX242" s="173" t="e">
        <f t="shared" si="225"/>
        <v>#DIV/0!</v>
      </c>
      <c r="AY242" s="173" t="e">
        <f t="shared" si="225"/>
        <v>#DIV/0!</v>
      </c>
      <c r="AZ242" s="173" t="e">
        <f t="shared" si="225"/>
        <v>#DIV/0!</v>
      </c>
      <c r="BA242" s="173" t="e">
        <f t="shared" si="225"/>
        <v>#DIV/0!</v>
      </c>
      <c r="BB242" s="173" t="e">
        <f t="shared" si="225"/>
        <v>#DIV/0!</v>
      </c>
      <c r="BC242" s="173" t="e">
        <f t="shared" si="225"/>
        <v>#DIV/0!</v>
      </c>
      <c r="BD242" s="173" t="e">
        <f t="shared" si="225"/>
        <v>#DIV/0!</v>
      </c>
      <c r="BE242" s="173">
        <f t="shared" si="225"/>
        <v>0</v>
      </c>
      <c r="BF242" s="173">
        <f t="shared" si="225"/>
        <v>0</v>
      </c>
      <c r="BG242" s="173">
        <f t="shared" si="225"/>
        <v>0</v>
      </c>
      <c r="BH242" s="173">
        <f t="shared" si="225"/>
        <v>0</v>
      </c>
      <c r="BI242" s="173">
        <f t="shared" si="225"/>
        <v>0</v>
      </c>
      <c r="BJ242" s="173">
        <f t="shared" si="225"/>
        <v>0</v>
      </c>
      <c r="BK242" s="173">
        <f t="shared" si="225"/>
        <v>0</v>
      </c>
      <c r="BL242" s="173">
        <f t="shared" si="225"/>
        <v>0</v>
      </c>
      <c r="BM242" s="173">
        <f t="shared" si="225"/>
        <v>0</v>
      </c>
      <c r="BN242" s="173">
        <f t="shared" si="225"/>
        <v>0</v>
      </c>
      <c r="BO242" s="173">
        <f t="shared" si="225"/>
        <v>0</v>
      </c>
      <c r="BP242" s="173">
        <f t="shared" si="225"/>
        <v>0</v>
      </c>
      <c r="BQ242" s="173">
        <f t="shared" si="225"/>
        <v>0</v>
      </c>
      <c r="BR242" s="173">
        <f t="shared" si="225"/>
        <v>0</v>
      </c>
      <c r="BS242" s="173">
        <f t="shared" si="225"/>
        <v>0</v>
      </c>
      <c r="BT242" s="173">
        <f t="shared" si="225"/>
        <v>0</v>
      </c>
      <c r="BU242" s="173">
        <f t="shared" si="225"/>
        <v>0.14931455679205691</v>
      </c>
      <c r="BV242" s="173">
        <f t="shared" si="225"/>
        <v>0</v>
      </c>
      <c r="BW242" s="173">
        <f t="shared" si="225"/>
        <v>0</v>
      </c>
      <c r="BX242" s="173">
        <f t="shared" si="225"/>
        <v>0</v>
      </c>
      <c r="BY242" s="173">
        <f t="shared" si="225"/>
        <v>-0.1567803952033546</v>
      </c>
      <c r="BZ242" s="173">
        <f t="shared" si="225"/>
        <v>-0.32134141023769625</v>
      </c>
      <c r="CA242" s="173">
        <f t="shared" si="225"/>
        <v>-0.32813370480718129</v>
      </c>
      <c r="CB242" s="173">
        <f t="shared" si="225"/>
        <v>-0.18449175343567056</v>
      </c>
      <c r="CC242" s="173">
        <f t="shared" si="225"/>
        <v>-0.25992961287078936</v>
      </c>
      <c r="CD242" s="173">
        <f t="shared" si="225"/>
        <v>-0.15503489531405784</v>
      </c>
      <c r="CE242" s="141" t="str">
        <f t="shared" si="200"/>
        <v>Bank net leverage</v>
      </c>
    </row>
    <row r="243" spans="1:83" ht="15" customHeight="1">
      <c r="A243" s="92" t="s">
        <v>703</v>
      </c>
      <c r="M243" s="144"/>
      <c r="N243" s="144"/>
      <c r="O243" s="144"/>
      <c r="P243" s="155"/>
      <c r="Q243" s="155"/>
      <c r="R243" s="155"/>
      <c r="S243" s="155"/>
      <c r="T243" s="155"/>
      <c r="U243" s="155"/>
      <c r="V243" s="155"/>
      <c r="W243" s="155"/>
      <c r="X243" s="155"/>
      <c r="Y243" s="155"/>
      <c r="Z243" s="155"/>
      <c r="AB243" s="92" t="s">
        <v>720</v>
      </c>
      <c r="AC243" s="173" t="e">
        <f t="shared" ref="AC243:CD243" si="226">(AC223-AC227)/AC235</f>
        <v>#DIV/0!</v>
      </c>
      <c r="AD243" s="173" t="e">
        <f t="shared" si="226"/>
        <v>#DIV/0!</v>
      </c>
      <c r="AE243" s="173" t="e">
        <f t="shared" si="226"/>
        <v>#DIV/0!</v>
      </c>
      <c r="AF243" s="173" t="e">
        <f t="shared" si="226"/>
        <v>#DIV/0!</v>
      </c>
      <c r="AG243" s="173" t="e">
        <f t="shared" si="226"/>
        <v>#DIV/0!</v>
      </c>
      <c r="AH243" s="173" t="e">
        <f t="shared" si="226"/>
        <v>#DIV/0!</v>
      </c>
      <c r="AI243" s="173" t="e">
        <f t="shared" si="226"/>
        <v>#DIV/0!</v>
      </c>
      <c r="AJ243" s="173" t="e">
        <f t="shared" si="226"/>
        <v>#DIV/0!</v>
      </c>
      <c r="AK243" s="173" t="e">
        <f t="shared" si="226"/>
        <v>#DIV/0!</v>
      </c>
      <c r="AL243" s="173" t="e">
        <f t="shared" si="226"/>
        <v>#DIV/0!</v>
      </c>
      <c r="AM243" s="173" t="e">
        <f t="shared" si="226"/>
        <v>#DIV/0!</v>
      </c>
      <c r="AN243" s="173" t="e">
        <f t="shared" si="226"/>
        <v>#DIV/0!</v>
      </c>
      <c r="AO243" s="173" t="e">
        <f t="shared" si="226"/>
        <v>#DIV/0!</v>
      </c>
      <c r="AP243" s="173" t="e">
        <f t="shared" si="226"/>
        <v>#DIV/0!</v>
      </c>
      <c r="AQ243" s="173" t="e">
        <f t="shared" si="226"/>
        <v>#DIV/0!</v>
      </c>
      <c r="AR243" s="173" t="e">
        <f t="shared" si="226"/>
        <v>#DIV/0!</v>
      </c>
      <c r="AS243" s="173" t="e">
        <f t="shared" si="226"/>
        <v>#DIV/0!</v>
      </c>
      <c r="AT243" s="173" t="e">
        <f t="shared" si="226"/>
        <v>#DIV/0!</v>
      </c>
      <c r="AU243" s="173" t="e">
        <f t="shared" si="226"/>
        <v>#DIV/0!</v>
      </c>
      <c r="AV243" s="173" t="e">
        <f t="shared" si="226"/>
        <v>#DIV/0!</v>
      </c>
      <c r="AW243" s="173" t="e">
        <f t="shared" si="226"/>
        <v>#DIV/0!</v>
      </c>
      <c r="AX243" s="173" t="e">
        <f t="shared" si="226"/>
        <v>#DIV/0!</v>
      </c>
      <c r="AY243" s="173" t="e">
        <f t="shared" si="226"/>
        <v>#DIV/0!</v>
      </c>
      <c r="AZ243" s="173" t="e">
        <f t="shared" si="226"/>
        <v>#DIV/0!</v>
      </c>
      <c r="BA243" s="173" t="e">
        <f t="shared" si="226"/>
        <v>#DIV/0!</v>
      </c>
      <c r="BB243" s="173" t="e">
        <f t="shared" si="226"/>
        <v>#DIV/0!</v>
      </c>
      <c r="BC243" s="173" t="e">
        <f t="shared" si="226"/>
        <v>#DIV/0!</v>
      </c>
      <c r="BD243" s="173" t="e">
        <f t="shared" si="226"/>
        <v>#DIV/0!</v>
      </c>
      <c r="BE243" s="173">
        <f t="shared" si="226"/>
        <v>0</v>
      </c>
      <c r="BF243" s="173">
        <f t="shared" si="226"/>
        <v>0</v>
      </c>
      <c r="BG243" s="173">
        <f t="shared" si="226"/>
        <v>0</v>
      </c>
      <c r="BH243" s="173">
        <f t="shared" si="226"/>
        <v>0</v>
      </c>
      <c r="BI243" s="173">
        <f t="shared" si="226"/>
        <v>0</v>
      </c>
      <c r="BJ243" s="173">
        <f t="shared" si="226"/>
        <v>0</v>
      </c>
      <c r="BK243" s="173">
        <f t="shared" si="226"/>
        <v>0</v>
      </c>
      <c r="BL243" s="173">
        <f t="shared" si="226"/>
        <v>0</v>
      </c>
      <c r="BM243" s="173">
        <f t="shared" si="226"/>
        <v>0</v>
      </c>
      <c r="BN243" s="173">
        <f t="shared" si="226"/>
        <v>0</v>
      </c>
      <c r="BO243" s="173">
        <f t="shared" si="226"/>
        <v>0</v>
      </c>
      <c r="BP243" s="173">
        <f t="shared" si="226"/>
        <v>0</v>
      </c>
      <c r="BQ243" s="173">
        <f t="shared" si="226"/>
        <v>0</v>
      </c>
      <c r="BR243" s="173">
        <f t="shared" si="226"/>
        <v>0</v>
      </c>
      <c r="BS243" s="173">
        <f t="shared" si="226"/>
        <v>0</v>
      </c>
      <c r="BT243" s="173">
        <f t="shared" si="226"/>
        <v>0</v>
      </c>
      <c r="BU243" s="173">
        <f t="shared" si="226"/>
        <v>0.1499694451990396</v>
      </c>
      <c r="BV243" s="173">
        <f t="shared" si="226"/>
        <v>0</v>
      </c>
      <c r="BW243" s="173">
        <f t="shared" si="226"/>
        <v>0</v>
      </c>
      <c r="BX243" s="173">
        <f t="shared" si="226"/>
        <v>0</v>
      </c>
      <c r="BY243" s="173">
        <f t="shared" si="226"/>
        <v>-0.15392984256329359</v>
      </c>
      <c r="BZ243" s="173">
        <f t="shared" si="226"/>
        <v>3.935187837936676</v>
      </c>
      <c r="CA243" s="173">
        <f t="shared" si="226"/>
        <v>3.8312698037552071</v>
      </c>
      <c r="CB243" s="173">
        <f t="shared" si="226"/>
        <v>4.1466717915064999</v>
      </c>
      <c r="CC243" s="173">
        <f t="shared" si="226"/>
        <v>4.0135746606334841</v>
      </c>
      <c r="CD243" s="173">
        <f t="shared" si="226"/>
        <v>4.2098703888334992</v>
      </c>
      <c r="CE243" s="141" t="str">
        <f t="shared" si="200"/>
        <v>Senior secured debt net leverage</v>
      </c>
    </row>
    <row r="244" spans="1:83" ht="15" customHeight="1">
      <c r="A244" s="92" t="s">
        <v>721</v>
      </c>
      <c r="M244" s="144"/>
      <c r="N244" s="144"/>
      <c r="O244" s="144"/>
      <c r="P244" s="97">
        <f t="shared" ref="P244:Z244" si="227">SUM(P239:P243)</f>
        <v>0</v>
      </c>
      <c r="Q244" s="97">
        <f t="shared" si="227"/>
        <v>0</v>
      </c>
      <c r="R244" s="97">
        <f t="shared" si="227"/>
        <v>0</v>
      </c>
      <c r="S244" s="97">
        <f t="shared" si="227"/>
        <v>0</v>
      </c>
      <c r="T244" s="97">
        <f t="shared" si="227"/>
        <v>0</v>
      </c>
      <c r="U244" s="97">
        <f t="shared" si="227"/>
        <v>0</v>
      </c>
      <c r="V244" s="97">
        <f t="shared" si="227"/>
        <v>0</v>
      </c>
      <c r="W244" s="97">
        <f t="shared" si="227"/>
        <v>0</v>
      </c>
      <c r="X244" s="97">
        <f t="shared" si="227"/>
        <v>0</v>
      </c>
      <c r="Y244" s="97">
        <f t="shared" si="227"/>
        <v>760</v>
      </c>
      <c r="Z244" s="97">
        <f t="shared" si="227"/>
        <v>0</v>
      </c>
      <c r="AB244" s="92" t="s">
        <v>722</v>
      </c>
      <c r="AC244" s="173" t="e">
        <f t="shared" ref="AC244:CD244" si="228">AC228/AC235</f>
        <v>#DIV/0!</v>
      </c>
      <c r="AD244" s="173" t="e">
        <f t="shared" si="228"/>
        <v>#DIV/0!</v>
      </c>
      <c r="AE244" s="173" t="e">
        <f t="shared" si="228"/>
        <v>#DIV/0!</v>
      </c>
      <c r="AF244" s="173" t="e">
        <f t="shared" si="228"/>
        <v>#DIV/0!</v>
      </c>
      <c r="AG244" s="173" t="e">
        <f t="shared" si="228"/>
        <v>#DIV/0!</v>
      </c>
      <c r="AH244" s="173" t="e">
        <f t="shared" si="228"/>
        <v>#DIV/0!</v>
      </c>
      <c r="AI244" s="173" t="e">
        <f t="shared" si="228"/>
        <v>#DIV/0!</v>
      </c>
      <c r="AJ244" s="173" t="e">
        <f t="shared" si="228"/>
        <v>#DIV/0!</v>
      </c>
      <c r="AK244" s="173" t="e">
        <f t="shared" si="228"/>
        <v>#DIV/0!</v>
      </c>
      <c r="AL244" s="173" t="e">
        <f t="shared" si="228"/>
        <v>#DIV/0!</v>
      </c>
      <c r="AM244" s="173" t="e">
        <f t="shared" si="228"/>
        <v>#DIV/0!</v>
      </c>
      <c r="AN244" s="173" t="e">
        <f t="shared" si="228"/>
        <v>#DIV/0!</v>
      </c>
      <c r="AO244" s="173" t="e">
        <f t="shared" si="228"/>
        <v>#DIV/0!</v>
      </c>
      <c r="AP244" s="173" t="e">
        <f t="shared" si="228"/>
        <v>#DIV/0!</v>
      </c>
      <c r="AQ244" s="173" t="e">
        <f t="shared" si="228"/>
        <v>#DIV/0!</v>
      </c>
      <c r="AR244" s="173" t="e">
        <f t="shared" si="228"/>
        <v>#DIV/0!</v>
      </c>
      <c r="AS244" s="173" t="e">
        <f t="shared" si="228"/>
        <v>#DIV/0!</v>
      </c>
      <c r="AT244" s="173" t="e">
        <f t="shared" si="228"/>
        <v>#DIV/0!</v>
      </c>
      <c r="AU244" s="173" t="e">
        <f t="shared" si="228"/>
        <v>#DIV/0!</v>
      </c>
      <c r="AV244" s="173" t="e">
        <f t="shared" si="228"/>
        <v>#DIV/0!</v>
      </c>
      <c r="AW244" s="173" t="e">
        <f t="shared" si="228"/>
        <v>#DIV/0!</v>
      </c>
      <c r="AX244" s="173" t="e">
        <f t="shared" si="228"/>
        <v>#DIV/0!</v>
      </c>
      <c r="AY244" s="173" t="e">
        <f t="shared" si="228"/>
        <v>#DIV/0!</v>
      </c>
      <c r="AZ244" s="173" t="e">
        <f t="shared" si="228"/>
        <v>#DIV/0!</v>
      </c>
      <c r="BA244" s="173" t="e">
        <f t="shared" si="228"/>
        <v>#DIV/0!</v>
      </c>
      <c r="BB244" s="173" t="e">
        <f t="shared" si="228"/>
        <v>#DIV/0!</v>
      </c>
      <c r="BC244" s="173" t="e">
        <f t="shared" si="228"/>
        <v>#DIV/0!</v>
      </c>
      <c r="BD244" s="173" t="e">
        <f t="shared" si="228"/>
        <v>#DIV/0!</v>
      </c>
      <c r="BE244" s="173">
        <f t="shared" si="228"/>
        <v>0</v>
      </c>
      <c r="BF244" s="173">
        <f t="shared" si="228"/>
        <v>0</v>
      </c>
      <c r="BG244" s="173">
        <f t="shared" si="228"/>
        <v>0</v>
      </c>
      <c r="BH244" s="173">
        <f t="shared" si="228"/>
        <v>0</v>
      </c>
      <c r="BI244" s="173">
        <f t="shared" si="228"/>
        <v>0</v>
      </c>
      <c r="BJ244" s="173">
        <f t="shared" si="228"/>
        <v>0</v>
      </c>
      <c r="BK244" s="173">
        <f t="shared" si="228"/>
        <v>0</v>
      </c>
      <c r="BL244" s="173">
        <f t="shared" si="228"/>
        <v>0</v>
      </c>
      <c r="BM244" s="173">
        <f t="shared" si="228"/>
        <v>0</v>
      </c>
      <c r="BN244" s="173">
        <f t="shared" si="228"/>
        <v>0</v>
      </c>
      <c r="BO244" s="173">
        <f t="shared" si="228"/>
        <v>0</v>
      </c>
      <c r="BP244" s="173">
        <f t="shared" si="228"/>
        <v>0</v>
      </c>
      <c r="BQ244" s="173">
        <f t="shared" si="228"/>
        <v>0</v>
      </c>
      <c r="BR244" s="173">
        <f t="shared" si="228"/>
        <v>0</v>
      </c>
      <c r="BS244" s="173">
        <f t="shared" si="228"/>
        <v>0</v>
      </c>
      <c r="BT244" s="173">
        <f t="shared" si="228"/>
        <v>0</v>
      </c>
      <c r="BU244" s="173">
        <f t="shared" si="228"/>
        <v>0.1499694451990396</v>
      </c>
      <c r="BV244" s="173">
        <f t="shared" si="228"/>
        <v>0</v>
      </c>
      <c r="BW244" s="173">
        <f t="shared" si="228"/>
        <v>0</v>
      </c>
      <c r="BX244" s="173">
        <f t="shared" si="228"/>
        <v>0</v>
      </c>
      <c r="BY244" s="173">
        <f t="shared" si="228"/>
        <v>-0.15392984256329359</v>
      </c>
      <c r="BZ244" s="173">
        <f t="shared" si="228"/>
        <v>3.935187837936676</v>
      </c>
      <c r="CA244" s="173">
        <f t="shared" si="228"/>
        <v>3.8312698037552071</v>
      </c>
      <c r="CB244" s="173">
        <f t="shared" si="228"/>
        <v>4.1466717915064999</v>
      </c>
      <c r="CC244" s="173">
        <f t="shared" si="228"/>
        <v>4.0135746606334841</v>
      </c>
      <c r="CD244" s="173">
        <f t="shared" si="228"/>
        <v>4.2098703888334992</v>
      </c>
      <c r="CE244" s="141" t="str">
        <f t="shared" si="200"/>
        <v>Total net leverage - 3rd party</v>
      </c>
    </row>
    <row r="245" spans="1:83" ht="15" customHeight="1">
      <c r="A245" s="92" t="s">
        <v>705</v>
      </c>
      <c r="M245" s="173"/>
      <c r="N245" s="173"/>
      <c r="O245" s="173"/>
      <c r="P245" s="100"/>
      <c r="Q245" s="100"/>
      <c r="R245" s="100"/>
      <c r="S245" s="100"/>
      <c r="T245" s="100"/>
      <c r="U245" s="100"/>
      <c r="V245" s="100"/>
      <c r="W245" s="100"/>
      <c r="X245" s="100"/>
      <c r="Y245" s="100"/>
      <c r="Z245" s="100"/>
      <c r="AB245" s="92" t="s">
        <v>723</v>
      </c>
      <c r="AC245" s="173" t="e">
        <f t="shared" ref="AC245:BA245" si="229">AC228/AC235</f>
        <v>#DIV/0!</v>
      </c>
      <c r="AD245" s="173" t="e">
        <f t="shared" si="229"/>
        <v>#DIV/0!</v>
      </c>
      <c r="AE245" s="173" t="e">
        <f t="shared" si="229"/>
        <v>#DIV/0!</v>
      </c>
      <c r="AF245" s="173" t="e">
        <f t="shared" si="229"/>
        <v>#DIV/0!</v>
      </c>
      <c r="AG245" s="173" t="e">
        <f t="shared" si="229"/>
        <v>#DIV/0!</v>
      </c>
      <c r="AH245" s="173" t="e">
        <f t="shared" si="229"/>
        <v>#DIV/0!</v>
      </c>
      <c r="AI245" s="173" t="e">
        <f t="shared" si="229"/>
        <v>#DIV/0!</v>
      </c>
      <c r="AJ245" s="173" t="e">
        <f t="shared" si="229"/>
        <v>#DIV/0!</v>
      </c>
      <c r="AK245" s="173" t="e">
        <f t="shared" si="229"/>
        <v>#DIV/0!</v>
      </c>
      <c r="AL245" s="173" t="e">
        <f t="shared" si="229"/>
        <v>#DIV/0!</v>
      </c>
      <c r="AM245" s="173" t="e">
        <f t="shared" si="229"/>
        <v>#DIV/0!</v>
      </c>
      <c r="AN245" s="173" t="e">
        <f t="shared" si="229"/>
        <v>#DIV/0!</v>
      </c>
      <c r="AO245" s="173" t="e">
        <f t="shared" si="229"/>
        <v>#DIV/0!</v>
      </c>
      <c r="AP245" s="173" t="e">
        <f t="shared" si="229"/>
        <v>#DIV/0!</v>
      </c>
      <c r="AQ245" s="173" t="e">
        <f t="shared" si="229"/>
        <v>#DIV/0!</v>
      </c>
      <c r="AR245" s="173" t="e">
        <f t="shared" si="229"/>
        <v>#DIV/0!</v>
      </c>
      <c r="AS245" s="173" t="e">
        <f t="shared" si="229"/>
        <v>#DIV/0!</v>
      </c>
      <c r="AT245" s="173" t="e">
        <f t="shared" si="229"/>
        <v>#DIV/0!</v>
      </c>
      <c r="AU245" s="173" t="e">
        <f t="shared" si="229"/>
        <v>#DIV/0!</v>
      </c>
      <c r="AV245" s="173" t="e">
        <f t="shared" si="229"/>
        <v>#DIV/0!</v>
      </c>
      <c r="AW245" s="173" t="e">
        <f t="shared" si="229"/>
        <v>#DIV/0!</v>
      </c>
      <c r="AX245" s="173" t="e">
        <f t="shared" si="229"/>
        <v>#DIV/0!</v>
      </c>
      <c r="AY245" s="173" t="e">
        <f t="shared" si="229"/>
        <v>#DIV/0!</v>
      </c>
      <c r="AZ245" s="173" t="e">
        <f t="shared" si="229"/>
        <v>#DIV/0!</v>
      </c>
      <c r="BA245" s="173" t="e">
        <f t="shared" si="229"/>
        <v>#DIV/0!</v>
      </c>
      <c r="BB245" s="173" t="e">
        <f t="shared" ref="BB245:CD245" si="230">BB230/BB235</f>
        <v>#DIV/0!</v>
      </c>
      <c r="BC245" s="173" t="e">
        <f t="shared" si="230"/>
        <v>#DIV/0!</v>
      </c>
      <c r="BD245" s="173" t="e">
        <f t="shared" si="230"/>
        <v>#DIV/0!</v>
      </c>
      <c r="BE245" s="173">
        <f t="shared" si="230"/>
        <v>0</v>
      </c>
      <c r="BF245" s="173">
        <f t="shared" si="230"/>
        <v>0</v>
      </c>
      <c r="BG245" s="173">
        <f t="shared" si="230"/>
        <v>0</v>
      </c>
      <c r="BH245" s="173">
        <f t="shared" si="230"/>
        <v>0</v>
      </c>
      <c r="BI245" s="173">
        <f t="shared" si="230"/>
        <v>0</v>
      </c>
      <c r="BJ245" s="173">
        <f t="shared" si="230"/>
        <v>0</v>
      </c>
      <c r="BK245" s="173">
        <f t="shared" si="230"/>
        <v>0</v>
      </c>
      <c r="BL245" s="173">
        <f t="shared" si="230"/>
        <v>0</v>
      </c>
      <c r="BM245" s="173">
        <f t="shared" si="230"/>
        <v>0</v>
      </c>
      <c r="BN245" s="173">
        <f t="shared" si="230"/>
        <v>0</v>
      </c>
      <c r="BO245" s="173">
        <f t="shared" si="230"/>
        <v>0</v>
      </c>
      <c r="BP245" s="173">
        <f t="shared" si="230"/>
        <v>0</v>
      </c>
      <c r="BQ245" s="173">
        <f t="shared" si="230"/>
        <v>0</v>
      </c>
      <c r="BR245" s="173">
        <f t="shared" si="230"/>
        <v>0</v>
      </c>
      <c r="BS245" s="173">
        <f t="shared" si="230"/>
        <v>0</v>
      </c>
      <c r="BT245" s="173">
        <f t="shared" si="230"/>
        <v>0</v>
      </c>
      <c r="BU245" s="173">
        <f t="shared" si="230"/>
        <v>1.8683966251216588</v>
      </c>
      <c r="BV245" s="173">
        <f t="shared" si="230"/>
        <v>0</v>
      </c>
      <c r="BW245" s="173">
        <f t="shared" si="230"/>
        <v>0</v>
      </c>
      <c r="BX245" s="173">
        <f t="shared" si="230"/>
        <v>0</v>
      </c>
      <c r="BY245" s="173">
        <f t="shared" si="230"/>
        <v>1.5028113518401549</v>
      </c>
      <c r="BZ245" s="173">
        <f t="shared" si="230"/>
        <v>3.935187837936676</v>
      </c>
      <c r="CA245" s="173">
        <f t="shared" si="230"/>
        <v>3.8312698037552071</v>
      </c>
      <c r="CB245" s="173">
        <f t="shared" si="230"/>
        <v>4.1466717915064999</v>
      </c>
      <c r="CC245" s="173">
        <f t="shared" si="230"/>
        <v>4.0135746606334841</v>
      </c>
      <c r="CD245" s="173">
        <f t="shared" si="230"/>
        <v>4.2098703888334992</v>
      </c>
      <c r="CE245" s="141" t="str">
        <f t="shared" si="200"/>
        <v>Total net leverage</v>
      </c>
    </row>
    <row r="246" spans="1:83" ht="15" customHeight="1">
      <c r="A246" s="92" t="s">
        <v>4</v>
      </c>
      <c r="M246" s="173"/>
      <c r="N246" s="173"/>
      <c r="O246" s="173"/>
      <c r="P246" s="100"/>
      <c r="Q246" s="100"/>
      <c r="R246" s="100"/>
      <c r="S246" s="100"/>
      <c r="T246" s="100"/>
      <c r="U246" s="100"/>
      <c r="V246" s="100"/>
      <c r="W246" s="100"/>
      <c r="X246" s="100"/>
      <c r="Y246" s="100"/>
      <c r="Z246" s="100"/>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141"/>
    </row>
    <row r="247" spans="1:83" ht="15" customHeight="1">
      <c r="A247" s="92" t="s">
        <v>709</v>
      </c>
      <c r="M247" s="173"/>
      <c r="N247" s="173"/>
      <c r="O247" s="173"/>
      <c r="P247" s="155"/>
      <c r="Q247" s="155"/>
      <c r="R247" s="155"/>
      <c r="S247" s="155"/>
      <c r="T247" s="155"/>
      <c r="U247" s="155"/>
      <c r="V247" s="155"/>
      <c r="W247" s="155"/>
      <c r="X247" s="155"/>
      <c r="Y247" s="155"/>
      <c r="Z247" s="155"/>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141"/>
    </row>
    <row r="248" spans="1:83" ht="15" customHeight="1">
      <c r="A248" s="92" t="s">
        <v>724</v>
      </c>
      <c r="M248" s="173"/>
      <c r="N248" s="173"/>
      <c r="O248" s="173"/>
      <c r="P248" s="97">
        <f>SUM(P244:P247)</f>
        <v>0</v>
      </c>
      <c r="Q248" s="97">
        <f t="shared" ref="Q248:Z248" si="231">SUM(Q244:Q247)</f>
        <v>0</v>
      </c>
      <c r="R248" s="97">
        <f t="shared" si="231"/>
        <v>0</v>
      </c>
      <c r="S248" s="97">
        <f t="shared" si="231"/>
        <v>0</v>
      </c>
      <c r="T248" s="97">
        <f t="shared" si="231"/>
        <v>0</v>
      </c>
      <c r="U248" s="97">
        <f t="shared" si="231"/>
        <v>0</v>
      </c>
      <c r="V248" s="97">
        <f t="shared" si="231"/>
        <v>0</v>
      </c>
      <c r="W248" s="97">
        <f t="shared" si="231"/>
        <v>0</v>
      </c>
      <c r="X248" s="97">
        <f t="shared" si="231"/>
        <v>0</v>
      </c>
      <c r="Y248" s="97">
        <f t="shared" si="231"/>
        <v>760</v>
      </c>
      <c r="Z248" s="97">
        <f t="shared" si="231"/>
        <v>0</v>
      </c>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141"/>
    </row>
    <row r="249" spans="1:83" ht="15" customHeight="1">
      <c r="M249" s="173"/>
      <c r="N249" s="173"/>
      <c r="O249" s="173"/>
      <c r="P249" s="97"/>
      <c r="Q249" s="97"/>
      <c r="R249" s="97"/>
      <c r="S249" s="97"/>
      <c r="T249" s="97"/>
      <c r="U249" s="97"/>
      <c r="V249" s="97"/>
      <c r="W249" s="97"/>
      <c r="X249" s="97"/>
      <c r="Y249" s="97"/>
      <c r="Z249" s="97"/>
      <c r="AB249" s="174" t="s">
        <v>725</v>
      </c>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177"/>
      <c r="AY249" s="177"/>
      <c r="AZ249" s="177"/>
      <c r="BA249" s="177"/>
      <c r="BB249" s="178"/>
      <c r="BC249" s="178"/>
      <c r="BD249" s="178"/>
      <c r="BE249" s="178"/>
      <c r="BF249" s="178"/>
      <c r="BG249" s="178"/>
      <c r="BH249" s="178"/>
      <c r="BI249" s="178"/>
      <c r="BJ249" s="178"/>
      <c r="BK249" s="178"/>
      <c r="BL249" s="178"/>
      <c r="BM249" s="178"/>
      <c r="BN249" s="178"/>
      <c r="BO249" s="178"/>
      <c r="BP249" s="178"/>
      <c r="BQ249" s="178"/>
      <c r="BR249" s="178">
        <v>2014</v>
      </c>
      <c r="BS249" s="178">
        <v>2015</v>
      </c>
      <c r="BT249" s="178">
        <v>2016</v>
      </c>
      <c r="BU249" s="178">
        <v>2017</v>
      </c>
      <c r="BV249" s="178">
        <v>2018</v>
      </c>
      <c r="BW249" s="178">
        <v>2019</v>
      </c>
      <c r="BX249" s="178">
        <v>2020</v>
      </c>
      <c r="BY249" s="178">
        <v>2021</v>
      </c>
      <c r="BZ249" s="178">
        <v>2022</v>
      </c>
      <c r="CA249" s="178">
        <v>2023</v>
      </c>
      <c r="CB249" s="178">
        <v>2024</v>
      </c>
      <c r="CC249" s="178">
        <v>2025</v>
      </c>
      <c r="CD249" s="91"/>
      <c r="CE249" s="141"/>
    </row>
    <row r="250" spans="1:83" ht="15" customHeight="1">
      <c r="M250" s="173"/>
      <c r="N250" s="173"/>
      <c r="O250" s="173"/>
      <c r="P250" s="97"/>
      <c r="Q250" s="97"/>
      <c r="R250" s="97"/>
      <c r="S250" s="97"/>
      <c r="T250" s="97"/>
      <c r="U250" s="97"/>
      <c r="V250" s="97"/>
      <c r="W250" s="97"/>
      <c r="X250" s="97"/>
      <c r="Y250" s="97"/>
      <c r="Z250" s="97"/>
      <c r="AB250" s="169" t="s">
        <v>726</v>
      </c>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6"/>
      <c r="BC250" s="96"/>
      <c r="BD250" s="96"/>
      <c r="BE250" s="96"/>
      <c r="BF250" s="96"/>
      <c r="BG250" s="96"/>
      <c r="BH250" s="96"/>
      <c r="BI250" s="96"/>
      <c r="BJ250" s="96"/>
      <c r="BK250" s="96"/>
      <c r="BL250" s="96"/>
      <c r="BM250" s="96"/>
      <c r="BN250" s="96"/>
      <c r="BO250" s="96"/>
      <c r="BP250" s="96"/>
      <c r="BQ250" s="96"/>
      <c r="BR250" s="96"/>
      <c r="BS250" s="96"/>
      <c r="BT250" s="96"/>
      <c r="BU250" s="96"/>
      <c r="BV250" s="96"/>
      <c r="BW250" s="96"/>
      <c r="BX250" s="96"/>
      <c r="BY250" s="96"/>
      <c r="BZ250" s="96"/>
      <c r="CA250" s="96"/>
      <c r="CB250" s="96">
        <f>CD220</f>
        <v>875.3</v>
      </c>
      <c r="CC250" s="96"/>
      <c r="CD250" s="91"/>
      <c r="CE250" s="141" t="str">
        <f t="shared" si="200"/>
        <v>3rd party debt</v>
      </c>
    </row>
    <row r="251" spans="1:83" ht="15" customHeight="1">
      <c r="A251" s="174" t="s">
        <v>727</v>
      </c>
      <c r="B251" s="94"/>
      <c r="C251" s="94"/>
      <c r="D251" s="94"/>
      <c r="E251" s="94"/>
      <c r="F251" s="94"/>
      <c r="G251" s="94"/>
      <c r="H251" s="94"/>
      <c r="I251" s="94"/>
      <c r="J251" s="94"/>
      <c r="K251" s="94"/>
      <c r="L251" s="94"/>
      <c r="M251" s="94"/>
      <c r="N251" s="94"/>
      <c r="O251" s="94"/>
      <c r="P251" s="94">
        <f t="shared" ref="P251:Z251" si="232">P1</f>
        <v>2015</v>
      </c>
      <c r="Q251" s="94">
        <f t="shared" si="232"/>
        <v>2016</v>
      </c>
      <c r="R251" s="94">
        <f t="shared" si="232"/>
        <v>2017</v>
      </c>
      <c r="S251" s="94" t="str">
        <f t="shared" si="232"/>
        <v>2018E</v>
      </c>
      <c r="T251" s="94" t="str">
        <f t="shared" si="232"/>
        <v>2019E</v>
      </c>
      <c r="U251" s="94" t="str">
        <f t="shared" si="232"/>
        <v>2020E</v>
      </c>
      <c r="V251" s="94" t="str">
        <f t="shared" si="232"/>
        <v>2021E</v>
      </c>
      <c r="W251" s="94" t="str">
        <f t="shared" si="232"/>
        <v>2022E</v>
      </c>
      <c r="X251" s="94" t="str">
        <f t="shared" si="232"/>
        <v>2023E</v>
      </c>
      <c r="Y251" s="94" t="str">
        <f t="shared" si="232"/>
        <v>2024E</v>
      </c>
      <c r="Z251" s="94" t="str">
        <f t="shared" si="232"/>
        <v>2025E</v>
      </c>
      <c r="AB251" s="169" t="s">
        <v>709</v>
      </c>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141" t="str">
        <f t="shared" si="200"/>
        <v>Related party debt</v>
      </c>
    </row>
    <row r="252" spans="1:83" ht="15" customHeight="1">
      <c r="A252" s="92" t="s">
        <v>699</v>
      </c>
      <c r="M252" s="144"/>
      <c r="N252" s="144"/>
      <c r="O252" s="144"/>
      <c r="P252" s="100"/>
      <c r="Q252" s="100"/>
      <c r="R252" s="100"/>
      <c r="S252" s="100"/>
      <c r="T252" s="100"/>
      <c r="U252" s="100"/>
      <c r="V252" s="100"/>
      <c r="W252" s="100"/>
      <c r="X252" s="100"/>
      <c r="Y252" s="100"/>
      <c r="Z252" s="100"/>
      <c r="CE252" s="91"/>
    </row>
    <row r="253" spans="1:83" ht="15" customHeight="1">
      <c r="A253" s="92" t="s">
        <v>700</v>
      </c>
      <c r="M253" s="144"/>
      <c r="N253" s="144"/>
      <c r="O253" s="144"/>
      <c r="P253" s="100"/>
      <c r="Q253" s="100"/>
      <c r="R253" s="100"/>
      <c r="S253" s="100"/>
      <c r="T253" s="100"/>
      <c r="U253" s="100"/>
      <c r="V253" s="100"/>
      <c r="W253" s="100"/>
      <c r="X253" s="100"/>
      <c r="Y253" s="100"/>
      <c r="Z253" s="100"/>
      <c r="CE253" s="91"/>
    </row>
    <row r="254" spans="1:83" ht="15" customHeight="1">
      <c r="A254" s="92" t="s">
        <v>701</v>
      </c>
      <c r="M254" s="144"/>
      <c r="N254" s="144"/>
      <c r="O254" s="144"/>
      <c r="P254" s="100"/>
      <c r="Q254" s="100"/>
      <c r="R254" s="100"/>
      <c r="S254" s="100"/>
      <c r="T254" s="100"/>
      <c r="U254" s="100"/>
      <c r="V254" s="100"/>
      <c r="W254" s="100"/>
      <c r="X254" s="100"/>
      <c r="Y254" s="100"/>
      <c r="Z254" s="100"/>
      <c r="CE254" s="91"/>
    </row>
    <row r="255" spans="1:83" ht="15" customHeight="1">
      <c r="A255" s="169" t="s">
        <v>702</v>
      </c>
      <c r="M255" s="144"/>
      <c r="N255" s="144"/>
      <c r="O255" s="144"/>
      <c r="P255" s="100"/>
      <c r="Q255" s="100"/>
      <c r="R255" s="100"/>
      <c r="S255" s="100"/>
      <c r="T255" s="100"/>
      <c r="U255" s="100"/>
      <c r="V255" s="100"/>
      <c r="W255" s="100"/>
      <c r="X255" s="100"/>
      <c r="Y255" s="100"/>
      <c r="Z255" s="100"/>
      <c r="AB255" s="179" t="str">
        <f>AB217</f>
        <v>Chile (VTR) Debt structure (CHP bn)</v>
      </c>
      <c r="AC255" s="180" t="str">
        <f>CD217</f>
        <v>Q1 15</v>
      </c>
      <c r="AD255" s="181" t="s">
        <v>728</v>
      </c>
      <c r="CE255" s="91"/>
    </row>
    <row r="256" spans="1:83" ht="15" customHeight="1">
      <c r="A256" s="92" t="s">
        <v>703</v>
      </c>
      <c r="M256" s="144"/>
      <c r="N256" s="144"/>
      <c r="O256" s="144"/>
      <c r="P256" s="155"/>
      <c r="Q256" s="155"/>
      <c r="R256" s="155"/>
      <c r="S256" s="155"/>
      <c r="T256" s="155"/>
      <c r="U256" s="155"/>
      <c r="V256" s="155"/>
      <c r="W256" s="155"/>
      <c r="X256" s="155"/>
      <c r="Y256" s="155"/>
      <c r="Z256" s="155"/>
      <c r="AB256" s="182" t="str">
        <f>AB220</f>
        <v>VTR Finance 6.875% SSN 2024</v>
      </c>
      <c r="AC256" s="183">
        <f>CD220</f>
        <v>875.3</v>
      </c>
      <c r="AD256" s="184"/>
      <c r="CE256" s="91"/>
    </row>
    <row r="257" spans="1:83">
      <c r="A257" s="92" t="s">
        <v>729</v>
      </c>
      <c r="M257" s="144"/>
      <c r="N257" s="144"/>
      <c r="O257" s="144"/>
      <c r="P257" s="97">
        <f t="shared" ref="P257:Z257" si="233">SUM(P252:P256)</f>
        <v>0</v>
      </c>
      <c r="Q257" s="97">
        <f t="shared" si="233"/>
        <v>0</v>
      </c>
      <c r="R257" s="97">
        <f t="shared" si="233"/>
        <v>0</v>
      </c>
      <c r="S257" s="97">
        <f t="shared" si="233"/>
        <v>0</v>
      </c>
      <c r="T257" s="97">
        <f t="shared" si="233"/>
        <v>0</v>
      </c>
      <c r="U257" s="97">
        <f t="shared" si="233"/>
        <v>0</v>
      </c>
      <c r="V257" s="97">
        <f t="shared" si="233"/>
        <v>0</v>
      </c>
      <c r="W257" s="97">
        <f t="shared" si="233"/>
        <v>0</v>
      </c>
      <c r="X257" s="97">
        <f t="shared" si="233"/>
        <v>0</v>
      </c>
      <c r="Y257" s="97">
        <f t="shared" si="233"/>
        <v>0</v>
      </c>
      <c r="Z257" s="97">
        <f t="shared" si="233"/>
        <v>0</v>
      </c>
      <c r="AB257" s="185" t="str">
        <f t="shared" ref="AB257:AB265" si="234">AB222</f>
        <v>Capital leases</v>
      </c>
      <c r="AC257" s="186">
        <f t="shared" ref="AC257:AC265" si="235">CD222</f>
        <v>0.3</v>
      </c>
      <c r="AD257" s="187"/>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row>
    <row r="258" spans="1:83" ht="15" customHeight="1">
      <c r="A258" s="92" t="s">
        <v>705</v>
      </c>
      <c r="M258" s="173"/>
      <c r="N258" s="173"/>
      <c r="O258" s="173"/>
      <c r="P258" s="100"/>
      <c r="Q258" s="100"/>
      <c r="R258" s="100"/>
      <c r="S258" s="100"/>
      <c r="T258" s="100"/>
      <c r="U258" s="100"/>
      <c r="V258" s="100"/>
      <c r="W258" s="100"/>
      <c r="X258" s="100"/>
      <c r="Y258" s="100"/>
      <c r="Z258" s="100"/>
      <c r="AB258" s="182" t="str">
        <f t="shared" si="234"/>
        <v>Total senior secured debt</v>
      </c>
      <c r="AC258" s="188">
        <f t="shared" si="235"/>
        <v>875.59999999999991</v>
      </c>
      <c r="AD258" s="189">
        <f>CD239</f>
        <v>4.3649052841475573</v>
      </c>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row>
    <row r="259" spans="1:83" ht="15" customHeight="1">
      <c r="A259" s="92" t="s">
        <v>4</v>
      </c>
      <c r="M259" s="173"/>
      <c r="N259" s="173"/>
      <c r="O259" s="173"/>
      <c r="P259" s="100"/>
      <c r="Q259" s="100"/>
      <c r="R259" s="100"/>
      <c r="S259" s="100"/>
      <c r="T259" s="100"/>
      <c r="U259" s="100"/>
      <c r="V259" s="100"/>
      <c r="W259" s="100"/>
      <c r="X259" s="100"/>
      <c r="Y259" s="100"/>
      <c r="Z259" s="100"/>
      <c r="AB259" s="185" t="str">
        <f t="shared" si="234"/>
        <v>HY debt</v>
      </c>
      <c r="AC259" s="190">
        <f t="shared" si="235"/>
        <v>0</v>
      </c>
      <c r="AD259" s="1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row>
    <row r="260" spans="1:83" ht="15" customHeight="1">
      <c r="A260" s="92" t="s">
        <v>709</v>
      </c>
      <c r="M260" s="173"/>
      <c r="N260" s="173"/>
      <c r="O260" s="173"/>
      <c r="P260" s="155"/>
      <c r="Q260" s="155"/>
      <c r="R260" s="155"/>
      <c r="S260" s="155"/>
      <c r="T260" s="155"/>
      <c r="U260" s="155"/>
      <c r="V260" s="155"/>
      <c r="W260" s="155"/>
      <c r="X260" s="155"/>
      <c r="Y260" s="155"/>
      <c r="Z260" s="155"/>
      <c r="AB260" s="182" t="str">
        <f t="shared" si="234"/>
        <v>Other</v>
      </c>
      <c r="AC260" s="192">
        <f t="shared" si="235"/>
        <v>0</v>
      </c>
      <c r="AD260" s="193"/>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row>
    <row r="261" spans="1:83" ht="15" customHeight="1">
      <c r="A261" s="92" t="s">
        <v>730</v>
      </c>
      <c r="M261" s="173"/>
      <c r="N261" s="173"/>
      <c r="O261" s="173"/>
      <c r="P261" s="97">
        <f>SUM(P257:P260)</f>
        <v>0</v>
      </c>
      <c r="Q261" s="97">
        <f t="shared" ref="Q261:Z261" si="236">SUM(Q257:Q260)</f>
        <v>0</v>
      </c>
      <c r="R261" s="97">
        <f t="shared" si="236"/>
        <v>0</v>
      </c>
      <c r="S261" s="97">
        <f t="shared" si="236"/>
        <v>0</v>
      </c>
      <c r="T261" s="97">
        <f t="shared" si="236"/>
        <v>0</v>
      </c>
      <c r="U261" s="97">
        <f t="shared" si="236"/>
        <v>0</v>
      </c>
      <c r="V261" s="97">
        <f t="shared" si="236"/>
        <v>0</v>
      </c>
      <c r="W261" s="97">
        <f t="shared" si="236"/>
        <v>0</v>
      </c>
      <c r="X261" s="97">
        <f t="shared" si="236"/>
        <v>0</v>
      </c>
      <c r="Y261" s="97">
        <f t="shared" si="236"/>
        <v>0</v>
      </c>
      <c r="Z261" s="97">
        <f t="shared" si="236"/>
        <v>0</v>
      </c>
      <c r="AB261" s="185" t="str">
        <f t="shared" si="234"/>
        <v>Total third pary debt</v>
      </c>
      <c r="AC261" s="190">
        <f t="shared" si="235"/>
        <v>875.59999999999991</v>
      </c>
      <c r="AD261" s="191">
        <f>CD241</f>
        <v>4.3649052841475573</v>
      </c>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row>
    <row r="262" spans="1:83" ht="15" customHeight="1">
      <c r="AB262" s="182" t="str">
        <f t="shared" si="234"/>
        <v>Cash</v>
      </c>
      <c r="AC262" s="192">
        <f t="shared" si="235"/>
        <v>31.1</v>
      </c>
      <c r="AD262" s="193"/>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row>
    <row r="263" spans="1:83" ht="15" customHeight="1">
      <c r="AB263" s="194" t="str">
        <f t="shared" si="234"/>
        <v>Total third party net debt</v>
      </c>
      <c r="AC263" s="195">
        <f t="shared" si="235"/>
        <v>844.49999999999989</v>
      </c>
      <c r="AD263" s="196">
        <f>CD244</f>
        <v>4.2098703888334992</v>
      </c>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row>
    <row r="264" spans="1:83" ht="15" customHeight="1">
      <c r="A264" s="174" t="s">
        <v>731</v>
      </c>
      <c r="B264" s="94"/>
      <c r="C264" s="94"/>
      <c r="D264" s="94"/>
      <c r="E264" s="94"/>
      <c r="F264" s="94"/>
      <c r="G264" s="94"/>
      <c r="H264" s="94"/>
      <c r="I264" s="94"/>
      <c r="J264" s="94"/>
      <c r="K264" s="94"/>
      <c r="L264" s="94" t="s">
        <v>732</v>
      </c>
      <c r="M264" s="94" t="s">
        <v>733</v>
      </c>
      <c r="N264" s="94" t="s">
        <v>734</v>
      </c>
      <c r="O264" s="94"/>
      <c r="P264" s="94">
        <f t="shared" ref="P264:Z264" si="237">P1</f>
        <v>2015</v>
      </c>
      <c r="Q264" s="94">
        <f t="shared" si="237"/>
        <v>2016</v>
      </c>
      <c r="R264" s="94">
        <f t="shared" si="237"/>
        <v>2017</v>
      </c>
      <c r="S264" s="94" t="str">
        <f t="shared" si="237"/>
        <v>2018E</v>
      </c>
      <c r="T264" s="94" t="str">
        <f t="shared" si="237"/>
        <v>2019E</v>
      </c>
      <c r="U264" s="94" t="str">
        <f t="shared" si="237"/>
        <v>2020E</v>
      </c>
      <c r="V264" s="94" t="str">
        <f t="shared" si="237"/>
        <v>2021E</v>
      </c>
      <c r="W264" s="94" t="str">
        <f t="shared" si="237"/>
        <v>2022E</v>
      </c>
      <c r="X264" s="94" t="str">
        <f t="shared" si="237"/>
        <v>2023E</v>
      </c>
      <c r="Y264" s="94" t="str">
        <f t="shared" si="237"/>
        <v>2024E</v>
      </c>
      <c r="Z264" s="94" t="str">
        <f t="shared" si="237"/>
        <v>2025E</v>
      </c>
      <c r="AB264" s="197" t="str">
        <f t="shared" si="234"/>
        <v>Related party debt</v>
      </c>
      <c r="AC264" s="198">
        <f t="shared" si="235"/>
        <v>0</v>
      </c>
      <c r="AD264" s="199"/>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row>
    <row r="265" spans="1:83" ht="15" customHeight="1" thickBot="1">
      <c r="A265" s="92" t="s">
        <v>699</v>
      </c>
      <c r="M265" s="200">
        <v>0</v>
      </c>
      <c r="N265" s="201">
        <f>L265+M265</f>
        <v>0</v>
      </c>
      <c r="O265" s="144"/>
      <c r="P265" s="97">
        <f t="shared" ref="P265:Z269" si="238">AVERAGE(O218:P218)*$N265</f>
        <v>0</v>
      </c>
      <c r="Q265" s="97">
        <f t="shared" si="238"/>
        <v>0</v>
      </c>
      <c r="R265" s="97">
        <f t="shared" si="238"/>
        <v>0</v>
      </c>
      <c r="S265" s="97">
        <f t="shared" si="238"/>
        <v>0</v>
      </c>
      <c r="T265" s="97">
        <f t="shared" si="238"/>
        <v>0</v>
      </c>
      <c r="U265" s="97">
        <f t="shared" si="238"/>
        <v>0</v>
      </c>
      <c r="V265" s="97">
        <f t="shared" si="238"/>
        <v>0</v>
      </c>
      <c r="W265" s="97">
        <f t="shared" si="238"/>
        <v>0</v>
      </c>
      <c r="X265" s="97">
        <f t="shared" si="238"/>
        <v>0</v>
      </c>
      <c r="Y265" s="97">
        <f t="shared" si="238"/>
        <v>0</v>
      </c>
      <c r="Z265" s="97">
        <f t="shared" si="238"/>
        <v>0</v>
      </c>
      <c r="AB265" s="202" t="str">
        <f t="shared" si="234"/>
        <v>Total net debt</v>
      </c>
      <c r="AC265" s="203">
        <f t="shared" si="235"/>
        <v>844.49999999999989</v>
      </c>
      <c r="AD265" s="204">
        <f>CD245</f>
        <v>4.2098703888334992</v>
      </c>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row>
    <row r="266" spans="1:83" ht="15" customHeight="1" thickTop="1">
      <c r="A266" s="92" t="s">
        <v>700</v>
      </c>
      <c r="L266" s="205"/>
      <c r="M266" s="200">
        <v>2.75E-2</v>
      </c>
      <c r="N266" s="201">
        <f t="shared" ref="N266:N273" si="239">L266+M266</f>
        <v>2.75E-2</v>
      </c>
      <c r="O266" s="144"/>
      <c r="P266" s="97">
        <f t="shared" si="238"/>
        <v>0</v>
      </c>
      <c r="Q266" s="97">
        <f t="shared" si="238"/>
        <v>0</v>
      </c>
      <c r="R266" s="97">
        <f>AVERAGE(Q219:R219)*$N266</f>
        <v>0</v>
      </c>
      <c r="S266" s="97">
        <f t="shared" si="238"/>
        <v>0</v>
      </c>
      <c r="T266" s="97">
        <f t="shared" si="238"/>
        <v>0</v>
      </c>
      <c r="U266" s="97">
        <f t="shared" si="238"/>
        <v>0</v>
      </c>
      <c r="V266" s="97">
        <f t="shared" si="238"/>
        <v>0</v>
      </c>
      <c r="W266" s="97">
        <f t="shared" si="238"/>
        <v>0</v>
      </c>
      <c r="X266" s="97">
        <f t="shared" si="238"/>
        <v>0</v>
      </c>
      <c r="Y266" s="97">
        <f t="shared" si="238"/>
        <v>0</v>
      </c>
      <c r="Z266" s="97">
        <f t="shared" si="238"/>
        <v>0</v>
      </c>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row>
    <row r="267" spans="1:83" ht="15" customHeight="1">
      <c r="A267" s="92" t="s">
        <v>701</v>
      </c>
      <c r="M267" s="200">
        <v>0.111</v>
      </c>
      <c r="N267" s="201">
        <f t="shared" si="239"/>
        <v>0.111</v>
      </c>
      <c r="O267" s="144"/>
      <c r="P267" s="97">
        <f t="shared" si="238"/>
        <v>96.664349999999999</v>
      </c>
      <c r="Q267" s="97">
        <f t="shared" si="238"/>
        <v>102.50295000000001</v>
      </c>
      <c r="R267" s="97">
        <f t="shared" si="238"/>
        <v>105.9939</v>
      </c>
      <c r="S267" s="97">
        <f t="shared" si="238"/>
        <v>105.9939</v>
      </c>
      <c r="T267" s="97">
        <f t="shared" si="238"/>
        <v>105.9939</v>
      </c>
      <c r="U267" s="97">
        <f t="shared" si="238"/>
        <v>105.9939</v>
      </c>
      <c r="V267" s="97">
        <f t="shared" si="238"/>
        <v>105.9939</v>
      </c>
      <c r="W267" s="97">
        <f t="shared" si="238"/>
        <v>105.9939</v>
      </c>
      <c r="X267" s="97">
        <f t="shared" si="238"/>
        <v>105.9939</v>
      </c>
      <c r="Y267" s="97">
        <f t="shared" si="238"/>
        <v>63.813899999999997</v>
      </c>
      <c r="Z267" s="97">
        <f t="shared" si="238"/>
        <v>21.633899999999997</v>
      </c>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row>
    <row r="268" spans="1:83" ht="15" customHeight="1">
      <c r="A268" s="169" t="s">
        <v>702</v>
      </c>
      <c r="M268" s="200">
        <v>0.06</v>
      </c>
      <c r="N268" s="201">
        <f t="shared" si="239"/>
        <v>0.06</v>
      </c>
      <c r="O268" s="144"/>
      <c r="P268" s="97">
        <f t="shared" si="238"/>
        <v>0</v>
      </c>
      <c r="Q268" s="97">
        <f t="shared" si="238"/>
        <v>0</v>
      </c>
      <c r="R268" s="97">
        <f t="shared" si="238"/>
        <v>0</v>
      </c>
      <c r="S268" s="97">
        <f t="shared" si="238"/>
        <v>0</v>
      </c>
      <c r="T268" s="97">
        <f t="shared" si="238"/>
        <v>0</v>
      </c>
      <c r="U268" s="97">
        <f t="shared" si="238"/>
        <v>0</v>
      </c>
      <c r="V268" s="97">
        <f t="shared" si="238"/>
        <v>0</v>
      </c>
      <c r="W268" s="97">
        <f t="shared" si="238"/>
        <v>0</v>
      </c>
      <c r="X268" s="97">
        <f t="shared" si="238"/>
        <v>0</v>
      </c>
      <c r="Y268" s="97">
        <f t="shared" si="238"/>
        <v>0</v>
      </c>
      <c r="Z268" s="97">
        <f t="shared" si="238"/>
        <v>0</v>
      </c>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row>
    <row r="269" spans="1:83" ht="15" customHeight="1">
      <c r="A269" s="92" t="s">
        <v>703</v>
      </c>
      <c r="M269" s="200">
        <v>0</v>
      </c>
      <c r="N269" s="201">
        <f t="shared" si="239"/>
        <v>0</v>
      </c>
      <c r="O269" s="144"/>
      <c r="P269" s="153">
        <f t="shared" si="238"/>
        <v>0</v>
      </c>
      <c r="Q269" s="153">
        <f t="shared" si="238"/>
        <v>0</v>
      </c>
      <c r="R269" s="153">
        <f t="shared" si="238"/>
        <v>0</v>
      </c>
      <c r="S269" s="153">
        <f t="shared" si="238"/>
        <v>0</v>
      </c>
      <c r="T269" s="153">
        <f t="shared" si="238"/>
        <v>0</v>
      </c>
      <c r="U269" s="153">
        <f t="shared" si="238"/>
        <v>0</v>
      </c>
      <c r="V269" s="153">
        <f t="shared" si="238"/>
        <v>0</v>
      </c>
      <c r="W269" s="153">
        <f t="shared" si="238"/>
        <v>0</v>
      </c>
      <c r="X269" s="153">
        <f t="shared" si="238"/>
        <v>0</v>
      </c>
      <c r="Y269" s="153">
        <f t="shared" si="238"/>
        <v>0</v>
      </c>
      <c r="Z269" s="153">
        <f t="shared" si="238"/>
        <v>0</v>
      </c>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row>
    <row r="270" spans="1:83" ht="15" customHeight="1">
      <c r="A270" s="92" t="s">
        <v>729</v>
      </c>
      <c r="M270" s="205"/>
      <c r="N270" s="201"/>
      <c r="O270" s="144"/>
      <c r="P270" s="97">
        <f>SUM(P265:P269)</f>
        <v>96.664349999999999</v>
      </c>
      <c r="Q270" s="97">
        <f t="shared" ref="Q270:Z270" si="240">SUM(Q265:Q269)</f>
        <v>102.50295000000001</v>
      </c>
      <c r="R270" s="97">
        <f t="shared" si="240"/>
        <v>105.9939</v>
      </c>
      <c r="S270" s="97">
        <f t="shared" si="240"/>
        <v>105.9939</v>
      </c>
      <c r="T270" s="97">
        <f t="shared" si="240"/>
        <v>105.9939</v>
      </c>
      <c r="U270" s="97">
        <f t="shared" si="240"/>
        <v>105.9939</v>
      </c>
      <c r="V270" s="97">
        <f t="shared" si="240"/>
        <v>105.9939</v>
      </c>
      <c r="W270" s="97">
        <f t="shared" si="240"/>
        <v>105.9939</v>
      </c>
      <c r="X270" s="97">
        <f t="shared" si="240"/>
        <v>105.9939</v>
      </c>
      <c r="Y270" s="97">
        <f t="shared" si="240"/>
        <v>63.813899999999997</v>
      </c>
      <c r="Z270" s="97">
        <f t="shared" si="240"/>
        <v>21.633899999999997</v>
      </c>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row>
    <row r="271" spans="1:83" ht="15" customHeight="1">
      <c r="A271" s="92" t="s">
        <v>705</v>
      </c>
      <c r="M271" s="200">
        <v>0</v>
      </c>
      <c r="N271" s="201">
        <f t="shared" si="239"/>
        <v>0</v>
      </c>
      <c r="O271" s="173"/>
      <c r="P271" s="97">
        <f t="shared" ref="P271:Z272" si="241">AVERAGE(O224:P224)*$N271</f>
        <v>0</v>
      </c>
      <c r="Q271" s="97">
        <f t="shared" si="241"/>
        <v>0</v>
      </c>
      <c r="R271" s="97">
        <f t="shared" si="241"/>
        <v>0</v>
      </c>
      <c r="S271" s="97">
        <f t="shared" si="241"/>
        <v>0</v>
      </c>
      <c r="T271" s="97">
        <f t="shared" si="241"/>
        <v>0</v>
      </c>
      <c r="U271" s="97">
        <f t="shared" si="241"/>
        <v>0</v>
      </c>
      <c r="V271" s="97">
        <f t="shared" si="241"/>
        <v>0</v>
      </c>
      <c r="W271" s="97">
        <f t="shared" si="241"/>
        <v>0</v>
      </c>
      <c r="X271" s="97">
        <f t="shared" si="241"/>
        <v>0</v>
      </c>
      <c r="Y271" s="97">
        <f t="shared" si="241"/>
        <v>0</v>
      </c>
      <c r="Z271" s="97">
        <f t="shared" si="241"/>
        <v>0</v>
      </c>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row>
    <row r="272" spans="1:83" ht="15" customHeight="1">
      <c r="A272" s="92" t="s">
        <v>4</v>
      </c>
      <c r="M272" s="200">
        <v>0</v>
      </c>
      <c r="N272" s="201">
        <f t="shared" si="239"/>
        <v>0</v>
      </c>
      <c r="O272" s="173"/>
      <c r="P272" s="97">
        <f t="shared" si="241"/>
        <v>0</v>
      </c>
      <c r="Q272" s="97">
        <f t="shared" si="241"/>
        <v>0</v>
      </c>
      <c r="R272" s="97">
        <f t="shared" si="241"/>
        <v>0</v>
      </c>
      <c r="S272" s="97">
        <f t="shared" si="241"/>
        <v>0</v>
      </c>
      <c r="T272" s="97">
        <f t="shared" si="241"/>
        <v>0</v>
      </c>
      <c r="U272" s="97">
        <f t="shared" si="241"/>
        <v>0</v>
      </c>
      <c r="V272" s="97">
        <f t="shared" si="241"/>
        <v>0</v>
      </c>
      <c r="W272" s="97">
        <f t="shared" si="241"/>
        <v>0</v>
      </c>
      <c r="X272" s="97">
        <f t="shared" si="241"/>
        <v>0</v>
      </c>
      <c r="Y272" s="97">
        <f t="shared" si="241"/>
        <v>0</v>
      </c>
      <c r="Z272" s="97">
        <f t="shared" si="241"/>
        <v>0</v>
      </c>
      <c r="AB272" s="206" t="s">
        <v>735</v>
      </c>
      <c r="AC272" s="207" t="str">
        <f>AC$1</f>
        <v>Q4 01</v>
      </c>
      <c r="AD272" s="207" t="str">
        <f t="shared" ref="AD272:CD272" si="242">AD$1</f>
        <v>Q1 02</v>
      </c>
      <c r="AE272" s="207" t="str">
        <f t="shared" si="242"/>
        <v>Q2 02</v>
      </c>
      <c r="AF272" s="207" t="str">
        <f t="shared" si="242"/>
        <v>Q3 02</v>
      </c>
      <c r="AG272" s="207" t="str">
        <f t="shared" si="242"/>
        <v>Q4 02</v>
      </c>
      <c r="AH272" s="207" t="str">
        <f t="shared" si="242"/>
        <v>Q1 03</v>
      </c>
      <c r="AI272" s="207" t="str">
        <f t="shared" si="242"/>
        <v>Q2 03</v>
      </c>
      <c r="AJ272" s="207" t="str">
        <f t="shared" si="242"/>
        <v>Q3 03</v>
      </c>
      <c r="AK272" s="207" t="str">
        <f t="shared" si="242"/>
        <v>Q4 03</v>
      </c>
      <c r="AL272" s="207" t="str">
        <f t="shared" si="242"/>
        <v>1Q04</v>
      </c>
      <c r="AM272" s="207" t="str">
        <f t="shared" si="242"/>
        <v>Q2 04</v>
      </c>
      <c r="AN272" s="207" t="str">
        <f t="shared" si="242"/>
        <v>Q3 04</v>
      </c>
      <c r="AO272" s="207" t="str">
        <f t="shared" si="242"/>
        <v>Q4 04</v>
      </c>
      <c r="AP272" s="207" t="str">
        <f t="shared" si="242"/>
        <v>Q1 05</v>
      </c>
      <c r="AQ272" s="207" t="str">
        <f t="shared" si="242"/>
        <v>Q2 05</v>
      </c>
      <c r="AR272" s="207" t="str">
        <f t="shared" si="242"/>
        <v>Q3 05</v>
      </c>
      <c r="AS272" s="207" t="str">
        <f t="shared" si="242"/>
        <v>Q4 05</v>
      </c>
      <c r="AT272" s="207" t="str">
        <f t="shared" si="242"/>
        <v>Q1 06</v>
      </c>
      <c r="AU272" s="207" t="str">
        <f t="shared" si="242"/>
        <v>Q2 06</v>
      </c>
      <c r="AV272" s="207" t="str">
        <f t="shared" si="242"/>
        <v>Q3 06</v>
      </c>
      <c r="AW272" s="207" t="str">
        <f t="shared" si="242"/>
        <v>Q4 06</v>
      </c>
      <c r="AX272" s="207" t="str">
        <f t="shared" si="242"/>
        <v>Q1 07</v>
      </c>
      <c r="AY272" s="207" t="str">
        <f t="shared" si="242"/>
        <v>Q2 07</v>
      </c>
      <c r="AZ272" s="207" t="str">
        <f t="shared" si="242"/>
        <v>Q3 07</v>
      </c>
      <c r="BA272" s="207" t="str">
        <f t="shared" si="242"/>
        <v>Q4 07</v>
      </c>
      <c r="BB272" s="207" t="str">
        <f t="shared" si="242"/>
        <v>Q1 08</v>
      </c>
      <c r="BC272" s="207" t="str">
        <f t="shared" si="242"/>
        <v>Q2 08</v>
      </c>
      <c r="BD272" s="207" t="str">
        <f t="shared" si="242"/>
        <v>Q3 08</v>
      </c>
      <c r="BE272" s="207" t="str">
        <f t="shared" si="242"/>
        <v>Q4 08</v>
      </c>
      <c r="BF272" s="207" t="str">
        <f t="shared" si="242"/>
        <v>Q1 09</v>
      </c>
      <c r="BG272" s="207" t="str">
        <f t="shared" si="242"/>
        <v>Q2 09</v>
      </c>
      <c r="BH272" s="207" t="str">
        <f t="shared" si="242"/>
        <v>Q3 09</v>
      </c>
      <c r="BI272" s="207" t="str">
        <f t="shared" si="242"/>
        <v>Q4 09</v>
      </c>
      <c r="BJ272" s="207" t="str">
        <f t="shared" si="242"/>
        <v>Q1 10</v>
      </c>
      <c r="BK272" s="207" t="str">
        <f t="shared" si="242"/>
        <v>Q2 10</v>
      </c>
      <c r="BL272" s="207" t="str">
        <f t="shared" si="242"/>
        <v>Q3 10</v>
      </c>
      <c r="BM272" s="207" t="str">
        <f t="shared" si="242"/>
        <v>Q4 10</v>
      </c>
      <c r="BN272" s="207" t="str">
        <f t="shared" si="242"/>
        <v>Q1 11</v>
      </c>
      <c r="BO272" s="207" t="str">
        <f t="shared" si="242"/>
        <v>Q2 11</v>
      </c>
      <c r="BP272" s="207" t="str">
        <f t="shared" si="242"/>
        <v>Q3 11</v>
      </c>
      <c r="BQ272" s="207" t="str">
        <f t="shared" si="242"/>
        <v>Q4 11</v>
      </c>
      <c r="BR272" s="207" t="str">
        <f t="shared" si="242"/>
        <v>Q1 12</v>
      </c>
      <c r="BS272" s="207" t="str">
        <f t="shared" si="242"/>
        <v>Q2 12</v>
      </c>
      <c r="BT272" s="207" t="str">
        <f t="shared" si="242"/>
        <v>Q3 12</v>
      </c>
      <c r="BU272" s="207" t="str">
        <f t="shared" si="242"/>
        <v>Q4 12</v>
      </c>
      <c r="BV272" s="207" t="str">
        <f t="shared" si="242"/>
        <v>Q1 13</v>
      </c>
      <c r="BW272" s="207" t="str">
        <f t="shared" si="242"/>
        <v>Q2 13</v>
      </c>
      <c r="BX272" s="207" t="str">
        <f t="shared" si="242"/>
        <v>Q3 13</v>
      </c>
      <c r="BY272" s="207" t="str">
        <f t="shared" si="242"/>
        <v>Q4 13</v>
      </c>
      <c r="BZ272" s="207" t="str">
        <f t="shared" si="242"/>
        <v>Q1 14</v>
      </c>
      <c r="CA272" s="207" t="str">
        <f t="shared" si="242"/>
        <v>Q2 14</v>
      </c>
      <c r="CB272" s="207" t="str">
        <f t="shared" si="242"/>
        <v>Q3 14</v>
      </c>
      <c r="CC272" s="207" t="str">
        <f t="shared" si="242"/>
        <v>Q4 14</v>
      </c>
      <c r="CD272" s="207" t="str">
        <f t="shared" si="242"/>
        <v>Q1 15</v>
      </c>
      <c r="CE272" s="91"/>
    </row>
    <row r="273" spans="1:83" ht="15" customHeight="1">
      <c r="A273" s="92" t="s">
        <v>709</v>
      </c>
      <c r="M273" s="200">
        <v>3.8399999999999997E-2</v>
      </c>
      <c r="N273" s="201">
        <f t="shared" si="239"/>
        <v>3.8399999999999997E-2</v>
      </c>
      <c r="O273" s="173"/>
      <c r="P273" s="153">
        <f t="shared" ref="P273:Z273" si="243">AVERAGE(O229:P229)*$N273</f>
        <v>0</v>
      </c>
      <c r="Q273" s="153">
        <f t="shared" si="243"/>
        <v>0</v>
      </c>
      <c r="R273" s="153">
        <f t="shared" si="243"/>
        <v>0</v>
      </c>
      <c r="S273" s="153">
        <f t="shared" si="243"/>
        <v>0</v>
      </c>
      <c r="T273" s="153">
        <f t="shared" si="243"/>
        <v>0</v>
      </c>
      <c r="U273" s="153">
        <f t="shared" si="243"/>
        <v>0</v>
      </c>
      <c r="V273" s="153">
        <f t="shared" si="243"/>
        <v>0</v>
      </c>
      <c r="W273" s="153">
        <f t="shared" si="243"/>
        <v>0</v>
      </c>
      <c r="X273" s="153">
        <f t="shared" si="243"/>
        <v>0</v>
      </c>
      <c r="Y273" s="153">
        <f t="shared" si="243"/>
        <v>0</v>
      </c>
      <c r="Z273" s="153">
        <f t="shared" si="243"/>
        <v>0</v>
      </c>
      <c r="AB273" s="208" t="s">
        <v>736</v>
      </c>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c r="BS273" s="209"/>
      <c r="BT273" s="209"/>
      <c r="BU273" s="209"/>
      <c r="BV273" s="209"/>
      <c r="BW273" s="209"/>
      <c r="BX273" s="209"/>
      <c r="BY273" s="209"/>
      <c r="BZ273" s="209"/>
      <c r="CA273" s="209"/>
      <c r="CB273" s="209"/>
      <c r="CC273" s="209"/>
      <c r="CD273" s="209"/>
      <c r="CE273" s="91"/>
    </row>
    <row r="274" spans="1:83" ht="15" customHeight="1">
      <c r="C274" s="205"/>
      <c r="M274" s="173"/>
      <c r="N274" s="173"/>
      <c r="O274" s="173"/>
      <c r="P274" s="97">
        <f>SUM(P270:P273)</f>
        <v>96.664349999999999</v>
      </c>
      <c r="Q274" s="97">
        <f>SUM(Q270:Q273)</f>
        <v>102.50295000000001</v>
      </c>
      <c r="R274" s="97">
        <f t="shared" ref="R274:Z274" si="244">SUM(R270:R273)</f>
        <v>105.9939</v>
      </c>
      <c r="S274" s="97">
        <f t="shared" si="244"/>
        <v>105.9939</v>
      </c>
      <c r="T274" s="97">
        <f t="shared" si="244"/>
        <v>105.9939</v>
      </c>
      <c r="U274" s="97">
        <f t="shared" si="244"/>
        <v>105.9939</v>
      </c>
      <c r="V274" s="97">
        <f t="shared" si="244"/>
        <v>105.9939</v>
      </c>
      <c r="W274" s="97">
        <f t="shared" si="244"/>
        <v>105.9939</v>
      </c>
      <c r="X274" s="97">
        <f t="shared" si="244"/>
        <v>105.9939</v>
      </c>
      <c r="Y274" s="97">
        <f t="shared" si="244"/>
        <v>63.813899999999997</v>
      </c>
      <c r="Z274" s="97">
        <f t="shared" si="244"/>
        <v>21.633899999999997</v>
      </c>
      <c r="AB274" s="210" t="s">
        <v>737</v>
      </c>
      <c r="AC274" s="211"/>
      <c r="AD274" s="211"/>
      <c r="AE274" s="211"/>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c r="BS274" s="209"/>
      <c r="BT274" s="209"/>
      <c r="BU274" s="209">
        <f t="shared" ref="BU274:CD276" si="245">BU223</f>
        <v>44.1</v>
      </c>
      <c r="BV274" s="209">
        <f t="shared" si="245"/>
        <v>0</v>
      </c>
      <c r="BW274" s="209">
        <f t="shared" si="245"/>
        <v>0</v>
      </c>
      <c r="BX274" s="209">
        <f t="shared" si="245"/>
        <v>0</v>
      </c>
      <c r="BY274" s="209">
        <f t="shared" si="245"/>
        <v>59.9</v>
      </c>
      <c r="BZ274" s="209">
        <f t="shared" si="245"/>
        <v>769.6</v>
      </c>
      <c r="CA274" s="209">
        <f t="shared" si="245"/>
        <v>774.5</v>
      </c>
      <c r="CB274" s="209">
        <f t="shared" si="245"/>
        <v>838.1</v>
      </c>
      <c r="CC274" s="209">
        <f t="shared" si="245"/>
        <v>850</v>
      </c>
      <c r="CD274" s="209">
        <f t="shared" si="245"/>
        <v>875.59999999999991</v>
      </c>
      <c r="CE274" s="92" t="str">
        <f t="shared" ref="CE274:CE279" si="246">AB274</f>
        <v>Senior secured debt</v>
      </c>
    </row>
    <row r="275" spans="1:83" ht="15" customHeight="1">
      <c r="AB275" s="210" t="s">
        <v>738</v>
      </c>
      <c r="AC275" s="211"/>
      <c r="AD275" s="211"/>
      <c r="AE275" s="211"/>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c r="BS275" s="209"/>
      <c r="BT275" s="209"/>
      <c r="BU275" s="209">
        <f t="shared" si="245"/>
        <v>0</v>
      </c>
      <c r="BV275" s="209">
        <f t="shared" si="245"/>
        <v>0</v>
      </c>
      <c r="BW275" s="209">
        <f t="shared" si="245"/>
        <v>0</v>
      </c>
      <c r="BX275" s="209">
        <f t="shared" si="245"/>
        <v>0</v>
      </c>
      <c r="BY275" s="209">
        <f t="shared" si="245"/>
        <v>0</v>
      </c>
      <c r="BZ275" s="209">
        <f t="shared" si="245"/>
        <v>0</v>
      </c>
      <c r="CA275" s="209">
        <f t="shared" si="245"/>
        <v>0</v>
      </c>
      <c r="CB275" s="209">
        <f t="shared" si="245"/>
        <v>0</v>
      </c>
      <c r="CC275" s="209">
        <f t="shared" si="245"/>
        <v>0</v>
      </c>
      <c r="CD275" s="209">
        <f t="shared" si="245"/>
        <v>0</v>
      </c>
      <c r="CE275" s="92" t="str">
        <f t="shared" si="246"/>
        <v>Senior unsecured debt</v>
      </c>
    </row>
    <row r="276" spans="1:83" ht="15" customHeight="1">
      <c r="AB276" s="210" t="s">
        <v>739</v>
      </c>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f t="shared" si="245"/>
        <v>0</v>
      </c>
      <c r="BV276" s="209">
        <f t="shared" si="245"/>
        <v>0</v>
      </c>
      <c r="BW276" s="209">
        <f t="shared" si="245"/>
        <v>0</v>
      </c>
      <c r="BX276" s="209">
        <f t="shared" si="245"/>
        <v>0</v>
      </c>
      <c r="BY276" s="209">
        <f t="shared" si="245"/>
        <v>0</v>
      </c>
      <c r="BZ276" s="209">
        <f t="shared" si="245"/>
        <v>0</v>
      </c>
      <c r="CA276" s="209">
        <f t="shared" si="245"/>
        <v>0</v>
      </c>
      <c r="CB276" s="209">
        <f t="shared" si="245"/>
        <v>0</v>
      </c>
      <c r="CC276" s="209">
        <f t="shared" si="245"/>
        <v>0</v>
      </c>
      <c r="CD276" s="209">
        <f>CD225</f>
        <v>0</v>
      </c>
      <c r="CE276" s="92" t="str">
        <f t="shared" si="246"/>
        <v>Other debt</v>
      </c>
    </row>
    <row r="277" spans="1:83" ht="15" customHeight="1">
      <c r="AB277" s="210" t="s">
        <v>740</v>
      </c>
      <c r="AC277" s="211"/>
      <c r="AD277" s="211"/>
      <c r="AE277" s="211"/>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209"/>
      <c r="BU277" s="209"/>
      <c r="BV277" s="209"/>
      <c r="BW277" s="209"/>
      <c r="BX277" s="209"/>
      <c r="BY277" s="209"/>
      <c r="BZ277" s="209"/>
      <c r="CA277" s="209"/>
      <c r="CB277" s="209"/>
      <c r="CC277" s="209"/>
      <c r="CD277" s="209"/>
      <c r="CE277" s="92" t="str">
        <f t="shared" si="246"/>
        <v>PIK debt</v>
      </c>
    </row>
    <row r="278" spans="1:83" ht="15" customHeight="1">
      <c r="AB278" s="210" t="s">
        <v>741</v>
      </c>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f t="shared" ref="BU278:BZ278" si="247">BU274+BU275+BU276+BU277</f>
        <v>44.1</v>
      </c>
      <c r="BV278" s="209">
        <f t="shared" si="247"/>
        <v>0</v>
      </c>
      <c r="BW278" s="209">
        <f t="shared" si="247"/>
        <v>0</v>
      </c>
      <c r="BX278" s="209">
        <f t="shared" si="247"/>
        <v>0</v>
      </c>
      <c r="BY278" s="209">
        <f>BY274+BY275+BY276+BY277</f>
        <v>59.9</v>
      </c>
      <c r="BZ278" s="209">
        <f t="shared" si="247"/>
        <v>769.6</v>
      </c>
      <c r="CA278" s="209">
        <f>CA274+CA275+CA276+CA277</f>
        <v>774.5</v>
      </c>
      <c r="CB278" s="209">
        <f>CB274+CB275+CB276+CB277</f>
        <v>838.1</v>
      </c>
      <c r="CC278" s="209">
        <f>CC274+CC275+CC276+CC277</f>
        <v>850</v>
      </c>
      <c r="CD278" s="209">
        <f>CD274+CD275+CD276+CD277</f>
        <v>875.59999999999991</v>
      </c>
      <c r="CE278" s="92" t="str">
        <f t="shared" si="246"/>
        <v>Total debt</v>
      </c>
    </row>
    <row r="279" spans="1:83" ht="15" customHeight="1">
      <c r="AB279" s="210" t="s">
        <v>707</v>
      </c>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f t="shared" ref="BU279:BZ279" si="248">BU227</f>
        <v>21.2</v>
      </c>
      <c r="BV279" s="209">
        <f t="shared" si="248"/>
        <v>0</v>
      </c>
      <c r="BW279" s="209">
        <f t="shared" si="248"/>
        <v>0</v>
      </c>
      <c r="BX279" s="209">
        <f t="shared" si="248"/>
        <v>0</v>
      </c>
      <c r="BY279" s="209">
        <f t="shared" si="248"/>
        <v>86.9</v>
      </c>
      <c r="BZ279" s="209">
        <f t="shared" si="248"/>
        <v>58.1</v>
      </c>
      <c r="CA279" s="209">
        <f>CA227</f>
        <v>61.1</v>
      </c>
      <c r="CB279" s="209">
        <f>CB227</f>
        <v>35.700000000000003</v>
      </c>
      <c r="CC279" s="209">
        <f>CC227</f>
        <v>51.7</v>
      </c>
      <c r="CD279" s="209">
        <f>CD227</f>
        <v>31.1</v>
      </c>
      <c r="CE279" s="92" t="str">
        <f t="shared" si="246"/>
        <v>Cash</v>
      </c>
    </row>
    <row r="280" spans="1:83" ht="15" customHeight="1">
      <c r="AB280" s="210" t="s">
        <v>115</v>
      </c>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c r="BI280" s="209"/>
      <c r="BJ280" s="209"/>
      <c r="BK280" s="209"/>
      <c r="BL280" s="209"/>
      <c r="BM280" s="209"/>
      <c r="BN280" s="209"/>
      <c r="BO280" s="209"/>
      <c r="BP280" s="209"/>
      <c r="BQ280" s="209"/>
      <c r="BR280" s="209"/>
      <c r="BS280" s="209"/>
      <c r="BT280" s="209"/>
      <c r="BU280" s="209">
        <f t="shared" ref="BU280:BZ280" si="249">BU278-BU279</f>
        <v>22.900000000000002</v>
      </c>
      <c r="BV280" s="209">
        <f t="shared" si="249"/>
        <v>0</v>
      </c>
      <c r="BW280" s="209">
        <f t="shared" si="249"/>
        <v>0</v>
      </c>
      <c r="BX280" s="209">
        <f t="shared" si="249"/>
        <v>0</v>
      </c>
      <c r="BY280" s="209">
        <f t="shared" si="249"/>
        <v>-27.000000000000007</v>
      </c>
      <c r="BZ280" s="209">
        <f t="shared" si="249"/>
        <v>711.5</v>
      </c>
      <c r="CA280" s="209">
        <f>CA278-CA279</f>
        <v>713.4</v>
      </c>
      <c r="CB280" s="209">
        <f>CB278-CB279</f>
        <v>802.4</v>
      </c>
      <c r="CC280" s="209">
        <f>CC278-CC279</f>
        <v>798.3</v>
      </c>
      <c r="CD280" s="209">
        <f>CD278-CD279</f>
        <v>844.49999999999989</v>
      </c>
      <c r="CE280" s="92" t="str">
        <f>AB280</f>
        <v>Net debt</v>
      </c>
    </row>
    <row r="281" spans="1:83" ht="15" customHeight="1">
      <c r="AB281" s="210" t="s">
        <v>647</v>
      </c>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f t="shared" ref="BU281:CD281" si="250">BU113</f>
        <v>118.63774000000001</v>
      </c>
      <c r="BV281" s="209">
        <f t="shared" si="250"/>
        <v>118.30148</v>
      </c>
      <c r="BW281" s="209">
        <f t="shared" si="250"/>
        <v>122.67574199999999</v>
      </c>
      <c r="BX281" s="209">
        <f t="shared" si="250"/>
        <v>124.07688</v>
      </c>
      <c r="BY281" s="209">
        <f t="shared" si="250"/>
        <v>126.00264799999999</v>
      </c>
      <c r="BZ281" s="209">
        <f t="shared" si="250"/>
        <v>124.39488900000001</v>
      </c>
      <c r="CA281" s="209">
        <f t="shared" si="250"/>
        <v>127.5</v>
      </c>
      <c r="CB281" s="209">
        <f t="shared" si="250"/>
        <v>129.19999999999999</v>
      </c>
      <c r="CC281" s="209">
        <f t="shared" si="250"/>
        <v>131.30511099999998</v>
      </c>
      <c r="CD281" s="209">
        <f t="shared" si="250"/>
        <v>130.30000000000001</v>
      </c>
      <c r="CE281" s="92" t="str">
        <f t="shared" ref="CE281:CE290" si="251">AB281</f>
        <v>Revenues</v>
      </c>
    </row>
    <row r="282" spans="1:83" ht="15" customHeight="1">
      <c r="AB282" s="210" t="s">
        <v>8</v>
      </c>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f t="shared" ref="BU282:CD282" si="252">BU234</f>
        <v>39.275160000000007</v>
      </c>
      <c r="BV282" s="209">
        <f t="shared" si="252"/>
        <v>40.299999999999997</v>
      </c>
      <c r="BW282" s="209">
        <f t="shared" si="252"/>
        <v>42.1</v>
      </c>
      <c r="BX282" s="209">
        <f t="shared" si="252"/>
        <v>42.8</v>
      </c>
      <c r="BY282" s="209">
        <f t="shared" si="252"/>
        <v>50.204583999999997</v>
      </c>
      <c r="BZ282" s="209">
        <f t="shared" si="252"/>
        <v>45.7</v>
      </c>
      <c r="CA282" s="209">
        <f t="shared" si="252"/>
        <v>47.5</v>
      </c>
      <c r="CB282" s="209">
        <f t="shared" si="252"/>
        <v>50.1</v>
      </c>
      <c r="CC282" s="209">
        <f t="shared" si="252"/>
        <v>55.59999999999998</v>
      </c>
      <c r="CD282" s="209">
        <f t="shared" si="252"/>
        <v>47.4</v>
      </c>
      <c r="CE282" s="92" t="str">
        <f t="shared" si="251"/>
        <v>EBITDA</v>
      </c>
    </row>
    <row r="283" spans="1:83" ht="15" customHeight="1">
      <c r="AB283" s="210" t="s">
        <v>19</v>
      </c>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f t="shared" ref="BU283:CD283" si="253">-BU122</f>
        <v>-19.681604491999977</v>
      </c>
      <c r="BV283" s="209">
        <f t="shared" si="253"/>
        <v>-26</v>
      </c>
      <c r="BW283" s="209">
        <f t="shared" si="253"/>
        <v>-27.4</v>
      </c>
      <c r="BX283" s="209">
        <f t="shared" si="253"/>
        <v>-19.3</v>
      </c>
      <c r="BY283" s="209">
        <f t="shared" si="253"/>
        <v>-20.20000000000001</v>
      </c>
      <c r="BZ283" s="209">
        <f t="shared" si="253"/>
        <v>-25</v>
      </c>
      <c r="CA283" s="209">
        <f t="shared" si="253"/>
        <v>-31.1</v>
      </c>
      <c r="CB283" s="209">
        <f t="shared" si="253"/>
        <v>-26.9</v>
      </c>
      <c r="CC283" s="209">
        <f t="shared" si="253"/>
        <v>-28.70000000000001</v>
      </c>
      <c r="CD283" s="209">
        <f t="shared" si="253"/>
        <v>-25.3</v>
      </c>
      <c r="CE283" s="92" t="str">
        <f t="shared" si="251"/>
        <v>Capex</v>
      </c>
    </row>
    <row r="284" spans="1:83" ht="15" customHeight="1">
      <c r="AB284" s="210" t="s">
        <v>679</v>
      </c>
      <c r="AC284" s="212"/>
      <c r="AD284" s="212"/>
      <c r="AE284" s="212"/>
      <c r="AF284" s="212"/>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c r="BI284" s="212"/>
      <c r="BJ284" s="212"/>
      <c r="BK284" s="212"/>
      <c r="BL284" s="212"/>
      <c r="BM284" s="212"/>
      <c r="BN284" s="212"/>
      <c r="BO284" s="212"/>
      <c r="BP284" s="212"/>
      <c r="BQ284" s="212"/>
      <c r="BR284" s="212"/>
      <c r="BS284" s="212"/>
      <c r="BT284" s="212"/>
      <c r="BU284" s="212"/>
      <c r="BV284" s="212">
        <v>-2.9</v>
      </c>
      <c r="BW284" s="212">
        <f>-3.8-BV284</f>
        <v>-0.89999999999999991</v>
      </c>
      <c r="BX284" s="212">
        <f>-8.1-BV284-BW284</f>
        <v>-4.2999999999999989</v>
      </c>
      <c r="BY284" s="212">
        <f>-10.8-BV284-BW284-BX284</f>
        <v>-2.7000000000000011</v>
      </c>
      <c r="BZ284" s="212">
        <f>-3.4</f>
        <v>-3.4</v>
      </c>
      <c r="CA284" s="212">
        <f>-3.8-BZ284</f>
        <v>-0.39999999999999991</v>
      </c>
      <c r="CB284" s="212">
        <f>-30.9-CA284-BZ284</f>
        <v>-27.1</v>
      </c>
      <c r="CC284" s="212">
        <f>31.2-BZ284-CA284-CB284</f>
        <v>62.1</v>
      </c>
      <c r="CD284" s="212">
        <v>-31</v>
      </c>
      <c r="CE284" s="92" t="str">
        <f t="shared" si="251"/>
        <v>Cash interest</v>
      </c>
    </row>
    <row r="285" spans="1:83" ht="15" customHeight="1">
      <c r="AB285" s="210" t="s">
        <v>742</v>
      </c>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f t="shared" ref="BU285:BZ285" si="254">BU277-BT277</f>
        <v>0</v>
      </c>
      <c r="BV285" s="209">
        <f t="shared" si="254"/>
        <v>0</v>
      </c>
      <c r="BW285" s="209">
        <f t="shared" si="254"/>
        <v>0</v>
      </c>
      <c r="BX285" s="209">
        <f t="shared" si="254"/>
        <v>0</v>
      </c>
      <c r="BY285" s="209">
        <f t="shared" si="254"/>
        <v>0</v>
      </c>
      <c r="BZ285" s="209">
        <f t="shared" si="254"/>
        <v>0</v>
      </c>
      <c r="CA285" s="209">
        <f>CA277-BZ277</f>
        <v>0</v>
      </c>
      <c r="CB285" s="209">
        <f>CB277-CA277</f>
        <v>0</v>
      </c>
      <c r="CC285" s="209">
        <f>CC277-CB277</f>
        <v>0</v>
      </c>
      <c r="CD285" s="209">
        <f>CD277-CC277</f>
        <v>0</v>
      </c>
      <c r="CE285" s="92" t="str">
        <f t="shared" si="251"/>
        <v>PIK interest</v>
      </c>
    </row>
    <row r="286" spans="1:83" ht="15" customHeight="1">
      <c r="AB286" s="210" t="s">
        <v>743</v>
      </c>
      <c r="AC286" s="212"/>
      <c r="AD286" s="212"/>
      <c r="AE286" s="212"/>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c r="BI286" s="212"/>
      <c r="BJ286" s="212"/>
      <c r="BK286" s="212"/>
      <c r="BL286" s="212"/>
      <c r="BM286" s="212"/>
      <c r="BN286" s="212"/>
      <c r="BO286" s="212"/>
      <c r="BP286" s="212"/>
      <c r="BQ286" s="212"/>
      <c r="BR286" s="212"/>
      <c r="BS286" s="212"/>
      <c r="BT286" s="212"/>
      <c r="BU286" s="212"/>
      <c r="BV286" s="212">
        <v>-17.600000000000001</v>
      </c>
      <c r="BW286" s="212">
        <f>-16.2-BV286</f>
        <v>1.4000000000000021</v>
      </c>
      <c r="BX286" s="212">
        <f>-19.2-BV286-BW286</f>
        <v>-3</v>
      </c>
      <c r="BY286" s="212">
        <f>22.7-46-BV286-BW286-BX286</f>
        <v>-4.1000000000000014</v>
      </c>
      <c r="BZ286" s="212">
        <v>11</v>
      </c>
      <c r="CA286" s="212">
        <f>16-BZ286</f>
        <v>5</v>
      </c>
      <c r="CB286" s="212">
        <f>-5.2-CA286-BZ286</f>
        <v>-21.2</v>
      </c>
      <c r="CC286" s="212">
        <f>-25.6-11.6-BZ286-CA286-CB286</f>
        <v>-32</v>
      </c>
      <c r="CD286" s="212">
        <v>-18.899999999999999</v>
      </c>
      <c r="CE286" s="92" t="str">
        <f t="shared" si="251"/>
        <v>W capital change</v>
      </c>
    </row>
    <row r="287" spans="1:83" ht="15" customHeight="1">
      <c r="AB287" s="210" t="s">
        <v>744</v>
      </c>
      <c r="AC287" s="212"/>
      <c r="AD287" s="212"/>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v>-2.7</v>
      </c>
      <c r="BW287" s="212">
        <f>-10.9-BV287</f>
        <v>-8.1999999999999993</v>
      </c>
      <c r="BX287" s="212">
        <f>-14.9-BV287-BW287</f>
        <v>-4</v>
      </c>
      <c r="BY287" s="212">
        <f>-19.4-BV287-BW287-BX287</f>
        <v>-4.5</v>
      </c>
      <c r="BZ287" s="212">
        <f>-4.2</f>
        <v>-4.2</v>
      </c>
      <c r="CA287" s="212">
        <f>-10.9-BZ287</f>
        <v>-6.7</v>
      </c>
      <c r="CB287" s="212">
        <f>-15.4-CA287-BZ287</f>
        <v>-4.4999999999999991</v>
      </c>
      <c r="CC287" s="212">
        <f>-20.5-BZ287-CA287-CB287</f>
        <v>-5.1000000000000023</v>
      </c>
      <c r="CD287" s="212">
        <v>-3.8</v>
      </c>
      <c r="CE287" s="92" t="str">
        <f t="shared" si="251"/>
        <v>Cash taxes</v>
      </c>
    </row>
    <row r="288" spans="1:83" ht="15" customHeight="1">
      <c r="AB288" s="210" t="s">
        <v>682</v>
      </c>
      <c r="AC288" s="212"/>
      <c r="AD288" s="212"/>
      <c r="AE288" s="212"/>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c r="BI288" s="212"/>
      <c r="BJ288" s="212"/>
      <c r="BK288" s="212"/>
      <c r="BL288" s="212"/>
      <c r="BM288" s="212"/>
      <c r="BN288" s="212"/>
      <c r="BO288" s="212"/>
      <c r="BP288" s="212"/>
      <c r="BQ288" s="212"/>
      <c r="BR288" s="212"/>
      <c r="BS288" s="212"/>
      <c r="BT288" s="212"/>
      <c r="BU288" s="212"/>
      <c r="BV288" s="212">
        <f>3.6</f>
        <v>3.6</v>
      </c>
      <c r="BW288" s="212">
        <f>-2.9-BV288</f>
        <v>-6.5</v>
      </c>
      <c r="BX288" s="212">
        <f>-9.1-2.4-BV288-BW288</f>
        <v>-8.6</v>
      </c>
      <c r="BY288" s="212">
        <f>360.4-315.9-15.8+10.9-2.4-BV288-BW288-BX288</f>
        <v>48.7</v>
      </c>
      <c r="BZ288" s="212">
        <f>260.6-240.6+235.6-233.9</f>
        <v>21.700000000000017</v>
      </c>
      <c r="CA288" s="212">
        <f>260.6-240.6+235.6-233.9-BZ288</f>
        <v>0</v>
      </c>
      <c r="CB288" s="212">
        <f>286.3-240.6+235.6-233.9-CA288-BZ288</f>
        <v>25.699999999999989</v>
      </c>
      <c r="CC288" s="212">
        <f>339.9-240.6-233.9+156.2-BZ288-CA288-CB288</f>
        <v>-25.80000000000004</v>
      </c>
      <c r="CD288" s="212">
        <v>0</v>
      </c>
      <c r="CE288" s="92" t="str">
        <f t="shared" si="251"/>
        <v>Shareholder payments</v>
      </c>
    </row>
    <row r="289" spans="28:83" ht="15" customHeight="1">
      <c r="AB289" s="210" t="s">
        <v>745</v>
      </c>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c r="BI289" s="209"/>
      <c r="BJ289" s="209"/>
      <c r="BK289" s="209"/>
      <c r="BL289" s="209"/>
      <c r="BM289" s="209"/>
      <c r="BN289" s="209"/>
      <c r="BO289" s="209"/>
      <c r="BP289" s="209"/>
      <c r="BQ289" s="209"/>
      <c r="BR289" s="209"/>
      <c r="BS289" s="209"/>
      <c r="BT289" s="209"/>
      <c r="BU289" s="209">
        <f t="shared" ref="BU289:BZ289" si="255">-BU290-(BU282+BU283+BU284+BU286+BU287+BU288)</f>
        <v>-42.493555508000028</v>
      </c>
      <c r="BV289" s="209">
        <f t="shared" si="255"/>
        <v>28.20000000000001</v>
      </c>
      <c r="BW289" s="209">
        <f t="shared" si="255"/>
        <v>-0.50000000000000533</v>
      </c>
      <c r="BX289" s="209">
        <f t="shared" si="255"/>
        <v>-3.5999999999999961</v>
      </c>
      <c r="BY289" s="209">
        <f t="shared" si="255"/>
        <v>-40.404583999999979</v>
      </c>
      <c r="BZ289" s="209">
        <f t="shared" si="255"/>
        <v>-784.30000000000007</v>
      </c>
      <c r="CA289" s="209">
        <f>-CA290-(CA282+CA283+CA284+CA286+CA287+CA288)</f>
        <v>-16.199999999999978</v>
      </c>
      <c r="CB289" s="209">
        <f>-CB290-(CB282+CB283+CB284+CB286+CB287+CB288)</f>
        <v>-85.1</v>
      </c>
      <c r="CC289" s="209">
        <f>-CC290-(CC282+CC283+CC284+CC286+CC287+CC288)</f>
        <v>-21.999999999999908</v>
      </c>
      <c r="CD289" s="209">
        <f>-CD290-(CD282+CD283+CD284+CD286+CD287+CD288)</f>
        <v>-14.59999999999993</v>
      </c>
      <c r="CE289" s="92" t="str">
        <f t="shared" si="251"/>
        <v>Other cash flow</v>
      </c>
    </row>
    <row r="290" spans="28:83" ht="15" customHeight="1">
      <c r="AB290" s="210" t="s">
        <v>116</v>
      </c>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c r="BI290" s="209"/>
      <c r="BJ290" s="209"/>
      <c r="BK290" s="209"/>
      <c r="BL290" s="209"/>
      <c r="BM290" s="209"/>
      <c r="BN290" s="209"/>
      <c r="BO290" s="209"/>
      <c r="BP290" s="209"/>
      <c r="BQ290" s="209"/>
      <c r="BR290" s="209"/>
      <c r="BS290" s="209"/>
      <c r="BT290" s="209"/>
      <c r="BU290" s="209">
        <f t="shared" ref="BU290:BZ290" si="256">BU280-BT280</f>
        <v>22.900000000000002</v>
      </c>
      <c r="BV290" s="209">
        <f t="shared" si="256"/>
        <v>-22.900000000000002</v>
      </c>
      <c r="BW290" s="209">
        <f t="shared" si="256"/>
        <v>0</v>
      </c>
      <c r="BX290" s="209">
        <f t="shared" si="256"/>
        <v>0</v>
      </c>
      <c r="BY290" s="209">
        <f t="shared" si="256"/>
        <v>-27.000000000000007</v>
      </c>
      <c r="BZ290" s="209">
        <f t="shared" si="256"/>
        <v>738.5</v>
      </c>
      <c r="CA290" s="209">
        <f>CA280-BZ280</f>
        <v>1.8999999999999773</v>
      </c>
      <c r="CB290" s="209">
        <f>CB280-CA280</f>
        <v>89</v>
      </c>
      <c r="CC290" s="209">
        <f>CC280-CB280</f>
        <v>-4.1000000000000227</v>
      </c>
      <c r="CD290" s="209">
        <f>CD280-CC280</f>
        <v>46.199999999999932</v>
      </c>
      <c r="CE290" s="92" t="str">
        <f t="shared" si="251"/>
        <v>Change in net debt</v>
      </c>
    </row>
    <row r="291" spans="28:83" ht="15" customHeight="1"/>
    <row r="292" spans="28:83" ht="15" customHeight="1"/>
    <row r="293" spans="28:83" ht="15" customHeight="1"/>
    <row r="294" spans="28:83" ht="15" customHeight="1">
      <c r="AB294" s="213" t="s">
        <v>377</v>
      </c>
      <c r="AC294" s="178" t="str">
        <f>AC$1</f>
        <v>Q4 01</v>
      </c>
      <c r="AD294" s="178" t="str">
        <f t="shared" ref="AD294:CD294" si="257">AD1</f>
        <v>Q1 02</v>
      </c>
      <c r="AE294" s="178" t="str">
        <f t="shared" si="257"/>
        <v>Q2 02</v>
      </c>
      <c r="AF294" s="178" t="str">
        <f t="shared" si="257"/>
        <v>Q3 02</v>
      </c>
      <c r="AG294" s="178" t="str">
        <f t="shared" si="257"/>
        <v>Q4 02</v>
      </c>
      <c r="AH294" s="178" t="str">
        <f t="shared" si="257"/>
        <v>Q1 03</v>
      </c>
      <c r="AI294" s="178" t="str">
        <f t="shared" si="257"/>
        <v>Q2 03</v>
      </c>
      <c r="AJ294" s="178" t="str">
        <f t="shared" si="257"/>
        <v>Q3 03</v>
      </c>
      <c r="AK294" s="178" t="str">
        <f t="shared" si="257"/>
        <v>Q4 03</v>
      </c>
      <c r="AL294" s="178" t="str">
        <f t="shared" si="257"/>
        <v>1Q04</v>
      </c>
      <c r="AM294" s="178" t="str">
        <f t="shared" si="257"/>
        <v>Q2 04</v>
      </c>
      <c r="AN294" s="178" t="str">
        <f t="shared" si="257"/>
        <v>Q3 04</v>
      </c>
      <c r="AO294" s="178" t="str">
        <f t="shared" si="257"/>
        <v>Q4 04</v>
      </c>
      <c r="AP294" s="178" t="str">
        <f t="shared" si="257"/>
        <v>Q1 05</v>
      </c>
      <c r="AQ294" s="178" t="str">
        <f t="shared" si="257"/>
        <v>Q2 05</v>
      </c>
      <c r="AR294" s="178" t="str">
        <f t="shared" si="257"/>
        <v>Q3 05</v>
      </c>
      <c r="AS294" s="178" t="str">
        <f t="shared" si="257"/>
        <v>Q4 05</v>
      </c>
      <c r="AT294" s="178" t="str">
        <f t="shared" si="257"/>
        <v>Q1 06</v>
      </c>
      <c r="AU294" s="178" t="str">
        <f t="shared" si="257"/>
        <v>Q2 06</v>
      </c>
      <c r="AV294" s="178" t="str">
        <f t="shared" si="257"/>
        <v>Q3 06</v>
      </c>
      <c r="AW294" s="178" t="str">
        <f t="shared" si="257"/>
        <v>Q4 06</v>
      </c>
      <c r="AX294" s="178" t="str">
        <f t="shared" si="257"/>
        <v>Q1 07</v>
      </c>
      <c r="AY294" s="178" t="str">
        <f t="shared" si="257"/>
        <v>Q2 07</v>
      </c>
      <c r="AZ294" s="178" t="str">
        <f t="shared" si="257"/>
        <v>Q3 07</v>
      </c>
      <c r="BA294" s="178" t="str">
        <f t="shared" si="257"/>
        <v>Q4 07</v>
      </c>
      <c r="BB294" s="178" t="str">
        <f t="shared" si="257"/>
        <v>Q1 08</v>
      </c>
      <c r="BC294" s="178" t="str">
        <f t="shared" si="257"/>
        <v>Q2 08</v>
      </c>
      <c r="BD294" s="178" t="str">
        <f t="shared" si="257"/>
        <v>Q3 08</v>
      </c>
      <c r="BE294" s="178" t="str">
        <f t="shared" si="257"/>
        <v>Q4 08</v>
      </c>
      <c r="BF294" s="178" t="str">
        <f t="shared" si="257"/>
        <v>Q1 09</v>
      </c>
      <c r="BG294" s="178" t="str">
        <f t="shared" si="257"/>
        <v>Q2 09</v>
      </c>
      <c r="BH294" s="178" t="str">
        <f t="shared" si="257"/>
        <v>Q3 09</v>
      </c>
      <c r="BI294" s="178" t="str">
        <f t="shared" si="257"/>
        <v>Q4 09</v>
      </c>
      <c r="BJ294" s="178" t="str">
        <f t="shared" si="257"/>
        <v>Q1 10</v>
      </c>
      <c r="BK294" s="178" t="str">
        <f t="shared" si="257"/>
        <v>Q2 10</v>
      </c>
      <c r="BL294" s="178" t="str">
        <f t="shared" si="257"/>
        <v>Q3 10</v>
      </c>
      <c r="BM294" s="178" t="str">
        <f t="shared" si="257"/>
        <v>Q4 10</v>
      </c>
      <c r="BN294" s="178" t="str">
        <f t="shared" si="257"/>
        <v>Q1 11</v>
      </c>
      <c r="BO294" s="178" t="str">
        <f t="shared" si="257"/>
        <v>Q2 11</v>
      </c>
      <c r="BP294" s="178" t="str">
        <f t="shared" si="257"/>
        <v>Q3 11</v>
      </c>
      <c r="BQ294" s="178" t="str">
        <f t="shared" si="257"/>
        <v>Q4 11</v>
      </c>
      <c r="BR294" s="178" t="str">
        <f t="shared" si="257"/>
        <v>Q1 12</v>
      </c>
      <c r="BS294" s="178" t="str">
        <f t="shared" si="257"/>
        <v>Q2 12</v>
      </c>
      <c r="BT294" s="178" t="str">
        <f t="shared" si="257"/>
        <v>Q3 12</v>
      </c>
      <c r="BU294" s="178" t="str">
        <f t="shared" si="257"/>
        <v>Q4 12</v>
      </c>
      <c r="BV294" s="178" t="str">
        <f t="shared" si="257"/>
        <v>Q1 13</v>
      </c>
      <c r="BW294" s="178" t="str">
        <f t="shared" si="257"/>
        <v>Q2 13</v>
      </c>
      <c r="BX294" s="178" t="str">
        <f t="shared" si="257"/>
        <v>Q3 13</v>
      </c>
      <c r="BY294" s="178" t="str">
        <f t="shared" si="257"/>
        <v>Q4 13</v>
      </c>
      <c r="BZ294" s="178" t="str">
        <f t="shared" si="257"/>
        <v>Q1 14</v>
      </c>
      <c r="CA294" s="178" t="str">
        <f t="shared" si="257"/>
        <v>Q2 14</v>
      </c>
      <c r="CB294" s="178" t="str">
        <f t="shared" si="257"/>
        <v>Q3 14</v>
      </c>
      <c r="CC294" s="178" t="str">
        <f t="shared" si="257"/>
        <v>Q4 14</v>
      </c>
      <c r="CD294" s="178" t="str">
        <f t="shared" si="257"/>
        <v>Q1 15</v>
      </c>
    </row>
    <row r="295" spans="28:83" ht="15" customHeight="1">
      <c r="AB295" s="214" t="s">
        <v>377</v>
      </c>
      <c r="AC295" s="215"/>
      <c r="BB295" s="116">
        <f t="shared" ref="BB295:CB295" si="258">BB282+BB283+BB284+BB286+BB287</f>
        <v>0</v>
      </c>
      <c r="BC295" s="116">
        <f t="shared" si="258"/>
        <v>0</v>
      </c>
      <c r="BD295" s="116">
        <f t="shared" si="258"/>
        <v>0</v>
      </c>
      <c r="BE295" s="116">
        <f t="shared" si="258"/>
        <v>0</v>
      </c>
      <c r="BF295" s="116">
        <f t="shared" si="258"/>
        <v>0</v>
      </c>
      <c r="BG295" s="116">
        <f t="shared" si="258"/>
        <v>0</v>
      </c>
      <c r="BH295" s="116">
        <f t="shared" si="258"/>
        <v>0</v>
      </c>
      <c r="BI295" s="116">
        <f t="shared" si="258"/>
        <v>0</v>
      </c>
      <c r="BJ295" s="116">
        <f t="shared" si="258"/>
        <v>0</v>
      </c>
      <c r="BK295" s="116">
        <f t="shared" si="258"/>
        <v>0</v>
      </c>
      <c r="BL295" s="116">
        <f t="shared" si="258"/>
        <v>0</v>
      </c>
      <c r="BM295" s="116">
        <f t="shared" si="258"/>
        <v>0</v>
      </c>
      <c r="BN295" s="116">
        <f t="shared" si="258"/>
        <v>0</v>
      </c>
      <c r="BO295" s="116">
        <f t="shared" si="258"/>
        <v>0</v>
      </c>
      <c r="BP295" s="116">
        <f t="shared" si="258"/>
        <v>0</v>
      </c>
      <c r="BQ295" s="116">
        <f t="shared" si="258"/>
        <v>0</v>
      </c>
      <c r="BR295" s="116">
        <f t="shared" si="258"/>
        <v>0</v>
      </c>
      <c r="BS295" s="116">
        <f t="shared" si="258"/>
        <v>0</v>
      </c>
      <c r="BT295" s="116">
        <f t="shared" si="258"/>
        <v>0</v>
      </c>
      <c r="BU295" s="116">
        <f t="shared" si="258"/>
        <v>19.59355550800003</v>
      </c>
      <c r="BV295" s="116">
        <f t="shared" si="258"/>
        <v>-8.9000000000000057</v>
      </c>
      <c r="BW295" s="116">
        <f t="shared" si="258"/>
        <v>7.0000000000000053</v>
      </c>
      <c r="BX295" s="116">
        <f t="shared" si="258"/>
        <v>12.199999999999996</v>
      </c>
      <c r="BY295" s="116">
        <f t="shared" si="258"/>
        <v>18.704583999999983</v>
      </c>
      <c r="BZ295" s="116">
        <f t="shared" si="258"/>
        <v>24.100000000000005</v>
      </c>
      <c r="CA295" s="116">
        <f t="shared" si="258"/>
        <v>14.3</v>
      </c>
      <c r="CB295" s="116">
        <f t="shared" si="258"/>
        <v>-29.599999999999998</v>
      </c>
      <c r="CC295" s="116">
        <f>CC282+CC283+CC284+CC286+CC287</f>
        <v>51.89999999999997</v>
      </c>
      <c r="CD295" s="116">
        <f>CD282+CD283+CD284+CD286+CD287</f>
        <v>-31.6</v>
      </c>
      <c r="CE295" s="92" t="str">
        <f>AB295</f>
        <v>FCF</v>
      </c>
    </row>
    <row r="296" spans="28:83" ht="15" customHeight="1">
      <c r="AB296" s="216" t="s">
        <v>746</v>
      </c>
      <c r="AC296" s="215"/>
      <c r="BE296" s="116">
        <f>SUM(BB295:BE295)</f>
        <v>0</v>
      </c>
      <c r="BF296" s="116">
        <f t="shared" ref="BF296:CB296" si="259">SUM(BC295:BF295)</f>
        <v>0</v>
      </c>
      <c r="BG296" s="116">
        <f t="shared" si="259"/>
        <v>0</v>
      </c>
      <c r="BH296" s="116">
        <f t="shared" si="259"/>
        <v>0</v>
      </c>
      <c r="BI296" s="116">
        <f t="shared" si="259"/>
        <v>0</v>
      </c>
      <c r="BJ296" s="116">
        <f t="shared" si="259"/>
        <v>0</v>
      </c>
      <c r="BK296" s="116">
        <f t="shared" si="259"/>
        <v>0</v>
      </c>
      <c r="BL296" s="116">
        <f t="shared" si="259"/>
        <v>0</v>
      </c>
      <c r="BM296" s="116">
        <f t="shared" si="259"/>
        <v>0</v>
      </c>
      <c r="BN296" s="116">
        <f t="shared" si="259"/>
        <v>0</v>
      </c>
      <c r="BO296" s="116">
        <f t="shared" si="259"/>
        <v>0</v>
      </c>
      <c r="BP296" s="116">
        <f t="shared" si="259"/>
        <v>0</v>
      </c>
      <c r="BQ296" s="116">
        <f t="shared" si="259"/>
        <v>0</v>
      </c>
      <c r="BR296" s="116">
        <f t="shared" si="259"/>
        <v>0</v>
      </c>
      <c r="BS296" s="116">
        <f t="shared" si="259"/>
        <v>0</v>
      </c>
      <c r="BT296" s="116">
        <f t="shared" si="259"/>
        <v>0</v>
      </c>
      <c r="BU296" s="116">
        <f t="shared" si="259"/>
        <v>19.59355550800003</v>
      </c>
      <c r="BV296" s="116">
        <f t="shared" si="259"/>
        <v>10.693555508000024</v>
      </c>
      <c r="BW296" s="116">
        <f t="shared" si="259"/>
        <v>17.693555508000031</v>
      </c>
      <c r="BX296" s="116">
        <f t="shared" si="259"/>
        <v>29.893555508000027</v>
      </c>
      <c r="BY296" s="116">
        <f t="shared" si="259"/>
        <v>29.00458399999998</v>
      </c>
      <c r="BZ296" s="116">
        <f t="shared" si="259"/>
        <v>62.004583999999994</v>
      </c>
      <c r="CA296" s="116">
        <f t="shared" si="259"/>
        <v>69.304583999999977</v>
      </c>
      <c r="CB296" s="116">
        <f t="shared" si="259"/>
        <v>27.504583999999991</v>
      </c>
      <c r="CC296" s="116">
        <f>SUM(BZ295:CC295)</f>
        <v>60.699999999999974</v>
      </c>
      <c r="CD296" s="116">
        <f>SUM(CA295:CD295)</f>
        <v>4.9999999999999716</v>
      </c>
      <c r="CE296" s="92" t="str">
        <f>AB296</f>
        <v>LTM FCF</v>
      </c>
    </row>
    <row r="297" spans="28:83" ht="15" customHeight="1">
      <c r="AB297" s="214"/>
      <c r="AC297" s="215"/>
    </row>
    <row r="298" spans="28:83" ht="15" customHeight="1">
      <c r="AB298" s="217"/>
      <c r="AC298" s="215"/>
    </row>
    <row r="299" spans="28:83" ht="15" customHeight="1">
      <c r="AB299" s="218" t="s">
        <v>747</v>
      </c>
      <c r="AC299" s="219" t="str">
        <f>AC$1</f>
        <v>Q4 01</v>
      </c>
      <c r="AD299" s="219" t="str">
        <f t="shared" ref="AD299:CD299" si="260">AD$1</f>
        <v>Q1 02</v>
      </c>
      <c r="AE299" s="219" t="str">
        <f t="shared" si="260"/>
        <v>Q2 02</v>
      </c>
      <c r="AF299" s="219" t="str">
        <f t="shared" si="260"/>
        <v>Q3 02</v>
      </c>
      <c r="AG299" s="219" t="str">
        <f t="shared" si="260"/>
        <v>Q4 02</v>
      </c>
      <c r="AH299" s="219" t="str">
        <f t="shared" si="260"/>
        <v>Q1 03</v>
      </c>
      <c r="AI299" s="219" t="str">
        <f t="shared" si="260"/>
        <v>Q2 03</v>
      </c>
      <c r="AJ299" s="219" t="str">
        <f t="shared" si="260"/>
        <v>Q3 03</v>
      </c>
      <c r="AK299" s="219" t="str">
        <f t="shared" si="260"/>
        <v>Q4 03</v>
      </c>
      <c r="AL299" s="219" t="str">
        <f t="shared" si="260"/>
        <v>1Q04</v>
      </c>
      <c r="AM299" s="219" t="str">
        <f t="shared" si="260"/>
        <v>Q2 04</v>
      </c>
      <c r="AN299" s="219" t="str">
        <f t="shared" si="260"/>
        <v>Q3 04</v>
      </c>
      <c r="AO299" s="219" t="str">
        <f t="shared" si="260"/>
        <v>Q4 04</v>
      </c>
      <c r="AP299" s="219" t="str">
        <f t="shared" si="260"/>
        <v>Q1 05</v>
      </c>
      <c r="AQ299" s="219" t="str">
        <f t="shared" si="260"/>
        <v>Q2 05</v>
      </c>
      <c r="AR299" s="219" t="str">
        <f t="shared" si="260"/>
        <v>Q3 05</v>
      </c>
      <c r="AS299" s="219" t="str">
        <f t="shared" si="260"/>
        <v>Q4 05</v>
      </c>
      <c r="AT299" s="219" t="str">
        <f t="shared" si="260"/>
        <v>Q1 06</v>
      </c>
      <c r="AU299" s="219" t="str">
        <f t="shared" si="260"/>
        <v>Q2 06</v>
      </c>
      <c r="AV299" s="219" t="str">
        <f t="shared" si="260"/>
        <v>Q3 06</v>
      </c>
      <c r="AW299" s="219" t="str">
        <f t="shared" si="260"/>
        <v>Q4 06</v>
      </c>
      <c r="AX299" s="219" t="str">
        <f t="shared" si="260"/>
        <v>Q1 07</v>
      </c>
      <c r="AY299" s="219" t="str">
        <f t="shared" si="260"/>
        <v>Q2 07</v>
      </c>
      <c r="AZ299" s="219" t="str">
        <f t="shared" si="260"/>
        <v>Q3 07</v>
      </c>
      <c r="BA299" s="219" t="str">
        <f t="shared" si="260"/>
        <v>Q4 07</v>
      </c>
      <c r="BB299" s="219" t="str">
        <f t="shared" si="260"/>
        <v>Q1 08</v>
      </c>
      <c r="BC299" s="219" t="str">
        <f t="shared" si="260"/>
        <v>Q2 08</v>
      </c>
      <c r="BD299" s="219" t="str">
        <f t="shared" si="260"/>
        <v>Q3 08</v>
      </c>
      <c r="BE299" s="219" t="str">
        <f t="shared" si="260"/>
        <v>Q4 08</v>
      </c>
      <c r="BF299" s="219" t="str">
        <f t="shared" si="260"/>
        <v>Q1 09</v>
      </c>
      <c r="BG299" s="219" t="str">
        <f t="shared" si="260"/>
        <v>Q2 09</v>
      </c>
      <c r="BH299" s="219" t="str">
        <f t="shared" si="260"/>
        <v>Q3 09</v>
      </c>
      <c r="BI299" s="219" t="str">
        <f t="shared" si="260"/>
        <v>Q4 09</v>
      </c>
      <c r="BJ299" s="219" t="str">
        <f t="shared" si="260"/>
        <v>Q1 10</v>
      </c>
      <c r="BK299" s="219" t="str">
        <f t="shared" si="260"/>
        <v>Q2 10</v>
      </c>
      <c r="BL299" s="219" t="str">
        <f t="shared" si="260"/>
        <v>Q3 10</v>
      </c>
      <c r="BM299" s="219" t="str">
        <f t="shared" si="260"/>
        <v>Q4 10</v>
      </c>
      <c r="BN299" s="219" t="str">
        <f t="shared" si="260"/>
        <v>Q1 11</v>
      </c>
      <c r="BO299" s="219" t="str">
        <f t="shared" si="260"/>
        <v>Q2 11</v>
      </c>
      <c r="BP299" s="219" t="str">
        <f t="shared" si="260"/>
        <v>Q3 11</v>
      </c>
      <c r="BQ299" s="219" t="str">
        <f t="shared" si="260"/>
        <v>Q4 11</v>
      </c>
      <c r="BR299" s="219" t="str">
        <f t="shared" si="260"/>
        <v>Q1 12</v>
      </c>
      <c r="BS299" s="219" t="str">
        <f t="shared" si="260"/>
        <v>Q2 12</v>
      </c>
      <c r="BT299" s="219" t="str">
        <f t="shared" si="260"/>
        <v>Q3 12</v>
      </c>
      <c r="BU299" s="219" t="str">
        <f t="shared" si="260"/>
        <v>Q4 12</v>
      </c>
      <c r="BV299" s="219" t="str">
        <f t="shared" si="260"/>
        <v>Q1 13</v>
      </c>
      <c r="BW299" s="219" t="str">
        <f t="shared" si="260"/>
        <v>Q2 13</v>
      </c>
      <c r="BX299" s="219" t="str">
        <f t="shared" si="260"/>
        <v>Q3 13</v>
      </c>
      <c r="BY299" s="219" t="str">
        <f t="shared" si="260"/>
        <v>Q4 13</v>
      </c>
      <c r="BZ299" s="219" t="str">
        <f t="shared" si="260"/>
        <v>Q1 14</v>
      </c>
      <c r="CA299" s="219" t="str">
        <f t="shared" si="260"/>
        <v>Q2 14</v>
      </c>
      <c r="CB299" s="219" t="str">
        <f t="shared" si="260"/>
        <v>Q3 14</v>
      </c>
      <c r="CC299" s="219" t="str">
        <f t="shared" si="260"/>
        <v>Q4 14</v>
      </c>
      <c r="CD299" s="219" t="str">
        <f t="shared" si="260"/>
        <v>Q1 15</v>
      </c>
    </row>
    <row r="300" spans="28:83" ht="15" customHeight="1">
      <c r="AB300" s="220" t="s">
        <v>8</v>
      </c>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221"/>
      <c r="BK300" s="221"/>
      <c r="BL300" s="221"/>
      <c r="BM300" s="221"/>
      <c r="BN300" s="221"/>
      <c r="BO300" s="221"/>
      <c r="BP300" s="221"/>
      <c r="BQ300" s="221"/>
      <c r="BR300" s="221"/>
      <c r="BS300" s="221"/>
      <c r="BT300" s="221"/>
      <c r="BU300" s="221">
        <f t="shared" ref="BU300:CD302" si="261">BU282</f>
        <v>39.275160000000007</v>
      </c>
      <c r="BV300" s="221">
        <f t="shared" si="261"/>
        <v>40.299999999999997</v>
      </c>
      <c r="BW300" s="221">
        <f t="shared" si="261"/>
        <v>42.1</v>
      </c>
      <c r="BX300" s="221">
        <f t="shared" si="261"/>
        <v>42.8</v>
      </c>
      <c r="BY300" s="221">
        <f t="shared" si="261"/>
        <v>50.204583999999997</v>
      </c>
      <c r="BZ300" s="221">
        <f t="shared" si="261"/>
        <v>45.7</v>
      </c>
      <c r="CA300" s="221">
        <f t="shared" si="261"/>
        <v>47.5</v>
      </c>
      <c r="CB300" s="221">
        <f t="shared" si="261"/>
        <v>50.1</v>
      </c>
      <c r="CC300" s="221">
        <f t="shared" si="261"/>
        <v>55.59999999999998</v>
      </c>
      <c r="CD300" s="221">
        <f t="shared" si="261"/>
        <v>47.4</v>
      </c>
      <c r="CE300" s="92" t="str">
        <f>AB300</f>
        <v>EBITDA</v>
      </c>
    </row>
    <row r="301" spans="28:83" ht="15" customHeight="1">
      <c r="AB301" s="222" t="s">
        <v>19</v>
      </c>
      <c r="AC301" s="223"/>
      <c r="AD301" s="223"/>
      <c r="AE301" s="223"/>
      <c r="AF301" s="223"/>
      <c r="AG301" s="223"/>
      <c r="AH301" s="223"/>
      <c r="AI301" s="223"/>
      <c r="AJ301" s="223"/>
      <c r="AK301" s="223"/>
      <c r="AL301" s="223"/>
      <c r="AM301" s="223"/>
      <c r="AN301" s="223"/>
      <c r="AO301" s="223"/>
      <c r="AP301" s="223"/>
      <c r="AQ301" s="223"/>
      <c r="AR301" s="223"/>
      <c r="AS301" s="223"/>
      <c r="AT301" s="223"/>
      <c r="AU301" s="223"/>
      <c r="AV301" s="223"/>
      <c r="AW301" s="223"/>
      <c r="AX301" s="223"/>
      <c r="AY301" s="223"/>
      <c r="AZ301" s="223"/>
      <c r="BA301" s="223"/>
      <c r="BB301" s="223"/>
      <c r="BC301" s="223"/>
      <c r="BD301" s="223"/>
      <c r="BE301" s="223"/>
      <c r="BF301" s="223"/>
      <c r="BG301" s="223"/>
      <c r="BH301" s="223"/>
      <c r="BI301" s="223"/>
      <c r="BJ301" s="223"/>
      <c r="BK301" s="223"/>
      <c r="BL301" s="223"/>
      <c r="BM301" s="223"/>
      <c r="BN301" s="223"/>
      <c r="BO301" s="223"/>
      <c r="BP301" s="223"/>
      <c r="BQ301" s="223"/>
      <c r="BR301" s="223"/>
      <c r="BS301" s="223"/>
      <c r="BT301" s="223"/>
      <c r="BU301" s="223">
        <f t="shared" si="261"/>
        <v>-19.681604491999977</v>
      </c>
      <c r="BV301" s="223">
        <f t="shared" si="261"/>
        <v>-26</v>
      </c>
      <c r="BW301" s="223">
        <f t="shared" si="261"/>
        <v>-27.4</v>
      </c>
      <c r="BX301" s="223">
        <f t="shared" si="261"/>
        <v>-19.3</v>
      </c>
      <c r="BY301" s="223">
        <f t="shared" si="261"/>
        <v>-20.20000000000001</v>
      </c>
      <c r="BZ301" s="223">
        <f t="shared" si="261"/>
        <v>-25</v>
      </c>
      <c r="CA301" s="223">
        <f t="shared" si="261"/>
        <v>-31.1</v>
      </c>
      <c r="CB301" s="223">
        <f t="shared" si="261"/>
        <v>-26.9</v>
      </c>
      <c r="CC301" s="223">
        <f t="shared" si="261"/>
        <v>-28.70000000000001</v>
      </c>
      <c r="CD301" s="223">
        <f t="shared" si="261"/>
        <v>-25.3</v>
      </c>
      <c r="CE301" s="92" t="str">
        <f t="shared" ref="CE301:CE315" si="262">AB301</f>
        <v>Capex</v>
      </c>
    </row>
    <row r="302" spans="28:83" ht="15" customHeight="1">
      <c r="AB302" s="220" t="s">
        <v>679</v>
      </c>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c r="BM302" s="221"/>
      <c r="BN302" s="221"/>
      <c r="BO302" s="221"/>
      <c r="BP302" s="221"/>
      <c r="BQ302" s="221"/>
      <c r="BR302" s="221"/>
      <c r="BS302" s="221"/>
      <c r="BT302" s="221"/>
      <c r="BU302" s="221"/>
      <c r="BV302" s="221">
        <f t="shared" si="261"/>
        <v>-2.9</v>
      </c>
      <c r="BW302" s="221">
        <f t="shared" si="261"/>
        <v>-0.89999999999999991</v>
      </c>
      <c r="BX302" s="221">
        <f t="shared" si="261"/>
        <v>-4.2999999999999989</v>
      </c>
      <c r="BY302" s="221">
        <f t="shared" si="261"/>
        <v>-2.7000000000000011</v>
      </c>
      <c r="BZ302" s="221">
        <f t="shared" si="261"/>
        <v>-3.4</v>
      </c>
      <c r="CA302" s="221">
        <f t="shared" si="261"/>
        <v>-0.39999999999999991</v>
      </c>
      <c r="CB302" s="221">
        <f t="shared" si="261"/>
        <v>-27.1</v>
      </c>
      <c r="CC302" s="221">
        <f t="shared" si="261"/>
        <v>62.1</v>
      </c>
      <c r="CD302" s="221">
        <f t="shared" si="261"/>
        <v>-31</v>
      </c>
      <c r="CE302" s="92" t="str">
        <f t="shared" si="262"/>
        <v>Cash interest</v>
      </c>
    </row>
    <row r="303" spans="28:83" ht="15" customHeight="1">
      <c r="AB303" s="222" t="s">
        <v>743</v>
      </c>
      <c r="AC303" s="223"/>
      <c r="AD303" s="223"/>
      <c r="AE303" s="223"/>
      <c r="AF303" s="223"/>
      <c r="AG303" s="223"/>
      <c r="AH303" s="223"/>
      <c r="AI303" s="223"/>
      <c r="AJ303" s="223"/>
      <c r="AK303" s="223"/>
      <c r="AL303" s="223"/>
      <c r="AM303" s="223"/>
      <c r="AN303" s="223"/>
      <c r="AO303" s="223"/>
      <c r="AP303" s="223"/>
      <c r="AQ303" s="223"/>
      <c r="AR303" s="223"/>
      <c r="AS303" s="223"/>
      <c r="AT303" s="223"/>
      <c r="AU303" s="223"/>
      <c r="AV303" s="223"/>
      <c r="AW303" s="223"/>
      <c r="AX303" s="223"/>
      <c r="AY303" s="223"/>
      <c r="AZ303" s="223"/>
      <c r="BA303" s="223"/>
      <c r="BB303" s="223"/>
      <c r="BC303" s="223"/>
      <c r="BD303" s="223"/>
      <c r="BE303" s="223"/>
      <c r="BF303" s="223"/>
      <c r="BG303" s="223"/>
      <c r="BH303" s="223"/>
      <c r="BI303" s="223"/>
      <c r="BJ303" s="223"/>
      <c r="BK303" s="223"/>
      <c r="BL303" s="223"/>
      <c r="BM303" s="223"/>
      <c r="BN303" s="223"/>
      <c r="BO303" s="223"/>
      <c r="BP303" s="223"/>
      <c r="BQ303" s="223"/>
      <c r="BR303" s="223"/>
      <c r="BS303" s="223"/>
      <c r="BT303" s="223"/>
      <c r="BU303" s="223"/>
      <c r="BV303" s="223">
        <f t="shared" ref="BV303:CD307" si="263">BV286</f>
        <v>-17.600000000000001</v>
      </c>
      <c r="BW303" s="223">
        <f t="shared" si="263"/>
        <v>1.4000000000000021</v>
      </c>
      <c r="BX303" s="223">
        <f t="shared" si="263"/>
        <v>-3</v>
      </c>
      <c r="BY303" s="223">
        <f t="shared" si="263"/>
        <v>-4.1000000000000014</v>
      </c>
      <c r="BZ303" s="223">
        <f t="shared" si="263"/>
        <v>11</v>
      </c>
      <c r="CA303" s="223">
        <f t="shared" si="263"/>
        <v>5</v>
      </c>
      <c r="CB303" s="223">
        <f t="shared" si="263"/>
        <v>-21.2</v>
      </c>
      <c r="CC303" s="223">
        <f t="shared" si="263"/>
        <v>-32</v>
      </c>
      <c r="CD303" s="223">
        <f t="shared" si="263"/>
        <v>-18.899999999999999</v>
      </c>
      <c r="CE303" s="92" t="str">
        <f t="shared" si="262"/>
        <v>W capital change</v>
      </c>
    </row>
    <row r="304" spans="28:83" ht="15" customHeight="1">
      <c r="AB304" s="220" t="s">
        <v>744</v>
      </c>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21"/>
      <c r="BK304" s="221"/>
      <c r="BL304" s="221"/>
      <c r="BM304" s="221"/>
      <c r="BN304" s="221"/>
      <c r="BO304" s="221"/>
      <c r="BP304" s="221"/>
      <c r="BQ304" s="221"/>
      <c r="BR304" s="221"/>
      <c r="BS304" s="221"/>
      <c r="BT304" s="221"/>
      <c r="BU304" s="221"/>
      <c r="BV304" s="221">
        <f t="shared" si="263"/>
        <v>-2.7</v>
      </c>
      <c r="BW304" s="221">
        <f t="shared" si="263"/>
        <v>-8.1999999999999993</v>
      </c>
      <c r="BX304" s="221">
        <f t="shared" si="263"/>
        <v>-4</v>
      </c>
      <c r="BY304" s="221">
        <f t="shared" si="263"/>
        <v>-4.5</v>
      </c>
      <c r="BZ304" s="221">
        <f t="shared" si="263"/>
        <v>-4.2</v>
      </c>
      <c r="CA304" s="221">
        <f t="shared" si="263"/>
        <v>-6.7</v>
      </c>
      <c r="CB304" s="221">
        <f t="shared" si="263"/>
        <v>-4.4999999999999991</v>
      </c>
      <c r="CC304" s="221">
        <f t="shared" si="263"/>
        <v>-5.1000000000000023</v>
      </c>
      <c r="CD304" s="221">
        <f t="shared" si="263"/>
        <v>-3.8</v>
      </c>
      <c r="CE304" s="92" t="str">
        <f t="shared" si="262"/>
        <v>Cash taxes</v>
      </c>
    </row>
    <row r="305" spans="28:83" ht="15" customHeight="1">
      <c r="AB305" s="222" t="s">
        <v>682</v>
      </c>
      <c r="AC305" s="223"/>
      <c r="AD305" s="223"/>
      <c r="AE305" s="223"/>
      <c r="AF305" s="223"/>
      <c r="AG305" s="223"/>
      <c r="AH305" s="223"/>
      <c r="AI305" s="223"/>
      <c r="AJ305" s="223"/>
      <c r="AK305" s="223"/>
      <c r="AL305" s="223"/>
      <c r="AM305" s="223"/>
      <c r="AN305" s="223"/>
      <c r="AO305" s="223"/>
      <c r="AP305" s="223"/>
      <c r="AQ305" s="223"/>
      <c r="AR305" s="223"/>
      <c r="AS305" s="223"/>
      <c r="AT305" s="223"/>
      <c r="AU305" s="223"/>
      <c r="AV305" s="223"/>
      <c r="AW305" s="223"/>
      <c r="AX305" s="223"/>
      <c r="AY305" s="223"/>
      <c r="AZ305" s="223"/>
      <c r="BA305" s="223"/>
      <c r="BB305" s="223"/>
      <c r="BC305" s="223"/>
      <c r="BD305" s="223"/>
      <c r="BE305" s="223"/>
      <c r="BF305" s="223"/>
      <c r="BG305" s="223"/>
      <c r="BH305" s="223"/>
      <c r="BI305" s="223"/>
      <c r="BJ305" s="223"/>
      <c r="BK305" s="223"/>
      <c r="BL305" s="223"/>
      <c r="BM305" s="223"/>
      <c r="BN305" s="223"/>
      <c r="BO305" s="223"/>
      <c r="BP305" s="223"/>
      <c r="BQ305" s="223"/>
      <c r="BR305" s="223"/>
      <c r="BS305" s="223"/>
      <c r="BT305" s="223"/>
      <c r="BU305" s="223"/>
      <c r="BV305" s="223">
        <f t="shared" si="263"/>
        <v>3.6</v>
      </c>
      <c r="BW305" s="223">
        <f t="shared" si="263"/>
        <v>-6.5</v>
      </c>
      <c r="BX305" s="223">
        <f t="shared" si="263"/>
        <v>-8.6</v>
      </c>
      <c r="BY305" s="223">
        <f t="shared" si="263"/>
        <v>48.7</v>
      </c>
      <c r="BZ305" s="223">
        <f t="shared" si="263"/>
        <v>21.700000000000017</v>
      </c>
      <c r="CA305" s="223">
        <f t="shared" si="263"/>
        <v>0</v>
      </c>
      <c r="CB305" s="223">
        <f t="shared" si="263"/>
        <v>25.699999999999989</v>
      </c>
      <c r="CC305" s="223">
        <f t="shared" si="263"/>
        <v>-25.80000000000004</v>
      </c>
      <c r="CD305" s="223">
        <f t="shared" si="263"/>
        <v>0</v>
      </c>
      <c r="CE305" s="92" t="str">
        <f t="shared" si="262"/>
        <v>Shareholder payments</v>
      </c>
    </row>
    <row r="306" spans="28:83" ht="15" customHeight="1">
      <c r="AB306" s="220" t="s">
        <v>745</v>
      </c>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21"/>
      <c r="BK306" s="221"/>
      <c r="BL306" s="221"/>
      <c r="BM306" s="221"/>
      <c r="BN306" s="221"/>
      <c r="BO306" s="221"/>
      <c r="BP306" s="221"/>
      <c r="BQ306" s="221"/>
      <c r="BR306" s="221"/>
      <c r="BS306" s="221"/>
      <c r="BT306" s="221"/>
      <c r="BU306" s="221"/>
      <c r="BV306" s="221">
        <f t="shared" si="263"/>
        <v>28.20000000000001</v>
      </c>
      <c r="BW306" s="221">
        <f t="shared" si="263"/>
        <v>-0.50000000000000533</v>
      </c>
      <c r="BX306" s="221">
        <f t="shared" si="263"/>
        <v>-3.5999999999999961</v>
      </c>
      <c r="BY306" s="221">
        <f t="shared" si="263"/>
        <v>-40.404583999999979</v>
      </c>
      <c r="BZ306" s="221">
        <f t="shared" si="263"/>
        <v>-784.30000000000007</v>
      </c>
      <c r="CA306" s="221">
        <f t="shared" si="263"/>
        <v>-16.199999999999978</v>
      </c>
      <c r="CB306" s="221">
        <f t="shared" si="263"/>
        <v>-85.1</v>
      </c>
      <c r="CC306" s="221">
        <f t="shared" si="263"/>
        <v>-21.999999999999908</v>
      </c>
      <c r="CD306" s="221">
        <f t="shared" si="263"/>
        <v>-14.59999999999993</v>
      </c>
      <c r="CE306" s="92" t="str">
        <f t="shared" si="262"/>
        <v>Other cash flow</v>
      </c>
    </row>
    <row r="307" spans="28:83" ht="15" customHeight="1">
      <c r="AB307" s="222" t="s">
        <v>116</v>
      </c>
      <c r="AC307" s="223"/>
      <c r="AD307" s="223"/>
      <c r="AE307" s="223"/>
      <c r="AF307" s="223"/>
      <c r="AG307" s="223"/>
      <c r="AH307" s="223"/>
      <c r="AI307" s="223"/>
      <c r="AJ307" s="223"/>
      <c r="AK307" s="223"/>
      <c r="AL307" s="223"/>
      <c r="AM307" s="223"/>
      <c r="AN307" s="223"/>
      <c r="AO307" s="223"/>
      <c r="AP307" s="223"/>
      <c r="AQ307" s="223"/>
      <c r="AR307" s="223"/>
      <c r="AS307" s="223"/>
      <c r="AT307" s="223"/>
      <c r="AU307" s="223"/>
      <c r="AV307" s="223"/>
      <c r="AW307" s="223"/>
      <c r="AX307" s="223"/>
      <c r="AY307" s="223"/>
      <c r="AZ307" s="223"/>
      <c r="BA307" s="223"/>
      <c r="BB307" s="223"/>
      <c r="BC307" s="223"/>
      <c r="BD307" s="223"/>
      <c r="BE307" s="223"/>
      <c r="BF307" s="223"/>
      <c r="BG307" s="223"/>
      <c r="BH307" s="223"/>
      <c r="BI307" s="223"/>
      <c r="BJ307" s="223"/>
      <c r="BK307" s="223"/>
      <c r="BL307" s="223"/>
      <c r="BM307" s="223"/>
      <c r="BN307" s="223"/>
      <c r="BO307" s="223"/>
      <c r="BP307" s="223"/>
      <c r="BQ307" s="223"/>
      <c r="BR307" s="223"/>
      <c r="BS307" s="223"/>
      <c r="BT307" s="223"/>
      <c r="BU307" s="223"/>
      <c r="BV307" s="223">
        <f t="shared" si="263"/>
        <v>-22.900000000000002</v>
      </c>
      <c r="BW307" s="223">
        <f t="shared" si="263"/>
        <v>0</v>
      </c>
      <c r="BX307" s="223">
        <f t="shared" si="263"/>
        <v>0</v>
      </c>
      <c r="BY307" s="223">
        <f t="shared" si="263"/>
        <v>-27.000000000000007</v>
      </c>
      <c r="BZ307" s="223">
        <f t="shared" si="263"/>
        <v>738.5</v>
      </c>
      <c r="CA307" s="223">
        <f t="shared" si="263"/>
        <v>1.8999999999999773</v>
      </c>
      <c r="CB307" s="223">
        <f t="shared" si="263"/>
        <v>89</v>
      </c>
      <c r="CC307" s="223">
        <f t="shared" si="263"/>
        <v>-4.1000000000000227</v>
      </c>
      <c r="CD307" s="223">
        <f t="shared" si="263"/>
        <v>46.199999999999932</v>
      </c>
      <c r="CE307" s="92" t="str">
        <f t="shared" si="262"/>
        <v>Change in net debt</v>
      </c>
    </row>
    <row r="308" spans="28:83" ht="15" customHeight="1">
      <c r="AB308" s="218" t="s">
        <v>748</v>
      </c>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19"/>
      <c r="AY308" s="219"/>
      <c r="AZ308" s="219"/>
      <c r="BA308" s="219"/>
      <c r="BB308" s="219"/>
      <c r="BC308" s="219"/>
      <c r="BD308" s="219"/>
      <c r="BE308" s="219"/>
      <c r="BF308" s="219" t="str">
        <f>BF299</f>
        <v>Q1 09</v>
      </c>
      <c r="BG308" s="219" t="str">
        <f t="shared" ref="BG308:CD308" si="264">BG299</f>
        <v>Q2 09</v>
      </c>
      <c r="BH308" s="219" t="str">
        <f t="shared" si="264"/>
        <v>Q3 09</v>
      </c>
      <c r="BI308" s="219" t="str">
        <f t="shared" si="264"/>
        <v>Q4 09</v>
      </c>
      <c r="BJ308" s="219" t="str">
        <f t="shared" si="264"/>
        <v>Q1 10</v>
      </c>
      <c r="BK308" s="219" t="str">
        <f t="shared" si="264"/>
        <v>Q2 10</v>
      </c>
      <c r="BL308" s="219" t="str">
        <f t="shared" si="264"/>
        <v>Q3 10</v>
      </c>
      <c r="BM308" s="219" t="str">
        <f t="shared" si="264"/>
        <v>Q4 10</v>
      </c>
      <c r="BN308" s="219" t="str">
        <f t="shared" si="264"/>
        <v>Q1 11</v>
      </c>
      <c r="BO308" s="219" t="str">
        <f t="shared" si="264"/>
        <v>Q2 11</v>
      </c>
      <c r="BP308" s="219" t="str">
        <f t="shared" si="264"/>
        <v>Q3 11</v>
      </c>
      <c r="BQ308" s="219" t="str">
        <f t="shared" si="264"/>
        <v>Q4 11</v>
      </c>
      <c r="BR308" s="219" t="str">
        <f t="shared" si="264"/>
        <v>Q1 12</v>
      </c>
      <c r="BS308" s="219" t="str">
        <f t="shared" si="264"/>
        <v>Q2 12</v>
      </c>
      <c r="BT308" s="219" t="str">
        <f t="shared" si="264"/>
        <v>Q3 12</v>
      </c>
      <c r="BU308" s="219" t="str">
        <f t="shared" si="264"/>
        <v>Q4 12</v>
      </c>
      <c r="BV308" s="219" t="str">
        <f t="shared" si="264"/>
        <v>Q1 13</v>
      </c>
      <c r="BW308" s="219" t="str">
        <f t="shared" si="264"/>
        <v>Q2 13</v>
      </c>
      <c r="BX308" s="219" t="str">
        <f t="shared" si="264"/>
        <v>Q3 13</v>
      </c>
      <c r="BY308" s="219" t="str">
        <f t="shared" si="264"/>
        <v>Q4 13</v>
      </c>
      <c r="BZ308" s="219" t="str">
        <f t="shared" si="264"/>
        <v>Q1 14</v>
      </c>
      <c r="CA308" s="219" t="str">
        <f t="shared" si="264"/>
        <v>Q2 14</v>
      </c>
      <c r="CB308" s="219" t="str">
        <f t="shared" si="264"/>
        <v>Q3 14</v>
      </c>
      <c r="CC308" s="219" t="str">
        <f t="shared" si="264"/>
        <v>Q4 14</v>
      </c>
      <c r="CD308" s="219" t="str">
        <f t="shared" si="264"/>
        <v>Q1 15</v>
      </c>
      <c r="CE308" s="92" t="str">
        <f t="shared" si="262"/>
        <v>Summary leverage</v>
      </c>
    </row>
    <row r="309" spans="28:83" ht="15" customHeight="1">
      <c r="AB309" s="220" t="s">
        <v>707</v>
      </c>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21"/>
      <c r="BK309" s="221"/>
      <c r="BL309" s="221"/>
      <c r="BM309" s="221"/>
      <c r="BN309" s="221"/>
      <c r="BO309" s="221"/>
      <c r="BP309" s="221"/>
      <c r="BQ309" s="221"/>
      <c r="BR309" s="221"/>
      <c r="BS309" s="221"/>
      <c r="BT309" s="221"/>
      <c r="BU309" s="221">
        <f t="shared" ref="BU309:CD309" si="265">BU279</f>
        <v>21.2</v>
      </c>
      <c r="BV309" s="221"/>
      <c r="BW309" s="221"/>
      <c r="BX309" s="221">
        <f t="shared" si="265"/>
        <v>0</v>
      </c>
      <c r="BY309" s="221">
        <f t="shared" si="265"/>
        <v>86.9</v>
      </c>
      <c r="BZ309" s="221">
        <f t="shared" si="265"/>
        <v>58.1</v>
      </c>
      <c r="CA309" s="221">
        <f t="shared" si="265"/>
        <v>61.1</v>
      </c>
      <c r="CB309" s="221">
        <f t="shared" si="265"/>
        <v>35.700000000000003</v>
      </c>
      <c r="CC309" s="221">
        <f t="shared" si="265"/>
        <v>51.7</v>
      </c>
      <c r="CD309" s="221">
        <f t="shared" si="265"/>
        <v>31.1</v>
      </c>
      <c r="CE309" s="92" t="str">
        <f t="shared" si="262"/>
        <v>Cash</v>
      </c>
    </row>
    <row r="310" spans="28:83" ht="15" customHeight="1">
      <c r="AB310" s="222" t="s">
        <v>749</v>
      </c>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223"/>
      <c r="BK310" s="223"/>
      <c r="BL310" s="223"/>
      <c r="BM310" s="223"/>
      <c r="BN310" s="223"/>
      <c r="BO310" s="223"/>
      <c r="BP310" s="223"/>
      <c r="BQ310" s="223"/>
      <c r="BR310" s="223"/>
      <c r="BS310" s="223"/>
      <c r="BT310" s="223"/>
      <c r="BU310" s="223">
        <f t="shared" ref="BU310:CD311" si="266">BU274</f>
        <v>44.1</v>
      </c>
      <c r="BV310" s="223"/>
      <c r="BW310" s="223"/>
      <c r="BX310" s="223">
        <f t="shared" si="266"/>
        <v>0</v>
      </c>
      <c r="BY310" s="223">
        <f t="shared" si="266"/>
        <v>59.9</v>
      </c>
      <c r="BZ310" s="223">
        <f t="shared" si="266"/>
        <v>769.6</v>
      </c>
      <c r="CA310" s="223">
        <f t="shared" si="266"/>
        <v>774.5</v>
      </c>
      <c r="CB310" s="223">
        <f t="shared" si="266"/>
        <v>838.1</v>
      </c>
      <c r="CC310" s="223">
        <f t="shared" si="266"/>
        <v>850</v>
      </c>
      <c r="CD310" s="223">
        <f t="shared" si="266"/>
        <v>875.59999999999991</v>
      </c>
      <c r="CE310" s="92" t="str">
        <f t="shared" si="262"/>
        <v>Senior debt</v>
      </c>
    </row>
    <row r="311" spans="28:83" ht="14.25" customHeight="1">
      <c r="AB311" s="220" t="s">
        <v>705</v>
      </c>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21"/>
      <c r="BK311" s="221"/>
      <c r="BL311" s="221"/>
      <c r="BM311" s="221"/>
      <c r="BN311" s="221"/>
      <c r="BO311" s="221"/>
      <c r="BP311" s="221"/>
      <c r="BQ311" s="221"/>
      <c r="BR311" s="221"/>
      <c r="BS311" s="221"/>
      <c r="BT311" s="221"/>
      <c r="BU311" s="221">
        <f t="shared" si="266"/>
        <v>0</v>
      </c>
      <c r="BV311" s="221"/>
      <c r="BW311" s="221"/>
      <c r="BX311" s="221">
        <f t="shared" si="266"/>
        <v>0</v>
      </c>
      <c r="BY311" s="221">
        <f t="shared" si="266"/>
        <v>0</v>
      </c>
      <c r="BZ311" s="221">
        <f t="shared" si="266"/>
        <v>0</v>
      </c>
      <c r="CA311" s="221">
        <f t="shared" si="266"/>
        <v>0</v>
      </c>
      <c r="CB311" s="221">
        <f t="shared" si="266"/>
        <v>0</v>
      </c>
      <c r="CC311" s="221">
        <f t="shared" si="266"/>
        <v>0</v>
      </c>
      <c r="CD311" s="221">
        <f t="shared" si="266"/>
        <v>0</v>
      </c>
      <c r="CE311" s="92" t="str">
        <f t="shared" si="262"/>
        <v>HY debt</v>
      </c>
    </row>
    <row r="312" spans="28:83" ht="15" customHeight="1">
      <c r="AB312" s="222" t="s">
        <v>741</v>
      </c>
      <c r="AC312" s="223"/>
      <c r="AD312" s="223"/>
      <c r="AE312" s="223"/>
      <c r="AF312" s="223"/>
      <c r="AG312" s="223"/>
      <c r="AH312" s="223"/>
      <c r="AI312" s="223"/>
      <c r="AJ312" s="223"/>
      <c r="AK312" s="223"/>
      <c r="AL312" s="223"/>
      <c r="AM312" s="223"/>
      <c r="AN312" s="223"/>
      <c r="AO312" s="223"/>
      <c r="AP312" s="223"/>
      <c r="AQ312" s="223"/>
      <c r="AR312" s="223"/>
      <c r="AS312" s="223"/>
      <c r="AT312" s="223"/>
      <c r="AU312" s="223"/>
      <c r="AV312" s="223"/>
      <c r="AW312" s="223"/>
      <c r="AX312" s="223"/>
      <c r="AY312" s="223"/>
      <c r="AZ312" s="223"/>
      <c r="BA312" s="223"/>
      <c r="BB312" s="223"/>
      <c r="BC312" s="223"/>
      <c r="BD312" s="223"/>
      <c r="BE312" s="223"/>
      <c r="BF312" s="223"/>
      <c r="BG312" s="223"/>
      <c r="BH312" s="223"/>
      <c r="BI312" s="223"/>
      <c r="BJ312" s="223"/>
      <c r="BK312" s="223"/>
      <c r="BL312" s="223"/>
      <c r="BM312" s="223"/>
      <c r="BN312" s="223"/>
      <c r="BO312" s="223"/>
      <c r="BP312" s="223"/>
      <c r="BQ312" s="223"/>
      <c r="BR312" s="223"/>
      <c r="BS312" s="223"/>
      <c r="BT312" s="223"/>
      <c r="BU312" s="223">
        <f>BU278</f>
        <v>44.1</v>
      </c>
      <c r="BV312" s="223"/>
      <c r="BW312" s="223"/>
      <c r="BX312" s="223">
        <f t="shared" ref="BX312:CD312" si="267">BX278</f>
        <v>0</v>
      </c>
      <c r="BY312" s="223">
        <f t="shared" si="267"/>
        <v>59.9</v>
      </c>
      <c r="BZ312" s="223">
        <f t="shared" si="267"/>
        <v>769.6</v>
      </c>
      <c r="CA312" s="223">
        <f t="shared" si="267"/>
        <v>774.5</v>
      </c>
      <c r="CB312" s="223">
        <f t="shared" si="267"/>
        <v>838.1</v>
      </c>
      <c r="CC312" s="223">
        <f t="shared" si="267"/>
        <v>850</v>
      </c>
      <c r="CD312" s="223">
        <f t="shared" si="267"/>
        <v>875.59999999999991</v>
      </c>
      <c r="CE312" s="92" t="str">
        <f t="shared" si="262"/>
        <v>Total debt</v>
      </c>
    </row>
    <row r="313" spans="28:83" ht="15" customHeight="1">
      <c r="AB313" s="220" t="s">
        <v>714</v>
      </c>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21"/>
      <c r="BK313" s="221"/>
      <c r="BL313" s="221"/>
      <c r="BM313" s="221"/>
      <c r="BN313" s="221"/>
      <c r="BO313" s="221"/>
      <c r="BP313" s="221"/>
      <c r="BQ313" s="221"/>
      <c r="BR313" s="221"/>
      <c r="BS313" s="221"/>
      <c r="BT313" s="221"/>
      <c r="BU313" s="221"/>
      <c r="BV313" s="221"/>
      <c r="BW313" s="221"/>
      <c r="BX313" s="221">
        <f t="shared" ref="BX313:CD313" si="268">SUM(BU300:BX300)</f>
        <v>164.47516000000002</v>
      </c>
      <c r="BY313" s="221">
        <f t="shared" si="268"/>
        <v>175.404584</v>
      </c>
      <c r="BZ313" s="221">
        <f t="shared" si="268"/>
        <v>180.80458399999998</v>
      </c>
      <c r="CA313" s="221">
        <f t="shared" si="268"/>
        <v>186.20458400000001</v>
      </c>
      <c r="CB313" s="221">
        <f t="shared" si="268"/>
        <v>193.50458399999999</v>
      </c>
      <c r="CC313" s="221">
        <f t="shared" si="268"/>
        <v>198.89999999999998</v>
      </c>
      <c r="CD313" s="221">
        <f t="shared" si="268"/>
        <v>200.6</v>
      </c>
      <c r="CE313" s="92" t="str">
        <f t="shared" si="262"/>
        <v>LTM EBITDA</v>
      </c>
    </row>
    <row r="314" spans="28:83" ht="15" customHeight="1">
      <c r="AB314" s="222" t="s">
        <v>750</v>
      </c>
      <c r="AC314" s="224"/>
      <c r="AD314" s="224"/>
      <c r="AE314" s="224"/>
      <c r="AF314" s="224"/>
      <c r="AG314" s="224"/>
      <c r="AH314" s="224"/>
      <c r="AI314" s="224"/>
      <c r="AJ314" s="224"/>
      <c r="AK314" s="224"/>
      <c r="AL314" s="224"/>
      <c r="AM314" s="224"/>
      <c r="AN314" s="224"/>
      <c r="AO314" s="224"/>
      <c r="AP314" s="224"/>
      <c r="AQ314" s="224"/>
      <c r="AR314" s="224"/>
      <c r="AS314" s="224"/>
      <c r="AT314" s="224"/>
      <c r="AU314" s="224"/>
      <c r="AV314" s="224"/>
      <c r="AW314" s="224"/>
      <c r="AX314" s="224"/>
      <c r="AY314" s="224"/>
      <c r="AZ314" s="224"/>
      <c r="BA314" s="224"/>
      <c r="BB314" s="224"/>
      <c r="BC314" s="224"/>
      <c r="BD314" s="224"/>
      <c r="BE314" s="224"/>
      <c r="BF314" s="224"/>
      <c r="BG314" s="224"/>
      <c r="BH314" s="224"/>
      <c r="BI314" s="224"/>
      <c r="BJ314" s="224"/>
      <c r="BK314" s="224"/>
      <c r="BL314" s="224"/>
      <c r="BM314" s="224"/>
      <c r="BN314" s="224"/>
      <c r="BO314" s="224"/>
      <c r="BP314" s="224"/>
      <c r="BQ314" s="224"/>
      <c r="BR314" s="224"/>
      <c r="BS314" s="224"/>
      <c r="BT314" s="224"/>
      <c r="BU314" s="224"/>
      <c r="BV314" s="224"/>
      <c r="BW314" s="224"/>
      <c r="BX314" s="224">
        <f t="shared" ref="BX314:CD314" si="269">(BX310-BX309)/BX313</f>
        <v>0</v>
      </c>
      <c r="BY314" s="224">
        <f t="shared" si="269"/>
        <v>-0.15392984256329359</v>
      </c>
      <c r="BZ314" s="224">
        <f t="shared" si="269"/>
        <v>3.935187837936676</v>
      </c>
      <c r="CA314" s="224">
        <f t="shared" si="269"/>
        <v>3.8312698037552071</v>
      </c>
      <c r="CB314" s="224">
        <f t="shared" si="269"/>
        <v>4.1466717915064999</v>
      </c>
      <c r="CC314" s="224">
        <f t="shared" si="269"/>
        <v>4.0135746606334841</v>
      </c>
      <c r="CD314" s="224">
        <f t="shared" si="269"/>
        <v>4.2098703888334992</v>
      </c>
      <c r="CE314" s="92" t="str">
        <f t="shared" si="262"/>
        <v>Net senior debt / LTM EBITDA</v>
      </c>
    </row>
    <row r="315" spans="28:83" ht="15" customHeight="1">
      <c r="AB315" s="220" t="s">
        <v>751</v>
      </c>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5"/>
      <c r="AY315" s="225"/>
      <c r="AZ315" s="225"/>
      <c r="BA315" s="225"/>
      <c r="BB315" s="225"/>
      <c r="BC315" s="225"/>
      <c r="BD315" s="225"/>
      <c r="BE315" s="225"/>
      <c r="BF315" s="225"/>
      <c r="BG315" s="225"/>
      <c r="BH315" s="225"/>
      <c r="BI315" s="225"/>
      <c r="BJ315" s="225"/>
      <c r="BK315" s="225"/>
      <c r="BL315" s="225"/>
      <c r="BM315" s="225"/>
      <c r="BN315" s="225"/>
      <c r="BO315" s="225"/>
      <c r="BP315" s="225"/>
      <c r="BQ315" s="225"/>
      <c r="BR315" s="225"/>
      <c r="BS315" s="225"/>
      <c r="BT315" s="225"/>
      <c r="BU315" s="225"/>
      <c r="BV315" s="225"/>
      <c r="BW315" s="225"/>
      <c r="BX315" s="225">
        <f t="shared" ref="BX315:CD315" si="270">(BX312-BX309)/BX313</f>
        <v>0</v>
      </c>
      <c r="BY315" s="225">
        <f t="shared" si="270"/>
        <v>-0.15392984256329359</v>
      </c>
      <c r="BZ315" s="225">
        <f t="shared" si="270"/>
        <v>3.935187837936676</v>
      </c>
      <c r="CA315" s="225">
        <f t="shared" si="270"/>
        <v>3.8312698037552071</v>
      </c>
      <c r="CB315" s="225">
        <f t="shared" si="270"/>
        <v>4.1466717915064999</v>
      </c>
      <c r="CC315" s="225">
        <f t="shared" si="270"/>
        <v>4.0135746606334841</v>
      </c>
      <c r="CD315" s="225">
        <f t="shared" si="270"/>
        <v>4.2098703888334992</v>
      </c>
      <c r="CE315" s="92" t="str">
        <f t="shared" si="262"/>
        <v>Net total external debt / LTM EBITDA</v>
      </c>
    </row>
    <row r="316" spans="28:83" ht="15" customHeight="1">
      <c r="AB316" s="214"/>
      <c r="AC316" s="215"/>
    </row>
    <row r="317" spans="28:83" ht="15" customHeight="1"/>
    <row r="318" spans="28:83" ht="15" customHeight="1"/>
    <row r="319" spans="28:83" ht="15" customHeight="1"/>
    <row r="320" spans="28:83"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sheetData>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A358"/>
  <sheetViews>
    <sheetView zoomScale="70" zoomScaleNormal="70" workbookViewId="0">
      <pane xSplit="1" ySplit="1" topLeftCell="K2" activePane="bottomRight" state="frozen"/>
      <selection activeCell="P119" sqref="P119"/>
      <selection pane="topRight" activeCell="P119" sqref="P119"/>
      <selection pane="bottomLeft" activeCell="P119" sqref="P119"/>
      <selection pane="bottomRight" activeCell="Q115" sqref="Q115"/>
    </sheetView>
  </sheetViews>
  <sheetFormatPr defaultColWidth="9.140625" defaultRowHeight="12.75" outlineLevelCol="1"/>
  <cols>
    <col min="1" max="1" width="44.7109375" style="226" customWidth="1"/>
    <col min="2" max="10" width="9.140625" style="226" hidden="1" customWidth="1" outlineLevel="1"/>
    <col min="11" max="11" width="9.140625" style="226" collapsed="1"/>
    <col min="12" max="25" width="9.140625" style="226"/>
    <col min="26" max="26" width="9.140625" style="226" customWidth="1"/>
    <col min="27" max="27" width="8.7109375" style="226" customWidth="1"/>
    <col min="28" max="28" width="41.140625" style="226" customWidth="1"/>
    <col min="29" max="53" width="9.140625" style="226" hidden="1" customWidth="1" outlineLevel="1"/>
    <col min="54" max="57" width="9.7109375" style="226" hidden="1" customWidth="1" outlineLevel="1"/>
    <col min="58" max="58" width="9.7109375" style="226" customWidth="1" collapsed="1"/>
    <col min="59" max="84" width="9.7109375" style="226" customWidth="1"/>
    <col min="85" max="16384" width="9.140625" style="226"/>
  </cols>
  <sheetData>
    <row r="1" spans="1:157" ht="22.5" customHeight="1">
      <c r="A1" s="89" t="s">
        <v>752</v>
      </c>
      <c r="B1" s="90">
        <v>2001</v>
      </c>
      <c r="C1" s="90">
        <v>2002</v>
      </c>
      <c r="D1" s="90">
        <v>2003</v>
      </c>
      <c r="E1" s="90">
        <v>2004</v>
      </c>
      <c r="F1" s="90">
        <v>2005</v>
      </c>
      <c r="G1" s="90">
        <v>2006</v>
      </c>
      <c r="H1" s="90">
        <v>2007</v>
      </c>
      <c r="I1" s="90">
        <v>2008</v>
      </c>
      <c r="J1" s="90">
        <v>2009</v>
      </c>
      <c r="K1" s="90">
        <v>2010</v>
      </c>
      <c r="L1" s="90">
        <v>2011</v>
      </c>
      <c r="M1" s="90">
        <v>2012</v>
      </c>
      <c r="N1" s="90">
        <v>2013</v>
      </c>
      <c r="O1" s="90">
        <v>2014</v>
      </c>
      <c r="P1" s="90">
        <v>2015</v>
      </c>
      <c r="Q1" s="90">
        <v>2016</v>
      </c>
      <c r="R1" s="90" t="s">
        <v>494</v>
      </c>
      <c r="S1" s="90" t="s">
        <v>495</v>
      </c>
      <c r="T1" s="90" t="s">
        <v>496</v>
      </c>
      <c r="U1" s="90" t="s">
        <v>497</v>
      </c>
      <c r="V1" s="90" t="s">
        <v>498</v>
      </c>
      <c r="W1" s="90" t="s">
        <v>499</v>
      </c>
      <c r="X1" s="90" t="s">
        <v>500</v>
      </c>
      <c r="Y1" s="90" t="s">
        <v>501</v>
      </c>
      <c r="Z1" s="90" t="s">
        <v>502</v>
      </c>
      <c r="AA1" s="91"/>
      <c r="AB1" s="89" t="str">
        <f>A1</f>
        <v>Liberty Puerto Rico</v>
      </c>
      <c r="AC1" s="90" t="s">
        <v>503</v>
      </c>
      <c r="AD1" s="90" t="s">
        <v>504</v>
      </c>
      <c r="AE1" s="90" t="s">
        <v>505</v>
      </c>
      <c r="AF1" s="90" t="s">
        <v>506</v>
      </c>
      <c r="AG1" s="90" t="s">
        <v>507</v>
      </c>
      <c r="AH1" s="90" t="s">
        <v>508</v>
      </c>
      <c r="AI1" s="90" t="s">
        <v>509</v>
      </c>
      <c r="AJ1" s="90" t="s">
        <v>510</v>
      </c>
      <c r="AK1" s="90" t="s">
        <v>511</v>
      </c>
      <c r="AL1" s="90" t="s">
        <v>512</v>
      </c>
      <c r="AM1" s="90" t="s">
        <v>513</v>
      </c>
      <c r="AN1" s="90" t="s">
        <v>514</v>
      </c>
      <c r="AO1" s="90" t="s">
        <v>515</v>
      </c>
      <c r="AP1" s="90" t="s">
        <v>516</v>
      </c>
      <c r="AQ1" s="90" t="s">
        <v>517</v>
      </c>
      <c r="AR1" s="90" t="s">
        <v>518</v>
      </c>
      <c r="AS1" s="90" t="s">
        <v>519</v>
      </c>
      <c r="AT1" s="90" t="s">
        <v>520</v>
      </c>
      <c r="AU1" s="90" t="s">
        <v>521</v>
      </c>
      <c r="AV1" s="90" t="s">
        <v>522</v>
      </c>
      <c r="AW1" s="90" t="s">
        <v>523</v>
      </c>
      <c r="AX1" s="90" t="s">
        <v>524</v>
      </c>
      <c r="AY1" s="90" t="s">
        <v>525</v>
      </c>
      <c r="AZ1" s="90" t="s">
        <v>526</v>
      </c>
      <c r="BA1" s="90" t="s">
        <v>527</v>
      </c>
      <c r="BB1" s="90" t="s">
        <v>528</v>
      </c>
      <c r="BC1" s="90" t="s">
        <v>529</v>
      </c>
      <c r="BD1" s="90" t="s">
        <v>530</v>
      </c>
      <c r="BE1" s="90" t="s">
        <v>531</v>
      </c>
      <c r="BF1" s="90" t="s">
        <v>532</v>
      </c>
      <c r="BG1" s="90" t="s">
        <v>533</v>
      </c>
      <c r="BH1" s="90" t="s">
        <v>534</v>
      </c>
      <c r="BI1" s="90" t="s">
        <v>535</v>
      </c>
      <c r="BJ1" s="90" t="s">
        <v>536</v>
      </c>
      <c r="BK1" s="90" t="s">
        <v>537</v>
      </c>
      <c r="BL1" s="90" t="s">
        <v>538</v>
      </c>
      <c r="BM1" s="90" t="s">
        <v>539</v>
      </c>
      <c r="BN1" s="90" t="s">
        <v>540</v>
      </c>
      <c r="BO1" s="90" t="s">
        <v>541</v>
      </c>
      <c r="BP1" s="90" t="s">
        <v>542</v>
      </c>
      <c r="BQ1" s="90" t="s">
        <v>543</v>
      </c>
      <c r="BR1" s="90" t="s">
        <v>544</v>
      </c>
      <c r="BS1" s="90" t="s">
        <v>545</v>
      </c>
      <c r="BT1" s="90" t="s">
        <v>546</v>
      </c>
      <c r="BU1" s="90" t="s">
        <v>547</v>
      </c>
      <c r="BV1" s="90" t="s">
        <v>548</v>
      </c>
      <c r="BW1" s="90" t="s">
        <v>549</v>
      </c>
      <c r="BX1" s="90" t="s">
        <v>550</v>
      </c>
      <c r="BY1" s="90" t="s">
        <v>551</v>
      </c>
      <c r="BZ1" s="90" t="s">
        <v>552</v>
      </c>
      <c r="CA1" s="90" t="s">
        <v>553</v>
      </c>
      <c r="CB1" s="90" t="s">
        <v>554</v>
      </c>
      <c r="CC1" s="90" t="s">
        <v>555</v>
      </c>
      <c r="CD1" s="90" t="s">
        <v>556</v>
      </c>
      <c r="CE1" s="92"/>
      <c r="CF1" s="92"/>
      <c r="CG1" s="92"/>
    </row>
    <row r="2" spans="1:157" ht="15" customHeight="1">
      <c r="A2" s="141"/>
      <c r="B2" s="91"/>
      <c r="C2" s="91"/>
      <c r="D2" s="91"/>
      <c r="E2" s="91"/>
      <c r="F2" s="91"/>
      <c r="G2" s="91"/>
      <c r="H2" s="91"/>
      <c r="I2" s="91"/>
      <c r="J2" s="91"/>
      <c r="K2" s="91"/>
      <c r="L2" s="91"/>
      <c r="M2" s="91"/>
      <c r="N2" s="91"/>
      <c r="O2" s="91"/>
      <c r="P2" s="91"/>
      <c r="Q2" s="91"/>
      <c r="R2" s="91"/>
      <c r="S2" s="91"/>
      <c r="T2" s="91"/>
      <c r="U2" s="91"/>
      <c r="V2" s="91"/>
      <c r="W2" s="91"/>
      <c r="X2" s="91"/>
      <c r="Y2" s="91"/>
      <c r="Z2" s="91"/>
      <c r="AA2" s="91"/>
      <c r="AB2" s="14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2"/>
      <c r="CF2" s="92"/>
      <c r="CG2" s="92"/>
    </row>
    <row r="3" spans="1:157" s="92" customFormat="1" ht="15" customHeight="1">
      <c r="A3" s="93" t="str">
        <f>CONCATENATE(A$1," KPIs")</f>
        <v>Liberty Puerto Rico KPIs</v>
      </c>
      <c r="B3" s="94">
        <f>+B$1</f>
        <v>2001</v>
      </c>
      <c r="C3" s="94">
        <f t="shared" ref="C3:Z3" si="0">+C$1</f>
        <v>2002</v>
      </c>
      <c r="D3" s="94">
        <f t="shared" si="0"/>
        <v>2003</v>
      </c>
      <c r="E3" s="94">
        <f t="shared" si="0"/>
        <v>2004</v>
      </c>
      <c r="F3" s="94">
        <f t="shared" si="0"/>
        <v>2005</v>
      </c>
      <c r="G3" s="94">
        <f t="shared" si="0"/>
        <v>2006</v>
      </c>
      <c r="H3" s="94">
        <f t="shared" si="0"/>
        <v>2007</v>
      </c>
      <c r="I3" s="94">
        <f t="shared" si="0"/>
        <v>2008</v>
      </c>
      <c r="J3" s="94">
        <f t="shared" si="0"/>
        <v>2009</v>
      </c>
      <c r="K3" s="94">
        <f t="shared" si="0"/>
        <v>2010</v>
      </c>
      <c r="L3" s="94">
        <f t="shared" si="0"/>
        <v>2011</v>
      </c>
      <c r="M3" s="94">
        <f t="shared" si="0"/>
        <v>2012</v>
      </c>
      <c r="N3" s="94">
        <f t="shared" si="0"/>
        <v>2013</v>
      </c>
      <c r="O3" s="94">
        <f t="shared" si="0"/>
        <v>2014</v>
      </c>
      <c r="P3" s="94">
        <f t="shared" si="0"/>
        <v>2015</v>
      </c>
      <c r="Q3" s="94">
        <f t="shared" si="0"/>
        <v>2016</v>
      </c>
      <c r="R3" s="94" t="str">
        <f t="shared" si="0"/>
        <v>2017E</v>
      </c>
      <c r="S3" s="94" t="str">
        <f t="shared" si="0"/>
        <v>2018E</v>
      </c>
      <c r="T3" s="94" t="str">
        <f t="shared" si="0"/>
        <v>2019E</v>
      </c>
      <c r="U3" s="94" t="str">
        <f t="shared" si="0"/>
        <v>2020E</v>
      </c>
      <c r="V3" s="94" t="str">
        <f t="shared" si="0"/>
        <v>2021E</v>
      </c>
      <c r="W3" s="94" t="str">
        <f t="shared" si="0"/>
        <v>2022E</v>
      </c>
      <c r="X3" s="94" t="str">
        <f t="shared" si="0"/>
        <v>2023E</v>
      </c>
      <c r="Y3" s="94" t="str">
        <f t="shared" si="0"/>
        <v>2024E</v>
      </c>
      <c r="Z3" s="94" t="str">
        <f t="shared" si="0"/>
        <v>2025E</v>
      </c>
      <c r="AA3" s="91"/>
      <c r="AB3" s="93" t="str">
        <f>A3</f>
        <v>Liberty Puerto Rico KPIs</v>
      </c>
      <c r="AC3" s="94" t="str">
        <f>+AC$1</f>
        <v>Q4 01</v>
      </c>
      <c r="AD3" s="94" t="str">
        <f t="shared" ref="AD3:CD3" si="1">+AD$1</f>
        <v>Q1 02</v>
      </c>
      <c r="AE3" s="94" t="str">
        <f t="shared" si="1"/>
        <v>Q2 02</v>
      </c>
      <c r="AF3" s="94" t="str">
        <f t="shared" si="1"/>
        <v>Q3 02</v>
      </c>
      <c r="AG3" s="94" t="str">
        <f t="shared" si="1"/>
        <v>Q4 02</v>
      </c>
      <c r="AH3" s="94" t="str">
        <f t="shared" si="1"/>
        <v>Q1 03</v>
      </c>
      <c r="AI3" s="94" t="str">
        <f t="shared" si="1"/>
        <v>Q2 03</v>
      </c>
      <c r="AJ3" s="94" t="str">
        <f t="shared" si="1"/>
        <v>Q3 03</v>
      </c>
      <c r="AK3" s="94" t="str">
        <f t="shared" si="1"/>
        <v>Q4 03</v>
      </c>
      <c r="AL3" s="94" t="str">
        <f t="shared" si="1"/>
        <v>1Q04</v>
      </c>
      <c r="AM3" s="94" t="str">
        <f t="shared" si="1"/>
        <v>Q2 04</v>
      </c>
      <c r="AN3" s="94" t="str">
        <f t="shared" si="1"/>
        <v>Q3 04</v>
      </c>
      <c r="AO3" s="94" t="str">
        <f t="shared" si="1"/>
        <v>Q4 04</v>
      </c>
      <c r="AP3" s="94" t="str">
        <f t="shared" si="1"/>
        <v>Q1 05</v>
      </c>
      <c r="AQ3" s="94" t="str">
        <f t="shared" si="1"/>
        <v>Q2 05</v>
      </c>
      <c r="AR3" s="94" t="str">
        <f t="shared" si="1"/>
        <v>Q3 05</v>
      </c>
      <c r="AS3" s="94" t="str">
        <f t="shared" si="1"/>
        <v>Q4 05</v>
      </c>
      <c r="AT3" s="94" t="str">
        <f t="shared" si="1"/>
        <v>Q1 06</v>
      </c>
      <c r="AU3" s="94" t="str">
        <f t="shared" si="1"/>
        <v>Q2 06</v>
      </c>
      <c r="AV3" s="94" t="str">
        <f t="shared" si="1"/>
        <v>Q3 06</v>
      </c>
      <c r="AW3" s="94" t="str">
        <f t="shared" si="1"/>
        <v>Q4 06</v>
      </c>
      <c r="AX3" s="94" t="str">
        <f t="shared" si="1"/>
        <v>Q1 07</v>
      </c>
      <c r="AY3" s="94" t="str">
        <f t="shared" si="1"/>
        <v>Q2 07</v>
      </c>
      <c r="AZ3" s="94" t="str">
        <f t="shared" si="1"/>
        <v>Q3 07</v>
      </c>
      <c r="BA3" s="94" t="str">
        <f t="shared" si="1"/>
        <v>Q4 07</v>
      </c>
      <c r="BB3" s="94" t="str">
        <f t="shared" si="1"/>
        <v>Q1 08</v>
      </c>
      <c r="BC3" s="94" t="str">
        <f t="shared" si="1"/>
        <v>Q2 08</v>
      </c>
      <c r="BD3" s="94" t="str">
        <f t="shared" si="1"/>
        <v>Q3 08</v>
      </c>
      <c r="BE3" s="94" t="str">
        <f t="shared" si="1"/>
        <v>Q4 08</v>
      </c>
      <c r="BF3" s="94" t="str">
        <f t="shared" si="1"/>
        <v>Q1 09</v>
      </c>
      <c r="BG3" s="94" t="str">
        <f t="shared" si="1"/>
        <v>Q2 09</v>
      </c>
      <c r="BH3" s="94" t="str">
        <f t="shared" si="1"/>
        <v>Q3 09</v>
      </c>
      <c r="BI3" s="94" t="str">
        <f t="shared" si="1"/>
        <v>Q4 09</v>
      </c>
      <c r="BJ3" s="94" t="str">
        <f t="shared" si="1"/>
        <v>Q1 10</v>
      </c>
      <c r="BK3" s="94" t="str">
        <f t="shared" si="1"/>
        <v>Q2 10</v>
      </c>
      <c r="BL3" s="94" t="str">
        <f t="shared" si="1"/>
        <v>Q3 10</v>
      </c>
      <c r="BM3" s="94" t="str">
        <f t="shared" si="1"/>
        <v>Q4 10</v>
      </c>
      <c r="BN3" s="94" t="str">
        <f t="shared" si="1"/>
        <v>Q1 11</v>
      </c>
      <c r="BO3" s="94" t="str">
        <f t="shared" si="1"/>
        <v>Q2 11</v>
      </c>
      <c r="BP3" s="94" t="str">
        <f t="shared" si="1"/>
        <v>Q3 11</v>
      </c>
      <c r="BQ3" s="94" t="str">
        <f t="shared" si="1"/>
        <v>Q4 11</v>
      </c>
      <c r="BR3" s="94" t="str">
        <f t="shared" si="1"/>
        <v>Q1 12</v>
      </c>
      <c r="BS3" s="94" t="str">
        <f t="shared" si="1"/>
        <v>Q2 12</v>
      </c>
      <c r="BT3" s="94" t="str">
        <f t="shared" si="1"/>
        <v>Q3 12</v>
      </c>
      <c r="BU3" s="94" t="str">
        <f t="shared" si="1"/>
        <v>Q4 12</v>
      </c>
      <c r="BV3" s="94" t="str">
        <f t="shared" si="1"/>
        <v>Q1 13</v>
      </c>
      <c r="BW3" s="94" t="str">
        <f t="shared" si="1"/>
        <v>Q2 13</v>
      </c>
      <c r="BX3" s="94" t="str">
        <f t="shared" si="1"/>
        <v>Q3 13</v>
      </c>
      <c r="BY3" s="94" t="str">
        <f t="shared" si="1"/>
        <v>Q4 13</v>
      </c>
      <c r="BZ3" s="94" t="str">
        <f t="shared" si="1"/>
        <v>Q1 14</v>
      </c>
      <c r="CA3" s="94" t="str">
        <f t="shared" si="1"/>
        <v>Q2 14</v>
      </c>
      <c r="CB3" s="94" t="str">
        <f t="shared" si="1"/>
        <v>Q3 14</v>
      </c>
      <c r="CC3" s="94" t="str">
        <f t="shared" si="1"/>
        <v>Q4 14</v>
      </c>
      <c r="CD3" s="94" t="str">
        <f t="shared" si="1"/>
        <v>Q1 15</v>
      </c>
    </row>
    <row r="4" spans="1:157" s="92" customFormat="1" ht="15" customHeight="1">
      <c r="A4" s="141" t="s">
        <v>557</v>
      </c>
      <c r="B4" s="96">
        <v>454.5</v>
      </c>
      <c r="C4" s="96">
        <v>529.6</v>
      </c>
      <c r="D4" s="96">
        <v>529.79999999999995</v>
      </c>
      <c r="E4" s="96">
        <v>82.2</v>
      </c>
      <c r="F4" s="96">
        <v>412.90000000000003</v>
      </c>
      <c r="G4" s="96">
        <v>417.20000000000005</v>
      </c>
      <c r="H4" s="96">
        <v>340.8</v>
      </c>
      <c r="I4" s="96">
        <v>345.3</v>
      </c>
      <c r="J4" s="96">
        <v>348.3</v>
      </c>
      <c r="K4" s="96">
        <v>352.2</v>
      </c>
      <c r="L4" s="96">
        <v>353</v>
      </c>
      <c r="M4" s="96">
        <v>702.4</v>
      </c>
      <c r="N4" s="96">
        <v>704.6</v>
      </c>
      <c r="O4" s="96">
        <v>706.5</v>
      </c>
      <c r="P4" s="96">
        <v>1070.7</v>
      </c>
      <c r="Q4" s="96">
        <v>1092.3</v>
      </c>
      <c r="R4" s="97">
        <f t="shared" ref="R4:Z4" si="2">+Q4+R27</f>
        <v>1122.3</v>
      </c>
      <c r="S4" s="97">
        <f t="shared" si="2"/>
        <v>1125.3</v>
      </c>
      <c r="T4" s="97">
        <f t="shared" si="2"/>
        <v>1128.3</v>
      </c>
      <c r="U4" s="97">
        <f t="shared" si="2"/>
        <v>1131.3</v>
      </c>
      <c r="V4" s="97">
        <f t="shared" si="2"/>
        <v>1134.3</v>
      </c>
      <c r="W4" s="97">
        <f t="shared" si="2"/>
        <v>1137.3</v>
      </c>
      <c r="X4" s="97">
        <f t="shared" si="2"/>
        <v>1140.3</v>
      </c>
      <c r="Y4" s="97">
        <f t="shared" si="2"/>
        <v>1143.3</v>
      </c>
      <c r="Z4" s="97">
        <f t="shared" si="2"/>
        <v>1146.3</v>
      </c>
      <c r="AA4" s="91"/>
      <c r="AB4" s="141" t="s">
        <v>557</v>
      </c>
      <c r="AC4" s="96">
        <v>454.5</v>
      </c>
      <c r="AD4" s="96">
        <v>455</v>
      </c>
      <c r="AE4" s="96">
        <v>455.7</v>
      </c>
      <c r="AF4" s="96">
        <v>528.79999999999995</v>
      </c>
      <c r="AG4" s="96">
        <v>529.6</v>
      </c>
      <c r="AH4" s="96">
        <v>529.70000000000005</v>
      </c>
      <c r="AI4" s="96">
        <v>529.79999999999995</v>
      </c>
      <c r="AJ4" s="96">
        <v>529.79999999999995</v>
      </c>
      <c r="AK4" s="96">
        <v>529.79999999999995</v>
      </c>
      <c r="AL4" s="96">
        <v>558.1</v>
      </c>
      <c r="AM4" s="96">
        <v>558.1</v>
      </c>
      <c r="AN4" s="96">
        <v>82.2</v>
      </c>
      <c r="AO4" s="96">
        <v>82.2</v>
      </c>
      <c r="AP4" s="96">
        <v>82.2</v>
      </c>
      <c r="AQ4" s="96">
        <v>81.7</v>
      </c>
      <c r="AR4" s="96">
        <v>411.4</v>
      </c>
      <c r="AS4" s="96">
        <v>412.90000000000003</v>
      </c>
      <c r="AT4" s="96">
        <v>413.8</v>
      </c>
      <c r="AU4" s="96">
        <v>414.5</v>
      </c>
      <c r="AV4" s="96">
        <v>415.8</v>
      </c>
      <c r="AW4" s="96">
        <v>417.20000000000005</v>
      </c>
      <c r="AX4" s="96">
        <v>418.2</v>
      </c>
      <c r="AY4" s="96">
        <v>419.79999999999995</v>
      </c>
      <c r="AZ4" s="96">
        <v>421</v>
      </c>
      <c r="BA4" s="96">
        <v>340.8</v>
      </c>
      <c r="BB4" s="96">
        <v>341.5</v>
      </c>
      <c r="BC4" s="96">
        <v>342.2</v>
      </c>
      <c r="BD4" s="96">
        <v>343.4</v>
      </c>
      <c r="BE4" s="96">
        <v>345.3</v>
      </c>
      <c r="BF4" s="96">
        <v>346.2</v>
      </c>
      <c r="BG4" s="96">
        <v>347</v>
      </c>
      <c r="BH4" s="96">
        <v>347.7</v>
      </c>
      <c r="BI4" s="96">
        <v>348.3</v>
      </c>
      <c r="BJ4" s="96">
        <v>348.5</v>
      </c>
      <c r="BK4" s="96">
        <v>349.8</v>
      </c>
      <c r="BL4" s="96">
        <v>350.7</v>
      </c>
      <c r="BM4" s="96">
        <v>352.2</v>
      </c>
      <c r="BN4" s="96">
        <v>352.5</v>
      </c>
      <c r="BO4" s="96">
        <v>352.6</v>
      </c>
      <c r="BP4" s="96">
        <v>353</v>
      </c>
      <c r="BQ4" s="96">
        <v>353</v>
      </c>
      <c r="BR4" s="96">
        <v>353</v>
      </c>
      <c r="BS4" s="96">
        <v>353.5</v>
      </c>
      <c r="BT4" s="96">
        <v>353.8</v>
      </c>
      <c r="BU4" s="96">
        <v>702.4</v>
      </c>
      <c r="BV4" s="96">
        <v>703</v>
      </c>
      <c r="BW4" s="96">
        <v>704.2</v>
      </c>
      <c r="BX4" s="96">
        <v>704.3</v>
      </c>
      <c r="BY4" s="96">
        <v>704.6</v>
      </c>
      <c r="BZ4" s="96">
        <v>704.7</v>
      </c>
      <c r="CA4" s="96">
        <v>704.8</v>
      </c>
      <c r="CB4" s="96">
        <v>705.6</v>
      </c>
      <c r="CC4" s="96">
        <v>706.5</v>
      </c>
      <c r="CD4" s="96">
        <v>706.9</v>
      </c>
      <c r="CE4" s="99"/>
      <c r="CF4" s="99"/>
      <c r="CH4" s="99"/>
      <c r="CI4" s="99"/>
      <c r="CJ4" s="99"/>
      <c r="CK4" s="99"/>
      <c r="CL4" s="99"/>
      <c r="CM4" s="99"/>
      <c r="CN4" s="99"/>
      <c r="CO4" s="99"/>
      <c r="CP4" s="99"/>
      <c r="CQ4" s="99"/>
      <c r="CR4" s="99"/>
      <c r="CS4" s="99"/>
      <c r="CT4" s="99"/>
      <c r="CU4" s="99"/>
      <c r="CV4" s="99"/>
      <c r="CW4" s="99"/>
      <c r="CX4" s="99"/>
      <c r="CY4" s="99"/>
      <c r="CZ4" s="99"/>
      <c r="DA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row>
    <row r="5" spans="1:157" s="92" customFormat="1" ht="15" customHeight="1">
      <c r="A5" s="141" t="s">
        <v>558</v>
      </c>
      <c r="B5" s="96">
        <v>17.2</v>
      </c>
      <c r="C5" s="96">
        <v>498.40000000000003</v>
      </c>
      <c r="D5" s="96">
        <v>501.3</v>
      </c>
      <c r="E5" s="96">
        <v>45.7</v>
      </c>
      <c r="F5" s="96">
        <v>376.40000000000003</v>
      </c>
      <c r="G5" s="96">
        <v>399.90000000000003</v>
      </c>
      <c r="H5" s="96">
        <v>340.8</v>
      </c>
      <c r="I5" s="96">
        <v>345.3</v>
      </c>
      <c r="J5" s="96">
        <v>348.3</v>
      </c>
      <c r="K5" s="96">
        <v>352.2</v>
      </c>
      <c r="L5" s="96">
        <v>353</v>
      </c>
      <c r="M5" s="96">
        <v>702.4</v>
      </c>
      <c r="N5" s="96">
        <v>704.6</v>
      </c>
      <c r="O5" s="96">
        <v>706.5</v>
      </c>
      <c r="P5" s="96">
        <f>P4</f>
        <v>1070.7</v>
      </c>
      <c r="Q5" s="96">
        <f>Q4</f>
        <v>1092.3</v>
      </c>
      <c r="R5" s="97">
        <f t="shared" ref="R5:Z5" si="3">+R4*R37</f>
        <v>1122.3</v>
      </c>
      <c r="S5" s="97">
        <f t="shared" si="3"/>
        <v>1125.3</v>
      </c>
      <c r="T5" s="97">
        <f t="shared" si="3"/>
        <v>1128.3</v>
      </c>
      <c r="U5" s="97">
        <f t="shared" si="3"/>
        <v>1131.3</v>
      </c>
      <c r="V5" s="97">
        <f t="shared" si="3"/>
        <v>1134.3</v>
      </c>
      <c r="W5" s="97">
        <f t="shared" si="3"/>
        <v>1137.3</v>
      </c>
      <c r="X5" s="97">
        <f t="shared" si="3"/>
        <v>1140.3</v>
      </c>
      <c r="Y5" s="97">
        <f t="shared" si="3"/>
        <v>1143.3</v>
      </c>
      <c r="Z5" s="97">
        <f t="shared" si="3"/>
        <v>1146.3</v>
      </c>
      <c r="AA5" s="91"/>
      <c r="AB5" s="141" t="s">
        <v>558</v>
      </c>
      <c r="AC5" s="96">
        <v>17.2</v>
      </c>
      <c r="AD5" s="96">
        <v>23.7</v>
      </c>
      <c r="AE5" s="96">
        <v>27.3</v>
      </c>
      <c r="AF5" s="96">
        <v>497.8</v>
      </c>
      <c r="AG5" s="96">
        <v>498.40000000000003</v>
      </c>
      <c r="AH5" s="96">
        <v>501</v>
      </c>
      <c r="AI5" s="96">
        <v>501.40000000000003</v>
      </c>
      <c r="AJ5" s="96">
        <v>501.6</v>
      </c>
      <c r="AK5" s="96">
        <v>501.3</v>
      </c>
      <c r="AL5" s="96">
        <v>521.6</v>
      </c>
      <c r="AM5" s="96">
        <v>521.6</v>
      </c>
      <c r="AN5" s="96">
        <v>45.7</v>
      </c>
      <c r="AO5" s="96">
        <v>45.7</v>
      </c>
      <c r="AP5" s="96">
        <v>45.4</v>
      </c>
      <c r="AQ5" s="96">
        <v>45.2</v>
      </c>
      <c r="AR5" s="96">
        <v>374.9</v>
      </c>
      <c r="AS5" s="96">
        <v>376.40000000000003</v>
      </c>
      <c r="AT5" s="96">
        <v>377.3</v>
      </c>
      <c r="AU5" s="96">
        <v>381.5</v>
      </c>
      <c r="AV5" s="96">
        <v>396.3</v>
      </c>
      <c r="AW5" s="96">
        <v>399.90000000000003</v>
      </c>
      <c r="AX5" s="96">
        <v>402.29999999999995</v>
      </c>
      <c r="AY5" s="96">
        <v>403.79999999999995</v>
      </c>
      <c r="AZ5" s="96">
        <v>405</v>
      </c>
      <c r="BA5" s="96">
        <v>340.8</v>
      </c>
      <c r="BB5" s="96">
        <v>341.5</v>
      </c>
      <c r="BC5" s="96">
        <v>342.2</v>
      </c>
      <c r="BD5" s="96">
        <v>343.4</v>
      </c>
      <c r="BE5" s="96">
        <v>345.3</v>
      </c>
      <c r="BF5" s="96">
        <v>346.2</v>
      </c>
      <c r="BG5" s="96">
        <v>347</v>
      </c>
      <c r="BH5" s="96">
        <v>347.7</v>
      </c>
      <c r="BI5" s="96">
        <v>348.3</v>
      </c>
      <c r="BJ5" s="96">
        <v>348.5</v>
      </c>
      <c r="BK5" s="96">
        <v>349.8</v>
      </c>
      <c r="BL5" s="96">
        <v>350.7</v>
      </c>
      <c r="BM5" s="96">
        <v>352.2</v>
      </c>
      <c r="BN5" s="96">
        <v>352.5</v>
      </c>
      <c r="BO5" s="96">
        <v>352.6</v>
      </c>
      <c r="BP5" s="96">
        <v>353</v>
      </c>
      <c r="BQ5" s="96">
        <v>353</v>
      </c>
      <c r="BR5" s="96">
        <v>353</v>
      </c>
      <c r="BS5" s="96">
        <v>353.5</v>
      </c>
      <c r="BT5" s="96">
        <v>353.8</v>
      </c>
      <c r="BU5" s="96">
        <v>702.4</v>
      </c>
      <c r="BV5" s="96">
        <v>703</v>
      </c>
      <c r="BW5" s="96">
        <v>704.2</v>
      </c>
      <c r="BX5" s="96">
        <v>704.3</v>
      </c>
      <c r="BY5" s="96">
        <v>704.6</v>
      </c>
      <c r="BZ5" s="96">
        <v>704.7</v>
      </c>
      <c r="CA5" s="96">
        <v>704.8</v>
      </c>
      <c r="CB5" s="96">
        <v>705.6</v>
      </c>
      <c r="CC5" s="96">
        <v>706.5</v>
      </c>
      <c r="CD5" s="96">
        <v>706.9</v>
      </c>
      <c r="CE5" s="99"/>
      <c r="CF5" s="99"/>
      <c r="CH5" s="99"/>
      <c r="CI5" s="99"/>
      <c r="CJ5" s="99"/>
      <c r="CK5" s="99"/>
      <c r="CL5" s="99"/>
      <c r="CM5" s="99"/>
      <c r="CN5" s="99"/>
      <c r="CO5" s="99"/>
      <c r="CP5" s="99"/>
      <c r="CQ5" s="99"/>
      <c r="CR5" s="99"/>
      <c r="CS5" s="99"/>
      <c r="CT5" s="99"/>
      <c r="CU5" s="99"/>
      <c r="CV5" s="99"/>
      <c r="CW5" s="99"/>
      <c r="CX5" s="99"/>
      <c r="CY5" s="99"/>
      <c r="CZ5" s="99"/>
      <c r="DA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row>
    <row r="6" spans="1:157" s="92" customFormat="1" ht="15" customHeight="1">
      <c r="A6" s="141" t="s">
        <v>559</v>
      </c>
      <c r="B6" s="96">
        <v>0</v>
      </c>
      <c r="C6" s="96">
        <v>0</v>
      </c>
      <c r="D6" s="96">
        <v>0</v>
      </c>
      <c r="E6" s="96">
        <v>29.3</v>
      </c>
      <c r="F6" s="96">
        <v>141.80000000000001</v>
      </c>
      <c r="G6" s="96">
        <v>154.80000000000001</v>
      </c>
      <c r="H6" s="96">
        <v>114.5</v>
      </c>
      <c r="I6" s="96">
        <v>120.6</v>
      </c>
      <c r="J6" s="96">
        <v>126.5</v>
      </c>
      <c r="K6" s="96">
        <v>120.7</v>
      </c>
      <c r="L6" s="96">
        <v>121.6</v>
      </c>
      <c r="M6" s="96">
        <v>270.8</v>
      </c>
      <c r="N6" s="96">
        <v>272.8</v>
      </c>
      <c r="O6" s="96">
        <v>281.60000000000002</v>
      </c>
      <c r="P6" s="96">
        <v>400.9</v>
      </c>
      <c r="Q6" s="96">
        <v>403.7</v>
      </c>
      <c r="R6" s="97">
        <f t="shared" ref="R6:Z6" si="4">+Q6+R28</f>
        <v>403.7</v>
      </c>
      <c r="S6" s="97">
        <f t="shared" si="4"/>
        <v>406.31299999999999</v>
      </c>
      <c r="T6" s="97">
        <f t="shared" si="4"/>
        <v>408.95213000000001</v>
      </c>
      <c r="U6" s="97">
        <f t="shared" si="4"/>
        <v>411.61765130000003</v>
      </c>
      <c r="V6" s="97">
        <f t="shared" si="4"/>
        <v>414.30982781300003</v>
      </c>
      <c r="W6" s="97">
        <f t="shared" si="4"/>
        <v>417.02892609113002</v>
      </c>
      <c r="X6" s="97">
        <f t="shared" si="4"/>
        <v>419.7752153520413</v>
      </c>
      <c r="Y6" s="97">
        <f t="shared" si="4"/>
        <v>422.54896750556173</v>
      </c>
      <c r="Z6" s="97">
        <f t="shared" si="4"/>
        <v>425.35045718061735</v>
      </c>
      <c r="AA6" s="91"/>
      <c r="AB6" s="141" t="s">
        <v>559</v>
      </c>
      <c r="AC6" s="96">
        <v>0</v>
      </c>
      <c r="AD6" s="96">
        <v>0</v>
      </c>
      <c r="AE6" s="96">
        <v>0</v>
      </c>
      <c r="AF6" s="96">
        <v>0</v>
      </c>
      <c r="AG6" s="96">
        <v>0</v>
      </c>
      <c r="AH6" s="96">
        <v>0</v>
      </c>
      <c r="AI6" s="96">
        <v>0</v>
      </c>
      <c r="AJ6" s="96">
        <v>0</v>
      </c>
      <c r="AK6" s="96">
        <v>0</v>
      </c>
      <c r="AL6" s="96">
        <v>0</v>
      </c>
      <c r="AM6" s="96">
        <v>0</v>
      </c>
      <c r="AN6" s="96">
        <v>0</v>
      </c>
      <c r="AO6" s="96">
        <v>29.3</v>
      </c>
      <c r="AP6" s="96">
        <v>28.799999999999997</v>
      </c>
      <c r="AQ6" s="96">
        <v>28.6</v>
      </c>
      <c r="AR6" s="96">
        <v>141.30000000000001</v>
      </c>
      <c r="AS6" s="96">
        <v>141.80000000000001</v>
      </c>
      <c r="AT6" s="96">
        <v>146.1</v>
      </c>
      <c r="AU6" s="96">
        <v>151.30000000000001</v>
      </c>
      <c r="AV6" s="96">
        <v>153.9</v>
      </c>
      <c r="AW6" s="96">
        <v>154.80000000000001</v>
      </c>
      <c r="AX6" s="96">
        <v>147</v>
      </c>
      <c r="AY6" s="96">
        <v>144.9</v>
      </c>
      <c r="AZ6" s="96">
        <v>144.20000000000002</v>
      </c>
      <c r="BA6" s="96">
        <v>114.5</v>
      </c>
      <c r="BB6" s="96">
        <v>116.8</v>
      </c>
      <c r="BC6" s="96">
        <v>116.3</v>
      </c>
      <c r="BD6" s="96">
        <v>119.3</v>
      </c>
      <c r="BE6" s="96">
        <v>120.6</v>
      </c>
      <c r="BF6" s="96">
        <v>125.6</v>
      </c>
      <c r="BG6" s="96">
        <v>128.6</v>
      </c>
      <c r="BH6" s="96">
        <v>129</v>
      </c>
      <c r="BI6" s="96">
        <v>126.5</v>
      </c>
      <c r="BJ6" s="96">
        <v>124.9</v>
      </c>
      <c r="BK6" s="96">
        <v>122.6</v>
      </c>
      <c r="BL6" s="96">
        <v>120.9</v>
      </c>
      <c r="BM6" s="96">
        <v>120.7</v>
      </c>
      <c r="BN6" s="96">
        <v>121.8</v>
      </c>
      <c r="BO6" s="96">
        <v>121.8</v>
      </c>
      <c r="BP6" s="96">
        <v>121.8</v>
      </c>
      <c r="BQ6" s="96">
        <v>121.6</v>
      </c>
      <c r="BR6" s="96">
        <v>122.7</v>
      </c>
      <c r="BS6" s="96">
        <v>123.6</v>
      </c>
      <c r="BT6" s="96">
        <v>124.7</v>
      </c>
      <c r="BU6" s="96">
        <v>270.8</v>
      </c>
      <c r="BV6" s="96">
        <v>273.2</v>
      </c>
      <c r="BW6" s="96">
        <v>272.10000000000002</v>
      </c>
      <c r="BX6" s="96">
        <v>271</v>
      </c>
      <c r="BY6" s="96">
        <v>272.8</v>
      </c>
      <c r="BZ6" s="96">
        <v>275.3</v>
      </c>
      <c r="CA6" s="96">
        <v>275.7</v>
      </c>
      <c r="CB6" s="96">
        <v>278.8</v>
      </c>
      <c r="CC6" s="96">
        <v>281.60000000000002</v>
      </c>
      <c r="CD6" s="96">
        <v>283.2</v>
      </c>
      <c r="CE6" s="99"/>
      <c r="CF6" s="99"/>
      <c r="CH6" s="99"/>
      <c r="CI6" s="99"/>
      <c r="CJ6" s="99"/>
      <c r="CK6" s="99"/>
      <c r="CL6" s="99"/>
      <c r="CM6" s="99"/>
      <c r="CN6" s="99"/>
      <c r="CO6" s="99"/>
      <c r="CP6" s="99"/>
      <c r="CQ6" s="99"/>
      <c r="CR6" s="99"/>
      <c r="CS6" s="99"/>
      <c r="CT6" s="99"/>
      <c r="CU6" s="99"/>
      <c r="CV6" s="99"/>
      <c r="CW6" s="99"/>
      <c r="CX6" s="99"/>
      <c r="CY6" s="99"/>
      <c r="CZ6" s="99"/>
      <c r="DA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row>
    <row r="7" spans="1:157" s="92" customFormat="1" ht="15" customHeight="1">
      <c r="A7" s="141" t="s">
        <v>560</v>
      </c>
      <c r="B7" s="96">
        <v>18.5</v>
      </c>
      <c r="C7" s="96">
        <v>11.5</v>
      </c>
      <c r="D7" s="96">
        <v>14.8</v>
      </c>
      <c r="E7" s="96">
        <v>12.4</v>
      </c>
      <c r="F7" s="96">
        <v>67.5</v>
      </c>
      <c r="G7" s="96">
        <v>11.1</v>
      </c>
      <c r="H7" s="96">
        <v>0</v>
      </c>
      <c r="I7" s="96">
        <v>0</v>
      </c>
      <c r="J7" s="96">
        <v>0</v>
      </c>
      <c r="K7" s="96">
        <v>0</v>
      </c>
      <c r="L7" s="96">
        <v>0</v>
      </c>
      <c r="M7" s="96">
        <v>0</v>
      </c>
      <c r="N7" s="96">
        <v>0</v>
      </c>
      <c r="O7" s="96">
        <v>0</v>
      </c>
      <c r="P7" s="96">
        <v>0</v>
      </c>
      <c r="Q7" s="96">
        <v>0</v>
      </c>
      <c r="R7" s="97">
        <f t="shared" ref="R7:Z7" si="5">+(1-R38)*R10</f>
        <v>0</v>
      </c>
      <c r="S7" s="97">
        <f t="shared" si="5"/>
        <v>0</v>
      </c>
      <c r="T7" s="97">
        <f t="shared" si="5"/>
        <v>0</v>
      </c>
      <c r="U7" s="97">
        <f t="shared" si="5"/>
        <v>0</v>
      </c>
      <c r="V7" s="97">
        <f t="shared" si="5"/>
        <v>0</v>
      </c>
      <c r="W7" s="97">
        <f t="shared" si="5"/>
        <v>0</v>
      </c>
      <c r="X7" s="97">
        <f t="shared" si="5"/>
        <v>0</v>
      </c>
      <c r="Y7" s="97">
        <f t="shared" si="5"/>
        <v>0</v>
      </c>
      <c r="Z7" s="97">
        <f t="shared" si="5"/>
        <v>0</v>
      </c>
      <c r="AA7" s="91"/>
      <c r="AB7" s="141" t="s">
        <v>560</v>
      </c>
      <c r="AC7" s="96">
        <v>18.5</v>
      </c>
      <c r="AD7" s="96">
        <v>10.9</v>
      </c>
      <c r="AE7" s="96">
        <v>11.7</v>
      </c>
      <c r="AF7" s="96">
        <v>11.5</v>
      </c>
      <c r="AG7" s="96">
        <v>11.5</v>
      </c>
      <c r="AH7" s="96">
        <v>13.3</v>
      </c>
      <c r="AI7" s="96">
        <v>14.2</v>
      </c>
      <c r="AJ7" s="96">
        <v>14.4</v>
      </c>
      <c r="AK7" s="96">
        <v>14.8</v>
      </c>
      <c r="AL7" s="96">
        <v>15.2</v>
      </c>
      <c r="AM7" s="96">
        <v>15.2</v>
      </c>
      <c r="AN7" s="96">
        <v>15</v>
      </c>
      <c r="AO7" s="96">
        <v>12.4</v>
      </c>
      <c r="AP7" s="96">
        <v>12.3</v>
      </c>
      <c r="AQ7" s="96">
        <v>12.3</v>
      </c>
      <c r="AR7" s="96">
        <v>72.100000000000009</v>
      </c>
      <c r="AS7" s="96">
        <v>67.5</v>
      </c>
      <c r="AT7" s="96">
        <v>43.599999999999994</v>
      </c>
      <c r="AU7" s="96">
        <v>10.9</v>
      </c>
      <c r="AV7" s="96">
        <v>11</v>
      </c>
      <c r="AW7" s="96">
        <v>11.1</v>
      </c>
      <c r="AX7" s="96">
        <v>11.2</v>
      </c>
      <c r="AY7" s="96">
        <v>11.3</v>
      </c>
      <c r="AZ7" s="96">
        <v>11.5</v>
      </c>
      <c r="BA7" s="96">
        <v>0</v>
      </c>
      <c r="BB7" s="96">
        <v>0</v>
      </c>
      <c r="BC7" s="96">
        <v>0</v>
      </c>
      <c r="BD7" s="96">
        <v>0</v>
      </c>
      <c r="BE7" s="96">
        <v>0</v>
      </c>
      <c r="BF7" s="96">
        <v>0</v>
      </c>
      <c r="BG7" s="96">
        <v>0</v>
      </c>
      <c r="BH7" s="96">
        <v>0</v>
      </c>
      <c r="BI7" s="96">
        <v>0</v>
      </c>
      <c r="BJ7" s="96">
        <v>0</v>
      </c>
      <c r="BK7" s="96">
        <v>0</v>
      </c>
      <c r="BL7" s="96">
        <v>0</v>
      </c>
      <c r="BM7" s="96">
        <v>0</v>
      </c>
      <c r="BN7" s="96">
        <v>0</v>
      </c>
      <c r="BO7" s="96">
        <v>0</v>
      </c>
      <c r="BP7" s="96">
        <v>0</v>
      </c>
      <c r="BQ7" s="96">
        <v>0</v>
      </c>
      <c r="BR7" s="96">
        <v>0</v>
      </c>
      <c r="BS7" s="96">
        <v>0</v>
      </c>
      <c r="BT7" s="96">
        <v>0</v>
      </c>
      <c r="BU7" s="96">
        <v>0</v>
      </c>
      <c r="BV7" s="96">
        <v>0</v>
      </c>
      <c r="BW7" s="96">
        <v>0</v>
      </c>
      <c r="BX7" s="96">
        <v>0</v>
      </c>
      <c r="BY7" s="96">
        <v>0</v>
      </c>
      <c r="BZ7" s="96">
        <v>0</v>
      </c>
      <c r="CA7" s="96">
        <v>0</v>
      </c>
      <c r="CB7" s="96">
        <v>0</v>
      </c>
      <c r="CC7" s="96">
        <v>0</v>
      </c>
      <c r="CD7" s="96">
        <v>0</v>
      </c>
      <c r="CE7" s="99"/>
      <c r="CF7" s="99"/>
      <c r="CH7" s="99"/>
      <c r="CI7" s="99"/>
      <c r="CJ7" s="99"/>
      <c r="CK7" s="99"/>
      <c r="CL7" s="99"/>
      <c r="CM7" s="99"/>
      <c r="CN7" s="99"/>
      <c r="CO7" s="99"/>
      <c r="CP7" s="99"/>
      <c r="CQ7" s="99"/>
      <c r="CR7" s="99"/>
      <c r="CS7" s="99"/>
      <c r="CT7" s="99"/>
      <c r="CU7" s="99"/>
      <c r="CV7" s="99"/>
      <c r="CW7" s="99"/>
      <c r="CX7" s="99"/>
      <c r="CY7" s="99"/>
      <c r="CZ7" s="99"/>
      <c r="DA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row>
    <row r="8" spans="1:157" s="92" customFormat="1" ht="15" customHeight="1">
      <c r="A8" s="141" t="s">
        <v>561</v>
      </c>
      <c r="B8" s="96">
        <v>7.3</v>
      </c>
      <c r="C8" s="96">
        <v>8.9</v>
      </c>
      <c r="D8" s="96">
        <v>6.5</v>
      </c>
      <c r="E8" s="96">
        <v>0</v>
      </c>
      <c r="F8" s="96">
        <v>55.6</v>
      </c>
      <c r="G8" s="96">
        <v>108.3</v>
      </c>
      <c r="H8" s="96">
        <v>85.2</v>
      </c>
      <c r="I8" s="96">
        <v>83.8</v>
      </c>
      <c r="J8" s="96">
        <v>87.5</v>
      </c>
      <c r="K8" s="96">
        <v>81.3</v>
      </c>
      <c r="L8" s="96">
        <v>79.099999999999994</v>
      </c>
      <c r="M8" s="96">
        <v>205.9</v>
      </c>
      <c r="N8" s="96">
        <v>210.5</v>
      </c>
      <c r="O8" s="96">
        <v>219.9</v>
      </c>
      <c r="P8" s="96">
        <v>263.89999999999998</v>
      </c>
      <c r="Q8" s="96">
        <v>261.3</v>
      </c>
      <c r="R8" s="97">
        <f t="shared" ref="R8:Z8" si="6">+R10-R7-R9</f>
        <v>261.3</v>
      </c>
      <c r="S8" s="97">
        <f t="shared" si="6"/>
        <v>263.91300000000001</v>
      </c>
      <c r="T8" s="97">
        <f t="shared" si="6"/>
        <v>266.55213000000003</v>
      </c>
      <c r="U8" s="97">
        <f t="shared" si="6"/>
        <v>269.21765130000006</v>
      </c>
      <c r="V8" s="97">
        <f t="shared" si="6"/>
        <v>271.90982781300005</v>
      </c>
      <c r="W8" s="97">
        <f t="shared" si="6"/>
        <v>274.62892609113004</v>
      </c>
      <c r="X8" s="97">
        <f t="shared" si="6"/>
        <v>277.37521535204132</v>
      </c>
      <c r="Y8" s="97">
        <f t="shared" si="6"/>
        <v>280.14896750556176</v>
      </c>
      <c r="Z8" s="97">
        <f t="shared" si="6"/>
        <v>282.95045718061738</v>
      </c>
      <c r="AA8" s="91"/>
      <c r="AB8" s="141" t="s">
        <v>561</v>
      </c>
      <c r="AC8" s="96">
        <v>7.3</v>
      </c>
      <c r="AD8" s="96">
        <v>8.3000000000000007</v>
      </c>
      <c r="AE8" s="96">
        <v>8.5</v>
      </c>
      <c r="AF8" s="96">
        <v>8.8000000000000007</v>
      </c>
      <c r="AG8" s="96">
        <v>8.9</v>
      </c>
      <c r="AH8" s="96">
        <v>8</v>
      </c>
      <c r="AI8" s="96">
        <v>7.3</v>
      </c>
      <c r="AJ8" s="96">
        <v>6.9</v>
      </c>
      <c r="AK8" s="96">
        <v>6.5</v>
      </c>
      <c r="AL8" s="96">
        <v>6.4</v>
      </c>
      <c r="AM8" s="96">
        <v>6.3</v>
      </c>
      <c r="AN8" s="96">
        <v>6.4</v>
      </c>
      <c r="AO8" s="96">
        <v>0</v>
      </c>
      <c r="AP8" s="96">
        <v>0</v>
      </c>
      <c r="AQ8" s="96">
        <v>0</v>
      </c>
      <c r="AR8" s="96">
        <v>51.4</v>
      </c>
      <c r="AS8" s="96">
        <v>55.6</v>
      </c>
      <c r="AT8" s="96">
        <v>76.599999999999994</v>
      </c>
      <c r="AU8" s="96">
        <v>108.7</v>
      </c>
      <c r="AV8" s="96">
        <v>110.2</v>
      </c>
      <c r="AW8" s="96">
        <v>108.3</v>
      </c>
      <c r="AX8" s="96">
        <v>99.2</v>
      </c>
      <c r="AY8" s="96">
        <v>93.6</v>
      </c>
      <c r="AZ8" s="96">
        <v>89.1</v>
      </c>
      <c r="BA8" s="96">
        <v>85.2</v>
      </c>
      <c r="BB8" s="96">
        <v>85.1</v>
      </c>
      <c r="BC8" s="96">
        <v>84.8</v>
      </c>
      <c r="BD8" s="96">
        <v>82.8</v>
      </c>
      <c r="BE8" s="96">
        <v>83.8</v>
      </c>
      <c r="BF8" s="96">
        <v>86.5</v>
      </c>
      <c r="BG8" s="96">
        <v>90.6</v>
      </c>
      <c r="BH8" s="96">
        <v>90.3</v>
      </c>
      <c r="BI8" s="96">
        <v>87.5</v>
      </c>
      <c r="BJ8" s="96">
        <v>86</v>
      </c>
      <c r="BK8" s="96">
        <v>84.8</v>
      </c>
      <c r="BL8" s="96">
        <v>82.2</v>
      </c>
      <c r="BM8" s="96">
        <v>81.3</v>
      </c>
      <c r="BN8" s="96">
        <v>80.8</v>
      </c>
      <c r="BO8" s="96">
        <v>80.599999999999994</v>
      </c>
      <c r="BP8" s="96">
        <v>79.900000000000006</v>
      </c>
      <c r="BQ8" s="96">
        <v>79.099999999999994</v>
      </c>
      <c r="BR8" s="96">
        <v>79.3</v>
      </c>
      <c r="BS8" s="96">
        <v>79.8</v>
      </c>
      <c r="BT8" s="96">
        <v>80.400000000000006</v>
      </c>
      <c r="BU8" s="96">
        <v>205.9</v>
      </c>
      <c r="BV8" s="96">
        <v>205.4</v>
      </c>
      <c r="BW8" s="96">
        <v>206.8</v>
      </c>
      <c r="BX8" s="96">
        <v>209</v>
      </c>
      <c r="BY8" s="96">
        <v>210.5</v>
      </c>
      <c r="BZ8" s="96">
        <v>214.2</v>
      </c>
      <c r="CA8" s="96">
        <v>215.4</v>
      </c>
      <c r="CB8" s="96">
        <v>217.9</v>
      </c>
      <c r="CC8" s="96">
        <v>219.9</v>
      </c>
      <c r="CD8" s="96">
        <v>220.4</v>
      </c>
      <c r="CE8" s="99"/>
      <c r="CF8" s="99"/>
      <c r="CH8" s="99"/>
      <c r="CI8" s="99"/>
      <c r="CJ8" s="99"/>
      <c r="CK8" s="99"/>
      <c r="CL8" s="99"/>
      <c r="CM8" s="99"/>
      <c r="CN8" s="99"/>
      <c r="CO8" s="99"/>
      <c r="CP8" s="99"/>
      <c r="CQ8" s="99"/>
      <c r="CR8" s="99"/>
      <c r="CS8" s="99"/>
      <c r="CT8" s="99"/>
      <c r="CU8" s="99"/>
      <c r="CV8" s="99"/>
      <c r="CW8" s="99"/>
      <c r="CX8" s="99"/>
      <c r="CY8" s="99"/>
      <c r="CZ8" s="99"/>
      <c r="DA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row>
    <row r="9" spans="1:157" s="92" customFormat="1" ht="15" customHeight="1">
      <c r="A9" s="141" t="s">
        <v>562</v>
      </c>
      <c r="B9" s="96">
        <v>0</v>
      </c>
      <c r="C9" s="96">
        <v>0</v>
      </c>
      <c r="D9" s="96">
        <v>0</v>
      </c>
      <c r="E9" s="96">
        <v>0</v>
      </c>
      <c r="F9" s="96">
        <v>0</v>
      </c>
      <c r="G9" s="96">
        <v>15</v>
      </c>
      <c r="H9" s="96">
        <v>15</v>
      </c>
      <c r="I9" s="96">
        <v>15</v>
      </c>
      <c r="J9" s="96">
        <v>15</v>
      </c>
      <c r="K9" s="96">
        <v>0</v>
      </c>
      <c r="L9" s="96">
        <v>0</v>
      </c>
      <c r="M9" s="96">
        <v>0</v>
      </c>
      <c r="N9" s="96">
        <v>0</v>
      </c>
      <c r="O9" s="96">
        <v>0</v>
      </c>
      <c r="P9" s="96">
        <v>0</v>
      </c>
      <c r="Q9" s="96">
        <v>0</v>
      </c>
      <c r="R9" s="97">
        <f t="shared" ref="R9:Z9" si="7">+Q9+R31</f>
        <v>0</v>
      </c>
      <c r="S9" s="97">
        <f t="shared" si="7"/>
        <v>0</v>
      </c>
      <c r="T9" s="97">
        <f t="shared" si="7"/>
        <v>0</v>
      </c>
      <c r="U9" s="97">
        <f t="shared" si="7"/>
        <v>0</v>
      </c>
      <c r="V9" s="97">
        <f t="shared" si="7"/>
        <v>0</v>
      </c>
      <c r="W9" s="97">
        <f t="shared" si="7"/>
        <v>0</v>
      </c>
      <c r="X9" s="97">
        <f t="shared" si="7"/>
        <v>0</v>
      </c>
      <c r="Y9" s="97">
        <f t="shared" si="7"/>
        <v>0</v>
      </c>
      <c r="Z9" s="97">
        <f t="shared" si="7"/>
        <v>0</v>
      </c>
      <c r="AA9" s="91"/>
      <c r="AB9" s="141" t="s">
        <v>562</v>
      </c>
      <c r="AC9" s="96">
        <v>0</v>
      </c>
      <c r="AD9" s="96">
        <v>0</v>
      </c>
      <c r="AE9" s="96">
        <v>0</v>
      </c>
      <c r="AF9" s="96">
        <v>0</v>
      </c>
      <c r="AG9" s="96">
        <v>0</v>
      </c>
      <c r="AH9" s="96">
        <v>0</v>
      </c>
      <c r="AI9" s="96">
        <v>0</v>
      </c>
      <c r="AJ9" s="96">
        <v>0</v>
      </c>
      <c r="AK9" s="96">
        <v>0</v>
      </c>
      <c r="AL9" s="96">
        <v>0</v>
      </c>
      <c r="AM9" s="96">
        <v>0</v>
      </c>
      <c r="AN9" s="96">
        <v>0</v>
      </c>
      <c r="AO9" s="96">
        <v>0</v>
      </c>
      <c r="AP9" s="96">
        <v>0</v>
      </c>
      <c r="AQ9" s="96">
        <v>0</v>
      </c>
      <c r="AR9" s="96">
        <v>0</v>
      </c>
      <c r="AS9" s="96">
        <v>0</v>
      </c>
      <c r="AT9" s="96">
        <v>15.1</v>
      </c>
      <c r="AU9" s="96">
        <v>15.1</v>
      </c>
      <c r="AV9" s="96">
        <v>15.1</v>
      </c>
      <c r="AW9" s="96">
        <v>15</v>
      </c>
      <c r="AX9" s="96">
        <v>14.7</v>
      </c>
      <c r="AY9" s="96">
        <v>14.5</v>
      </c>
      <c r="AZ9" s="96">
        <v>14.3</v>
      </c>
      <c r="BA9" s="96">
        <v>15</v>
      </c>
      <c r="BB9" s="96">
        <v>0</v>
      </c>
      <c r="BC9" s="96">
        <v>0</v>
      </c>
      <c r="BD9" s="96">
        <v>0</v>
      </c>
      <c r="BE9" s="96">
        <v>15</v>
      </c>
      <c r="BF9" s="96">
        <v>15</v>
      </c>
      <c r="BG9" s="96">
        <v>0</v>
      </c>
      <c r="BH9" s="96">
        <v>0</v>
      </c>
      <c r="BI9" s="96">
        <v>15</v>
      </c>
      <c r="BJ9" s="96">
        <v>0</v>
      </c>
      <c r="BK9" s="96">
        <v>0</v>
      </c>
      <c r="BL9" s="96">
        <v>0</v>
      </c>
      <c r="BM9" s="96">
        <v>0</v>
      </c>
      <c r="BN9" s="96">
        <v>0</v>
      </c>
      <c r="BO9" s="96">
        <v>0</v>
      </c>
      <c r="BP9" s="96">
        <v>0</v>
      </c>
      <c r="BQ9" s="96">
        <v>0</v>
      </c>
      <c r="BR9" s="96">
        <v>0</v>
      </c>
      <c r="BS9" s="96">
        <v>0</v>
      </c>
      <c r="BT9" s="96">
        <v>0</v>
      </c>
      <c r="BU9" s="96">
        <v>0</v>
      </c>
      <c r="BV9" s="96">
        <v>0</v>
      </c>
      <c r="BW9" s="96">
        <v>0</v>
      </c>
      <c r="BX9" s="96">
        <v>0</v>
      </c>
      <c r="BY9" s="96">
        <v>0</v>
      </c>
      <c r="BZ9" s="96">
        <v>0</v>
      </c>
      <c r="CA9" s="96">
        <v>0</v>
      </c>
      <c r="CB9" s="96">
        <v>0</v>
      </c>
      <c r="CC9" s="96">
        <v>0</v>
      </c>
      <c r="CD9" s="96">
        <v>0</v>
      </c>
      <c r="CE9" s="99"/>
      <c r="CF9" s="99"/>
      <c r="CH9" s="99"/>
      <c r="CI9" s="99"/>
      <c r="CJ9" s="99"/>
      <c r="CK9" s="99"/>
      <c r="CL9" s="99"/>
      <c r="CM9" s="99"/>
      <c r="CN9" s="99"/>
      <c r="CO9" s="99"/>
      <c r="CP9" s="99"/>
      <c r="CQ9" s="99"/>
      <c r="CR9" s="99"/>
      <c r="CS9" s="99"/>
      <c r="CT9" s="99"/>
      <c r="CU9" s="99"/>
      <c r="CV9" s="99"/>
      <c r="CW9" s="99"/>
      <c r="CX9" s="99"/>
      <c r="CY9" s="99"/>
      <c r="CZ9" s="99"/>
      <c r="DA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row>
    <row r="10" spans="1:157" s="92" customFormat="1" ht="15" customHeight="1">
      <c r="A10" s="141" t="s">
        <v>563</v>
      </c>
      <c r="B10" s="96">
        <v>25.8</v>
      </c>
      <c r="C10" s="96">
        <v>20.399999999999999</v>
      </c>
      <c r="D10" s="96">
        <v>21.3</v>
      </c>
      <c r="E10" s="96">
        <v>12.4</v>
      </c>
      <c r="F10" s="96">
        <v>123.1</v>
      </c>
      <c r="G10" s="96">
        <v>134.4</v>
      </c>
      <c r="H10" s="96">
        <v>100.2</v>
      </c>
      <c r="I10" s="96">
        <v>98.8</v>
      </c>
      <c r="J10" s="96">
        <v>102.5</v>
      </c>
      <c r="K10" s="96">
        <v>81.3</v>
      </c>
      <c r="L10" s="96">
        <v>79.099999999999994</v>
      </c>
      <c r="M10" s="96">
        <v>205.9</v>
      </c>
      <c r="N10" s="96">
        <v>210.5</v>
      </c>
      <c r="O10" s="96">
        <v>219.9</v>
      </c>
      <c r="P10" s="96">
        <v>263.89999999999998</v>
      </c>
      <c r="Q10" s="96">
        <v>261.3</v>
      </c>
      <c r="R10" s="97">
        <f t="shared" ref="R10:Z10" si="8">+Q10*(1+R43)</f>
        <v>261.3</v>
      </c>
      <c r="S10" s="97">
        <f t="shared" si="8"/>
        <v>263.91300000000001</v>
      </c>
      <c r="T10" s="97">
        <f t="shared" si="8"/>
        <v>266.55213000000003</v>
      </c>
      <c r="U10" s="97">
        <f t="shared" si="8"/>
        <v>269.21765130000006</v>
      </c>
      <c r="V10" s="97">
        <f t="shared" si="8"/>
        <v>271.90982781300005</v>
      </c>
      <c r="W10" s="97">
        <f t="shared" si="8"/>
        <v>274.62892609113004</v>
      </c>
      <c r="X10" s="97">
        <f t="shared" si="8"/>
        <v>277.37521535204132</v>
      </c>
      <c r="Y10" s="97">
        <f t="shared" si="8"/>
        <v>280.14896750556176</v>
      </c>
      <c r="Z10" s="97">
        <f t="shared" si="8"/>
        <v>282.95045718061738</v>
      </c>
      <c r="AA10" s="91"/>
      <c r="AB10" s="141" t="s">
        <v>563</v>
      </c>
      <c r="AC10" s="96">
        <v>25.8</v>
      </c>
      <c r="AD10" s="96">
        <v>19.200000000000003</v>
      </c>
      <c r="AE10" s="96">
        <v>20.2</v>
      </c>
      <c r="AF10" s="96">
        <v>20.3</v>
      </c>
      <c r="AG10" s="96">
        <v>20.399999999999999</v>
      </c>
      <c r="AH10" s="96">
        <v>21.3</v>
      </c>
      <c r="AI10" s="96">
        <v>21.5</v>
      </c>
      <c r="AJ10" s="96">
        <v>21.3</v>
      </c>
      <c r="AK10" s="96">
        <v>21.3</v>
      </c>
      <c r="AL10" s="96">
        <v>21.6</v>
      </c>
      <c r="AM10" s="96">
        <v>21.5</v>
      </c>
      <c r="AN10" s="96">
        <v>21.4</v>
      </c>
      <c r="AO10" s="96">
        <v>12.4</v>
      </c>
      <c r="AP10" s="96">
        <v>12.3</v>
      </c>
      <c r="AQ10" s="96">
        <v>12.3</v>
      </c>
      <c r="AR10" s="96">
        <v>123.5</v>
      </c>
      <c r="AS10" s="96">
        <v>123.1</v>
      </c>
      <c r="AT10" s="96">
        <v>135.29999999999998</v>
      </c>
      <c r="AU10" s="96">
        <v>134.69999999999999</v>
      </c>
      <c r="AV10" s="96">
        <v>136.30000000000001</v>
      </c>
      <c r="AW10" s="96">
        <v>134.4</v>
      </c>
      <c r="AX10" s="96">
        <v>125.10000000000001</v>
      </c>
      <c r="AY10" s="96">
        <v>119.39999999999999</v>
      </c>
      <c r="AZ10" s="96">
        <v>114.89999999999999</v>
      </c>
      <c r="BA10" s="96">
        <v>100.2</v>
      </c>
      <c r="BB10" s="96">
        <v>85.1</v>
      </c>
      <c r="BC10" s="96">
        <v>84.8</v>
      </c>
      <c r="BD10" s="96">
        <v>82.8</v>
      </c>
      <c r="BE10" s="96">
        <v>98.8</v>
      </c>
      <c r="BF10" s="96">
        <v>101.5</v>
      </c>
      <c r="BG10" s="96">
        <v>90.6</v>
      </c>
      <c r="BH10" s="96">
        <v>90.3</v>
      </c>
      <c r="BI10" s="96">
        <v>102.5</v>
      </c>
      <c r="BJ10" s="96">
        <v>86</v>
      </c>
      <c r="BK10" s="96">
        <v>84.8</v>
      </c>
      <c r="BL10" s="96">
        <v>82.2</v>
      </c>
      <c r="BM10" s="96">
        <v>81.3</v>
      </c>
      <c r="BN10" s="96">
        <v>80.8</v>
      </c>
      <c r="BO10" s="96">
        <v>80.599999999999994</v>
      </c>
      <c r="BP10" s="96">
        <v>79.900000000000006</v>
      </c>
      <c r="BQ10" s="96">
        <v>79.099999999999994</v>
      </c>
      <c r="BR10" s="96">
        <v>79.3</v>
      </c>
      <c r="BS10" s="96">
        <v>79.8</v>
      </c>
      <c r="BT10" s="96">
        <v>80.400000000000006</v>
      </c>
      <c r="BU10" s="96">
        <v>205.9</v>
      </c>
      <c r="BV10" s="96">
        <v>205.4</v>
      </c>
      <c r="BW10" s="96">
        <v>206.8</v>
      </c>
      <c r="BX10" s="96">
        <v>209</v>
      </c>
      <c r="BY10" s="96">
        <v>210.5</v>
      </c>
      <c r="BZ10" s="96">
        <v>214.2</v>
      </c>
      <c r="CA10" s="96">
        <v>215.4</v>
      </c>
      <c r="CB10" s="96">
        <v>217.9</v>
      </c>
      <c r="CC10" s="96">
        <v>219.9</v>
      </c>
      <c r="CD10" s="96">
        <v>220.4</v>
      </c>
      <c r="CE10" s="99"/>
      <c r="CF10" s="99"/>
      <c r="CH10" s="99"/>
      <c r="CI10" s="99"/>
      <c r="CJ10" s="99"/>
      <c r="CK10" s="99"/>
      <c r="CL10" s="99"/>
      <c r="CM10" s="99"/>
      <c r="CN10" s="99"/>
      <c r="CO10" s="99"/>
      <c r="CP10" s="99"/>
      <c r="CQ10" s="99"/>
      <c r="CR10" s="99"/>
      <c r="CS10" s="99"/>
      <c r="CT10" s="99"/>
      <c r="CU10" s="99"/>
      <c r="CV10" s="99"/>
      <c r="CW10" s="99"/>
      <c r="CX10" s="99"/>
      <c r="CY10" s="99"/>
      <c r="CZ10" s="99"/>
      <c r="DA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row>
    <row r="11" spans="1:157" s="92" customFormat="1" ht="15" customHeight="1">
      <c r="A11" s="141" t="s">
        <v>564</v>
      </c>
      <c r="B11" s="96">
        <v>0.6</v>
      </c>
      <c r="C11" s="96">
        <v>2.6</v>
      </c>
      <c r="D11" s="96">
        <v>3.9000000000000004</v>
      </c>
      <c r="E11" s="96">
        <v>4.3000000000000007</v>
      </c>
      <c r="F11" s="96">
        <v>36.799999999999997</v>
      </c>
      <c r="G11" s="96">
        <v>52.699999999999996</v>
      </c>
      <c r="H11" s="96">
        <v>58</v>
      </c>
      <c r="I11" s="96">
        <v>68.7</v>
      </c>
      <c r="J11" s="96">
        <v>77.3</v>
      </c>
      <c r="K11" s="96">
        <v>81.3</v>
      </c>
      <c r="L11" s="96">
        <v>86.2</v>
      </c>
      <c r="M11" s="96">
        <v>179</v>
      </c>
      <c r="N11" s="96">
        <v>192.2</v>
      </c>
      <c r="O11" s="96">
        <v>210.3</v>
      </c>
      <c r="P11" s="96">
        <v>319</v>
      </c>
      <c r="Q11" s="96">
        <v>329</v>
      </c>
      <c r="R11" s="97">
        <f t="shared" ref="R11:Z13" si="9">+Q11+R33</f>
        <v>344</v>
      </c>
      <c r="S11" s="97">
        <f t="shared" si="9"/>
        <v>359</v>
      </c>
      <c r="T11" s="97">
        <f t="shared" si="9"/>
        <v>374</v>
      </c>
      <c r="U11" s="97">
        <f t="shared" si="9"/>
        <v>389</v>
      </c>
      <c r="V11" s="97">
        <f t="shared" si="9"/>
        <v>404</v>
      </c>
      <c r="W11" s="97">
        <f t="shared" si="9"/>
        <v>419</v>
      </c>
      <c r="X11" s="97">
        <f t="shared" si="9"/>
        <v>434</v>
      </c>
      <c r="Y11" s="97">
        <f t="shared" si="9"/>
        <v>449</v>
      </c>
      <c r="Z11" s="97">
        <f t="shared" si="9"/>
        <v>464</v>
      </c>
      <c r="AA11" s="91"/>
      <c r="AB11" s="141" t="s">
        <v>564</v>
      </c>
      <c r="AC11" s="96">
        <v>0.6</v>
      </c>
      <c r="AD11" s="96">
        <v>1.3</v>
      </c>
      <c r="AE11" s="96">
        <v>1.7000000000000002</v>
      </c>
      <c r="AF11" s="96">
        <v>2.2000000000000002</v>
      </c>
      <c r="AG11" s="96">
        <v>2.6</v>
      </c>
      <c r="AH11" s="96">
        <v>2.8</v>
      </c>
      <c r="AI11" s="96">
        <v>3.1999999999999997</v>
      </c>
      <c r="AJ11" s="96">
        <v>3.8</v>
      </c>
      <c r="AK11" s="96">
        <v>3.9000000000000004</v>
      </c>
      <c r="AL11" s="96">
        <v>3.5999999999999996</v>
      </c>
      <c r="AM11" s="96">
        <v>3.9</v>
      </c>
      <c r="AN11" s="96">
        <v>4.0999999999999996</v>
      </c>
      <c r="AO11" s="96">
        <v>4.3000000000000007</v>
      </c>
      <c r="AP11" s="96">
        <v>4.4000000000000004</v>
      </c>
      <c r="AQ11" s="96">
        <v>4.5</v>
      </c>
      <c r="AR11" s="96">
        <v>33.799999999999997</v>
      </c>
      <c r="AS11" s="96">
        <v>36.799999999999997</v>
      </c>
      <c r="AT11" s="96">
        <v>40.9</v>
      </c>
      <c r="AU11" s="96">
        <v>43.199999999999996</v>
      </c>
      <c r="AV11" s="96">
        <v>48.7</v>
      </c>
      <c r="AW11" s="96">
        <v>52.699999999999996</v>
      </c>
      <c r="AX11" s="96">
        <v>54.800000000000004</v>
      </c>
      <c r="AY11" s="96">
        <v>58</v>
      </c>
      <c r="AZ11" s="96">
        <v>62.300000000000004</v>
      </c>
      <c r="BA11" s="96">
        <v>58</v>
      </c>
      <c r="BB11" s="96">
        <v>62</v>
      </c>
      <c r="BC11" s="96">
        <v>64.099999999999994</v>
      </c>
      <c r="BD11" s="96">
        <v>66.7</v>
      </c>
      <c r="BE11" s="96">
        <v>68.7</v>
      </c>
      <c r="BF11" s="96">
        <v>73.2</v>
      </c>
      <c r="BG11" s="96">
        <v>74.400000000000006</v>
      </c>
      <c r="BH11" s="96">
        <v>76.599999999999994</v>
      </c>
      <c r="BI11" s="96">
        <v>77.3</v>
      </c>
      <c r="BJ11" s="96">
        <v>78.400000000000006</v>
      </c>
      <c r="BK11" s="96">
        <v>78.7</v>
      </c>
      <c r="BL11" s="96">
        <v>79.7</v>
      </c>
      <c r="BM11" s="96">
        <v>81.3</v>
      </c>
      <c r="BN11" s="96">
        <v>83.5</v>
      </c>
      <c r="BO11" s="96">
        <v>84.5</v>
      </c>
      <c r="BP11" s="96">
        <v>85.3</v>
      </c>
      <c r="BQ11" s="96">
        <v>86.2</v>
      </c>
      <c r="BR11" s="96">
        <v>88</v>
      </c>
      <c r="BS11" s="96">
        <v>89.2</v>
      </c>
      <c r="BT11" s="96">
        <v>90.9</v>
      </c>
      <c r="BU11" s="96">
        <v>179</v>
      </c>
      <c r="BV11" s="96">
        <v>183.9</v>
      </c>
      <c r="BW11" s="96">
        <v>186.5</v>
      </c>
      <c r="BX11" s="96">
        <v>188.1</v>
      </c>
      <c r="BY11" s="96">
        <v>192.2</v>
      </c>
      <c r="BZ11" s="96">
        <v>197</v>
      </c>
      <c r="CA11" s="96">
        <v>199.4</v>
      </c>
      <c r="CB11" s="96">
        <v>205.3</v>
      </c>
      <c r="CC11" s="96">
        <v>210.3</v>
      </c>
      <c r="CD11" s="96">
        <v>214</v>
      </c>
      <c r="CE11" s="99"/>
      <c r="CF11" s="99"/>
      <c r="CH11" s="99"/>
      <c r="CI11" s="99"/>
      <c r="CJ11" s="99"/>
      <c r="CK11" s="99"/>
      <c r="CL11" s="99"/>
      <c r="CM11" s="99"/>
      <c r="CN11" s="99"/>
      <c r="CO11" s="99"/>
      <c r="CP11" s="99"/>
      <c r="CQ11" s="99"/>
      <c r="CR11" s="99"/>
      <c r="CS11" s="99"/>
      <c r="CT11" s="99"/>
      <c r="CU11" s="99"/>
      <c r="CV11" s="99"/>
      <c r="CW11" s="99"/>
      <c r="CX11" s="99"/>
      <c r="CY11" s="99"/>
      <c r="CZ11" s="99"/>
      <c r="DA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row>
    <row r="12" spans="1:157" s="92" customFormat="1" ht="15" customHeight="1">
      <c r="A12" s="141" t="s">
        <v>565</v>
      </c>
      <c r="B12" s="96">
        <v>0</v>
      </c>
      <c r="C12" s="96">
        <v>0</v>
      </c>
      <c r="D12" s="96">
        <v>0</v>
      </c>
      <c r="E12" s="96">
        <v>0</v>
      </c>
      <c r="F12" s="96">
        <v>16.399999999999999</v>
      </c>
      <c r="G12" s="96">
        <v>18.2</v>
      </c>
      <c r="H12" s="96">
        <v>19.600000000000001</v>
      </c>
      <c r="I12" s="96">
        <v>35.200000000000003</v>
      </c>
      <c r="J12" s="96">
        <v>48.9</v>
      </c>
      <c r="K12" s="96">
        <v>48.7</v>
      </c>
      <c r="L12" s="96">
        <v>49.4</v>
      </c>
      <c r="M12" s="96">
        <v>94.3</v>
      </c>
      <c r="N12" s="96">
        <v>133.1</v>
      </c>
      <c r="O12" s="96">
        <v>160.69999999999999</v>
      </c>
      <c r="P12" s="96">
        <v>194</v>
      </c>
      <c r="Q12" s="96">
        <v>208.8</v>
      </c>
      <c r="R12" s="97">
        <f t="shared" si="9"/>
        <v>223.8</v>
      </c>
      <c r="S12" s="97">
        <f t="shared" si="9"/>
        <v>238.8</v>
      </c>
      <c r="T12" s="97">
        <f t="shared" si="9"/>
        <v>253.8</v>
      </c>
      <c r="U12" s="97">
        <f t="shared" si="9"/>
        <v>268.8</v>
      </c>
      <c r="V12" s="97">
        <f t="shared" si="9"/>
        <v>283.8</v>
      </c>
      <c r="W12" s="97">
        <f t="shared" si="9"/>
        <v>298.8</v>
      </c>
      <c r="X12" s="97">
        <f t="shared" si="9"/>
        <v>313.8</v>
      </c>
      <c r="Y12" s="97">
        <f t="shared" si="9"/>
        <v>328.8</v>
      </c>
      <c r="Z12" s="97">
        <f t="shared" si="9"/>
        <v>343.8</v>
      </c>
      <c r="AA12" s="91"/>
      <c r="AB12" s="141" t="s">
        <v>565</v>
      </c>
      <c r="AC12" s="96">
        <v>0</v>
      </c>
      <c r="AD12" s="96">
        <v>0</v>
      </c>
      <c r="AE12" s="96">
        <v>0</v>
      </c>
      <c r="AF12" s="96">
        <v>0</v>
      </c>
      <c r="AG12" s="96">
        <v>0</v>
      </c>
      <c r="AH12" s="96">
        <v>0</v>
      </c>
      <c r="AI12" s="96">
        <v>0</v>
      </c>
      <c r="AJ12" s="96">
        <v>0</v>
      </c>
      <c r="AK12" s="96">
        <v>0</v>
      </c>
      <c r="AL12" s="96">
        <v>0</v>
      </c>
      <c r="AM12" s="96">
        <v>0</v>
      </c>
      <c r="AN12" s="96">
        <v>0</v>
      </c>
      <c r="AO12" s="96">
        <v>0</v>
      </c>
      <c r="AP12" s="96">
        <v>0</v>
      </c>
      <c r="AQ12" s="96">
        <v>0</v>
      </c>
      <c r="AR12" s="96">
        <v>15.4</v>
      </c>
      <c r="AS12" s="96">
        <v>16.399999999999999</v>
      </c>
      <c r="AT12" s="96">
        <v>18.100000000000001</v>
      </c>
      <c r="AU12" s="96">
        <v>19.7</v>
      </c>
      <c r="AV12" s="96">
        <v>20.399999999999999</v>
      </c>
      <c r="AW12" s="96">
        <v>18.2</v>
      </c>
      <c r="AX12" s="96">
        <v>16.3</v>
      </c>
      <c r="AY12" s="96">
        <v>17.2</v>
      </c>
      <c r="AZ12" s="96">
        <v>18.7</v>
      </c>
      <c r="BA12" s="96">
        <v>19.600000000000001</v>
      </c>
      <c r="BB12" s="96">
        <v>22.6</v>
      </c>
      <c r="BC12" s="96">
        <v>25.3</v>
      </c>
      <c r="BD12" s="96">
        <v>29.7</v>
      </c>
      <c r="BE12" s="96">
        <v>35.200000000000003</v>
      </c>
      <c r="BF12" s="96">
        <v>41.1</v>
      </c>
      <c r="BG12" s="96">
        <v>45.2</v>
      </c>
      <c r="BH12" s="96">
        <v>47.1</v>
      </c>
      <c r="BI12" s="96">
        <v>48.9</v>
      </c>
      <c r="BJ12" s="96">
        <v>50.2</v>
      </c>
      <c r="BK12" s="96">
        <v>50.2</v>
      </c>
      <c r="BL12" s="96">
        <v>48.5</v>
      </c>
      <c r="BM12" s="96">
        <v>48.7</v>
      </c>
      <c r="BN12" s="96">
        <v>49.9</v>
      </c>
      <c r="BO12" s="96">
        <v>49.8</v>
      </c>
      <c r="BP12" s="96">
        <v>49</v>
      </c>
      <c r="BQ12" s="96">
        <v>49.4</v>
      </c>
      <c r="BR12" s="96">
        <v>50.4</v>
      </c>
      <c r="BS12" s="96">
        <v>52.9</v>
      </c>
      <c r="BT12" s="96">
        <v>55.8</v>
      </c>
      <c r="BU12" s="96">
        <v>94.3</v>
      </c>
      <c r="BV12" s="96">
        <v>102.5</v>
      </c>
      <c r="BW12" s="96">
        <v>112.5</v>
      </c>
      <c r="BX12" s="96">
        <v>122</v>
      </c>
      <c r="BY12" s="96">
        <v>133.1</v>
      </c>
      <c r="BZ12" s="96">
        <v>141.80000000000001</v>
      </c>
      <c r="CA12" s="96">
        <v>147.1</v>
      </c>
      <c r="CB12" s="96">
        <v>154.19999999999999</v>
      </c>
      <c r="CC12" s="96">
        <v>160.69999999999999</v>
      </c>
      <c r="CD12" s="96">
        <v>166.5</v>
      </c>
      <c r="CE12" s="99"/>
      <c r="CF12" s="99"/>
      <c r="CH12" s="99"/>
      <c r="CI12" s="99"/>
      <c r="CJ12" s="99"/>
      <c r="CK12" s="99"/>
      <c r="CL12" s="99"/>
      <c r="CM12" s="99"/>
      <c r="CN12" s="99"/>
      <c r="CO12" s="99"/>
      <c r="CP12" s="99"/>
      <c r="CQ12" s="99"/>
      <c r="CR12" s="99"/>
      <c r="CS12" s="99"/>
      <c r="CT12" s="99"/>
      <c r="CU12" s="99"/>
      <c r="CV12" s="99"/>
      <c r="CW12" s="99"/>
      <c r="CX12" s="99"/>
      <c r="CY12" s="99"/>
      <c r="CZ12" s="99"/>
      <c r="DA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row>
    <row r="13" spans="1:157" s="92" customFormat="1" ht="15" customHeight="1">
      <c r="A13" s="141" t="s">
        <v>5</v>
      </c>
      <c r="B13" s="96">
        <v>0</v>
      </c>
      <c r="C13" s="96">
        <v>0</v>
      </c>
      <c r="D13" s="96">
        <v>0</v>
      </c>
      <c r="E13" s="96">
        <v>0</v>
      </c>
      <c r="F13" s="96">
        <v>0</v>
      </c>
      <c r="G13" s="96">
        <v>0</v>
      </c>
      <c r="H13" s="96">
        <v>0</v>
      </c>
      <c r="I13" s="96">
        <v>0</v>
      </c>
      <c r="J13" s="96">
        <v>0</v>
      </c>
      <c r="K13" s="96">
        <v>0</v>
      </c>
      <c r="L13" s="96">
        <v>0</v>
      </c>
      <c r="M13" s="96">
        <v>0</v>
      </c>
      <c r="N13" s="96">
        <v>0</v>
      </c>
      <c r="O13" s="96">
        <v>0</v>
      </c>
      <c r="P13" s="96">
        <v>0</v>
      </c>
      <c r="Q13" s="96">
        <v>0</v>
      </c>
      <c r="R13" s="97">
        <f t="shared" si="9"/>
        <v>0</v>
      </c>
      <c r="S13" s="97">
        <f t="shared" si="9"/>
        <v>0</v>
      </c>
      <c r="T13" s="97">
        <f t="shared" si="9"/>
        <v>0</v>
      </c>
      <c r="U13" s="97">
        <f t="shared" si="9"/>
        <v>0</v>
      </c>
      <c r="V13" s="97">
        <f t="shared" si="9"/>
        <v>0</v>
      </c>
      <c r="W13" s="97">
        <f t="shared" si="9"/>
        <v>0</v>
      </c>
      <c r="X13" s="97">
        <f t="shared" si="9"/>
        <v>0</v>
      </c>
      <c r="Y13" s="97">
        <f t="shared" si="9"/>
        <v>0</v>
      </c>
      <c r="Z13" s="97">
        <f t="shared" si="9"/>
        <v>0</v>
      </c>
      <c r="AA13" s="91"/>
      <c r="AB13" s="141" t="s">
        <v>5</v>
      </c>
      <c r="AC13" s="96">
        <v>0</v>
      </c>
      <c r="AD13" s="96">
        <v>0</v>
      </c>
      <c r="AE13" s="96">
        <v>0</v>
      </c>
      <c r="AF13" s="96">
        <v>0</v>
      </c>
      <c r="AG13" s="96">
        <v>0</v>
      </c>
      <c r="AH13" s="96">
        <v>0</v>
      </c>
      <c r="AI13" s="96">
        <v>0</v>
      </c>
      <c r="AJ13" s="96">
        <v>0</v>
      </c>
      <c r="AK13" s="96">
        <v>0</v>
      </c>
      <c r="AL13" s="96">
        <v>0</v>
      </c>
      <c r="AM13" s="96">
        <v>0</v>
      </c>
      <c r="AN13" s="96">
        <v>0</v>
      </c>
      <c r="AO13" s="96">
        <v>0</v>
      </c>
      <c r="AP13" s="96">
        <v>0</v>
      </c>
      <c r="AQ13" s="96">
        <v>0</v>
      </c>
      <c r="AR13" s="96">
        <v>0</v>
      </c>
      <c r="AS13" s="96">
        <v>0</v>
      </c>
      <c r="AT13" s="96">
        <v>0</v>
      </c>
      <c r="AU13" s="96">
        <v>0</v>
      </c>
      <c r="AV13" s="96">
        <v>0</v>
      </c>
      <c r="AW13" s="96">
        <v>0</v>
      </c>
      <c r="AX13" s="96">
        <v>0</v>
      </c>
      <c r="AY13" s="96">
        <v>0</v>
      </c>
      <c r="AZ13" s="96">
        <v>0</v>
      </c>
      <c r="BA13" s="96">
        <v>0</v>
      </c>
      <c r="BB13" s="96">
        <v>0</v>
      </c>
      <c r="BC13" s="96">
        <v>0</v>
      </c>
      <c r="BD13" s="96">
        <v>0</v>
      </c>
      <c r="BE13" s="96">
        <v>0</v>
      </c>
      <c r="BF13" s="96">
        <v>0</v>
      </c>
      <c r="BG13" s="96">
        <v>0</v>
      </c>
      <c r="BH13" s="96">
        <v>0</v>
      </c>
      <c r="BI13" s="96">
        <v>0</v>
      </c>
      <c r="BJ13" s="96">
        <v>0</v>
      </c>
      <c r="BK13" s="96">
        <v>0</v>
      </c>
      <c r="BL13" s="96">
        <v>0</v>
      </c>
      <c r="BM13" s="96">
        <v>0</v>
      </c>
      <c r="BN13" s="96">
        <v>0</v>
      </c>
      <c r="BO13" s="96">
        <v>0</v>
      </c>
      <c r="BP13" s="96">
        <v>0</v>
      </c>
      <c r="BQ13" s="96">
        <v>0</v>
      </c>
      <c r="BR13" s="96">
        <v>0</v>
      </c>
      <c r="BS13" s="96">
        <v>0</v>
      </c>
      <c r="BT13" s="96">
        <v>0</v>
      </c>
      <c r="BU13" s="96">
        <v>0</v>
      </c>
      <c r="BV13" s="96">
        <v>0</v>
      </c>
      <c r="BW13" s="96">
        <v>0</v>
      </c>
      <c r="BX13" s="96">
        <v>0</v>
      </c>
      <c r="BY13" s="96">
        <v>0</v>
      </c>
      <c r="BZ13" s="96">
        <v>0</v>
      </c>
      <c r="CA13" s="96">
        <v>0</v>
      </c>
      <c r="CB13" s="96">
        <v>0</v>
      </c>
      <c r="CC13" s="96">
        <v>0</v>
      </c>
      <c r="CD13" s="96">
        <v>0</v>
      </c>
      <c r="CE13" s="99"/>
      <c r="CF13" s="99"/>
      <c r="CH13" s="99"/>
      <c r="CI13" s="99"/>
      <c r="CJ13" s="99"/>
      <c r="CK13" s="99"/>
      <c r="CL13" s="99"/>
      <c r="CM13" s="99"/>
      <c r="CN13" s="99"/>
      <c r="CO13" s="99"/>
      <c r="CP13" s="99"/>
      <c r="CQ13" s="99"/>
      <c r="CR13" s="99"/>
      <c r="CS13" s="99"/>
      <c r="CT13" s="99"/>
      <c r="CU13" s="99"/>
      <c r="CV13" s="99"/>
      <c r="CW13" s="99"/>
      <c r="CX13" s="99"/>
      <c r="CY13" s="99"/>
      <c r="CZ13" s="99"/>
      <c r="DA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row>
    <row r="14" spans="1:157" s="92" customFormat="1" ht="15" hidden="1" customHeight="1">
      <c r="A14" s="92" t="s">
        <v>566</v>
      </c>
      <c r="B14" s="96">
        <v>0</v>
      </c>
      <c r="C14" s="96">
        <v>0</v>
      </c>
      <c r="D14" s="96">
        <v>0</v>
      </c>
      <c r="E14" s="96">
        <v>0</v>
      </c>
      <c r="F14" s="96">
        <v>0</v>
      </c>
      <c r="G14" s="96">
        <v>0</v>
      </c>
      <c r="H14" s="96">
        <v>0</v>
      </c>
      <c r="I14" s="96">
        <v>0</v>
      </c>
      <c r="J14" s="96">
        <v>0</v>
      </c>
      <c r="K14" s="96">
        <v>0</v>
      </c>
      <c r="L14" s="96">
        <v>0</v>
      </c>
      <c r="M14" s="96">
        <v>0</v>
      </c>
      <c r="N14" s="96">
        <v>0</v>
      </c>
      <c r="O14" s="96">
        <v>0</v>
      </c>
      <c r="P14" s="97"/>
      <c r="Q14" s="97"/>
      <c r="R14" s="97"/>
      <c r="S14" s="97"/>
      <c r="T14" s="97"/>
      <c r="U14" s="97"/>
      <c r="V14" s="97"/>
      <c r="W14" s="97"/>
      <c r="X14" s="97"/>
      <c r="Y14" s="97"/>
      <c r="Z14" s="97"/>
      <c r="AA14" s="91"/>
      <c r="AB14" s="92" t="s">
        <v>566</v>
      </c>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v>0</v>
      </c>
      <c r="BC14" s="96">
        <v>0</v>
      </c>
      <c r="BD14" s="96">
        <v>0</v>
      </c>
      <c r="BE14" s="96">
        <v>0</v>
      </c>
      <c r="BF14" s="96">
        <v>0</v>
      </c>
      <c r="BG14" s="96">
        <v>0</v>
      </c>
      <c r="BH14" s="96">
        <v>0</v>
      </c>
      <c r="BI14" s="96">
        <v>0</v>
      </c>
      <c r="BJ14" s="96">
        <v>0</v>
      </c>
      <c r="BK14" s="96">
        <v>0</v>
      </c>
      <c r="BL14" s="96">
        <v>0</v>
      </c>
      <c r="BM14" s="96">
        <v>0</v>
      </c>
      <c r="BN14" s="96">
        <v>0</v>
      </c>
      <c r="BO14" s="96">
        <v>0</v>
      </c>
      <c r="BP14" s="96">
        <v>0</v>
      </c>
      <c r="BQ14" s="96">
        <v>0</v>
      </c>
      <c r="BR14" s="96">
        <v>0</v>
      </c>
      <c r="BS14" s="96">
        <v>0</v>
      </c>
      <c r="BT14" s="96">
        <v>0</v>
      </c>
      <c r="BU14" s="96">
        <v>0</v>
      </c>
      <c r="BV14" s="96">
        <v>0</v>
      </c>
      <c r="BW14" s="96">
        <v>0</v>
      </c>
      <c r="BX14" s="96">
        <v>0</v>
      </c>
      <c r="BY14" s="96">
        <v>0</v>
      </c>
      <c r="BZ14" s="96">
        <v>0</v>
      </c>
      <c r="CA14" s="96">
        <v>0</v>
      </c>
      <c r="CB14" s="96">
        <v>0</v>
      </c>
      <c r="CC14" s="96">
        <f>O14</f>
        <v>0</v>
      </c>
      <c r="CD14" s="96">
        <v>0</v>
      </c>
      <c r="CE14" s="99"/>
      <c r="CF14" s="99"/>
      <c r="CH14" s="99"/>
      <c r="CI14" s="99"/>
      <c r="CJ14" s="99"/>
      <c r="CK14" s="99"/>
      <c r="CL14" s="99"/>
      <c r="CM14" s="99"/>
      <c r="CN14" s="99"/>
      <c r="CO14" s="99"/>
      <c r="CP14" s="99"/>
      <c r="CQ14" s="99"/>
      <c r="CR14" s="99"/>
      <c r="CS14" s="99"/>
      <c r="CT14" s="99"/>
      <c r="CU14" s="99"/>
      <c r="CV14" s="99"/>
      <c r="CW14" s="99"/>
      <c r="CX14" s="99"/>
      <c r="CY14" s="99"/>
      <c r="CZ14" s="99"/>
      <c r="DA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row>
    <row r="15" spans="1:157" s="92" customFormat="1" ht="15" hidden="1" customHeight="1">
      <c r="A15" s="92" t="s">
        <v>567</v>
      </c>
      <c r="B15" s="96">
        <v>0</v>
      </c>
      <c r="C15" s="96">
        <v>0</v>
      </c>
      <c r="D15" s="96">
        <v>0</v>
      </c>
      <c r="E15" s="96">
        <v>0</v>
      </c>
      <c r="F15" s="96">
        <v>0</v>
      </c>
      <c r="G15" s="96">
        <v>0</v>
      </c>
      <c r="H15" s="96">
        <v>0</v>
      </c>
      <c r="I15" s="96">
        <v>0</v>
      </c>
      <c r="J15" s="96">
        <v>0</v>
      </c>
      <c r="K15" s="96">
        <v>0</v>
      </c>
      <c r="L15" s="96">
        <v>0</v>
      </c>
      <c r="M15" s="96">
        <v>0</v>
      </c>
      <c r="N15" s="96">
        <v>0</v>
      </c>
      <c r="O15" s="96">
        <v>0</v>
      </c>
      <c r="P15" s="97"/>
      <c r="Q15" s="97"/>
      <c r="R15" s="97"/>
      <c r="S15" s="97"/>
      <c r="T15" s="97"/>
      <c r="U15" s="97"/>
      <c r="V15" s="97"/>
      <c r="W15" s="97"/>
      <c r="X15" s="97"/>
      <c r="Y15" s="97"/>
      <c r="Z15" s="97"/>
      <c r="AA15" s="91"/>
      <c r="AB15" s="92" t="s">
        <v>567</v>
      </c>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v>0</v>
      </c>
      <c r="BC15" s="96">
        <v>0</v>
      </c>
      <c r="BD15" s="96">
        <v>0</v>
      </c>
      <c r="BE15" s="96">
        <v>0</v>
      </c>
      <c r="BF15" s="96">
        <v>0</v>
      </c>
      <c r="BG15" s="96">
        <v>0</v>
      </c>
      <c r="BH15" s="96">
        <v>0</v>
      </c>
      <c r="BI15" s="96">
        <v>0</v>
      </c>
      <c r="BJ15" s="96">
        <v>0</v>
      </c>
      <c r="BK15" s="96">
        <v>0</v>
      </c>
      <c r="BL15" s="96">
        <v>0</v>
      </c>
      <c r="BM15" s="96">
        <v>0</v>
      </c>
      <c r="BN15" s="96">
        <v>0</v>
      </c>
      <c r="BO15" s="96">
        <v>0</v>
      </c>
      <c r="BP15" s="96">
        <v>0</v>
      </c>
      <c r="BQ15" s="96">
        <v>0</v>
      </c>
      <c r="BR15" s="96">
        <v>0</v>
      </c>
      <c r="BS15" s="96">
        <v>0</v>
      </c>
      <c r="BT15" s="96">
        <v>0</v>
      </c>
      <c r="BU15" s="96">
        <v>0</v>
      </c>
      <c r="BV15" s="96">
        <v>0</v>
      </c>
      <c r="BW15" s="96">
        <v>0</v>
      </c>
      <c r="BX15" s="96">
        <v>0</v>
      </c>
      <c r="BY15" s="96">
        <v>0</v>
      </c>
      <c r="BZ15" s="96">
        <v>0</v>
      </c>
      <c r="CA15" s="96">
        <v>0</v>
      </c>
      <c r="CB15" s="96">
        <v>0</v>
      </c>
      <c r="CC15" s="96">
        <f>O15</f>
        <v>0</v>
      </c>
      <c r="CD15" s="96">
        <v>0</v>
      </c>
      <c r="CE15" s="99"/>
      <c r="CF15" s="99"/>
      <c r="CH15" s="99"/>
      <c r="CI15" s="99"/>
      <c r="CJ15" s="99"/>
      <c r="CK15" s="99"/>
      <c r="CL15" s="99"/>
      <c r="CM15" s="99"/>
      <c r="CN15" s="99"/>
      <c r="CO15" s="99"/>
      <c r="CP15" s="99"/>
      <c r="CQ15" s="99"/>
      <c r="CR15" s="99"/>
      <c r="CS15" s="99"/>
      <c r="CT15" s="99"/>
      <c r="CU15" s="99"/>
      <c r="CV15" s="99"/>
      <c r="CW15" s="99"/>
      <c r="CX15" s="99"/>
      <c r="CY15" s="99"/>
      <c r="CZ15" s="99"/>
      <c r="DA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row>
    <row r="16" spans="1:157" s="92" customFormat="1" ht="15" hidden="1" customHeight="1">
      <c r="A16" s="92" t="s">
        <v>568</v>
      </c>
      <c r="B16" s="96"/>
      <c r="C16" s="96"/>
      <c r="D16" s="96"/>
      <c r="E16" s="96"/>
      <c r="F16" s="96"/>
      <c r="G16" s="96"/>
      <c r="H16" s="96"/>
      <c r="I16" s="96"/>
      <c r="J16" s="96"/>
      <c r="K16" s="96"/>
      <c r="L16" s="96"/>
      <c r="M16" s="96"/>
      <c r="N16" s="96"/>
      <c r="O16" s="97"/>
      <c r="P16" s="97"/>
      <c r="Q16" s="97"/>
      <c r="R16" s="97"/>
      <c r="S16" s="97"/>
      <c r="T16" s="97"/>
      <c r="U16" s="97"/>
      <c r="V16" s="97"/>
      <c r="W16" s="97"/>
      <c r="X16" s="97"/>
      <c r="Y16" s="97"/>
      <c r="Z16" s="97"/>
      <c r="AA16" s="91"/>
      <c r="AB16" s="92" t="s">
        <v>568</v>
      </c>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227"/>
      <c r="CD16" s="227"/>
      <c r="CE16" s="99"/>
      <c r="CF16" s="99"/>
      <c r="CH16" s="99"/>
      <c r="CI16" s="99"/>
      <c r="CJ16" s="99"/>
      <c r="CK16" s="99"/>
      <c r="CL16" s="99"/>
      <c r="CM16" s="99"/>
      <c r="CN16" s="99"/>
      <c r="CO16" s="99"/>
      <c r="CP16" s="99"/>
      <c r="CQ16" s="99"/>
      <c r="CR16" s="99"/>
      <c r="CS16" s="99"/>
      <c r="CT16" s="99"/>
      <c r="CU16" s="99"/>
      <c r="CV16" s="99"/>
      <c r="CW16" s="99"/>
      <c r="CX16" s="99"/>
      <c r="CY16" s="99"/>
      <c r="CZ16" s="99"/>
      <c r="DA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row>
    <row r="17" spans="1:157" s="92" customFormat="1" ht="15" hidden="1" customHeight="1">
      <c r="A17" s="92" t="s">
        <v>569</v>
      </c>
      <c r="B17" s="96"/>
      <c r="C17" s="96"/>
      <c r="D17" s="96"/>
      <c r="E17" s="96"/>
      <c r="F17" s="96"/>
      <c r="G17" s="96"/>
      <c r="H17" s="96"/>
      <c r="I17" s="96"/>
      <c r="J17" s="96"/>
      <c r="K17" s="96"/>
      <c r="L17" s="96"/>
      <c r="M17" s="96"/>
      <c r="N17" s="96"/>
      <c r="O17" s="97"/>
      <c r="P17" s="97"/>
      <c r="Q17" s="97"/>
      <c r="R17" s="97"/>
      <c r="S17" s="97"/>
      <c r="T17" s="97"/>
      <c r="U17" s="97"/>
      <c r="V17" s="97"/>
      <c r="W17" s="97"/>
      <c r="X17" s="97"/>
      <c r="Y17" s="97"/>
      <c r="Z17" s="97"/>
      <c r="AA17" s="91"/>
      <c r="AB17" s="92" t="s">
        <v>569</v>
      </c>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227"/>
      <c r="CD17" s="227"/>
      <c r="CE17" s="99"/>
      <c r="CF17" s="99"/>
      <c r="CH17" s="99"/>
      <c r="CI17" s="99"/>
      <c r="CJ17" s="99"/>
      <c r="CK17" s="99"/>
      <c r="CL17" s="99"/>
      <c r="CM17" s="99"/>
      <c r="CN17" s="99"/>
      <c r="CO17" s="99"/>
      <c r="CP17" s="99"/>
      <c r="CQ17" s="99"/>
      <c r="CR17" s="99"/>
      <c r="CS17" s="99"/>
      <c r="CT17" s="99"/>
      <c r="CU17" s="99"/>
      <c r="CV17" s="99"/>
      <c r="CW17" s="99"/>
      <c r="CX17" s="99"/>
      <c r="CY17" s="99"/>
      <c r="CZ17" s="99"/>
      <c r="DA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row>
    <row r="18" spans="1:157" s="92" customFormat="1" ht="15" hidden="1" customHeight="1">
      <c r="A18" s="92" t="s">
        <v>570</v>
      </c>
      <c r="B18" s="96"/>
      <c r="C18" s="96"/>
      <c r="D18" s="96"/>
      <c r="E18" s="96"/>
      <c r="F18" s="96"/>
      <c r="G18" s="96"/>
      <c r="H18" s="96"/>
      <c r="I18" s="96"/>
      <c r="J18" s="96"/>
      <c r="K18" s="96"/>
      <c r="L18" s="96"/>
      <c r="M18" s="96"/>
      <c r="N18" s="96"/>
      <c r="O18" s="97"/>
      <c r="P18" s="97"/>
      <c r="Q18" s="97"/>
      <c r="R18" s="97"/>
      <c r="S18" s="97"/>
      <c r="T18" s="97"/>
      <c r="U18" s="97"/>
      <c r="V18" s="97"/>
      <c r="W18" s="97"/>
      <c r="X18" s="97"/>
      <c r="Y18" s="97"/>
      <c r="Z18" s="97"/>
      <c r="AA18" s="91"/>
      <c r="AB18" s="92" t="s">
        <v>570</v>
      </c>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227"/>
      <c r="CD18" s="227"/>
      <c r="CE18" s="99"/>
      <c r="CF18" s="99"/>
      <c r="CH18" s="99"/>
      <c r="CI18" s="99"/>
      <c r="CJ18" s="99"/>
      <c r="CK18" s="99"/>
      <c r="CL18" s="99"/>
      <c r="CM18" s="99"/>
      <c r="CN18" s="99"/>
      <c r="CO18" s="99"/>
      <c r="CP18" s="99"/>
      <c r="CQ18" s="99"/>
      <c r="CR18" s="99"/>
      <c r="CS18" s="99"/>
      <c r="CT18" s="99"/>
      <c r="CU18" s="99"/>
      <c r="CV18" s="99"/>
      <c r="CW18" s="99"/>
      <c r="CX18" s="99"/>
      <c r="CY18" s="99"/>
      <c r="CZ18" s="99"/>
      <c r="DA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row>
    <row r="19" spans="1:157" ht="15" customHeight="1">
      <c r="A19" s="14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14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2"/>
      <c r="CF19" s="92"/>
      <c r="CG19" s="92"/>
    </row>
    <row r="20" spans="1:157" s="92" customFormat="1" ht="15" customHeight="1">
      <c r="A20" s="141" t="s">
        <v>571</v>
      </c>
      <c r="B20" s="97">
        <f t="shared" ref="B20:Z20" si="10">+B10+B11+B12</f>
        <v>26.400000000000002</v>
      </c>
      <c r="C20" s="97">
        <f t="shared" si="10"/>
        <v>23</v>
      </c>
      <c r="D20" s="97">
        <f t="shared" si="10"/>
        <v>25.200000000000003</v>
      </c>
      <c r="E20" s="97">
        <f t="shared" si="10"/>
        <v>16.700000000000003</v>
      </c>
      <c r="F20" s="97">
        <f t="shared" si="10"/>
        <v>176.29999999999998</v>
      </c>
      <c r="G20" s="97">
        <f t="shared" si="10"/>
        <v>205.29999999999998</v>
      </c>
      <c r="H20" s="97">
        <f t="shared" si="10"/>
        <v>177.79999999999998</v>
      </c>
      <c r="I20" s="97">
        <f t="shared" si="10"/>
        <v>202.7</v>
      </c>
      <c r="J20" s="97">
        <f t="shared" si="10"/>
        <v>228.70000000000002</v>
      </c>
      <c r="K20" s="97">
        <f t="shared" si="10"/>
        <v>211.3</v>
      </c>
      <c r="L20" s="97">
        <f t="shared" si="10"/>
        <v>214.70000000000002</v>
      </c>
      <c r="M20" s="97">
        <f t="shared" si="10"/>
        <v>479.2</v>
      </c>
      <c r="N20" s="97">
        <f t="shared" si="10"/>
        <v>535.79999999999995</v>
      </c>
      <c r="O20" s="97">
        <f t="shared" si="10"/>
        <v>590.90000000000009</v>
      </c>
      <c r="P20" s="97">
        <f>+P10+P11+P12</f>
        <v>776.9</v>
      </c>
      <c r="Q20" s="97">
        <f t="shared" si="10"/>
        <v>799.09999999999991</v>
      </c>
      <c r="R20" s="97">
        <f t="shared" si="10"/>
        <v>829.09999999999991</v>
      </c>
      <c r="S20" s="97">
        <f t="shared" si="10"/>
        <v>861.71299999999997</v>
      </c>
      <c r="T20" s="97">
        <f t="shared" si="10"/>
        <v>894.35212999999999</v>
      </c>
      <c r="U20" s="97">
        <f t="shared" si="10"/>
        <v>927.01765130000013</v>
      </c>
      <c r="V20" s="97">
        <f t="shared" si="10"/>
        <v>959.70982781299995</v>
      </c>
      <c r="W20" s="97">
        <f t="shared" si="10"/>
        <v>992.42892609113005</v>
      </c>
      <c r="X20" s="97">
        <f t="shared" si="10"/>
        <v>1025.1752153520413</v>
      </c>
      <c r="Y20" s="97">
        <f t="shared" si="10"/>
        <v>1057.9489675055618</v>
      </c>
      <c r="Z20" s="97">
        <f t="shared" si="10"/>
        <v>1090.7504571806173</v>
      </c>
      <c r="AA20" s="97"/>
      <c r="AB20" s="228" t="str">
        <f>+A20</f>
        <v>Fixed RGUs</v>
      </c>
      <c r="AC20" s="97">
        <f t="shared" ref="AC20:CD20" si="11">+AC10+AC11+AC12</f>
        <v>26.400000000000002</v>
      </c>
      <c r="AD20" s="97">
        <f t="shared" si="11"/>
        <v>20.500000000000004</v>
      </c>
      <c r="AE20" s="97">
        <f t="shared" si="11"/>
        <v>21.9</v>
      </c>
      <c r="AF20" s="97">
        <f t="shared" si="11"/>
        <v>22.5</v>
      </c>
      <c r="AG20" s="97">
        <f t="shared" si="11"/>
        <v>23</v>
      </c>
      <c r="AH20" s="97">
        <f t="shared" si="11"/>
        <v>24.1</v>
      </c>
      <c r="AI20" s="97">
        <f t="shared" si="11"/>
        <v>24.7</v>
      </c>
      <c r="AJ20" s="97">
        <f t="shared" si="11"/>
        <v>25.1</v>
      </c>
      <c r="AK20" s="97">
        <f t="shared" si="11"/>
        <v>25.200000000000003</v>
      </c>
      <c r="AL20" s="97">
        <f t="shared" si="11"/>
        <v>25.200000000000003</v>
      </c>
      <c r="AM20" s="97">
        <f t="shared" si="11"/>
        <v>25.4</v>
      </c>
      <c r="AN20" s="97">
        <f t="shared" si="11"/>
        <v>25.5</v>
      </c>
      <c r="AO20" s="97">
        <f t="shared" si="11"/>
        <v>16.700000000000003</v>
      </c>
      <c r="AP20" s="97">
        <f t="shared" si="11"/>
        <v>16.700000000000003</v>
      </c>
      <c r="AQ20" s="97">
        <f t="shared" si="11"/>
        <v>16.8</v>
      </c>
      <c r="AR20" s="97">
        <f t="shared" si="11"/>
        <v>172.70000000000002</v>
      </c>
      <c r="AS20" s="97">
        <f t="shared" si="11"/>
        <v>176.29999999999998</v>
      </c>
      <c r="AT20" s="97">
        <f t="shared" si="11"/>
        <v>194.29999999999998</v>
      </c>
      <c r="AU20" s="97">
        <f t="shared" si="11"/>
        <v>197.59999999999997</v>
      </c>
      <c r="AV20" s="97">
        <f t="shared" si="11"/>
        <v>205.4</v>
      </c>
      <c r="AW20" s="97">
        <f t="shared" si="11"/>
        <v>205.29999999999998</v>
      </c>
      <c r="AX20" s="97">
        <f t="shared" si="11"/>
        <v>196.20000000000002</v>
      </c>
      <c r="AY20" s="97">
        <f t="shared" si="11"/>
        <v>194.59999999999997</v>
      </c>
      <c r="AZ20" s="97">
        <f t="shared" si="11"/>
        <v>195.89999999999998</v>
      </c>
      <c r="BA20" s="97">
        <f t="shared" si="11"/>
        <v>177.79999999999998</v>
      </c>
      <c r="BB20" s="97">
        <f t="shared" si="11"/>
        <v>169.7</v>
      </c>
      <c r="BC20" s="97">
        <f t="shared" si="11"/>
        <v>174.2</v>
      </c>
      <c r="BD20" s="97">
        <f t="shared" si="11"/>
        <v>179.2</v>
      </c>
      <c r="BE20" s="97">
        <f t="shared" si="11"/>
        <v>202.7</v>
      </c>
      <c r="BF20" s="97">
        <f t="shared" si="11"/>
        <v>215.79999999999998</v>
      </c>
      <c r="BG20" s="97">
        <f t="shared" si="11"/>
        <v>210.2</v>
      </c>
      <c r="BH20" s="97">
        <f t="shared" si="11"/>
        <v>213.99999999999997</v>
      </c>
      <c r="BI20" s="97">
        <f t="shared" si="11"/>
        <v>228.70000000000002</v>
      </c>
      <c r="BJ20" s="97">
        <f t="shared" si="11"/>
        <v>214.60000000000002</v>
      </c>
      <c r="BK20" s="97">
        <f t="shared" si="11"/>
        <v>213.7</v>
      </c>
      <c r="BL20" s="97">
        <f t="shared" si="11"/>
        <v>210.4</v>
      </c>
      <c r="BM20" s="97">
        <f t="shared" si="11"/>
        <v>211.3</v>
      </c>
      <c r="BN20" s="97">
        <f t="shared" si="11"/>
        <v>214.20000000000002</v>
      </c>
      <c r="BO20" s="97">
        <f t="shared" si="11"/>
        <v>214.89999999999998</v>
      </c>
      <c r="BP20" s="97">
        <f t="shared" si="11"/>
        <v>214.2</v>
      </c>
      <c r="BQ20" s="97">
        <f t="shared" si="11"/>
        <v>214.70000000000002</v>
      </c>
      <c r="BR20" s="97">
        <f t="shared" si="11"/>
        <v>217.70000000000002</v>
      </c>
      <c r="BS20" s="97">
        <f t="shared" si="11"/>
        <v>221.9</v>
      </c>
      <c r="BT20" s="97">
        <f t="shared" si="11"/>
        <v>227.10000000000002</v>
      </c>
      <c r="BU20" s="97">
        <f t="shared" si="11"/>
        <v>479.2</v>
      </c>
      <c r="BV20" s="97">
        <f t="shared" si="11"/>
        <v>491.8</v>
      </c>
      <c r="BW20" s="97">
        <f t="shared" si="11"/>
        <v>505.8</v>
      </c>
      <c r="BX20" s="97">
        <f t="shared" si="11"/>
        <v>519.1</v>
      </c>
      <c r="BY20" s="97">
        <f t="shared" si="11"/>
        <v>535.79999999999995</v>
      </c>
      <c r="BZ20" s="97">
        <f t="shared" si="11"/>
        <v>553</v>
      </c>
      <c r="CA20" s="97">
        <f t="shared" si="11"/>
        <v>561.9</v>
      </c>
      <c r="CB20" s="97">
        <f t="shared" si="11"/>
        <v>577.40000000000009</v>
      </c>
      <c r="CC20" s="97">
        <f t="shared" si="11"/>
        <v>590.90000000000009</v>
      </c>
      <c r="CD20" s="97">
        <f t="shared" si="11"/>
        <v>600.9</v>
      </c>
    </row>
    <row r="21" spans="1:157" s="92" customFormat="1" ht="15" customHeight="1">
      <c r="A21" s="141" t="s">
        <v>572</v>
      </c>
      <c r="B21" s="97"/>
      <c r="C21" s="97"/>
      <c r="D21" s="97"/>
      <c r="E21" s="97">
        <f t="shared" ref="E21:Z21" si="12">+E20/E6</f>
        <v>0.56996587030716728</v>
      </c>
      <c r="F21" s="97">
        <f t="shared" si="12"/>
        <v>1.2433004231311704</v>
      </c>
      <c r="G21" s="97">
        <f t="shared" si="12"/>
        <v>1.3262273901808783</v>
      </c>
      <c r="H21" s="97">
        <f t="shared" si="12"/>
        <v>1.5528384279475982</v>
      </c>
      <c r="I21" s="97">
        <f t="shared" si="12"/>
        <v>1.6807628524046434</v>
      </c>
      <c r="J21" s="97">
        <f t="shared" si="12"/>
        <v>1.8079051383399212</v>
      </c>
      <c r="K21" s="97">
        <f t="shared" si="12"/>
        <v>1.7506213753106876</v>
      </c>
      <c r="L21" s="97">
        <f t="shared" si="12"/>
        <v>1.7656250000000002</v>
      </c>
      <c r="M21" s="97">
        <f t="shared" si="12"/>
        <v>1.7695716395864105</v>
      </c>
      <c r="N21" s="97">
        <f t="shared" si="12"/>
        <v>1.9640762463343107</v>
      </c>
      <c r="O21" s="97">
        <f t="shared" si="12"/>
        <v>2.0983664772727275</v>
      </c>
      <c r="P21" s="97">
        <f t="shared" si="12"/>
        <v>1.9378897480668495</v>
      </c>
      <c r="Q21" s="97">
        <f t="shared" si="12"/>
        <v>1.97944017835026</v>
      </c>
      <c r="R21" s="97">
        <f t="shared" si="12"/>
        <v>2.0537527867228138</v>
      </c>
      <c r="S21" s="97">
        <f t="shared" si="12"/>
        <v>2.1208108034938582</v>
      </c>
      <c r="T21" s="97">
        <f t="shared" si="12"/>
        <v>2.1869359868598801</v>
      </c>
      <c r="U21" s="97">
        <f t="shared" si="12"/>
        <v>2.2521328917072125</v>
      </c>
      <c r="V21" s="97">
        <f t="shared" si="12"/>
        <v>2.3164061371147775</v>
      </c>
      <c r="W21" s="97">
        <f t="shared" si="12"/>
        <v>2.3797604050954067</v>
      </c>
      <c r="X21" s="97">
        <f t="shared" si="12"/>
        <v>2.4422004393286674</v>
      </c>
      <c r="Y21" s="97">
        <f t="shared" si="12"/>
        <v>2.5037310438857876</v>
      </c>
      <c r="Z21" s="97">
        <f t="shared" si="12"/>
        <v>2.5643570819472519</v>
      </c>
      <c r="AA21" s="97"/>
      <c r="AB21" s="228" t="str">
        <f>+A21</f>
        <v>Fixed RGUs per customer</v>
      </c>
      <c r="AC21" s="97" t="e">
        <f t="shared" ref="AC21:CD21" si="13">+AC20/AC6</f>
        <v>#DIV/0!</v>
      </c>
      <c r="AD21" s="97" t="e">
        <f t="shared" si="13"/>
        <v>#DIV/0!</v>
      </c>
      <c r="AE21" s="97" t="e">
        <f t="shared" si="13"/>
        <v>#DIV/0!</v>
      </c>
      <c r="AF21" s="97" t="e">
        <f t="shared" si="13"/>
        <v>#DIV/0!</v>
      </c>
      <c r="AG21" s="97" t="e">
        <f t="shared" si="13"/>
        <v>#DIV/0!</v>
      </c>
      <c r="AH21" s="97" t="e">
        <f t="shared" si="13"/>
        <v>#DIV/0!</v>
      </c>
      <c r="AI21" s="97" t="e">
        <f t="shared" si="13"/>
        <v>#DIV/0!</v>
      </c>
      <c r="AJ21" s="97" t="e">
        <f t="shared" si="13"/>
        <v>#DIV/0!</v>
      </c>
      <c r="AK21" s="97" t="e">
        <f t="shared" si="13"/>
        <v>#DIV/0!</v>
      </c>
      <c r="AL21" s="97" t="e">
        <f t="shared" si="13"/>
        <v>#DIV/0!</v>
      </c>
      <c r="AM21" s="97" t="e">
        <f t="shared" si="13"/>
        <v>#DIV/0!</v>
      </c>
      <c r="AN21" s="97" t="e">
        <f t="shared" si="13"/>
        <v>#DIV/0!</v>
      </c>
      <c r="AO21" s="97">
        <f t="shared" si="13"/>
        <v>0.56996587030716728</v>
      </c>
      <c r="AP21" s="97">
        <f t="shared" si="13"/>
        <v>0.57986111111111127</v>
      </c>
      <c r="AQ21" s="97">
        <f t="shared" si="13"/>
        <v>0.58741258741258739</v>
      </c>
      <c r="AR21" s="97">
        <f t="shared" si="13"/>
        <v>1.2222222222222223</v>
      </c>
      <c r="AS21" s="97">
        <f t="shared" si="13"/>
        <v>1.2433004231311704</v>
      </c>
      <c r="AT21" s="97">
        <f t="shared" si="13"/>
        <v>1.3299110198494182</v>
      </c>
      <c r="AU21" s="97">
        <f t="shared" si="13"/>
        <v>1.3060145406477195</v>
      </c>
      <c r="AV21" s="97">
        <f t="shared" si="13"/>
        <v>1.3346328784925277</v>
      </c>
      <c r="AW21" s="97">
        <f t="shared" si="13"/>
        <v>1.3262273901808783</v>
      </c>
      <c r="AX21" s="97">
        <f t="shared" si="13"/>
        <v>1.3346938775510204</v>
      </c>
      <c r="AY21" s="97">
        <f t="shared" si="13"/>
        <v>1.3429951690821254</v>
      </c>
      <c r="AZ21" s="97">
        <f t="shared" si="13"/>
        <v>1.3585298196948679</v>
      </c>
      <c r="BA21" s="97">
        <f t="shared" si="13"/>
        <v>1.5528384279475982</v>
      </c>
      <c r="BB21" s="97">
        <f t="shared" si="13"/>
        <v>1.4529109589041096</v>
      </c>
      <c r="BC21" s="97">
        <f t="shared" si="13"/>
        <v>1.4978503869303526</v>
      </c>
      <c r="BD21" s="97">
        <f t="shared" si="13"/>
        <v>1.5020955574182733</v>
      </c>
      <c r="BE21" s="97">
        <f t="shared" si="13"/>
        <v>1.6807628524046434</v>
      </c>
      <c r="BF21" s="97">
        <f t="shared" si="13"/>
        <v>1.7181528662420382</v>
      </c>
      <c r="BG21" s="97">
        <f t="shared" si="13"/>
        <v>1.6345256609642302</v>
      </c>
      <c r="BH21" s="97">
        <f t="shared" si="13"/>
        <v>1.6589147286821704</v>
      </c>
      <c r="BI21" s="97">
        <f t="shared" si="13"/>
        <v>1.8079051383399212</v>
      </c>
      <c r="BJ21" s="97">
        <f t="shared" si="13"/>
        <v>1.7181745396317054</v>
      </c>
      <c r="BK21" s="97">
        <f t="shared" si="13"/>
        <v>1.7430668841761827</v>
      </c>
      <c r="BL21" s="97">
        <f t="shared" si="13"/>
        <v>1.7402812241521919</v>
      </c>
      <c r="BM21" s="97">
        <f t="shared" si="13"/>
        <v>1.7506213753106876</v>
      </c>
      <c r="BN21" s="97">
        <f t="shared" si="13"/>
        <v>1.7586206896551726</v>
      </c>
      <c r="BO21" s="97">
        <f t="shared" si="13"/>
        <v>1.7643678160919538</v>
      </c>
      <c r="BP21" s="97">
        <f t="shared" si="13"/>
        <v>1.7586206896551724</v>
      </c>
      <c r="BQ21" s="97">
        <f t="shared" si="13"/>
        <v>1.7656250000000002</v>
      </c>
      <c r="BR21" s="97">
        <f t="shared" si="13"/>
        <v>1.7742461287693563</v>
      </c>
      <c r="BS21" s="97">
        <f t="shared" si="13"/>
        <v>1.7953074433656959</v>
      </c>
      <c r="BT21" s="97">
        <f t="shared" si="13"/>
        <v>1.8211708099438655</v>
      </c>
      <c r="BU21" s="97">
        <f t="shared" si="13"/>
        <v>1.7695716395864105</v>
      </c>
      <c r="BV21" s="97">
        <f t="shared" si="13"/>
        <v>1.8001464128843339</v>
      </c>
      <c r="BW21" s="97">
        <f t="shared" si="13"/>
        <v>1.8588754134509371</v>
      </c>
      <c r="BX21" s="97">
        <f t="shared" si="13"/>
        <v>1.91549815498155</v>
      </c>
      <c r="BY21" s="97">
        <f t="shared" si="13"/>
        <v>1.9640762463343107</v>
      </c>
      <c r="BZ21" s="97">
        <f t="shared" si="13"/>
        <v>2.0087177624409733</v>
      </c>
      <c r="CA21" s="97">
        <f t="shared" si="13"/>
        <v>2.0380848748639826</v>
      </c>
      <c r="CB21" s="97">
        <f t="shared" si="13"/>
        <v>2.0710186513629845</v>
      </c>
      <c r="CC21" s="97">
        <f t="shared" si="13"/>
        <v>2.0983664772727275</v>
      </c>
      <c r="CD21" s="97">
        <f t="shared" si="13"/>
        <v>2.1218220338983049</v>
      </c>
    </row>
    <row r="22" spans="1:157" s="92" customFormat="1" ht="15" customHeight="1">
      <c r="A22" s="141" t="s">
        <v>573</v>
      </c>
      <c r="B22" s="97">
        <f t="shared" ref="B22:Z22" si="14">+B20+B13</f>
        <v>26.400000000000002</v>
      </c>
      <c r="C22" s="97">
        <f t="shared" si="14"/>
        <v>23</v>
      </c>
      <c r="D22" s="97">
        <f t="shared" si="14"/>
        <v>25.200000000000003</v>
      </c>
      <c r="E22" s="97">
        <f t="shared" si="14"/>
        <v>16.700000000000003</v>
      </c>
      <c r="F22" s="97">
        <f t="shared" si="14"/>
        <v>176.29999999999998</v>
      </c>
      <c r="G22" s="97">
        <f t="shared" si="14"/>
        <v>205.29999999999998</v>
      </c>
      <c r="H22" s="97">
        <f t="shared" si="14"/>
        <v>177.79999999999998</v>
      </c>
      <c r="I22" s="97">
        <f t="shared" si="14"/>
        <v>202.7</v>
      </c>
      <c r="J22" s="97">
        <f t="shared" si="14"/>
        <v>228.70000000000002</v>
      </c>
      <c r="K22" s="97">
        <f t="shared" si="14"/>
        <v>211.3</v>
      </c>
      <c r="L22" s="97">
        <f t="shared" si="14"/>
        <v>214.70000000000002</v>
      </c>
      <c r="M22" s="97">
        <f t="shared" si="14"/>
        <v>479.2</v>
      </c>
      <c r="N22" s="97">
        <f t="shared" si="14"/>
        <v>535.79999999999995</v>
      </c>
      <c r="O22" s="97">
        <f t="shared" si="14"/>
        <v>590.90000000000009</v>
      </c>
      <c r="P22" s="97">
        <f t="shared" si="14"/>
        <v>776.9</v>
      </c>
      <c r="Q22" s="97">
        <f t="shared" si="14"/>
        <v>799.09999999999991</v>
      </c>
      <c r="R22" s="97">
        <f t="shared" si="14"/>
        <v>829.09999999999991</v>
      </c>
      <c r="S22" s="97">
        <f t="shared" si="14"/>
        <v>861.71299999999997</v>
      </c>
      <c r="T22" s="97">
        <f t="shared" si="14"/>
        <v>894.35212999999999</v>
      </c>
      <c r="U22" s="97">
        <f t="shared" si="14"/>
        <v>927.01765130000013</v>
      </c>
      <c r="V22" s="97">
        <f t="shared" si="14"/>
        <v>959.70982781299995</v>
      </c>
      <c r="W22" s="97">
        <f t="shared" si="14"/>
        <v>992.42892609113005</v>
      </c>
      <c r="X22" s="97">
        <f t="shared" si="14"/>
        <v>1025.1752153520413</v>
      </c>
      <c r="Y22" s="97">
        <f t="shared" si="14"/>
        <v>1057.9489675055618</v>
      </c>
      <c r="Z22" s="97">
        <f t="shared" si="14"/>
        <v>1090.7504571806173</v>
      </c>
      <c r="AA22" s="97"/>
      <c r="AB22" s="228" t="str">
        <f>+A22</f>
        <v>Total RGUs</v>
      </c>
      <c r="AC22" s="97">
        <f t="shared" ref="AC22:CD22" si="15">+AC20+AC13</f>
        <v>26.400000000000002</v>
      </c>
      <c r="AD22" s="97">
        <f t="shared" si="15"/>
        <v>20.500000000000004</v>
      </c>
      <c r="AE22" s="97">
        <f t="shared" si="15"/>
        <v>21.9</v>
      </c>
      <c r="AF22" s="97">
        <f t="shared" si="15"/>
        <v>22.5</v>
      </c>
      <c r="AG22" s="97">
        <f t="shared" si="15"/>
        <v>23</v>
      </c>
      <c r="AH22" s="97">
        <f t="shared" si="15"/>
        <v>24.1</v>
      </c>
      <c r="AI22" s="97">
        <f t="shared" si="15"/>
        <v>24.7</v>
      </c>
      <c r="AJ22" s="97">
        <f t="shared" si="15"/>
        <v>25.1</v>
      </c>
      <c r="AK22" s="97">
        <f t="shared" si="15"/>
        <v>25.200000000000003</v>
      </c>
      <c r="AL22" s="97">
        <f t="shared" si="15"/>
        <v>25.200000000000003</v>
      </c>
      <c r="AM22" s="97">
        <f t="shared" si="15"/>
        <v>25.4</v>
      </c>
      <c r="AN22" s="97">
        <f t="shared" si="15"/>
        <v>25.5</v>
      </c>
      <c r="AO22" s="97">
        <f t="shared" si="15"/>
        <v>16.700000000000003</v>
      </c>
      <c r="AP22" s="97">
        <f t="shared" si="15"/>
        <v>16.700000000000003</v>
      </c>
      <c r="AQ22" s="97">
        <f t="shared" si="15"/>
        <v>16.8</v>
      </c>
      <c r="AR22" s="97">
        <f t="shared" si="15"/>
        <v>172.70000000000002</v>
      </c>
      <c r="AS22" s="97">
        <f t="shared" si="15"/>
        <v>176.29999999999998</v>
      </c>
      <c r="AT22" s="97">
        <f t="shared" si="15"/>
        <v>194.29999999999998</v>
      </c>
      <c r="AU22" s="97">
        <f t="shared" si="15"/>
        <v>197.59999999999997</v>
      </c>
      <c r="AV22" s="97">
        <f t="shared" si="15"/>
        <v>205.4</v>
      </c>
      <c r="AW22" s="97">
        <f t="shared" si="15"/>
        <v>205.29999999999998</v>
      </c>
      <c r="AX22" s="97">
        <f t="shared" si="15"/>
        <v>196.20000000000002</v>
      </c>
      <c r="AY22" s="97">
        <f t="shared" si="15"/>
        <v>194.59999999999997</v>
      </c>
      <c r="AZ22" s="97">
        <f t="shared" si="15"/>
        <v>195.89999999999998</v>
      </c>
      <c r="BA22" s="97">
        <f t="shared" si="15"/>
        <v>177.79999999999998</v>
      </c>
      <c r="BB22" s="97">
        <f t="shared" si="15"/>
        <v>169.7</v>
      </c>
      <c r="BC22" s="97">
        <f t="shared" si="15"/>
        <v>174.2</v>
      </c>
      <c r="BD22" s="97">
        <f t="shared" si="15"/>
        <v>179.2</v>
      </c>
      <c r="BE22" s="97">
        <f t="shared" si="15"/>
        <v>202.7</v>
      </c>
      <c r="BF22" s="97">
        <f t="shared" si="15"/>
        <v>215.79999999999998</v>
      </c>
      <c r="BG22" s="97">
        <f t="shared" si="15"/>
        <v>210.2</v>
      </c>
      <c r="BH22" s="97">
        <f t="shared" si="15"/>
        <v>213.99999999999997</v>
      </c>
      <c r="BI22" s="97">
        <f t="shared" si="15"/>
        <v>228.70000000000002</v>
      </c>
      <c r="BJ22" s="97">
        <f t="shared" si="15"/>
        <v>214.60000000000002</v>
      </c>
      <c r="BK22" s="97">
        <f t="shared" si="15"/>
        <v>213.7</v>
      </c>
      <c r="BL22" s="97">
        <f t="shared" si="15"/>
        <v>210.4</v>
      </c>
      <c r="BM22" s="97">
        <f t="shared" si="15"/>
        <v>211.3</v>
      </c>
      <c r="BN22" s="97">
        <f t="shared" si="15"/>
        <v>214.20000000000002</v>
      </c>
      <c r="BO22" s="97">
        <f t="shared" si="15"/>
        <v>214.89999999999998</v>
      </c>
      <c r="BP22" s="97">
        <f t="shared" si="15"/>
        <v>214.2</v>
      </c>
      <c r="BQ22" s="97">
        <f t="shared" si="15"/>
        <v>214.70000000000002</v>
      </c>
      <c r="BR22" s="97">
        <f t="shared" si="15"/>
        <v>217.70000000000002</v>
      </c>
      <c r="BS22" s="97">
        <f t="shared" si="15"/>
        <v>221.9</v>
      </c>
      <c r="BT22" s="97">
        <f t="shared" si="15"/>
        <v>227.10000000000002</v>
      </c>
      <c r="BU22" s="97">
        <f t="shared" si="15"/>
        <v>479.2</v>
      </c>
      <c r="BV22" s="97">
        <f t="shared" si="15"/>
        <v>491.8</v>
      </c>
      <c r="BW22" s="97">
        <f t="shared" si="15"/>
        <v>505.8</v>
      </c>
      <c r="BX22" s="97">
        <f t="shared" si="15"/>
        <v>519.1</v>
      </c>
      <c r="BY22" s="97">
        <f t="shared" si="15"/>
        <v>535.79999999999995</v>
      </c>
      <c r="BZ22" s="97">
        <f t="shared" si="15"/>
        <v>553</v>
      </c>
      <c r="CA22" s="97">
        <f t="shared" si="15"/>
        <v>561.9</v>
      </c>
      <c r="CB22" s="97">
        <f t="shared" si="15"/>
        <v>577.40000000000009</v>
      </c>
      <c r="CC22" s="97">
        <f t="shared" si="15"/>
        <v>590.90000000000009</v>
      </c>
      <c r="CD22" s="97">
        <f t="shared" si="15"/>
        <v>600.9</v>
      </c>
    </row>
    <row r="23" spans="1:157" s="92" customFormat="1" ht="15" customHeight="1">
      <c r="A23" s="141" t="s">
        <v>574</v>
      </c>
      <c r="B23" s="97"/>
      <c r="C23" s="97"/>
      <c r="D23" s="97"/>
      <c r="E23" s="97">
        <f t="shared" ref="E23:Z23" si="16">+E22/E6</f>
        <v>0.56996587030716728</v>
      </c>
      <c r="F23" s="97">
        <f t="shared" si="16"/>
        <v>1.2433004231311704</v>
      </c>
      <c r="G23" s="97">
        <f t="shared" si="16"/>
        <v>1.3262273901808783</v>
      </c>
      <c r="H23" s="97">
        <f t="shared" si="16"/>
        <v>1.5528384279475982</v>
      </c>
      <c r="I23" s="97">
        <f t="shared" si="16"/>
        <v>1.6807628524046434</v>
      </c>
      <c r="J23" s="97">
        <f t="shared" si="16"/>
        <v>1.8079051383399212</v>
      </c>
      <c r="K23" s="97">
        <f t="shared" si="16"/>
        <v>1.7506213753106876</v>
      </c>
      <c r="L23" s="97">
        <f t="shared" si="16"/>
        <v>1.7656250000000002</v>
      </c>
      <c r="M23" s="97">
        <f t="shared" si="16"/>
        <v>1.7695716395864105</v>
      </c>
      <c r="N23" s="97">
        <f t="shared" si="16"/>
        <v>1.9640762463343107</v>
      </c>
      <c r="O23" s="97">
        <f t="shared" si="16"/>
        <v>2.0983664772727275</v>
      </c>
      <c r="P23" s="97">
        <f t="shared" si="16"/>
        <v>1.9378897480668495</v>
      </c>
      <c r="Q23" s="97">
        <f t="shared" si="16"/>
        <v>1.97944017835026</v>
      </c>
      <c r="R23" s="97">
        <f t="shared" si="16"/>
        <v>2.0537527867228138</v>
      </c>
      <c r="S23" s="97">
        <f t="shared" si="16"/>
        <v>2.1208108034938582</v>
      </c>
      <c r="T23" s="97">
        <f t="shared" si="16"/>
        <v>2.1869359868598801</v>
      </c>
      <c r="U23" s="97">
        <f t="shared" si="16"/>
        <v>2.2521328917072125</v>
      </c>
      <c r="V23" s="97">
        <f t="shared" si="16"/>
        <v>2.3164061371147775</v>
      </c>
      <c r="W23" s="97">
        <f t="shared" si="16"/>
        <v>2.3797604050954067</v>
      </c>
      <c r="X23" s="97">
        <f t="shared" si="16"/>
        <v>2.4422004393286674</v>
      </c>
      <c r="Y23" s="97">
        <f t="shared" si="16"/>
        <v>2.5037310438857876</v>
      </c>
      <c r="Z23" s="97">
        <f t="shared" si="16"/>
        <v>2.5643570819472519</v>
      </c>
      <c r="AA23" s="97"/>
      <c r="AB23" s="228" t="str">
        <f>+A23</f>
        <v>Total RGUs per customer</v>
      </c>
      <c r="AC23" s="97" t="e">
        <f t="shared" ref="AC23:CD23" si="17">+AC22/AC6</f>
        <v>#DIV/0!</v>
      </c>
      <c r="AD23" s="97" t="e">
        <f t="shared" si="17"/>
        <v>#DIV/0!</v>
      </c>
      <c r="AE23" s="97" t="e">
        <f t="shared" si="17"/>
        <v>#DIV/0!</v>
      </c>
      <c r="AF23" s="97" t="e">
        <f t="shared" si="17"/>
        <v>#DIV/0!</v>
      </c>
      <c r="AG23" s="97" t="e">
        <f t="shared" si="17"/>
        <v>#DIV/0!</v>
      </c>
      <c r="AH23" s="97" t="e">
        <f t="shared" si="17"/>
        <v>#DIV/0!</v>
      </c>
      <c r="AI23" s="97" t="e">
        <f t="shared" si="17"/>
        <v>#DIV/0!</v>
      </c>
      <c r="AJ23" s="97" t="e">
        <f t="shared" si="17"/>
        <v>#DIV/0!</v>
      </c>
      <c r="AK23" s="97" t="e">
        <f t="shared" si="17"/>
        <v>#DIV/0!</v>
      </c>
      <c r="AL23" s="97" t="e">
        <f t="shared" si="17"/>
        <v>#DIV/0!</v>
      </c>
      <c r="AM23" s="97" t="e">
        <f t="shared" si="17"/>
        <v>#DIV/0!</v>
      </c>
      <c r="AN23" s="97" t="e">
        <f t="shared" si="17"/>
        <v>#DIV/0!</v>
      </c>
      <c r="AO23" s="97">
        <f t="shared" si="17"/>
        <v>0.56996587030716728</v>
      </c>
      <c r="AP23" s="97">
        <f t="shared" si="17"/>
        <v>0.57986111111111127</v>
      </c>
      <c r="AQ23" s="97">
        <f t="shared" si="17"/>
        <v>0.58741258741258739</v>
      </c>
      <c r="AR23" s="97">
        <f t="shared" si="17"/>
        <v>1.2222222222222223</v>
      </c>
      <c r="AS23" s="97">
        <f t="shared" si="17"/>
        <v>1.2433004231311704</v>
      </c>
      <c r="AT23" s="97">
        <f t="shared" si="17"/>
        <v>1.3299110198494182</v>
      </c>
      <c r="AU23" s="97">
        <f t="shared" si="17"/>
        <v>1.3060145406477195</v>
      </c>
      <c r="AV23" s="97">
        <f t="shared" si="17"/>
        <v>1.3346328784925277</v>
      </c>
      <c r="AW23" s="97">
        <f t="shared" si="17"/>
        <v>1.3262273901808783</v>
      </c>
      <c r="AX23" s="97">
        <f t="shared" si="17"/>
        <v>1.3346938775510204</v>
      </c>
      <c r="AY23" s="97">
        <f t="shared" si="17"/>
        <v>1.3429951690821254</v>
      </c>
      <c r="AZ23" s="97">
        <f t="shared" si="17"/>
        <v>1.3585298196948679</v>
      </c>
      <c r="BA23" s="97">
        <f t="shared" si="17"/>
        <v>1.5528384279475982</v>
      </c>
      <c r="BB23" s="97">
        <f t="shared" si="17"/>
        <v>1.4529109589041096</v>
      </c>
      <c r="BC23" s="97">
        <f t="shared" si="17"/>
        <v>1.4978503869303526</v>
      </c>
      <c r="BD23" s="97">
        <f t="shared" si="17"/>
        <v>1.5020955574182733</v>
      </c>
      <c r="BE23" s="97">
        <f t="shared" si="17"/>
        <v>1.6807628524046434</v>
      </c>
      <c r="BF23" s="97">
        <f t="shared" si="17"/>
        <v>1.7181528662420382</v>
      </c>
      <c r="BG23" s="97">
        <f t="shared" si="17"/>
        <v>1.6345256609642302</v>
      </c>
      <c r="BH23" s="97">
        <f t="shared" si="17"/>
        <v>1.6589147286821704</v>
      </c>
      <c r="BI23" s="97">
        <f t="shared" si="17"/>
        <v>1.8079051383399212</v>
      </c>
      <c r="BJ23" s="97">
        <f t="shared" si="17"/>
        <v>1.7181745396317054</v>
      </c>
      <c r="BK23" s="97">
        <f t="shared" si="17"/>
        <v>1.7430668841761827</v>
      </c>
      <c r="BL23" s="97">
        <f t="shared" si="17"/>
        <v>1.7402812241521919</v>
      </c>
      <c r="BM23" s="97">
        <f t="shared" si="17"/>
        <v>1.7506213753106876</v>
      </c>
      <c r="BN23" s="97">
        <f t="shared" si="17"/>
        <v>1.7586206896551726</v>
      </c>
      <c r="BO23" s="97">
        <f t="shared" si="17"/>
        <v>1.7643678160919538</v>
      </c>
      <c r="BP23" s="97">
        <f t="shared" si="17"/>
        <v>1.7586206896551724</v>
      </c>
      <c r="BQ23" s="97">
        <f t="shared" si="17"/>
        <v>1.7656250000000002</v>
      </c>
      <c r="BR23" s="97">
        <f t="shared" si="17"/>
        <v>1.7742461287693563</v>
      </c>
      <c r="BS23" s="97">
        <f t="shared" si="17"/>
        <v>1.7953074433656959</v>
      </c>
      <c r="BT23" s="97">
        <f t="shared" si="17"/>
        <v>1.8211708099438655</v>
      </c>
      <c r="BU23" s="97">
        <f t="shared" si="17"/>
        <v>1.7695716395864105</v>
      </c>
      <c r="BV23" s="97">
        <f t="shared" si="17"/>
        <v>1.8001464128843339</v>
      </c>
      <c r="BW23" s="97">
        <f t="shared" si="17"/>
        <v>1.8588754134509371</v>
      </c>
      <c r="BX23" s="97">
        <f t="shared" si="17"/>
        <v>1.91549815498155</v>
      </c>
      <c r="BY23" s="97">
        <f t="shared" si="17"/>
        <v>1.9640762463343107</v>
      </c>
      <c r="BZ23" s="97">
        <f t="shared" si="17"/>
        <v>2.0087177624409733</v>
      </c>
      <c r="CA23" s="97">
        <f t="shared" si="17"/>
        <v>2.0380848748639826</v>
      </c>
      <c r="CB23" s="97">
        <f t="shared" si="17"/>
        <v>2.0710186513629845</v>
      </c>
      <c r="CC23" s="97">
        <f t="shared" si="17"/>
        <v>2.0983664772727275</v>
      </c>
      <c r="CD23" s="97">
        <f t="shared" si="17"/>
        <v>2.1218220338983049</v>
      </c>
    </row>
    <row r="24" spans="1:157" s="92" customFormat="1" ht="15" customHeight="1">
      <c r="A24" s="14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14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row>
    <row r="25" spans="1:157" s="92" customFormat="1" ht="15" customHeight="1">
      <c r="A25" s="14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14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row>
    <row r="26" spans="1:157" s="92" customFormat="1" ht="15" customHeight="1">
      <c r="A26" s="93" t="str">
        <f>CONCATENATE(A$1," net adds")</f>
        <v>Liberty Puerto Rico net adds</v>
      </c>
      <c r="B26" s="94">
        <f t="shared" ref="B26:Z26" si="18">+B$1</f>
        <v>2001</v>
      </c>
      <c r="C26" s="94">
        <f t="shared" si="18"/>
        <v>2002</v>
      </c>
      <c r="D26" s="94">
        <f t="shared" si="18"/>
        <v>2003</v>
      </c>
      <c r="E26" s="94">
        <f t="shared" si="18"/>
        <v>2004</v>
      </c>
      <c r="F26" s="94">
        <f t="shared" si="18"/>
        <v>2005</v>
      </c>
      <c r="G26" s="94">
        <f t="shared" si="18"/>
        <v>2006</v>
      </c>
      <c r="H26" s="94">
        <f t="shared" si="18"/>
        <v>2007</v>
      </c>
      <c r="I26" s="94">
        <f t="shared" si="18"/>
        <v>2008</v>
      </c>
      <c r="J26" s="94">
        <f t="shared" si="18"/>
        <v>2009</v>
      </c>
      <c r="K26" s="94">
        <f t="shared" si="18"/>
        <v>2010</v>
      </c>
      <c r="L26" s="94">
        <f t="shared" si="18"/>
        <v>2011</v>
      </c>
      <c r="M26" s="94">
        <f t="shared" si="18"/>
        <v>2012</v>
      </c>
      <c r="N26" s="94">
        <f t="shared" si="18"/>
        <v>2013</v>
      </c>
      <c r="O26" s="94">
        <f t="shared" si="18"/>
        <v>2014</v>
      </c>
      <c r="P26" s="94">
        <f t="shared" si="18"/>
        <v>2015</v>
      </c>
      <c r="Q26" s="94">
        <f t="shared" si="18"/>
        <v>2016</v>
      </c>
      <c r="R26" s="94" t="str">
        <f t="shared" si="18"/>
        <v>2017E</v>
      </c>
      <c r="S26" s="94" t="str">
        <f t="shared" si="18"/>
        <v>2018E</v>
      </c>
      <c r="T26" s="94" t="str">
        <f t="shared" si="18"/>
        <v>2019E</v>
      </c>
      <c r="U26" s="94" t="str">
        <f t="shared" si="18"/>
        <v>2020E</v>
      </c>
      <c r="V26" s="94" t="str">
        <f t="shared" si="18"/>
        <v>2021E</v>
      </c>
      <c r="W26" s="94" t="str">
        <f t="shared" si="18"/>
        <v>2022E</v>
      </c>
      <c r="X26" s="94" t="str">
        <f t="shared" si="18"/>
        <v>2023E</v>
      </c>
      <c r="Y26" s="94" t="str">
        <f t="shared" si="18"/>
        <v>2024E</v>
      </c>
      <c r="Z26" s="94" t="str">
        <f t="shared" si="18"/>
        <v>2025E</v>
      </c>
      <c r="AA26" s="91"/>
      <c r="AB26" s="93" t="str">
        <f t="shared" ref="AB26:AB35" si="19">+A26</f>
        <v>Liberty Puerto Rico net adds</v>
      </c>
      <c r="AC26" s="94" t="str">
        <f>+AC$1</f>
        <v>Q4 01</v>
      </c>
      <c r="AD26" s="94" t="str">
        <f t="shared" ref="AD26:CD26" si="20">+AD1</f>
        <v>Q1 02</v>
      </c>
      <c r="AE26" s="94" t="str">
        <f t="shared" si="20"/>
        <v>Q2 02</v>
      </c>
      <c r="AF26" s="94" t="str">
        <f t="shared" si="20"/>
        <v>Q3 02</v>
      </c>
      <c r="AG26" s="94" t="str">
        <f t="shared" si="20"/>
        <v>Q4 02</v>
      </c>
      <c r="AH26" s="94" t="str">
        <f t="shared" si="20"/>
        <v>Q1 03</v>
      </c>
      <c r="AI26" s="94" t="str">
        <f t="shared" si="20"/>
        <v>Q2 03</v>
      </c>
      <c r="AJ26" s="94" t="str">
        <f t="shared" si="20"/>
        <v>Q3 03</v>
      </c>
      <c r="AK26" s="94" t="str">
        <f t="shared" si="20"/>
        <v>Q4 03</v>
      </c>
      <c r="AL26" s="94" t="str">
        <f t="shared" si="20"/>
        <v>1Q04</v>
      </c>
      <c r="AM26" s="94" t="str">
        <f t="shared" si="20"/>
        <v>Q2 04</v>
      </c>
      <c r="AN26" s="94" t="str">
        <f t="shared" si="20"/>
        <v>Q3 04</v>
      </c>
      <c r="AO26" s="94" t="str">
        <f t="shared" si="20"/>
        <v>Q4 04</v>
      </c>
      <c r="AP26" s="94" t="str">
        <f t="shared" si="20"/>
        <v>Q1 05</v>
      </c>
      <c r="AQ26" s="94" t="str">
        <f t="shared" si="20"/>
        <v>Q2 05</v>
      </c>
      <c r="AR26" s="94" t="str">
        <f t="shared" si="20"/>
        <v>Q3 05</v>
      </c>
      <c r="AS26" s="94" t="str">
        <f t="shared" si="20"/>
        <v>Q4 05</v>
      </c>
      <c r="AT26" s="94" t="str">
        <f t="shared" si="20"/>
        <v>Q1 06</v>
      </c>
      <c r="AU26" s="94" t="str">
        <f t="shared" si="20"/>
        <v>Q2 06</v>
      </c>
      <c r="AV26" s="94" t="str">
        <f t="shared" si="20"/>
        <v>Q3 06</v>
      </c>
      <c r="AW26" s="94" t="str">
        <f t="shared" si="20"/>
        <v>Q4 06</v>
      </c>
      <c r="AX26" s="94" t="str">
        <f t="shared" si="20"/>
        <v>Q1 07</v>
      </c>
      <c r="AY26" s="94" t="str">
        <f t="shared" si="20"/>
        <v>Q2 07</v>
      </c>
      <c r="AZ26" s="94" t="str">
        <f t="shared" si="20"/>
        <v>Q3 07</v>
      </c>
      <c r="BA26" s="94" t="str">
        <f t="shared" si="20"/>
        <v>Q4 07</v>
      </c>
      <c r="BB26" s="94" t="str">
        <f t="shared" si="20"/>
        <v>Q1 08</v>
      </c>
      <c r="BC26" s="94" t="str">
        <f t="shared" si="20"/>
        <v>Q2 08</v>
      </c>
      <c r="BD26" s="94" t="str">
        <f t="shared" si="20"/>
        <v>Q3 08</v>
      </c>
      <c r="BE26" s="94" t="str">
        <f t="shared" si="20"/>
        <v>Q4 08</v>
      </c>
      <c r="BF26" s="94" t="str">
        <f t="shared" si="20"/>
        <v>Q1 09</v>
      </c>
      <c r="BG26" s="94" t="str">
        <f t="shared" si="20"/>
        <v>Q2 09</v>
      </c>
      <c r="BH26" s="94" t="str">
        <f t="shared" si="20"/>
        <v>Q3 09</v>
      </c>
      <c r="BI26" s="94" t="str">
        <f t="shared" si="20"/>
        <v>Q4 09</v>
      </c>
      <c r="BJ26" s="94" t="str">
        <f t="shared" si="20"/>
        <v>Q1 10</v>
      </c>
      <c r="BK26" s="94" t="str">
        <f t="shared" si="20"/>
        <v>Q2 10</v>
      </c>
      <c r="BL26" s="94" t="str">
        <f t="shared" si="20"/>
        <v>Q3 10</v>
      </c>
      <c r="BM26" s="94" t="str">
        <f t="shared" si="20"/>
        <v>Q4 10</v>
      </c>
      <c r="BN26" s="94" t="str">
        <f t="shared" si="20"/>
        <v>Q1 11</v>
      </c>
      <c r="BO26" s="94" t="str">
        <f t="shared" si="20"/>
        <v>Q2 11</v>
      </c>
      <c r="BP26" s="94" t="str">
        <f t="shared" si="20"/>
        <v>Q3 11</v>
      </c>
      <c r="BQ26" s="94" t="str">
        <f t="shared" si="20"/>
        <v>Q4 11</v>
      </c>
      <c r="BR26" s="94" t="str">
        <f t="shared" si="20"/>
        <v>Q1 12</v>
      </c>
      <c r="BS26" s="94" t="str">
        <f t="shared" si="20"/>
        <v>Q2 12</v>
      </c>
      <c r="BT26" s="94" t="str">
        <f t="shared" si="20"/>
        <v>Q3 12</v>
      </c>
      <c r="BU26" s="94" t="str">
        <f t="shared" si="20"/>
        <v>Q4 12</v>
      </c>
      <c r="BV26" s="94" t="str">
        <f t="shared" si="20"/>
        <v>Q1 13</v>
      </c>
      <c r="BW26" s="94" t="str">
        <f t="shared" si="20"/>
        <v>Q2 13</v>
      </c>
      <c r="BX26" s="94" t="str">
        <f t="shared" si="20"/>
        <v>Q3 13</v>
      </c>
      <c r="BY26" s="94" t="str">
        <f t="shared" si="20"/>
        <v>Q4 13</v>
      </c>
      <c r="BZ26" s="94" t="str">
        <f t="shared" si="20"/>
        <v>Q1 14</v>
      </c>
      <c r="CA26" s="94" t="str">
        <f t="shared" si="20"/>
        <v>Q2 14</v>
      </c>
      <c r="CB26" s="94" t="str">
        <f t="shared" si="20"/>
        <v>Q3 14</v>
      </c>
      <c r="CC26" s="94" t="str">
        <f t="shared" si="20"/>
        <v>Q4 14</v>
      </c>
      <c r="CD26" s="94" t="str">
        <f t="shared" si="20"/>
        <v>Q1 15</v>
      </c>
    </row>
    <row r="27" spans="1:157" s="92" customFormat="1" ht="15" customHeight="1">
      <c r="A27" s="141" t="s">
        <v>575</v>
      </c>
      <c r="B27" s="97"/>
      <c r="C27" s="97">
        <f t="shared" ref="C27:Q27" si="21">+C4-B4</f>
        <v>75.100000000000023</v>
      </c>
      <c r="D27" s="97">
        <f t="shared" si="21"/>
        <v>0.19999999999993179</v>
      </c>
      <c r="E27" s="97">
        <f t="shared" si="21"/>
        <v>-447.59999999999997</v>
      </c>
      <c r="F27" s="97">
        <f t="shared" si="21"/>
        <v>330.70000000000005</v>
      </c>
      <c r="G27" s="97">
        <f t="shared" si="21"/>
        <v>4.3000000000000114</v>
      </c>
      <c r="H27" s="97">
        <f t="shared" si="21"/>
        <v>-76.400000000000034</v>
      </c>
      <c r="I27" s="97">
        <f t="shared" si="21"/>
        <v>4.5</v>
      </c>
      <c r="J27" s="97">
        <f t="shared" si="21"/>
        <v>3</v>
      </c>
      <c r="K27" s="97">
        <f t="shared" si="21"/>
        <v>3.8999999999999773</v>
      </c>
      <c r="L27" s="97">
        <f t="shared" si="21"/>
        <v>0.80000000000001137</v>
      </c>
      <c r="M27" s="97">
        <f t="shared" si="21"/>
        <v>349.4</v>
      </c>
      <c r="N27" s="97">
        <f t="shared" si="21"/>
        <v>2.2000000000000455</v>
      </c>
      <c r="O27" s="97">
        <f t="shared" si="21"/>
        <v>1.8999999999999773</v>
      </c>
      <c r="P27" s="97">
        <f t="shared" si="21"/>
        <v>364.20000000000005</v>
      </c>
      <c r="Q27" s="97">
        <f t="shared" si="21"/>
        <v>21.599999999999909</v>
      </c>
      <c r="R27" s="100">
        <v>30</v>
      </c>
      <c r="S27" s="100">
        <v>3</v>
      </c>
      <c r="T27" s="100">
        <v>3</v>
      </c>
      <c r="U27" s="100">
        <v>3</v>
      </c>
      <c r="V27" s="100">
        <v>3</v>
      </c>
      <c r="W27" s="100">
        <v>3</v>
      </c>
      <c r="X27" s="100">
        <v>3</v>
      </c>
      <c r="Y27" s="100">
        <v>3</v>
      </c>
      <c r="Z27" s="100">
        <v>3</v>
      </c>
      <c r="AA27" s="97"/>
      <c r="AB27" s="228" t="str">
        <f t="shared" si="19"/>
        <v>HP added</v>
      </c>
      <c r="AC27" s="97"/>
      <c r="AD27" s="97">
        <f t="shared" ref="AD27:BI27" si="22">+AD4-AC4</f>
        <v>0.5</v>
      </c>
      <c r="AE27" s="97">
        <f t="shared" si="22"/>
        <v>0.69999999999998863</v>
      </c>
      <c r="AF27" s="97">
        <f t="shared" si="22"/>
        <v>73.099999999999966</v>
      </c>
      <c r="AG27" s="97">
        <f t="shared" si="22"/>
        <v>0.80000000000006821</v>
      </c>
      <c r="AH27" s="97">
        <f t="shared" si="22"/>
        <v>0.10000000000002274</v>
      </c>
      <c r="AI27" s="97">
        <f t="shared" si="22"/>
        <v>9.9999999999909051E-2</v>
      </c>
      <c r="AJ27" s="97">
        <f t="shared" si="22"/>
        <v>0</v>
      </c>
      <c r="AK27" s="97">
        <f t="shared" si="22"/>
        <v>0</v>
      </c>
      <c r="AL27" s="97">
        <f t="shared" si="22"/>
        <v>28.300000000000068</v>
      </c>
      <c r="AM27" s="97">
        <f t="shared" si="22"/>
        <v>0</v>
      </c>
      <c r="AN27" s="97">
        <f t="shared" si="22"/>
        <v>-475.90000000000003</v>
      </c>
      <c r="AO27" s="97">
        <f t="shared" si="22"/>
        <v>0</v>
      </c>
      <c r="AP27" s="97">
        <f t="shared" si="22"/>
        <v>0</v>
      </c>
      <c r="AQ27" s="97">
        <f t="shared" si="22"/>
        <v>-0.5</v>
      </c>
      <c r="AR27" s="97">
        <f t="shared" si="22"/>
        <v>329.7</v>
      </c>
      <c r="AS27" s="97">
        <f t="shared" si="22"/>
        <v>1.5000000000000568</v>
      </c>
      <c r="AT27" s="97">
        <f t="shared" si="22"/>
        <v>0.89999999999997726</v>
      </c>
      <c r="AU27" s="97">
        <f t="shared" si="22"/>
        <v>0.69999999999998863</v>
      </c>
      <c r="AV27" s="97">
        <f t="shared" si="22"/>
        <v>1.3000000000000114</v>
      </c>
      <c r="AW27" s="97">
        <f t="shared" si="22"/>
        <v>1.4000000000000341</v>
      </c>
      <c r="AX27" s="97">
        <f t="shared" si="22"/>
        <v>0.99999999999994316</v>
      </c>
      <c r="AY27" s="97">
        <f t="shared" si="22"/>
        <v>1.5999999999999659</v>
      </c>
      <c r="AZ27" s="97">
        <f t="shared" si="22"/>
        <v>1.2000000000000455</v>
      </c>
      <c r="BA27" s="97">
        <f t="shared" si="22"/>
        <v>-80.199999999999989</v>
      </c>
      <c r="BB27" s="97">
        <f t="shared" si="22"/>
        <v>0.69999999999998863</v>
      </c>
      <c r="BC27" s="97">
        <f t="shared" si="22"/>
        <v>0.69999999999998863</v>
      </c>
      <c r="BD27" s="97">
        <f t="shared" si="22"/>
        <v>1.1999999999999886</v>
      </c>
      <c r="BE27" s="97">
        <f t="shared" si="22"/>
        <v>1.9000000000000341</v>
      </c>
      <c r="BF27" s="97">
        <f t="shared" si="22"/>
        <v>0.89999999999997726</v>
      </c>
      <c r="BG27" s="97">
        <f t="shared" si="22"/>
        <v>0.80000000000001137</v>
      </c>
      <c r="BH27" s="97">
        <f t="shared" si="22"/>
        <v>0.69999999999998863</v>
      </c>
      <c r="BI27" s="97">
        <f t="shared" si="22"/>
        <v>0.60000000000002274</v>
      </c>
      <c r="BJ27" s="97">
        <f t="shared" ref="BJ27:CD27" si="23">+BJ4-BI4</f>
        <v>0.19999999999998863</v>
      </c>
      <c r="BK27" s="97">
        <f t="shared" si="23"/>
        <v>1.3000000000000114</v>
      </c>
      <c r="BL27" s="97">
        <f t="shared" si="23"/>
        <v>0.89999999999997726</v>
      </c>
      <c r="BM27" s="97">
        <f t="shared" si="23"/>
        <v>1.5</v>
      </c>
      <c r="BN27" s="97">
        <f t="shared" si="23"/>
        <v>0.30000000000001137</v>
      </c>
      <c r="BO27" s="97">
        <f t="shared" si="23"/>
        <v>0.10000000000002274</v>
      </c>
      <c r="BP27" s="97">
        <f t="shared" si="23"/>
        <v>0.39999999999997726</v>
      </c>
      <c r="BQ27" s="97">
        <f t="shared" si="23"/>
        <v>0</v>
      </c>
      <c r="BR27" s="97">
        <f t="shared" si="23"/>
        <v>0</v>
      </c>
      <c r="BS27" s="97">
        <f t="shared" si="23"/>
        <v>0.5</v>
      </c>
      <c r="BT27" s="97">
        <f t="shared" si="23"/>
        <v>0.30000000000001137</v>
      </c>
      <c r="BU27" s="97">
        <f t="shared" si="23"/>
        <v>348.59999999999997</v>
      </c>
      <c r="BV27" s="97">
        <f t="shared" si="23"/>
        <v>0.60000000000002274</v>
      </c>
      <c r="BW27" s="97">
        <f t="shared" si="23"/>
        <v>1.2000000000000455</v>
      </c>
      <c r="BX27" s="97">
        <f t="shared" si="23"/>
        <v>9.9999999999909051E-2</v>
      </c>
      <c r="BY27" s="97">
        <f t="shared" si="23"/>
        <v>0.30000000000006821</v>
      </c>
      <c r="BZ27" s="97">
        <f t="shared" si="23"/>
        <v>0.10000000000002274</v>
      </c>
      <c r="CA27" s="97">
        <f t="shared" si="23"/>
        <v>9.9999999999909051E-2</v>
      </c>
      <c r="CB27" s="97">
        <f t="shared" si="23"/>
        <v>0.80000000000006821</v>
      </c>
      <c r="CC27" s="144">
        <f t="shared" si="23"/>
        <v>0.89999999999997726</v>
      </c>
      <c r="CD27" s="144">
        <f t="shared" si="23"/>
        <v>0.39999999999997726</v>
      </c>
      <c r="CE27" s="99"/>
      <c r="CF27" s="99"/>
      <c r="CH27" s="99"/>
      <c r="CI27" s="99"/>
      <c r="CJ27" s="99"/>
      <c r="CK27" s="99"/>
      <c r="CL27" s="99"/>
      <c r="CM27" s="99"/>
      <c r="CN27" s="99"/>
    </row>
    <row r="28" spans="1:157" s="92" customFormat="1" ht="15" customHeight="1">
      <c r="A28" s="141" t="s">
        <v>576</v>
      </c>
      <c r="B28" s="97"/>
      <c r="C28" s="97">
        <f t="shared" ref="C28:R35" si="24">+C6-B6</f>
        <v>0</v>
      </c>
      <c r="D28" s="97">
        <f t="shared" si="24"/>
        <v>0</v>
      </c>
      <c r="E28" s="97">
        <f t="shared" si="24"/>
        <v>29.3</v>
      </c>
      <c r="F28" s="97">
        <f t="shared" si="24"/>
        <v>112.50000000000001</v>
      </c>
      <c r="G28" s="97">
        <f t="shared" si="24"/>
        <v>13</v>
      </c>
      <c r="H28" s="97">
        <f t="shared" si="24"/>
        <v>-40.300000000000011</v>
      </c>
      <c r="I28" s="97">
        <f t="shared" si="24"/>
        <v>6.0999999999999943</v>
      </c>
      <c r="J28" s="97">
        <f t="shared" si="24"/>
        <v>5.9000000000000057</v>
      </c>
      <c r="K28" s="97">
        <f t="shared" si="24"/>
        <v>-5.7999999999999972</v>
      </c>
      <c r="L28" s="97">
        <f t="shared" si="24"/>
        <v>0.89999999999999147</v>
      </c>
      <c r="M28" s="97">
        <f t="shared" si="24"/>
        <v>149.20000000000002</v>
      </c>
      <c r="N28" s="97">
        <f t="shared" si="24"/>
        <v>2</v>
      </c>
      <c r="O28" s="97">
        <f t="shared" si="24"/>
        <v>8.8000000000000114</v>
      </c>
      <c r="P28" s="97">
        <f t="shared" si="24"/>
        <v>119.29999999999995</v>
      </c>
      <c r="Q28" s="97">
        <f t="shared" si="24"/>
        <v>2.8000000000000114</v>
      </c>
      <c r="R28" s="100">
        <f t="shared" ref="R28:Z28" si="25">+R32</f>
        <v>0</v>
      </c>
      <c r="S28" s="100">
        <f t="shared" si="25"/>
        <v>2.6129999999999995</v>
      </c>
      <c r="T28" s="100">
        <f t="shared" si="25"/>
        <v>2.6391300000000228</v>
      </c>
      <c r="U28" s="100">
        <f t="shared" si="25"/>
        <v>2.6655213000000231</v>
      </c>
      <c r="V28" s="100">
        <f t="shared" si="25"/>
        <v>2.6921765129999926</v>
      </c>
      <c r="W28" s="100">
        <f t="shared" si="25"/>
        <v>2.7190982781299908</v>
      </c>
      <c r="X28" s="100">
        <f t="shared" si="25"/>
        <v>2.7462892609112828</v>
      </c>
      <c r="Y28" s="100">
        <f t="shared" si="25"/>
        <v>2.7737521535204337</v>
      </c>
      <c r="Z28" s="100">
        <f t="shared" si="25"/>
        <v>2.8014896750556204</v>
      </c>
      <c r="AA28" s="97"/>
      <c r="AB28" s="228" t="str">
        <f t="shared" si="19"/>
        <v>Customer adds</v>
      </c>
      <c r="AC28" s="97"/>
      <c r="AD28" s="97">
        <f t="shared" ref="AD28:CB32" si="26">+AD6-AC6</f>
        <v>0</v>
      </c>
      <c r="AE28" s="97">
        <f t="shared" si="26"/>
        <v>0</v>
      </c>
      <c r="AF28" s="97">
        <f t="shared" si="26"/>
        <v>0</v>
      </c>
      <c r="AG28" s="97">
        <f t="shared" si="26"/>
        <v>0</v>
      </c>
      <c r="AH28" s="97">
        <f t="shared" si="26"/>
        <v>0</v>
      </c>
      <c r="AI28" s="97">
        <f t="shared" si="26"/>
        <v>0</v>
      </c>
      <c r="AJ28" s="97">
        <f t="shared" si="26"/>
        <v>0</v>
      </c>
      <c r="AK28" s="97">
        <f t="shared" si="26"/>
        <v>0</v>
      </c>
      <c r="AL28" s="97">
        <f t="shared" si="26"/>
        <v>0</v>
      </c>
      <c r="AM28" s="97">
        <f t="shared" si="26"/>
        <v>0</v>
      </c>
      <c r="AN28" s="97">
        <f t="shared" si="26"/>
        <v>0</v>
      </c>
      <c r="AO28" s="97">
        <f t="shared" si="26"/>
        <v>29.3</v>
      </c>
      <c r="AP28" s="97">
        <f t="shared" si="26"/>
        <v>-0.50000000000000355</v>
      </c>
      <c r="AQ28" s="97">
        <f t="shared" si="26"/>
        <v>-0.19999999999999574</v>
      </c>
      <c r="AR28" s="97">
        <f t="shared" si="26"/>
        <v>112.70000000000002</v>
      </c>
      <c r="AS28" s="97">
        <f t="shared" si="26"/>
        <v>0.5</v>
      </c>
      <c r="AT28" s="97">
        <f t="shared" si="26"/>
        <v>4.2999999999999829</v>
      </c>
      <c r="AU28" s="97">
        <f t="shared" si="26"/>
        <v>5.2000000000000171</v>
      </c>
      <c r="AV28" s="97">
        <f t="shared" si="26"/>
        <v>2.5999999999999943</v>
      </c>
      <c r="AW28" s="97">
        <f t="shared" si="26"/>
        <v>0.90000000000000568</v>
      </c>
      <c r="AX28" s="97">
        <f t="shared" si="26"/>
        <v>-7.8000000000000114</v>
      </c>
      <c r="AY28" s="97">
        <f t="shared" si="26"/>
        <v>-2.0999999999999943</v>
      </c>
      <c r="AZ28" s="97">
        <f t="shared" si="26"/>
        <v>-0.69999999999998863</v>
      </c>
      <c r="BA28" s="97">
        <f t="shared" si="26"/>
        <v>-29.700000000000017</v>
      </c>
      <c r="BB28" s="97">
        <f t="shared" si="26"/>
        <v>2.2999999999999972</v>
      </c>
      <c r="BC28" s="97">
        <f t="shared" si="26"/>
        <v>-0.5</v>
      </c>
      <c r="BD28" s="97">
        <f t="shared" si="26"/>
        <v>3</v>
      </c>
      <c r="BE28" s="97">
        <f t="shared" si="26"/>
        <v>1.2999999999999972</v>
      </c>
      <c r="BF28" s="97">
        <f t="shared" si="26"/>
        <v>5</v>
      </c>
      <c r="BG28" s="97">
        <f t="shared" si="26"/>
        <v>3</v>
      </c>
      <c r="BH28" s="97">
        <f t="shared" si="26"/>
        <v>0.40000000000000568</v>
      </c>
      <c r="BI28" s="97">
        <f t="shared" si="26"/>
        <v>-2.5</v>
      </c>
      <c r="BJ28" s="97">
        <f t="shared" si="26"/>
        <v>-1.5999999999999943</v>
      </c>
      <c r="BK28" s="97">
        <f t="shared" si="26"/>
        <v>-2.3000000000000114</v>
      </c>
      <c r="BL28" s="97">
        <f t="shared" si="26"/>
        <v>-1.6999999999999886</v>
      </c>
      <c r="BM28" s="97">
        <f t="shared" si="26"/>
        <v>-0.20000000000000284</v>
      </c>
      <c r="BN28" s="97">
        <f t="shared" si="26"/>
        <v>1.0999999999999943</v>
      </c>
      <c r="BO28" s="97">
        <f t="shared" si="26"/>
        <v>0</v>
      </c>
      <c r="BP28" s="97">
        <f t="shared" si="26"/>
        <v>0</v>
      </c>
      <c r="BQ28" s="97">
        <f t="shared" si="26"/>
        <v>-0.20000000000000284</v>
      </c>
      <c r="BR28" s="97">
        <f t="shared" si="26"/>
        <v>1.1000000000000085</v>
      </c>
      <c r="BS28" s="97">
        <f t="shared" si="26"/>
        <v>0.89999999999999147</v>
      </c>
      <c r="BT28" s="97">
        <f t="shared" si="26"/>
        <v>1.1000000000000085</v>
      </c>
      <c r="BU28" s="97">
        <f t="shared" si="26"/>
        <v>146.10000000000002</v>
      </c>
      <c r="BV28" s="97">
        <f t="shared" si="26"/>
        <v>2.3999999999999773</v>
      </c>
      <c r="BW28" s="97">
        <f t="shared" si="26"/>
        <v>-1.0999999999999659</v>
      </c>
      <c r="BX28" s="97">
        <f t="shared" si="26"/>
        <v>-1.1000000000000227</v>
      </c>
      <c r="BY28" s="97">
        <f t="shared" si="26"/>
        <v>1.8000000000000114</v>
      </c>
      <c r="BZ28" s="97">
        <f t="shared" si="26"/>
        <v>2.5</v>
      </c>
      <c r="CA28" s="97">
        <f t="shared" si="26"/>
        <v>0.39999999999997726</v>
      </c>
      <c r="CB28" s="97">
        <f t="shared" si="26"/>
        <v>3.1000000000000227</v>
      </c>
      <c r="CC28" s="144">
        <f t="shared" ref="CC28:CD35" si="27">+CC5-CB5</f>
        <v>0.89999999999997726</v>
      </c>
      <c r="CD28" s="144">
        <f t="shared" si="27"/>
        <v>0.39999999999997726</v>
      </c>
      <c r="CE28" s="99"/>
      <c r="CF28" s="99"/>
      <c r="CH28" s="99"/>
      <c r="CI28" s="99"/>
      <c r="CJ28" s="99"/>
      <c r="CK28" s="99"/>
      <c r="CL28" s="99"/>
      <c r="CM28" s="99"/>
      <c r="CN28" s="99"/>
    </row>
    <row r="29" spans="1:157" s="92" customFormat="1" ht="15" customHeight="1">
      <c r="A29" s="141" t="s">
        <v>753</v>
      </c>
      <c r="B29" s="97"/>
      <c r="C29" s="97">
        <f t="shared" si="24"/>
        <v>-7</v>
      </c>
      <c r="D29" s="97">
        <f t="shared" si="24"/>
        <v>3.3000000000000007</v>
      </c>
      <c r="E29" s="97">
        <f t="shared" si="24"/>
        <v>-2.4000000000000004</v>
      </c>
      <c r="F29" s="97">
        <f t="shared" si="24"/>
        <v>55.1</v>
      </c>
      <c r="G29" s="97">
        <f t="shared" si="24"/>
        <v>-56.4</v>
      </c>
      <c r="H29" s="97">
        <f t="shared" si="24"/>
        <v>-11.1</v>
      </c>
      <c r="I29" s="97">
        <f t="shared" si="24"/>
        <v>0</v>
      </c>
      <c r="J29" s="97">
        <f t="shared" si="24"/>
        <v>0</v>
      </c>
      <c r="K29" s="97">
        <f t="shared" si="24"/>
        <v>0</v>
      </c>
      <c r="L29" s="97">
        <f t="shared" si="24"/>
        <v>0</v>
      </c>
      <c r="M29" s="97">
        <f t="shared" si="24"/>
        <v>0</v>
      </c>
      <c r="N29" s="97">
        <f t="shared" si="24"/>
        <v>0</v>
      </c>
      <c r="O29" s="97">
        <f t="shared" si="24"/>
        <v>0</v>
      </c>
      <c r="P29" s="97">
        <f t="shared" si="24"/>
        <v>0</v>
      </c>
      <c r="Q29" s="97">
        <f t="shared" si="24"/>
        <v>0</v>
      </c>
      <c r="R29" s="97">
        <f t="shared" si="24"/>
        <v>0</v>
      </c>
      <c r="S29" s="97">
        <f t="shared" ref="S29:Z30" si="28">+S7-R7</f>
        <v>0</v>
      </c>
      <c r="T29" s="97">
        <f t="shared" si="28"/>
        <v>0</v>
      </c>
      <c r="U29" s="97">
        <f t="shared" si="28"/>
        <v>0</v>
      </c>
      <c r="V29" s="97">
        <f t="shared" si="28"/>
        <v>0</v>
      </c>
      <c r="W29" s="97">
        <f t="shared" si="28"/>
        <v>0</v>
      </c>
      <c r="X29" s="97">
        <f t="shared" si="28"/>
        <v>0</v>
      </c>
      <c r="Y29" s="97">
        <f t="shared" si="28"/>
        <v>0</v>
      </c>
      <c r="Z29" s="97">
        <f t="shared" si="28"/>
        <v>0</v>
      </c>
      <c r="AA29" s="97"/>
      <c r="AB29" s="228" t="str">
        <f t="shared" si="19"/>
        <v>Basic adds</v>
      </c>
      <c r="AC29" s="97"/>
      <c r="AD29" s="97">
        <f t="shared" si="26"/>
        <v>-7.6</v>
      </c>
      <c r="AE29" s="97">
        <f t="shared" si="26"/>
        <v>0.79999999999999893</v>
      </c>
      <c r="AF29" s="97">
        <f t="shared" si="26"/>
        <v>-0.19999999999999929</v>
      </c>
      <c r="AG29" s="97">
        <f t="shared" si="26"/>
        <v>0</v>
      </c>
      <c r="AH29" s="97">
        <f t="shared" si="26"/>
        <v>1.8000000000000007</v>
      </c>
      <c r="AI29" s="97">
        <f t="shared" si="26"/>
        <v>0.89999999999999858</v>
      </c>
      <c r="AJ29" s="97">
        <f t="shared" si="26"/>
        <v>0.20000000000000107</v>
      </c>
      <c r="AK29" s="97">
        <f t="shared" si="26"/>
        <v>0.40000000000000036</v>
      </c>
      <c r="AL29" s="97">
        <f t="shared" si="26"/>
        <v>0.39999999999999858</v>
      </c>
      <c r="AM29" s="97">
        <f t="shared" si="26"/>
        <v>0</v>
      </c>
      <c r="AN29" s="97">
        <f t="shared" si="26"/>
        <v>-0.19999999999999929</v>
      </c>
      <c r="AO29" s="97">
        <f t="shared" si="26"/>
        <v>-2.5999999999999996</v>
      </c>
      <c r="AP29" s="97">
        <f t="shared" si="26"/>
        <v>-9.9999999999999645E-2</v>
      </c>
      <c r="AQ29" s="97">
        <f t="shared" si="26"/>
        <v>0</v>
      </c>
      <c r="AR29" s="97">
        <f t="shared" si="26"/>
        <v>59.800000000000011</v>
      </c>
      <c r="AS29" s="97">
        <f t="shared" si="26"/>
        <v>-4.6000000000000085</v>
      </c>
      <c r="AT29" s="97">
        <f t="shared" si="26"/>
        <v>-23.900000000000006</v>
      </c>
      <c r="AU29" s="97">
        <f t="shared" si="26"/>
        <v>-32.699999999999996</v>
      </c>
      <c r="AV29" s="97">
        <f t="shared" si="26"/>
        <v>9.9999999999999645E-2</v>
      </c>
      <c r="AW29" s="97">
        <f t="shared" si="26"/>
        <v>9.9999999999999645E-2</v>
      </c>
      <c r="AX29" s="97">
        <f t="shared" si="26"/>
        <v>9.9999999999999645E-2</v>
      </c>
      <c r="AY29" s="97">
        <f t="shared" si="26"/>
        <v>0.10000000000000142</v>
      </c>
      <c r="AZ29" s="97">
        <f t="shared" si="26"/>
        <v>0.19999999999999929</v>
      </c>
      <c r="BA29" s="97">
        <f t="shared" si="26"/>
        <v>-11.5</v>
      </c>
      <c r="BB29" s="97">
        <f t="shared" si="26"/>
        <v>0</v>
      </c>
      <c r="BC29" s="97">
        <f t="shared" si="26"/>
        <v>0</v>
      </c>
      <c r="BD29" s="97">
        <f t="shared" si="26"/>
        <v>0</v>
      </c>
      <c r="BE29" s="97">
        <f t="shared" si="26"/>
        <v>0</v>
      </c>
      <c r="BF29" s="97">
        <f t="shared" si="26"/>
        <v>0</v>
      </c>
      <c r="BG29" s="97">
        <f t="shared" si="26"/>
        <v>0</v>
      </c>
      <c r="BH29" s="97">
        <f t="shared" si="26"/>
        <v>0</v>
      </c>
      <c r="BI29" s="97">
        <f t="shared" si="26"/>
        <v>0</v>
      </c>
      <c r="BJ29" s="97">
        <f t="shared" si="26"/>
        <v>0</v>
      </c>
      <c r="BK29" s="97">
        <f t="shared" si="26"/>
        <v>0</v>
      </c>
      <c r="BL29" s="97">
        <f t="shared" si="26"/>
        <v>0</v>
      </c>
      <c r="BM29" s="97">
        <f t="shared" si="26"/>
        <v>0</v>
      </c>
      <c r="BN29" s="97">
        <f t="shared" si="26"/>
        <v>0</v>
      </c>
      <c r="BO29" s="97">
        <f t="shared" si="26"/>
        <v>0</v>
      </c>
      <c r="BP29" s="97">
        <f t="shared" si="26"/>
        <v>0</v>
      </c>
      <c r="BQ29" s="97">
        <f t="shared" si="26"/>
        <v>0</v>
      </c>
      <c r="BR29" s="97">
        <f t="shared" si="26"/>
        <v>0</v>
      </c>
      <c r="BS29" s="97">
        <f t="shared" si="26"/>
        <v>0</v>
      </c>
      <c r="BT29" s="97">
        <f t="shared" si="26"/>
        <v>0</v>
      </c>
      <c r="BU29" s="97">
        <f t="shared" si="26"/>
        <v>0</v>
      </c>
      <c r="BV29" s="97">
        <f t="shared" si="26"/>
        <v>0</v>
      </c>
      <c r="BW29" s="97">
        <f t="shared" si="26"/>
        <v>0</v>
      </c>
      <c r="BX29" s="97">
        <f t="shared" si="26"/>
        <v>0</v>
      </c>
      <c r="BY29" s="97">
        <f t="shared" si="26"/>
        <v>0</v>
      </c>
      <c r="BZ29" s="97">
        <f t="shared" si="26"/>
        <v>0</v>
      </c>
      <c r="CA29" s="97">
        <f t="shared" si="26"/>
        <v>0</v>
      </c>
      <c r="CB29" s="97">
        <f t="shared" si="26"/>
        <v>0</v>
      </c>
      <c r="CC29" s="144">
        <f t="shared" si="27"/>
        <v>2.8000000000000114</v>
      </c>
      <c r="CD29" s="144">
        <f t="shared" si="27"/>
        <v>1.5999999999999659</v>
      </c>
      <c r="CE29" s="99"/>
      <c r="CF29" s="99"/>
      <c r="CH29" s="99"/>
      <c r="CI29" s="99"/>
      <c r="CJ29" s="99"/>
      <c r="CK29" s="99"/>
      <c r="CL29" s="99"/>
      <c r="CM29" s="99"/>
      <c r="CN29" s="99"/>
    </row>
    <row r="30" spans="1:157" s="92" customFormat="1" ht="15" customHeight="1">
      <c r="A30" s="141" t="s">
        <v>754</v>
      </c>
      <c r="B30" s="97"/>
      <c r="C30" s="97">
        <f t="shared" si="24"/>
        <v>1.6000000000000005</v>
      </c>
      <c r="D30" s="97">
        <f t="shared" si="24"/>
        <v>-2.4000000000000004</v>
      </c>
      <c r="E30" s="97">
        <f t="shared" si="24"/>
        <v>-6.5</v>
      </c>
      <c r="F30" s="97">
        <f t="shared" si="24"/>
        <v>55.6</v>
      </c>
      <c r="G30" s="97">
        <f t="shared" si="24"/>
        <v>52.699999999999996</v>
      </c>
      <c r="H30" s="97">
        <f t="shared" si="24"/>
        <v>-23.099999999999994</v>
      </c>
      <c r="I30" s="97">
        <f t="shared" si="24"/>
        <v>-1.4000000000000057</v>
      </c>
      <c r="J30" s="97">
        <f t="shared" si="24"/>
        <v>3.7000000000000028</v>
      </c>
      <c r="K30" s="97">
        <f t="shared" si="24"/>
        <v>-6.2000000000000028</v>
      </c>
      <c r="L30" s="97">
        <f t="shared" si="24"/>
        <v>-2.2000000000000028</v>
      </c>
      <c r="M30" s="97">
        <f t="shared" si="24"/>
        <v>126.80000000000001</v>
      </c>
      <c r="N30" s="97">
        <f t="shared" si="24"/>
        <v>4.5999999999999943</v>
      </c>
      <c r="O30" s="97">
        <f t="shared" si="24"/>
        <v>9.4000000000000057</v>
      </c>
      <c r="P30" s="97">
        <f t="shared" si="24"/>
        <v>43.999999999999972</v>
      </c>
      <c r="Q30" s="97">
        <f t="shared" si="24"/>
        <v>-2.5999999999999659</v>
      </c>
      <c r="R30" s="97">
        <f t="shared" si="24"/>
        <v>0</v>
      </c>
      <c r="S30" s="97">
        <f t="shared" si="28"/>
        <v>2.6129999999999995</v>
      </c>
      <c r="T30" s="97">
        <f t="shared" si="28"/>
        <v>2.6391300000000228</v>
      </c>
      <c r="U30" s="97">
        <f t="shared" si="28"/>
        <v>2.6655213000000231</v>
      </c>
      <c r="V30" s="97">
        <f t="shared" si="28"/>
        <v>2.6921765129999926</v>
      </c>
      <c r="W30" s="97">
        <f t="shared" si="28"/>
        <v>2.7190982781299908</v>
      </c>
      <c r="X30" s="97">
        <f t="shared" si="28"/>
        <v>2.7462892609112828</v>
      </c>
      <c r="Y30" s="97">
        <f t="shared" si="28"/>
        <v>2.7737521535204337</v>
      </c>
      <c r="Z30" s="97">
        <f t="shared" si="28"/>
        <v>2.8014896750556204</v>
      </c>
      <c r="AA30" s="97"/>
      <c r="AB30" s="228" t="str">
        <f t="shared" si="19"/>
        <v>Enhanced adds</v>
      </c>
      <c r="AC30" s="97"/>
      <c r="AD30" s="97">
        <f t="shared" si="26"/>
        <v>1.0000000000000009</v>
      </c>
      <c r="AE30" s="97">
        <f t="shared" si="26"/>
        <v>0.19999999999999929</v>
      </c>
      <c r="AF30" s="97">
        <f t="shared" si="26"/>
        <v>0.30000000000000071</v>
      </c>
      <c r="AG30" s="97">
        <f t="shared" si="26"/>
        <v>9.9999999999999645E-2</v>
      </c>
      <c r="AH30" s="97">
        <f t="shared" si="26"/>
        <v>-0.90000000000000036</v>
      </c>
      <c r="AI30" s="97">
        <f t="shared" si="26"/>
        <v>-0.70000000000000018</v>
      </c>
      <c r="AJ30" s="97">
        <f t="shared" si="26"/>
        <v>-0.39999999999999947</v>
      </c>
      <c r="AK30" s="97">
        <f t="shared" si="26"/>
        <v>-0.40000000000000036</v>
      </c>
      <c r="AL30" s="97">
        <f t="shared" si="26"/>
        <v>-9.9999999999999645E-2</v>
      </c>
      <c r="AM30" s="97">
        <f t="shared" si="26"/>
        <v>-0.10000000000000053</v>
      </c>
      <c r="AN30" s="97">
        <f t="shared" si="26"/>
        <v>0.10000000000000053</v>
      </c>
      <c r="AO30" s="97">
        <f t="shared" si="26"/>
        <v>-6.4</v>
      </c>
      <c r="AP30" s="97">
        <f t="shared" si="26"/>
        <v>0</v>
      </c>
      <c r="AQ30" s="97">
        <f t="shared" si="26"/>
        <v>0</v>
      </c>
      <c r="AR30" s="97">
        <f t="shared" si="26"/>
        <v>51.4</v>
      </c>
      <c r="AS30" s="97">
        <f t="shared" si="26"/>
        <v>4.2000000000000028</v>
      </c>
      <c r="AT30" s="97">
        <f t="shared" si="26"/>
        <v>20.999999999999993</v>
      </c>
      <c r="AU30" s="97">
        <f t="shared" si="26"/>
        <v>32.100000000000009</v>
      </c>
      <c r="AV30" s="97">
        <f t="shared" si="26"/>
        <v>1.5</v>
      </c>
      <c r="AW30" s="97">
        <f t="shared" si="26"/>
        <v>-1.9000000000000057</v>
      </c>
      <c r="AX30" s="97">
        <f t="shared" si="26"/>
        <v>-9.0999999999999943</v>
      </c>
      <c r="AY30" s="97">
        <f t="shared" si="26"/>
        <v>-5.6000000000000085</v>
      </c>
      <c r="AZ30" s="97">
        <f t="shared" si="26"/>
        <v>-4.5</v>
      </c>
      <c r="BA30" s="97">
        <f t="shared" si="26"/>
        <v>-3.8999999999999915</v>
      </c>
      <c r="BB30" s="97">
        <f t="shared" si="26"/>
        <v>-0.10000000000000853</v>
      </c>
      <c r="BC30" s="97">
        <f t="shared" si="26"/>
        <v>-0.29999999999999716</v>
      </c>
      <c r="BD30" s="97">
        <f t="shared" si="26"/>
        <v>-2</v>
      </c>
      <c r="BE30" s="97">
        <f t="shared" si="26"/>
        <v>1</v>
      </c>
      <c r="BF30" s="97">
        <f t="shared" si="26"/>
        <v>2.7000000000000028</v>
      </c>
      <c r="BG30" s="97">
        <f t="shared" si="26"/>
        <v>4.0999999999999943</v>
      </c>
      <c r="BH30" s="97">
        <f t="shared" si="26"/>
        <v>-0.29999999999999716</v>
      </c>
      <c r="BI30" s="97">
        <f t="shared" si="26"/>
        <v>-2.7999999999999972</v>
      </c>
      <c r="BJ30" s="97">
        <f t="shared" si="26"/>
        <v>-1.5</v>
      </c>
      <c r="BK30" s="97">
        <f t="shared" si="26"/>
        <v>-1.2000000000000028</v>
      </c>
      <c r="BL30" s="97">
        <f t="shared" si="26"/>
        <v>-2.5999999999999943</v>
      </c>
      <c r="BM30" s="97">
        <f t="shared" si="26"/>
        <v>-0.90000000000000568</v>
      </c>
      <c r="BN30" s="97">
        <f t="shared" si="26"/>
        <v>-0.5</v>
      </c>
      <c r="BO30" s="97">
        <f t="shared" si="26"/>
        <v>-0.20000000000000284</v>
      </c>
      <c r="BP30" s="97">
        <f t="shared" si="26"/>
        <v>-0.69999999999998863</v>
      </c>
      <c r="BQ30" s="97">
        <f t="shared" si="26"/>
        <v>-0.80000000000001137</v>
      </c>
      <c r="BR30" s="97">
        <f t="shared" si="26"/>
        <v>0.20000000000000284</v>
      </c>
      <c r="BS30" s="97">
        <f t="shared" si="26"/>
        <v>0.5</v>
      </c>
      <c r="BT30" s="97">
        <f t="shared" si="26"/>
        <v>0.60000000000000853</v>
      </c>
      <c r="BU30" s="97">
        <f t="shared" si="26"/>
        <v>125.5</v>
      </c>
      <c r="BV30" s="97">
        <f t="shared" si="26"/>
        <v>-0.5</v>
      </c>
      <c r="BW30" s="97">
        <f t="shared" si="26"/>
        <v>1.4000000000000057</v>
      </c>
      <c r="BX30" s="97">
        <f t="shared" si="26"/>
        <v>2.1999999999999886</v>
      </c>
      <c r="BY30" s="97">
        <f t="shared" si="26"/>
        <v>1.5</v>
      </c>
      <c r="BZ30" s="97">
        <f t="shared" si="26"/>
        <v>3.6999999999999886</v>
      </c>
      <c r="CA30" s="97">
        <f t="shared" si="26"/>
        <v>1.2000000000000171</v>
      </c>
      <c r="CB30" s="97">
        <f t="shared" si="26"/>
        <v>2.5</v>
      </c>
      <c r="CC30" s="144">
        <f t="shared" si="27"/>
        <v>0</v>
      </c>
      <c r="CD30" s="144">
        <f t="shared" si="27"/>
        <v>0</v>
      </c>
      <c r="CE30" s="99"/>
      <c r="CF30" s="99"/>
      <c r="CH30" s="99"/>
      <c r="CI30" s="99"/>
      <c r="CJ30" s="99"/>
      <c r="CK30" s="99"/>
      <c r="CL30" s="99"/>
      <c r="CM30" s="99"/>
      <c r="CN30" s="99"/>
    </row>
    <row r="31" spans="1:157" s="92" customFormat="1" ht="15" customHeight="1">
      <c r="A31" s="141" t="s">
        <v>579</v>
      </c>
      <c r="B31" s="97"/>
      <c r="C31" s="97">
        <f t="shared" si="24"/>
        <v>0</v>
      </c>
      <c r="D31" s="97">
        <f t="shared" si="24"/>
        <v>0</v>
      </c>
      <c r="E31" s="97">
        <f t="shared" si="24"/>
        <v>0</v>
      </c>
      <c r="F31" s="97">
        <f t="shared" si="24"/>
        <v>0</v>
      </c>
      <c r="G31" s="97">
        <f t="shared" si="24"/>
        <v>15</v>
      </c>
      <c r="H31" s="97">
        <f t="shared" si="24"/>
        <v>0</v>
      </c>
      <c r="I31" s="97">
        <f t="shared" si="24"/>
        <v>0</v>
      </c>
      <c r="J31" s="97">
        <f t="shared" si="24"/>
        <v>0</v>
      </c>
      <c r="K31" s="97">
        <f t="shared" si="24"/>
        <v>-15</v>
      </c>
      <c r="L31" s="97">
        <f t="shared" si="24"/>
        <v>0</v>
      </c>
      <c r="M31" s="97">
        <f t="shared" si="24"/>
        <v>0</v>
      </c>
      <c r="N31" s="97">
        <f t="shared" si="24"/>
        <v>0</v>
      </c>
      <c r="O31" s="97">
        <f t="shared" si="24"/>
        <v>0</v>
      </c>
      <c r="P31" s="97">
        <f t="shared" si="24"/>
        <v>0</v>
      </c>
      <c r="Q31" s="97">
        <f t="shared" si="24"/>
        <v>0</v>
      </c>
      <c r="R31" s="100">
        <v>0</v>
      </c>
      <c r="S31" s="100">
        <v>0</v>
      </c>
      <c r="T31" s="100">
        <v>0</v>
      </c>
      <c r="U31" s="100">
        <v>0</v>
      </c>
      <c r="V31" s="100">
        <v>0</v>
      </c>
      <c r="W31" s="100">
        <v>0</v>
      </c>
      <c r="X31" s="100">
        <v>0</v>
      </c>
      <c r="Y31" s="100">
        <v>0</v>
      </c>
      <c r="Z31" s="100">
        <v>0</v>
      </c>
      <c r="AA31" s="97"/>
      <c r="AB31" s="228" t="str">
        <f t="shared" si="19"/>
        <v>DTH/MMDS adds</v>
      </c>
      <c r="AC31" s="97"/>
      <c r="AD31" s="97">
        <f t="shared" si="26"/>
        <v>0</v>
      </c>
      <c r="AE31" s="97">
        <f t="shared" si="26"/>
        <v>0</v>
      </c>
      <c r="AF31" s="97">
        <f t="shared" si="26"/>
        <v>0</v>
      </c>
      <c r="AG31" s="97">
        <f t="shared" si="26"/>
        <v>0</v>
      </c>
      <c r="AH31" s="97">
        <f t="shared" si="26"/>
        <v>0</v>
      </c>
      <c r="AI31" s="97">
        <f t="shared" si="26"/>
        <v>0</v>
      </c>
      <c r="AJ31" s="97">
        <f t="shared" si="26"/>
        <v>0</v>
      </c>
      <c r="AK31" s="97">
        <f t="shared" si="26"/>
        <v>0</v>
      </c>
      <c r="AL31" s="97">
        <f t="shared" si="26"/>
        <v>0</v>
      </c>
      <c r="AM31" s="97">
        <f t="shared" si="26"/>
        <v>0</v>
      </c>
      <c r="AN31" s="97">
        <f t="shared" si="26"/>
        <v>0</v>
      </c>
      <c r="AO31" s="97">
        <f t="shared" si="26"/>
        <v>0</v>
      </c>
      <c r="AP31" s="97">
        <f t="shared" si="26"/>
        <v>0</v>
      </c>
      <c r="AQ31" s="97">
        <f t="shared" si="26"/>
        <v>0</v>
      </c>
      <c r="AR31" s="97">
        <f t="shared" si="26"/>
        <v>0</v>
      </c>
      <c r="AS31" s="97">
        <f t="shared" si="26"/>
        <v>0</v>
      </c>
      <c r="AT31" s="97">
        <f t="shared" si="26"/>
        <v>15.1</v>
      </c>
      <c r="AU31" s="97">
        <f t="shared" si="26"/>
        <v>0</v>
      </c>
      <c r="AV31" s="97">
        <f t="shared" si="26"/>
        <v>0</v>
      </c>
      <c r="AW31" s="97">
        <f t="shared" si="26"/>
        <v>-9.9999999999999645E-2</v>
      </c>
      <c r="AX31" s="97">
        <f t="shared" si="26"/>
        <v>-0.30000000000000071</v>
      </c>
      <c r="AY31" s="97">
        <f t="shared" si="26"/>
        <v>-0.19999999999999929</v>
      </c>
      <c r="AZ31" s="97">
        <f t="shared" si="26"/>
        <v>-0.19999999999999929</v>
      </c>
      <c r="BA31" s="97">
        <f t="shared" si="26"/>
        <v>0.69999999999999929</v>
      </c>
      <c r="BB31" s="97">
        <f t="shared" si="26"/>
        <v>-15</v>
      </c>
      <c r="BC31" s="97">
        <f t="shared" si="26"/>
        <v>0</v>
      </c>
      <c r="BD31" s="97">
        <f t="shared" si="26"/>
        <v>0</v>
      </c>
      <c r="BE31" s="97">
        <f t="shared" si="26"/>
        <v>15</v>
      </c>
      <c r="BF31" s="97">
        <f t="shared" si="26"/>
        <v>0</v>
      </c>
      <c r="BG31" s="97">
        <f t="shared" si="26"/>
        <v>-15</v>
      </c>
      <c r="BH31" s="97">
        <f t="shared" si="26"/>
        <v>0</v>
      </c>
      <c r="BI31" s="97">
        <f t="shared" si="26"/>
        <v>15</v>
      </c>
      <c r="BJ31" s="97">
        <f t="shared" si="26"/>
        <v>-15</v>
      </c>
      <c r="BK31" s="97">
        <f t="shared" si="26"/>
        <v>0</v>
      </c>
      <c r="BL31" s="97">
        <f t="shared" si="26"/>
        <v>0</v>
      </c>
      <c r="BM31" s="97">
        <f t="shared" si="26"/>
        <v>0</v>
      </c>
      <c r="BN31" s="97">
        <f t="shared" si="26"/>
        <v>0</v>
      </c>
      <c r="BO31" s="97">
        <f t="shared" si="26"/>
        <v>0</v>
      </c>
      <c r="BP31" s="97">
        <f t="shared" si="26"/>
        <v>0</v>
      </c>
      <c r="BQ31" s="97">
        <f t="shared" si="26"/>
        <v>0</v>
      </c>
      <c r="BR31" s="97">
        <f t="shared" si="26"/>
        <v>0</v>
      </c>
      <c r="BS31" s="97">
        <f t="shared" si="26"/>
        <v>0</v>
      </c>
      <c r="BT31" s="97">
        <f t="shared" si="26"/>
        <v>0</v>
      </c>
      <c r="BU31" s="97">
        <f t="shared" si="26"/>
        <v>0</v>
      </c>
      <c r="BV31" s="97">
        <f t="shared" si="26"/>
        <v>0</v>
      </c>
      <c r="BW31" s="97">
        <f t="shared" si="26"/>
        <v>0</v>
      </c>
      <c r="BX31" s="97">
        <f t="shared" si="26"/>
        <v>0</v>
      </c>
      <c r="BY31" s="97">
        <f t="shared" si="26"/>
        <v>0</v>
      </c>
      <c r="BZ31" s="97">
        <f t="shared" si="26"/>
        <v>0</v>
      </c>
      <c r="CA31" s="97">
        <f t="shared" si="26"/>
        <v>0</v>
      </c>
      <c r="CB31" s="97">
        <f t="shared" si="26"/>
        <v>0</v>
      </c>
      <c r="CC31" s="144">
        <f t="shared" si="27"/>
        <v>2</v>
      </c>
      <c r="CD31" s="144">
        <f t="shared" si="27"/>
        <v>0.5</v>
      </c>
      <c r="CE31" s="99"/>
      <c r="CF31" s="99"/>
      <c r="CH31" s="99"/>
      <c r="CI31" s="99"/>
      <c r="CJ31" s="99"/>
      <c r="CK31" s="99"/>
      <c r="CL31" s="99"/>
      <c r="CM31" s="99"/>
      <c r="CN31" s="99"/>
    </row>
    <row r="32" spans="1:157" s="92" customFormat="1" ht="15" customHeight="1">
      <c r="A32" s="141" t="s">
        <v>580</v>
      </c>
      <c r="B32" s="97"/>
      <c r="C32" s="97">
        <f t="shared" si="24"/>
        <v>-5.4000000000000021</v>
      </c>
      <c r="D32" s="97">
        <f t="shared" si="24"/>
        <v>0.90000000000000213</v>
      </c>
      <c r="E32" s="97">
        <f t="shared" si="24"/>
        <v>-8.9</v>
      </c>
      <c r="F32" s="97">
        <f t="shared" si="24"/>
        <v>110.69999999999999</v>
      </c>
      <c r="G32" s="97">
        <f t="shared" si="24"/>
        <v>11.300000000000011</v>
      </c>
      <c r="H32" s="97">
        <f t="shared" si="24"/>
        <v>-34.200000000000003</v>
      </c>
      <c r="I32" s="97">
        <f t="shared" si="24"/>
        <v>-1.4000000000000057</v>
      </c>
      <c r="J32" s="97">
        <f t="shared" si="24"/>
        <v>3.7000000000000028</v>
      </c>
      <c r="K32" s="97">
        <f t="shared" si="24"/>
        <v>-21.200000000000003</v>
      </c>
      <c r="L32" s="97">
        <f t="shared" si="24"/>
        <v>-2.2000000000000028</v>
      </c>
      <c r="M32" s="97">
        <f t="shared" si="24"/>
        <v>126.80000000000001</v>
      </c>
      <c r="N32" s="97">
        <f t="shared" si="24"/>
        <v>4.5999999999999943</v>
      </c>
      <c r="O32" s="97">
        <f t="shared" si="24"/>
        <v>9.4000000000000057</v>
      </c>
      <c r="P32" s="97">
        <f t="shared" si="24"/>
        <v>43.999999999999972</v>
      </c>
      <c r="Q32" s="97">
        <f t="shared" si="24"/>
        <v>-2.5999999999999659</v>
      </c>
      <c r="R32" s="97">
        <f t="shared" si="24"/>
        <v>0</v>
      </c>
      <c r="S32" s="97">
        <f t="shared" ref="S32:Z32" si="29">+S10-R10</f>
        <v>2.6129999999999995</v>
      </c>
      <c r="T32" s="97">
        <f t="shared" si="29"/>
        <v>2.6391300000000228</v>
      </c>
      <c r="U32" s="97">
        <f t="shared" si="29"/>
        <v>2.6655213000000231</v>
      </c>
      <c r="V32" s="97">
        <f t="shared" si="29"/>
        <v>2.6921765129999926</v>
      </c>
      <c r="W32" s="97">
        <f t="shared" si="29"/>
        <v>2.7190982781299908</v>
      </c>
      <c r="X32" s="97">
        <f t="shared" si="29"/>
        <v>2.7462892609112828</v>
      </c>
      <c r="Y32" s="97">
        <f t="shared" si="29"/>
        <v>2.7737521535204337</v>
      </c>
      <c r="Z32" s="97">
        <f t="shared" si="29"/>
        <v>2.8014896750556204</v>
      </c>
      <c r="AA32" s="97"/>
      <c r="AB32" s="228" t="str">
        <f t="shared" si="19"/>
        <v>Video adds</v>
      </c>
      <c r="AC32" s="97"/>
      <c r="AD32" s="97">
        <f t="shared" si="26"/>
        <v>-6.5999999999999979</v>
      </c>
      <c r="AE32" s="97">
        <f t="shared" si="26"/>
        <v>0.99999999999999645</v>
      </c>
      <c r="AF32" s="97">
        <f t="shared" si="26"/>
        <v>0.10000000000000142</v>
      </c>
      <c r="AG32" s="97">
        <f t="shared" si="26"/>
        <v>9.9999999999997868E-2</v>
      </c>
      <c r="AH32" s="97">
        <f t="shared" si="26"/>
        <v>0.90000000000000213</v>
      </c>
      <c r="AI32" s="97">
        <f t="shared" si="26"/>
        <v>0.19999999999999929</v>
      </c>
      <c r="AJ32" s="97">
        <f t="shared" si="26"/>
        <v>-0.19999999999999929</v>
      </c>
      <c r="AK32" s="97">
        <f t="shared" si="26"/>
        <v>0</v>
      </c>
      <c r="AL32" s="97">
        <f t="shared" si="26"/>
        <v>0.30000000000000071</v>
      </c>
      <c r="AM32" s="97">
        <f t="shared" si="26"/>
        <v>-0.10000000000000142</v>
      </c>
      <c r="AN32" s="97">
        <f t="shared" si="26"/>
        <v>-0.10000000000000142</v>
      </c>
      <c r="AO32" s="97">
        <f t="shared" si="26"/>
        <v>-8.9999999999999982</v>
      </c>
      <c r="AP32" s="97">
        <f t="shared" si="26"/>
        <v>-9.9999999999999645E-2</v>
      </c>
      <c r="AQ32" s="97">
        <f t="shared" si="26"/>
        <v>0</v>
      </c>
      <c r="AR32" s="97">
        <f t="shared" si="26"/>
        <v>111.2</v>
      </c>
      <c r="AS32" s="97">
        <f t="shared" si="26"/>
        <v>-0.40000000000000568</v>
      </c>
      <c r="AT32" s="97">
        <f t="shared" si="26"/>
        <v>12.199999999999989</v>
      </c>
      <c r="AU32" s="97">
        <f t="shared" si="26"/>
        <v>-0.59999999999999432</v>
      </c>
      <c r="AV32" s="97">
        <f t="shared" si="26"/>
        <v>1.6000000000000227</v>
      </c>
      <c r="AW32" s="97">
        <f t="shared" si="26"/>
        <v>-1.9000000000000057</v>
      </c>
      <c r="AX32" s="97">
        <f t="shared" si="26"/>
        <v>-9.2999999999999972</v>
      </c>
      <c r="AY32" s="97">
        <f t="shared" si="26"/>
        <v>-5.7000000000000171</v>
      </c>
      <c r="AZ32" s="97">
        <f t="shared" si="26"/>
        <v>-4.5</v>
      </c>
      <c r="BA32" s="97">
        <f t="shared" si="26"/>
        <v>-14.699999999999989</v>
      </c>
      <c r="BB32" s="97">
        <f t="shared" si="26"/>
        <v>-15.100000000000009</v>
      </c>
      <c r="BC32" s="97">
        <f t="shared" si="26"/>
        <v>-0.29999999999999716</v>
      </c>
      <c r="BD32" s="97">
        <f t="shared" si="26"/>
        <v>-2</v>
      </c>
      <c r="BE32" s="97">
        <f t="shared" si="26"/>
        <v>16</v>
      </c>
      <c r="BF32" s="97">
        <f t="shared" si="26"/>
        <v>2.7000000000000028</v>
      </c>
      <c r="BG32" s="97">
        <f t="shared" si="26"/>
        <v>-10.900000000000006</v>
      </c>
      <c r="BH32" s="97">
        <f t="shared" si="26"/>
        <v>-0.29999999999999716</v>
      </c>
      <c r="BI32" s="97">
        <f t="shared" si="26"/>
        <v>12.200000000000003</v>
      </c>
      <c r="BJ32" s="97">
        <f t="shared" si="26"/>
        <v>-16.5</v>
      </c>
      <c r="BK32" s="97">
        <f t="shared" si="26"/>
        <v>-1.2000000000000028</v>
      </c>
      <c r="BL32" s="97">
        <f t="shared" si="26"/>
        <v>-2.5999999999999943</v>
      </c>
      <c r="BM32" s="97">
        <f t="shared" si="26"/>
        <v>-0.90000000000000568</v>
      </c>
      <c r="BN32" s="97">
        <f t="shared" si="26"/>
        <v>-0.5</v>
      </c>
      <c r="BO32" s="97">
        <f t="shared" si="26"/>
        <v>-0.20000000000000284</v>
      </c>
      <c r="BP32" s="97">
        <f t="shared" si="26"/>
        <v>-0.69999999999998863</v>
      </c>
      <c r="BQ32" s="97">
        <f t="shared" si="26"/>
        <v>-0.80000000000001137</v>
      </c>
      <c r="BR32" s="97">
        <f t="shared" si="26"/>
        <v>0.20000000000000284</v>
      </c>
      <c r="BS32" s="97">
        <f t="shared" si="26"/>
        <v>0.5</v>
      </c>
      <c r="BT32" s="97">
        <f t="shared" si="26"/>
        <v>0.60000000000000853</v>
      </c>
      <c r="BU32" s="97">
        <f t="shared" si="26"/>
        <v>125.5</v>
      </c>
      <c r="BV32" s="97">
        <f t="shared" si="26"/>
        <v>-0.5</v>
      </c>
      <c r="BW32" s="97">
        <f t="shared" si="26"/>
        <v>1.4000000000000057</v>
      </c>
      <c r="BX32" s="97">
        <f t="shared" si="26"/>
        <v>2.1999999999999886</v>
      </c>
      <c r="BY32" s="97">
        <f t="shared" si="26"/>
        <v>1.5</v>
      </c>
      <c r="BZ32" s="97">
        <f t="shared" si="26"/>
        <v>3.6999999999999886</v>
      </c>
      <c r="CA32" s="97">
        <f t="shared" si="26"/>
        <v>1.2000000000000171</v>
      </c>
      <c r="CB32" s="97">
        <f t="shared" si="26"/>
        <v>2.5</v>
      </c>
      <c r="CC32" s="144">
        <f t="shared" si="27"/>
        <v>0</v>
      </c>
      <c r="CD32" s="144">
        <f t="shared" si="27"/>
        <v>0</v>
      </c>
      <c r="CE32" s="99"/>
      <c r="CF32" s="99"/>
      <c r="CH32" s="99"/>
      <c r="CI32" s="99"/>
      <c r="CJ32" s="99"/>
      <c r="CK32" s="99"/>
      <c r="CL32" s="99"/>
      <c r="CM32" s="99"/>
      <c r="CN32" s="99"/>
    </row>
    <row r="33" spans="1:92" s="92" customFormat="1" ht="15" customHeight="1">
      <c r="A33" s="141" t="s">
        <v>581</v>
      </c>
      <c r="B33" s="97"/>
      <c r="C33" s="97">
        <f t="shared" si="24"/>
        <v>2</v>
      </c>
      <c r="D33" s="97">
        <f t="shared" si="24"/>
        <v>1.3000000000000003</v>
      </c>
      <c r="E33" s="97">
        <f t="shared" si="24"/>
        <v>0.40000000000000036</v>
      </c>
      <c r="F33" s="97">
        <f t="shared" si="24"/>
        <v>32.5</v>
      </c>
      <c r="G33" s="97">
        <f t="shared" si="24"/>
        <v>15.899999999999999</v>
      </c>
      <c r="H33" s="97">
        <f t="shared" si="24"/>
        <v>5.3000000000000043</v>
      </c>
      <c r="I33" s="97">
        <f t="shared" si="24"/>
        <v>10.700000000000003</v>
      </c>
      <c r="J33" s="97">
        <f t="shared" si="24"/>
        <v>8.5999999999999943</v>
      </c>
      <c r="K33" s="97">
        <f t="shared" si="24"/>
        <v>4</v>
      </c>
      <c r="L33" s="97">
        <f t="shared" si="24"/>
        <v>4.9000000000000057</v>
      </c>
      <c r="M33" s="97">
        <f t="shared" si="24"/>
        <v>92.8</v>
      </c>
      <c r="N33" s="97">
        <f t="shared" si="24"/>
        <v>13.199999999999989</v>
      </c>
      <c r="O33" s="97">
        <f t="shared" si="24"/>
        <v>18.100000000000023</v>
      </c>
      <c r="P33" s="97">
        <f t="shared" si="24"/>
        <v>108.69999999999999</v>
      </c>
      <c r="Q33" s="97">
        <f t="shared" si="24"/>
        <v>10</v>
      </c>
      <c r="R33" s="100">
        <v>15</v>
      </c>
      <c r="S33" s="100">
        <v>15</v>
      </c>
      <c r="T33" s="100">
        <v>15</v>
      </c>
      <c r="U33" s="100">
        <v>15</v>
      </c>
      <c r="V33" s="100">
        <v>15</v>
      </c>
      <c r="W33" s="100">
        <v>15</v>
      </c>
      <c r="X33" s="100">
        <v>15</v>
      </c>
      <c r="Y33" s="100">
        <v>15</v>
      </c>
      <c r="Z33" s="100">
        <v>15</v>
      </c>
      <c r="AA33" s="97"/>
      <c r="AB33" s="228" t="str">
        <f t="shared" si="19"/>
        <v>Broadband adds</v>
      </c>
      <c r="AC33" s="97"/>
      <c r="AD33" s="97">
        <f t="shared" ref="AD33:CB35" si="30">+AD11-AC11</f>
        <v>0.70000000000000007</v>
      </c>
      <c r="AE33" s="97">
        <f t="shared" si="30"/>
        <v>0.40000000000000013</v>
      </c>
      <c r="AF33" s="97">
        <f t="shared" si="30"/>
        <v>0.5</v>
      </c>
      <c r="AG33" s="97">
        <f t="shared" si="30"/>
        <v>0.39999999999999991</v>
      </c>
      <c r="AH33" s="97">
        <f t="shared" si="30"/>
        <v>0.19999999999999973</v>
      </c>
      <c r="AI33" s="97">
        <f t="shared" si="30"/>
        <v>0.39999999999999991</v>
      </c>
      <c r="AJ33" s="97">
        <f t="shared" si="30"/>
        <v>0.60000000000000009</v>
      </c>
      <c r="AK33" s="97">
        <f t="shared" si="30"/>
        <v>0.10000000000000053</v>
      </c>
      <c r="AL33" s="97">
        <f t="shared" si="30"/>
        <v>-0.30000000000000071</v>
      </c>
      <c r="AM33" s="97">
        <f t="shared" si="30"/>
        <v>0.30000000000000027</v>
      </c>
      <c r="AN33" s="97">
        <f t="shared" si="30"/>
        <v>0.19999999999999973</v>
      </c>
      <c r="AO33" s="97">
        <f t="shared" si="30"/>
        <v>0.20000000000000107</v>
      </c>
      <c r="AP33" s="97">
        <f t="shared" si="30"/>
        <v>9.9999999999999645E-2</v>
      </c>
      <c r="AQ33" s="97">
        <f t="shared" si="30"/>
        <v>9.9999999999999645E-2</v>
      </c>
      <c r="AR33" s="97">
        <f t="shared" si="30"/>
        <v>29.299999999999997</v>
      </c>
      <c r="AS33" s="97">
        <f t="shared" si="30"/>
        <v>3</v>
      </c>
      <c r="AT33" s="97">
        <f t="shared" si="30"/>
        <v>4.1000000000000014</v>
      </c>
      <c r="AU33" s="97">
        <f t="shared" si="30"/>
        <v>2.2999999999999972</v>
      </c>
      <c r="AV33" s="97">
        <f t="shared" si="30"/>
        <v>5.5000000000000071</v>
      </c>
      <c r="AW33" s="97">
        <f t="shared" si="30"/>
        <v>3.9999999999999929</v>
      </c>
      <c r="AX33" s="97">
        <f t="shared" si="30"/>
        <v>2.1000000000000085</v>
      </c>
      <c r="AY33" s="97">
        <f t="shared" si="30"/>
        <v>3.1999999999999957</v>
      </c>
      <c r="AZ33" s="97">
        <f t="shared" si="30"/>
        <v>4.3000000000000043</v>
      </c>
      <c r="BA33" s="97">
        <f t="shared" si="30"/>
        <v>-4.3000000000000043</v>
      </c>
      <c r="BB33" s="97">
        <f t="shared" si="30"/>
        <v>4</v>
      </c>
      <c r="BC33" s="97">
        <f t="shared" si="30"/>
        <v>2.0999999999999943</v>
      </c>
      <c r="BD33" s="97">
        <f t="shared" si="30"/>
        <v>2.6000000000000085</v>
      </c>
      <c r="BE33" s="97">
        <f t="shared" si="30"/>
        <v>2</v>
      </c>
      <c r="BF33" s="97">
        <f t="shared" si="30"/>
        <v>4.5</v>
      </c>
      <c r="BG33" s="97">
        <f t="shared" si="30"/>
        <v>1.2000000000000028</v>
      </c>
      <c r="BH33" s="97">
        <f t="shared" si="30"/>
        <v>2.1999999999999886</v>
      </c>
      <c r="BI33" s="97">
        <f t="shared" si="30"/>
        <v>0.70000000000000284</v>
      </c>
      <c r="BJ33" s="97">
        <f t="shared" si="30"/>
        <v>1.1000000000000085</v>
      </c>
      <c r="BK33" s="97">
        <f t="shared" si="30"/>
        <v>0.29999999999999716</v>
      </c>
      <c r="BL33" s="97">
        <f t="shared" si="30"/>
        <v>1</v>
      </c>
      <c r="BM33" s="97">
        <f t="shared" si="30"/>
        <v>1.5999999999999943</v>
      </c>
      <c r="BN33" s="97">
        <f t="shared" si="30"/>
        <v>2.2000000000000028</v>
      </c>
      <c r="BO33" s="97">
        <f t="shared" si="30"/>
        <v>1</v>
      </c>
      <c r="BP33" s="97">
        <f t="shared" si="30"/>
        <v>0.79999999999999716</v>
      </c>
      <c r="BQ33" s="97">
        <f t="shared" si="30"/>
        <v>0.90000000000000568</v>
      </c>
      <c r="BR33" s="97">
        <f t="shared" si="30"/>
        <v>1.7999999999999972</v>
      </c>
      <c r="BS33" s="97">
        <f t="shared" si="30"/>
        <v>1.2000000000000028</v>
      </c>
      <c r="BT33" s="97">
        <f t="shared" si="30"/>
        <v>1.7000000000000028</v>
      </c>
      <c r="BU33" s="97">
        <f t="shared" si="30"/>
        <v>88.1</v>
      </c>
      <c r="BV33" s="97">
        <f t="shared" si="30"/>
        <v>4.9000000000000057</v>
      </c>
      <c r="BW33" s="97">
        <f t="shared" si="30"/>
        <v>2.5999999999999943</v>
      </c>
      <c r="BX33" s="97">
        <f t="shared" si="30"/>
        <v>1.5999999999999943</v>
      </c>
      <c r="BY33" s="97">
        <f t="shared" si="30"/>
        <v>4.0999999999999943</v>
      </c>
      <c r="BZ33" s="97">
        <f t="shared" si="30"/>
        <v>4.8000000000000114</v>
      </c>
      <c r="CA33" s="97">
        <f t="shared" si="30"/>
        <v>2.4000000000000057</v>
      </c>
      <c r="CB33" s="97">
        <f t="shared" si="30"/>
        <v>5.9000000000000057</v>
      </c>
      <c r="CC33" s="144">
        <f t="shared" si="27"/>
        <v>2</v>
      </c>
      <c r="CD33" s="144">
        <f t="shared" si="27"/>
        <v>0.5</v>
      </c>
      <c r="CE33" s="99"/>
      <c r="CF33" s="99"/>
      <c r="CH33" s="99"/>
      <c r="CI33" s="99"/>
      <c r="CJ33" s="99"/>
      <c r="CK33" s="99"/>
      <c r="CL33" s="99"/>
      <c r="CM33" s="99"/>
      <c r="CN33" s="99"/>
    </row>
    <row r="34" spans="1:92" s="92" customFormat="1" ht="15" customHeight="1">
      <c r="A34" s="141" t="s">
        <v>582</v>
      </c>
      <c r="B34" s="97"/>
      <c r="C34" s="97">
        <f t="shared" si="24"/>
        <v>0</v>
      </c>
      <c r="D34" s="97">
        <f t="shared" si="24"/>
        <v>0</v>
      </c>
      <c r="E34" s="97">
        <f t="shared" si="24"/>
        <v>0</v>
      </c>
      <c r="F34" s="97">
        <f t="shared" si="24"/>
        <v>16.399999999999999</v>
      </c>
      <c r="G34" s="97">
        <f t="shared" si="24"/>
        <v>1.8000000000000007</v>
      </c>
      <c r="H34" s="97">
        <f t="shared" si="24"/>
        <v>1.4000000000000021</v>
      </c>
      <c r="I34" s="97">
        <f t="shared" si="24"/>
        <v>15.600000000000001</v>
      </c>
      <c r="J34" s="97">
        <f t="shared" si="24"/>
        <v>13.699999999999996</v>
      </c>
      <c r="K34" s="97">
        <f t="shared" si="24"/>
        <v>-0.19999999999999574</v>
      </c>
      <c r="L34" s="97">
        <f t="shared" si="24"/>
        <v>0.69999999999999574</v>
      </c>
      <c r="M34" s="97">
        <f t="shared" si="24"/>
        <v>44.9</v>
      </c>
      <c r="N34" s="97">
        <f t="shared" si="24"/>
        <v>38.799999999999997</v>
      </c>
      <c r="O34" s="97">
        <f t="shared" si="24"/>
        <v>27.599999999999994</v>
      </c>
      <c r="P34" s="97">
        <f t="shared" si="24"/>
        <v>33.300000000000011</v>
      </c>
      <c r="Q34" s="97">
        <f t="shared" si="24"/>
        <v>14.800000000000011</v>
      </c>
      <c r="R34" s="100">
        <v>15</v>
      </c>
      <c r="S34" s="100">
        <v>15</v>
      </c>
      <c r="T34" s="100">
        <v>15</v>
      </c>
      <c r="U34" s="100">
        <v>15</v>
      </c>
      <c r="V34" s="100">
        <v>15</v>
      </c>
      <c r="W34" s="100">
        <v>15</v>
      </c>
      <c r="X34" s="100">
        <v>15</v>
      </c>
      <c r="Y34" s="100">
        <v>15</v>
      </c>
      <c r="Z34" s="100">
        <v>15</v>
      </c>
      <c r="AA34" s="97"/>
      <c r="AB34" s="228" t="str">
        <f t="shared" si="19"/>
        <v>Telephony adds</v>
      </c>
      <c r="AC34" s="97"/>
      <c r="AD34" s="97">
        <f t="shared" si="30"/>
        <v>0</v>
      </c>
      <c r="AE34" s="97">
        <f t="shared" si="30"/>
        <v>0</v>
      </c>
      <c r="AF34" s="97">
        <f t="shared" si="30"/>
        <v>0</v>
      </c>
      <c r="AG34" s="97">
        <f t="shared" si="30"/>
        <v>0</v>
      </c>
      <c r="AH34" s="97">
        <f t="shared" si="30"/>
        <v>0</v>
      </c>
      <c r="AI34" s="97">
        <f t="shared" si="30"/>
        <v>0</v>
      </c>
      <c r="AJ34" s="97">
        <f t="shared" si="30"/>
        <v>0</v>
      </c>
      <c r="AK34" s="97">
        <f t="shared" si="30"/>
        <v>0</v>
      </c>
      <c r="AL34" s="97">
        <f t="shared" si="30"/>
        <v>0</v>
      </c>
      <c r="AM34" s="97">
        <f t="shared" si="30"/>
        <v>0</v>
      </c>
      <c r="AN34" s="97">
        <f t="shared" si="30"/>
        <v>0</v>
      </c>
      <c r="AO34" s="97">
        <f t="shared" si="30"/>
        <v>0</v>
      </c>
      <c r="AP34" s="97">
        <f t="shared" si="30"/>
        <v>0</v>
      </c>
      <c r="AQ34" s="97">
        <f t="shared" si="30"/>
        <v>0</v>
      </c>
      <c r="AR34" s="97">
        <f t="shared" si="30"/>
        <v>15.4</v>
      </c>
      <c r="AS34" s="97">
        <f t="shared" si="30"/>
        <v>0.99999999999999822</v>
      </c>
      <c r="AT34" s="97">
        <f t="shared" si="30"/>
        <v>1.7000000000000028</v>
      </c>
      <c r="AU34" s="97">
        <f t="shared" si="30"/>
        <v>1.5999999999999979</v>
      </c>
      <c r="AV34" s="97">
        <f t="shared" si="30"/>
        <v>0.69999999999999929</v>
      </c>
      <c r="AW34" s="97">
        <f t="shared" si="30"/>
        <v>-2.1999999999999993</v>
      </c>
      <c r="AX34" s="97">
        <f t="shared" si="30"/>
        <v>-1.8999999999999986</v>
      </c>
      <c r="AY34" s="97">
        <f t="shared" si="30"/>
        <v>0.89999999999999858</v>
      </c>
      <c r="AZ34" s="97">
        <f t="shared" si="30"/>
        <v>1.5</v>
      </c>
      <c r="BA34" s="97">
        <f t="shared" si="30"/>
        <v>0.90000000000000213</v>
      </c>
      <c r="BB34" s="97">
        <f t="shared" si="30"/>
        <v>3</v>
      </c>
      <c r="BC34" s="97">
        <f t="shared" si="30"/>
        <v>2.6999999999999993</v>
      </c>
      <c r="BD34" s="97">
        <f t="shared" si="30"/>
        <v>4.3999999999999986</v>
      </c>
      <c r="BE34" s="97">
        <f t="shared" si="30"/>
        <v>5.5000000000000036</v>
      </c>
      <c r="BF34" s="97">
        <f t="shared" si="30"/>
        <v>5.8999999999999986</v>
      </c>
      <c r="BG34" s="97">
        <f t="shared" si="30"/>
        <v>4.1000000000000014</v>
      </c>
      <c r="BH34" s="97">
        <f t="shared" si="30"/>
        <v>1.8999999999999986</v>
      </c>
      <c r="BI34" s="97">
        <f t="shared" si="30"/>
        <v>1.7999999999999972</v>
      </c>
      <c r="BJ34" s="97">
        <f t="shared" si="30"/>
        <v>1.3000000000000043</v>
      </c>
      <c r="BK34" s="97">
        <f t="shared" si="30"/>
        <v>0</v>
      </c>
      <c r="BL34" s="97">
        <f t="shared" si="30"/>
        <v>-1.7000000000000028</v>
      </c>
      <c r="BM34" s="97">
        <f t="shared" si="30"/>
        <v>0.20000000000000284</v>
      </c>
      <c r="BN34" s="97">
        <f t="shared" si="30"/>
        <v>1.1999999999999957</v>
      </c>
      <c r="BO34" s="97">
        <f t="shared" si="30"/>
        <v>-0.10000000000000142</v>
      </c>
      <c r="BP34" s="97">
        <f t="shared" si="30"/>
        <v>-0.79999999999999716</v>
      </c>
      <c r="BQ34" s="97">
        <f t="shared" si="30"/>
        <v>0.39999999999999858</v>
      </c>
      <c r="BR34" s="97">
        <f t="shared" si="30"/>
        <v>1</v>
      </c>
      <c r="BS34" s="97">
        <f t="shared" si="30"/>
        <v>2.5</v>
      </c>
      <c r="BT34" s="97">
        <f t="shared" si="30"/>
        <v>2.8999999999999986</v>
      </c>
      <c r="BU34" s="97">
        <f t="shared" si="30"/>
        <v>38.5</v>
      </c>
      <c r="BV34" s="97">
        <f t="shared" si="30"/>
        <v>8.2000000000000028</v>
      </c>
      <c r="BW34" s="97">
        <f t="shared" si="30"/>
        <v>10</v>
      </c>
      <c r="BX34" s="97">
        <f t="shared" si="30"/>
        <v>9.5</v>
      </c>
      <c r="BY34" s="97">
        <f t="shared" si="30"/>
        <v>11.099999999999994</v>
      </c>
      <c r="BZ34" s="97">
        <f t="shared" si="30"/>
        <v>8.7000000000000171</v>
      </c>
      <c r="CA34" s="97">
        <f t="shared" si="30"/>
        <v>5.2999999999999829</v>
      </c>
      <c r="CB34" s="97">
        <f t="shared" si="30"/>
        <v>7.0999999999999943</v>
      </c>
      <c r="CC34" s="144">
        <f t="shared" si="27"/>
        <v>5</v>
      </c>
      <c r="CD34" s="144">
        <f t="shared" si="27"/>
        <v>3.6999999999999886</v>
      </c>
      <c r="CE34" s="99"/>
      <c r="CF34" s="99"/>
      <c r="CH34" s="99"/>
      <c r="CI34" s="99"/>
      <c r="CJ34" s="99"/>
      <c r="CK34" s="99"/>
      <c r="CL34" s="99"/>
      <c r="CM34" s="99"/>
      <c r="CN34" s="99"/>
    </row>
    <row r="35" spans="1:92" s="92" customFormat="1" ht="15" customHeight="1">
      <c r="A35" s="141" t="s">
        <v>583</v>
      </c>
      <c r="B35" s="97"/>
      <c r="C35" s="97">
        <f t="shared" si="24"/>
        <v>0</v>
      </c>
      <c r="D35" s="97">
        <f t="shared" si="24"/>
        <v>0</v>
      </c>
      <c r="E35" s="97">
        <f t="shared" si="24"/>
        <v>0</v>
      </c>
      <c r="F35" s="97">
        <f t="shared" si="24"/>
        <v>0</v>
      </c>
      <c r="G35" s="97">
        <f t="shared" si="24"/>
        <v>0</v>
      </c>
      <c r="H35" s="97">
        <f t="shared" si="24"/>
        <v>0</v>
      </c>
      <c r="I35" s="97">
        <f t="shared" si="24"/>
        <v>0</v>
      </c>
      <c r="J35" s="97">
        <f t="shared" si="24"/>
        <v>0</v>
      </c>
      <c r="K35" s="97">
        <f t="shared" si="24"/>
        <v>0</v>
      </c>
      <c r="L35" s="97">
        <f t="shared" si="24"/>
        <v>0</v>
      </c>
      <c r="M35" s="97">
        <f t="shared" si="24"/>
        <v>0</v>
      </c>
      <c r="N35" s="97">
        <f t="shared" si="24"/>
        <v>0</v>
      </c>
      <c r="O35" s="97">
        <f t="shared" si="24"/>
        <v>0</v>
      </c>
      <c r="P35" s="97">
        <f t="shared" si="24"/>
        <v>0</v>
      </c>
      <c r="Q35" s="97">
        <f t="shared" si="24"/>
        <v>0</v>
      </c>
      <c r="R35" s="100">
        <v>0</v>
      </c>
      <c r="S35" s="100">
        <v>0</v>
      </c>
      <c r="T35" s="100">
        <v>0</v>
      </c>
      <c r="U35" s="100">
        <v>0</v>
      </c>
      <c r="V35" s="100">
        <v>0</v>
      </c>
      <c r="W35" s="100">
        <v>0</v>
      </c>
      <c r="X35" s="100">
        <v>0</v>
      </c>
      <c r="Y35" s="100">
        <v>0</v>
      </c>
      <c r="Z35" s="100">
        <v>0</v>
      </c>
      <c r="AA35" s="97"/>
      <c r="AB35" s="228" t="str">
        <f t="shared" si="19"/>
        <v>Mobile adds</v>
      </c>
      <c r="AC35" s="97"/>
      <c r="AD35" s="97">
        <f t="shared" si="30"/>
        <v>0</v>
      </c>
      <c r="AE35" s="97">
        <f t="shared" si="30"/>
        <v>0</v>
      </c>
      <c r="AF35" s="97">
        <f t="shared" si="30"/>
        <v>0</v>
      </c>
      <c r="AG35" s="97">
        <f t="shared" si="30"/>
        <v>0</v>
      </c>
      <c r="AH35" s="97">
        <f t="shared" si="30"/>
        <v>0</v>
      </c>
      <c r="AI35" s="97">
        <f t="shared" si="30"/>
        <v>0</v>
      </c>
      <c r="AJ35" s="97">
        <f t="shared" si="30"/>
        <v>0</v>
      </c>
      <c r="AK35" s="97">
        <f t="shared" si="30"/>
        <v>0</v>
      </c>
      <c r="AL35" s="97">
        <f t="shared" si="30"/>
        <v>0</v>
      </c>
      <c r="AM35" s="97">
        <f t="shared" si="30"/>
        <v>0</v>
      </c>
      <c r="AN35" s="97">
        <f t="shared" si="30"/>
        <v>0</v>
      </c>
      <c r="AO35" s="97">
        <f t="shared" si="30"/>
        <v>0</v>
      </c>
      <c r="AP35" s="97">
        <f t="shared" si="30"/>
        <v>0</v>
      </c>
      <c r="AQ35" s="97">
        <f t="shared" si="30"/>
        <v>0</v>
      </c>
      <c r="AR35" s="97">
        <f t="shared" si="30"/>
        <v>0</v>
      </c>
      <c r="AS35" s="97">
        <f t="shared" si="30"/>
        <v>0</v>
      </c>
      <c r="AT35" s="97">
        <f t="shared" si="30"/>
        <v>0</v>
      </c>
      <c r="AU35" s="97">
        <f t="shared" si="30"/>
        <v>0</v>
      </c>
      <c r="AV35" s="97">
        <f t="shared" si="30"/>
        <v>0</v>
      </c>
      <c r="AW35" s="97">
        <f t="shared" si="30"/>
        <v>0</v>
      </c>
      <c r="AX35" s="97">
        <f t="shared" si="30"/>
        <v>0</v>
      </c>
      <c r="AY35" s="97">
        <f t="shared" si="30"/>
        <v>0</v>
      </c>
      <c r="AZ35" s="97">
        <f t="shared" si="30"/>
        <v>0</v>
      </c>
      <c r="BA35" s="97">
        <f t="shared" si="30"/>
        <v>0</v>
      </c>
      <c r="BB35" s="97">
        <f t="shared" si="30"/>
        <v>0</v>
      </c>
      <c r="BC35" s="97">
        <f t="shared" si="30"/>
        <v>0</v>
      </c>
      <c r="BD35" s="97">
        <f t="shared" si="30"/>
        <v>0</v>
      </c>
      <c r="BE35" s="97">
        <f t="shared" si="30"/>
        <v>0</v>
      </c>
      <c r="BF35" s="97">
        <f t="shared" si="30"/>
        <v>0</v>
      </c>
      <c r="BG35" s="97">
        <f t="shared" si="30"/>
        <v>0</v>
      </c>
      <c r="BH35" s="97">
        <f t="shared" si="30"/>
        <v>0</v>
      </c>
      <c r="BI35" s="97">
        <f t="shared" si="30"/>
        <v>0</v>
      </c>
      <c r="BJ35" s="97">
        <f t="shared" si="30"/>
        <v>0</v>
      </c>
      <c r="BK35" s="97">
        <f t="shared" si="30"/>
        <v>0</v>
      </c>
      <c r="BL35" s="97">
        <f t="shared" si="30"/>
        <v>0</v>
      </c>
      <c r="BM35" s="97">
        <f t="shared" si="30"/>
        <v>0</v>
      </c>
      <c r="BN35" s="97">
        <f t="shared" si="30"/>
        <v>0</v>
      </c>
      <c r="BO35" s="97">
        <f t="shared" si="30"/>
        <v>0</v>
      </c>
      <c r="BP35" s="97">
        <f t="shared" si="30"/>
        <v>0</v>
      </c>
      <c r="BQ35" s="97">
        <f t="shared" si="30"/>
        <v>0</v>
      </c>
      <c r="BR35" s="97">
        <f t="shared" si="30"/>
        <v>0</v>
      </c>
      <c r="BS35" s="97">
        <f t="shared" si="30"/>
        <v>0</v>
      </c>
      <c r="BT35" s="97">
        <f t="shared" si="30"/>
        <v>0</v>
      </c>
      <c r="BU35" s="97">
        <f t="shared" si="30"/>
        <v>0</v>
      </c>
      <c r="BV35" s="97">
        <f t="shared" si="30"/>
        <v>0</v>
      </c>
      <c r="BW35" s="97">
        <f t="shared" si="30"/>
        <v>0</v>
      </c>
      <c r="BX35" s="97">
        <f t="shared" si="30"/>
        <v>0</v>
      </c>
      <c r="BY35" s="97">
        <f t="shared" si="30"/>
        <v>0</v>
      </c>
      <c r="BZ35" s="97">
        <f t="shared" si="30"/>
        <v>0</v>
      </c>
      <c r="CA35" s="97">
        <f t="shared" si="30"/>
        <v>0</v>
      </c>
      <c r="CB35" s="97">
        <f t="shared" si="30"/>
        <v>0</v>
      </c>
      <c r="CC35" s="144">
        <f t="shared" si="27"/>
        <v>6.5</v>
      </c>
      <c r="CD35" s="144">
        <f t="shared" si="27"/>
        <v>5.8000000000000114</v>
      </c>
      <c r="CE35" s="99"/>
      <c r="CF35" s="99"/>
      <c r="CH35" s="99"/>
      <c r="CI35" s="99"/>
      <c r="CJ35" s="99"/>
      <c r="CK35" s="99"/>
      <c r="CL35" s="99"/>
      <c r="CM35" s="99"/>
      <c r="CN35" s="99"/>
    </row>
    <row r="36" spans="1:92" s="92" customFormat="1" ht="15" customHeight="1">
      <c r="A36" s="14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228"/>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229"/>
      <c r="CD36" s="229"/>
    </row>
    <row r="37" spans="1:92" s="92" customFormat="1" ht="15" customHeight="1">
      <c r="A37" s="141" t="s">
        <v>584</v>
      </c>
      <c r="B37" s="91"/>
      <c r="C37" s="101">
        <f t="shared" ref="C37:O37" si="31">+C5/C4</f>
        <v>0.94108761329305135</v>
      </c>
      <c r="D37" s="101">
        <f t="shared" si="31"/>
        <v>0.94620611551528888</v>
      </c>
      <c r="E37" s="101">
        <f t="shared" si="31"/>
        <v>0.55596107055961075</v>
      </c>
      <c r="F37" s="101">
        <f t="shared" si="31"/>
        <v>0.9116008718818116</v>
      </c>
      <c r="G37" s="101">
        <f t="shared" si="31"/>
        <v>0.95853307766059437</v>
      </c>
      <c r="H37" s="101">
        <f t="shared" si="31"/>
        <v>1</v>
      </c>
      <c r="I37" s="101">
        <f t="shared" si="31"/>
        <v>1</v>
      </c>
      <c r="J37" s="101">
        <f t="shared" si="31"/>
        <v>1</v>
      </c>
      <c r="K37" s="101">
        <f t="shared" si="31"/>
        <v>1</v>
      </c>
      <c r="L37" s="101">
        <f t="shared" si="31"/>
        <v>1</v>
      </c>
      <c r="M37" s="101">
        <f t="shared" si="31"/>
        <v>1</v>
      </c>
      <c r="N37" s="101">
        <f t="shared" si="31"/>
        <v>1</v>
      </c>
      <c r="O37" s="101">
        <f t="shared" si="31"/>
        <v>1</v>
      </c>
      <c r="P37" s="101">
        <f>+P5/P4</f>
        <v>1</v>
      </c>
      <c r="Q37" s="101">
        <f>+Q5/Q4</f>
        <v>1</v>
      </c>
      <c r="R37" s="102">
        <f t="shared" ref="R37:Z37" si="32">+Q37</f>
        <v>1</v>
      </c>
      <c r="S37" s="102">
        <f t="shared" si="32"/>
        <v>1</v>
      </c>
      <c r="T37" s="102">
        <f t="shared" si="32"/>
        <v>1</v>
      </c>
      <c r="U37" s="102">
        <f t="shared" si="32"/>
        <v>1</v>
      </c>
      <c r="V37" s="102">
        <f t="shared" si="32"/>
        <v>1</v>
      </c>
      <c r="W37" s="102">
        <f t="shared" si="32"/>
        <v>1</v>
      </c>
      <c r="X37" s="102">
        <f t="shared" si="32"/>
        <v>1</v>
      </c>
      <c r="Y37" s="102">
        <f t="shared" si="32"/>
        <v>1</v>
      </c>
      <c r="Z37" s="102">
        <f t="shared" si="32"/>
        <v>1</v>
      </c>
      <c r="AA37" s="91"/>
      <c r="AB37" s="228" t="str">
        <f t="shared" ref="AB37:AB48" si="33">+A37</f>
        <v>HU % HP</v>
      </c>
      <c r="AC37" s="91"/>
      <c r="AD37" s="101">
        <f t="shared" ref="AD37:CD37" si="34">+AD5/AD4</f>
        <v>5.2087912087912087E-2</v>
      </c>
      <c r="AE37" s="101">
        <f t="shared" si="34"/>
        <v>5.9907834101382493E-2</v>
      </c>
      <c r="AF37" s="101">
        <f t="shared" si="34"/>
        <v>0.94137670196671719</v>
      </c>
      <c r="AG37" s="101">
        <f t="shared" si="34"/>
        <v>0.94108761329305135</v>
      </c>
      <c r="AH37" s="101">
        <f t="shared" si="34"/>
        <v>0.94581838776666027</v>
      </c>
      <c r="AI37" s="101">
        <f t="shared" si="34"/>
        <v>0.94639486598716516</v>
      </c>
      <c r="AJ37" s="101">
        <f t="shared" si="34"/>
        <v>0.94677236693091749</v>
      </c>
      <c r="AK37" s="101">
        <f t="shared" si="34"/>
        <v>0.94620611551528888</v>
      </c>
      <c r="AL37" s="101">
        <f t="shared" si="34"/>
        <v>0.93459953413366781</v>
      </c>
      <c r="AM37" s="101">
        <f t="shared" si="34"/>
        <v>0.93459953413366781</v>
      </c>
      <c r="AN37" s="101">
        <f t="shared" si="34"/>
        <v>0.55596107055961075</v>
      </c>
      <c r="AO37" s="101">
        <f t="shared" si="34"/>
        <v>0.55596107055961075</v>
      </c>
      <c r="AP37" s="101">
        <f t="shared" si="34"/>
        <v>0.55231143552311435</v>
      </c>
      <c r="AQ37" s="101">
        <f t="shared" si="34"/>
        <v>0.55324357405140756</v>
      </c>
      <c r="AR37" s="101">
        <f t="shared" si="34"/>
        <v>0.91127856101118132</v>
      </c>
      <c r="AS37" s="101">
        <f t="shared" si="34"/>
        <v>0.9116008718818116</v>
      </c>
      <c r="AT37" s="101">
        <f t="shared" si="34"/>
        <v>0.91179313678105367</v>
      </c>
      <c r="AU37" s="101">
        <f t="shared" si="34"/>
        <v>0.92038600723763575</v>
      </c>
      <c r="AV37" s="101">
        <f t="shared" si="34"/>
        <v>0.95310245310245312</v>
      </c>
      <c r="AW37" s="101">
        <f t="shared" si="34"/>
        <v>0.95853307766059437</v>
      </c>
      <c r="AX37" s="101">
        <f t="shared" si="34"/>
        <v>0.96197991391678617</v>
      </c>
      <c r="AY37" s="101">
        <f t="shared" si="34"/>
        <v>0.96188661267270126</v>
      </c>
      <c r="AZ37" s="101">
        <f t="shared" si="34"/>
        <v>0.96199524940617576</v>
      </c>
      <c r="BA37" s="101">
        <f t="shared" si="34"/>
        <v>1</v>
      </c>
      <c r="BB37" s="101">
        <f t="shared" si="34"/>
        <v>1</v>
      </c>
      <c r="BC37" s="101">
        <f t="shared" si="34"/>
        <v>1</v>
      </c>
      <c r="BD37" s="101">
        <f t="shared" si="34"/>
        <v>1</v>
      </c>
      <c r="BE37" s="101">
        <f t="shared" si="34"/>
        <v>1</v>
      </c>
      <c r="BF37" s="101">
        <f t="shared" si="34"/>
        <v>1</v>
      </c>
      <c r="BG37" s="101">
        <f t="shared" si="34"/>
        <v>1</v>
      </c>
      <c r="BH37" s="101">
        <f t="shared" si="34"/>
        <v>1</v>
      </c>
      <c r="BI37" s="101">
        <f t="shared" si="34"/>
        <v>1</v>
      </c>
      <c r="BJ37" s="101">
        <f t="shared" si="34"/>
        <v>1</v>
      </c>
      <c r="BK37" s="101">
        <f t="shared" si="34"/>
        <v>1</v>
      </c>
      <c r="BL37" s="101">
        <f t="shared" si="34"/>
        <v>1</v>
      </c>
      <c r="BM37" s="101">
        <f t="shared" si="34"/>
        <v>1</v>
      </c>
      <c r="BN37" s="101">
        <f t="shared" si="34"/>
        <v>1</v>
      </c>
      <c r="BO37" s="101">
        <f t="shared" si="34"/>
        <v>1</v>
      </c>
      <c r="BP37" s="101">
        <f t="shared" si="34"/>
        <v>1</v>
      </c>
      <c r="BQ37" s="101">
        <f t="shared" si="34"/>
        <v>1</v>
      </c>
      <c r="BR37" s="101">
        <f t="shared" si="34"/>
        <v>1</v>
      </c>
      <c r="BS37" s="101">
        <f t="shared" si="34"/>
        <v>1</v>
      </c>
      <c r="BT37" s="101">
        <f t="shared" si="34"/>
        <v>1</v>
      </c>
      <c r="BU37" s="101">
        <f t="shared" si="34"/>
        <v>1</v>
      </c>
      <c r="BV37" s="101">
        <f t="shared" si="34"/>
        <v>1</v>
      </c>
      <c r="BW37" s="101">
        <f t="shared" si="34"/>
        <v>1</v>
      </c>
      <c r="BX37" s="101">
        <f t="shared" si="34"/>
        <v>1</v>
      </c>
      <c r="BY37" s="101">
        <f t="shared" si="34"/>
        <v>1</v>
      </c>
      <c r="BZ37" s="101">
        <f t="shared" si="34"/>
        <v>1</v>
      </c>
      <c r="CA37" s="101">
        <f t="shared" si="34"/>
        <v>1</v>
      </c>
      <c r="CB37" s="101">
        <f t="shared" si="34"/>
        <v>1</v>
      </c>
      <c r="CC37" s="230">
        <f t="shared" si="34"/>
        <v>1</v>
      </c>
      <c r="CD37" s="230">
        <f t="shared" si="34"/>
        <v>1</v>
      </c>
    </row>
    <row r="38" spans="1:92" s="92" customFormat="1" ht="15" customHeight="1">
      <c r="A38" s="141" t="s">
        <v>755</v>
      </c>
      <c r="B38" s="91"/>
      <c r="C38" s="101">
        <f t="shared" ref="C38:O38" si="35">+(C8+C9)/C10</f>
        <v>0.43627450980392163</v>
      </c>
      <c r="D38" s="101">
        <f t="shared" si="35"/>
        <v>0.30516431924882625</v>
      </c>
      <c r="E38" s="101">
        <f t="shared" si="35"/>
        <v>0</v>
      </c>
      <c r="F38" s="101">
        <f t="shared" si="35"/>
        <v>0.45166531275385868</v>
      </c>
      <c r="G38" s="101">
        <f t="shared" si="35"/>
        <v>0.91741071428571419</v>
      </c>
      <c r="H38" s="101">
        <f t="shared" si="35"/>
        <v>1</v>
      </c>
      <c r="I38" s="101">
        <f t="shared" si="35"/>
        <v>1</v>
      </c>
      <c r="J38" s="101">
        <f t="shared" si="35"/>
        <v>1</v>
      </c>
      <c r="K38" s="101">
        <f t="shared" si="35"/>
        <v>1</v>
      </c>
      <c r="L38" s="101">
        <f t="shared" si="35"/>
        <v>1</v>
      </c>
      <c r="M38" s="101">
        <f t="shared" si="35"/>
        <v>1</v>
      </c>
      <c r="N38" s="101">
        <f t="shared" si="35"/>
        <v>1</v>
      </c>
      <c r="O38" s="101">
        <f t="shared" si="35"/>
        <v>1</v>
      </c>
      <c r="P38" s="101">
        <f>+(P8+P9)/P10</f>
        <v>1</v>
      </c>
      <c r="Q38" s="101">
        <f>+(Q8+Q9)/Q10</f>
        <v>1</v>
      </c>
      <c r="R38" s="102">
        <f t="shared" ref="R38:Z38" si="36">MIN(100%,+Q38*1.1)</f>
        <v>1</v>
      </c>
      <c r="S38" s="102">
        <f t="shared" si="36"/>
        <v>1</v>
      </c>
      <c r="T38" s="102">
        <f t="shared" si="36"/>
        <v>1</v>
      </c>
      <c r="U38" s="102">
        <f t="shared" si="36"/>
        <v>1</v>
      </c>
      <c r="V38" s="102">
        <f t="shared" si="36"/>
        <v>1</v>
      </c>
      <c r="W38" s="102">
        <f t="shared" si="36"/>
        <v>1</v>
      </c>
      <c r="X38" s="102">
        <f t="shared" si="36"/>
        <v>1</v>
      </c>
      <c r="Y38" s="102">
        <f t="shared" si="36"/>
        <v>1</v>
      </c>
      <c r="Z38" s="102">
        <f t="shared" si="36"/>
        <v>1</v>
      </c>
      <c r="AA38" s="91"/>
      <c r="AB38" s="228" t="str">
        <f t="shared" si="33"/>
        <v>Enhanced % video</v>
      </c>
      <c r="AC38" s="91"/>
      <c r="AD38" s="101">
        <f t="shared" ref="AD38:CD38" si="37">+(AD8+AD9)/AD10</f>
        <v>0.43229166666666663</v>
      </c>
      <c r="AE38" s="101">
        <f t="shared" si="37"/>
        <v>0.42079207920792083</v>
      </c>
      <c r="AF38" s="101">
        <f t="shared" si="37"/>
        <v>0.43349753694581283</v>
      </c>
      <c r="AG38" s="101">
        <f t="shared" si="37"/>
        <v>0.43627450980392163</v>
      </c>
      <c r="AH38" s="101">
        <f t="shared" si="37"/>
        <v>0.37558685446009388</v>
      </c>
      <c r="AI38" s="101">
        <f t="shared" si="37"/>
        <v>0.33953488372093021</v>
      </c>
      <c r="AJ38" s="101">
        <f t="shared" si="37"/>
        <v>0.323943661971831</v>
      </c>
      <c r="AK38" s="101">
        <f t="shared" si="37"/>
        <v>0.30516431924882625</v>
      </c>
      <c r="AL38" s="101">
        <f t="shared" si="37"/>
        <v>0.29629629629629628</v>
      </c>
      <c r="AM38" s="101">
        <f t="shared" si="37"/>
        <v>0.2930232558139535</v>
      </c>
      <c r="AN38" s="101">
        <f t="shared" si="37"/>
        <v>0.2990654205607477</v>
      </c>
      <c r="AO38" s="101">
        <f t="shared" si="37"/>
        <v>0</v>
      </c>
      <c r="AP38" s="101">
        <f t="shared" si="37"/>
        <v>0</v>
      </c>
      <c r="AQ38" s="101">
        <f t="shared" si="37"/>
        <v>0</v>
      </c>
      <c r="AR38" s="101">
        <f t="shared" si="37"/>
        <v>0.41619433198380568</v>
      </c>
      <c r="AS38" s="101">
        <f t="shared" si="37"/>
        <v>0.45166531275385868</v>
      </c>
      <c r="AT38" s="101">
        <f t="shared" si="37"/>
        <v>0.6777531411677753</v>
      </c>
      <c r="AU38" s="101">
        <f t="shared" si="37"/>
        <v>0.91907943578322204</v>
      </c>
      <c r="AV38" s="101">
        <f t="shared" si="37"/>
        <v>0.91929567131327938</v>
      </c>
      <c r="AW38" s="101">
        <f t="shared" si="37"/>
        <v>0.91741071428571419</v>
      </c>
      <c r="AX38" s="101">
        <f t="shared" si="37"/>
        <v>0.91047162270183857</v>
      </c>
      <c r="AY38" s="101">
        <f t="shared" si="37"/>
        <v>0.90536013400335014</v>
      </c>
      <c r="AZ38" s="101">
        <f t="shared" si="37"/>
        <v>0.89991296779808527</v>
      </c>
      <c r="BA38" s="101">
        <f t="shared" si="37"/>
        <v>1</v>
      </c>
      <c r="BB38" s="101">
        <f t="shared" si="37"/>
        <v>1</v>
      </c>
      <c r="BC38" s="101">
        <f t="shared" si="37"/>
        <v>1</v>
      </c>
      <c r="BD38" s="101">
        <f t="shared" si="37"/>
        <v>1</v>
      </c>
      <c r="BE38" s="101">
        <f t="shared" si="37"/>
        <v>1</v>
      </c>
      <c r="BF38" s="101">
        <f t="shared" si="37"/>
        <v>1</v>
      </c>
      <c r="BG38" s="101">
        <f t="shared" si="37"/>
        <v>1</v>
      </c>
      <c r="BH38" s="101">
        <f t="shared" si="37"/>
        <v>1</v>
      </c>
      <c r="BI38" s="101">
        <f t="shared" si="37"/>
        <v>1</v>
      </c>
      <c r="BJ38" s="101">
        <f t="shared" si="37"/>
        <v>1</v>
      </c>
      <c r="BK38" s="101">
        <f t="shared" si="37"/>
        <v>1</v>
      </c>
      <c r="BL38" s="101">
        <f t="shared" si="37"/>
        <v>1</v>
      </c>
      <c r="BM38" s="101">
        <f t="shared" si="37"/>
        <v>1</v>
      </c>
      <c r="BN38" s="101">
        <f t="shared" si="37"/>
        <v>1</v>
      </c>
      <c r="BO38" s="101">
        <f t="shared" si="37"/>
        <v>1</v>
      </c>
      <c r="BP38" s="101">
        <f t="shared" si="37"/>
        <v>1</v>
      </c>
      <c r="BQ38" s="101">
        <f t="shared" si="37"/>
        <v>1</v>
      </c>
      <c r="BR38" s="101">
        <f t="shared" si="37"/>
        <v>1</v>
      </c>
      <c r="BS38" s="101">
        <f t="shared" si="37"/>
        <v>1</v>
      </c>
      <c r="BT38" s="101">
        <f t="shared" si="37"/>
        <v>1</v>
      </c>
      <c r="BU38" s="101">
        <f t="shared" si="37"/>
        <v>1</v>
      </c>
      <c r="BV38" s="101">
        <f t="shared" si="37"/>
        <v>1</v>
      </c>
      <c r="BW38" s="101">
        <f t="shared" si="37"/>
        <v>1</v>
      </c>
      <c r="BX38" s="101">
        <f t="shared" si="37"/>
        <v>1</v>
      </c>
      <c r="BY38" s="101">
        <f t="shared" si="37"/>
        <v>1</v>
      </c>
      <c r="BZ38" s="101">
        <f t="shared" si="37"/>
        <v>1</v>
      </c>
      <c r="CA38" s="101">
        <f t="shared" si="37"/>
        <v>1</v>
      </c>
      <c r="CB38" s="101">
        <f t="shared" si="37"/>
        <v>1</v>
      </c>
      <c r="CC38" s="230">
        <f t="shared" si="37"/>
        <v>1</v>
      </c>
      <c r="CD38" s="230">
        <f t="shared" si="37"/>
        <v>1</v>
      </c>
    </row>
    <row r="39" spans="1:92" s="92" customFormat="1" ht="15" customHeight="1">
      <c r="A39" s="141" t="s">
        <v>586</v>
      </c>
      <c r="B39" s="91"/>
      <c r="C39" s="101">
        <f t="shared" ref="C39:Z39" si="38">+C11/C5</f>
        <v>5.2166934189406102E-3</v>
      </c>
      <c r="D39" s="101">
        <f t="shared" si="38"/>
        <v>7.7797725912627175E-3</v>
      </c>
      <c r="E39" s="101">
        <f t="shared" si="38"/>
        <v>9.4091903719912481E-2</v>
      </c>
      <c r="F39" s="101">
        <f t="shared" si="38"/>
        <v>9.7768331562167896E-2</v>
      </c>
      <c r="G39" s="101">
        <f t="shared" si="38"/>
        <v>0.13178294573643409</v>
      </c>
      <c r="H39" s="101">
        <f t="shared" si="38"/>
        <v>0.17018779342723003</v>
      </c>
      <c r="I39" s="101">
        <f t="shared" si="38"/>
        <v>0.19895742832319721</v>
      </c>
      <c r="J39" s="101">
        <f t="shared" si="38"/>
        <v>0.22193511340798161</v>
      </c>
      <c r="K39" s="101">
        <f t="shared" si="38"/>
        <v>0.23083475298126066</v>
      </c>
      <c r="L39" s="101">
        <f t="shared" si="38"/>
        <v>0.24419263456090654</v>
      </c>
      <c r="M39" s="101">
        <f t="shared" si="38"/>
        <v>0.25484054669703871</v>
      </c>
      <c r="N39" s="101">
        <f t="shared" si="38"/>
        <v>0.27277888163497016</v>
      </c>
      <c r="O39" s="101">
        <f t="shared" si="38"/>
        <v>0.29766454352441613</v>
      </c>
      <c r="P39" s="101">
        <f>+P11/P5</f>
        <v>0.29793592976557393</v>
      </c>
      <c r="Q39" s="101">
        <f>+Q11/Q5</f>
        <v>0.30119930422045227</v>
      </c>
      <c r="R39" s="101">
        <f t="shared" si="38"/>
        <v>0.30651340996168586</v>
      </c>
      <c r="S39" s="101">
        <f t="shared" si="38"/>
        <v>0.3190260375011108</v>
      </c>
      <c r="T39" s="101">
        <f t="shared" si="38"/>
        <v>0.33147212620756894</v>
      </c>
      <c r="U39" s="101">
        <f t="shared" si="38"/>
        <v>0.34385220542738443</v>
      </c>
      <c r="V39" s="101">
        <f t="shared" si="38"/>
        <v>0.3561667989068148</v>
      </c>
      <c r="W39" s="101">
        <f t="shared" si="38"/>
        <v>0.36841642486591053</v>
      </c>
      <c r="X39" s="101">
        <f t="shared" si="38"/>
        <v>0.38060159607120936</v>
      </c>
      <c r="Y39" s="101">
        <f t="shared" si="38"/>
        <v>0.39272281990728597</v>
      </c>
      <c r="Z39" s="101">
        <f t="shared" si="38"/>
        <v>0.4047805984471779</v>
      </c>
      <c r="AA39" s="91"/>
      <c r="AB39" s="228" t="str">
        <f t="shared" si="33"/>
        <v>Broadband % HU</v>
      </c>
      <c r="AC39" s="91"/>
      <c r="AD39" s="101">
        <f t="shared" ref="AD39:CD39" si="39">+AD11/AD5</f>
        <v>5.4852320675105488E-2</v>
      </c>
      <c r="AE39" s="101">
        <f t="shared" si="39"/>
        <v>6.2271062271062279E-2</v>
      </c>
      <c r="AF39" s="101">
        <f t="shared" si="39"/>
        <v>4.4194455604660505E-3</v>
      </c>
      <c r="AG39" s="101">
        <f t="shared" si="39"/>
        <v>5.2166934189406102E-3</v>
      </c>
      <c r="AH39" s="101">
        <f t="shared" si="39"/>
        <v>5.5888223552894205E-3</v>
      </c>
      <c r="AI39" s="101">
        <f t="shared" si="39"/>
        <v>6.3821300358994802E-3</v>
      </c>
      <c r="AJ39" s="101">
        <f t="shared" si="39"/>
        <v>7.5757575757575751E-3</v>
      </c>
      <c r="AK39" s="101">
        <f t="shared" si="39"/>
        <v>7.7797725912627175E-3</v>
      </c>
      <c r="AL39" s="101">
        <f t="shared" si="39"/>
        <v>6.9018404907975452E-3</v>
      </c>
      <c r="AM39" s="101">
        <f t="shared" si="39"/>
        <v>7.4769938650306742E-3</v>
      </c>
      <c r="AN39" s="101">
        <f t="shared" si="39"/>
        <v>8.9715536105032814E-2</v>
      </c>
      <c r="AO39" s="101">
        <f t="shared" si="39"/>
        <v>9.4091903719912481E-2</v>
      </c>
      <c r="AP39" s="101">
        <f t="shared" si="39"/>
        <v>9.6916299559471383E-2</v>
      </c>
      <c r="AQ39" s="101">
        <f t="shared" si="39"/>
        <v>9.9557522123893794E-2</v>
      </c>
      <c r="AR39" s="101">
        <f t="shared" si="39"/>
        <v>9.0157375300080014E-2</v>
      </c>
      <c r="AS39" s="101">
        <f t="shared" si="39"/>
        <v>9.7768331562167896E-2</v>
      </c>
      <c r="AT39" s="101">
        <f t="shared" si="39"/>
        <v>0.1084018022793533</v>
      </c>
      <c r="AU39" s="101">
        <f t="shared" si="39"/>
        <v>0.11323722149410222</v>
      </c>
      <c r="AV39" s="101">
        <f t="shared" si="39"/>
        <v>0.12288670199343932</v>
      </c>
      <c r="AW39" s="101">
        <f t="shared" si="39"/>
        <v>0.13178294573643409</v>
      </c>
      <c r="AX39" s="101">
        <f t="shared" si="39"/>
        <v>0.13621675366641811</v>
      </c>
      <c r="AY39" s="101">
        <f t="shared" si="39"/>
        <v>0.14363546310054484</v>
      </c>
      <c r="AZ39" s="101">
        <f t="shared" si="39"/>
        <v>0.15382716049382716</v>
      </c>
      <c r="BA39" s="101">
        <f t="shared" si="39"/>
        <v>0.17018779342723003</v>
      </c>
      <c r="BB39" s="101">
        <f t="shared" si="39"/>
        <v>0.18155197657393851</v>
      </c>
      <c r="BC39" s="101">
        <f t="shared" si="39"/>
        <v>0.18731735827001753</v>
      </c>
      <c r="BD39" s="101">
        <f t="shared" si="39"/>
        <v>0.1942341292952825</v>
      </c>
      <c r="BE39" s="101">
        <f t="shared" si="39"/>
        <v>0.19895742832319721</v>
      </c>
      <c r="BF39" s="101">
        <f t="shared" si="39"/>
        <v>0.21143847487001735</v>
      </c>
      <c r="BG39" s="101">
        <f t="shared" si="39"/>
        <v>0.21440922190201731</v>
      </c>
      <c r="BH39" s="101">
        <f t="shared" si="39"/>
        <v>0.22030486051193557</v>
      </c>
      <c r="BI39" s="101">
        <f t="shared" si="39"/>
        <v>0.22193511340798161</v>
      </c>
      <c r="BJ39" s="101">
        <f t="shared" si="39"/>
        <v>0.22496413199426113</v>
      </c>
      <c r="BK39" s="101">
        <f t="shared" si="39"/>
        <v>0.2249857061177816</v>
      </c>
      <c r="BL39" s="101">
        <f t="shared" si="39"/>
        <v>0.2272597661819219</v>
      </c>
      <c r="BM39" s="101">
        <f t="shared" si="39"/>
        <v>0.23083475298126066</v>
      </c>
      <c r="BN39" s="101">
        <f t="shared" si="39"/>
        <v>0.23687943262411348</v>
      </c>
      <c r="BO39" s="101">
        <f t="shared" si="39"/>
        <v>0.23964832671582528</v>
      </c>
      <c r="BP39" s="101">
        <f t="shared" si="39"/>
        <v>0.24164305949008497</v>
      </c>
      <c r="BQ39" s="101">
        <f t="shared" si="39"/>
        <v>0.24419263456090654</v>
      </c>
      <c r="BR39" s="101">
        <f t="shared" si="39"/>
        <v>0.24929178470254956</v>
      </c>
      <c r="BS39" s="101">
        <f t="shared" si="39"/>
        <v>0.25233380480905232</v>
      </c>
      <c r="BT39" s="101">
        <f t="shared" si="39"/>
        <v>0.25692481628038438</v>
      </c>
      <c r="BU39" s="101">
        <f t="shared" si="39"/>
        <v>0.25484054669703871</v>
      </c>
      <c r="BV39" s="101">
        <f t="shared" si="39"/>
        <v>0.2615931721194879</v>
      </c>
      <c r="BW39" s="101">
        <f t="shared" si="39"/>
        <v>0.26483953422323203</v>
      </c>
      <c r="BX39" s="101">
        <f t="shared" si="39"/>
        <v>0.26707369018883997</v>
      </c>
      <c r="BY39" s="101">
        <f t="shared" si="39"/>
        <v>0.27277888163497016</v>
      </c>
      <c r="BZ39" s="101">
        <f t="shared" si="39"/>
        <v>0.27955158223357457</v>
      </c>
      <c r="CA39" s="101">
        <f t="shared" si="39"/>
        <v>0.28291713961407494</v>
      </c>
      <c r="CB39" s="101">
        <f t="shared" si="39"/>
        <v>0.29095804988662133</v>
      </c>
      <c r="CC39" s="230">
        <f t="shared" si="39"/>
        <v>0.29766454352441613</v>
      </c>
      <c r="CD39" s="230">
        <f t="shared" si="39"/>
        <v>0.30273023058424109</v>
      </c>
    </row>
    <row r="40" spans="1:92" s="92" customFormat="1" ht="15" customHeight="1">
      <c r="A40" s="141" t="s">
        <v>587</v>
      </c>
      <c r="B40" s="91"/>
      <c r="C40" s="101" t="e">
        <f t="shared" ref="C40:Z40" si="40">+C11/C6</f>
        <v>#DIV/0!</v>
      </c>
      <c r="D40" s="101" t="e">
        <f t="shared" si="40"/>
        <v>#DIV/0!</v>
      </c>
      <c r="E40" s="101">
        <f t="shared" si="40"/>
        <v>0.14675767918088739</v>
      </c>
      <c r="F40" s="101">
        <f t="shared" si="40"/>
        <v>0.25952045133991536</v>
      </c>
      <c r="G40" s="101">
        <f t="shared" si="40"/>
        <v>0.34043927648578803</v>
      </c>
      <c r="H40" s="101">
        <f t="shared" si="40"/>
        <v>0.50655021834061131</v>
      </c>
      <c r="I40" s="101">
        <f t="shared" si="40"/>
        <v>0.56965174129353235</v>
      </c>
      <c r="J40" s="101">
        <f t="shared" si="40"/>
        <v>0.61106719367588935</v>
      </c>
      <c r="K40" s="101">
        <f t="shared" si="40"/>
        <v>0.6735708367854184</v>
      </c>
      <c r="L40" s="101">
        <f t="shared" si="40"/>
        <v>0.70888157894736847</v>
      </c>
      <c r="M40" s="101">
        <f t="shared" si="40"/>
        <v>0.66100443131462328</v>
      </c>
      <c r="N40" s="101">
        <f t="shared" si="40"/>
        <v>0.70454545454545447</v>
      </c>
      <c r="O40" s="101">
        <f t="shared" si="40"/>
        <v>0.74680397727272729</v>
      </c>
      <c r="P40" s="101">
        <f>+P11/P6</f>
        <v>0.79570965328011978</v>
      </c>
      <c r="Q40" s="101">
        <f>+Q11/Q6</f>
        <v>0.81496160515234084</v>
      </c>
      <c r="R40" s="101">
        <f t="shared" si="40"/>
        <v>0.85211790933861786</v>
      </c>
      <c r="S40" s="101">
        <f t="shared" si="40"/>
        <v>0.88355528865677446</v>
      </c>
      <c r="T40" s="101">
        <f t="shared" si="40"/>
        <v>0.91453246618375605</v>
      </c>
      <c r="U40" s="101">
        <f t="shared" si="40"/>
        <v>0.94505179447828014</v>
      </c>
      <c r="V40" s="101">
        <f t="shared" si="40"/>
        <v>0.9751156571220575</v>
      </c>
      <c r="W40" s="101">
        <f t="shared" si="40"/>
        <v>1.0047264680830299</v>
      </c>
      <c r="X40" s="101">
        <f t="shared" si="40"/>
        <v>1.0338866710747303</v>
      </c>
      <c r="Y40" s="101">
        <f t="shared" si="40"/>
        <v>1.062598738912053</v>
      </c>
      <c r="Z40" s="101">
        <f t="shared" si="40"/>
        <v>1.0908651728637282</v>
      </c>
      <c r="AA40" s="91"/>
      <c r="AB40" s="228" t="str">
        <f t="shared" si="33"/>
        <v>Broadband % customers</v>
      </c>
      <c r="AC40" s="91"/>
      <c r="AD40" s="101" t="e">
        <f t="shared" ref="AD40:CD40" si="41">+AD11/AD6</f>
        <v>#DIV/0!</v>
      </c>
      <c r="AE40" s="101" t="e">
        <f t="shared" si="41"/>
        <v>#DIV/0!</v>
      </c>
      <c r="AF40" s="101" t="e">
        <f t="shared" si="41"/>
        <v>#DIV/0!</v>
      </c>
      <c r="AG40" s="101" t="e">
        <f t="shared" si="41"/>
        <v>#DIV/0!</v>
      </c>
      <c r="AH40" s="101" t="e">
        <f t="shared" si="41"/>
        <v>#DIV/0!</v>
      </c>
      <c r="AI40" s="101" t="e">
        <f t="shared" si="41"/>
        <v>#DIV/0!</v>
      </c>
      <c r="AJ40" s="101" t="e">
        <f t="shared" si="41"/>
        <v>#DIV/0!</v>
      </c>
      <c r="AK40" s="101" t="e">
        <f t="shared" si="41"/>
        <v>#DIV/0!</v>
      </c>
      <c r="AL40" s="101" t="e">
        <f t="shared" si="41"/>
        <v>#DIV/0!</v>
      </c>
      <c r="AM40" s="101" t="e">
        <f t="shared" si="41"/>
        <v>#DIV/0!</v>
      </c>
      <c r="AN40" s="101" t="e">
        <f t="shared" si="41"/>
        <v>#DIV/0!</v>
      </c>
      <c r="AO40" s="101">
        <f t="shared" si="41"/>
        <v>0.14675767918088739</v>
      </c>
      <c r="AP40" s="101">
        <f t="shared" si="41"/>
        <v>0.15277777777777782</v>
      </c>
      <c r="AQ40" s="101">
        <f t="shared" si="41"/>
        <v>0.15734265734265734</v>
      </c>
      <c r="AR40" s="101">
        <f t="shared" si="41"/>
        <v>0.23920736022646846</v>
      </c>
      <c r="AS40" s="101">
        <f t="shared" si="41"/>
        <v>0.25952045133991536</v>
      </c>
      <c r="AT40" s="101">
        <f t="shared" si="41"/>
        <v>0.27994524298425738</v>
      </c>
      <c r="AU40" s="101">
        <f t="shared" si="41"/>
        <v>0.28552544613350955</v>
      </c>
      <c r="AV40" s="101">
        <f t="shared" si="41"/>
        <v>0.31643924626380765</v>
      </c>
      <c r="AW40" s="101">
        <f t="shared" si="41"/>
        <v>0.34043927648578803</v>
      </c>
      <c r="AX40" s="101">
        <f t="shared" si="41"/>
        <v>0.37278911564625855</v>
      </c>
      <c r="AY40" s="101">
        <f t="shared" si="41"/>
        <v>0.4002760524499655</v>
      </c>
      <c r="AZ40" s="101">
        <f t="shared" si="41"/>
        <v>0.43203883495145629</v>
      </c>
      <c r="BA40" s="101">
        <f t="shared" si="41"/>
        <v>0.50655021834061131</v>
      </c>
      <c r="BB40" s="101">
        <f t="shared" si="41"/>
        <v>0.53082191780821919</v>
      </c>
      <c r="BC40" s="101">
        <f t="shared" si="41"/>
        <v>0.55116079105760962</v>
      </c>
      <c r="BD40" s="101">
        <f t="shared" si="41"/>
        <v>0.55909471919530596</v>
      </c>
      <c r="BE40" s="101">
        <f t="shared" si="41"/>
        <v>0.56965174129353235</v>
      </c>
      <c r="BF40" s="101">
        <f t="shared" si="41"/>
        <v>0.58280254777070073</v>
      </c>
      <c r="BG40" s="101">
        <f t="shared" si="41"/>
        <v>0.57853810264385697</v>
      </c>
      <c r="BH40" s="101">
        <f t="shared" si="41"/>
        <v>0.59379844961240302</v>
      </c>
      <c r="BI40" s="101">
        <f t="shared" si="41"/>
        <v>0.61106719367588935</v>
      </c>
      <c r="BJ40" s="101">
        <f t="shared" si="41"/>
        <v>0.62770216172938353</v>
      </c>
      <c r="BK40" s="101">
        <f t="shared" si="41"/>
        <v>0.6419249592169658</v>
      </c>
      <c r="BL40" s="101">
        <f t="shared" si="41"/>
        <v>0.65922249793217536</v>
      </c>
      <c r="BM40" s="101">
        <f t="shared" si="41"/>
        <v>0.6735708367854184</v>
      </c>
      <c r="BN40" s="101">
        <f t="shared" si="41"/>
        <v>0.68555008210180624</v>
      </c>
      <c r="BO40" s="101">
        <f t="shared" si="41"/>
        <v>0.69376026272577995</v>
      </c>
      <c r="BP40" s="101">
        <f t="shared" si="41"/>
        <v>0.70032840722495893</v>
      </c>
      <c r="BQ40" s="101">
        <f t="shared" si="41"/>
        <v>0.70888157894736847</v>
      </c>
      <c r="BR40" s="101">
        <f t="shared" si="41"/>
        <v>0.71719641401792988</v>
      </c>
      <c r="BS40" s="101">
        <f t="shared" si="41"/>
        <v>0.72168284789644022</v>
      </c>
      <c r="BT40" s="101">
        <f t="shared" si="41"/>
        <v>0.72894947874899763</v>
      </c>
      <c r="BU40" s="101">
        <f t="shared" si="41"/>
        <v>0.66100443131462328</v>
      </c>
      <c r="BV40" s="101">
        <f t="shared" si="41"/>
        <v>0.67313323572474382</v>
      </c>
      <c r="BW40" s="101">
        <f t="shared" si="41"/>
        <v>0.68540977581771401</v>
      </c>
      <c r="BX40" s="101">
        <f t="shared" si="41"/>
        <v>0.69409594095940952</v>
      </c>
      <c r="BY40" s="101">
        <f t="shared" si="41"/>
        <v>0.70454545454545447</v>
      </c>
      <c r="BZ40" s="101">
        <f t="shared" si="41"/>
        <v>0.71558300036324007</v>
      </c>
      <c r="CA40" s="101">
        <f t="shared" si="41"/>
        <v>0.72324990932172661</v>
      </c>
      <c r="CB40" s="101">
        <f t="shared" si="41"/>
        <v>0.73637015781922521</v>
      </c>
      <c r="CC40" s="230">
        <f t="shared" si="41"/>
        <v>0.74680397727272729</v>
      </c>
      <c r="CD40" s="230">
        <f t="shared" si="41"/>
        <v>0.75564971751412435</v>
      </c>
    </row>
    <row r="41" spans="1:92" s="92" customFormat="1" ht="15" customHeight="1">
      <c r="A41" s="141" t="s">
        <v>588</v>
      </c>
      <c r="B41" s="91"/>
      <c r="C41" s="101">
        <f t="shared" ref="C41:Z41" si="42">+C12/C5</f>
        <v>0</v>
      </c>
      <c r="D41" s="101">
        <f t="shared" si="42"/>
        <v>0</v>
      </c>
      <c r="E41" s="101">
        <f t="shared" si="42"/>
        <v>0</v>
      </c>
      <c r="F41" s="101">
        <f t="shared" si="42"/>
        <v>4.3570669500531345E-2</v>
      </c>
      <c r="G41" s="101">
        <f t="shared" si="42"/>
        <v>4.5511377844461111E-2</v>
      </c>
      <c r="H41" s="101">
        <f t="shared" si="42"/>
        <v>5.7511737089201882E-2</v>
      </c>
      <c r="I41" s="101">
        <f t="shared" si="42"/>
        <v>0.10194034173182741</v>
      </c>
      <c r="J41" s="101">
        <f t="shared" si="42"/>
        <v>0.140396210163652</v>
      </c>
      <c r="K41" s="101">
        <f t="shared" si="42"/>
        <v>0.13827370812038617</v>
      </c>
      <c r="L41" s="101">
        <f t="shared" si="42"/>
        <v>0.13994334277620396</v>
      </c>
      <c r="M41" s="101">
        <f t="shared" si="42"/>
        <v>0.13425398633257404</v>
      </c>
      <c r="N41" s="101">
        <f t="shared" si="42"/>
        <v>0.18890150439965936</v>
      </c>
      <c r="O41" s="101">
        <f t="shared" si="42"/>
        <v>0.22745930644019816</v>
      </c>
      <c r="P41" s="101">
        <f>+P12/P5</f>
        <v>0.18118987578219856</v>
      </c>
      <c r="Q41" s="101">
        <f>+Q12/Q5</f>
        <v>0.19115627574842078</v>
      </c>
      <c r="R41" s="101">
        <f t="shared" si="42"/>
        <v>0.19941192194600377</v>
      </c>
      <c r="S41" s="101">
        <f t="shared" si="42"/>
        <v>0.21221007731271663</v>
      </c>
      <c r="T41" s="101">
        <f t="shared" si="42"/>
        <v>0.22494017548524331</v>
      </c>
      <c r="U41" s="101">
        <f t="shared" si="42"/>
        <v>0.23760275788915408</v>
      </c>
      <c r="V41" s="101">
        <f t="shared" si="42"/>
        <v>0.25019836022216346</v>
      </c>
      <c r="W41" s="101">
        <f t="shared" si="42"/>
        <v>0.26272751252967558</v>
      </c>
      <c r="X41" s="101">
        <f t="shared" si="42"/>
        <v>0.27519073927913706</v>
      </c>
      <c r="Y41" s="101">
        <f t="shared" si="42"/>
        <v>0.28758855943321965</v>
      </c>
      <c r="Z41" s="101">
        <f t="shared" si="42"/>
        <v>0.29992148652185296</v>
      </c>
      <c r="AA41" s="91"/>
      <c r="AB41" s="228" t="str">
        <f t="shared" si="33"/>
        <v>Telephony % HU</v>
      </c>
      <c r="AC41" s="91"/>
      <c r="AD41" s="101">
        <f t="shared" ref="AD41:CD41" si="43">+AD12/AD5</f>
        <v>0</v>
      </c>
      <c r="AE41" s="101">
        <f t="shared" si="43"/>
        <v>0</v>
      </c>
      <c r="AF41" s="101">
        <f t="shared" si="43"/>
        <v>0</v>
      </c>
      <c r="AG41" s="101">
        <f t="shared" si="43"/>
        <v>0</v>
      </c>
      <c r="AH41" s="101">
        <f t="shared" si="43"/>
        <v>0</v>
      </c>
      <c r="AI41" s="101">
        <f t="shared" si="43"/>
        <v>0</v>
      </c>
      <c r="AJ41" s="101">
        <f t="shared" si="43"/>
        <v>0</v>
      </c>
      <c r="AK41" s="101">
        <f t="shared" si="43"/>
        <v>0</v>
      </c>
      <c r="AL41" s="101">
        <f t="shared" si="43"/>
        <v>0</v>
      </c>
      <c r="AM41" s="101">
        <f t="shared" si="43"/>
        <v>0</v>
      </c>
      <c r="AN41" s="101">
        <f t="shared" si="43"/>
        <v>0</v>
      </c>
      <c r="AO41" s="101">
        <f t="shared" si="43"/>
        <v>0</v>
      </c>
      <c r="AP41" s="101">
        <f t="shared" si="43"/>
        <v>0</v>
      </c>
      <c r="AQ41" s="101">
        <f t="shared" si="43"/>
        <v>0</v>
      </c>
      <c r="AR41" s="101">
        <f t="shared" si="43"/>
        <v>4.1077620698853033E-2</v>
      </c>
      <c r="AS41" s="101">
        <f t="shared" si="43"/>
        <v>4.3570669500531345E-2</v>
      </c>
      <c r="AT41" s="101">
        <f t="shared" si="43"/>
        <v>4.7972435727537774E-2</v>
      </c>
      <c r="AU41" s="101">
        <f t="shared" si="43"/>
        <v>5.1638269986893838E-2</v>
      </c>
      <c r="AV41" s="101">
        <f t="shared" si="43"/>
        <v>5.1476154428463282E-2</v>
      </c>
      <c r="AW41" s="101">
        <f t="shared" si="43"/>
        <v>4.5511377844461111E-2</v>
      </c>
      <c r="AX41" s="101">
        <f t="shared" si="43"/>
        <v>4.0517027094208312E-2</v>
      </c>
      <c r="AY41" s="101">
        <f t="shared" si="43"/>
        <v>4.2595344229816742E-2</v>
      </c>
      <c r="AZ41" s="101">
        <f t="shared" si="43"/>
        <v>4.617283950617284E-2</v>
      </c>
      <c r="BA41" s="101">
        <f t="shared" si="43"/>
        <v>5.7511737089201882E-2</v>
      </c>
      <c r="BB41" s="101">
        <f t="shared" si="43"/>
        <v>6.6178623718887261E-2</v>
      </c>
      <c r="BC41" s="101">
        <f t="shared" si="43"/>
        <v>7.3933372296902403E-2</v>
      </c>
      <c r="BD41" s="101">
        <f t="shared" si="43"/>
        <v>8.6488060570762956E-2</v>
      </c>
      <c r="BE41" s="101">
        <f t="shared" si="43"/>
        <v>0.10194034173182741</v>
      </c>
      <c r="BF41" s="101">
        <f t="shared" si="43"/>
        <v>0.11871750433275564</v>
      </c>
      <c r="BG41" s="101">
        <f t="shared" si="43"/>
        <v>0.13025936599423632</v>
      </c>
      <c r="BH41" s="101">
        <f t="shared" si="43"/>
        <v>0.13546160483175151</v>
      </c>
      <c r="BI41" s="101">
        <f t="shared" si="43"/>
        <v>0.140396210163652</v>
      </c>
      <c r="BJ41" s="101">
        <f t="shared" si="43"/>
        <v>0.14404591104734576</v>
      </c>
      <c r="BK41" s="101">
        <f t="shared" si="43"/>
        <v>0.14351057747284163</v>
      </c>
      <c r="BL41" s="101">
        <f t="shared" si="43"/>
        <v>0.1382948388936413</v>
      </c>
      <c r="BM41" s="101">
        <f t="shared" si="43"/>
        <v>0.13827370812038617</v>
      </c>
      <c r="BN41" s="101">
        <f t="shared" si="43"/>
        <v>0.14156028368794327</v>
      </c>
      <c r="BO41" s="101">
        <f t="shared" si="43"/>
        <v>0.14123652864435621</v>
      </c>
      <c r="BP41" s="101">
        <f t="shared" si="43"/>
        <v>0.13881019830028329</v>
      </c>
      <c r="BQ41" s="101">
        <f t="shared" si="43"/>
        <v>0.13994334277620396</v>
      </c>
      <c r="BR41" s="101">
        <f t="shared" si="43"/>
        <v>0.14277620396600565</v>
      </c>
      <c r="BS41" s="101">
        <f t="shared" si="43"/>
        <v>0.14964639321074963</v>
      </c>
      <c r="BT41" s="101">
        <f t="shared" si="43"/>
        <v>0.15771622385528547</v>
      </c>
      <c r="BU41" s="101">
        <f t="shared" si="43"/>
        <v>0.13425398633257404</v>
      </c>
      <c r="BV41" s="101">
        <f t="shared" si="43"/>
        <v>0.14580369843527738</v>
      </c>
      <c r="BW41" s="101">
        <f t="shared" si="43"/>
        <v>0.15975575120704344</v>
      </c>
      <c r="BX41" s="101">
        <f t="shared" si="43"/>
        <v>0.17322163850631833</v>
      </c>
      <c r="BY41" s="101">
        <f t="shared" si="43"/>
        <v>0.18890150439965936</v>
      </c>
      <c r="BZ41" s="101">
        <f t="shared" si="43"/>
        <v>0.20122037746558818</v>
      </c>
      <c r="CA41" s="101">
        <f t="shared" si="43"/>
        <v>0.20871169125993191</v>
      </c>
      <c r="CB41" s="101">
        <f t="shared" si="43"/>
        <v>0.21853741496598636</v>
      </c>
      <c r="CC41" s="230">
        <f t="shared" si="43"/>
        <v>0.22745930644019816</v>
      </c>
      <c r="CD41" s="230">
        <f t="shared" si="43"/>
        <v>0.23553543641250532</v>
      </c>
    </row>
    <row r="42" spans="1:92" s="92" customFormat="1" ht="15" customHeight="1">
      <c r="A42" s="141" t="s">
        <v>589</v>
      </c>
      <c r="B42" s="91"/>
      <c r="C42" s="101" t="e">
        <f t="shared" ref="C42:Z42" si="44">+C12/C6</f>
        <v>#DIV/0!</v>
      </c>
      <c r="D42" s="101" t="e">
        <f t="shared" si="44"/>
        <v>#DIV/0!</v>
      </c>
      <c r="E42" s="101">
        <f t="shared" si="44"/>
        <v>0</v>
      </c>
      <c r="F42" s="101">
        <f t="shared" si="44"/>
        <v>0.11565585331452749</v>
      </c>
      <c r="G42" s="101">
        <f t="shared" si="44"/>
        <v>0.11757105943152453</v>
      </c>
      <c r="H42" s="101">
        <f t="shared" si="44"/>
        <v>0.17117903930131007</v>
      </c>
      <c r="I42" s="101">
        <f t="shared" si="44"/>
        <v>0.29187396351575462</v>
      </c>
      <c r="J42" s="101">
        <f t="shared" si="44"/>
        <v>0.38656126482213438</v>
      </c>
      <c r="K42" s="101">
        <f t="shared" si="44"/>
        <v>0.40347970173985087</v>
      </c>
      <c r="L42" s="101">
        <f t="shared" si="44"/>
        <v>0.40625</v>
      </c>
      <c r="M42" s="101">
        <f t="shared" si="44"/>
        <v>0.34822747415066468</v>
      </c>
      <c r="N42" s="101">
        <f t="shared" si="44"/>
        <v>0.48790322580645157</v>
      </c>
      <c r="O42" s="101">
        <f t="shared" si="44"/>
        <v>0.57066761363636354</v>
      </c>
      <c r="P42" s="101">
        <f>+P12/P6</f>
        <v>0.483911199800449</v>
      </c>
      <c r="Q42" s="101">
        <f>+Q12/Q6</f>
        <v>0.51721575427297506</v>
      </c>
      <c r="R42" s="101">
        <f t="shared" si="44"/>
        <v>0.55437205845925197</v>
      </c>
      <c r="S42" s="101">
        <f t="shared" si="44"/>
        <v>0.58772424214829455</v>
      </c>
      <c r="T42" s="101">
        <f t="shared" si="44"/>
        <v>0.62061053453860238</v>
      </c>
      <c r="U42" s="101">
        <f t="shared" si="44"/>
        <v>0.65303321942355197</v>
      </c>
      <c r="V42" s="101">
        <f t="shared" si="44"/>
        <v>0.68499461260207906</v>
      </c>
      <c r="W42" s="101">
        <f t="shared" si="44"/>
        <v>0.71649706124870971</v>
      </c>
      <c r="X42" s="101">
        <f t="shared" si="44"/>
        <v>0.74754294327937876</v>
      </c>
      <c r="Y42" s="101">
        <f t="shared" si="44"/>
        <v>0.77813466671332532</v>
      </c>
      <c r="Z42" s="101">
        <f t="shared" si="44"/>
        <v>0.80827466903135736</v>
      </c>
      <c r="AA42" s="91"/>
      <c r="AB42" s="228" t="str">
        <f t="shared" si="33"/>
        <v>Telephony % customers</v>
      </c>
      <c r="AC42" s="91"/>
      <c r="AD42" s="101" t="e">
        <f t="shared" ref="AD42:CD42" si="45">+AD12/AD6</f>
        <v>#DIV/0!</v>
      </c>
      <c r="AE42" s="101" t="e">
        <f t="shared" si="45"/>
        <v>#DIV/0!</v>
      </c>
      <c r="AF42" s="101" t="e">
        <f t="shared" si="45"/>
        <v>#DIV/0!</v>
      </c>
      <c r="AG42" s="101" t="e">
        <f t="shared" si="45"/>
        <v>#DIV/0!</v>
      </c>
      <c r="AH42" s="101" t="e">
        <f t="shared" si="45"/>
        <v>#DIV/0!</v>
      </c>
      <c r="AI42" s="101" t="e">
        <f t="shared" si="45"/>
        <v>#DIV/0!</v>
      </c>
      <c r="AJ42" s="101" t="e">
        <f t="shared" si="45"/>
        <v>#DIV/0!</v>
      </c>
      <c r="AK42" s="101" t="e">
        <f t="shared" si="45"/>
        <v>#DIV/0!</v>
      </c>
      <c r="AL42" s="101" t="e">
        <f t="shared" si="45"/>
        <v>#DIV/0!</v>
      </c>
      <c r="AM42" s="101" t="e">
        <f t="shared" si="45"/>
        <v>#DIV/0!</v>
      </c>
      <c r="AN42" s="101" t="e">
        <f t="shared" si="45"/>
        <v>#DIV/0!</v>
      </c>
      <c r="AO42" s="101">
        <f t="shared" si="45"/>
        <v>0</v>
      </c>
      <c r="AP42" s="101">
        <f t="shared" si="45"/>
        <v>0</v>
      </c>
      <c r="AQ42" s="101">
        <f t="shared" si="45"/>
        <v>0</v>
      </c>
      <c r="AR42" s="101">
        <f t="shared" si="45"/>
        <v>0.10898796886058032</v>
      </c>
      <c r="AS42" s="101">
        <f t="shared" si="45"/>
        <v>0.11565585331452749</v>
      </c>
      <c r="AT42" s="101">
        <f t="shared" si="45"/>
        <v>0.1238877481177276</v>
      </c>
      <c r="AU42" s="101">
        <f t="shared" si="45"/>
        <v>0.13020489094514209</v>
      </c>
      <c r="AV42" s="101">
        <f t="shared" si="45"/>
        <v>0.13255360623781676</v>
      </c>
      <c r="AW42" s="101">
        <f t="shared" si="45"/>
        <v>0.11757105943152453</v>
      </c>
      <c r="AX42" s="101">
        <f t="shared" si="45"/>
        <v>0.11088435374149661</v>
      </c>
      <c r="AY42" s="101">
        <f t="shared" si="45"/>
        <v>0.11870255348516218</v>
      </c>
      <c r="AZ42" s="101">
        <f t="shared" si="45"/>
        <v>0.12968099861303742</v>
      </c>
      <c r="BA42" s="101">
        <f t="shared" si="45"/>
        <v>0.17117903930131007</v>
      </c>
      <c r="BB42" s="101">
        <f t="shared" si="45"/>
        <v>0.19349315068493153</v>
      </c>
      <c r="BC42" s="101">
        <f t="shared" si="45"/>
        <v>0.21754084264832332</v>
      </c>
      <c r="BD42" s="101">
        <f t="shared" si="45"/>
        <v>0.24895222129086336</v>
      </c>
      <c r="BE42" s="101">
        <f t="shared" si="45"/>
        <v>0.29187396351575462</v>
      </c>
      <c r="BF42" s="101">
        <f t="shared" si="45"/>
        <v>0.32722929936305734</v>
      </c>
      <c r="BG42" s="101">
        <f t="shared" si="45"/>
        <v>0.35147744945567655</v>
      </c>
      <c r="BH42" s="101">
        <f t="shared" si="45"/>
        <v>0.36511627906976746</v>
      </c>
      <c r="BI42" s="101">
        <f t="shared" si="45"/>
        <v>0.38656126482213438</v>
      </c>
      <c r="BJ42" s="101">
        <f t="shared" si="45"/>
        <v>0.40192153722978385</v>
      </c>
      <c r="BK42" s="101">
        <f t="shared" si="45"/>
        <v>0.40946166394779776</v>
      </c>
      <c r="BL42" s="101">
        <f t="shared" si="45"/>
        <v>0.40115798180314305</v>
      </c>
      <c r="BM42" s="101">
        <f t="shared" si="45"/>
        <v>0.40347970173985087</v>
      </c>
      <c r="BN42" s="101">
        <f t="shared" si="45"/>
        <v>0.409688013136289</v>
      </c>
      <c r="BO42" s="101">
        <f t="shared" si="45"/>
        <v>0.40886699507389163</v>
      </c>
      <c r="BP42" s="101">
        <f t="shared" si="45"/>
        <v>0.40229885057471265</v>
      </c>
      <c r="BQ42" s="101">
        <f t="shared" si="45"/>
        <v>0.40625</v>
      </c>
      <c r="BR42" s="101">
        <f t="shared" si="45"/>
        <v>0.41075794621026895</v>
      </c>
      <c r="BS42" s="101">
        <f t="shared" si="45"/>
        <v>0.42799352750809061</v>
      </c>
      <c r="BT42" s="101">
        <f t="shared" si="45"/>
        <v>0.44747393744987968</v>
      </c>
      <c r="BU42" s="101">
        <f t="shared" si="45"/>
        <v>0.34822747415066468</v>
      </c>
      <c r="BV42" s="101">
        <f t="shared" si="45"/>
        <v>0.37518301610541727</v>
      </c>
      <c r="BW42" s="101">
        <f t="shared" si="45"/>
        <v>0.4134509371554575</v>
      </c>
      <c r="BX42" s="101">
        <f t="shared" si="45"/>
        <v>0.45018450184501846</v>
      </c>
      <c r="BY42" s="101">
        <f t="shared" si="45"/>
        <v>0.48790322580645157</v>
      </c>
      <c r="BZ42" s="101">
        <f t="shared" si="45"/>
        <v>0.51507446422085001</v>
      </c>
      <c r="CA42" s="101">
        <f t="shared" si="45"/>
        <v>0.53355096118969891</v>
      </c>
      <c r="CB42" s="101">
        <f t="shared" si="45"/>
        <v>0.55308464849354366</v>
      </c>
      <c r="CC42" s="230">
        <f t="shared" si="45"/>
        <v>0.57066761363636354</v>
      </c>
      <c r="CD42" s="230">
        <f t="shared" si="45"/>
        <v>0.58792372881355937</v>
      </c>
    </row>
    <row r="43" spans="1:92" s="92" customFormat="1" ht="15" customHeight="1">
      <c r="A43" s="141" t="s">
        <v>590</v>
      </c>
      <c r="B43" s="91"/>
      <c r="C43" s="103">
        <f t="shared" ref="C43:R45" si="46">+C10/B10-1</f>
        <v>-0.20930232558139539</v>
      </c>
      <c r="D43" s="103">
        <f t="shared" si="46"/>
        <v>4.4117647058823595E-2</v>
      </c>
      <c r="E43" s="103">
        <f t="shared" si="46"/>
        <v>-0.4178403755868545</v>
      </c>
      <c r="F43" s="103">
        <f t="shared" si="46"/>
        <v>8.9274193548387082</v>
      </c>
      <c r="G43" s="103">
        <f t="shared" si="46"/>
        <v>9.1795288383428097E-2</v>
      </c>
      <c r="H43" s="103">
        <f t="shared" si="46"/>
        <v>-0.2544642857142857</v>
      </c>
      <c r="I43" s="103">
        <f t="shared" si="46"/>
        <v>-1.3972055888223589E-2</v>
      </c>
      <c r="J43" s="103">
        <f t="shared" si="46"/>
        <v>3.7449392712550544E-2</v>
      </c>
      <c r="K43" s="103">
        <f t="shared" si="46"/>
        <v>-0.206829268292683</v>
      </c>
      <c r="L43" s="103">
        <f t="shared" si="46"/>
        <v>-2.7060270602706105E-2</v>
      </c>
      <c r="M43" s="103">
        <f t="shared" si="46"/>
        <v>1.6030341340075855</v>
      </c>
      <c r="N43" s="103">
        <f t="shared" si="46"/>
        <v>2.2340942204953862E-2</v>
      </c>
      <c r="O43" s="103">
        <f>+O10/N10-1</f>
        <v>4.4655581947743439E-2</v>
      </c>
      <c r="P43" s="103">
        <f>+P10/O10-1</f>
        <v>0.20009095043201452</v>
      </c>
      <c r="Q43" s="103">
        <f>+Q10/P10-1</f>
        <v>-9.8522167487683499E-3</v>
      </c>
      <c r="R43" s="104">
        <v>0</v>
      </c>
      <c r="S43" s="104">
        <v>0.01</v>
      </c>
      <c r="T43" s="104">
        <v>0.01</v>
      </c>
      <c r="U43" s="104">
        <v>0.01</v>
      </c>
      <c r="V43" s="104">
        <v>0.01</v>
      </c>
      <c r="W43" s="104">
        <v>0.01</v>
      </c>
      <c r="X43" s="104">
        <v>0.01</v>
      </c>
      <c r="Y43" s="104">
        <v>0.01</v>
      </c>
      <c r="Z43" s="104">
        <v>0.01</v>
      </c>
      <c r="AA43" s="91"/>
      <c r="AB43" s="228" t="str">
        <f t="shared" si="33"/>
        <v>Video RGU growth</v>
      </c>
      <c r="AC43" s="91"/>
      <c r="AD43" s="103"/>
      <c r="AE43" s="103"/>
      <c r="AF43" s="103"/>
      <c r="AG43" s="103">
        <f t="shared" ref="AG43:CD45" si="47">+AG10/AC10-1</f>
        <v>-0.20930232558139539</v>
      </c>
      <c r="AH43" s="103">
        <f t="shared" si="47"/>
        <v>0.10937499999999978</v>
      </c>
      <c r="AI43" s="103">
        <f t="shared" si="47"/>
        <v>6.4356435643564414E-2</v>
      </c>
      <c r="AJ43" s="103">
        <f t="shared" si="47"/>
        <v>4.9261083743842304E-2</v>
      </c>
      <c r="AK43" s="103">
        <f t="shared" si="47"/>
        <v>4.4117647058823595E-2</v>
      </c>
      <c r="AL43" s="103">
        <f t="shared" si="47"/>
        <v>1.4084507042253502E-2</v>
      </c>
      <c r="AM43" s="103">
        <f t="shared" si="47"/>
        <v>0</v>
      </c>
      <c r="AN43" s="103">
        <f t="shared" si="47"/>
        <v>4.6948356807510194E-3</v>
      </c>
      <c r="AO43" s="103">
        <f t="shared" si="47"/>
        <v>-0.4178403755868545</v>
      </c>
      <c r="AP43" s="103">
        <f t="shared" si="47"/>
        <v>-0.43055555555555558</v>
      </c>
      <c r="AQ43" s="103">
        <f t="shared" si="47"/>
        <v>-0.42790697674418599</v>
      </c>
      <c r="AR43" s="103">
        <f t="shared" si="47"/>
        <v>4.7710280373831777</v>
      </c>
      <c r="AS43" s="103">
        <f t="shared" si="47"/>
        <v>8.9274193548387082</v>
      </c>
      <c r="AT43" s="103">
        <f t="shared" si="47"/>
        <v>9.9999999999999982</v>
      </c>
      <c r="AU43" s="103">
        <f t="shared" si="47"/>
        <v>9.9512195121951201</v>
      </c>
      <c r="AV43" s="103">
        <f t="shared" si="47"/>
        <v>0.10364372469635641</v>
      </c>
      <c r="AW43" s="103">
        <f t="shared" si="47"/>
        <v>9.1795288383428097E-2</v>
      </c>
      <c r="AX43" s="103">
        <f t="shared" si="47"/>
        <v>-7.5388026607538627E-2</v>
      </c>
      <c r="AY43" s="103">
        <f t="shared" si="47"/>
        <v>-0.11358574610244987</v>
      </c>
      <c r="AZ43" s="103">
        <f t="shared" si="47"/>
        <v>-0.1570066030814381</v>
      </c>
      <c r="BA43" s="103">
        <f t="shared" si="47"/>
        <v>-0.2544642857142857</v>
      </c>
      <c r="BB43" s="103">
        <f t="shared" si="47"/>
        <v>-0.31974420463629105</v>
      </c>
      <c r="BC43" s="103">
        <f t="shared" si="47"/>
        <v>-0.2897822445561139</v>
      </c>
      <c r="BD43" s="103">
        <f t="shared" si="47"/>
        <v>-0.27937336814621405</v>
      </c>
      <c r="BE43" s="103">
        <f t="shared" si="47"/>
        <v>-1.3972055888223589E-2</v>
      </c>
      <c r="BF43" s="103">
        <f t="shared" si="47"/>
        <v>0.19271445358401884</v>
      </c>
      <c r="BG43" s="103">
        <f t="shared" si="47"/>
        <v>6.8396226415094352E-2</v>
      </c>
      <c r="BH43" s="103">
        <f t="shared" si="47"/>
        <v>9.0579710144927494E-2</v>
      </c>
      <c r="BI43" s="103">
        <f t="shared" si="47"/>
        <v>3.7449392712550544E-2</v>
      </c>
      <c r="BJ43" s="103">
        <f t="shared" si="47"/>
        <v>-0.15270935960591137</v>
      </c>
      <c r="BK43" s="103">
        <f t="shared" si="47"/>
        <v>-6.4017660044150104E-2</v>
      </c>
      <c r="BL43" s="103">
        <f t="shared" si="47"/>
        <v>-8.9700996677740785E-2</v>
      </c>
      <c r="BM43" s="103">
        <f t="shared" si="47"/>
        <v>-0.206829268292683</v>
      </c>
      <c r="BN43" s="103">
        <f t="shared" si="47"/>
        <v>-6.0465116279069808E-2</v>
      </c>
      <c r="BO43" s="103">
        <f t="shared" si="47"/>
        <v>-4.952830188679247E-2</v>
      </c>
      <c r="BP43" s="103">
        <f t="shared" si="47"/>
        <v>-2.7980535279805263E-2</v>
      </c>
      <c r="BQ43" s="103">
        <f t="shared" si="47"/>
        <v>-2.7060270602706105E-2</v>
      </c>
      <c r="BR43" s="103">
        <f t="shared" si="47"/>
        <v>-1.8564356435643581E-2</v>
      </c>
      <c r="BS43" s="103">
        <f t="shared" si="47"/>
        <v>-9.9255583126550695E-3</v>
      </c>
      <c r="BT43" s="103">
        <f t="shared" si="47"/>
        <v>6.2578222778473247E-3</v>
      </c>
      <c r="BU43" s="103">
        <f t="shared" si="47"/>
        <v>1.6030341340075855</v>
      </c>
      <c r="BV43" s="103">
        <f t="shared" si="47"/>
        <v>1.5901639344262297</v>
      </c>
      <c r="BW43" s="103">
        <f t="shared" si="47"/>
        <v>1.5914786967418548</v>
      </c>
      <c r="BX43" s="103">
        <f t="shared" si="47"/>
        <v>1.599502487562189</v>
      </c>
      <c r="BY43" s="103">
        <f t="shared" si="47"/>
        <v>2.2340942204953862E-2</v>
      </c>
      <c r="BZ43" s="103">
        <f t="shared" si="47"/>
        <v>4.2843232716650359E-2</v>
      </c>
      <c r="CA43" s="103">
        <f t="shared" si="47"/>
        <v>4.1586073500966991E-2</v>
      </c>
      <c r="CB43" s="103">
        <f t="shared" si="47"/>
        <v>4.2583732057416279E-2</v>
      </c>
      <c r="CC43" s="231">
        <f t="shared" si="47"/>
        <v>4.4655581947743439E-2</v>
      </c>
      <c r="CD43" s="231">
        <f t="shared" si="47"/>
        <v>2.8944911297852594E-2</v>
      </c>
    </row>
    <row r="44" spans="1:92" s="92" customFormat="1" ht="15" customHeight="1">
      <c r="A44" s="141" t="s">
        <v>591</v>
      </c>
      <c r="B44" s="91"/>
      <c r="C44" s="103">
        <f t="shared" si="46"/>
        <v>3.3333333333333339</v>
      </c>
      <c r="D44" s="103">
        <f t="shared" si="46"/>
        <v>0.5</v>
      </c>
      <c r="E44" s="103">
        <f t="shared" si="46"/>
        <v>0.10256410256410264</v>
      </c>
      <c r="F44" s="103">
        <f t="shared" si="46"/>
        <v>7.5581395348837184</v>
      </c>
      <c r="G44" s="103">
        <f t="shared" si="46"/>
        <v>0.43206521739130443</v>
      </c>
      <c r="H44" s="103">
        <f t="shared" si="46"/>
        <v>0.10056925996204935</v>
      </c>
      <c r="I44" s="103">
        <f t="shared" si="46"/>
        <v>0.18448275862068964</v>
      </c>
      <c r="J44" s="103">
        <f t="shared" si="46"/>
        <v>0.12518195050946135</v>
      </c>
      <c r="K44" s="103">
        <f t="shared" si="46"/>
        <v>5.1746442432082818E-2</v>
      </c>
      <c r="L44" s="103">
        <f t="shared" si="46"/>
        <v>6.0270602706027132E-2</v>
      </c>
      <c r="M44" s="103">
        <f t="shared" si="46"/>
        <v>1.0765661252900229</v>
      </c>
      <c r="N44" s="103">
        <f t="shared" si="46"/>
        <v>7.374301675977657E-2</v>
      </c>
      <c r="O44" s="103">
        <f t="shared" si="46"/>
        <v>9.4172736732570428E-2</v>
      </c>
      <c r="P44" s="103">
        <f t="shared" si="46"/>
        <v>0.51688064669519718</v>
      </c>
      <c r="Q44" s="103">
        <f t="shared" si="46"/>
        <v>3.1347962382445083E-2</v>
      </c>
      <c r="R44" s="103">
        <f t="shared" si="46"/>
        <v>4.5592705167173175E-2</v>
      </c>
      <c r="S44" s="103">
        <f t="shared" ref="S44:Z45" si="48">+S11/R11-1</f>
        <v>4.3604651162790775E-2</v>
      </c>
      <c r="T44" s="103">
        <f t="shared" si="48"/>
        <v>4.1782729805013963E-2</v>
      </c>
      <c r="U44" s="103">
        <f t="shared" si="48"/>
        <v>4.0106951871657692E-2</v>
      </c>
      <c r="V44" s="103">
        <f t="shared" si="48"/>
        <v>3.8560411311054033E-2</v>
      </c>
      <c r="W44" s="103">
        <f t="shared" si="48"/>
        <v>3.7128712871287162E-2</v>
      </c>
      <c r="X44" s="103">
        <f t="shared" si="48"/>
        <v>3.5799522673030992E-2</v>
      </c>
      <c r="Y44" s="103">
        <f t="shared" si="48"/>
        <v>3.4562211981566726E-2</v>
      </c>
      <c r="Z44" s="103">
        <f t="shared" si="48"/>
        <v>3.3407572383073569E-2</v>
      </c>
      <c r="AA44" s="91"/>
      <c r="AB44" s="228" t="str">
        <f t="shared" si="33"/>
        <v>BB RGU growth</v>
      </c>
      <c r="AC44" s="91"/>
      <c r="AD44" s="103"/>
      <c r="AE44" s="103"/>
      <c r="AF44" s="103"/>
      <c r="AG44" s="103">
        <f t="shared" si="47"/>
        <v>3.3333333333333339</v>
      </c>
      <c r="AH44" s="103">
        <f t="shared" si="47"/>
        <v>1.1538461538461537</v>
      </c>
      <c r="AI44" s="103">
        <f t="shared" si="47"/>
        <v>0.88235294117647034</v>
      </c>
      <c r="AJ44" s="103">
        <f t="shared" si="47"/>
        <v>0.72727272727272707</v>
      </c>
      <c r="AK44" s="103">
        <f t="shared" si="47"/>
        <v>0.5</v>
      </c>
      <c r="AL44" s="103">
        <f t="shared" si="47"/>
        <v>0.28571428571428559</v>
      </c>
      <c r="AM44" s="103">
        <f t="shared" si="47"/>
        <v>0.21875</v>
      </c>
      <c r="AN44" s="103">
        <f t="shared" si="47"/>
        <v>7.8947368421052655E-2</v>
      </c>
      <c r="AO44" s="103">
        <f t="shared" si="47"/>
        <v>0.10256410256410264</v>
      </c>
      <c r="AP44" s="103">
        <f t="shared" si="47"/>
        <v>0.22222222222222254</v>
      </c>
      <c r="AQ44" s="103">
        <f t="shared" si="47"/>
        <v>0.15384615384615397</v>
      </c>
      <c r="AR44" s="103">
        <f t="shared" si="47"/>
        <v>7.2439024390243905</v>
      </c>
      <c r="AS44" s="103">
        <f t="shared" si="47"/>
        <v>7.5581395348837184</v>
      </c>
      <c r="AT44" s="103">
        <f t="shared" si="47"/>
        <v>8.295454545454545</v>
      </c>
      <c r="AU44" s="103">
        <f t="shared" si="47"/>
        <v>8.6</v>
      </c>
      <c r="AV44" s="103">
        <f t="shared" si="47"/>
        <v>0.44082840236686405</v>
      </c>
      <c r="AW44" s="103">
        <f t="shared" si="47"/>
        <v>0.43206521739130443</v>
      </c>
      <c r="AX44" s="103">
        <f t="shared" si="47"/>
        <v>0.33985330073349651</v>
      </c>
      <c r="AY44" s="103">
        <f t="shared" si="47"/>
        <v>0.34259259259259278</v>
      </c>
      <c r="AZ44" s="103">
        <f t="shared" si="47"/>
        <v>0.27926078028747425</v>
      </c>
      <c r="BA44" s="103">
        <f t="shared" si="47"/>
        <v>0.10056925996204935</v>
      </c>
      <c r="BB44" s="103">
        <f t="shared" si="47"/>
        <v>0.13138686131386845</v>
      </c>
      <c r="BC44" s="103">
        <f t="shared" si="47"/>
        <v>0.10517241379310338</v>
      </c>
      <c r="BD44" s="103">
        <f t="shared" si="47"/>
        <v>7.0626003210272792E-2</v>
      </c>
      <c r="BE44" s="103">
        <f t="shared" si="47"/>
        <v>0.18448275862068964</v>
      </c>
      <c r="BF44" s="103">
        <f t="shared" si="47"/>
        <v>0.1806451612903226</v>
      </c>
      <c r="BG44" s="103">
        <f t="shared" si="47"/>
        <v>0.16068642745709849</v>
      </c>
      <c r="BH44" s="103">
        <f t="shared" si="47"/>
        <v>0.14842578710644672</v>
      </c>
      <c r="BI44" s="103">
        <f t="shared" si="47"/>
        <v>0.12518195050946135</v>
      </c>
      <c r="BJ44" s="103">
        <f t="shared" si="47"/>
        <v>7.1038251366120297E-2</v>
      </c>
      <c r="BK44" s="103">
        <f t="shared" si="47"/>
        <v>5.7795698924731242E-2</v>
      </c>
      <c r="BL44" s="103">
        <f t="shared" si="47"/>
        <v>4.0469973890339572E-2</v>
      </c>
      <c r="BM44" s="103">
        <f t="shared" si="47"/>
        <v>5.1746442432082818E-2</v>
      </c>
      <c r="BN44" s="103">
        <f t="shared" si="47"/>
        <v>6.5051020408163129E-2</v>
      </c>
      <c r="BO44" s="103">
        <f t="shared" si="47"/>
        <v>7.369758576874208E-2</v>
      </c>
      <c r="BP44" s="103">
        <f t="shared" si="47"/>
        <v>7.0263488080301029E-2</v>
      </c>
      <c r="BQ44" s="103">
        <f t="shared" si="47"/>
        <v>6.0270602706027132E-2</v>
      </c>
      <c r="BR44" s="103">
        <f t="shared" si="47"/>
        <v>5.3892215568862367E-2</v>
      </c>
      <c r="BS44" s="103">
        <f t="shared" si="47"/>
        <v>5.5621301775147902E-2</v>
      </c>
      <c r="BT44" s="103">
        <f t="shared" si="47"/>
        <v>6.5650644783118439E-2</v>
      </c>
      <c r="BU44" s="103">
        <f t="shared" si="47"/>
        <v>1.0765661252900229</v>
      </c>
      <c r="BV44" s="103">
        <f t="shared" si="47"/>
        <v>1.0897727272727273</v>
      </c>
      <c r="BW44" s="103">
        <f t="shared" si="47"/>
        <v>1.0908071748878925</v>
      </c>
      <c r="BX44" s="103">
        <f t="shared" si="47"/>
        <v>1.0693069306930689</v>
      </c>
      <c r="BY44" s="103">
        <f t="shared" si="47"/>
        <v>7.374301675977657E-2</v>
      </c>
      <c r="BZ44" s="103">
        <f t="shared" si="47"/>
        <v>7.123436650353443E-2</v>
      </c>
      <c r="CA44" s="103">
        <f t="shared" si="47"/>
        <v>6.9168900804289501E-2</v>
      </c>
      <c r="CB44" s="103">
        <f t="shared" si="47"/>
        <v>9.1440723019670545E-2</v>
      </c>
      <c r="CC44" s="231">
        <f t="shared" si="47"/>
        <v>9.4172736732570428E-2</v>
      </c>
      <c r="CD44" s="231">
        <f t="shared" si="47"/>
        <v>8.6294416243654748E-2</v>
      </c>
    </row>
    <row r="45" spans="1:92" s="92" customFormat="1" ht="15" customHeight="1">
      <c r="A45" s="141" t="s">
        <v>592</v>
      </c>
      <c r="B45" s="91"/>
      <c r="C45" s="103" t="e">
        <f t="shared" si="46"/>
        <v>#DIV/0!</v>
      </c>
      <c r="D45" s="103" t="e">
        <f t="shared" si="46"/>
        <v>#DIV/0!</v>
      </c>
      <c r="E45" s="103" t="e">
        <f t="shared" si="46"/>
        <v>#DIV/0!</v>
      </c>
      <c r="F45" s="103" t="e">
        <f t="shared" si="46"/>
        <v>#DIV/0!</v>
      </c>
      <c r="G45" s="103">
        <f t="shared" si="46"/>
        <v>0.10975609756097571</v>
      </c>
      <c r="H45" s="103">
        <f t="shared" si="46"/>
        <v>7.6923076923077094E-2</v>
      </c>
      <c r="I45" s="103">
        <f t="shared" si="46"/>
        <v>0.79591836734693877</v>
      </c>
      <c r="J45" s="103">
        <f t="shared" si="46"/>
        <v>0.38920454545454519</v>
      </c>
      <c r="K45" s="103">
        <f t="shared" si="46"/>
        <v>-4.0899795501021519E-3</v>
      </c>
      <c r="L45" s="103">
        <f t="shared" si="46"/>
        <v>1.4373716632443356E-2</v>
      </c>
      <c r="M45" s="103">
        <f t="shared" si="46"/>
        <v>0.90890688259109309</v>
      </c>
      <c r="N45" s="103">
        <f t="shared" si="46"/>
        <v>0.41145281018027569</v>
      </c>
      <c r="O45" s="103">
        <f t="shared" si="46"/>
        <v>0.20736288504883538</v>
      </c>
      <c r="P45" s="103">
        <f t="shared" si="46"/>
        <v>0.20721841941505925</v>
      </c>
      <c r="Q45" s="103">
        <f t="shared" si="46"/>
        <v>7.6288659793814384E-2</v>
      </c>
      <c r="R45" s="103">
        <f t="shared" si="46"/>
        <v>7.1839080459770166E-2</v>
      </c>
      <c r="S45" s="103">
        <f t="shared" si="48"/>
        <v>6.7024128686327122E-2</v>
      </c>
      <c r="T45" s="103">
        <f t="shared" si="48"/>
        <v>6.2814070351758788E-2</v>
      </c>
      <c r="U45" s="103">
        <f t="shared" si="48"/>
        <v>5.9101654846335672E-2</v>
      </c>
      <c r="V45" s="103">
        <f t="shared" si="48"/>
        <v>5.5803571428571397E-2</v>
      </c>
      <c r="W45" s="103">
        <f t="shared" si="48"/>
        <v>5.2854122621564414E-2</v>
      </c>
      <c r="X45" s="103">
        <f t="shared" si="48"/>
        <v>5.0200803212851364E-2</v>
      </c>
      <c r="Y45" s="103">
        <f t="shared" si="48"/>
        <v>4.780114722753348E-2</v>
      </c>
      <c r="Z45" s="103">
        <f t="shared" si="48"/>
        <v>4.5620437956204407E-2</v>
      </c>
      <c r="AA45" s="91"/>
      <c r="AB45" s="228" t="str">
        <f t="shared" si="33"/>
        <v>Tel RGU growth</v>
      </c>
      <c r="AC45" s="91"/>
      <c r="AD45" s="103"/>
      <c r="AE45" s="103"/>
      <c r="AF45" s="103"/>
      <c r="AG45" s="103" t="e">
        <f t="shared" si="47"/>
        <v>#DIV/0!</v>
      </c>
      <c r="AH45" s="103" t="e">
        <f t="shared" si="47"/>
        <v>#DIV/0!</v>
      </c>
      <c r="AI45" s="103" t="e">
        <f t="shared" si="47"/>
        <v>#DIV/0!</v>
      </c>
      <c r="AJ45" s="103" t="e">
        <f t="shared" si="47"/>
        <v>#DIV/0!</v>
      </c>
      <c r="AK45" s="103" t="e">
        <f t="shared" si="47"/>
        <v>#DIV/0!</v>
      </c>
      <c r="AL45" s="103" t="e">
        <f t="shared" si="47"/>
        <v>#DIV/0!</v>
      </c>
      <c r="AM45" s="103" t="e">
        <f t="shared" si="47"/>
        <v>#DIV/0!</v>
      </c>
      <c r="AN45" s="103" t="e">
        <f t="shared" si="47"/>
        <v>#DIV/0!</v>
      </c>
      <c r="AO45" s="103" t="e">
        <f t="shared" si="47"/>
        <v>#DIV/0!</v>
      </c>
      <c r="AP45" s="103" t="e">
        <f t="shared" si="47"/>
        <v>#DIV/0!</v>
      </c>
      <c r="AQ45" s="103" t="e">
        <f t="shared" si="47"/>
        <v>#DIV/0!</v>
      </c>
      <c r="AR45" s="103" t="e">
        <f t="shared" si="47"/>
        <v>#DIV/0!</v>
      </c>
      <c r="AS45" s="103" t="e">
        <f t="shared" si="47"/>
        <v>#DIV/0!</v>
      </c>
      <c r="AT45" s="103" t="e">
        <f t="shared" si="47"/>
        <v>#DIV/0!</v>
      </c>
      <c r="AU45" s="103" t="e">
        <f t="shared" si="47"/>
        <v>#DIV/0!</v>
      </c>
      <c r="AV45" s="103">
        <f t="shared" si="47"/>
        <v>0.32467532467532445</v>
      </c>
      <c r="AW45" s="103">
        <f t="shared" si="47"/>
        <v>0.10975609756097571</v>
      </c>
      <c r="AX45" s="103">
        <f t="shared" si="47"/>
        <v>-9.9447513812154775E-2</v>
      </c>
      <c r="AY45" s="103">
        <f t="shared" si="47"/>
        <v>-0.12690355329949243</v>
      </c>
      <c r="AZ45" s="103">
        <f t="shared" si="47"/>
        <v>-8.3333333333333259E-2</v>
      </c>
      <c r="BA45" s="103">
        <f t="shared" si="47"/>
        <v>7.6923076923077094E-2</v>
      </c>
      <c r="BB45" s="103">
        <f t="shared" si="47"/>
        <v>0.38650306748466257</v>
      </c>
      <c r="BC45" s="103">
        <f t="shared" si="47"/>
        <v>0.47093023255813971</v>
      </c>
      <c r="BD45" s="103">
        <f t="shared" si="47"/>
        <v>0.58823529411764719</v>
      </c>
      <c r="BE45" s="103">
        <f t="shared" si="47"/>
        <v>0.79591836734693877</v>
      </c>
      <c r="BF45" s="103">
        <f t="shared" si="47"/>
        <v>0.81858407079646023</v>
      </c>
      <c r="BG45" s="103">
        <f t="shared" si="47"/>
        <v>0.78656126482213451</v>
      </c>
      <c r="BH45" s="103">
        <f t="shared" si="47"/>
        <v>0.58585858585858586</v>
      </c>
      <c r="BI45" s="103">
        <f t="shared" si="47"/>
        <v>0.38920454545454519</v>
      </c>
      <c r="BJ45" s="103">
        <f t="shared" si="47"/>
        <v>0.22141119221411198</v>
      </c>
      <c r="BK45" s="103">
        <f t="shared" si="47"/>
        <v>0.11061946902654873</v>
      </c>
      <c r="BL45" s="103">
        <f t="shared" si="47"/>
        <v>2.9723991507430991E-2</v>
      </c>
      <c r="BM45" s="103">
        <f t="shared" si="47"/>
        <v>-4.0899795501021519E-3</v>
      </c>
      <c r="BN45" s="103">
        <f t="shared" si="47"/>
        <v>-5.9760956175299862E-3</v>
      </c>
      <c r="BO45" s="103">
        <f t="shared" si="47"/>
        <v>-7.9681274900399446E-3</v>
      </c>
      <c r="BP45" s="103">
        <f t="shared" si="47"/>
        <v>1.0309278350515427E-2</v>
      </c>
      <c r="BQ45" s="103">
        <f t="shared" si="47"/>
        <v>1.4373716632443356E-2</v>
      </c>
      <c r="BR45" s="103">
        <f t="shared" si="47"/>
        <v>1.002004008016022E-2</v>
      </c>
      <c r="BS45" s="103">
        <f t="shared" si="47"/>
        <v>6.2248995983935851E-2</v>
      </c>
      <c r="BT45" s="103">
        <f t="shared" si="47"/>
        <v>0.13877551020408152</v>
      </c>
      <c r="BU45" s="103">
        <f t="shared" si="47"/>
        <v>0.90890688259109309</v>
      </c>
      <c r="BV45" s="103">
        <f t="shared" si="47"/>
        <v>1.0337301587301586</v>
      </c>
      <c r="BW45" s="103">
        <f t="shared" si="47"/>
        <v>1.1266540642722118</v>
      </c>
      <c r="BX45" s="103">
        <f t="shared" si="47"/>
        <v>1.1863799283154122</v>
      </c>
      <c r="BY45" s="103">
        <f t="shared" si="47"/>
        <v>0.41145281018027569</v>
      </c>
      <c r="BZ45" s="103">
        <f t="shared" si="47"/>
        <v>0.38341463414634158</v>
      </c>
      <c r="CA45" s="103">
        <f t="shared" si="47"/>
        <v>0.30755555555555558</v>
      </c>
      <c r="CB45" s="103">
        <f t="shared" si="47"/>
        <v>0.26393442622950802</v>
      </c>
      <c r="CC45" s="231">
        <f t="shared" si="47"/>
        <v>0.20736288504883538</v>
      </c>
      <c r="CD45" s="231">
        <f t="shared" si="47"/>
        <v>0.1741889985895626</v>
      </c>
    </row>
    <row r="46" spans="1:92" s="92" customFormat="1" ht="15" customHeight="1">
      <c r="A46" s="141" t="s">
        <v>593</v>
      </c>
      <c r="B46" s="91"/>
      <c r="C46" s="103" t="e">
        <f t="shared" ref="C46:Z46" si="49">+C6/B6-1</f>
        <v>#DIV/0!</v>
      </c>
      <c r="D46" s="103" t="e">
        <f t="shared" si="49"/>
        <v>#DIV/0!</v>
      </c>
      <c r="E46" s="103" t="e">
        <f t="shared" si="49"/>
        <v>#DIV/0!</v>
      </c>
      <c r="F46" s="103">
        <f t="shared" si="49"/>
        <v>3.8395904436860073</v>
      </c>
      <c r="G46" s="103">
        <f t="shared" si="49"/>
        <v>9.1678420310296271E-2</v>
      </c>
      <c r="H46" s="103">
        <f t="shared" si="49"/>
        <v>-0.26033591731266159</v>
      </c>
      <c r="I46" s="103">
        <f t="shared" si="49"/>
        <v>5.3275109170305646E-2</v>
      </c>
      <c r="J46" s="103">
        <f t="shared" si="49"/>
        <v>4.8922056384743007E-2</v>
      </c>
      <c r="K46" s="103">
        <f t="shared" si="49"/>
        <v>-4.5849802371541459E-2</v>
      </c>
      <c r="L46" s="103">
        <f t="shared" si="49"/>
        <v>7.4565037282516844E-3</v>
      </c>
      <c r="M46" s="103">
        <f t="shared" si="49"/>
        <v>1.2269736842105265</v>
      </c>
      <c r="N46" s="103">
        <f t="shared" si="49"/>
        <v>7.3855243722305008E-3</v>
      </c>
      <c r="O46" s="103">
        <f t="shared" si="49"/>
        <v>3.2258064516129004E-2</v>
      </c>
      <c r="P46" s="103">
        <f t="shared" si="49"/>
        <v>0.4236505681818179</v>
      </c>
      <c r="Q46" s="103">
        <f t="shared" si="49"/>
        <v>6.9842853579447084E-3</v>
      </c>
      <c r="R46" s="103">
        <f t="shared" si="49"/>
        <v>0</v>
      </c>
      <c r="S46" s="103">
        <f t="shared" si="49"/>
        <v>6.4726281892495408E-3</v>
      </c>
      <c r="T46" s="103">
        <f t="shared" si="49"/>
        <v>6.4953127268878585E-3</v>
      </c>
      <c r="U46" s="103">
        <f t="shared" si="49"/>
        <v>6.5179298613753378E-3</v>
      </c>
      <c r="V46" s="103">
        <f t="shared" si="49"/>
        <v>6.5404787780538598E-3</v>
      </c>
      <c r="W46" s="103">
        <f t="shared" si="49"/>
        <v>6.5629586739064383E-3</v>
      </c>
      <c r="X46" s="103">
        <f t="shared" si="49"/>
        <v>6.5853687576367115E-3</v>
      </c>
      <c r="Y46" s="103">
        <f t="shared" si="49"/>
        <v>6.6077082497455475E-3</v>
      </c>
      <c r="Z46" s="103">
        <f t="shared" si="49"/>
        <v>6.6299763826040969E-3</v>
      </c>
      <c r="AA46" s="91"/>
      <c r="AB46" s="228" t="str">
        <f t="shared" si="33"/>
        <v>Customer growth</v>
      </c>
      <c r="AC46" s="91"/>
      <c r="AD46" s="103" t="e">
        <f t="shared" ref="AD46:CD46" si="50">+AD6/AC6-1</f>
        <v>#DIV/0!</v>
      </c>
      <c r="AE46" s="103" t="e">
        <f t="shared" si="50"/>
        <v>#DIV/0!</v>
      </c>
      <c r="AF46" s="103" t="e">
        <f t="shared" si="50"/>
        <v>#DIV/0!</v>
      </c>
      <c r="AG46" s="103" t="e">
        <f t="shared" si="50"/>
        <v>#DIV/0!</v>
      </c>
      <c r="AH46" s="103" t="e">
        <f t="shared" si="50"/>
        <v>#DIV/0!</v>
      </c>
      <c r="AI46" s="103" t="e">
        <f t="shared" si="50"/>
        <v>#DIV/0!</v>
      </c>
      <c r="AJ46" s="103" t="e">
        <f t="shared" si="50"/>
        <v>#DIV/0!</v>
      </c>
      <c r="AK46" s="103" t="e">
        <f t="shared" si="50"/>
        <v>#DIV/0!</v>
      </c>
      <c r="AL46" s="103" t="e">
        <f t="shared" si="50"/>
        <v>#DIV/0!</v>
      </c>
      <c r="AM46" s="103" t="e">
        <f t="shared" si="50"/>
        <v>#DIV/0!</v>
      </c>
      <c r="AN46" s="103" t="e">
        <f t="shared" si="50"/>
        <v>#DIV/0!</v>
      </c>
      <c r="AO46" s="103" t="e">
        <f t="shared" si="50"/>
        <v>#DIV/0!</v>
      </c>
      <c r="AP46" s="103">
        <f t="shared" si="50"/>
        <v>-1.7064846416382395E-2</v>
      </c>
      <c r="AQ46" s="103">
        <f t="shared" si="50"/>
        <v>-6.9444444444443088E-3</v>
      </c>
      <c r="AR46" s="103">
        <f t="shared" si="50"/>
        <v>3.9405594405594409</v>
      </c>
      <c r="AS46" s="103">
        <f t="shared" si="50"/>
        <v>3.5385704175512345E-3</v>
      </c>
      <c r="AT46" s="103">
        <f t="shared" si="50"/>
        <v>3.0324400564174736E-2</v>
      </c>
      <c r="AU46" s="103">
        <f t="shared" si="50"/>
        <v>3.5592060232717326E-2</v>
      </c>
      <c r="AV46" s="103">
        <f t="shared" si="50"/>
        <v>1.7184401850627751E-2</v>
      </c>
      <c r="AW46" s="103">
        <f t="shared" si="50"/>
        <v>5.8479532163742132E-3</v>
      </c>
      <c r="AX46" s="103">
        <f t="shared" si="50"/>
        <v>-5.0387596899224896E-2</v>
      </c>
      <c r="AY46" s="103">
        <f t="shared" si="50"/>
        <v>-1.4285714285714235E-2</v>
      </c>
      <c r="AZ46" s="103">
        <f t="shared" si="50"/>
        <v>-4.8309178743960457E-3</v>
      </c>
      <c r="BA46" s="103">
        <f t="shared" si="50"/>
        <v>-0.20596393897364784</v>
      </c>
      <c r="BB46" s="103">
        <f t="shared" si="50"/>
        <v>2.0087336244541509E-2</v>
      </c>
      <c r="BC46" s="103">
        <f t="shared" si="50"/>
        <v>-4.2808219178082085E-3</v>
      </c>
      <c r="BD46" s="103">
        <f t="shared" si="50"/>
        <v>2.5795356835769612E-2</v>
      </c>
      <c r="BE46" s="103">
        <f t="shared" si="50"/>
        <v>1.0896898575020852E-2</v>
      </c>
      <c r="BF46" s="103">
        <f t="shared" si="50"/>
        <v>4.1459369817578695E-2</v>
      </c>
      <c r="BG46" s="103">
        <f t="shared" si="50"/>
        <v>2.3885350318471277E-2</v>
      </c>
      <c r="BH46" s="103">
        <f t="shared" si="50"/>
        <v>3.1104199066873672E-3</v>
      </c>
      <c r="BI46" s="103">
        <f t="shared" si="50"/>
        <v>-1.9379844961240345E-2</v>
      </c>
      <c r="BJ46" s="103">
        <f t="shared" si="50"/>
        <v>-1.2648221343873445E-2</v>
      </c>
      <c r="BK46" s="103">
        <f t="shared" si="50"/>
        <v>-1.8414731785428406E-2</v>
      </c>
      <c r="BL46" s="103">
        <f t="shared" si="50"/>
        <v>-1.3866231647634453E-2</v>
      </c>
      <c r="BM46" s="103">
        <f t="shared" si="50"/>
        <v>-1.6542597187758634E-3</v>
      </c>
      <c r="BN46" s="103">
        <f t="shared" si="50"/>
        <v>9.1135045567523054E-3</v>
      </c>
      <c r="BO46" s="103">
        <f t="shared" si="50"/>
        <v>0</v>
      </c>
      <c r="BP46" s="103">
        <f t="shared" si="50"/>
        <v>0</v>
      </c>
      <c r="BQ46" s="103">
        <f t="shared" si="50"/>
        <v>-1.6420361247947435E-3</v>
      </c>
      <c r="BR46" s="103">
        <f t="shared" si="50"/>
        <v>9.0460526315789824E-3</v>
      </c>
      <c r="BS46" s="103">
        <f t="shared" si="50"/>
        <v>7.3349633251833524E-3</v>
      </c>
      <c r="BT46" s="103">
        <f t="shared" si="50"/>
        <v>8.8996763754045638E-3</v>
      </c>
      <c r="BU46" s="103">
        <f t="shared" si="50"/>
        <v>1.1716118684843626</v>
      </c>
      <c r="BV46" s="103">
        <f t="shared" si="50"/>
        <v>8.8626292466764678E-3</v>
      </c>
      <c r="BW46" s="103">
        <f t="shared" si="50"/>
        <v>-4.02635431917997E-3</v>
      </c>
      <c r="BX46" s="103">
        <f t="shared" si="50"/>
        <v>-4.0426313855200791E-3</v>
      </c>
      <c r="BY46" s="103">
        <f t="shared" si="50"/>
        <v>6.6420664206643387E-3</v>
      </c>
      <c r="BZ46" s="103">
        <f t="shared" si="50"/>
        <v>9.1642228739003961E-3</v>
      </c>
      <c r="CA46" s="103">
        <f t="shared" si="50"/>
        <v>1.4529604068287405E-3</v>
      </c>
      <c r="CB46" s="103">
        <f t="shared" si="50"/>
        <v>1.1244105912223468E-2</v>
      </c>
      <c r="CC46" s="231">
        <f t="shared" si="50"/>
        <v>1.0043041606886627E-2</v>
      </c>
      <c r="CD46" s="231">
        <f t="shared" si="50"/>
        <v>5.6818181818181213E-3</v>
      </c>
    </row>
    <row r="47" spans="1:92" s="92" customFormat="1" ht="15" customHeight="1">
      <c r="A47" s="141" t="s">
        <v>594</v>
      </c>
      <c r="B47" s="91"/>
      <c r="C47" s="103" t="e">
        <f t="shared" ref="C47:Z47" si="51">+C13/C6</f>
        <v>#DIV/0!</v>
      </c>
      <c r="D47" s="103" t="e">
        <f t="shared" si="51"/>
        <v>#DIV/0!</v>
      </c>
      <c r="E47" s="103">
        <f t="shared" si="51"/>
        <v>0</v>
      </c>
      <c r="F47" s="103">
        <f t="shared" si="51"/>
        <v>0</v>
      </c>
      <c r="G47" s="103">
        <f t="shared" si="51"/>
        <v>0</v>
      </c>
      <c r="H47" s="103">
        <f t="shared" si="51"/>
        <v>0</v>
      </c>
      <c r="I47" s="103">
        <f t="shared" si="51"/>
        <v>0</v>
      </c>
      <c r="J47" s="103">
        <f t="shared" si="51"/>
        <v>0</v>
      </c>
      <c r="K47" s="103">
        <f t="shared" si="51"/>
        <v>0</v>
      </c>
      <c r="L47" s="103">
        <f t="shared" si="51"/>
        <v>0</v>
      </c>
      <c r="M47" s="103">
        <f t="shared" si="51"/>
        <v>0</v>
      </c>
      <c r="N47" s="103">
        <f t="shared" si="51"/>
        <v>0</v>
      </c>
      <c r="O47" s="103">
        <f t="shared" si="51"/>
        <v>0</v>
      </c>
      <c r="P47" s="103">
        <f>+P13/P6</f>
        <v>0</v>
      </c>
      <c r="Q47" s="103">
        <f>+Q13/Q6</f>
        <v>0</v>
      </c>
      <c r="R47" s="103">
        <f t="shared" si="51"/>
        <v>0</v>
      </c>
      <c r="S47" s="103">
        <f t="shared" si="51"/>
        <v>0</v>
      </c>
      <c r="T47" s="103">
        <f t="shared" si="51"/>
        <v>0</v>
      </c>
      <c r="U47" s="103">
        <f t="shared" si="51"/>
        <v>0</v>
      </c>
      <c r="V47" s="103">
        <f t="shared" si="51"/>
        <v>0</v>
      </c>
      <c r="W47" s="103">
        <f t="shared" si="51"/>
        <v>0</v>
      </c>
      <c r="X47" s="103">
        <f t="shared" si="51"/>
        <v>0</v>
      </c>
      <c r="Y47" s="103">
        <f t="shared" si="51"/>
        <v>0</v>
      </c>
      <c r="Z47" s="103">
        <f t="shared" si="51"/>
        <v>0</v>
      </c>
      <c r="AA47" s="91"/>
      <c r="AB47" s="228" t="str">
        <f t="shared" si="33"/>
        <v>Mobile SIM % customers</v>
      </c>
      <c r="AC47" s="91"/>
      <c r="AD47" s="103" t="e">
        <f t="shared" ref="AD47:CD47" si="52">+AD13/AD6</f>
        <v>#DIV/0!</v>
      </c>
      <c r="AE47" s="103" t="e">
        <f t="shared" si="52"/>
        <v>#DIV/0!</v>
      </c>
      <c r="AF47" s="103" t="e">
        <f t="shared" si="52"/>
        <v>#DIV/0!</v>
      </c>
      <c r="AG47" s="103" t="e">
        <f t="shared" si="52"/>
        <v>#DIV/0!</v>
      </c>
      <c r="AH47" s="103" t="e">
        <f t="shared" si="52"/>
        <v>#DIV/0!</v>
      </c>
      <c r="AI47" s="103" t="e">
        <f t="shared" si="52"/>
        <v>#DIV/0!</v>
      </c>
      <c r="AJ47" s="103" t="e">
        <f t="shared" si="52"/>
        <v>#DIV/0!</v>
      </c>
      <c r="AK47" s="103" t="e">
        <f t="shared" si="52"/>
        <v>#DIV/0!</v>
      </c>
      <c r="AL47" s="103" t="e">
        <f t="shared" si="52"/>
        <v>#DIV/0!</v>
      </c>
      <c r="AM47" s="103" t="e">
        <f t="shared" si="52"/>
        <v>#DIV/0!</v>
      </c>
      <c r="AN47" s="103" t="e">
        <f t="shared" si="52"/>
        <v>#DIV/0!</v>
      </c>
      <c r="AO47" s="103">
        <f t="shared" si="52"/>
        <v>0</v>
      </c>
      <c r="AP47" s="103">
        <f t="shared" si="52"/>
        <v>0</v>
      </c>
      <c r="AQ47" s="103">
        <f t="shared" si="52"/>
        <v>0</v>
      </c>
      <c r="AR47" s="103">
        <f t="shared" si="52"/>
        <v>0</v>
      </c>
      <c r="AS47" s="103">
        <f t="shared" si="52"/>
        <v>0</v>
      </c>
      <c r="AT47" s="103">
        <f t="shared" si="52"/>
        <v>0</v>
      </c>
      <c r="AU47" s="103">
        <f t="shared" si="52"/>
        <v>0</v>
      </c>
      <c r="AV47" s="103">
        <f t="shared" si="52"/>
        <v>0</v>
      </c>
      <c r="AW47" s="103">
        <f t="shared" si="52"/>
        <v>0</v>
      </c>
      <c r="AX47" s="103">
        <f t="shared" si="52"/>
        <v>0</v>
      </c>
      <c r="AY47" s="103">
        <f t="shared" si="52"/>
        <v>0</v>
      </c>
      <c r="AZ47" s="103">
        <f t="shared" si="52"/>
        <v>0</v>
      </c>
      <c r="BA47" s="103">
        <f t="shared" si="52"/>
        <v>0</v>
      </c>
      <c r="BB47" s="103">
        <f t="shared" si="52"/>
        <v>0</v>
      </c>
      <c r="BC47" s="103">
        <f t="shared" si="52"/>
        <v>0</v>
      </c>
      <c r="BD47" s="103">
        <f t="shared" si="52"/>
        <v>0</v>
      </c>
      <c r="BE47" s="103">
        <f t="shared" si="52"/>
        <v>0</v>
      </c>
      <c r="BF47" s="103">
        <f t="shared" si="52"/>
        <v>0</v>
      </c>
      <c r="BG47" s="103">
        <f t="shared" si="52"/>
        <v>0</v>
      </c>
      <c r="BH47" s="103">
        <f t="shared" si="52"/>
        <v>0</v>
      </c>
      <c r="BI47" s="103">
        <f t="shared" si="52"/>
        <v>0</v>
      </c>
      <c r="BJ47" s="103">
        <f t="shared" si="52"/>
        <v>0</v>
      </c>
      <c r="BK47" s="103">
        <f t="shared" si="52"/>
        <v>0</v>
      </c>
      <c r="BL47" s="103">
        <f t="shared" si="52"/>
        <v>0</v>
      </c>
      <c r="BM47" s="103">
        <f t="shared" si="52"/>
        <v>0</v>
      </c>
      <c r="BN47" s="103">
        <f t="shared" si="52"/>
        <v>0</v>
      </c>
      <c r="BO47" s="103">
        <f t="shared" si="52"/>
        <v>0</v>
      </c>
      <c r="BP47" s="103">
        <f t="shared" si="52"/>
        <v>0</v>
      </c>
      <c r="BQ47" s="103">
        <f t="shared" si="52"/>
        <v>0</v>
      </c>
      <c r="BR47" s="103">
        <f t="shared" si="52"/>
        <v>0</v>
      </c>
      <c r="BS47" s="103">
        <f t="shared" si="52"/>
        <v>0</v>
      </c>
      <c r="BT47" s="103">
        <f t="shared" si="52"/>
        <v>0</v>
      </c>
      <c r="BU47" s="103">
        <f t="shared" si="52"/>
        <v>0</v>
      </c>
      <c r="BV47" s="103">
        <f t="shared" si="52"/>
        <v>0</v>
      </c>
      <c r="BW47" s="103">
        <f t="shared" si="52"/>
        <v>0</v>
      </c>
      <c r="BX47" s="103">
        <f t="shared" si="52"/>
        <v>0</v>
      </c>
      <c r="BY47" s="103">
        <f t="shared" si="52"/>
        <v>0</v>
      </c>
      <c r="BZ47" s="103">
        <f t="shared" si="52"/>
        <v>0</v>
      </c>
      <c r="CA47" s="103">
        <f t="shared" si="52"/>
        <v>0</v>
      </c>
      <c r="CB47" s="103">
        <f t="shared" si="52"/>
        <v>0</v>
      </c>
      <c r="CC47" s="231">
        <f t="shared" si="52"/>
        <v>0</v>
      </c>
      <c r="CD47" s="231">
        <f t="shared" si="52"/>
        <v>0</v>
      </c>
    </row>
    <row r="48" spans="1:92" ht="15" customHeight="1">
      <c r="A48" s="141" t="s">
        <v>595</v>
      </c>
      <c r="B48" s="91"/>
      <c r="C48" s="103">
        <f t="shared" ref="C48:Z48" si="53">+C13/C11</f>
        <v>0</v>
      </c>
      <c r="D48" s="103">
        <f t="shared" si="53"/>
        <v>0</v>
      </c>
      <c r="E48" s="103">
        <f t="shared" si="53"/>
        <v>0</v>
      </c>
      <c r="F48" s="103">
        <f t="shared" si="53"/>
        <v>0</v>
      </c>
      <c r="G48" s="103">
        <f t="shared" si="53"/>
        <v>0</v>
      </c>
      <c r="H48" s="103">
        <f t="shared" si="53"/>
        <v>0</v>
      </c>
      <c r="I48" s="103">
        <f t="shared" si="53"/>
        <v>0</v>
      </c>
      <c r="J48" s="103">
        <f t="shared" si="53"/>
        <v>0</v>
      </c>
      <c r="K48" s="103">
        <f t="shared" si="53"/>
        <v>0</v>
      </c>
      <c r="L48" s="103">
        <f t="shared" si="53"/>
        <v>0</v>
      </c>
      <c r="M48" s="103">
        <f t="shared" si="53"/>
        <v>0</v>
      </c>
      <c r="N48" s="103">
        <f t="shared" si="53"/>
        <v>0</v>
      </c>
      <c r="O48" s="103">
        <f t="shared" si="53"/>
        <v>0</v>
      </c>
      <c r="P48" s="103">
        <f>+P13/P11</f>
        <v>0</v>
      </c>
      <c r="Q48" s="103">
        <f>+Q13/Q11</f>
        <v>0</v>
      </c>
      <c r="R48" s="103">
        <f t="shared" si="53"/>
        <v>0</v>
      </c>
      <c r="S48" s="103">
        <f t="shared" si="53"/>
        <v>0</v>
      </c>
      <c r="T48" s="103">
        <f t="shared" si="53"/>
        <v>0</v>
      </c>
      <c r="U48" s="103">
        <f t="shared" si="53"/>
        <v>0</v>
      </c>
      <c r="V48" s="103">
        <f t="shared" si="53"/>
        <v>0</v>
      </c>
      <c r="W48" s="103">
        <f t="shared" si="53"/>
        <v>0</v>
      </c>
      <c r="X48" s="103">
        <f t="shared" si="53"/>
        <v>0</v>
      </c>
      <c r="Y48" s="103">
        <f t="shared" si="53"/>
        <v>0</v>
      </c>
      <c r="Z48" s="103">
        <f t="shared" si="53"/>
        <v>0</v>
      </c>
      <c r="AA48" s="91"/>
      <c r="AB48" s="228" t="str">
        <f t="shared" si="33"/>
        <v>Mobile SIM % broadband</v>
      </c>
      <c r="AC48" s="91"/>
      <c r="AD48" s="103">
        <f t="shared" ref="AD48:CD48" si="54">+AD13/AD11</f>
        <v>0</v>
      </c>
      <c r="AE48" s="103">
        <f t="shared" si="54"/>
        <v>0</v>
      </c>
      <c r="AF48" s="103">
        <f t="shared" si="54"/>
        <v>0</v>
      </c>
      <c r="AG48" s="103">
        <f t="shared" si="54"/>
        <v>0</v>
      </c>
      <c r="AH48" s="103">
        <f t="shared" si="54"/>
        <v>0</v>
      </c>
      <c r="AI48" s="103">
        <f t="shared" si="54"/>
        <v>0</v>
      </c>
      <c r="AJ48" s="103">
        <f t="shared" si="54"/>
        <v>0</v>
      </c>
      <c r="AK48" s="103">
        <f t="shared" si="54"/>
        <v>0</v>
      </c>
      <c r="AL48" s="103">
        <f t="shared" si="54"/>
        <v>0</v>
      </c>
      <c r="AM48" s="103">
        <f t="shared" si="54"/>
        <v>0</v>
      </c>
      <c r="AN48" s="103">
        <f t="shared" si="54"/>
        <v>0</v>
      </c>
      <c r="AO48" s="103">
        <f t="shared" si="54"/>
        <v>0</v>
      </c>
      <c r="AP48" s="103">
        <f t="shared" si="54"/>
        <v>0</v>
      </c>
      <c r="AQ48" s="103">
        <f t="shared" si="54"/>
        <v>0</v>
      </c>
      <c r="AR48" s="103">
        <f t="shared" si="54"/>
        <v>0</v>
      </c>
      <c r="AS48" s="103">
        <f t="shared" si="54"/>
        <v>0</v>
      </c>
      <c r="AT48" s="103">
        <f t="shared" si="54"/>
        <v>0</v>
      </c>
      <c r="AU48" s="103">
        <f t="shared" si="54"/>
        <v>0</v>
      </c>
      <c r="AV48" s="103">
        <f t="shared" si="54"/>
        <v>0</v>
      </c>
      <c r="AW48" s="103">
        <f t="shared" si="54"/>
        <v>0</v>
      </c>
      <c r="AX48" s="103">
        <f t="shared" si="54"/>
        <v>0</v>
      </c>
      <c r="AY48" s="103">
        <f t="shared" si="54"/>
        <v>0</v>
      </c>
      <c r="AZ48" s="103">
        <f t="shared" si="54"/>
        <v>0</v>
      </c>
      <c r="BA48" s="103">
        <f t="shared" si="54"/>
        <v>0</v>
      </c>
      <c r="BB48" s="103">
        <f t="shared" si="54"/>
        <v>0</v>
      </c>
      <c r="BC48" s="103">
        <f t="shared" si="54"/>
        <v>0</v>
      </c>
      <c r="BD48" s="103">
        <f t="shared" si="54"/>
        <v>0</v>
      </c>
      <c r="BE48" s="103">
        <f t="shared" si="54"/>
        <v>0</v>
      </c>
      <c r="BF48" s="103">
        <f t="shared" si="54"/>
        <v>0</v>
      </c>
      <c r="BG48" s="103">
        <f t="shared" si="54"/>
        <v>0</v>
      </c>
      <c r="BH48" s="103">
        <f t="shared" si="54"/>
        <v>0</v>
      </c>
      <c r="BI48" s="103">
        <f t="shared" si="54"/>
        <v>0</v>
      </c>
      <c r="BJ48" s="103">
        <f t="shared" si="54"/>
        <v>0</v>
      </c>
      <c r="BK48" s="103">
        <f t="shared" si="54"/>
        <v>0</v>
      </c>
      <c r="BL48" s="103">
        <f t="shared" si="54"/>
        <v>0</v>
      </c>
      <c r="BM48" s="103">
        <f t="shared" si="54"/>
        <v>0</v>
      </c>
      <c r="BN48" s="103">
        <f t="shared" si="54"/>
        <v>0</v>
      </c>
      <c r="BO48" s="103">
        <f t="shared" si="54"/>
        <v>0</v>
      </c>
      <c r="BP48" s="103">
        <f t="shared" si="54"/>
        <v>0</v>
      </c>
      <c r="BQ48" s="103">
        <f t="shared" si="54"/>
        <v>0</v>
      </c>
      <c r="BR48" s="103">
        <f t="shared" si="54"/>
        <v>0</v>
      </c>
      <c r="BS48" s="103">
        <f t="shared" si="54"/>
        <v>0</v>
      </c>
      <c r="BT48" s="103">
        <f t="shared" si="54"/>
        <v>0</v>
      </c>
      <c r="BU48" s="103">
        <f t="shared" si="54"/>
        <v>0</v>
      </c>
      <c r="BV48" s="103">
        <f t="shared" si="54"/>
        <v>0</v>
      </c>
      <c r="BW48" s="103">
        <f t="shared" si="54"/>
        <v>0</v>
      </c>
      <c r="BX48" s="103">
        <f t="shared" si="54"/>
        <v>0</v>
      </c>
      <c r="BY48" s="103">
        <f t="shared" si="54"/>
        <v>0</v>
      </c>
      <c r="BZ48" s="103">
        <f t="shared" si="54"/>
        <v>0</v>
      </c>
      <c r="CA48" s="103">
        <f t="shared" si="54"/>
        <v>0</v>
      </c>
      <c r="CB48" s="103">
        <f t="shared" si="54"/>
        <v>0</v>
      </c>
      <c r="CC48" s="231">
        <f t="shared" si="54"/>
        <v>0</v>
      </c>
      <c r="CD48" s="231">
        <f t="shared" si="54"/>
        <v>0</v>
      </c>
      <c r="CE48" s="92"/>
      <c r="CF48" s="92"/>
      <c r="CG48" s="92"/>
    </row>
    <row r="49" spans="1:85" ht="15" customHeight="1">
      <c r="A49" s="14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14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2"/>
      <c r="CF49" s="92"/>
      <c r="CG49" s="92"/>
    </row>
    <row r="50" spans="1:85" ht="15" customHeight="1">
      <c r="A50" s="14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14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2"/>
      <c r="CF50" s="92"/>
      <c r="CG50" s="92"/>
    </row>
    <row r="51" spans="1:85" ht="15" customHeight="1">
      <c r="A51" s="141"/>
      <c r="B51" s="91"/>
      <c r="C51" s="91"/>
      <c r="D51" s="91"/>
      <c r="E51" s="91"/>
      <c r="F51" s="91"/>
      <c r="G51" s="91"/>
      <c r="H51" s="91"/>
      <c r="I51" s="91"/>
      <c r="J51" s="91"/>
      <c r="K51" s="91"/>
      <c r="L51" s="91"/>
      <c r="M51" s="91"/>
      <c r="N51" s="91"/>
      <c r="O51" s="91"/>
      <c r="P51" s="91"/>
      <c r="Q51" s="126"/>
      <c r="R51" s="91"/>
      <c r="S51" s="91"/>
      <c r="T51" s="91"/>
      <c r="U51" s="91"/>
      <c r="V51" s="91"/>
      <c r="W51" s="91"/>
      <c r="X51" s="91"/>
      <c r="Y51" s="91"/>
      <c r="Z51" s="91"/>
      <c r="AA51" s="91"/>
      <c r="AB51" s="14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2"/>
      <c r="CF51" s="92"/>
      <c r="CG51" s="92"/>
    </row>
    <row r="52" spans="1:85" ht="15" customHeight="1">
      <c r="A52" s="93" t="str">
        <f>CONCATENATE(A$1," revenues")</f>
        <v>Liberty Puerto Rico revenues</v>
      </c>
      <c r="B52" s="94">
        <f t="shared" ref="B52:Z52" si="55">+B$1</f>
        <v>2001</v>
      </c>
      <c r="C52" s="94">
        <f t="shared" si="55"/>
        <v>2002</v>
      </c>
      <c r="D52" s="94">
        <f t="shared" si="55"/>
        <v>2003</v>
      </c>
      <c r="E52" s="94">
        <f t="shared" si="55"/>
        <v>2004</v>
      </c>
      <c r="F52" s="94">
        <f t="shared" si="55"/>
        <v>2005</v>
      </c>
      <c r="G52" s="94">
        <f t="shared" si="55"/>
        <v>2006</v>
      </c>
      <c r="H52" s="94">
        <f t="shared" si="55"/>
        <v>2007</v>
      </c>
      <c r="I52" s="94">
        <f t="shared" si="55"/>
        <v>2008</v>
      </c>
      <c r="J52" s="94">
        <f t="shared" si="55"/>
        <v>2009</v>
      </c>
      <c r="K52" s="94">
        <f t="shared" si="55"/>
        <v>2010</v>
      </c>
      <c r="L52" s="94">
        <f t="shared" si="55"/>
        <v>2011</v>
      </c>
      <c r="M52" s="94">
        <f t="shared" si="55"/>
        <v>2012</v>
      </c>
      <c r="N52" s="94">
        <f t="shared" si="55"/>
        <v>2013</v>
      </c>
      <c r="O52" s="94">
        <f t="shared" si="55"/>
        <v>2014</v>
      </c>
      <c r="P52" s="94">
        <f t="shared" si="55"/>
        <v>2015</v>
      </c>
      <c r="Q52" s="94">
        <f t="shared" si="55"/>
        <v>2016</v>
      </c>
      <c r="R52" s="94" t="str">
        <f>+R$1</f>
        <v>2017E</v>
      </c>
      <c r="S52" s="94" t="str">
        <f t="shared" si="55"/>
        <v>2018E</v>
      </c>
      <c r="T52" s="94" t="str">
        <f t="shared" si="55"/>
        <v>2019E</v>
      </c>
      <c r="U52" s="94" t="str">
        <f t="shared" si="55"/>
        <v>2020E</v>
      </c>
      <c r="V52" s="94" t="str">
        <f t="shared" si="55"/>
        <v>2021E</v>
      </c>
      <c r="W52" s="94" t="str">
        <f t="shared" si="55"/>
        <v>2022E</v>
      </c>
      <c r="X52" s="94" t="str">
        <f t="shared" si="55"/>
        <v>2023E</v>
      </c>
      <c r="Y52" s="94" t="str">
        <f t="shared" si="55"/>
        <v>2024E</v>
      </c>
      <c r="Z52" s="94" t="str">
        <f t="shared" si="55"/>
        <v>2025E</v>
      </c>
      <c r="AA52" s="92"/>
      <c r="AB52" s="93" t="str">
        <f>+A52</f>
        <v>Liberty Puerto Rico revenues</v>
      </c>
      <c r="AC52" s="232" t="str">
        <f t="shared" ref="AC52:CD52" si="56">+AC$1</f>
        <v>Q4 01</v>
      </c>
      <c r="AD52" s="232" t="str">
        <f t="shared" si="56"/>
        <v>Q1 02</v>
      </c>
      <c r="AE52" s="232" t="str">
        <f t="shared" si="56"/>
        <v>Q2 02</v>
      </c>
      <c r="AF52" s="232" t="str">
        <f t="shared" si="56"/>
        <v>Q3 02</v>
      </c>
      <c r="AG52" s="232" t="str">
        <f t="shared" si="56"/>
        <v>Q4 02</v>
      </c>
      <c r="AH52" s="232" t="str">
        <f t="shared" si="56"/>
        <v>Q1 03</v>
      </c>
      <c r="AI52" s="232" t="str">
        <f t="shared" si="56"/>
        <v>Q2 03</v>
      </c>
      <c r="AJ52" s="232" t="str">
        <f t="shared" si="56"/>
        <v>Q3 03</v>
      </c>
      <c r="AK52" s="232" t="str">
        <f t="shared" si="56"/>
        <v>Q4 03</v>
      </c>
      <c r="AL52" s="232" t="str">
        <f t="shared" si="56"/>
        <v>1Q04</v>
      </c>
      <c r="AM52" s="232" t="str">
        <f t="shared" si="56"/>
        <v>Q2 04</v>
      </c>
      <c r="AN52" s="232" t="str">
        <f t="shared" si="56"/>
        <v>Q3 04</v>
      </c>
      <c r="AO52" s="232" t="str">
        <f t="shared" si="56"/>
        <v>Q4 04</v>
      </c>
      <c r="AP52" s="232" t="str">
        <f t="shared" si="56"/>
        <v>Q1 05</v>
      </c>
      <c r="AQ52" s="232" t="str">
        <f t="shared" si="56"/>
        <v>Q2 05</v>
      </c>
      <c r="AR52" s="232" t="str">
        <f t="shared" si="56"/>
        <v>Q3 05</v>
      </c>
      <c r="AS52" s="232" t="str">
        <f t="shared" si="56"/>
        <v>Q4 05</v>
      </c>
      <c r="AT52" s="232" t="str">
        <f t="shared" si="56"/>
        <v>Q1 06</v>
      </c>
      <c r="AU52" s="232" t="str">
        <f t="shared" si="56"/>
        <v>Q2 06</v>
      </c>
      <c r="AV52" s="232" t="str">
        <f t="shared" si="56"/>
        <v>Q3 06</v>
      </c>
      <c r="AW52" s="232" t="str">
        <f t="shared" si="56"/>
        <v>Q4 06</v>
      </c>
      <c r="AX52" s="232" t="str">
        <f t="shared" si="56"/>
        <v>Q1 07</v>
      </c>
      <c r="AY52" s="232" t="str">
        <f t="shared" si="56"/>
        <v>Q2 07</v>
      </c>
      <c r="AZ52" s="232" t="str">
        <f t="shared" si="56"/>
        <v>Q3 07</v>
      </c>
      <c r="BA52" s="232" t="str">
        <f t="shared" si="56"/>
        <v>Q4 07</v>
      </c>
      <c r="BB52" s="94" t="str">
        <f t="shared" si="56"/>
        <v>Q1 08</v>
      </c>
      <c r="BC52" s="94" t="str">
        <f t="shared" si="56"/>
        <v>Q2 08</v>
      </c>
      <c r="BD52" s="94" t="str">
        <f t="shared" si="56"/>
        <v>Q3 08</v>
      </c>
      <c r="BE52" s="94" t="str">
        <f t="shared" si="56"/>
        <v>Q4 08</v>
      </c>
      <c r="BF52" s="94" t="str">
        <f t="shared" si="56"/>
        <v>Q1 09</v>
      </c>
      <c r="BG52" s="94" t="str">
        <f t="shared" si="56"/>
        <v>Q2 09</v>
      </c>
      <c r="BH52" s="94" t="str">
        <f t="shared" si="56"/>
        <v>Q3 09</v>
      </c>
      <c r="BI52" s="94" t="str">
        <f t="shared" si="56"/>
        <v>Q4 09</v>
      </c>
      <c r="BJ52" s="94" t="str">
        <f t="shared" si="56"/>
        <v>Q1 10</v>
      </c>
      <c r="BK52" s="94" t="str">
        <f t="shared" si="56"/>
        <v>Q2 10</v>
      </c>
      <c r="BL52" s="94" t="str">
        <f t="shared" si="56"/>
        <v>Q3 10</v>
      </c>
      <c r="BM52" s="94" t="str">
        <f t="shared" si="56"/>
        <v>Q4 10</v>
      </c>
      <c r="BN52" s="94" t="str">
        <f t="shared" si="56"/>
        <v>Q1 11</v>
      </c>
      <c r="BO52" s="94" t="str">
        <f t="shared" si="56"/>
        <v>Q2 11</v>
      </c>
      <c r="BP52" s="94" t="str">
        <f t="shared" si="56"/>
        <v>Q3 11</v>
      </c>
      <c r="BQ52" s="94" t="str">
        <f t="shared" si="56"/>
        <v>Q4 11</v>
      </c>
      <c r="BR52" s="94" t="str">
        <f t="shared" si="56"/>
        <v>Q1 12</v>
      </c>
      <c r="BS52" s="94" t="str">
        <f t="shared" si="56"/>
        <v>Q2 12</v>
      </c>
      <c r="BT52" s="94" t="str">
        <f t="shared" si="56"/>
        <v>Q3 12</v>
      </c>
      <c r="BU52" s="94" t="str">
        <f t="shared" si="56"/>
        <v>Q4 12</v>
      </c>
      <c r="BV52" s="94" t="str">
        <f t="shared" si="56"/>
        <v>Q1 13</v>
      </c>
      <c r="BW52" s="94" t="str">
        <f t="shared" si="56"/>
        <v>Q2 13</v>
      </c>
      <c r="BX52" s="94" t="str">
        <f t="shared" si="56"/>
        <v>Q3 13</v>
      </c>
      <c r="BY52" s="94" t="str">
        <f t="shared" si="56"/>
        <v>Q4 13</v>
      </c>
      <c r="BZ52" s="94" t="str">
        <f t="shared" si="56"/>
        <v>Q1 14</v>
      </c>
      <c r="CA52" s="94" t="str">
        <f t="shared" si="56"/>
        <v>Q2 14</v>
      </c>
      <c r="CB52" s="94" t="str">
        <f t="shared" si="56"/>
        <v>Q3 14</v>
      </c>
      <c r="CC52" s="94" t="str">
        <f t="shared" si="56"/>
        <v>Q4 14</v>
      </c>
      <c r="CD52" s="94" t="str">
        <f t="shared" si="56"/>
        <v>Q1 15</v>
      </c>
      <c r="CE52" s="92"/>
      <c r="CF52" s="92"/>
      <c r="CG52" s="92"/>
    </row>
    <row r="53" spans="1:85" ht="15" customHeight="1">
      <c r="A53" s="92" t="s">
        <v>756</v>
      </c>
      <c r="B53" s="97"/>
      <c r="C53" s="97"/>
      <c r="D53" s="97"/>
      <c r="E53" s="97"/>
      <c r="F53" s="97"/>
      <c r="G53" s="97"/>
      <c r="H53" s="97"/>
      <c r="I53" s="97"/>
      <c r="J53" s="97"/>
      <c r="K53" s="97"/>
      <c r="L53" s="96">
        <v>116.3</v>
      </c>
      <c r="M53" s="96">
        <v>145.5</v>
      </c>
      <c r="N53" s="96">
        <v>297.2</v>
      </c>
      <c r="O53" s="96">
        <v>306.10000000000002</v>
      </c>
      <c r="P53" s="96">
        <v>379.2</v>
      </c>
      <c r="Q53" s="96">
        <v>420.8</v>
      </c>
      <c r="R53" s="96">
        <v>321</v>
      </c>
      <c r="S53" s="97">
        <f>+S64+S65+S66+S77</f>
        <v>324.61657669529973</v>
      </c>
      <c r="T53" s="97">
        <f t="shared" ref="T53:Z53" si="57">+T64+T65+T66+T77</f>
        <v>389.97675312908581</v>
      </c>
      <c r="U53" s="97">
        <f t="shared" si="57"/>
        <v>397.42658922965256</v>
      </c>
      <c r="V53" s="97">
        <f t="shared" si="57"/>
        <v>404.59095300177125</v>
      </c>
      <c r="W53" s="97">
        <f t="shared" si="57"/>
        <v>411.48452003662987</v>
      </c>
      <c r="X53" s="97">
        <f t="shared" si="57"/>
        <v>418.12174769516969</v>
      </c>
      <c r="Y53" s="97">
        <f t="shared" si="57"/>
        <v>424.51688809881801</v>
      </c>
      <c r="Z53" s="97">
        <f t="shared" si="57"/>
        <v>430.68400109368844</v>
      </c>
      <c r="AA53" s="92"/>
      <c r="AB53" s="92" t="s">
        <v>756</v>
      </c>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107"/>
      <c r="BC53" s="107"/>
      <c r="BD53" s="107"/>
      <c r="BE53" s="107"/>
      <c r="BF53" s="107"/>
      <c r="BG53" s="107"/>
      <c r="BH53" s="107"/>
      <c r="BI53" s="107"/>
      <c r="BJ53" s="107"/>
      <c r="BK53" s="107"/>
      <c r="BL53" s="107"/>
      <c r="BM53" s="107"/>
      <c r="BN53" s="107"/>
      <c r="BO53" s="107"/>
      <c r="BP53" s="107"/>
      <c r="BQ53" s="107"/>
      <c r="BR53" s="108">
        <v>29.2</v>
      </c>
      <c r="BS53" s="108">
        <v>30.6</v>
      </c>
      <c r="BT53" s="108">
        <v>30.2</v>
      </c>
      <c r="BU53" s="108">
        <v>55.499999999999986</v>
      </c>
      <c r="BV53" s="108">
        <v>73.2</v>
      </c>
      <c r="BW53" s="108">
        <v>74.099999999999994</v>
      </c>
      <c r="BX53" s="108">
        <v>74.7</v>
      </c>
      <c r="BY53" s="108">
        <v>75.2</v>
      </c>
      <c r="BZ53" s="108">
        <v>74.7</v>
      </c>
      <c r="CA53" s="108">
        <v>76.599999999999994</v>
      </c>
      <c r="CB53" s="108">
        <v>76.3</v>
      </c>
      <c r="CC53" s="108">
        <f>+O53-SUM(BZ53:CB53)</f>
        <v>78.5</v>
      </c>
      <c r="CD53" s="108">
        <v>79</v>
      </c>
      <c r="CE53" s="92"/>
      <c r="CF53" s="92"/>
      <c r="CG53" s="92"/>
    </row>
    <row r="54" spans="1:85" ht="15" customHeight="1">
      <c r="A54" s="92" t="s">
        <v>757</v>
      </c>
      <c r="B54" s="97"/>
      <c r="C54" s="97"/>
      <c r="D54" s="97"/>
      <c r="E54" s="97"/>
      <c r="F54" s="97"/>
      <c r="G54" s="97"/>
      <c r="H54" s="97"/>
      <c r="I54" s="97"/>
      <c r="J54" s="97"/>
      <c r="K54" s="97"/>
      <c r="L54" s="97">
        <f>+L53</f>
        <v>116.3</v>
      </c>
      <c r="M54" s="97">
        <f>+M53</f>
        <v>145.5</v>
      </c>
      <c r="N54" s="97">
        <f>+N53</f>
        <v>297.2</v>
      </c>
      <c r="O54" s="97">
        <f>+O53</f>
        <v>306.10000000000002</v>
      </c>
      <c r="P54" s="97">
        <f>+P53</f>
        <v>379.2</v>
      </c>
      <c r="Q54" s="97">
        <f>Q53</f>
        <v>420.8</v>
      </c>
      <c r="R54" s="97">
        <f t="shared" ref="R54:Z54" si="58">R53</f>
        <v>321</v>
      </c>
      <c r="S54" s="97">
        <f>S53</f>
        <v>324.61657669529973</v>
      </c>
      <c r="T54" s="97">
        <f t="shared" si="58"/>
        <v>389.97675312908581</v>
      </c>
      <c r="U54" s="97">
        <f t="shared" si="58"/>
        <v>397.42658922965256</v>
      </c>
      <c r="V54" s="97">
        <f t="shared" si="58"/>
        <v>404.59095300177125</v>
      </c>
      <c r="W54" s="97">
        <f t="shared" si="58"/>
        <v>411.48452003662987</v>
      </c>
      <c r="X54" s="97">
        <f t="shared" si="58"/>
        <v>418.12174769516969</v>
      </c>
      <c r="Y54" s="97">
        <f t="shared" si="58"/>
        <v>424.51688809881801</v>
      </c>
      <c r="Z54" s="97">
        <f t="shared" si="58"/>
        <v>430.68400109368844</v>
      </c>
      <c r="AA54" s="92"/>
      <c r="AB54" s="92" t="s">
        <v>757</v>
      </c>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107"/>
      <c r="BC54" s="107"/>
      <c r="BD54" s="107"/>
      <c r="BE54" s="107"/>
      <c r="BF54" s="107"/>
      <c r="BG54" s="107"/>
      <c r="BH54" s="107"/>
      <c r="BI54" s="107"/>
      <c r="BJ54" s="107"/>
      <c r="BK54" s="107"/>
      <c r="BL54" s="107"/>
      <c r="BM54" s="107"/>
      <c r="BN54" s="107"/>
      <c r="BO54" s="107"/>
      <c r="BP54" s="107"/>
      <c r="BQ54" s="107"/>
      <c r="BR54" s="107">
        <f t="shared" ref="BR54:CD54" si="59">+BR53</f>
        <v>29.2</v>
      </c>
      <c r="BS54" s="107">
        <f t="shared" si="59"/>
        <v>30.6</v>
      </c>
      <c r="BT54" s="107">
        <f t="shared" si="59"/>
        <v>30.2</v>
      </c>
      <c r="BU54" s="107">
        <f t="shared" si="59"/>
        <v>55.499999999999986</v>
      </c>
      <c r="BV54" s="107">
        <f t="shared" si="59"/>
        <v>73.2</v>
      </c>
      <c r="BW54" s="107">
        <f t="shared" si="59"/>
        <v>74.099999999999994</v>
      </c>
      <c r="BX54" s="107">
        <f t="shared" si="59"/>
        <v>74.7</v>
      </c>
      <c r="BY54" s="107">
        <f t="shared" si="59"/>
        <v>75.2</v>
      </c>
      <c r="BZ54" s="107">
        <f t="shared" si="59"/>
        <v>74.7</v>
      </c>
      <c r="CA54" s="107">
        <f t="shared" si="59"/>
        <v>76.599999999999994</v>
      </c>
      <c r="CB54" s="107">
        <f t="shared" si="59"/>
        <v>76.3</v>
      </c>
      <c r="CC54" s="107">
        <f t="shared" si="59"/>
        <v>78.5</v>
      </c>
      <c r="CD54" s="107">
        <f t="shared" si="59"/>
        <v>79</v>
      </c>
      <c r="CE54" s="92"/>
      <c r="CF54" s="92"/>
      <c r="CG54" s="92"/>
    </row>
    <row r="55" spans="1:85" ht="15" customHeight="1">
      <c r="A55" s="92" t="s">
        <v>598</v>
      </c>
      <c r="B55" s="97"/>
      <c r="C55" s="97"/>
      <c r="D55" s="97"/>
      <c r="E55" s="97"/>
      <c r="F55" s="97"/>
      <c r="G55" s="96"/>
      <c r="H55" s="96"/>
      <c r="I55" s="96"/>
      <c r="J55" s="96"/>
      <c r="K55" s="96"/>
      <c r="L55" s="97">
        <f>+L53*Forex!G42</f>
        <v>89.737079999999992</v>
      </c>
      <c r="M55" s="97">
        <f>+M53*Forex!H42</f>
        <v>110.24535</v>
      </c>
      <c r="N55" s="97">
        <f>+N53*Forex!I42</f>
        <v>215.52943999999997</v>
      </c>
      <c r="O55" s="97">
        <f>+O53*Forex!J42</f>
        <v>252.96104000000003</v>
      </c>
      <c r="P55" s="97">
        <f>+P53*Forex!K42</f>
        <v>341.28</v>
      </c>
      <c r="Q55" s="97">
        <f>+Q53*Forex!L42</f>
        <v>379.92054893463347</v>
      </c>
      <c r="R55" s="97">
        <v>289.81581798483211</v>
      </c>
      <c r="S55" s="97">
        <v>293.08105516007561</v>
      </c>
      <c r="T55" s="97">
        <v>352.09168754883154</v>
      </c>
      <c r="U55" s="97">
        <v>358.81779453742558</v>
      </c>
      <c r="V55" s="97">
        <v>365.28616197343018</v>
      </c>
      <c r="W55" s="97">
        <v>371.51003975860408</v>
      </c>
      <c r="X55" s="97">
        <v>377.50248076486974</v>
      </c>
      <c r="Y55" s="97">
        <v>383.27635256303546</v>
      </c>
      <c r="Z55" s="97">
        <v>388.84434912756274</v>
      </c>
      <c r="AA55" s="92"/>
      <c r="AB55" s="92" t="s">
        <v>598</v>
      </c>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108"/>
      <c r="BC55" s="108"/>
      <c r="BD55" s="108"/>
      <c r="BE55" s="108"/>
      <c r="BF55" s="108"/>
      <c r="BG55" s="108"/>
      <c r="BH55" s="108"/>
      <c r="BI55" s="108"/>
      <c r="BJ55" s="108"/>
      <c r="BK55" s="108"/>
      <c r="BL55" s="108"/>
      <c r="BM55" s="108"/>
      <c r="BN55" s="108"/>
      <c r="BO55" s="108"/>
      <c r="BP55" s="108"/>
      <c r="BQ55" s="108"/>
      <c r="BR55" s="107">
        <f>+BR53/Forex!V8</f>
        <v>22.262079999999997</v>
      </c>
      <c r="BS55" s="107">
        <f>+BS53/Forex!W8</f>
        <v>23.852699999999999</v>
      </c>
      <c r="BT55" s="107">
        <f>+BT53/Forex!X8</f>
        <v>24.126780000000004</v>
      </c>
      <c r="BU55" s="107">
        <f>+BU53/Forex!Y8</f>
        <v>42.761383773788417</v>
      </c>
      <c r="BV55" s="107">
        <f>+BV53/Forex!Z8</f>
        <v>55.449000000000005</v>
      </c>
      <c r="BW55" s="107">
        <f>+BW53/Forex!AA8</f>
        <v>56.708729999999882</v>
      </c>
      <c r="BX55" s="107">
        <f>+BX53/Forex!AB8</f>
        <v>56.376089999999841</v>
      </c>
      <c r="BY55" s="107">
        <f>+BY53/Forex!AC8</f>
        <v>55.284115819451443</v>
      </c>
      <c r="BZ55" s="107">
        <f>+BZ53/Forex!AD8</f>
        <v>54.501120000000007</v>
      </c>
      <c r="CA55" s="107">
        <f>+CA53/Forex!AE8</f>
        <v>55.86437999999999</v>
      </c>
      <c r="CB55" s="107">
        <f>+CB53/Forex!AF8</f>
        <v>57.606499999999997</v>
      </c>
      <c r="CC55" s="107">
        <f>+O55-SUM(BZ55:CB55)</f>
        <v>84.989040000000045</v>
      </c>
      <c r="CD55" s="107">
        <f>+CD53/Forex!AH8</f>
        <v>70.128717265867735</v>
      </c>
      <c r="CE55" s="92"/>
      <c r="CF55" s="92"/>
      <c r="CG55" s="92"/>
    </row>
    <row r="56" spans="1:85" ht="15" customHeight="1">
      <c r="A56" s="92"/>
      <c r="B56" s="97"/>
      <c r="C56" s="97"/>
      <c r="D56" s="97"/>
      <c r="E56" s="97"/>
      <c r="F56" s="97"/>
      <c r="G56" s="96"/>
      <c r="H56" s="96"/>
      <c r="I56" s="96"/>
      <c r="J56" s="96"/>
      <c r="K56" s="96"/>
      <c r="L56" s="97"/>
      <c r="M56" s="97"/>
      <c r="N56" s="97"/>
      <c r="O56" s="97"/>
      <c r="P56" s="97"/>
      <c r="Q56" s="97"/>
      <c r="R56" s="97"/>
      <c r="S56" s="97"/>
      <c r="T56" s="97">
        <f>T54/P54</f>
        <v>1.0284197076188972</v>
      </c>
      <c r="U56" s="126"/>
      <c r="V56" s="97"/>
      <c r="W56" s="97"/>
      <c r="X56" s="97"/>
      <c r="Y56" s="97"/>
      <c r="Z56" s="97"/>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108"/>
      <c r="BC56" s="108"/>
      <c r="BD56" s="108"/>
      <c r="BE56" s="108"/>
      <c r="BF56" s="108"/>
      <c r="BG56" s="108"/>
      <c r="BH56" s="108"/>
      <c r="BI56" s="108"/>
      <c r="BJ56" s="108"/>
      <c r="BK56" s="108"/>
      <c r="BL56" s="108"/>
      <c r="BM56" s="108"/>
      <c r="BN56" s="108"/>
      <c r="BO56" s="108"/>
      <c r="BP56" s="108"/>
      <c r="BQ56" s="108"/>
      <c r="BR56" s="107"/>
      <c r="BS56" s="107"/>
      <c r="BT56" s="107"/>
      <c r="BU56" s="107"/>
      <c r="BV56" s="107"/>
      <c r="BW56" s="107"/>
      <c r="BX56" s="107"/>
      <c r="BY56" s="107"/>
      <c r="BZ56" s="107"/>
      <c r="CA56" s="107"/>
      <c r="CB56" s="107"/>
      <c r="CC56" s="107"/>
      <c r="CD56" s="107"/>
      <c r="CE56" s="92"/>
      <c r="CF56" s="92"/>
      <c r="CG56" s="92"/>
    </row>
    <row r="57" spans="1:85" ht="15" customHeight="1">
      <c r="A57" s="92" t="s">
        <v>599</v>
      </c>
      <c r="B57" s="97"/>
      <c r="C57" s="97"/>
      <c r="D57" s="97"/>
      <c r="E57" s="97"/>
      <c r="F57" s="97"/>
      <c r="G57" s="97"/>
      <c r="H57" s="103"/>
      <c r="I57" s="103"/>
      <c r="J57" s="103"/>
      <c r="K57" s="103"/>
      <c r="L57" s="103"/>
      <c r="M57" s="103">
        <f t="shared" ref="M57:Z59" si="60">+M53/L53-1</f>
        <v>0.25107480653482384</v>
      </c>
      <c r="N57" s="103">
        <f t="shared" si="60"/>
        <v>1.0426116838487971</v>
      </c>
      <c r="O57" s="103">
        <f t="shared" si="60"/>
        <v>2.9946164199192493E-2</v>
      </c>
      <c r="P57" s="103">
        <f t="shared" si="60"/>
        <v>0.23881084612871595</v>
      </c>
      <c r="Q57" s="103">
        <f>+Q53/P53-1</f>
        <v>0.10970464135021096</v>
      </c>
      <c r="R57" s="103">
        <f t="shared" si="60"/>
        <v>-0.23716730038022815</v>
      </c>
      <c r="S57" s="103">
        <f t="shared" si="60"/>
        <v>1.126659406635433E-2</v>
      </c>
      <c r="T57" s="103">
        <f t="shared" si="60"/>
        <v>0.20134577568149337</v>
      </c>
      <c r="U57" s="103">
        <f t="shared" si="60"/>
        <v>1.9103282543871947E-2</v>
      </c>
      <c r="V57" s="103">
        <f t="shared" si="60"/>
        <v>1.8026885886034183E-2</v>
      </c>
      <c r="W57" s="103">
        <f t="shared" si="60"/>
        <v>1.7038361791615442E-2</v>
      </c>
      <c r="X57" s="103">
        <f t="shared" si="60"/>
        <v>1.6129957107375414E-2</v>
      </c>
      <c r="Y57" s="103">
        <f t="shared" si="60"/>
        <v>1.5294924119351627E-2</v>
      </c>
      <c r="Z57" s="103">
        <f t="shared" si="60"/>
        <v>1.4527367856882245E-2</v>
      </c>
      <c r="AA57" s="92"/>
      <c r="AB57" s="92" t="s">
        <v>599</v>
      </c>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1"/>
      <c r="BC57" s="91"/>
      <c r="BD57" s="91"/>
      <c r="BE57" s="91"/>
      <c r="BF57" s="103" t="e">
        <f t="shared" ref="BF57:CD59" si="61">+BF53/BB53-1</f>
        <v>#DIV/0!</v>
      </c>
      <c r="BG57" s="103" t="e">
        <f t="shared" si="61"/>
        <v>#DIV/0!</v>
      </c>
      <c r="BH57" s="103" t="e">
        <f t="shared" si="61"/>
        <v>#DIV/0!</v>
      </c>
      <c r="BI57" s="103" t="e">
        <f t="shared" si="61"/>
        <v>#DIV/0!</v>
      </c>
      <c r="BJ57" s="103" t="e">
        <f t="shared" si="61"/>
        <v>#DIV/0!</v>
      </c>
      <c r="BK57" s="103" t="e">
        <f t="shared" si="61"/>
        <v>#DIV/0!</v>
      </c>
      <c r="BL57" s="103" t="e">
        <f t="shared" si="61"/>
        <v>#DIV/0!</v>
      </c>
      <c r="BM57" s="103" t="e">
        <f t="shared" si="61"/>
        <v>#DIV/0!</v>
      </c>
      <c r="BN57" s="103" t="e">
        <f t="shared" si="61"/>
        <v>#DIV/0!</v>
      </c>
      <c r="BO57" s="103" t="e">
        <f t="shared" si="61"/>
        <v>#DIV/0!</v>
      </c>
      <c r="BP57" s="103" t="e">
        <f t="shared" si="61"/>
        <v>#DIV/0!</v>
      </c>
      <c r="BQ57" s="103" t="e">
        <f t="shared" si="61"/>
        <v>#DIV/0!</v>
      </c>
      <c r="BR57" s="103" t="e">
        <f t="shared" si="61"/>
        <v>#DIV/0!</v>
      </c>
      <c r="BS57" s="103" t="e">
        <f t="shared" si="61"/>
        <v>#DIV/0!</v>
      </c>
      <c r="BT57" s="103" t="e">
        <f t="shared" si="61"/>
        <v>#DIV/0!</v>
      </c>
      <c r="BU57" s="103" t="e">
        <f t="shared" si="61"/>
        <v>#DIV/0!</v>
      </c>
      <c r="BV57" s="103">
        <f t="shared" si="61"/>
        <v>1.5068493150684934</v>
      </c>
      <c r="BW57" s="103">
        <f t="shared" si="61"/>
        <v>1.4215686274509802</v>
      </c>
      <c r="BX57" s="103">
        <f t="shared" si="61"/>
        <v>1.4735099337748347</v>
      </c>
      <c r="BY57" s="103">
        <f t="shared" si="61"/>
        <v>0.35495495495495533</v>
      </c>
      <c r="BZ57" s="103">
        <f t="shared" si="61"/>
        <v>2.0491803278688492E-2</v>
      </c>
      <c r="CA57" s="103">
        <f t="shared" si="61"/>
        <v>3.373819163292846E-2</v>
      </c>
      <c r="CB57" s="103">
        <f t="shared" si="61"/>
        <v>2.1419009370816422E-2</v>
      </c>
      <c r="CC57" s="103">
        <f t="shared" si="61"/>
        <v>4.3882978723404298E-2</v>
      </c>
      <c r="CD57" s="103">
        <f t="shared" si="61"/>
        <v>5.7563587684069661E-2</v>
      </c>
      <c r="CE57" s="92"/>
      <c r="CF57" s="92"/>
      <c r="CG57" s="92"/>
    </row>
    <row r="58" spans="1:85" ht="15" customHeight="1">
      <c r="A58" s="92" t="s">
        <v>600</v>
      </c>
      <c r="B58" s="97"/>
      <c r="C58" s="97"/>
      <c r="D58" s="97"/>
      <c r="E58" s="97"/>
      <c r="F58" s="97"/>
      <c r="G58" s="97"/>
      <c r="H58" s="103"/>
      <c r="I58" s="103"/>
      <c r="J58" s="103"/>
      <c r="K58" s="103"/>
      <c r="L58" s="103"/>
      <c r="M58" s="103">
        <f t="shared" si="60"/>
        <v>0.25107480653482384</v>
      </c>
      <c r="N58" s="103">
        <f t="shared" si="60"/>
        <v>1.0426116838487971</v>
      </c>
      <c r="O58" s="103">
        <f t="shared" si="60"/>
        <v>2.9946164199192493E-2</v>
      </c>
      <c r="P58" s="103">
        <f t="shared" si="60"/>
        <v>0.23881084612871595</v>
      </c>
      <c r="Q58" s="103">
        <f>+Q54/P54-1</f>
        <v>0.10970464135021096</v>
      </c>
      <c r="R58" s="103">
        <f t="shared" si="60"/>
        <v>-0.23716730038022815</v>
      </c>
      <c r="S58" s="103">
        <f t="shared" si="60"/>
        <v>1.126659406635433E-2</v>
      </c>
      <c r="T58" s="103">
        <f t="shared" si="60"/>
        <v>0.20134577568149337</v>
      </c>
      <c r="U58" s="103">
        <f t="shared" si="60"/>
        <v>1.9103282543871947E-2</v>
      </c>
      <c r="V58" s="103">
        <f t="shared" si="60"/>
        <v>1.8026885886034183E-2</v>
      </c>
      <c r="W58" s="103">
        <f t="shared" si="60"/>
        <v>1.7038361791615442E-2</v>
      </c>
      <c r="X58" s="103">
        <f t="shared" si="60"/>
        <v>1.6129957107375414E-2</v>
      </c>
      <c r="Y58" s="103">
        <f t="shared" si="60"/>
        <v>1.5294924119351627E-2</v>
      </c>
      <c r="Z58" s="103">
        <f t="shared" si="60"/>
        <v>1.4527367856882245E-2</v>
      </c>
      <c r="AA58" s="92"/>
      <c r="AB58" s="92" t="s">
        <v>600</v>
      </c>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1"/>
      <c r="BC58" s="91"/>
      <c r="BD58" s="91"/>
      <c r="BE58" s="91"/>
      <c r="BF58" s="103" t="e">
        <f t="shared" si="61"/>
        <v>#DIV/0!</v>
      </c>
      <c r="BG58" s="103" t="e">
        <f t="shared" si="61"/>
        <v>#DIV/0!</v>
      </c>
      <c r="BH58" s="103" t="e">
        <f t="shared" si="61"/>
        <v>#DIV/0!</v>
      </c>
      <c r="BI58" s="103" t="e">
        <f t="shared" si="61"/>
        <v>#DIV/0!</v>
      </c>
      <c r="BJ58" s="103" t="e">
        <f t="shared" si="61"/>
        <v>#DIV/0!</v>
      </c>
      <c r="BK58" s="103" t="e">
        <f t="shared" si="61"/>
        <v>#DIV/0!</v>
      </c>
      <c r="BL58" s="103" t="e">
        <f t="shared" si="61"/>
        <v>#DIV/0!</v>
      </c>
      <c r="BM58" s="103" t="e">
        <f t="shared" si="61"/>
        <v>#DIV/0!</v>
      </c>
      <c r="BN58" s="103" t="e">
        <f t="shared" si="61"/>
        <v>#DIV/0!</v>
      </c>
      <c r="BO58" s="103" t="e">
        <f t="shared" si="61"/>
        <v>#DIV/0!</v>
      </c>
      <c r="BP58" s="103" t="e">
        <f t="shared" si="61"/>
        <v>#DIV/0!</v>
      </c>
      <c r="BQ58" s="103" t="e">
        <f t="shared" si="61"/>
        <v>#DIV/0!</v>
      </c>
      <c r="BR58" s="103" t="e">
        <f t="shared" si="61"/>
        <v>#DIV/0!</v>
      </c>
      <c r="BS58" s="103" t="e">
        <f t="shared" si="61"/>
        <v>#DIV/0!</v>
      </c>
      <c r="BT58" s="103" t="e">
        <f t="shared" si="61"/>
        <v>#DIV/0!</v>
      </c>
      <c r="BU58" s="103" t="e">
        <f t="shared" si="61"/>
        <v>#DIV/0!</v>
      </c>
      <c r="BV58" s="103">
        <f t="shared" si="61"/>
        <v>1.5068493150684934</v>
      </c>
      <c r="BW58" s="103">
        <f t="shared" si="61"/>
        <v>1.4215686274509802</v>
      </c>
      <c r="BX58" s="103">
        <f t="shared" si="61"/>
        <v>1.4735099337748347</v>
      </c>
      <c r="BY58" s="103">
        <f t="shared" si="61"/>
        <v>0.35495495495495533</v>
      </c>
      <c r="BZ58" s="103">
        <f t="shared" si="61"/>
        <v>2.0491803278688492E-2</v>
      </c>
      <c r="CA58" s="103">
        <f t="shared" si="61"/>
        <v>3.373819163292846E-2</v>
      </c>
      <c r="CB58" s="103">
        <f t="shared" si="61"/>
        <v>2.1419009370816422E-2</v>
      </c>
      <c r="CC58" s="103">
        <f t="shared" si="61"/>
        <v>4.3882978723404298E-2</v>
      </c>
      <c r="CD58" s="103">
        <f t="shared" si="61"/>
        <v>5.7563587684069661E-2</v>
      </c>
      <c r="CE58" s="92"/>
      <c r="CF58" s="92"/>
      <c r="CG58" s="92"/>
    </row>
    <row r="59" spans="1:85" ht="15" customHeight="1">
      <c r="A59" s="92" t="s">
        <v>601</v>
      </c>
      <c r="B59" s="97"/>
      <c r="C59" s="97"/>
      <c r="D59" s="97"/>
      <c r="E59" s="97"/>
      <c r="F59" s="97"/>
      <c r="G59" s="97"/>
      <c r="H59" s="103"/>
      <c r="I59" s="103"/>
      <c r="J59" s="103"/>
      <c r="K59" s="103"/>
      <c r="L59" s="103"/>
      <c r="M59" s="103">
        <f t="shared" si="60"/>
        <v>0.22853730029994312</v>
      </c>
      <c r="N59" s="103">
        <f t="shared" si="60"/>
        <v>0.95499801125398909</v>
      </c>
      <c r="O59" s="103">
        <f t="shared" si="60"/>
        <v>0.17367279384199241</v>
      </c>
      <c r="P59" s="103">
        <f t="shared" si="60"/>
        <v>0.34914056330571674</v>
      </c>
      <c r="Q59" s="103">
        <f>+Q55/P55-1</f>
        <v>0.11322242421071693</v>
      </c>
      <c r="R59" s="103">
        <f t="shared" si="60"/>
        <v>-0.23716730038022815</v>
      </c>
      <c r="S59" s="103">
        <f t="shared" si="60"/>
        <v>1.1266594066354108E-2</v>
      </c>
      <c r="T59" s="103">
        <f t="shared" si="60"/>
        <v>0.20134577568149337</v>
      </c>
      <c r="U59" s="103">
        <f t="shared" si="60"/>
        <v>1.9103282543871947E-2</v>
      </c>
      <c r="V59" s="103">
        <f t="shared" si="60"/>
        <v>1.8026885886034183E-2</v>
      </c>
      <c r="W59" s="103">
        <f t="shared" si="60"/>
        <v>1.703836179161522E-2</v>
      </c>
      <c r="X59" s="103">
        <f t="shared" si="60"/>
        <v>1.6129957107375636E-2</v>
      </c>
      <c r="Y59" s="103">
        <f t="shared" si="60"/>
        <v>1.5294924119351627E-2</v>
      </c>
      <c r="Z59" s="103">
        <f t="shared" si="60"/>
        <v>1.4527367856882245E-2</v>
      </c>
      <c r="AA59" s="92"/>
      <c r="AB59" s="92" t="s">
        <v>601</v>
      </c>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1"/>
      <c r="BC59" s="91"/>
      <c r="BD59" s="91"/>
      <c r="BE59" s="91"/>
      <c r="BF59" s="103" t="e">
        <f t="shared" si="61"/>
        <v>#DIV/0!</v>
      </c>
      <c r="BG59" s="103" t="e">
        <f t="shared" si="61"/>
        <v>#DIV/0!</v>
      </c>
      <c r="BH59" s="103" t="e">
        <f t="shared" si="61"/>
        <v>#DIV/0!</v>
      </c>
      <c r="BI59" s="103" t="e">
        <f t="shared" si="61"/>
        <v>#DIV/0!</v>
      </c>
      <c r="BJ59" s="103" t="e">
        <f t="shared" si="61"/>
        <v>#DIV/0!</v>
      </c>
      <c r="BK59" s="103" t="e">
        <f t="shared" si="61"/>
        <v>#DIV/0!</v>
      </c>
      <c r="BL59" s="103" t="e">
        <f t="shared" si="61"/>
        <v>#DIV/0!</v>
      </c>
      <c r="BM59" s="103" t="e">
        <f t="shared" si="61"/>
        <v>#DIV/0!</v>
      </c>
      <c r="BN59" s="103" t="e">
        <f t="shared" si="61"/>
        <v>#DIV/0!</v>
      </c>
      <c r="BO59" s="103" t="e">
        <f t="shared" si="61"/>
        <v>#DIV/0!</v>
      </c>
      <c r="BP59" s="103" t="e">
        <f t="shared" si="61"/>
        <v>#DIV/0!</v>
      </c>
      <c r="BQ59" s="103" t="e">
        <f t="shared" si="61"/>
        <v>#DIV/0!</v>
      </c>
      <c r="BR59" s="103" t="e">
        <f t="shared" si="61"/>
        <v>#DIV/0!</v>
      </c>
      <c r="BS59" s="103" t="e">
        <f t="shared" si="61"/>
        <v>#DIV/0!</v>
      </c>
      <c r="BT59" s="103" t="e">
        <f t="shared" si="61"/>
        <v>#DIV/0!</v>
      </c>
      <c r="BU59" s="103" t="e">
        <f t="shared" si="61"/>
        <v>#DIV/0!</v>
      </c>
      <c r="BV59" s="103">
        <f t="shared" si="61"/>
        <v>1.4907376130172927</v>
      </c>
      <c r="BW59" s="103">
        <f t="shared" si="61"/>
        <v>1.3774553824095337</v>
      </c>
      <c r="BX59" s="103">
        <f t="shared" si="61"/>
        <v>1.3366603417447265</v>
      </c>
      <c r="BY59" s="103">
        <f t="shared" si="61"/>
        <v>0.292851422019208</v>
      </c>
      <c r="BZ59" s="103">
        <f t="shared" si="61"/>
        <v>-1.7094627495536363E-2</v>
      </c>
      <c r="CA59" s="103">
        <f t="shared" si="61"/>
        <v>-1.4889241920951091E-2</v>
      </c>
      <c r="CB59" s="103">
        <f t="shared" si="61"/>
        <v>2.1825032562566182E-2</v>
      </c>
      <c r="CC59" s="103">
        <f t="shared" si="61"/>
        <v>0.53731390545450441</v>
      </c>
      <c r="CD59" s="103">
        <f t="shared" si="61"/>
        <v>0.28673901134266089</v>
      </c>
      <c r="CE59" s="92"/>
      <c r="CF59" s="92"/>
      <c r="CG59" s="92"/>
    </row>
    <row r="60" spans="1:85" ht="15" customHeight="1">
      <c r="A60" s="92"/>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2"/>
      <c r="CF60" s="92"/>
      <c r="CG60" s="92"/>
    </row>
    <row r="61" spans="1:85" ht="15" customHeight="1">
      <c r="A61" s="92"/>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2"/>
      <c r="AB61" s="92"/>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2"/>
      <c r="CF61" s="92"/>
      <c r="CG61" s="92"/>
    </row>
    <row r="62" spans="1:85" ht="15" customHeight="1">
      <c r="A62" s="92" t="s">
        <v>602</v>
      </c>
      <c r="B62" s="91"/>
      <c r="C62" s="91"/>
      <c r="D62" s="91"/>
      <c r="E62" s="91"/>
      <c r="F62" s="91"/>
      <c r="G62" s="97"/>
      <c r="H62" s="97"/>
      <c r="I62" s="97"/>
      <c r="J62" s="97"/>
      <c r="K62" s="97"/>
      <c r="L62" s="97">
        <f t="shared" ref="L62:Z62" si="62">AVERAGE(K13:L13)</f>
        <v>0</v>
      </c>
      <c r="M62" s="97">
        <f t="shared" si="62"/>
        <v>0</v>
      </c>
      <c r="N62" s="97">
        <f t="shared" si="62"/>
        <v>0</v>
      </c>
      <c r="O62" s="97">
        <f t="shared" si="62"/>
        <v>0</v>
      </c>
      <c r="P62" s="97">
        <f t="shared" si="62"/>
        <v>0</v>
      </c>
      <c r="Q62" s="97">
        <f t="shared" si="62"/>
        <v>0</v>
      </c>
      <c r="R62" s="97">
        <f t="shared" si="62"/>
        <v>0</v>
      </c>
      <c r="S62" s="97">
        <f t="shared" si="62"/>
        <v>0</v>
      </c>
      <c r="T62" s="97">
        <f t="shared" si="62"/>
        <v>0</v>
      </c>
      <c r="U62" s="97">
        <f t="shared" si="62"/>
        <v>0</v>
      </c>
      <c r="V62" s="97">
        <f t="shared" si="62"/>
        <v>0</v>
      </c>
      <c r="W62" s="97">
        <f t="shared" si="62"/>
        <v>0</v>
      </c>
      <c r="X62" s="97">
        <f t="shared" si="62"/>
        <v>0</v>
      </c>
      <c r="Y62" s="97">
        <f t="shared" si="62"/>
        <v>0</v>
      </c>
      <c r="Z62" s="97">
        <f t="shared" si="62"/>
        <v>0</v>
      </c>
      <c r="AA62" s="92"/>
      <c r="AB62" s="92" t="s">
        <v>602</v>
      </c>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7"/>
      <c r="BC62" s="97"/>
      <c r="BD62" s="97"/>
      <c r="BE62" s="97"/>
      <c r="BF62" s="97"/>
      <c r="BG62" s="97"/>
      <c r="BH62" s="97"/>
      <c r="BI62" s="97"/>
      <c r="BJ62" s="97"/>
      <c r="BK62" s="97"/>
      <c r="BL62" s="97"/>
      <c r="BM62" s="97"/>
      <c r="BN62" s="97"/>
      <c r="BO62" s="97"/>
      <c r="BP62" s="97"/>
      <c r="BQ62" s="97"/>
      <c r="BR62" s="97">
        <f t="shared" ref="BR62:CD62" si="63">AVERAGE(BQ13:BR13)</f>
        <v>0</v>
      </c>
      <c r="BS62" s="97">
        <f t="shared" si="63"/>
        <v>0</v>
      </c>
      <c r="BT62" s="97">
        <f t="shared" si="63"/>
        <v>0</v>
      </c>
      <c r="BU62" s="97">
        <f t="shared" si="63"/>
        <v>0</v>
      </c>
      <c r="BV62" s="97">
        <f t="shared" si="63"/>
        <v>0</v>
      </c>
      <c r="BW62" s="97">
        <f t="shared" si="63"/>
        <v>0</v>
      </c>
      <c r="BX62" s="97">
        <f t="shared" si="63"/>
        <v>0</v>
      </c>
      <c r="BY62" s="97">
        <f t="shared" si="63"/>
        <v>0</v>
      </c>
      <c r="BZ62" s="97">
        <f t="shared" si="63"/>
        <v>0</v>
      </c>
      <c r="CA62" s="97">
        <f t="shared" si="63"/>
        <v>0</v>
      </c>
      <c r="CB62" s="97">
        <f t="shared" si="63"/>
        <v>0</v>
      </c>
      <c r="CC62" s="97">
        <f t="shared" si="63"/>
        <v>0</v>
      </c>
      <c r="CD62" s="97">
        <f t="shared" si="63"/>
        <v>0</v>
      </c>
      <c r="CE62" s="92"/>
      <c r="CF62" s="92"/>
      <c r="CG62" s="92"/>
    </row>
    <row r="63" spans="1:85" ht="15" customHeight="1">
      <c r="A63" s="92" t="s">
        <v>603</v>
      </c>
      <c r="B63" s="91"/>
      <c r="C63" s="91"/>
      <c r="D63" s="91"/>
      <c r="E63" s="91"/>
      <c r="F63" s="91"/>
      <c r="G63" s="91"/>
      <c r="H63" s="91"/>
      <c r="I63" s="91"/>
      <c r="J63" s="91"/>
      <c r="K63" s="91"/>
      <c r="L63" s="91"/>
      <c r="M63" s="91"/>
      <c r="N63" s="91"/>
      <c r="O63" s="233"/>
      <c r="P63" s="233"/>
      <c r="Q63" s="233"/>
      <c r="R63" s="233"/>
      <c r="S63" s="233"/>
      <c r="T63" s="233"/>
      <c r="U63" s="233"/>
      <c r="V63" s="233"/>
      <c r="W63" s="233"/>
      <c r="X63" s="233"/>
      <c r="Y63" s="233"/>
      <c r="Z63" s="233"/>
      <c r="AA63" s="92"/>
      <c r="AB63" s="92" t="s">
        <v>603</v>
      </c>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116"/>
      <c r="BC63" s="116"/>
      <c r="BD63" s="116"/>
      <c r="BE63" s="116"/>
      <c r="BF63" s="116"/>
      <c r="BG63" s="116"/>
      <c r="BH63" s="116"/>
      <c r="BI63" s="116"/>
      <c r="BJ63" s="116"/>
      <c r="BK63" s="116"/>
      <c r="BL63" s="116"/>
      <c r="BM63" s="116"/>
      <c r="BN63" s="116"/>
      <c r="BO63" s="116"/>
      <c r="BP63" s="116"/>
      <c r="BQ63" s="116"/>
      <c r="BR63" s="116" t="e">
        <f t="shared" ref="BR63:CD63" si="64">+BR64*1000/AVERAGE(BQ13:BR13)/3</f>
        <v>#DIV/0!</v>
      </c>
      <c r="BS63" s="116" t="e">
        <f t="shared" si="64"/>
        <v>#DIV/0!</v>
      </c>
      <c r="BT63" s="116" t="e">
        <f t="shared" si="64"/>
        <v>#DIV/0!</v>
      </c>
      <c r="BU63" s="116" t="e">
        <f t="shared" si="64"/>
        <v>#DIV/0!</v>
      </c>
      <c r="BV63" s="116" t="e">
        <f t="shared" si="64"/>
        <v>#DIV/0!</v>
      </c>
      <c r="BW63" s="116" t="e">
        <f t="shared" si="64"/>
        <v>#DIV/0!</v>
      </c>
      <c r="BX63" s="116" t="e">
        <f t="shared" si="64"/>
        <v>#DIV/0!</v>
      </c>
      <c r="BY63" s="116" t="e">
        <f t="shared" si="64"/>
        <v>#DIV/0!</v>
      </c>
      <c r="BZ63" s="116" t="e">
        <f t="shared" si="64"/>
        <v>#DIV/0!</v>
      </c>
      <c r="CA63" s="116" t="e">
        <f t="shared" si="64"/>
        <v>#DIV/0!</v>
      </c>
      <c r="CB63" s="116" t="e">
        <f t="shared" si="64"/>
        <v>#DIV/0!</v>
      </c>
      <c r="CC63" s="116" t="e">
        <f t="shared" si="64"/>
        <v>#DIV/0!</v>
      </c>
      <c r="CD63" s="116" t="e">
        <f t="shared" si="64"/>
        <v>#DIV/0!</v>
      </c>
      <c r="CE63" s="92"/>
      <c r="CF63" s="92"/>
      <c r="CG63" s="92"/>
    </row>
    <row r="64" spans="1:85" ht="15" customHeight="1">
      <c r="A64" s="92" t="s">
        <v>604</v>
      </c>
      <c r="B64" s="91"/>
      <c r="C64" s="91"/>
      <c r="D64" s="91"/>
      <c r="E64" s="91"/>
      <c r="F64" s="91"/>
      <c r="G64" s="97"/>
      <c r="H64" s="97"/>
      <c r="I64" s="97"/>
      <c r="J64" s="97"/>
      <c r="K64" s="97"/>
      <c r="L64" s="97">
        <f t="shared" ref="L64:Z64" si="65">+L62*L63*12/1000</f>
        <v>0</v>
      </c>
      <c r="M64" s="97">
        <f t="shared" si="65"/>
        <v>0</v>
      </c>
      <c r="N64" s="97">
        <f t="shared" si="65"/>
        <v>0</v>
      </c>
      <c r="O64" s="97">
        <f t="shared" si="65"/>
        <v>0</v>
      </c>
      <c r="P64" s="97">
        <f t="shared" si="65"/>
        <v>0</v>
      </c>
      <c r="Q64" s="97">
        <f t="shared" si="65"/>
        <v>0</v>
      </c>
      <c r="R64" s="97">
        <f t="shared" si="65"/>
        <v>0</v>
      </c>
      <c r="S64" s="97">
        <f t="shared" si="65"/>
        <v>0</v>
      </c>
      <c r="T64" s="97">
        <f t="shared" si="65"/>
        <v>0</v>
      </c>
      <c r="U64" s="97">
        <f t="shared" si="65"/>
        <v>0</v>
      </c>
      <c r="V64" s="97">
        <f t="shared" si="65"/>
        <v>0</v>
      </c>
      <c r="W64" s="97">
        <f t="shared" si="65"/>
        <v>0</v>
      </c>
      <c r="X64" s="97">
        <f t="shared" si="65"/>
        <v>0</v>
      </c>
      <c r="Y64" s="97">
        <f t="shared" si="65"/>
        <v>0</v>
      </c>
      <c r="Z64" s="97">
        <f t="shared" si="65"/>
        <v>0</v>
      </c>
      <c r="AA64" s="92"/>
      <c r="AB64" s="92" t="s">
        <v>604</v>
      </c>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7"/>
      <c r="BC64" s="97"/>
      <c r="BD64" s="97"/>
      <c r="BE64" s="97"/>
      <c r="BF64" s="97"/>
      <c r="BG64" s="97"/>
      <c r="BH64" s="97"/>
      <c r="BI64" s="97"/>
      <c r="BJ64" s="97"/>
      <c r="BK64" s="97"/>
      <c r="BL64" s="97"/>
      <c r="BM64" s="97"/>
      <c r="BN64" s="97"/>
      <c r="BO64" s="97"/>
      <c r="BP64" s="97"/>
      <c r="BQ64" s="97"/>
      <c r="BR64" s="96">
        <v>0</v>
      </c>
      <c r="BS64" s="96">
        <v>0</v>
      </c>
      <c r="BT64" s="96">
        <v>0</v>
      </c>
      <c r="BU64" s="96">
        <v>0</v>
      </c>
      <c r="BV64" s="96">
        <v>0</v>
      </c>
      <c r="BW64" s="96">
        <v>0</v>
      </c>
      <c r="BX64" s="96">
        <v>0</v>
      </c>
      <c r="BY64" s="96">
        <v>0</v>
      </c>
      <c r="BZ64" s="96">
        <v>0</v>
      </c>
      <c r="CA64" s="96">
        <v>0</v>
      </c>
      <c r="CB64" s="96">
        <v>0</v>
      </c>
      <c r="CC64" s="96">
        <f>O64</f>
        <v>0</v>
      </c>
      <c r="CD64" s="96">
        <v>0</v>
      </c>
      <c r="CE64" s="92"/>
      <c r="CF64" s="92"/>
      <c r="CG64" s="92"/>
    </row>
    <row r="65" spans="1:85" ht="15" customHeight="1">
      <c r="A65" s="92" t="s">
        <v>1622</v>
      </c>
      <c r="B65" s="91"/>
      <c r="C65" s="91"/>
      <c r="D65" s="91"/>
      <c r="E65" s="91"/>
      <c r="F65" s="91"/>
      <c r="G65" s="107"/>
      <c r="H65" s="107"/>
      <c r="I65" s="107"/>
      <c r="J65" s="107"/>
      <c r="K65" s="107"/>
      <c r="L65" s="107">
        <f t="shared" ref="L65:Q65" si="66">+L53*L73</f>
        <v>10.466999999999999</v>
      </c>
      <c r="M65" s="107">
        <f t="shared" si="66"/>
        <v>13.094999999999999</v>
      </c>
      <c r="N65" s="107">
        <f t="shared" si="66"/>
        <v>25.559199999999997</v>
      </c>
      <c r="O65" s="107">
        <f t="shared" si="66"/>
        <v>26.5</v>
      </c>
      <c r="P65" s="107">
        <f t="shared" si="66"/>
        <v>34.128</v>
      </c>
      <c r="Q65" s="107">
        <f t="shared" si="66"/>
        <v>39.134399999999999</v>
      </c>
      <c r="R65" s="107">
        <f t="shared" ref="P65:Z66" si="67">+Q65*(1+R69)</f>
        <v>40.699776</v>
      </c>
      <c r="S65" s="107">
        <f t="shared" si="67"/>
        <v>42.327767040000005</v>
      </c>
      <c r="T65" s="107">
        <f t="shared" si="67"/>
        <v>44.020877721600009</v>
      </c>
      <c r="U65" s="107">
        <f t="shared" si="67"/>
        <v>45.781712830464009</v>
      </c>
      <c r="V65" s="107">
        <f t="shared" si="67"/>
        <v>47.61298134368257</v>
      </c>
      <c r="W65" s="107">
        <f t="shared" si="67"/>
        <v>49.517500597429873</v>
      </c>
      <c r="X65" s="107">
        <f t="shared" si="67"/>
        <v>51.498200621327072</v>
      </c>
      <c r="Y65" s="107">
        <f t="shared" si="67"/>
        <v>53.558128646180158</v>
      </c>
      <c r="Z65" s="107">
        <f t="shared" si="67"/>
        <v>55.700453792027368</v>
      </c>
      <c r="AA65" s="92"/>
      <c r="AB65" s="92" t="s">
        <v>605</v>
      </c>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107">
        <f t="shared" ref="BB65:CD65" si="68">+BB53*BB73</f>
        <v>0</v>
      </c>
      <c r="BC65" s="107">
        <f t="shared" si="68"/>
        <v>0</v>
      </c>
      <c r="BD65" s="107">
        <f t="shared" si="68"/>
        <v>0</v>
      </c>
      <c r="BE65" s="107">
        <f t="shared" si="68"/>
        <v>0</v>
      </c>
      <c r="BF65" s="107">
        <f t="shared" si="68"/>
        <v>0</v>
      </c>
      <c r="BG65" s="107">
        <f t="shared" si="68"/>
        <v>0</v>
      </c>
      <c r="BH65" s="107">
        <f t="shared" si="68"/>
        <v>0</v>
      </c>
      <c r="BI65" s="107">
        <f t="shared" si="68"/>
        <v>0</v>
      </c>
      <c r="BJ65" s="107">
        <f t="shared" si="68"/>
        <v>0</v>
      </c>
      <c r="BK65" s="107">
        <f t="shared" si="68"/>
        <v>0</v>
      </c>
      <c r="BL65" s="107">
        <f t="shared" si="68"/>
        <v>0</v>
      </c>
      <c r="BM65" s="107">
        <f t="shared" si="68"/>
        <v>0</v>
      </c>
      <c r="BN65" s="107">
        <f t="shared" si="68"/>
        <v>0</v>
      </c>
      <c r="BO65" s="107">
        <f t="shared" si="68"/>
        <v>0</v>
      </c>
      <c r="BP65" s="107">
        <f t="shared" si="68"/>
        <v>0</v>
      </c>
      <c r="BQ65" s="107">
        <f t="shared" si="68"/>
        <v>0</v>
      </c>
      <c r="BR65" s="107">
        <f t="shared" si="68"/>
        <v>2.4</v>
      </c>
      <c r="BS65" s="107">
        <f t="shared" si="68"/>
        <v>2.7</v>
      </c>
      <c r="BT65" s="107">
        <f t="shared" si="68"/>
        <v>2.7</v>
      </c>
      <c r="BU65" s="107">
        <f t="shared" si="68"/>
        <v>5.2999999999999989</v>
      </c>
      <c r="BV65" s="107">
        <f t="shared" si="68"/>
        <v>5.8</v>
      </c>
      <c r="BW65" s="107">
        <f t="shared" si="68"/>
        <v>6.2</v>
      </c>
      <c r="BX65" s="107">
        <f t="shared" si="68"/>
        <v>6.6</v>
      </c>
      <c r="BY65" s="107">
        <f t="shared" si="68"/>
        <v>7.0000000000000009</v>
      </c>
      <c r="BZ65" s="107">
        <f t="shared" si="68"/>
        <v>6.1</v>
      </c>
      <c r="CA65" s="107">
        <f t="shared" si="68"/>
        <v>6.4999999999999991</v>
      </c>
      <c r="CB65" s="107">
        <f t="shared" si="68"/>
        <v>6.4000000000000012</v>
      </c>
      <c r="CC65" s="107">
        <f t="shared" si="68"/>
        <v>6.7959817053250573</v>
      </c>
      <c r="CD65" s="107">
        <f t="shared" si="68"/>
        <v>6.8392682130022866</v>
      </c>
      <c r="CE65" s="92"/>
      <c r="CF65" s="92"/>
      <c r="CG65" s="92"/>
    </row>
    <row r="66" spans="1:85" ht="15" customHeight="1">
      <c r="A66" s="92" t="s">
        <v>606</v>
      </c>
      <c r="B66" s="91"/>
      <c r="C66" s="91"/>
      <c r="D66" s="91"/>
      <c r="E66" s="91"/>
      <c r="F66" s="91"/>
      <c r="G66" s="107"/>
      <c r="H66" s="107"/>
      <c r="I66" s="107"/>
      <c r="J66" s="107"/>
      <c r="K66" s="107"/>
      <c r="L66" s="107">
        <v>0</v>
      </c>
      <c r="M66" s="107">
        <v>0</v>
      </c>
      <c r="N66" s="107">
        <v>0</v>
      </c>
      <c r="O66" s="107">
        <f>+N66*(1+O70)</f>
        <v>0</v>
      </c>
      <c r="P66" s="107">
        <f t="shared" si="67"/>
        <v>0</v>
      </c>
      <c r="Q66" s="107">
        <f t="shared" si="67"/>
        <v>0</v>
      </c>
      <c r="R66" s="107">
        <f t="shared" si="67"/>
        <v>0</v>
      </c>
      <c r="S66" s="107">
        <f t="shared" si="67"/>
        <v>0</v>
      </c>
      <c r="T66" s="107">
        <f t="shared" si="67"/>
        <v>0</v>
      </c>
      <c r="U66" s="107">
        <f t="shared" si="67"/>
        <v>0</v>
      </c>
      <c r="V66" s="107">
        <f t="shared" si="67"/>
        <v>0</v>
      </c>
      <c r="W66" s="107">
        <f t="shared" si="67"/>
        <v>0</v>
      </c>
      <c r="X66" s="107">
        <f t="shared" si="67"/>
        <v>0</v>
      </c>
      <c r="Y66" s="107">
        <f t="shared" si="67"/>
        <v>0</v>
      </c>
      <c r="Z66" s="107">
        <f t="shared" si="67"/>
        <v>0</v>
      </c>
      <c r="AA66" s="92"/>
      <c r="AB66" s="92" t="s">
        <v>606</v>
      </c>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107">
        <f t="shared" ref="BB66:CD66" si="69">+BB74*BB53</f>
        <v>0</v>
      </c>
      <c r="BC66" s="107">
        <f t="shared" si="69"/>
        <v>0</v>
      </c>
      <c r="BD66" s="107">
        <f t="shared" si="69"/>
        <v>0</v>
      </c>
      <c r="BE66" s="107">
        <f t="shared" si="69"/>
        <v>0</v>
      </c>
      <c r="BF66" s="107">
        <f t="shared" si="69"/>
        <v>0</v>
      </c>
      <c r="BG66" s="107">
        <f t="shared" si="69"/>
        <v>0</v>
      </c>
      <c r="BH66" s="107">
        <f t="shared" si="69"/>
        <v>0</v>
      </c>
      <c r="BI66" s="107">
        <f t="shared" si="69"/>
        <v>0</v>
      </c>
      <c r="BJ66" s="107">
        <f t="shared" si="69"/>
        <v>0</v>
      </c>
      <c r="BK66" s="107">
        <f t="shared" si="69"/>
        <v>0</v>
      </c>
      <c r="BL66" s="107">
        <f t="shared" si="69"/>
        <v>0</v>
      </c>
      <c r="BM66" s="107">
        <f t="shared" si="69"/>
        <v>0</v>
      </c>
      <c r="BN66" s="107">
        <f t="shared" si="69"/>
        <v>0</v>
      </c>
      <c r="BO66" s="107">
        <f t="shared" si="69"/>
        <v>0</v>
      </c>
      <c r="BP66" s="107">
        <f t="shared" si="69"/>
        <v>0</v>
      </c>
      <c r="BQ66" s="107">
        <f t="shared" si="69"/>
        <v>0</v>
      </c>
      <c r="BR66" s="107">
        <f t="shared" si="69"/>
        <v>0</v>
      </c>
      <c r="BS66" s="107">
        <f t="shared" si="69"/>
        <v>0</v>
      </c>
      <c r="BT66" s="107">
        <f t="shared" si="69"/>
        <v>0</v>
      </c>
      <c r="BU66" s="107">
        <f t="shared" si="69"/>
        <v>0</v>
      </c>
      <c r="BV66" s="107">
        <f t="shared" si="69"/>
        <v>0</v>
      </c>
      <c r="BW66" s="107">
        <f t="shared" si="69"/>
        <v>0</v>
      </c>
      <c r="BX66" s="107">
        <f t="shared" si="69"/>
        <v>0</v>
      </c>
      <c r="BY66" s="107">
        <f t="shared" si="69"/>
        <v>0</v>
      </c>
      <c r="BZ66" s="107">
        <f t="shared" si="69"/>
        <v>0</v>
      </c>
      <c r="CA66" s="107">
        <f t="shared" si="69"/>
        <v>0</v>
      </c>
      <c r="CB66" s="107">
        <f t="shared" si="69"/>
        <v>0</v>
      </c>
      <c r="CC66" s="107">
        <f t="shared" si="69"/>
        <v>0</v>
      </c>
      <c r="CD66" s="107">
        <f t="shared" si="69"/>
        <v>0</v>
      </c>
      <c r="CE66" s="92"/>
      <c r="CF66" s="92"/>
      <c r="CG66" s="92"/>
    </row>
    <row r="67" spans="1:85" ht="15" customHeight="1">
      <c r="A67" s="92"/>
      <c r="B67" s="91"/>
      <c r="C67" s="91"/>
      <c r="D67" s="91"/>
      <c r="E67" s="91"/>
      <c r="F67" s="91"/>
      <c r="G67" s="107"/>
      <c r="H67" s="107"/>
      <c r="I67" s="107"/>
      <c r="J67" s="107"/>
      <c r="K67" s="107"/>
      <c r="L67" s="107"/>
      <c r="M67" s="107"/>
      <c r="N67" s="107"/>
      <c r="O67" s="107"/>
      <c r="P67" s="107"/>
      <c r="Q67" s="107"/>
      <c r="R67" s="107"/>
      <c r="S67" s="107"/>
      <c r="T67" s="107"/>
      <c r="U67" s="107"/>
      <c r="V67" s="107"/>
      <c r="W67" s="107"/>
      <c r="X67" s="107"/>
      <c r="Y67" s="107"/>
      <c r="Z67" s="107"/>
      <c r="AA67" s="92"/>
      <c r="AB67" s="92"/>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92"/>
      <c r="CF67" s="92"/>
      <c r="CG67" s="92"/>
    </row>
    <row r="68" spans="1:85" ht="15" customHeight="1">
      <c r="A68" s="92" t="s">
        <v>607</v>
      </c>
      <c r="B68" s="91"/>
      <c r="C68" s="91"/>
      <c r="D68" s="91"/>
      <c r="E68" s="91"/>
      <c r="F68" s="91"/>
      <c r="G68" s="122"/>
      <c r="H68" s="122"/>
      <c r="I68" s="122"/>
      <c r="J68" s="122"/>
      <c r="K68" s="122"/>
      <c r="L68" s="103" t="e">
        <f t="shared" ref="L68:Z68" si="70">L64/K64-1</f>
        <v>#DIV/0!</v>
      </c>
      <c r="M68" s="103" t="e">
        <f t="shared" si="70"/>
        <v>#DIV/0!</v>
      </c>
      <c r="N68" s="103" t="e">
        <f t="shared" si="70"/>
        <v>#DIV/0!</v>
      </c>
      <c r="O68" s="103" t="e">
        <f t="shared" si="70"/>
        <v>#DIV/0!</v>
      </c>
      <c r="P68" s="103" t="e">
        <f t="shared" si="70"/>
        <v>#DIV/0!</v>
      </c>
      <c r="Q68" s="103" t="e">
        <f t="shared" si="70"/>
        <v>#DIV/0!</v>
      </c>
      <c r="R68" s="103" t="e">
        <f t="shared" si="70"/>
        <v>#DIV/0!</v>
      </c>
      <c r="S68" s="103" t="e">
        <f t="shared" si="70"/>
        <v>#DIV/0!</v>
      </c>
      <c r="T68" s="103" t="e">
        <f t="shared" si="70"/>
        <v>#DIV/0!</v>
      </c>
      <c r="U68" s="103" t="e">
        <f t="shared" si="70"/>
        <v>#DIV/0!</v>
      </c>
      <c r="V68" s="103" t="e">
        <f t="shared" si="70"/>
        <v>#DIV/0!</v>
      </c>
      <c r="W68" s="103" t="e">
        <f t="shared" si="70"/>
        <v>#DIV/0!</v>
      </c>
      <c r="X68" s="103" t="e">
        <f t="shared" si="70"/>
        <v>#DIV/0!</v>
      </c>
      <c r="Y68" s="103" t="e">
        <f t="shared" si="70"/>
        <v>#DIV/0!</v>
      </c>
      <c r="Z68" s="103" t="e">
        <f t="shared" si="70"/>
        <v>#DIV/0!</v>
      </c>
      <c r="AA68" s="92"/>
      <c r="AB68" s="92" t="s">
        <v>607</v>
      </c>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92"/>
      <c r="CF68" s="92"/>
      <c r="CG68" s="92"/>
    </row>
    <row r="69" spans="1:85" ht="15" customHeight="1">
      <c r="A69" s="92" t="s">
        <v>1623</v>
      </c>
      <c r="B69" s="91"/>
      <c r="C69" s="91"/>
      <c r="D69" s="91"/>
      <c r="E69" s="91"/>
      <c r="F69" s="91"/>
      <c r="G69" s="122"/>
      <c r="H69" s="122"/>
      <c r="I69" s="122"/>
      <c r="J69" s="122"/>
      <c r="K69" s="122"/>
      <c r="L69" s="122"/>
      <c r="M69" s="122">
        <f>+M65/L65-1</f>
        <v>0.25107480653482384</v>
      </c>
      <c r="N69" s="122">
        <f>+N65/M65-1</f>
        <v>0.95182894234440618</v>
      </c>
      <c r="O69" s="122">
        <f>+O65/N65-1</f>
        <v>3.680866380794412E-2</v>
      </c>
      <c r="P69" s="122">
        <f>+P65/O65-1</f>
        <v>0.28784905660377369</v>
      </c>
      <c r="Q69" s="122">
        <f>+Q65/P65-1</f>
        <v>0.14669479606188474</v>
      </c>
      <c r="R69" s="234">
        <v>0.04</v>
      </c>
      <c r="S69" s="234">
        <v>0.04</v>
      </c>
      <c r="T69" s="234">
        <v>0.04</v>
      </c>
      <c r="U69" s="234">
        <v>0.04</v>
      </c>
      <c r="V69" s="234">
        <v>0.04</v>
      </c>
      <c r="W69" s="234">
        <v>0.04</v>
      </c>
      <c r="X69" s="234">
        <v>0.04</v>
      </c>
      <c r="Y69" s="234">
        <v>0.04</v>
      </c>
      <c r="Z69" s="234">
        <v>0.04</v>
      </c>
      <c r="AA69" s="92"/>
      <c r="AB69" s="92" t="s">
        <v>608</v>
      </c>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122" t="e">
        <f t="shared" ref="BB69:CD70" si="71">+BB65/AX65-1</f>
        <v>#DIV/0!</v>
      </c>
      <c r="BC69" s="122" t="e">
        <f t="shared" si="71"/>
        <v>#DIV/0!</v>
      </c>
      <c r="BD69" s="122" t="e">
        <f t="shared" si="71"/>
        <v>#DIV/0!</v>
      </c>
      <c r="BE69" s="122" t="e">
        <f t="shared" si="71"/>
        <v>#DIV/0!</v>
      </c>
      <c r="BF69" s="122" t="e">
        <f t="shared" si="71"/>
        <v>#DIV/0!</v>
      </c>
      <c r="BG69" s="122" t="e">
        <f t="shared" si="71"/>
        <v>#DIV/0!</v>
      </c>
      <c r="BH69" s="122" t="e">
        <f t="shared" si="71"/>
        <v>#DIV/0!</v>
      </c>
      <c r="BI69" s="122" t="e">
        <f t="shared" si="71"/>
        <v>#DIV/0!</v>
      </c>
      <c r="BJ69" s="122" t="e">
        <f t="shared" si="71"/>
        <v>#DIV/0!</v>
      </c>
      <c r="BK69" s="122" t="e">
        <f t="shared" si="71"/>
        <v>#DIV/0!</v>
      </c>
      <c r="BL69" s="122" t="e">
        <f t="shared" si="71"/>
        <v>#DIV/0!</v>
      </c>
      <c r="BM69" s="122" t="e">
        <f t="shared" si="71"/>
        <v>#DIV/0!</v>
      </c>
      <c r="BN69" s="122" t="e">
        <f t="shared" si="71"/>
        <v>#DIV/0!</v>
      </c>
      <c r="BO69" s="122" t="e">
        <f t="shared" si="71"/>
        <v>#DIV/0!</v>
      </c>
      <c r="BP69" s="122" t="e">
        <f t="shared" si="71"/>
        <v>#DIV/0!</v>
      </c>
      <c r="BQ69" s="122" t="e">
        <f t="shared" si="71"/>
        <v>#DIV/0!</v>
      </c>
      <c r="BR69" s="122" t="e">
        <f t="shared" si="71"/>
        <v>#DIV/0!</v>
      </c>
      <c r="BS69" s="122" t="e">
        <f t="shared" si="71"/>
        <v>#DIV/0!</v>
      </c>
      <c r="BT69" s="122" t="e">
        <f t="shared" si="71"/>
        <v>#DIV/0!</v>
      </c>
      <c r="BU69" s="122" t="e">
        <f t="shared" si="71"/>
        <v>#DIV/0!</v>
      </c>
      <c r="BV69" s="122">
        <f t="shared" si="71"/>
        <v>1.4166666666666665</v>
      </c>
      <c r="BW69" s="122">
        <f t="shared" si="71"/>
        <v>1.2962962962962963</v>
      </c>
      <c r="BX69" s="122">
        <f t="shared" si="71"/>
        <v>1.4444444444444442</v>
      </c>
      <c r="BY69" s="122">
        <f t="shared" si="71"/>
        <v>0.32075471698113245</v>
      </c>
      <c r="BZ69" s="122">
        <f t="shared" si="71"/>
        <v>5.1724137931034475E-2</v>
      </c>
      <c r="CA69" s="122">
        <f t="shared" si="71"/>
        <v>4.8387096774193283E-2</v>
      </c>
      <c r="CB69" s="122">
        <f t="shared" si="71"/>
        <v>-3.0303030303030054E-2</v>
      </c>
      <c r="CC69" s="122">
        <f t="shared" si="71"/>
        <v>-2.9145470667849116E-2</v>
      </c>
      <c r="CD69" s="122">
        <f t="shared" si="71"/>
        <v>0.12119151032824371</v>
      </c>
      <c r="CE69" s="92"/>
      <c r="CF69" s="92"/>
      <c r="CG69" s="92"/>
    </row>
    <row r="70" spans="1:85" ht="15" customHeight="1">
      <c r="A70" s="92" t="s">
        <v>609</v>
      </c>
      <c r="B70" s="91"/>
      <c r="C70" s="91"/>
      <c r="D70" s="91"/>
      <c r="E70" s="91"/>
      <c r="F70" s="91"/>
      <c r="G70" s="122"/>
      <c r="H70" s="122"/>
      <c r="I70" s="122"/>
      <c r="J70" s="122"/>
      <c r="K70" s="122"/>
      <c r="L70" s="122"/>
      <c r="M70" s="122" t="e">
        <f>+M66/L66-1</f>
        <v>#DIV/0!</v>
      </c>
      <c r="N70" s="122" t="e">
        <f>+N66/M66-1</f>
        <v>#DIV/0!</v>
      </c>
      <c r="O70" s="234">
        <v>0</v>
      </c>
      <c r="P70" s="234">
        <v>0.04</v>
      </c>
      <c r="Q70" s="234">
        <v>0.04</v>
      </c>
      <c r="R70" s="234">
        <v>0.04</v>
      </c>
      <c r="S70" s="234">
        <v>0.04</v>
      </c>
      <c r="T70" s="234">
        <v>0.04</v>
      </c>
      <c r="U70" s="234">
        <v>0.04</v>
      </c>
      <c r="V70" s="234">
        <v>0.04</v>
      </c>
      <c r="W70" s="234">
        <v>0.04</v>
      </c>
      <c r="X70" s="234">
        <v>0.04</v>
      </c>
      <c r="Y70" s="234">
        <v>0.04</v>
      </c>
      <c r="Z70" s="234">
        <v>0.04</v>
      </c>
      <c r="AA70" s="92"/>
      <c r="AB70" s="92" t="s">
        <v>609</v>
      </c>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122" t="e">
        <f t="shared" si="71"/>
        <v>#DIV/0!</v>
      </c>
      <c r="BC70" s="122" t="e">
        <f t="shared" si="71"/>
        <v>#DIV/0!</v>
      </c>
      <c r="BD70" s="122" t="e">
        <f t="shared" si="71"/>
        <v>#DIV/0!</v>
      </c>
      <c r="BE70" s="122" t="e">
        <f t="shared" si="71"/>
        <v>#DIV/0!</v>
      </c>
      <c r="BF70" s="122" t="e">
        <f t="shared" si="71"/>
        <v>#DIV/0!</v>
      </c>
      <c r="BG70" s="122" t="e">
        <f t="shared" si="71"/>
        <v>#DIV/0!</v>
      </c>
      <c r="BH70" s="122" t="e">
        <f t="shared" si="71"/>
        <v>#DIV/0!</v>
      </c>
      <c r="BI70" s="122" t="e">
        <f t="shared" si="71"/>
        <v>#DIV/0!</v>
      </c>
      <c r="BJ70" s="122" t="e">
        <f t="shared" si="71"/>
        <v>#DIV/0!</v>
      </c>
      <c r="BK70" s="122" t="e">
        <f t="shared" si="71"/>
        <v>#DIV/0!</v>
      </c>
      <c r="BL70" s="122" t="e">
        <f t="shared" si="71"/>
        <v>#DIV/0!</v>
      </c>
      <c r="BM70" s="122" t="e">
        <f t="shared" si="71"/>
        <v>#DIV/0!</v>
      </c>
      <c r="BN70" s="122" t="e">
        <f t="shared" si="71"/>
        <v>#DIV/0!</v>
      </c>
      <c r="BO70" s="122" t="e">
        <f t="shared" si="71"/>
        <v>#DIV/0!</v>
      </c>
      <c r="BP70" s="122" t="e">
        <f t="shared" si="71"/>
        <v>#DIV/0!</v>
      </c>
      <c r="BQ70" s="122" t="e">
        <f t="shared" si="71"/>
        <v>#DIV/0!</v>
      </c>
      <c r="BR70" s="122" t="e">
        <f t="shared" si="71"/>
        <v>#DIV/0!</v>
      </c>
      <c r="BS70" s="122" t="e">
        <f t="shared" si="71"/>
        <v>#DIV/0!</v>
      </c>
      <c r="BT70" s="122" t="e">
        <f t="shared" si="71"/>
        <v>#DIV/0!</v>
      </c>
      <c r="BU70" s="122" t="e">
        <f t="shared" si="71"/>
        <v>#DIV/0!</v>
      </c>
      <c r="BV70" s="122" t="e">
        <f t="shared" si="71"/>
        <v>#DIV/0!</v>
      </c>
      <c r="BW70" s="122" t="e">
        <f t="shared" si="71"/>
        <v>#DIV/0!</v>
      </c>
      <c r="BX70" s="122" t="e">
        <f t="shared" si="71"/>
        <v>#DIV/0!</v>
      </c>
      <c r="BY70" s="122" t="e">
        <f t="shared" si="71"/>
        <v>#DIV/0!</v>
      </c>
      <c r="BZ70" s="122" t="e">
        <f t="shared" si="71"/>
        <v>#DIV/0!</v>
      </c>
      <c r="CA70" s="122" t="e">
        <f t="shared" si="71"/>
        <v>#DIV/0!</v>
      </c>
      <c r="CB70" s="122" t="e">
        <f t="shared" si="71"/>
        <v>#DIV/0!</v>
      </c>
      <c r="CC70" s="122" t="e">
        <f t="shared" si="71"/>
        <v>#DIV/0!</v>
      </c>
      <c r="CD70" s="122" t="e">
        <f t="shared" si="71"/>
        <v>#DIV/0!</v>
      </c>
      <c r="CE70" s="92"/>
      <c r="CF70" s="92"/>
      <c r="CG70" s="92"/>
    </row>
    <row r="71" spans="1:85" ht="15" customHeight="1">
      <c r="A71" s="92"/>
      <c r="B71" s="91"/>
      <c r="C71" s="91"/>
      <c r="D71" s="91"/>
      <c r="E71" s="91"/>
      <c r="F71" s="91"/>
      <c r="G71" s="107"/>
      <c r="H71" s="107"/>
      <c r="I71" s="107"/>
      <c r="J71" s="107"/>
      <c r="K71" s="107"/>
      <c r="L71" s="107"/>
      <c r="M71" s="107"/>
      <c r="N71" s="107"/>
      <c r="O71" s="107"/>
      <c r="P71" s="107"/>
      <c r="Q71" s="107"/>
      <c r="R71" s="107"/>
      <c r="S71" s="107"/>
      <c r="T71" s="107"/>
      <c r="U71" s="107"/>
      <c r="V71" s="107"/>
      <c r="W71" s="107"/>
      <c r="X71" s="107"/>
      <c r="Y71" s="107"/>
      <c r="Z71" s="107"/>
      <c r="AA71" s="92"/>
      <c r="AB71" s="92"/>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92"/>
      <c r="CF71" s="92"/>
      <c r="CG71" s="92"/>
    </row>
    <row r="72" spans="1:85" ht="15" customHeight="1">
      <c r="A72" s="92" t="s">
        <v>610</v>
      </c>
      <c r="B72" s="91"/>
      <c r="C72" s="91"/>
      <c r="D72" s="91"/>
      <c r="E72" s="91"/>
      <c r="F72" s="91"/>
      <c r="G72" s="107"/>
      <c r="H72" s="107"/>
      <c r="I72" s="107"/>
      <c r="J72" s="107"/>
      <c r="K72" s="107"/>
      <c r="L72" s="103">
        <f t="shared" ref="L72:Y72" si="72">L64/L53</f>
        <v>0</v>
      </c>
      <c r="M72" s="103">
        <f t="shared" si="72"/>
        <v>0</v>
      </c>
      <c r="N72" s="103">
        <f t="shared" si="72"/>
        <v>0</v>
      </c>
      <c r="O72" s="103">
        <f t="shared" si="72"/>
        <v>0</v>
      </c>
      <c r="P72" s="103">
        <f t="shared" si="72"/>
        <v>0</v>
      </c>
      <c r="Q72" s="103">
        <f t="shared" si="72"/>
        <v>0</v>
      </c>
      <c r="R72" s="103">
        <f t="shared" si="72"/>
        <v>0</v>
      </c>
      <c r="S72" s="103">
        <f t="shared" si="72"/>
        <v>0</v>
      </c>
      <c r="T72" s="103">
        <f t="shared" si="72"/>
        <v>0</v>
      </c>
      <c r="U72" s="103">
        <f t="shared" si="72"/>
        <v>0</v>
      </c>
      <c r="V72" s="103">
        <f t="shared" si="72"/>
        <v>0</v>
      </c>
      <c r="W72" s="103">
        <f t="shared" si="72"/>
        <v>0</v>
      </c>
      <c r="X72" s="103">
        <f t="shared" si="72"/>
        <v>0</v>
      </c>
      <c r="Y72" s="103">
        <f t="shared" si="72"/>
        <v>0</v>
      </c>
      <c r="Z72" s="103">
        <f>Z64/Z53</f>
        <v>0</v>
      </c>
      <c r="AA72" s="92"/>
      <c r="AB72" s="92" t="s">
        <v>610</v>
      </c>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107"/>
      <c r="BC72" s="107"/>
      <c r="BD72" s="107"/>
      <c r="BE72" s="107"/>
      <c r="BF72" s="107"/>
      <c r="BG72" s="107"/>
      <c r="BH72" s="107"/>
      <c r="BI72" s="107"/>
      <c r="BJ72" s="107"/>
      <c r="BK72" s="107"/>
      <c r="BL72" s="107"/>
      <c r="BM72" s="107"/>
      <c r="BN72" s="107"/>
      <c r="BO72" s="107"/>
      <c r="BP72" s="107"/>
      <c r="BQ72" s="107"/>
      <c r="BR72" s="122">
        <f t="shared" ref="BR72:CC72" si="73">BR68/BR53</f>
        <v>0</v>
      </c>
      <c r="BS72" s="122">
        <f t="shared" si="73"/>
        <v>0</v>
      </c>
      <c r="BT72" s="122">
        <f t="shared" si="73"/>
        <v>0</v>
      </c>
      <c r="BU72" s="122">
        <f t="shared" si="73"/>
        <v>0</v>
      </c>
      <c r="BV72" s="122">
        <f t="shared" si="73"/>
        <v>0</v>
      </c>
      <c r="BW72" s="122">
        <f t="shared" si="73"/>
        <v>0</v>
      </c>
      <c r="BX72" s="122">
        <f t="shared" si="73"/>
        <v>0</v>
      </c>
      <c r="BY72" s="122">
        <f t="shared" si="73"/>
        <v>0</v>
      </c>
      <c r="BZ72" s="122">
        <f t="shared" si="73"/>
        <v>0</v>
      </c>
      <c r="CA72" s="122">
        <f t="shared" si="73"/>
        <v>0</v>
      </c>
      <c r="CB72" s="122">
        <f t="shared" si="73"/>
        <v>0</v>
      </c>
      <c r="CC72" s="122">
        <f t="shared" si="73"/>
        <v>0</v>
      </c>
      <c r="CD72" s="122">
        <f>CD68/CD53</f>
        <v>0</v>
      </c>
      <c r="CE72" s="92"/>
      <c r="CF72" s="92"/>
      <c r="CG72" s="92"/>
    </row>
    <row r="73" spans="1:85" ht="15" customHeight="1">
      <c r="A73" s="92" t="s">
        <v>1624</v>
      </c>
      <c r="B73" s="91"/>
      <c r="C73" s="91"/>
      <c r="D73" s="91"/>
      <c r="E73" s="91"/>
      <c r="F73" s="91"/>
      <c r="G73" s="122"/>
      <c r="H73" s="122"/>
      <c r="I73" s="122"/>
      <c r="J73" s="122"/>
      <c r="K73" s="122"/>
      <c r="L73" s="123">
        <f>+M73</f>
        <v>0.09</v>
      </c>
      <c r="M73" s="123">
        <v>0.09</v>
      </c>
      <c r="N73" s="123">
        <v>8.5999999999999993E-2</v>
      </c>
      <c r="O73" s="123">
        <f>26.5/306.1</f>
        <v>8.6573015354459326E-2</v>
      </c>
      <c r="P73" s="123">
        <v>0.09</v>
      </c>
      <c r="Q73" s="123">
        <v>9.2999999999999999E-2</v>
      </c>
      <c r="R73" s="103">
        <f t="shared" ref="R73:Z73" si="74">+R65/R53</f>
        <v>0.12679057943925234</v>
      </c>
      <c r="S73" s="103">
        <f t="shared" si="74"/>
        <v>0.13039311630635186</v>
      </c>
      <c r="T73" s="103">
        <f t="shared" si="74"/>
        <v>0.11288077396507966</v>
      </c>
      <c r="U73" s="103">
        <f t="shared" si="74"/>
        <v>0.11519539475002034</v>
      </c>
      <c r="V73" s="103">
        <f t="shared" si="74"/>
        <v>0.11768177461811442</v>
      </c>
      <c r="W73" s="103">
        <f t="shared" si="74"/>
        <v>0.12033867177560381</v>
      </c>
      <c r="X73" s="103">
        <f t="shared" si="74"/>
        <v>0.12316556339200914</v>
      </c>
      <c r="Y73" s="103">
        <f t="shared" si="74"/>
        <v>0.12616253945994493</v>
      </c>
      <c r="Z73" s="103">
        <f t="shared" si="74"/>
        <v>0.12933021345250906</v>
      </c>
      <c r="AA73" s="92"/>
      <c r="AB73" s="92" t="s">
        <v>611</v>
      </c>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123"/>
      <c r="BC73" s="123"/>
      <c r="BD73" s="123"/>
      <c r="BE73" s="123"/>
      <c r="BF73" s="123"/>
      <c r="BG73" s="123"/>
      <c r="BH73" s="123"/>
      <c r="BI73" s="123"/>
      <c r="BJ73" s="123"/>
      <c r="BK73" s="123"/>
      <c r="BL73" s="123"/>
      <c r="BM73" s="123"/>
      <c r="BN73" s="123"/>
      <c r="BO73" s="123"/>
      <c r="BP73" s="123"/>
      <c r="BQ73" s="123"/>
      <c r="BR73" s="123">
        <v>8.2191780821917804E-2</v>
      </c>
      <c r="BS73" s="123">
        <v>8.8235294117647065E-2</v>
      </c>
      <c r="BT73" s="123">
        <v>8.9403973509933787E-2</v>
      </c>
      <c r="BU73" s="123">
        <v>9.5495495495495505E-2</v>
      </c>
      <c r="BV73" s="123">
        <v>7.9234972677595619E-2</v>
      </c>
      <c r="BW73" s="123">
        <v>8.3670715249662631E-2</v>
      </c>
      <c r="BX73" s="123">
        <v>8.8353413654618462E-2</v>
      </c>
      <c r="BY73" s="123">
        <v>9.3085106382978733E-2</v>
      </c>
      <c r="BZ73" s="123">
        <v>8.1659973226238275E-2</v>
      </c>
      <c r="CA73" s="123">
        <v>8.4856396866840725E-2</v>
      </c>
      <c r="CB73" s="123">
        <v>8.3879423328964628E-2</v>
      </c>
      <c r="CC73" s="123">
        <f>O73</f>
        <v>8.6573015354459326E-2</v>
      </c>
      <c r="CD73" s="123">
        <f>CC73</f>
        <v>8.6573015354459326E-2</v>
      </c>
      <c r="CE73" s="92"/>
      <c r="CF73" s="92"/>
      <c r="CG73" s="92"/>
    </row>
    <row r="74" spans="1:85" ht="15" customHeight="1">
      <c r="A74" s="92" t="s">
        <v>612</v>
      </c>
      <c r="B74" s="91"/>
      <c r="C74" s="91"/>
      <c r="D74" s="91"/>
      <c r="E74" s="91"/>
      <c r="F74" s="91"/>
      <c r="G74" s="122"/>
      <c r="H74" s="122"/>
      <c r="I74" s="122"/>
      <c r="J74" s="122"/>
      <c r="K74" s="122"/>
      <c r="L74" s="103">
        <f t="shared" ref="L74:Z74" si="75">+L66/L53</f>
        <v>0</v>
      </c>
      <c r="M74" s="103">
        <f t="shared" si="75"/>
        <v>0</v>
      </c>
      <c r="N74" s="103">
        <f t="shared" si="75"/>
        <v>0</v>
      </c>
      <c r="O74" s="103">
        <f t="shared" si="75"/>
        <v>0</v>
      </c>
      <c r="P74" s="103">
        <f t="shared" si="75"/>
        <v>0</v>
      </c>
      <c r="Q74" s="103">
        <f t="shared" si="75"/>
        <v>0</v>
      </c>
      <c r="R74" s="103">
        <f t="shared" si="75"/>
        <v>0</v>
      </c>
      <c r="S74" s="103">
        <f t="shared" si="75"/>
        <v>0</v>
      </c>
      <c r="T74" s="103">
        <f t="shared" si="75"/>
        <v>0</v>
      </c>
      <c r="U74" s="103">
        <f t="shared" si="75"/>
        <v>0</v>
      </c>
      <c r="V74" s="103">
        <f t="shared" si="75"/>
        <v>0</v>
      </c>
      <c r="W74" s="103">
        <f t="shared" si="75"/>
        <v>0</v>
      </c>
      <c r="X74" s="103">
        <f t="shared" si="75"/>
        <v>0</v>
      </c>
      <c r="Y74" s="103">
        <f t="shared" si="75"/>
        <v>0</v>
      </c>
      <c r="Z74" s="103">
        <f t="shared" si="75"/>
        <v>0</v>
      </c>
      <c r="AA74" s="92"/>
      <c r="AB74" s="92" t="s">
        <v>612</v>
      </c>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92"/>
      <c r="CF74" s="92"/>
      <c r="CG74" s="92"/>
    </row>
    <row r="75" spans="1:85" ht="15" customHeight="1">
      <c r="A75" s="92"/>
      <c r="B75" s="91"/>
      <c r="C75" s="91"/>
      <c r="D75" s="91"/>
      <c r="E75" s="91"/>
      <c r="F75" s="91"/>
      <c r="G75" s="122"/>
      <c r="H75" s="122"/>
      <c r="I75" s="122"/>
      <c r="J75" s="122"/>
      <c r="K75" s="122"/>
      <c r="L75" s="122"/>
      <c r="M75" s="122"/>
      <c r="N75" s="122"/>
      <c r="O75" s="103"/>
      <c r="P75" s="103"/>
      <c r="Q75" s="103"/>
      <c r="R75" s="103"/>
      <c r="S75" s="103"/>
      <c r="T75" s="103"/>
      <c r="U75" s="103"/>
      <c r="V75" s="103"/>
      <c r="W75" s="103"/>
      <c r="X75" s="103"/>
      <c r="Y75" s="103"/>
      <c r="Z75" s="103"/>
      <c r="AA75" s="92"/>
      <c r="AB75" s="92"/>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92"/>
      <c r="CF75" s="92"/>
      <c r="CG75" s="92"/>
    </row>
    <row r="76" spans="1:85" ht="15" customHeight="1">
      <c r="A76" s="92"/>
      <c r="B76" s="91"/>
      <c r="C76" s="91"/>
      <c r="D76" s="91"/>
      <c r="E76" s="91"/>
      <c r="F76" s="91"/>
      <c r="G76" s="122"/>
      <c r="H76" s="122"/>
      <c r="I76" s="122"/>
      <c r="J76" s="122"/>
      <c r="K76" s="122"/>
      <c r="L76" s="122"/>
      <c r="M76" s="122"/>
      <c r="N76" s="122"/>
      <c r="O76" s="126"/>
      <c r="P76" s="126"/>
      <c r="Q76" s="126"/>
      <c r="R76" s="126"/>
      <c r="S76" s="126"/>
      <c r="T76" s="126"/>
      <c r="U76" s="126"/>
      <c r="V76" s="126"/>
      <c r="W76" s="126"/>
      <c r="X76" s="126"/>
      <c r="Y76" s="126"/>
      <c r="Z76" s="126"/>
      <c r="AA76" s="92"/>
      <c r="AB76" s="92"/>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92"/>
      <c r="CF76" s="92"/>
      <c r="CG76" s="92"/>
    </row>
    <row r="77" spans="1:85" ht="15" customHeight="1">
      <c r="A77" s="92" t="s">
        <v>613</v>
      </c>
      <c r="B77" s="91"/>
      <c r="C77" s="91"/>
      <c r="D77" s="91"/>
      <c r="E77" s="91"/>
      <c r="F77" s="91"/>
      <c r="G77" s="145"/>
      <c r="H77" s="145"/>
      <c r="I77" s="145"/>
      <c r="J77" s="145"/>
      <c r="K77" s="145"/>
      <c r="L77" s="145">
        <f t="shared" ref="L77:Q77" si="76">+L53-L64-L65-L66</f>
        <v>105.833</v>
      </c>
      <c r="M77" s="145">
        <f t="shared" si="76"/>
        <v>132.405</v>
      </c>
      <c r="N77" s="145">
        <f t="shared" si="76"/>
        <v>271.64080000000001</v>
      </c>
      <c r="O77" s="145">
        <f t="shared" si="76"/>
        <v>279.60000000000002</v>
      </c>
      <c r="P77" s="145">
        <f t="shared" si="76"/>
        <v>345.072</v>
      </c>
      <c r="Q77" s="145">
        <f t="shared" si="76"/>
        <v>381.66560000000004</v>
      </c>
      <c r="R77" s="145">
        <f>12*R83*AVERAGE(Q20:R20)/1000</f>
        <v>283.90108473502534</v>
      </c>
      <c r="S77" s="145">
        <f>12*S83*AVERAGE(R20:S20)/1000</f>
        <v>282.2888096552997</v>
      </c>
      <c r="T77" s="145">
        <f t="shared" ref="T77:Z77" si="77">12*T83*AVERAGE(S20:T20)/1000</f>
        <v>345.95587540748579</v>
      </c>
      <c r="U77" s="145">
        <f t="shared" si="77"/>
        <v>351.64487639918855</v>
      </c>
      <c r="V77" s="145">
        <f t="shared" si="77"/>
        <v>356.97797165808868</v>
      </c>
      <c r="W77" s="145">
        <f t="shared" si="77"/>
        <v>361.96701943919999</v>
      </c>
      <c r="X77" s="145">
        <f t="shared" si="77"/>
        <v>366.62354707384264</v>
      </c>
      <c r="Y77" s="145">
        <f t="shared" si="77"/>
        <v>370.95875945263788</v>
      </c>
      <c r="Z77" s="145">
        <f t="shared" si="77"/>
        <v>374.98354730166108</v>
      </c>
      <c r="AA77" s="92"/>
      <c r="AB77" s="92" t="s">
        <v>613</v>
      </c>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107">
        <f t="shared" ref="BB77:CD77" si="78">+BB53-BB64-BB65-BB66</f>
        <v>0</v>
      </c>
      <c r="BC77" s="107">
        <f t="shared" si="78"/>
        <v>0</v>
      </c>
      <c r="BD77" s="107">
        <f t="shared" si="78"/>
        <v>0</v>
      </c>
      <c r="BE77" s="107">
        <f t="shared" si="78"/>
        <v>0</v>
      </c>
      <c r="BF77" s="107">
        <f t="shared" si="78"/>
        <v>0</v>
      </c>
      <c r="BG77" s="107">
        <f t="shared" si="78"/>
        <v>0</v>
      </c>
      <c r="BH77" s="107">
        <f t="shared" si="78"/>
        <v>0</v>
      </c>
      <c r="BI77" s="107">
        <f t="shared" si="78"/>
        <v>0</v>
      </c>
      <c r="BJ77" s="107">
        <f t="shared" si="78"/>
        <v>0</v>
      </c>
      <c r="BK77" s="107">
        <f t="shared" si="78"/>
        <v>0</v>
      </c>
      <c r="BL77" s="107">
        <f t="shared" si="78"/>
        <v>0</v>
      </c>
      <c r="BM77" s="107">
        <f t="shared" si="78"/>
        <v>0</v>
      </c>
      <c r="BN77" s="107">
        <f t="shared" si="78"/>
        <v>0</v>
      </c>
      <c r="BO77" s="107">
        <f t="shared" si="78"/>
        <v>0</v>
      </c>
      <c r="BP77" s="107">
        <f t="shared" si="78"/>
        <v>0</v>
      </c>
      <c r="BQ77" s="107">
        <f t="shared" si="78"/>
        <v>0</v>
      </c>
      <c r="BR77" s="107">
        <f t="shared" si="78"/>
        <v>26.8</v>
      </c>
      <c r="BS77" s="107">
        <f t="shared" si="78"/>
        <v>27.900000000000002</v>
      </c>
      <c r="BT77" s="107">
        <f t="shared" si="78"/>
        <v>27.5</v>
      </c>
      <c r="BU77" s="107">
        <f t="shared" si="78"/>
        <v>50.199999999999989</v>
      </c>
      <c r="BV77" s="107">
        <f t="shared" si="78"/>
        <v>67.400000000000006</v>
      </c>
      <c r="BW77" s="107">
        <f t="shared" si="78"/>
        <v>67.899999999999991</v>
      </c>
      <c r="BX77" s="107">
        <f t="shared" si="78"/>
        <v>68.100000000000009</v>
      </c>
      <c r="BY77" s="107">
        <f t="shared" si="78"/>
        <v>68.2</v>
      </c>
      <c r="BZ77" s="107">
        <f t="shared" si="78"/>
        <v>68.600000000000009</v>
      </c>
      <c r="CA77" s="107">
        <f t="shared" si="78"/>
        <v>70.099999999999994</v>
      </c>
      <c r="CB77" s="107">
        <f t="shared" si="78"/>
        <v>69.899999999999991</v>
      </c>
      <c r="CC77" s="107">
        <f t="shared" si="78"/>
        <v>71.704018294674938</v>
      </c>
      <c r="CD77" s="107">
        <f t="shared" si="78"/>
        <v>72.160731786997715</v>
      </c>
      <c r="CE77" s="92"/>
      <c r="CF77" s="92"/>
      <c r="CG77" s="92"/>
    </row>
    <row r="78" spans="1:85" ht="15" customHeight="1">
      <c r="A78" s="92" t="s">
        <v>614</v>
      </c>
      <c r="B78" s="91"/>
      <c r="C78" s="91"/>
      <c r="D78" s="91"/>
      <c r="E78" s="91"/>
      <c r="F78" s="91"/>
      <c r="G78" s="91"/>
      <c r="H78" s="91"/>
      <c r="I78" s="91"/>
      <c r="J78" s="91"/>
      <c r="K78" s="91"/>
      <c r="L78" s="91"/>
      <c r="M78" s="103">
        <f t="shared" ref="M78:Y78" si="79">M77/L77-1</f>
        <v>0.25107480653482384</v>
      </c>
      <c r="N78" s="103">
        <f t="shared" si="79"/>
        <v>1.051590196744836</v>
      </c>
      <c r="O78" s="103">
        <f t="shared" si="79"/>
        <v>2.9300458546728025E-2</v>
      </c>
      <c r="P78" s="103">
        <f t="shared" si="79"/>
        <v>0.23416309012875525</v>
      </c>
      <c r="Q78" s="103">
        <f t="shared" si="79"/>
        <v>0.10604627440070491</v>
      </c>
      <c r="R78" s="103">
        <f t="shared" si="79"/>
        <v>-0.25615228426395964</v>
      </c>
      <c r="S78" s="103">
        <f t="shared" si="79"/>
        <v>-5.6790028866230413E-3</v>
      </c>
      <c r="T78" s="103">
        <f t="shared" si="79"/>
        <v>0.22553875171293325</v>
      </c>
      <c r="U78" s="103">
        <f t="shared" si="79"/>
        <v>1.644429650169088E-2</v>
      </c>
      <c r="V78" s="103">
        <f t="shared" si="79"/>
        <v>1.5166139525508049E-2</v>
      </c>
      <c r="W78" s="103">
        <f t="shared" si="79"/>
        <v>1.3975786119065692E-2</v>
      </c>
      <c r="X78" s="103">
        <f t="shared" si="79"/>
        <v>1.2864508047879752E-2</v>
      </c>
      <c r="Y78" s="103">
        <f t="shared" si="79"/>
        <v>1.1824697058866462E-2</v>
      </c>
      <c r="Z78" s="103">
        <f>Z77/Y77-1</f>
        <v>1.084969082536813E-2</v>
      </c>
      <c r="AA78" s="92"/>
      <c r="AB78" s="92" t="s">
        <v>614</v>
      </c>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2"/>
      <c r="CF78" s="92"/>
      <c r="CG78" s="92"/>
    </row>
    <row r="79" spans="1:85" ht="15" customHeight="1">
      <c r="A79" s="92" t="s">
        <v>615</v>
      </c>
      <c r="B79" s="91"/>
      <c r="C79" s="91"/>
      <c r="D79" s="91"/>
      <c r="E79" s="91"/>
      <c r="F79" s="91"/>
      <c r="G79" s="91"/>
      <c r="H79" s="91"/>
      <c r="I79" s="91"/>
      <c r="J79" s="91"/>
      <c r="K79" s="91"/>
      <c r="L79" s="103">
        <f t="shared" ref="L79:Y79" si="80">1-L72-L73-L74</f>
        <v>0.91</v>
      </c>
      <c r="M79" s="103">
        <f t="shared" si="80"/>
        <v>0.91</v>
      </c>
      <c r="N79" s="103">
        <f t="shared" si="80"/>
        <v>0.91400000000000003</v>
      </c>
      <c r="O79" s="103">
        <f t="shared" si="80"/>
        <v>0.91342698464554073</v>
      </c>
      <c r="P79" s="103">
        <f t="shared" si="80"/>
        <v>0.91</v>
      </c>
      <c r="Q79" s="103">
        <f t="shared" si="80"/>
        <v>0.90700000000000003</v>
      </c>
      <c r="R79" s="103">
        <f t="shared" si="80"/>
        <v>0.87320942056074768</v>
      </c>
      <c r="S79" s="103">
        <f t="shared" si="80"/>
        <v>0.86960688369364814</v>
      </c>
      <c r="T79" s="103">
        <f t="shared" si="80"/>
        <v>0.88711922603492033</v>
      </c>
      <c r="U79" s="103">
        <f t="shared" si="80"/>
        <v>0.88480460524997961</v>
      </c>
      <c r="V79" s="103">
        <f t="shared" si="80"/>
        <v>0.88231822538188553</v>
      </c>
      <c r="W79" s="103">
        <f t="shared" si="80"/>
        <v>0.87966132822439613</v>
      </c>
      <c r="X79" s="103">
        <f t="shared" si="80"/>
        <v>0.87683443660799087</v>
      </c>
      <c r="Y79" s="103">
        <f t="shared" si="80"/>
        <v>0.87383746054005507</v>
      </c>
      <c r="Z79" s="103">
        <f>1-Z72-Z73-Z74</f>
        <v>0.87066978654749094</v>
      </c>
      <c r="AA79" s="92"/>
      <c r="AB79" s="92" t="s">
        <v>615</v>
      </c>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2"/>
      <c r="CF79" s="92"/>
      <c r="CG79" s="92"/>
    </row>
    <row r="80" spans="1:85" ht="15" customHeight="1">
      <c r="A80" s="92"/>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2"/>
      <c r="AB80" s="92"/>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2"/>
      <c r="CF80" s="92"/>
      <c r="CG80" s="92"/>
    </row>
    <row r="81" spans="1:85" ht="15" customHeight="1">
      <c r="A81" s="92" t="s">
        <v>616</v>
      </c>
      <c r="B81" s="97"/>
      <c r="C81" s="97"/>
      <c r="D81" s="97"/>
      <c r="E81" s="97"/>
      <c r="F81" s="97"/>
      <c r="G81" s="97"/>
      <c r="H81" s="97"/>
      <c r="I81" s="97"/>
      <c r="J81" s="97"/>
      <c r="K81" s="97"/>
      <c r="L81" s="97">
        <f t="shared" ref="L81:Z81" si="81">1000*L77/AVERAGE(K6:L6)/12</f>
        <v>72.797496216811112</v>
      </c>
      <c r="M81" s="97">
        <f t="shared" si="81"/>
        <v>56.237257900101945</v>
      </c>
      <c r="N81" s="97">
        <f t="shared" si="81"/>
        <v>83.284522933529544</v>
      </c>
      <c r="O81" s="97">
        <f t="shared" si="81"/>
        <v>84.054834054834046</v>
      </c>
      <c r="P81" s="97">
        <f t="shared" si="81"/>
        <v>84.266666666666666</v>
      </c>
      <c r="Q81" s="97">
        <f t="shared" si="81"/>
        <v>79.059076974065803</v>
      </c>
      <c r="R81" s="97">
        <f t="shared" si="81"/>
        <v>58.60397257349215</v>
      </c>
      <c r="S81" s="97">
        <f>1000*S77/AVERAGE(R6:S6)/12</f>
        <v>58.083185013758985</v>
      </c>
      <c r="T81" s="97">
        <f t="shared" si="81"/>
        <v>70.724615154231245</v>
      </c>
      <c r="U81" s="97">
        <f t="shared" si="81"/>
        <v>71.422907271840998</v>
      </c>
      <c r="V81" s="97">
        <f t="shared" si="81"/>
        <v>72.03577809710022</v>
      </c>
      <c r="W81" s="97">
        <f t="shared" si="81"/>
        <v>72.567092884685863</v>
      </c>
      <c r="X81" s="97">
        <f t="shared" si="81"/>
        <v>73.020580905498264</v>
      </c>
      <c r="Y81" s="97">
        <f t="shared" si="81"/>
        <v>73.39983959504211</v>
      </c>
      <c r="Z81" s="97">
        <f t="shared" si="81"/>
        <v>73.708338588319464</v>
      </c>
      <c r="AA81" s="92"/>
      <c r="AB81" s="92" t="s">
        <v>617</v>
      </c>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7">
        <f t="shared" ref="BB81:CD81" si="82">1000*BB77/AVERAGE(BA6:BB6)/3</f>
        <v>0</v>
      </c>
      <c r="BC81" s="97">
        <f t="shared" si="82"/>
        <v>0</v>
      </c>
      <c r="BD81" s="97">
        <f t="shared" si="82"/>
        <v>0</v>
      </c>
      <c r="BE81" s="97">
        <f t="shared" si="82"/>
        <v>0</v>
      </c>
      <c r="BF81" s="97">
        <f t="shared" si="82"/>
        <v>0</v>
      </c>
      <c r="BG81" s="97">
        <f t="shared" si="82"/>
        <v>0</v>
      </c>
      <c r="BH81" s="97">
        <f t="shared" si="82"/>
        <v>0</v>
      </c>
      <c r="BI81" s="97">
        <f t="shared" si="82"/>
        <v>0</v>
      </c>
      <c r="BJ81" s="97">
        <f t="shared" si="82"/>
        <v>0</v>
      </c>
      <c r="BK81" s="97">
        <f t="shared" si="82"/>
        <v>0</v>
      </c>
      <c r="BL81" s="97">
        <f t="shared" si="82"/>
        <v>0</v>
      </c>
      <c r="BM81" s="97">
        <f t="shared" si="82"/>
        <v>0</v>
      </c>
      <c r="BN81" s="97">
        <f t="shared" si="82"/>
        <v>0</v>
      </c>
      <c r="BO81" s="97">
        <f t="shared" si="82"/>
        <v>0</v>
      </c>
      <c r="BP81" s="97">
        <f t="shared" si="82"/>
        <v>0</v>
      </c>
      <c r="BQ81" s="97">
        <f t="shared" si="82"/>
        <v>0</v>
      </c>
      <c r="BR81" s="97">
        <f t="shared" si="82"/>
        <v>73.134124710055943</v>
      </c>
      <c r="BS81" s="97">
        <f t="shared" si="82"/>
        <v>75.51766138855055</v>
      </c>
      <c r="BT81" s="97">
        <f t="shared" si="82"/>
        <v>73.835414149550274</v>
      </c>
      <c r="BU81" s="97">
        <f t="shared" si="82"/>
        <v>84.618626211546541</v>
      </c>
      <c r="BV81" s="97">
        <f t="shared" si="82"/>
        <v>82.598039215686271</v>
      </c>
      <c r="BW81" s="97">
        <f t="shared" si="82"/>
        <v>83.012409071459118</v>
      </c>
      <c r="BX81" s="97">
        <f t="shared" si="82"/>
        <v>83.594181550359068</v>
      </c>
      <c r="BY81" s="97">
        <f t="shared" si="82"/>
        <v>83.609170038004166</v>
      </c>
      <c r="BZ81" s="97">
        <f t="shared" si="82"/>
        <v>83.439761600681152</v>
      </c>
      <c r="CA81" s="97">
        <f t="shared" si="82"/>
        <v>84.815486993345431</v>
      </c>
      <c r="CB81" s="97">
        <f t="shared" si="82"/>
        <v>84.039675383228115</v>
      </c>
      <c r="CC81" s="97">
        <f t="shared" si="82"/>
        <v>85.300997257524301</v>
      </c>
      <c r="CD81" s="97">
        <f t="shared" si="82"/>
        <v>85.17555687794821</v>
      </c>
      <c r="CE81" s="92"/>
      <c r="CF81" s="92"/>
      <c r="CG81" s="92"/>
    </row>
    <row r="82" spans="1:85" ht="15" customHeight="1">
      <c r="A82" s="92" t="s">
        <v>618</v>
      </c>
      <c r="B82" s="97"/>
      <c r="C82" s="97"/>
      <c r="D82" s="97"/>
      <c r="E82" s="97"/>
      <c r="F82" s="97"/>
      <c r="G82" s="97"/>
      <c r="H82" s="103"/>
      <c r="I82" s="103"/>
      <c r="J82" s="103"/>
      <c r="K82" s="103"/>
      <c r="L82" s="103"/>
      <c r="M82" s="103">
        <f t="shared" ref="M82:Z82" si="83">+M81/L81-1</f>
        <v>-0.2274836248129769</v>
      </c>
      <c r="N82" s="103">
        <f t="shared" si="83"/>
        <v>0.48094921486878839</v>
      </c>
      <c r="O82" s="103">
        <f t="shared" si="83"/>
        <v>9.2491509127008431E-3</v>
      </c>
      <c r="P82" s="103">
        <f t="shared" si="83"/>
        <v>2.5201716738199043E-3</v>
      </c>
      <c r="Q82" s="103">
        <f t="shared" si="83"/>
        <v>-6.1798928314092505E-2</v>
      </c>
      <c r="R82" s="103">
        <f t="shared" si="83"/>
        <v>-0.25873188991674745</v>
      </c>
      <c r="S82" s="103">
        <f t="shared" si="83"/>
        <v>-8.8865572906354773E-3</v>
      </c>
      <c r="T82" s="103">
        <f t="shared" si="83"/>
        <v>0.2176435424034977</v>
      </c>
      <c r="U82" s="103">
        <f t="shared" si="83"/>
        <v>9.8733957913657022E-3</v>
      </c>
      <c r="V82" s="103">
        <f t="shared" si="83"/>
        <v>8.580872001283657E-3</v>
      </c>
      <c r="W82" s="103">
        <f t="shared" si="83"/>
        <v>7.3757069281525922E-3</v>
      </c>
      <c r="X82" s="103">
        <f t="shared" si="83"/>
        <v>6.2492240323450687E-3</v>
      </c>
      <c r="Y82" s="103">
        <f t="shared" si="83"/>
        <v>5.193860208188017E-3</v>
      </c>
      <c r="Z82" s="103">
        <f t="shared" si="83"/>
        <v>4.2029927446625148E-3</v>
      </c>
      <c r="AA82" s="92"/>
      <c r="AB82" s="92" t="s">
        <v>619</v>
      </c>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103"/>
      <c r="BC82" s="103"/>
      <c r="BD82" s="103"/>
      <c r="BE82" s="103"/>
      <c r="BF82" s="103" t="e">
        <f t="shared" ref="BF82:CD82" si="84">+BF81/BB81-1</f>
        <v>#DIV/0!</v>
      </c>
      <c r="BG82" s="103" t="e">
        <f t="shared" si="84"/>
        <v>#DIV/0!</v>
      </c>
      <c r="BH82" s="103" t="e">
        <f t="shared" si="84"/>
        <v>#DIV/0!</v>
      </c>
      <c r="BI82" s="103" t="e">
        <f t="shared" si="84"/>
        <v>#DIV/0!</v>
      </c>
      <c r="BJ82" s="103" t="e">
        <f t="shared" si="84"/>
        <v>#DIV/0!</v>
      </c>
      <c r="BK82" s="103" t="e">
        <f t="shared" si="84"/>
        <v>#DIV/0!</v>
      </c>
      <c r="BL82" s="103" t="e">
        <f t="shared" si="84"/>
        <v>#DIV/0!</v>
      </c>
      <c r="BM82" s="103" t="e">
        <f t="shared" si="84"/>
        <v>#DIV/0!</v>
      </c>
      <c r="BN82" s="103" t="e">
        <f t="shared" si="84"/>
        <v>#DIV/0!</v>
      </c>
      <c r="BO82" s="103" t="e">
        <f t="shared" si="84"/>
        <v>#DIV/0!</v>
      </c>
      <c r="BP82" s="103" t="e">
        <f t="shared" si="84"/>
        <v>#DIV/0!</v>
      </c>
      <c r="BQ82" s="103" t="e">
        <f t="shared" si="84"/>
        <v>#DIV/0!</v>
      </c>
      <c r="BR82" s="103" t="e">
        <f t="shared" si="84"/>
        <v>#DIV/0!</v>
      </c>
      <c r="BS82" s="103" t="e">
        <f t="shared" si="84"/>
        <v>#DIV/0!</v>
      </c>
      <c r="BT82" s="103" t="e">
        <f t="shared" si="84"/>
        <v>#DIV/0!</v>
      </c>
      <c r="BU82" s="103" t="e">
        <f t="shared" si="84"/>
        <v>#DIV/0!</v>
      </c>
      <c r="BV82" s="103">
        <f t="shared" si="84"/>
        <v>0.12940490561896389</v>
      </c>
      <c r="BW82" s="103">
        <f t="shared" si="84"/>
        <v>9.9244965284966735E-2</v>
      </c>
      <c r="BX82" s="103">
        <f t="shared" si="84"/>
        <v>0.13216919703386298</v>
      </c>
      <c r="BY82" s="103">
        <f t="shared" si="84"/>
        <v>-1.1929479580757296E-2</v>
      </c>
      <c r="BZ82" s="103">
        <f t="shared" si="84"/>
        <v>1.019058555127339E-2</v>
      </c>
      <c r="CA82" s="103">
        <f t="shared" si="84"/>
        <v>2.1720583007465599E-2</v>
      </c>
      <c r="CB82" s="103">
        <f t="shared" si="84"/>
        <v>5.3292445072947725E-3</v>
      </c>
      <c r="CC82" s="103">
        <f t="shared" si="84"/>
        <v>2.0234948137281217E-2</v>
      </c>
      <c r="CD82" s="103">
        <f t="shared" si="84"/>
        <v>2.0802975032144566E-2</v>
      </c>
      <c r="CE82" s="92"/>
      <c r="CF82" s="92"/>
      <c r="CG82" s="92"/>
    </row>
    <row r="83" spans="1:85" ht="15" customHeight="1">
      <c r="A83" s="92" t="s">
        <v>620</v>
      </c>
      <c r="B83" s="97"/>
      <c r="C83" s="97"/>
      <c r="D83" s="97"/>
      <c r="E83" s="97"/>
      <c r="F83" s="97"/>
      <c r="G83" s="97"/>
      <c r="H83" s="97"/>
      <c r="I83" s="97"/>
      <c r="J83" s="97"/>
      <c r="K83" s="97"/>
      <c r="L83" s="97">
        <f t="shared" ref="L83:Q83" si="85">1000*L77/AVERAGE(K20:L20)/12</f>
        <v>41.405712050078243</v>
      </c>
      <c r="M83" s="97">
        <f t="shared" si="85"/>
        <v>31.802132872171782</v>
      </c>
      <c r="N83" s="97">
        <f t="shared" si="85"/>
        <v>44.604400656814448</v>
      </c>
      <c r="O83" s="97">
        <f t="shared" si="85"/>
        <v>41.359723085115824</v>
      </c>
      <c r="P83" s="97">
        <f t="shared" si="85"/>
        <v>42.047082906857717</v>
      </c>
      <c r="Q83" s="97">
        <f t="shared" si="85"/>
        <v>40.36226734348562</v>
      </c>
      <c r="R83" s="97">
        <f t="shared" ref="R83:Z83" si="86">+Q83*(1+R84)</f>
        <v>29.060832487309646</v>
      </c>
      <c r="S83" s="97">
        <f>+R83*(1+S84)</f>
        <v>27.825747106598985</v>
      </c>
      <c r="T83" s="97">
        <f t="shared" si="86"/>
        <v>32.834381585786801</v>
      </c>
      <c r="U83" s="97">
        <f t="shared" si="86"/>
        <v>32.177693954071067</v>
      </c>
      <c r="V83" s="97">
        <f t="shared" si="86"/>
        <v>31.534140074989644</v>
      </c>
      <c r="W83" s="97">
        <f t="shared" si="86"/>
        <v>30.903457273489849</v>
      </c>
      <c r="X83" s="97">
        <f t="shared" si="86"/>
        <v>30.285388128020053</v>
      </c>
      <c r="Y83" s="97">
        <f t="shared" si="86"/>
        <v>29.679680365459649</v>
      </c>
      <c r="Z83" s="97">
        <f t="shared" si="86"/>
        <v>29.086086758150454</v>
      </c>
      <c r="AA83" s="92"/>
      <c r="AB83" s="92" t="s">
        <v>621</v>
      </c>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7">
        <f t="shared" ref="BB83:CD83" si="87">1000*BB77/AVERAGE(BA20:BB20)/3</f>
        <v>0</v>
      </c>
      <c r="BC83" s="97">
        <f t="shared" si="87"/>
        <v>0</v>
      </c>
      <c r="BD83" s="97">
        <f t="shared" si="87"/>
        <v>0</v>
      </c>
      <c r="BE83" s="97">
        <f t="shared" si="87"/>
        <v>0</v>
      </c>
      <c r="BF83" s="97">
        <f t="shared" si="87"/>
        <v>0</v>
      </c>
      <c r="BG83" s="97">
        <f t="shared" si="87"/>
        <v>0</v>
      </c>
      <c r="BH83" s="97">
        <f t="shared" si="87"/>
        <v>0</v>
      </c>
      <c r="BI83" s="97">
        <f t="shared" si="87"/>
        <v>0</v>
      </c>
      <c r="BJ83" s="97">
        <f t="shared" si="87"/>
        <v>0</v>
      </c>
      <c r="BK83" s="97">
        <f t="shared" si="87"/>
        <v>0</v>
      </c>
      <c r="BL83" s="97">
        <f t="shared" si="87"/>
        <v>0</v>
      </c>
      <c r="BM83" s="97">
        <f t="shared" si="87"/>
        <v>0</v>
      </c>
      <c r="BN83" s="97">
        <f t="shared" si="87"/>
        <v>0</v>
      </c>
      <c r="BO83" s="97">
        <f t="shared" si="87"/>
        <v>0</v>
      </c>
      <c r="BP83" s="97">
        <f t="shared" si="87"/>
        <v>0</v>
      </c>
      <c r="BQ83" s="97">
        <f t="shared" si="87"/>
        <v>0</v>
      </c>
      <c r="BR83" s="97">
        <f t="shared" si="87"/>
        <v>41.31976564909035</v>
      </c>
      <c r="BS83" s="97">
        <f t="shared" si="87"/>
        <v>42.311191992720659</v>
      </c>
      <c r="BT83" s="97">
        <f t="shared" si="87"/>
        <v>40.831477357089831</v>
      </c>
      <c r="BU83" s="97">
        <f t="shared" si="87"/>
        <v>47.383076124404162</v>
      </c>
      <c r="BV83" s="97">
        <f t="shared" si="87"/>
        <v>46.275317542052868</v>
      </c>
      <c r="BW83" s="97">
        <f t="shared" si="87"/>
        <v>45.375568029938506</v>
      </c>
      <c r="BX83" s="97">
        <f t="shared" si="87"/>
        <v>44.297004585813255</v>
      </c>
      <c r="BY83" s="97">
        <f t="shared" si="87"/>
        <v>43.100451859575941</v>
      </c>
      <c r="BZ83" s="97">
        <f t="shared" si="87"/>
        <v>42.00342885133481</v>
      </c>
      <c r="CA83" s="97">
        <f t="shared" si="87"/>
        <v>41.917062815798126</v>
      </c>
      <c r="CB83" s="97">
        <f t="shared" si="87"/>
        <v>40.902308435003938</v>
      </c>
      <c r="CC83" s="97">
        <f t="shared" si="87"/>
        <v>40.916441721404276</v>
      </c>
      <c r="CD83" s="97">
        <f t="shared" si="87"/>
        <v>40.365123783071937</v>
      </c>
      <c r="CE83" s="92"/>
      <c r="CF83" s="92"/>
      <c r="CG83" s="92"/>
    </row>
    <row r="84" spans="1:85" ht="15" customHeight="1">
      <c r="A84" s="92" t="s">
        <v>622</v>
      </c>
      <c r="B84" s="97"/>
      <c r="C84" s="97"/>
      <c r="D84" s="97"/>
      <c r="E84" s="97"/>
      <c r="F84" s="97"/>
      <c r="G84" s="97"/>
      <c r="H84" s="103"/>
      <c r="I84" s="103"/>
      <c r="J84" s="103"/>
      <c r="K84" s="103"/>
      <c r="L84" s="103"/>
      <c r="M84" s="103">
        <f>+M83/L83-1</f>
        <v>-0.23193851047148728</v>
      </c>
      <c r="N84" s="103">
        <f>+N83/M83-1</f>
        <v>0.40256003696674059</v>
      </c>
      <c r="O84" s="103">
        <f>+O83/N83-1</f>
        <v>-7.2743440645310353E-2</v>
      </c>
      <c r="P84" s="103">
        <f>+P83/O83-1</f>
        <v>1.6619062471171508E-2</v>
      </c>
      <c r="Q84" s="103">
        <f>+Q83/P83-1</f>
        <v>-4.0069737230149505E-2</v>
      </c>
      <c r="R84" s="129">
        <v>-0.28000000000000003</v>
      </c>
      <c r="S84" s="129">
        <v>-4.2500000000000003E-2</v>
      </c>
      <c r="T84" s="129">
        <v>0.18</v>
      </c>
      <c r="U84" s="129">
        <v>-0.02</v>
      </c>
      <c r="V84" s="129">
        <v>-0.02</v>
      </c>
      <c r="W84" s="129">
        <v>-0.02</v>
      </c>
      <c r="X84" s="129">
        <v>-0.02</v>
      </c>
      <c r="Y84" s="129">
        <v>-0.02</v>
      </c>
      <c r="Z84" s="129">
        <v>-0.02</v>
      </c>
      <c r="AA84" s="92"/>
      <c r="AB84" s="92" t="s">
        <v>623</v>
      </c>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103"/>
      <c r="BC84" s="103"/>
      <c r="BD84" s="103"/>
      <c r="BE84" s="103"/>
      <c r="BF84" s="103" t="e">
        <f t="shared" ref="BF84:CD84" si="88">+BF83/BB83-1</f>
        <v>#DIV/0!</v>
      </c>
      <c r="BG84" s="103" t="e">
        <f t="shared" si="88"/>
        <v>#DIV/0!</v>
      </c>
      <c r="BH84" s="103" t="e">
        <f t="shared" si="88"/>
        <v>#DIV/0!</v>
      </c>
      <c r="BI84" s="103" t="e">
        <f t="shared" si="88"/>
        <v>#DIV/0!</v>
      </c>
      <c r="BJ84" s="103" t="e">
        <f t="shared" si="88"/>
        <v>#DIV/0!</v>
      </c>
      <c r="BK84" s="103" t="e">
        <f t="shared" si="88"/>
        <v>#DIV/0!</v>
      </c>
      <c r="BL84" s="103" t="e">
        <f t="shared" si="88"/>
        <v>#DIV/0!</v>
      </c>
      <c r="BM84" s="103" t="e">
        <f t="shared" si="88"/>
        <v>#DIV/0!</v>
      </c>
      <c r="BN84" s="103" t="e">
        <f t="shared" si="88"/>
        <v>#DIV/0!</v>
      </c>
      <c r="BO84" s="103" t="e">
        <f t="shared" si="88"/>
        <v>#DIV/0!</v>
      </c>
      <c r="BP84" s="103" t="e">
        <f t="shared" si="88"/>
        <v>#DIV/0!</v>
      </c>
      <c r="BQ84" s="103" t="e">
        <f t="shared" si="88"/>
        <v>#DIV/0!</v>
      </c>
      <c r="BR84" s="103" t="e">
        <f t="shared" si="88"/>
        <v>#DIV/0!</v>
      </c>
      <c r="BS84" s="103" t="e">
        <f t="shared" si="88"/>
        <v>#DIV/0!</v>
      </c>
      <c r="BT84" s="103" t="e">
        <f t="shared" si="88"/>
        <v>#DIV/0!</v>
      </c>
      <c r="BU84" s="103" t="e">
        <f t="shared" si="88"/>
        <v>#DIV/0!</v>
      </c>
      <c r="BV84" s="103">
        <f t="shared" si="88"/>
        <v>0.11993175215580187</v>
      </c>
      <c r="BW84" s="103">
        <f t="shared" si="88"/>
        <v>7.2424715374245441E-2</v>
      </c>
      <c r="BX84" s="103">
        <f t="shared" si="88"/>
        <v>8.48739123107356E-2</v>
      </c>
      <c r="BY84" s="103">
        <f t="shared" si="88"/>
        <v>-9.0382993573152604E-2</v>
      </c>
      <c r="BZ84" s="103">
        <f t="shared" si="88"/>
        <v>-9.2314627270487448E-2</v>
      </c>
      <c r="CA84" s="103">
        <f t="shared" si="88"/>
        <v>-7.6219546427682916E-2</v>
      </c>
      <c r="CB84" s="103">
        <f t="shared" si="88"/>
        <v>-7.6634891739305488E-2</v>
      </c>
      <c r="CC84" s="103">
        <f t="shared" si="88"/>
        <v>-5.0672557802579732E-2</v>
      </c>
      <c r="CD84" s="103">
        <f t="shared" si="88"/>
        <v>-3.9004079263657787E-2</v>
      </c>
      <c r="CE84" s="92"/>
      <c r="CF84" s="92"/>
      <c r="CG84" s="92"/>
    </row>
    <row r="85" spans="1:85" ht="15" customHeight="1"/>
    <row r="86" spans="1:85" ht="15" hidden="1" customHeight="1">
      <c r="A86" s="130" t="s">
        <v>624</v>
      </c>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130" t="s">
        <v>625</v>
      </c>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2"/>
      <c r="CG86" s="92"/>
    </row>
    <row r="87" spans="1:85" ht="15" hidden="1" customHeight="1">
      <c r="A87" s="92" t="s">
        <v>626</v>
      </c>
      <c r="B87" s="235"/>
      <c r="C87" s="235"/>
      <c r="D87" s="235"/>
      <c r="E87" s="235"/>
      <c r="F87" s="235"/>
      <c r="G87" s="235"/>
      <c r="H87" s="235"/>
      <c r="I87" s="235"/>
      <c r="J87" s="235"/>
      <c r="K87" s="235"/>
      <c r="L87" s="235"/>
      <c r="M87" s="235">
        <v>71.599999999999994</v>
      </c>
      <c r="N87" s="235">
        <v>149.5</v>
      </c>
      <c r="O87" s="236">
        <v>150.1</v>
      </c>
      <c r="P87" s="236">
        <f t="shared" ref="P87:Z89" si="89">P97*P$77</f>
        <v>189.78960000000001</v>
      </c>
      <c r="Q87" s="236">
        <f t="shared" si="89"/>
        <v>209.91608000000005</v>
      </c>
      <c r="R87" s="236">
        <f t="shared" si="89"/>
        <v>156.14559660426394</v>
      </c>
      <c r="S87" s="236">
        <f t="shared" si="89"/>
        <v>155.25884531041484</v>
      </c>
      <c r="T87" s="236">
        <f t="shared" si="89"/>
        <v>190.27573147411721</v>
      </c>
      <c r="U87" s="236">
        <f t="shared" si="89"/>
        <v>193.40468201955372</v>
      </c>
      <c r="V87" s="236">
        <f t="shared" si="89"/>
        <v>196.33788441194878</v>
      </c>
      <c r="W87" s="236">
        <f t="shared" si="89"/>
        <v>199.08186069156</v>
      </c>
      <c r="X87" s="236">
        <f t="shared" si="89"/>
        <v>201.64295089061346</v>
      </c>
      <c r="Y87" s="236">
        <f t="shared" si="89"/>
        <v>204.02731769895084</v>
      </c>
      <c r="Z87" s="236">
        <f t="shared" si="89"/>
        <v>206.24095101591359</v>
      </c>
      <c r="AA87" s="92"/>
      <c r="AB87" s="92" t="s">
        <v>626</v>
      </c>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6"/>
      <c r="BC87" s="96"/>
      <c r="BD87" s="96"/>
      <c r="BE87" s="96"/>
      <c r="BF87" s="96"/>
      <c r="BG87" s="96"/>
      <c r="BH87" s="96"/>
      <c r="BI87" s="96"/>
      <c r="BJ87" s="96"/>
      <c r="BK87" s="96"/>
      <c r="BL87" s="96"/>
      <c r="BM87" s="96"/>
      <c r="BN87" s="96"/>
      <c r="BO87" s="96"/>
      <c r="BP87" s="96"/>
      <c r="BQ87" s="96"/>
      <c r="BR87" s="96"/>
      <c r="BS87" s="96"/>
      <c r="BT87" s="96"/>
      <c r="BU87" s="96"/>
      <c r="BV87" s="96">
        <v>37.700000000000003</v>
      </c>
      <c r="BW87" s="96">
        <v>37.5</v>
      </c>
      <c r="BX87" s="96">
        <v>37.299999999999997</v>
      </c>
      <c r="BY87" s="96">
        <f>149.5-BV87-BW87-BX87</f>
        <v>37</v>
      </c>
      <c r="BZ87" s="96">
        <v>36.799999999999997</v>
      </c>
      <c r="CA87" s="96">
        <v>38</v>
      </c>
      <c r="CB87" s="96">
        <v>37.5</v>
      </c>
      <c r="CC87" s="96">
        <f>O87-BZ87-CA87-CB87</f>
        <v>37.799999999999997</v>
      </c>
      <c r="CD87" s="96">
        <v>37.799999999999997</v>
      </c>
      <c r="CE87" s="91"/>
      <c r="CF87" s="92"/>
      <c r="CG87" s="92"/>
    </row>
    <row r="88" spans="1:85" ht="15" hidden="1" customHeight="1">
      <c r="A88" s="92" t="s">
        <v>627</v>
      </c>
      <c r="B88" s="235"/>
      <c r="C88" s="235"/>
      <c r="D88" s="235"/>
      <c r="E88" s="235"/>
      <c r="F88" s="235"/>
      <c r="G88" s="235"/>
      <c r="H88" s="235"/>
      <c r="I88" s="235"/>
      <c r="J88" s="235"/>
      <c r="K88" s="235"/>
      <c r="L88" s="235"/>
      <c r="M88" s="235">
        <v>45.9</v>
      </c>
      <c r="N88" s="235">
        <v>92.4</v>
      </c>
      <c r="O88" s="236">
        <v>99.9</v>
      </c>
      <c r="P88" s="236">
        <f t="shared" si="89"/>
        <v>120.7752</v>
      </c>
      <c r="Q88" s="236">
        <f t="shared" si="89"/>
        <v>133.58296000000001</v>
      </c>
      <c r="R88" s="236">
        <f t="shared" si="89"/>
        <v>99.365379657258856</v>
      </c>
      <c r="S88" s="236">
        <f t="shared" si="89"/>
        <v>98.801083379354893</v>
      </c>
      <c r="T88" s="236">
        <f t="shared" si="89"/>
        <v>121.08455639262002</v>
      </c>
      <c r="U88" s="236">
        <f t="shared" si="89"/>
        <v>123.07570673971598</v>
      </c>
      <c r="V88" s="236">
        <f t="shared" si="89"/>
        <v>124.94229008033103</v>
      </c>
      <c r="W88" s="236">
        <f t="shared" si="89"/>
        <v>126.68845680371999</v>
      </c>
      <c r="X88" s="236">
        <f t="shared" si="89"/>
        <v>128.31824147584493</v>
      </c>
      <c r="Y88" s="236">
        <f t="shared" si="89"/>
        <v>129.83556580842324</v>
      </c>
      <c r="Z88" s="236">
        <f t="shared" si="89"/>
        <v>131.24424155558137</v>
      </c>
      <c r="AA88" s="92"/>
      <c r="AB88" s="92" t="s">
        <v>627</v>
      </c>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6"/>
      <c r="BC88" s="96"/>
      <c r="BD88" s="96"/>
      <c r="BE88" s="96"/>
      <c r="BF88" s="96"/>
      <c r="BG88" s="96"/>
      <c r="BH88" s="96"/>
      <c r="BI88" s="96"/>
      <c r="BJ88" s="96"/>
      <c r="BK88" s="96"/>
      <c r="BL88" s="96"/>
      <c r="BM88" s="96"/>
      <c r="BN88" s="96"/>
      <c r="BO88" s="96"/>
      <c r="BP88" s="96"/>
      <c r="BQ88" s="96"/>
      <c r="BR88" s="96"/>
      <c r="BS88" s="96"/>
      <c r="BT88" s="96"/>
      <c r="BU88" s="96"/>
      <c r="BV88" s="96">
        <v>22.6</v>
      </c>
      <c r="BW88" s="96">
        <v>23.1</v>
      </c>
      <c r="BX88" s="96">
        <v>23.2</v>
      </c>
      <c r="BY88" s="96">
        <f>92.4-BV88-BW88-BX88</f>
        <v>23.500000000000011</v>
      </c>
      <c r="BZ88" s="96">
        <v>24.4</v>
      </c>
      <c r="CA88" s="96">
        <v>24.7</v>
      </c>
      <c r="CB88" s="96">
        <v>25.1</v>
      </c>
      <c r="CC88" s="96">
        <f>O88-BZ88-CA88-CB88</f>
        <v>25.699999999999996</v>
      </c>
      <c r="CD88" s="96">
        <v>26.4</v>
      </c>
      <c r="CE88" s="91"/>
      <c r="CF88" s="92"/>
      <c r="CG88" s="92"/>
    </row>
    <row r="89" spans="1:85" ht="15" hidden="1" customHeight="1">
      <c r="A89" s="92" t="s">
        <v>628</v>
      </c>
      <c r="B89" s="237"/>
      <c r="C89" s="237"/>
      <c r="D89" s="237"/>
      <c r="E89" s="237"/>
      <c r="F89" s="237"/>
      <c r="G89" s="237"/>
      <c r="H89" s="237"/>
      <c r="I89" s="237"/>
      <c r="J89" s="237"/>
      <c r="K89" s="237"/>
      <c r="L89" s="237"/>
      <c r="M89" s="237">
        <v>14.9</v>
      </c>
      <c r="N89" s="237">
        <v>29.7</v>
      </c>
      <c r="O89" s="238">
        <v>29.6</v>
      </c>
      <c r="P89" s="238">
        <f t="shared" si="89"/>
        <v>34.507200000000005</v>
      </c>
      <c r="Q89" s="238">
        <f t="shared" si="89"/>
        <v>38.166560000000004</v>
      </c>
      <c r="R89" s="238">
        <f t="shared" si="89"/>
        <v>28.390108473502536</v>
      </c>
      <c r="S89" s="238">
        <f t="shared" si="89"/>
        <v>28.228880965529971</v>
      </c>
      <c r="T89" s="238">
        <f t="shared" si="89"/>
        <v>34.595587540748582</v>
      </c>
      <c r="U89" s="238">
        <f t="shared" si="89"/>
        <v>35.164487639918853</v>
      </c>
      <c r="V89" s="238">
        <f t="shared" si="89"/>
        <v>35.697797165808872</v>
      </c>
      <c r="W89" s="238">
        <f t="shared" si="89"/>
        <v>36.196701943919997</v>
      </c>
      <c r="X89" s="238">
        <f t="shared" si="89"/>
        <v>36.662354707384267</v>
      </c>
      <c r="Y89" s="238">
        <f t="shared" si="89"/>
        <v>37.095875945263792</v>
      </c>
      <c r="Z89" s="238">
        <f t="shared" si="89"/>
        <v>37.498354730166106</v>
      </c>
      <c r="AA89" s="92"/>
      <c r="AB89" s="92" t="s">
        <v>628</v>
      </c>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6"/>
      <c r="BC89" s="96"/>
      <c r="BD89" s="96"/>
      <c r="BE89" s="96"/>
      <c r="BF89" s="96"/>
      <c r="BG89" s="96"/>
      <c r="BH89" s="96"/>
      <c r="BI89" s="96"/>
      <c r="BJ89" s="96"/>
      <c r="BK89" s="96"/>
      <c r="BL89" s="96"/>
      <c r="BM89" s="96"/>
      <c r="BN89" s="96"/>
      <c r="BO89" s="96"/>
      <c r="BP89" s="96"/>
      <c r="BQ89" s="96"/>
      <c r="BR89" s="96"/>
      <c r="BS89" s="96"/>
      <c r="BT89" s="96"/>
      <c r="BU89" s="96"/>
      <c r="BV89" s="154">
        <v>7.1</v>
      </c>
      <c r="BW89" s="154">
        <v>7.4</v>
      </c>
      <c r="BX89" s="154">
        <v>7.6</v>
      </c>
      <c r="BY89" s="154">
        <f>29.7-BV89-BW89-BX89</f>
        <v>7.6000000000000014</v>
      </c>
      <c r="BZ89" s="154">
        <v>7.4</v>
      </c>
      <c r="CA89" s="154">
        <v>7.4</v>
      </c>
      <c r="CB89" s="154">
        <v>7.3</v>
      </c>
      <c r="CC89" s="154">
        <f>O89-BZ89-CA89-CB89</f>
        <v>7.5000000000000027</v>
      </c>
      <c r="CD89" s="154">
        <v>7.5</v>
      </c>
      <c r="CE89" s="91"/>
      <c r="CF89" s="92"/>
      <c r="CG89" s="92"/>
    </row>
    <row r="90" spans="1:85" ht="15" hidden="1" customHeight="1">
      <c r="A90" s="92" t="s">
        <v>629</v>
      </c>
      <c r="B90" s="92"/>
      <c r="C90" s="92"/>
      <c r="D90" s="92"/>
      <c r="E90" s="92"/>
      <c r="F90" s="92"/>
      <c r="G90" s="92"/>
      <c r="H90" s="92"/>
      <c r="I90" s="92"/>
      <c r="J90" s="92"/>
      <c r="K90" s="92"/>
      <c r="L90" s="92"/>
      <c r="M90" s="92">
        <f t="shared" ref="M90:Z90" si="90">SUM(M87:M89)</f>
        <v>132.4</v>
      </c>
      <c r="N90" s="92">
        <f t="shared" si="90"/>
        <v>271.60000000000002</v>
      </c>
      <c r="O90" s="236">
        <f t="shared" si="90"/>
        <v>279.60000000000002</v>
      </c>
      <c r="P90" s="236">
        <f t="shared" si="90"/>
        <v>345.072</v>
      </c>
      <c r="Q90" s="236">
        <f t="shared" si="90"/>
        <v>381.66560000000004</v>
      </c>
      <c r="R90" s="236">
        <f t="shared" si="90"/>
        <v>283.90108473502534</v>
      </c>
      <c r="S90" s="236">
        <f t="shared" si="90"/>
        <v>282.2888096552997</v>
      </c>
      <c r="T90" s="236">
        <f t="shared" si="90"/>
        <v>345.95587540748579</v>
      </c>
      <c r="U90" s="236">
        <f t="shared" si="90"/>
        <v>351.64487639918855</v>
      </c>
      <c r="V90" s="236">
        <f t="shared" si="90"/>
        <v>356.97797165808868</v>
      </c>
      <c r="W90" s="236">
        <f t="shared" si="90"/>
        <v>361.96701943919999</v>
      </c>
      <c r="X90" s="236">
        <f t="shared" si="90"/>
        <v>366.62354707384264</v>
      </c>
      <c r="Y90" s="236">
        <f t="shared" si="90"/>
        <v>370.95875945263788</v>
      </c>
      <c r="Z90" s="236">
        <f t="shared" si="90"/>
        <v>374.98354730166108</v>
      </c>
      <c r="AA90" s="92"/>
      <c r="AB90" s="92" t="s">
        <v>629</v>
      </c>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1"/>
      <c r="BC90" s="91"/>
      <c r="BD90" s="91"/>
      <c r="BE90" s="91"/>
      <c r="BF90" s="91"/>
      <c r="BG90" s="91"/>
      <c r="BH90" s="91"/>
      <c r="BI90" s="91"/>
      <c r="BJ90" s="91"/>
      <c r="BK90" s="91"/>
      <c r="BL90" s="91"/>
      <c r="BM90" s="91"/>
      <c r="BN90" s="91"/>
      <c r="BO90" s="91"/>
      <c r="BP90" s="91"/>
      <c r="BQ90" s="91"/>
      <c r="BR90" s="91"/>
      <c r="BS90" s="91"/>
      <c r="BT90" s="91"/>
      <c r="BU90" s="91"/>
      <c r="BV90" s="97">
        <f t="shared" ref="BV90:CD90" si="91">SUM(BV87:BV89)</f>
        <v>67.400000000000006</v>
      </c>
      <c r="BW90" s="97">
        <f t="shared" si="91"/>
        <v>68</v>
      </c>
      <c r="BX90" s="97">
        <f t="shared" si="91"/>
        <v>68.099999999999994</v>
      </c>
      <c r="BY90" s="97">
        <f t="shared" si="91"/>
        <v>68.100000000000023</v>
      </c>
      <c r="BZ90" s="97">
        <f t="shared" si="91"/>
        <v>68.599999999999994</v>
      </c>
      <c r="CA90" s="97">
        <f t="shared" si="91"/>
        <v>70.100000000000009</v>
      </c>
      <c r="CB90" s="97">
        <f t="shared" si="91"/>
        <v>69.900000000000006</v>
      </c>
      <c r="CC90" s="97">
        <f t="shared" si="91"/>
        <v>71</v>
      </c>
      <c r="CD90" s="97">
        <f t="shared" si="91"/>
        <v>71.699999999999989</v>
      </c>
      <c r="CE90" s="91"/>
      <c r="CF90" s="92"/>
      <c r="CG90" s="92"/>
    </row>
    <row r="91" spans="1:85" ht="15" hidden="1" customHeight="1">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2"/>
      <c r="CG91" s="92"/>
    </row>
    <row r="92" spans="1:85" ht="15" hidden="1" customHeight="1">
      <c r="A92" s="92" t="s">
        <v>630</v>
      </c>
      <c r="B92" s="92"/>
      <c r="C92" s="92"/>
      <c r="D92" s="92"/>
      <c r="E92" s="92"/>
      <c r="F92" s="92"/>
      <c r="G92" s="92"/>
      <c r="H92" s="92"/>
      <c r="I92" s="92"/>
      <c r="J92" s="92"/>
      <c r="K92" s="92"/>
      <c r="L92" s="92"/>
      <c r="M92" s="239"/>
      <c r="N92" s="239">
        <f t="shared" ref="N92:Z95" si="92">N87/M87-1</f>
        <v>1.0879888268156428</v>
      </c>
      <c r="O92" s="239">
        <f t="shared" si="92"/>
        <v>4.0133779264213132E-3</v>
      </c>
      <c r="P92" s="239">
        <f t="shared" si="92"/>
        <v>0.26442105263157911</v>
      </c>
      <c r="Q92" s="239">
        <f t="shared" si="92"/>
        <v>0.10604627440070491</v>
      </c>
      <c r="R92" s="239">
        <f t="shared" si="92"/>
        <v>-0.25615228426395964</v>
      </c>
      <c r="S92" s="239">
        <f t="shared" si="92"/>
        <v>-5.6790028866231523E-3</v>
      </c>
      <c r="T92" s="239">
        <f t="shared" si="92"/>
        <v>0.22553875171293325</v>
      </c>
      <c r="U92" s="239">
        <f t="shared" si="92"/>
        <v>1.644429650169088E-2</v>
      </c>
      <c r="V92" s="239">
        <f t="shared" si="92"/>
        <v>1.5166139525508049E-2</v>
      </c>
      <c r="W92" s="239">
        <f t="shared" si="92"/>
        <v>1.3975786119065692E-2</v>
      </c>
      <c r="X92" s="239">
        <f t="shared" si="92"/>
        <v>1.2864508047879752E-2</v>
      </c>
      <c r="Y92" s="239">
        <f t="shared" si="92"/>
        <v>1.1824697058866462E-2</v>
      </c>
      <c r="Z92" s="239">
        <f t="shared" si="92"/>
        <v>1.084969082536813E-2</v>
      </c>
      <c r="AA92" s="92"/>
      <c r="AB92" s="92" t="s">
        <v>630</v>
      </c>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1"/>
      <c r="BC92" s="91"/>
      <c r="BD92" s="91"/>
      <c r="BE92" s="91"/>
      <c r="BF92" s="91"/>
      <c r="BG92" s="91"/>
      <c r="BH92" s="91"/>
      <c r="BI92" s="91"/>
      <c r="BJ92" s="91"/>
      <c r="BK92" s="91"/>
      <c r="BL92" s="91"/>
      <c r="BM92" s="91"/>
      <c r="BN92" s="91"/>
      <c r="BO92" s="91"/>
      <c r="BP92" s="91"/>
      <c r="BQ92" s="91"/>
      <c r="BR92" s="91"/>
      <c r="BS92" s="91"/>
      <c r="BT92" s="91"/>
      <c r="BU92" s="91"/>
      <c r="BV92" s="103" t="e">
        <f t="shared" ref="BV92:CD95" si="93">BV87/BR87-1</f>
        <v>#DIV/0!</v>
      </c>
      <c r="BW92" s="103" t="e">
        <f t="shared" si="93"/>
        <v>#DIV/0!</v>
      </c>
      <c r="BX92" s="103" t="e">
        <f t="shared" si="93"/>
        <v>#DIV/0!</v>
      </c>
      <c r="BY92" s="103" t="e">
        <f t="shared" si="93"/>
        <v>#DIV/0!</v>
      </c>
      <c r="BZ92" s="103">
        <f t="shared" si="93"/>
        <v>-2.3872679045092937E-2</v>
      </c>
      <c r="CA92" s="103">
        <f t="shared" si="93"/>
        <v>1.3333333333333419E-2</v>
      </c>
      <c r="CB92" s="103">
        <f t="shared" si="93"/>
        <v>5.3619302949061698E-3</v>
      </c>
      <c r="CC92" s="103">
        <f t="shared" si="93"/>
        <v>2.1621621621621623E-2</v>
      </c>
      <c r="CD92" s="103">
        <f t="shared" si="93"/>
        <v>2.7173913043478271E-2</v>
      </c>
      <c r="CE92" s="91"/>
      <c r="CF92" s="92"/>
      <c r="CG92" s="92"/>
    </row>
    <row r="93" spans="1:85" ht="15" hidden="1" customHeight="1">
      <c r="A93" s="92" t="s">
        <v>631</v>
      </c>
      <c r="B93" s="92"/>
      <c r="C93" s="92"/>
      <c r="D93" s="92"/>
      <c r="E93" s="92"/>
      <c r="F93" s="92"/>
      <c r="G93" s="92"/>
      <c r="H93" s="92"/>
      <c r="I93" s="92"/>
      <c r="J93" s="92"/>
      <c r="K93" s="92"/>
      <c r="L93" s="92"/>
      <c r="M93" s="239"/>
      <c r="N93" s="239">
        <f t="shared" si="92"/>
        <v>1.013071895424837</v>
      </c>
      <c r="O93" s="239">
        <f t="shared" si="92"/>
        <v>8.1168831168831224E-2</v>
      </c>
      <c r="P93" s="239">
        <f t="shared" si="92"/>
        <v>0.20896096096096084</v>
      </c>
      <c r="Q93" s="239">
        <f t="shared" si="92"/>
        <v>0.10604627440070491</v>
      </c>
      <c r="R93" s="239">
        <f t="shared" si="92"/>
        <v>-0.25615228426395964</v>
      </c>
      <c r="S93" s="239">
        <f t="shared" si="92"/>
        <v>-5.6790028866230413E-3</v>
      </c>
      <c r="T93" s="239">
        <f t="shared" si="92"/>
        <v>0.22553875171293303</v>
      </c>
      <c r="U93" s="239">
        <f t="shared" si="92"/>
        <v>1.6444296501691102E-2</v>
      </c>
      <c r="V93" s="239">
        <f t="shared" si="92"/>
        <v>1.5166139525508049E-2</v>
      </c>
      <c r="W93" s="239">
        <f t="shared" si="92"/>
        <v>1.397578611906547E-2</v>
      </c>
      <c r="X93" s="239">
        <f t="shared" si="92"/>
        <v>1.2864508047879974E-2</v>
      </c>
      <c r="Y93" s="239">
        <f t="shared" si="92"/>
        <v>1.182469705886624E-2</v>
      </c>
      <c r="Z93" s="239">
        <f t="shared" si="92"/>
        <v>1.084969082536813E-2</v>
      </c>
      <c r="AA93" s="92"/>
      <c r="AB93" s="92" t="s">
        <v>631</v>
      </c>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1"/>
      <c r="BC93" s="91"/>
      <c r="BD93" s="91"/>
      <c r="BE93" s="91"/>
      <c r="BF93" s="91"/>
      <c r="BG93" s="91"/>
      <c r="BH93" s="91"/>
      <c r="BI93" s="91"/>
      <c r="BJ93" s="91"/>
      <c r="BK93" s="91"/>
      <c r="BL93" s="91"/>
      <c r="BM93" s="91"/>
      <c r="BN93" s="91"/>
      <c r="BO93" s="91"/>
      <c r="BP93" s="91"/>
      <c r="BQ93" s="91"/>
      <c r="BR93" s="91"/>
      <c r="BS93" s="91"/>
      <c r="BT93" s="91"/>
      <c r="BU93" s="91"/>
      <c r="BV93" s="103" t="e">
        <f t="shared" si="93"/>
        <v>#DIV/0!</v>
      </c>
      <c r="BW93" s="103" t="e">
        <f t="shared" si="93"/>
        <v>#DIV/0!</v>
      </c>
      <c r="BX93" s="103" t="e">
        <f t="shared" si="93"/>
        <v>#DIV/0!</v>
      </c>
      <c r="BY93" s="103" t="e">
        <f t="shared" si="93"/>
        <v>#DIV/0!</v>
      </c>
      <c r="BZ93" s="103">
        <f t="shared" si="93"/>
        <v>7.9646017699114946E-2</v>
      </c>
      <c r="CA93" s="103">
        <f t="shared" si="93"/>
        <v>6.9264069264069139E-2</v>
      </c>
      <c r="CB93" s="103">
        <f t="shared" si="93"/>
        <v>8.1896551724138122E-2</v>
      </c>
      <c r="CC93" s="103">
        <f t="shared" si="93"/>
        <v>9.3617021276594992E-2</v>
      </c>
      <c r="CD93" s="103">
        <f t="shared" si="93"/>
        <v>8.1967213114754189E-2</v>
      </c>
      <c r="CE93" s="91"/>
      <c r="CF93" s="92"/>
      <c r="CG93" s="92"/>
    </row>
    <row r="94" spans="1:85" ht="15" hidden="1" customHeight="1">
      <c r="A94" s="92" t="s">
        <v>632</v>
      </c>
      <c r="B94" s="175"/>
      <c r="C94" s="175"/>
      <c r="D94" s="175"/>
      <c r="E94" s="175"/>
      <c r="F94" s="175"/>
      <c r="G94" s="175"/>
      <c r="H94" s="175"/>
      <c r="I94" s="175"/>
      <c r="J94" s="175"/>
      <c r="K94" s="175"/>
      <c r="L94" s="175"/>
      <c r="M94" s="240"/>
      <c r="N94" s="240">
        <f t="shared" si="92"/>
        <v>0.99328859060402674</v>
      </c>
      <c r="O94" s="240">
        <f t="shared" si="92"/>
        <v>-3.3670033670032407E-3</v>
      </c>
      <c r="P94" s="240">
        <f t="shared" si="92"/>
        <v>0.16578378378378389</v>
      </c>
      <c r="Q94" s="240">
        <f t="shared" si="92"/>
        <v>0.10604627440070469</v>
      </c>
      <c r="R94" s="240">
        <f t="shared" si="92"/>
        <v>-0.25615228426395953</v>
      </c>
      <c r="S94" s="240">
        <f t="shared" si="92"/>
        <v>-5.6790028866231523E-3</v>
      </c>
      <c r="T94" s="240">
        <f t="shared" si="92"/>
        <v>0.22553875171293325</v>
      </c>
      <c r="U94" s="240">
        <f t="shared" si="92"/>
        <v>1.644429650169088E-2</v>
      </c>
      <c r="V94" s="240">
        <f t="shared" si="92"/>
        <v>1.5166139525508271E-2</v>
      </c>
      <c r="W94" s="240">
        <f t="shared" si="92"/>
        <v>1.397578611906547E-2</v>
      </c>
      <c r="X94" s="240">
        <f t="shared" si="92"/>
        <v>1.2864508047879974E-2</v>
      </c>
      <c r="Y94" s="240">
        <f t="shared" si="92"/>
        <v>1.1824697058866462E-2</v>
      </c>
      <c r="Z94" s="240">
        <f t="shared" si="92"/>
        <v>1.0849690825367908E-2</v>
      </c>
      <c r="AA94" s="92"/>
      <c r="AB94" s="92" t="s">
        <v>632</v>
      </c>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1"/>
      <c r="BC94" s="91"/>
      <c r="BD94" s="91"/>
      <c r="BE94" s="91"/>
      <c r="BF94" s="91"/>
      <c r="BG94" s="91"/>
      <c r="BH94" s="91"/>
      <c r="BI94" s="91"/>
      <c r="BJ94" s="91"/>
      <c r="BK94" s="91"/>
      <c r="BL94" s="91"/>
      <c r="BM94" s="91"/>
      <c r="BN94" s="91"/>
      <c r="BO94" s="91"/>
      <c r="BP94" s="91"/>
      <c r="BQ94" s="91"/>
      <c r="BR94" s="91"/>
      <c r="BS94" s="91"/>
      <c r="BT94" s="91"/>
      <c r="BU94" s="91"/>
      <c r="BV94" s="103" t="e">
        <f t="shared" si="93"/>
        <v>#DIV/0!</v>
      </c>
      <c r="BW94" s="103" t="e">
        <f t="shared" si="93"/>
        <v>#DIV/0!</v>
      </c>
      <c r="BX94" s="103" t="e">
        <f t="shared" si="93"/>
        <v>#DIV/0!</v>
      </c>
      <c r="BY94" s="103" t="e">
        <f t="shared" si="93"/>
        <v>#DIV/0!</v>
      </c>
      <c r="BZ94" s="103">
        <f t="shared" si="93"/>
        <v>4.2253521126760729E-2</v>
      </c>
      <c r="CA94" s="103">
        <f t="shared" si="93"/>
        <v>0</v>
      </c>
      <c r="CB94" s="103">
        <f t="shared" si="93"/>
        <v>-3.9473684210526327E-2</v>
      </c>
      <c r="CC94" s="103">
        <f t="shared" si="93"/>
        <v>-1.3157894736841924E-2</v>
      </c>
      <c r="CD94" s="103">
        <f t="shared" si="93"/>
        <v>1.3513513513513375E-2</v>
      </c>
      <c r="CE94" s="91"/>
      <c r="CF94" s="92"/>
      <c r="CG94" s="92"/>
    </row>
    <row r="95" spans="1:85" ht="15" hidden="1" customHeight="1">
      <c r="A95" s="92" t="s">
        <v>633</v>
      </c>
      <c r="B95" s="92"/>
      <c r="C95" s="92"/>
      <c r="D95" s="92"/>
      <c r="E95" s="92"/>
      <c r="F95" s="92"/>
      <c r="G95" s="92"/>
      <c r="H95" s="92"/>
      <c r="I95" s="92"/>
      <c r="J95" s="92"/>
      <c r="K95" s="92"/>
      <c r="L95" s="92"/>
      <c r="M95" s="239"/>
      <c r="N95" s="239">
        <f t="shared" si="92"/>
        <v>1.0513595166163143</v>
      </c>
      <c r="O95" s="239">
        <f t="shared" si="92"/>
        <v>2.9455081001472649E-2</v>
      </c>
      <c r="P95" s="239">
        <f t="shared" si="92"/>
        <v>0.23416309012875525</v>
      </c>
      <c r="Q95" s="239">
        <f t="shared" si="92"/>
        <v>0.10604627440070491</v>
      </c>
      <c r="R95" s="239">
        <f t="shared" si="92"/>
        <v>-0.25615228426395964</v>
      </c>
      <c r="S95" s="239">
        <f t="shared" si="92"/>
        <v>-5.6790028866230413E-3</v>
      </c>
      <c r="T95" s="239">
        <f t="shared" si="92"/>
        <v>0.22553875171293325</v>
      </c>
      <c r="U95" s="239">
        <f t="shared" si="92"/>
        <v>1.644429650169088E-2</v>
      </c>
      <c r="V95" s="239">
        <f t="shared" si="92"/>
        <v>1.5166139525508049E-2</v>
      </c>
      <c r="W95" s="239">
        <f t="shared" si="92"/>
        <v>1.3975786119065692E-2</v>
      </c>
      <c r="X95" s="239">
        <f t="shared" si="92"/>
        <v>1.2864508047879752E-2</v>
      </c>
      <c r="Y95" s="239">
        <f t="shared" si="92"/>
        <v>1.1824697058866462E-2</v>
      </c>
      <c r="Z95" s="239">
        <f t="shared" si="92"/>
        <v>1.084969082536813E-2</v>
      </c>
      <c r="AA95" s="92"/>
      <c r="AB95" s="92" t="s">
        <v>633</v>
      </c>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1"/>
      <c r="BC95" s="91"/>
      <c r="BD95" s="91"/>
      <c r="BE95" s="91"/>
      <c r="BF95" s="91"/>
      <c r="BG95" s="91"/>
      <c r="BH95" s="91"/>
      <c r="BI95" s="91"/>
      <c r="BJ95" s="91"/>
      <c r="BK95" s="91"/>
      <c r="BL95" s="91"/>
      <c r="BM95" s="91"/>
      <c r="BN95" s="91"/>
      <c r="BO95" s="91"/>
      <c r="BP95" s="91"/>
      <c r="BQ95" s="91"/>
      <c r="BR95" s="91"/>
      <c r="BS95" s="91"/>
      <c r="BT95" s="91"/>
      <c r="BU95" s="91"/>
      <c r="BV95" s="103" t="e">
        <f t="shared" si="93"/>
        <v>#DIV/0!</v>
      </c>
      <c r="BW95" s="103" t="e">
        <f t="shared" si="93"/>
        <v>#DIV/0!</v>
      </c>
      <c r="BX95" s="103" t="e">
        <f t="shared" si="93"/>
        <v>#DIV/0!</v>
      </c>
      <c r="BY95" s="103" t="e">
        <f t="shared" si="93"/>
        <v>#DIV/0!</v>
      </c>
      <c r="BZ95" s="103">
        <f t="shared" si="93"/>
        <v>1.780415430267035E-2</v>
      </c>
      <c r="CA95" s="103">
        <f t="shared" si="93"/>
        <v>3.0882352941176583E-2</v>
      </c>
      <c r="CB95" s="103">
        <f t="shared" si="93"/>
        <v>2.6431718061674214E-2</v>
      </c>
      <c r="CC95" s="103">
        <f t="shared" si="93"/>
        <v>4.2584434654918901E-2</v>
      </c>
      <c r="CD95" s="103">
        <f t="shared" si="93"/>
        <v>4.5189504373177813E-2</v>
      </c>
      <c r="CE95" s="91"/>
      <c r="CF95" s="92"/>
      <c r="CG95" s="92"/>
    </row>
    <row r="96" spans="1:85" ht="15" hidden="1" customHeight="1">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2"/>
      <c r="CG96" s="92"/>
    </row>
    <row r="97" spans="1:85" ht="15" hidden="1" customHeight="1">
      <c r="A97" s="92" t="s">
        <v>634</v>
      </c>
      <c r="B97" s="92"/>
      <c r="C97" s="92"/>
      <c r="D97" s="92"/>
      <c r="E97" s="92"/>
      <c r="F97" s="92"/>
      <c r="G97" s="92"/>
      <c r="H97" s="92"/>
      <c r="I97" s="92"/>
      <c r="J97" s="92"/>
      <c r="K97" s="92"/>
      <c r="L97" s="92"/>
      <c r="M97" s="239">
        <f t="shared" ref="M97:O100" si="94">M87/M$90</f>
        <v>0.54078549848942592</v>
      </c>
      <c r="N97" s="239">
        <f t="shared" si="94"/>
        <v>0.55044182621502202</v>
      </c>
      <c r="O97" s="239">
        <f t="shared" si="94"/>
        <v>0.5368383404864091</v>
      </c>
      <c r="P97" s="241">
        <v>0.55000000000000004</v>
      </c>
      <c r="Q97" s="241">
        <v>0.55000000000000004</v>
      </c>
      <c r="R97" s="241">
        <v>0.55000000000000004</v>
      </c>
      <c r="S97" s="241">
        <v>0.55000000000000004</v>
      </c>
      <c r="T97" s="241">
        <v>0.55000000000000004</v>
      </c>
      <c r="U97" s="241">
        <v>0.55000000000000004</v>
      </c>
      <c r="V97" s="241">
        <v>0.55000000000000004</v>
      </c>
      <c r="W97" s="241">
        <v>0.55000000000000004</v>
      </c>
      <c r="X97" s="241">
        <v>0.55000000000000004</v>
      </c>
      <c r="Y97" s="241">
        <v>0.55000000000000004</v>
      </c>
      <c r="Z97" s="241">
        <v>0.55000000000000004</v>
      </c>
      <c r="AA97" s="92"/>
      <c r="AB97" s="92" t="s">
        <v>634</v>
      </c>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2"/>
      <c r="CG97" s="92"/>
    </row>
    <row r="98" spans="1:85" ht="15" hidden="1" customHeight="1">
      <c r="A98" s="92" t="s">
        <v>635</v>
      </c>
      <c r="B98" s="92"/>
      <c r="C98" s="92"/>
      <c r="D98" s="92"/>
      <c r="E98" s="92"/>
      <c r="F98" s="92"/>
      <c r="G98" s="92"/>
      <c r="H98" s="92"/>
      <c r="I98" s="92"/>
      <c r="J98" s="92"/>
      <c r="K98" s="92"/>
      <c r="L98" s="92"/>
      <c r="M98" s="239">
        <f t="shared" si="94"/>
        <v>0.34667673716012082</v>
      </c>
      <c r="N98" s="239">
        <f t="shared" si="94"/>
        <v>0.34020618556701032</v>
      </c>
      <c r="O98" s="239">
        <f t="shared" si="94"/>
        <v>0.3572961373390558</v>
      </c>
      <c r="P98" s="241">
        <v>0.35</v>
      </c>
      <c r="Q98" s="241">
        <v>0.35</v>
      </c>
      <c r="R98" s="241">
        <v>0.35</v>
      </c>
      <c r="S98" s="241">
        <v>0.35</v>
      </c>
      <c r="T98" s="241">
        <v>0.35</v>
      </c>
      <c r="U98" s="241">
        <v>0.35</v>
      </c>
      <c r="V98" s="241">
        <v>0.35</v>
      </c>
      <c r="W98" s="241">
        <v>0.35</v>
      </c>
      <c r="X98" s="241">
        <v>0.35</v>
      </c>
      <c r="Y98" s="241">
        <v>0.35</v>
      </c>
      <c r="Z98" s="241">
        <v>0.35</v>
      </c>
      <c r="AA98" s="92"/>
      <c r="AB98" s="92" t="s">
        <v>635</v>
      </c>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1"/>
      <c r="BC98" s="91"/>
      <c r="BD98" s="91"/>
      <c r="BE98" s="91"/>
      <c r="BF98" s="91"/>
      <c r="BG98" s="91"/>
      <c r="BH98" s="91"/>
      <c r="BI98" s="91"/>
      <c r="BJ98" s="91"/>
      <c r="BK98" s="91"/>
      <c r="BL98" s="91"/>
      <c r="BM98" s="91"/>
      <c r="BN98" s="91"/>
      <c r="BO98" s="91"/>
      <c r="BP98" s="91"/>
      <c r="BQ98" s="91"/>
      <c r="BR98" s="91"/>
      <c r="BS98" s="91"/>
      <c r="BT98" s="91"/>
      <c r="BU98" s="91"/>
      <c r="BV98" s="103">
        <f t="shared" ref="BV98:CD100" si="95">BV87/BV$90</f>
        <v>0.55934718100890202</v>
      </c>
      <c r="BW98" s="103">
        <f t="shared" si="95"/>
        <v>0.55147058823529416</v>
      </c>
      <c r="BX98" s="103">
        <f t="shared" si="95"/>
        <v>0.54772393538913366</v>
      </c>
      <c r="BY98" s="103">
        <f t="shared" si="95"/>
        <v>0.54331864904552107</v>
      </c>
      <c r="BZ98" s="103">
        <f t="shared" si="95"/>
        <v>0.53644314868804666</v>
      </c>
      <c r="CA98" s="103">
        <f t="shared" si="95"/>
        <v>0.54208273894436509</v>
      </c>
      <c r="CB98" s="103">
        <f t="shared" si="95"/>
        <v>0.53648068669527893</v>
      </c>
      <c r="CC98" s="103">
        <f t="shared" si="95"/>
        <v>0.53239436619718306</v>
      </c>
      <c r="CD98" s="103">
        <f t="shared" si="95"/>
        <v>0.52719665271966532</v>
      </c>
      <c r="CE98" s="91"/>
      <c r="CF98" s="92"/>
      <c r="CG98" s="92"/>
    </row>
    <row r="99" spans="1:85" ht="15" hidden="1" customHeight="1">
      <c r="A99" s="92" t="s">
        <v>636</v>
      </c>
      <c r="B99" s="175"/>
      <c r="C99" s="175"/>
      <c r="D99" s="175"/>
      <c r="E99" s="175"/>
      <c r="F99" s="175"/>
      <c r="G99" s="175"/>
      <c r="H99" s="175"/>
      <c r="I99" s="175"/>
      <c r="J99" s="175"/>
      <c r="K99" s="175"/>
      <c r="L99" s="175"/>
      <c r="M99" s="240">
        <f t="shared" si="94"/>
        <v>0.11253776435045316</v>
      </c>
      <c r="N99" s="240">
        <f t="shared" si="94"/>
        <v>0.10935198821796759</v>
      </c>
      <c r="O99" s="240">
        <f t="shared" si="94"/>
        <v>0.10586552217453504</v>
      </c>
      <c r="P99" s="242">
        <v>0.1</v>
      </c>
      <c r="Q99" s="242">
        <v>0.1</v>
      </c>
      <c r="R99" s="242">
        <v>0.1</v>
      </c>
      <c r="S99" s="242">
        <v>0.1</v>
      </c>
      <c r="T99" s="242">
        <v>0.1</v>
      </c>
      <c r="U99" s="242">
        <v>0.1</v>
      </c>
      <c r="V99" s="242">
        <v>0.1</v>
      </c>
      <c r="W99" s="242">
        <v>0.1</v>
      </c>
      <c r="X99" s="242">
        <v>0.1</v>
      </c>
      <c r="Y99" s="242">
        <v>0.1</v>
      </c>
      <c r="Z99" s="242">
        <v>0.1</v>
      </c>
      <c r="AA99" s="92"/>
      <c r="AB99" s="92" t="s">
        <v>636</v>
      </c>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1"/>
      <c r="BC99" s="91"/>
      <c r="BD99" s="91"/>
      <c r="BE99" s="91"/>
      <c r="BF99" s="91"/>
      <c r="BG99" s="91"/>
      <c r="BH99" s="91"/>
      <c r="BI99" s="91"/>
      <c r="BJ99" s="91"/>
      <c r="BK99" s="91"/>
      <c r="BL99" s="91"/>
      <c r="BM99" s="91"/>
      <c r="BN99" s="91"/>
      <c r="BO99" s="91"/>
      <c r="BP99" s="91"/>
      <c r="BQ99" s="91"/>
      <c r="BR99" s="91"/>
      <c r="BS99" s="91"/>
      <c r="BT99" s="91"/>
      <c r="BU99" s="91"/>
      <c r="BV99" s="103">
        <f t="shared" si="95"/>
        <v>0.33531157270029671</v>
      </c>
      <c r="BW99" s="103">
        <f t="shared" si="95"/>
        <v>0.33970588235294119</v>
      </c>
      <c r="BX99" s="103">
        <f t="shared" si="95"/>
        <v>0.34067547723935393</v>
      </c>
      <c r="BY99" s="103">
        <f t="shared" si="95"/>
        <v>0.34508076358296624</v>
      </c>
      <c r="BZ99" s="103">
        <f t="shared" si="95"/>
        <v>0.35568513119533529</v>
      </c>
      <c r="CA99" s="103">
        <f t="shared" si="95"/>
        <v>0.35235378031383729</v>
      </c>
      <c r="CB99" s="103">
        <f t="shared" si="95"/>
        <v>0.35908440629470673</v>
      </c>
      <c r="CC99" s="103">
        <f t="shared" si="95"/>
        <v>0.36197183098591545</v>
      </c>
      <c r="CD99" s="103">
        <f t="shared" si="95"/>
        <v>0.3682008368200837</v>
      </c>
      <c r="CE99" s="91"/>
      <c r="CF99" s="92"/>
      <c r="CG99" s="92"/>
    </row>
    <row r="100" spans="1:85" ht="15" hidden="1" customHeight="1">
      <c r="A100" s="92" t="s">
        <v>637</v>
      </c>
      <c r="B100" s="92"/>
      <c r="C100" s="92"/>
      <c r="D100" s="92"/>
      <c r="E100" s="92"/>
      <c r="F100" s="92"/>
      <c r="G100" s="92"/>
      <c r="H100" s="92"/>
      <c r="I100" s="92"/>
      <c r="J100" s="92"/>
      <c r="K100" s="92"/>
      <c r="L100" s="92"/>
      <c r="M100" s="239">
        <f t="shared" si="94"/>
        <v>1</v>
      </c>
      <c r="N100" s="239">
        <f t="shared" si="94"/>
        <v>1</v>
      </c>
      <c r="O100" s="239">
        <f t="shared" si="94"/>
        <v>1</v>
      </c>
      <c r="P100" s="241">
        <f t="shared" ref="P100:Z100" si="96">SUM(P97:P99)</f>
        <v>1</v>
      </c>
      <c r="Q100" s="241">
        <f t="shared" si="96"/>
        <v>1</v>
      </c>
      <c r="R100" s="241">
        <f t="shared" si="96"/>
        <v>1</v>
      </c>
      <c r="S100" s="241">
        <f t="shared" si="96"/>
        <v>1</v>
      </c>
      <c r="T100" s="241">
        <f t="shared" si="96"/>
        <v>1</v>
      </c>
      <c r="U100" s="241">
        <f t="shared" si="96"/>
        <v>1</v>
      </c>
      <c r="V100" s="241">
        <f t="shared" si="96"/>
        <v>1</v>
      </c>
      <c r="W100" s="241">
        <f t="shared" si="96"/>
        <v>1</v>
      </c>
      <c r="X100" s="241">
        <f t="shared" si="96"/>
        <v>1</v>
      </c>
      <c r="Y100" s="241">
        <f t="shared" si="96"/>
        <v>1</v>
      </c>
      <c r="Z100" s="241">
        <f t="shared" si="96"/>
        <v>1</v>
      </c>
      <c r="AA100" s="92"/>
      <c r="AB100" s="92" t="s">
        <v>637</v>
      </c>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1"/>
      <c r="BC100" s="91"/>
      <c r="BD100" s="91"/>
      <c r="BE100" s="91"/>
      <c r="BF100" s="91"/>
      <c r="BG100" s="91"/>
      <c r="BH100" s="91"/>
      <c r="BI100" s="91"/>
      <c r="BJ100" s="91"/>
      <c r="BK100" s="91"/>
      <c r="BL100" s="91"/>
      <c r="BM100" s="91"/>
      <c r="BN100" s="91"/>
      <c r="BO100" s="91"/>
      <c r="BP100" s="91"/>
      <c r="BQ100" s="91"/>
      <c r="BR100" s="91"/>
      <c r="BS100" s="91"/>
      <c r="BT100" s="91"/>
      <c r="BU100" s="91"/>
      <c r="BV100" s="103">
        <f t="shared" si="95"/>
        <v>0.10534124629080117</v>
      </c>
      <c r="BW100" s="103">
        <f t="shared" si="95"/>
        <v>0.10882352941176471</v>
      </c>
      <c r="BX100" s="103">
        <f t="shared" si="95"/>
        <v>0.11160058737151249</v>
      </c>
      <c r="BY100" s="103">
        <f t="shared" si="95"/>
        <v>0.11160058737151246</v>
      </c>
      <c r="BZ100" s="103">
        <f t="shared" si="95"/>
        <v>0.10787172011661809</v>
      </c>
      <c r="CA100" s="103">
        <f t="shared" si="95"/>
        <v>0.10556348074179743</v>
      </c>
      <c r="CB100" s="103">
        <f t="shared" si="95"/>
        <v>0.10443490701001429</v>
      </c>
      <c r="CC100" s="103">
        <f t="shared" si="95"/>
        <v>0.10563380281690145</v>
      </c>
      <c r="CD100" s="103">
        <f t="shared" si="95"/>
        <v>0.10460251046025107</v>
      </c>
      <c r="CE100" s="91"/>
      <c r="CF100" s="92"/>
      <c r="CG100" s="92"/>
    </row>
    <row r="101" spans="1:85" ht="15" hidden="1" customHeight="1">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2"/>
      <c r="CG101" s="92"/>
    </row>
    <row r="102" spans="1:85" ht="15" hidden="1" customHeight="1">
      <c r="A102" s="92" t="s">
        <v>638</v>
      </c>
      <c r="B102" s="92"/>
      <c r="C102" s="92"/>
      <c r="D102" s="92"/>
      <c r="E102" s="92"/>
      <c r="F102" s="92"/>
      <c r="G102" s="92"/>
      <c r="H102" s="92"/>
      <c r="I102" s="92"/>
      <c r="J102" s="92"/>
      <c r="K102" s="92"/>
      <c r="L102" s="92"/>
      <c r="M102" s="236">
        <f t="shared" ref="M102:Z104" si="97">M87/(AVERAGE(L10:M10)/1000)/12</f>
        <v>41.87134502923977</v>
      </c>
      <c r="N102" s="236">
        <f t="shared" si="97"/>
        <v>59.838296509766252</v>
      </c>
      <c r="O102" s="236">
        <f t="shared" si="97"/>
        <v>58.124225526641879</v>
      </c>
      <c r="P102" s="236">
        <f t="shared" si="97"/>
        <v>65.381562629185623</v>
      </c>
      <c r="Q102" s="236">
        <f t="shared" si="97"/>
        <v>66.614648387915722</v>
      </c>
      <c r="R102" s="236">
        <f t="shared" si="97"/>
        <v>49.797677192328081</v>
      </c>
      <c r="S102" s="236">
        <f t="shared" si="97"/>
        <v>49.268533372941029</v>
      </c>
      <c r="T102" s="236">
        <f t="shared" si="97"/>
        <v>59.782670186733789</v>
      </c>
      <c r="U102" s="236">
        <f t="shared" si="97"/>
        <v>60.164113010838854</v>
      </c>
      <c r="V102" s="236">
        <f t="shared" si="97"/>
        <v>60.471851824940245</v>
      </c>
      <c r="W102" s="236">
        <f t="shared" si="97"/>
        <v>60.709894546801429</v>
      </c>
      <c r="X102" s="236">
        <f t="shared" si="97"/>
        <v>60.88207670671752</v>
      </c>
      <c r="Y102" s="236">
        <f t="shared" si="97"/>
        <v>60.992068138702088</v>
      </c>
      <c r="Z102" s="236">
        <f t="shared" si="97"/>
        <v>61.043379426541378</v>
      </c>
      <c r="AA102" s="92"/>
      <c r="AB102" s="92" t="s">
        <v>638</v>
      </c>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1"/>
      <c r="BC102" s="91"/>
      <c r="BD102" s="91"/>
      <c r="BE102" s="91"/>
      <c r="BF102" s="91"/>
      <c r="BG102" s="91"/>
      <c r="BH102" s="91"/>
      <c r="BI102" s="91"/>
      <c r="BJ102" s="91"/>
      <c r="BK102" s="91"/>
      <c r="BL102" s="91"/>
      <c r="BM102" s="91"/>
      <c r="BN102" s="91"/>
      <c r="BO102" s="91"/>
      <c r="BP102" s="91"/>
      <c r="BQ102" s="91"/>
      <c r="BR102" s="91"/>
      <c r="BS102" s="91"/>
      <c r="BT102" s="91"/>
      <c r="BU102" s="91"/>
      <c r="BV102" s="107">
        <f t="shared" ref="BV102:CD104" si="98">BV87/(AVERAGE(BU10:BV10)/1000)/3</f>
        <v>61.107058918875119</v>
      </c>
      <c r="BW102" s="107">
        <f t="shared" si="98"/>
        <v>60.65016982047549</v>
      </c>
      <c r="BX102" s="107">
        <f t="shared" si="98"/>
        <v>59.804393137726464</v>
      </c>
      <c r="BY102" s="107">
        <f t="shared" si="98"/>
        <v>58.800158919348434</v>
      </c>
      <c r="BZ102" s="107">
        <f t="shared" si="98"/>
        <v>57.766266384114282</v>
      </c>
      <c r="CA102" s="107">
        <f t="shared" si="98"/>
        <v>58.969584109248906</v>
      </c>
      <c r="CB102" s="107">
        <f t="shared" si="98"/>
        <v>57.696745903531045</v>
      </c>
      <c r="CC102" s="107">
        <f t="shared" si="98"/>
        <v>57.560529922338958</v>
      </c>
      <c r="CD102" s="107">
        <f t="shared" si="98"/>
        <v>57.233704292527818</v>
      </c>
      <c r="CE102" s="91"/>
      <c r="CF102" s="92"/>
      <c r="CG102" s="92"/>
    </row>
    <row r="103" spans="1:85" ht="15" hidden="1" customHeight="1">
      <c r="A103" s="92" t="s">
        <v>640</v>
      </c>
      <c r="B103" s="92"/>
      <c r="C103" s="92"/>
      <c r="D103" s="92"/>
      <c r="E103" s="92"/>
      <c r="F103" s="92"/>
      <c r="G103" s="92"/>
      <c r="H103" s="92"/>
      <c r="I103" s="92"/>
      <c r="J103" s="92"/>
      <c r="K103" s="92"/>
      <c r="L103" s="92"/>
      <c r="M103" s="236">
        <f t="shared" si="97"/>
        <v>28.846153846153843</v>
      </c>
      <c r="N103" s="236">
        <f t="shared" si="97"/>
        <v>41.487068965517246</v>
      </c>
      <c r="O103" s="236">
        <f t="shared" si="97"/>
        <v>41.366459627329192</v>
      </c>
      <c r="P103" s="236">
        <f t="shared" si="97"/>
        <v>38.029850746268657</v>
      </c>
      <c r="Q103" s="236">
        <f t="shared" si="97"/>
        <v>34.357757201646095</v>
      </c>
      <c r="R103" s="236">
        <f t="shared" si="97"/>
        <v>24.607572971089365</v>
      </c>
      <c r="S103" s="236">
        <f t="shared" si="97"/>
        <v>23.42368027011733</v>
      </c>
      <c r="T103" s="236">
        <f t="shared" si="97"/>
        <v>27.531731785497957</v>
      </c>
      <c r="U103" s="236">
        <f t="shared" si="97"/>
        <v>26.884164862323278</v>
      </c>
      <c r="V103" s="236">
        <f t="shared" si="97"/>
        <v>26.259413636051079</v>
      </c>
      <c r="W103" s="236">
        <f t="shared" si="97"/>
        <v>25.655823573049815</v>
      </c>
      <c r="X103" s="236">
        <f t="shared" si="97"/>
        <v>25.071950268824722</v>
      </c>
      <c r="Y103" s="236">
        <f t="shared" si="97"/>
        <v>24.506524312650669</v>
      </c>
      <c r="Z103" s="236">
        <f t="shared" si="97"/>
        <v>23.958423066006091</v>
      </c>
      <c r="AA103" s="92"/>
      <c r="AB103" s="92" t="s">
        <v>640</v>
      </c>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1"/>
      <c r="BC103" s="91"/>
      <c r="BD103" s="91"/>
      <c r="BE103" s="91"/>
      <c r="BF103" s="91"/>
      <c r="BG103" s="91"/>
      <c r="BH103" s="91"/>
      <c r="BI103" s="91"/>
      <c r="BJ103" s="91"/>
      <c r="BK103" s="91"/>
      <c r="BL103" s="91"/>
      <c r="BM103" s="91"/>
      <c r="BN103" s="91"/>
      <c r="BO103" s="91"/>
      <c r="BP103" s="91"/>
      <c r="BQ103" s="91"/>
      <c r="BR103" s="91"/>
      <c r="BS103" s="91"/>
      <c r="BT103" s="91"/>
      <c r="BU103" s="91"/>
      <c r="BV103" s="107">
        <f t="shared" si="98"/>
        <v>41.517406080646644</v>
      </c>
      <c r="BW103" s="107">
        <f t="shared" si="98"/>
        <v>41.576673866090722</v>
      </c>
      <c r="BX103" s="107">
        <f t="shared" si="98"/>
        <v>41.288485495639783</v>
      </c>
      <c r="BY103" s="107">
        <f t="shared" si="98"/>
        <v>41.195547374879503</v>
      </c>
      <c r="BZ103" s="107">
        <f t="shared" si="98"/>
        <v>41.795135320315175</v>
      </c>
      <c r="CA103" s="107">
        <f t="shared" si="98"/>
        <v>41.540531449714095</v>
      </c>
      <c r="CB103" s="107">
        <f t="shared" si="98"/>
        <v>41.347500205913839</v>
      </c>
      <c r="CC103" s="107">
        <f t="shared" si="98"/>
        <v>41.225537375681732</v>
      </c>
      <c r="CD103" s="107">
        <f t="shared" si="98"/>
        <v>41.480084845628092</v>
      </c>
      <c r="CE103" s="91"/>
      <c r="CF103" s="92"/>
      <c r="CG103" s="92"/>
    </row>
    <row r="104" spans="1:85" ht="15" hidden="1" customHeight="1">
      <c r="A104" s="92" t="s">
        <v>642</v>
      </c>
      <c r="B104" s="175"/>
      <c r="C104" s="175"/>
      <c r="D104" s="175"/>
      <c r="E104" s="175"/>
      <c r="F104" s="175"/>
      <c r="G104" s="175"/>
      <c r="H104" s="175"/>
      <c r="I104" s="175"/>
      <c r="J104" s="175"/>
      <c r="K104" s="175"/>
      <c r="L104" s="175"/>
      <c r="M104" s="238">
        <f t="shared" si="97"/>
        <v>17.281373231268848</v>
      </c>
      <c r="N104" s="238">
        <f t="shared" si="97"/>
        <v>21.767810026385224</v>
      </c>
      <c r="O104" s="238">
        <f t="shared" si="97"/>
        <v>16.791468118901751</v>
      </c>
      <c r="P104" s="238">
        <f t="shared" si="97"/>
        <v>16.214265576543557</v>
      </c>
      <c r="Q104" s="238">
        <f t="shared" si="97"/>
        <v>15.792188017212846</v>
      </c>
      <c r="R104" s="238">
        <f t="shared" si="97"/>
        <v>10.937782583411362</v>
      </c>
      <c r="S104" s="238">
        <f t="shared" si="97"/>
        <v>10.170370718233885</v>
      </c>
      <c r="T104" s="238">
        <f t="shared" si="97"/>
        <v>11.7050979634418</v>
      </c>
      <c r="U104" s="238">
        <f t="shared" si="97"/>
        <v>11.214596134685181</v>
      </c>
      <c r="V104" s="238">
        <f t="shared" si="97"/>
        <v>10.766617555135985</v>
      </c>
      <c r="W104" s="238">
        <f t="shared" si="97"/>
        <v>10.3549324705115</v>
      </c>
      <c r="X104" s="238">
        <f t="shared" si="97"/>
        <v>9.9745224473240466</v>
      </c>
      <c r="Y104" s="238">
        <f t="shared" si="97"/>
        <v>9.6212978382777745</v>
      </c>
      <c r="Z104" s="238">
        <f t="shared" si="97"/>
        <v>9.2918908539414478</v>
      </c>
      <c r="AA104" s="92"/>
      <c r="AB104" s="92" t="s">
        <v>642</v>
      </c>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1"/>
      <c r="BC104" s="91"/>
      <c r="BD104" s="91"/>
      <c r="BE104" s="91"/>
      <c r="BF104" s="91"/>
      <c r="BG104" s="91"/>
      <c r="BH104" s="91"/>
      <c r="BI104" s="91"/>
      <c r="BJ104" s="91"/>
      <c r="BK104" s="91"/>
      <c r="BL104" s="91"/>
      <c r="BM104" s="91"/>
      <c r="BN104" s="91"/>
      <c r="BO104" s="91"/>
      <c r="BP104" s="91"/>
      <c r="BQ104" s="91"/>
      <c r="BR104" s="91"/>
      <c r="BS104" s="91"/>
      <c r="BT104" s="91"/>
      <c r="BU104" s="91"/>
      <c r="BV104" s="107">
        <f t="shared" si="98"/>
        <v>24.051490514905151</v>
      </c>
      <c r="BW104" s="107">
        <f t="shared" si="98"/>
        <v>22.945736434108529</v>
      </c>
      <c r="BX104" s="107">
        <f t="shared" si="98"/>
        <v>21.60625444207534</v>
      </c>
      <c r="BY104" s="107">
        <f t="shared" si="98"/>
        <v>19.861492225271139</v>
      </c>
      <c r="BZ104" s="107">
        <f t="shared" si="98"/>
        <v>17.945919728386084</v>
      </c>
      <c r="CA104" s="107">
        <f t="shared" si="98"/>
        <v>17.0762662974501</v>
      </c>
      <c r="CB104" s="107">
        <f t="shared" si="98"/>
        <v>16.152229228897003</v>
      </c>
      <c r="CC104" s="107">
        <f t="shared" si="98"/>
        <v>15.87805652588124</v>
      </c>
      <c r="CD104" s="107">
        <f t="shared" si="98"/>
        <v>15.28117359413203</v>
      </c>
      <c r="CE104" s="91"/>
      <c r="CF104" s="92"/>
      <c r="CG104" s="92"/>
    </row>
    <row r="105" spans="1:85" ht="15" hidden="1" customHeight="1">
      <c r="A105" s="92" t="s">
        <v>644</v>
      </c>
      <c r="B105" s="92"/>
      <c r="C105" s="92"/>
      <c r="D105" s="92"/>
      <c r="E105" s="92"/>
      <c r="F105" s="92"/>
      <c r="G105" s="92"/>
      <c r="H105" s="92"/>
      <c r="I105" s="92"/>
      <c r="J105" s="92"/>
      <c r="K105" s="92"/>
      <c r="L105" s="92"/>
      <c r="M105" s="236">
        <f t="shared" ref="M105:Z105" si="99">M90/(AVERAGE(L20:M20)/1000)/12</f>
        <v>31.80093193063362</v>
      </c>
      <c r="N105" s="236">
        <f t="shared" si="99"/>
        <v>44.597701149425298</v>
      </c>
      <c r="O105" s="236">
        <f t="shared" si="99"/>
        <v>41.359723085115824</v>
      </c>
      <c r="P105" s="236">
        <f t="shared" si="99"/>
        <v>42.047082906857725</v>
      </c>
      <c r="Q105" s="236">
        <f t="shared" si="99"/>
        <v>40.36226734348562</v>
      </c>
      <c r="R105" s="236">
        <f t="shared" si="99"/>
        <v>29.060832487309643</v>
      </c>
      <c r="S105" s="236">
        <f t="shared" si="99"/>
        <v>27.825747106598985</v>
      </c>
      <c r="T105" s="236">
        <f t="shared" si="99"/>
        <v>32.834381585786801</v>
      </c>
      <c r="U105" s="236">
        <f t="shared" si="99"/>
        <v>32.177693954071067</v>
      </c>
      <c r="V105" s="236">
        <f t="shared" si="99"/>
        <v>31.534140074989647</v>
      </c>
      <c r="W105" s="236">
        <f t="shared" si="99"/>
        <v>30.903457273489849</v>
      </c>
      <c r="X105" s="236">
        <f t="shared" si="99"/>
        <v>30.285388128020049</v>
      </c>
      <c r="Y105" s="236">
        <f t="shared" si="99"/>
        <v>29.679680365459649</v>
      </c>
      <c r="Z105" s="236">
        <f t="shared" si="99"/>
        <v>29.086086758150454</v>
      </c>
      <c r="AA105" s="92"/>
      <c r="AB105" s="92" t="s">
        <v>644</v>
      </c>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1"/>
      <c r="BC105" s="91"/>
      <c r="BD105" s="91"/>
      <c r="BE105" s="91"/>
      <c r="BF105" s="91"/>
      <c r="BG105" s="91"/>
      <c r="BH105" s="91"/>
      <c r="BI105" s="91"/>
      <c r="BJ105" s="91"/>
      <c r="BK105" s="91"/>
      <c r="BL105" s="91"/>
      <c r="BM105" s="91"/>
      <c r="BN105" s="91"/>
      <c r="BO105" s="91"/>
      <c r="BP105" s="91"/>
      <c r="BQ105" s="91"/>
      <c r="BR105" s="91"/>
      <c r="BS105" s="91"/>
      <c r="BT105" s="91"/>
      <c r="BU105" s="91"/>
      <c r="BV105" s="107">
        <f t="shared" ref="BV105:CD105" si="100">BV90/(AVERAGE(BU20:BV20)/1000)/3</f>
        <v>46.275317542052875</v>
      </c>
      <c r="BW105" s="107">
        <f t="shared" si="100"/>
        <v>45.442395081529007</v>
      </c>
      <c r="BX105" s="107">
        <f t="shared" si="100"/>
        <v>44.297004585813234</v>
      </c>
      <c r="BY105" s="107">
        <f t="shared" si="100"/>
        <v>43.037254716086842</v>
      </c>
      <c r="BZ105" s="107">
        <f t="shared" si="100"/>
        <v>42.003428851334796</v>
      </c>
      <c r="CA105" s="107">
        <f t="shared" si="100"/>
        <v>41.917062815798133</v>
      </c>
      <c r="CB105" s="107">
        <f t="shared" si="100"/>
        <v>40.902308435003945</v>
      </c>
      <c r="CC105" s="107">
        <f t="shared" si="100"/>
        <v>40.514707980256212</v>
      </c>
      <c r="CD105" s="107">
        <f t="shared" si="100"/>
        <v>40.107400570565517</v>
      </c>
      <c r="CE105" s="91"/>
      <c r="CF105" s="92"/>
      <c r="CG105" s="92"/>
    </row>
    <row r="106" spans="1:85" ht="15" customHeight="1">
      <c r="A106" s="92"/>
      <c r="B106" s="92"/>
      <c r="C106" s="92"/>
      <c r="D106" s="92"/>
      <c r="E106" s="92"/>
      <c r="F106" s="92"/>
      <c r="G106" s="92"/>
      <c r="H106" s="92"/>
      <c r="I106" s="92"/>
      <c r="J106" s="92"/>
      <c r="K106" s="92"/>
      <c r="L106" s="92"/>
      <c r="M106" s="92"/>
      <c r="N106" s="236"/>
      <c r="O106" s="92"/>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243"/>
      <c r="CD106" s="91"/>
      <c r="CE106" s="91"/>
      <c r="CF106" s="92"/>
      <c r="CG106" s="92"/>
    </row>
    <row r="107" spans="1:85" s="92" customFormat="1" ht="15">
      <c r="A107" s="93" t="str">
        <f>CONCATENATE(A$1," financials")</f>
        <v>Liberty Puerto Rico financials</v>
      </c>
      <c r="B107" s="94">
        <f t="shared" ref="B107:Z107" si="101">+B$1</f>
        <v>2001</v>
      </c>
      <c r="C107" s="94">
        <f t="shared" si="101"/>
        <v>2002</v>
      </c>
      <c r="D107" s="94">
        <f t="shared" si="101"/>
        <v>2003</v>
      </c>
      <c r="E107" s="94">
        <f t="shared" si="101"/>
        <v>2004</v>
      </c>
      <c r="F107" s="94">
        <f t="shared" si="101"/>
        <v>2005</v>
      </c>
      <c r="G107" s="94">
        <f t="shared" si="101"/>
        <v>2006</v>
      </c>
      <c r="H107" s="94">
        <f t="shared" si="101"/>
        <v>2007</v>
      </c>
      <c r="I107" s="94">
        <f t="shared" si="101"/>
        <v>2008</v>
      </c>
      <c r="J107" s="94">
        <f t="shared" si="101"/>
        <v>2009</v>
      </c>
      <c r="K107" s="94">
        <f t="shared" si="101"/>
        <v>2010</v>
      </c>
      <c r="L107" s="94">
        <f t="shared" si="101"/>
        <v>2011</v>
      </c>
      <c r="M107" s="94">
        <f t="shared" si="101"/>
        <v>2012</v>
      </c>
      <c r="N107" s="94">
        <f t="shared" si="101"/>
        <v>2013</v>
      </c>
      <c r="O107" s="94">
        <f t="shared" si="101"/>
        <v>2014</v>
      </c>
      <c r="P107" s="94">
        <f t="shared" si="101"/>
        <v>2015</v>
      </c>
      <c r="Q107" s="94">
        <f t="shared" si="101"/>
        <v>2016</v>
      </c>
      <c r="R107" s="94" t="str">
        <f t="shared" si="101"/>
        <v>2017E</v>
      </c>
      <c r="S107" s="94" t="str">
        <f t="shared" si="101"/>
        <v>2018E</v>
      </c>
      <c r="T107" s="94" t="str">
        <f t="shared" si="101"/>
        <v>2019E</v>
      </c>
      <c r="U107" s="94" t="str">
        <f t="shared" si="101"/>
        <v>2020E</v>
      </c>
      <c r="V107" s="94" t="str">
        <f t="shared" si="101"/>
        <v>2021E</v>
      </c>
      <c r="W107" s="94" t="str">
        <f t="shared" si="101"/>
        <v>2022E</v>
      </c>
      <c r="X107" s="94" t="str">
        <f t="shared" si="101"/>
        <v>2023E</v>
      </c>
      <c r="Y107" s="94" t="str">
        <f t="shared" si="101"/>
        <v>2024E</v>
      </c>
      <c r="Z107" s="94" t="str">
        <f t="shared" si="101"/>
        <v>2025E</v>
      </c>
      <c r="AB107" s="93" t="str">
        <f>+A107</f>
        <v>Liberty Puerto Rico financials</v>
      </c>
      <c r="AC107" s="232" t="str">
        <f t="shared" ref="AC107:CD107" si="102">+AC$1</f>
        <v>Q4 01</v>
      </c>
      <c r="AD107" s="232" t="str">
        <f t="shared" si="102"/>
        <v>Q1 02</v>
      </c>
      <c r="AE107" s="232" t="str">
        <f t="shared" si="102"/>
        <v>Q2 02</v>
      </c>
      <c r="AF107" s="232" t="str">
        <f t="shared" si="102"/>
        <v>Q3 02</v>
      </c>
      <c r="AG107" s="232" t="str">
        <f t="shared" si="102"/>
        <v>Q4 02</v>
      </c>
      <c r="AH107" s="232" t="str">
        <f t="shared" si="102"/>
        <v>Q1 03</v>
      </c>
      <c r="AI107" s="232" t="str">
        <f t="shared" si="102"/>
        <v>Q2 03</v>
      </c>
      <c r="AJ107" s="232" t="str">
        <f t="shared" si="102"/>
        <v>Q3 03</v>
      </c>
      <c r="AK107" s="232" t="str">
        <f t="shared" si="102"/>
        <v>Q4 03</v>
      </c>
      <c r="AL107" s="232" t="str">
        <f t="shared" si="102"/>
        <v>1Q04</v>
      </c>
      <c r="AM107" s="232" t="str">
        <f t="shared" si="102"/>
        <v>Q2 04</v>
      </c>
      <c r="AN107" s="232" t="str">
        <f t="shared" si="102"/>
        <v>Q3 04</v>
      </c>
      <c r="AO107" s="232" t="str">
        <f t="shared" si="102"/>
        <v>Q4 04</v>
      </c>
      <c r="AP107" s="232" t="str">
        <f t="shared" si="102"/>
        <v>Q1 05</v>
      </c>
      <c r="AQ107" s="232" t="str">
        <f t="shared" si="102"/>
        <v>Q2 05</v>
      </c>
      <c r="AR107" s="232" t="str">
        <f t="shared" si="102"/>
        <v>Q3 05</v>
      </c>
      <c r="AS107" s="232" t="str">
        <f t="shared" si="102"/>
        <v>Q4 05</v>
      </c>
      <c r="AT107" s="232" t="str">
        <f t="shared" si="102"/>
        <v>Q1 06</v>
      </c>
      <c r="AU107" s="232" t="str">
        <f t="shared" si="102"/>
        <v>Q2 06</v>
      </c>
      <c r="AV107" s="232" t="str">
        <f t="shared" si="102"/>
        <v>Q3 06</v>
      </c>
      <c r="AW107" s="232" t="str">
        <f t="shared" si="102"/>
        <v>Q4 06</v>
      </c>
      <c r="AX107" s="232" t="str">
        <f t="shared" si="102"/>
        <v>Q1 07</v>
      </c>
      <c r="AY107" s="232" t="str">
        <f t="shared" si="102"/>
        <v>Q2 07</v>
      </c>
      <c r="AZ107" s="232" t="str">
        <f t="shared" si="102"/>
        <v>Q3 07</v>
      </c>
      <c r="BA107" s="232" t="str">
        <f t="shared" si="102"/>
        <v>Q4 07</v>
      </c>
      <c r="BB107" s="94" t="str">
        <f t="shared" si="102"/>
        <v>Q1 08</v>
      </c>
      <c r="BC107" s="94" t="str">
        <f t="shared" si="102"/>
        <v>Q2 08</v>
      </c>
      <c r="BD107" s="94" t="str">
        <f t="shared" si="102"/>
        <v>Q3 08</v>
      </c>
      <c r="BE107" s="94" t="str">
        <f t="shared" si="102"/>
        <v>Q4 08</v>
      </c>
      <c r="BF107" s="94" t="str">
        <f t="shared" si="102"/>
        <v>Q1 09</v>
      </c>
      <c r="BG107" s="94" t="str">
        <f t="shared" si="102"/>
        <v>Q2 09</v>
      </c>
      <c r="BH107" s="94" t="str">
        <f t="shared" si="102"/>
        <v>Q3 09</v>
      </c>
      <c r="BI107" s="94" t="str">
        <f t="shared" si="102"/>
        <v>Q4 09</v>
      </c>
      <c r="BJ107" s="94" t="str">
        <f t="shared" si="102"/>
        <v>Q1 10</v>
      </c>
      <c r="BK107" s="94" t="str">
        <f t="shared" si="102"/>
        <v>Q2 10</v>
      </c>
      <c r="BL107" s="94" t="str">
        <f t="shared" si="102"/>
        <v>Q3 10</v>
      </c>
      <c r="BM107" s="94" t="str">
        <f t="shared" si="102"/>
        <v>Q4 10</v>
      </c>
      <c r="BN107" s="94" t="str">
        <f t="shared" si="102"/>
        <v>Q1 11</v>
      </c>
      <c r="BO107" s="94" t="str">
        <f t="shared" si="102"/>
        <v>Q2 11</v>
      </c>
      <c r="BP107" s="94" t="str">
        <f t="shared" si="102"/>
        <v>Q3 11</v>
      </c>
      <c r="BQ107" s="94" t="str">
        <f t="shared" si="102"/>
        <v>Q4 11</v>
      </c>
      <c r="BR107" s="94" t="str">
        <f t="shared" si="102"/>
        <v>Q1 12</v>
      </c>
      <c r="BS107" s="94" t="str">
        <f t="shared" si="102"/>
        <v>Q2 12</v>
      </c>
      <c r="BT107" s="94" t="str">
        <f t="shared" si="102"/>
        <v>Q3 12</v>
      </c>
      <c r="BU107" s="94" t="str">
        <f t="shared" si="102"/>
        <v>Q4 12</v>
      </c>
      <c r="BV107" s="94" t="str">
        <f t="shared" si="102"/>
        <v>Q1 13</v>
      </c>
      <c r="BW107" s="94" t="str">
        <f t="shared" si="102"/>
        <v>Q2 13</v>
      </c>
      <c r="BX107" s="94" t="str">
        <f t="shared" si="102"/>
        <v>Q3 13</v>
      </c>
      <c r="BY107" s="94" t="str">
        <f t="shared" si="102"/>
        <v>Q4 13</v>
      </c>
      <c r="BZ107" s="94" t="str">
        <f t="shared" si="102"/>
        <v>Q1 14</v>
      </c>
      <c r="CA107" s="94" t="str">
        <f t="shared" si="102"/>
        <v>Q2 14</v>
      </c>
      <c r="CB107" s="94" t="str">
        <f t="shared" si="102"/>
        <v>Q3 14</v>
      </c>
      <c r="CC107" s="94" t="str">
        <f t="shared" si="102"/>
        <v>Q4 14</v>
      </c>
      <c r="CD107" s="94" t="str">
        <f t="shared" si="102"/>
        <v>Q1 15</v>
      </c>
      <c r="CE107" s="91"/>
    </row>
    <row r="108" spans="1:85" s="92" customFormat="1" ht="15">
      <c r="A108" s="92" t="s">
        <v>758</v>
      </c>
      <c r="B108" s="97"/>
      <c r="C108" s="97"/>
      <c r="D108" s="97"/>
      <c r="E108" s="97"/>
      <c r="F108" s="97"/>
      <c r="G108" s="97"/>
      <c r="H108" s="97"/>
      <c r="I108" s="97"/>
      <c r="J108" s="97"/>
      <c r="K108" s="97"/>
      <c r="L108" s="97"/>
      <c r="M108" s="97"/>
      <c r="N108" s="97"/>
      <c r="O108" s="97"/>
      <c r="P108" s="97"/>
      <c r="Q108" s="97"/>
      <c r="R108" s="97"/>
      <c r="S108" s="97"/>
      <c r="T108" s="126"/>
      <c r="U108" s="97"/>
      <c r="V108" s="97"/>
      <c r="W108" s="97"/>
      <c r="X108" s="97"/>
      <c r="Y108" s="97"/>
      <c r="Z108" s="97"/>
      <c r="AB108" s="92" t="s">
        <v>758</v>
      </c>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243"/>
      <c r="CD108" s="243"/>
      <c r="CE108" s="91"/>
    </row>
    <row r="109" spans="1:85" s="92" customFormat="1" ht="15">
      <c r="A109" s="92" t="s">
        <v>647</v>
      </c>
      <c r="B109" s="97"/>
      <c r="C109" s="97"/>
      <c r="D109" s="97"/>
      <c r="E109" s="97"/>
      <c r="F109" s="97"/>
      <c r="G109" s="97"/>
      <c r="H109" s="97"/>
      <c r="I109" s="97"/>
      <c r="J109" s="97"/>
      <c r="K109" s="97"/>
      <c r="L109" s="97">
        <f t="shared" ref="L109:Z109" si="103">+L54</f>
        <v>116.3</v>
      </c>
      <c r="M109" s="97">
        <f t="shared" si="103"/>
        <v>145.5</v>
      </c>
      <c r="N109" s="97">
        <f t="shared" si="103"/>
        <v>297.2</v>
      </c>
      <c r="O109" s="97">
        <f t="shared" si="103"/>
        <v>306.10000000000002</v>
      </c>
      <c r="P109" s="97">
        <f t="shared" si="103"/>
        <v>379.2</v>
      </c>
      <c r="Q109" s="97">
        <f>+Q54</f>
        <v>420.8</v>
      </c>
      <c r="R109" s="97">
        <f t="shared" si="103"/>
        <v>321</v>
      </c>
      <c r="S109" s="97">
        <f t="shared" si="103"/>
        <v>324.61657669529973</v>
      </c>
      <c r="T109" s="97">
        <f t="shared" si="103"/>
        <v>389.97675312908581</v>
      </c>
      <c r="U109" s="97">
        <f t="shared" si="103"/>
        <v>397.42658922965256</v>
      </c>
      <c r="V109" s="97">
        <f t="shared" si="103"/>
        <v>404.59095300177125</v>
      </c>
      <c r="W109" s="97">
        <f t="shared" si="103"/>
        <v>411.48452003662987</v>
      </c>
      <c r="X109" s="97">
        <f t="shared" si="103"/>
        <v>418.12174769516969</v>
      </c>
      <c r="Y109" s="97">
        <f t="shared" si="103"/>
        <v>424.51688809881801</v>
      </c>
      <c r="Z109" s="97">
        <f t="shared" si="103"/>
        <v>430.68400109368844</v>
      </c>
      <c r="AB109" s="92" t="s">
        <v>647</v>
      </c>
      <c r="BB109" s="144"/>
      <c r="BC109" s="144"/>
      <c r="BD109" s="144"/>
      <c r="BE109" s="144"/>
      <c r="BF109" s="144"/>
      <c r="BG109" s="144"/>
      <c r="BH109" s="144"/>
      <c r="BI109" s="144"/>
      <c r="BJ109" s="144"/>
      <c r="BK109" s="144"/>
      <c r="BL109" s="144"/>
      <c r="BM109" s="144"/>
      <c r="BN109" s="144"/>
      <c r="BO109" s="144"/>
      <c r="BP109" s="144"/>
      <c r="BQ109" s="144"/>
      <c r="BR109" s="144">
        <v>29.2</v>
      </c>
      <c r="BS109" s="144">
        <v>30.6</v>
      </c>
      <c r="BT109" s="144">
        <v>30.2</v>
      </c>
      <c r="BU109" s="144">
        <v>55.499999999999986</v>
      </c>
      <c r="BV109" s="144">
        <v>73.2</v>
      </c>
      <c r="BW109" s="144">
        <v>74.099999999999994</v>
      </c>
      <c r="BX109" s="144">
        <v>74.7</v>
      </c>
      <c r="BY109" s="144">
        <v>75.2</v>
      </c>
      <c r="BZ109" s="144">
        <v>74.7</v>
      </c>
      <c r="CA109" s="144">
        <f>+CA53</f>
        <v>76.599999999999994</v>
      </c>
      <c r="CB109" s="144">
        <f>+CB53</f>
        <v>76.3</v>
      </c>
      <c r="CC109" s="144">
        <f>CC53</f>
        <v>78.5</v>
      </c>
      <c r="CD109" s="144">
        <f>CD53</f>
        <v>79</v>
      </c>
      <c r="CE109" s="91"/>
    </row>
    <row r="110" spans="1:85" s="92" customFormat="1" ht="15">
      <c r="A110" s="92" t="s">
        <v>648</v>
      </c>
      <c r="B110" s="97"/>
      <c r="C110" s="97"/>
      <c r="D110" s="97"/>
      <c r="E110" s="97"/>
      <c r="F110" s="97"/>
      <c r="G110" s="97"/>
      <c r="H110" s="103"/>
      <c r="I110" s="103"/>
      <c r="J110" s="103"/>
      <c r="K110" s="103"/>
      <c r="L110" s="103"/>
      <c r="M110" s="103">
        <f t="shared" ref="M110:Z110" si="104">+M109/L109-1</f>
        <v>0.25107480653482384</v>
      </c>
      <c r="N110" s="103">
        <f t="shared" si="104"/>
        <v>1.0426116838487971</v>
      </c>
      <c r="O110" s="103">
        <f t="shared" si="104"/>
        <v>2.9946164199192493E-2</v>
      </c>
      <c r="P110" s="103">
        <f t="shared" si="104"/>
        <v>0.23881084612871595</v>
      </c>
      <c r="Q110" s="103">
        <f>+Q109/P109-1</f>
        <v>0.10970464135021096</v>
      </c>
      <c r="R110" s="103">
        <f t="shared" si="104"/>
        <v>-0.23716730038022815</v>
      </c>
      <c r="S110" s="103">
        <f t="shared" si="104"/>
        <v>1.126659406635433E-2</v>
      </c>
      <c r="T110" s="103">
        <f t="shared" si="104"/>
        <v>0.20134577568149337</v>
      </c>
      <c r="U110" s="103">
        <f t="shared" si="104"/>
        <v>1.9103282543871947E-2</v>
      </c>
      <c r="V110" s="103">
        <f t="shared" si="104"/>
        <v>1.8026885886034183E-2</v>
      </c>
      <c r="W110" s="103">
        <f t="shared" si="104"/>
        <v>1.7038361791615442E-2</v>
      </c>
      <c r="X110" s="103">
        <f t="shared" si="104"/>
        <v>1.6129957107375414E-2</v>
      </c>
      <c r="Y110" s="103">
        <f t="shared" si="104"/>
        <v>1.5294924119351627E-2</v>
      </c>
      <c r="Z110" s="103">
        <f t="shared" si="104"/>
        <v>1.4527367856882245E-2</v>
      </c>
      <c r="AB110" s="92" t="s">
        <v>648</v>
      </c>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f t="shared" ref="BV110:CD110" si="105">+BV109/BR109-1</f>
        <v>1.5068493150684934</v>
      </c>
      <c r="BW110" s="147">
        <f t="shared" si="105"/>
        <v>1.4215686274509802</v>
      </c>
      <c r="BX110" s="147">
        <f t="shared" si="105"/>
        <v>1.4735099337748347</v>
      </c>
      <c r="BY110" s="147">
        <f t="shared" si="105"/>
        <v>0.35495495495495533</v>
      </c>
      <c r="BZ110" s="147">
        <f t="shared" si="105"/>
        <v>2.0491803278688492E-2</v>
      </c>
      <c r="CA110" s="147">
        <f t="shared" si="105"/>
        <v>3.373819163292846E-2</v>
      </c>
      <c r="CB110" s="147">
        <f t="shared" si="105"/>
        <v>2.1419009370816422E-2</v>
      </c>
      <c r="CC110" s="147">
        <f t="shared" si="105"/>
        <v>4.3882978723404298E-2</v>
      </c>
      <c r="CD110" s="147">
        <f t="shared" si="105"/>
        <v>5.7563587684069661E-2</v>
      </c>
      <c r="CE110" s="91"/>
    </row>
    <row r="111" spans="1:85" s="92" customFormat="1" ht="15">
      <c r="A111" s="92" t="s">
        <v>649</v>
      </c>
      <c r="B111" s="91"/>
      <c r="C111" s="91"/>
      <c r="D111" s="91"/>
      <c r="E111" s="91"/>
      <c r="F111" s="91"/>
      <c r="G111" s="144"/>
      <c r="H111" s="144"/>
      <c r="I111" s="144"/>
      <c r="J111" s="144"/>
      <c r="K111" s="144"/>
      <c r="L111" s="110">
        <v>56.6</v>
      </c>
      <c r="M111" s="110">
        <v>68.3</v>
      </c>
      <c r="N111" s="110">
        <v>142.6</v>
      </c>
      <c r="O111" s="110">
        <v>135.30000000000001</v>
      </c>
      <c r="P111" s="110">
        <v>165.6</v>
      </c>
      <c r="Q111" s="96">
        <f>113.3+58.3</f>
        <v>171.6</v>
      </c>
      <c r="R111" s="97">
        <f>R126+R135</f>
        <v>160.5</v>
      </c>
      <c r="S111" s="97">
        <f t="shared" ref="S111:Z111" si="106">S126+S135</f>
        <v>125.78892346942862</v>
      </c>
      <c r="T111" s="97">
        <f t="shared" si="106"/>
        <v>155.99070125163433</v>
      </c>
      <c r="U111" s="97">
        <f t="shared" si="106"/>
        <v>158.97063569186105</v>
      </c>
      <c r="V111" s="97">
        <f t="shared" si="106"/>
        <v>157.79047167069081</v>
      </c>
      <c r="W111" s="97">
        <f t="shared" si="106"/>
        <v>156.36411761391935</v>
      </c>
      <c r="X111" s="97">
        <f t="shared" si="106"/>
        <v>158.88626412416448</v>
      </c>
      <c r="Y111" s="97">
        <f t="shared" si="106"/>
        <v>161.31641747755083</v>
      </c>
      <c r="Z111" s="97">
        <f t="shared" si="106"/>
        <v>163.65992041560162</v>
      </c>
      <c r="AB111" s="92" t="s">
        <v>649</v>
      </c>
      <c r="BB111" s="96"/>
      <c r="BC111" s="96"/>
      <c r="BD111" s="96"/>
      <c r="BE111" s="96"/>
      <c r="BF111" s="96"/>
      <c r="BG111" s="96"/>
      <c r="BH111" s="96"/>
      <c r="BI111" s="96"/>
      <c r="BJ111" s="96"/>
      <c r="BK111" s="96"/>
      <c r="BL111" s="96"/>
      <c r="BM111" s="96"/>
      <c r="BN111" s="96"/>
      <c r="BO111" s="96"/>
      <c r="BP111" s="96"/>
      <c r="BQ111" s="96"/>
      <c r="BR111" s="244">
        <f>45%*BR109</f>
        <v>13.14</v>
      </c>
      <c r="BS111" s="244">
        <f>45%*BS109</f>
        <v>13.770000000000001</v>
      </c>
      <c r="BT111" s="244">
        <f>45%*BT109</f>
        <v>13.59</v>
      </c>
      <c r="BU111" s="244">
        <f>45%*BU109</f>
        <v>24.974999999999994</v>
      </c>
      <c r="BV111" s="96">
        <v>37.200000000000003</v>
      </c>
      <c r="BW111" s="244">
        <f>48%*BW109</f>
        <v>35.567999999999998</v>
      </c>
      <c r="BX111" s="244">
        <f>48%*BX109</f>
        <v>35.856000000000002</v>
      </c>
      <c r="BY111" s="244">
        <f>48%*BY109</f>
        <v>36.095999999999997</v>
      </c>
      <c r="BZ111" s="96">
        <v>34.4</v>
      </c>
      <c r="CA111" s="244">
        <f>44.2%*CA109</f>
        <v>33.857199999999999</v>
      </c>
      <c r="CB111" s="244">
        <f>44.2%*CB109</f>
        <v>33.724600000000002</v>
      </c>
      <c r="CC111" s="244">
        <f>44.2%*CC109</f>
        <v>34.697000000000003</v>
      </c>
      <c r="CD111" s="96">
        <v>35.6</v>
      </c>
      <c r="CE111" s="91"/>
    </row>
    <row r="112" spans="1:85" s="92" customFormat="1" ht="15">
      <c r="A112" s="92" t="s">
        <v>650</v>
      </c>
      <c r="B112" s="91"/>
      <c r="C112" s="91"/>
      <c r="D112" s="91"/>
      <c r="E112" s="91"/>
      <c r="F112" s="91"/>
      <c r="G112" s="97"/>
      <c r="H112" s="97"/>
      <c r="I112" s="97"/>
      <c r="J112" s="97"/>
      <c r="K112" s="97"/>
      <c r="L112" s="97">
        <f t="shared" ref="L112:Z112" si="107">L109-L111</f>
        <v>59.699999999999996</v>
      </c>
      <c r="M112" s="97">
        <f t="shared" si="107"/>
        <v>77.2</v>
      </c>
      <c r="N112" s="97">
        <f t="shared" si="107"/>
        <v>154.6</v>
      </c>
      <c r="O112" s="97">
        <f t="shared" si="107"/>
        <v>170.8</v>
      </c>
      <c r="P112" s="97">
        <f t="shared" si="107"/>
        <v>213.6</v>
      </c>
      <c r="Q112" s="97">
        <f>Q109-Q111</f>
        <v>249.20000000000002</v>
      </c>
      <c r="R112" s="97">
        <f>R109-R111</f>
        <v>160.5</v>
      </c>
      <c r="S112" s="97">
        <f t="shared" si="107"/>
        <v>198.8276532258711</v>
      </c>
      <c r="T112" s="97">
        <f t="shared" si="107"/>
        <v>233.98605187745147</v>
      </c>
      <c r="U112" s="97">
        <f t="shared" si="107"/>
        <v>238.45595353779152</v>
      </c>
      <c r="V112" s="97">
        <f t="shared" si="107"/>
        <v>246.80048133108045</v>
      </c>
      <c r="W112" s="97">
        <f t="shared" si="107"/>
        <v>255.12040242271053</v>
      </c>
      <c r="X112" s="97">
        <f t="shared" si="107"/>
        <v>259.2354835710052</v>
      </c>
      <c r="Y112" s="97">
        <f t="shared" si="107"/>
        <v>263.20047062126719</v>
      </c>
      <c r="Z112" s="97">
        <f t="shared" si="107"/>
        <v>267.02408067808682</v>
      </c>
      <c r="AB112" s="92" t="s">
        <v>650</v>
      </c>
      <c r="BB112" s="97">
        <f t="shared" ref="BB112:CD112" si="108">BB109-BB111</f>
        <v>0</v>
      </c>
      <c r="BC112" s="97">
        <f t="shared" si="108"/>
        <v>0</v>
      </c>
      <c r="BD112" s="97">
        <f t="shared" si="108"/>
        <v>0</v>
      </c>
      <c r="BE112" s="97">
        <f t="shared" si="108"/>
        <v>0</v>
      </c>
      <c r="BF112" s="97">
        <f t="shared" si="108"/>
        <v>0</v>
      </c>
      <c r="BG112" s="97">
        <f t="shared" si="108"/>
        <v>0</v>
      </c>
      <c r="BH112" s="97">
        <f t="shared" si="108"/>
        <v>0</v>
      </c>
      <c r="BI112" s="97">
        <f t="shared" si="108"/>
        <v>0</v>
      </c>
      <c r="BJ112" s="97">
        <f t="shared" si="108"/>
        <v>0</v>
      </c>
      <c r="BK112" s="97">
        <f t="shared" si="108"/>
        <v>0</v>
      </c>
      <c r="BL112" s="97">
        <f t="shared" si="108"/>
        <v>0</v>
      </c>
      <c r="BM112" s="97">
        <f t="shared" si="108"/>
        <v>0</v>
      </c>
      <c r="BN112" s="97">
        <f t="shared" si="108"/>
        <v>0</v>
      </c>
      <c r="BO112" s="97">
        <f t="shared" si="108"/>
        <v>0</v>
      </c>
      <c r="BP112" s="97">
        <f t="shared" si="108"/>
        <v>0</v>
      </c>
      <c r="BQ112" s="97">
        <f t="shared" si="108"/>
        <v>0</v>
      </c>
      <c r="BR112" s="97">
        <f t="shared" si="108"/>
        <v>16.059999999999999</v>
      </c>
      <c r="BS112" s="97">
        <f t="shared" si="108"/>
        <v>16.829999999999998</v>
      </c>
      <c r="BT112" s="97">
        <f t="shared" si="108"/>
        <v>16.61</v>
      </c>
      <c r="BU112" s="97">
        <f t="shared" si="108"/>
        <v>30.524999999999991</v>
      </c>
      <c r="BV112" s="97">
        <f t="shared" si="108"/>
        <v>36</v>
      </c>
      <c r="BW112" s="97">
        <f t="shared" si="108"/>
        <v>38.531999999999996</v>
      </c>
      <c r="BX112" s="97">
        <f t="shared" si="108"/>
        <v>38.844000000000001</v>
      </c>
      <c r="BY112" s="97">
        <f t="shared" si="108"/>
        <v>39.104000000000006</v>
      </c>
      <c r="BZ112" s="97">
        <f t="shared" si="108"/>
        <v>40.300000000000004</v>
      </c>
      <c r="CA112" s="97">
        <f t="shared" si="108"/>
        <v>42.742799999999995</v>
      </c>
      <c r="CB112" s="97">
        <f t="shared" si="108"/>
        <v>42.575399999999995</v>
      </c>
      <c r="CC112" s="144">
        <f t="shared" si="108"/>
        <v>43.802999999999997</v>
      </c>
      <c r="CD112" s="144">
        <f t="shared" si="108"/>
        <v>43.4</v>
      </c>
      <c r="CE112" s="91"/>
    </row>
    <row r="113" spans="1:84" s="92" customFormat="1" ht="15">
      <c r="A113" s="92" t="s">
        <v>651</v>
      </c>
      <c r="B113" s="91"/>
      <c r="C113" s="91"/>
      <c r="D113" s="91"/>
      <c r="E113" s="91"/>
      <c r="F113" s="91"/>
      <c r="G113" s="147"/>
      <c r="H113" s="147"/>
      <c r="I113" s="147"/>
      <c r="J113" s="147"/>
      <c r="K113" s="147"/>
      <c r="L113" s="147">
        <f t="shared" ref="L113:Z113" si="109">L112/L109</f>
        <v>0.5133276010318143</v>
      </c>
      <c r="M113" s="147">
        <f t="shared" si="109"/>
        <v>0.53058419243986255</v>
      </c>
      <c r="N113" s="147">
        <f t="shared" si="109"/>
        <v>0.52018842530282638</v>
      </c>
      <c r="O113" s="147">
        <f t="shared" si="109"/>
        <v>0.55798758575628882</v>
      </c>
      <c r="P113" s="147">
        <f t="shared" si="109"/>
        <v>0.56329113924050633</v>
      </c>
      <c r="Q113" s="147">
        <f>Q112/Q109</f>
        <v>0.59220532319391639</v>
      </c>
      <c r="R113" s="147">
        <f>R112/R109</f>
        <v>0.5</v>
      </c>
      <c r="S113" s="147">
        <f t="shared" si="109"/>
        <v>0.61250000000000004</v>
      </c>
      <c r="T113" s="147">
        <f t="shared" si="109"/>
        <v>0.6</v>
      </c>
      <c r="U113" s="147">
        <f t="shared" si="109"/>
        <v>0.6</v>
      </c>
      <c r="V113" s="147">
        <f t="shared" si="109"/>
        <v>0.61</v>
      </c>
      <c r="W113" s="147">
        <f t="shared" si="109"/>
        <v>0.62</v>
      </c>
      <c r="X113" s="147">
        <f t="shared" si="109"/>
        <v>0.62</v>
      </c>
      <c r="Y113" s="147">
        <f t="shared" si="109"/>
        <v>0.62</v>
      </c>
      <c r="Z113" s="147">
        <f t="shared" si="109"/>
        <v>0.62</v>
      </c>
      <c r="AB113" s="92" t="s">
        <v>651</v>
      </c>
      <c r="BB113" s="147" t="e">
        <f t="shared" ref="BB113:CD113" si="110">BB112/BB109</f>
        <v>#DIV/0!</v>
      </c>
      <c r="BC113" s="147" t="e">
        <f t="shared" si="110"/>
        <v>#DIV/0!</v>
      </c>
      <c r="BD113" s="147" t="e">
        <f t="shared" si="110"/>
        <v>#DIV/0!</v>
      </c>
      <c r="BE113" s="147" t="e">
        <f t="shared" si="110"/>
        <v>#DIV/0!</v>
      </c>
      <c r="BF113" s="147" t="e">
        <f t="shared" si="110"/>
        <v>#DIV/0!</v>
      </c>
      <c r="BG113" s="147" t="e">
        <f t="shared" si="110"/>
        <v>#DIV/0!</v>
      </c>
      <c r="BH113" s="147" t="e">
        <f t="shared" si="110"/>
        <v>#DIV/0!</v>
      </c>
      <c r="BI113" s="147" t="e">
        <f t="shared" si="110"/>
        <v>#DIV/0!</v>
      </c>
      <c r="BJ113" s="147" t="e">
        <f t="shared" si="110"/>
        <v>#DIV/0!</v>
      </c>
      <c r="BK113" s="147" t="e">
        <f t="shared" si="110"/>
        <v>#DIV/0!</v>
      </c>
      <c r="BL113" s="147" t="e">
        <f t="shared" si="110"/>
        <v>#DIV/0!</v>
      </c>
      <c r="BM113" s="147" t="e">
        <f t="shared" si="110"/>
        <v>#DIV/0!</v>
      </c>
      <c r="BN113" s="147" t="e">
        <f t="shared" si="110"/>
        <v>#DIV/0!</v>
      </c>
      <c r="BO113" s="147" t="e">
        <f t="shared" si="110"/>
        <v>#DIV/0!</v>
      </c>
      <c r="BP113" s="147" t="e">
        <f t="shared" si="110"/>
        <v>#DIV/0!</v>
      </c>
      <c r="BQ113" s="147" t="e">
        <f t="shared" si="110"/>
        <v>#DIV/0!</v>
      </c>
      <c r="BR113" s="147">
        <f t="shared" si="110"/>
        <v>0.54999999999999993</v>
      </c>
      <c r="BS113" s="147">
        <f t="shared" si="110"/>
        <v>0.54999999999999993</v>
      </c>
      <c r="BT113" s="147">
        <f t="shared" si="110"/>
        <v>0.55000000000000004</v>
      </c>
      <c r="BU113" s="147">
        <f t="shared" si="110"/>
        <v>0.54999999999999993</v>
      </c>
      <c r="BV113" s="147">
        <f t="shared" si="110"/>
        <v>0.49180327868852458</v>
      </c>
      <c r="BW113" s="147">
        <f t="shared" si="110"/>
        <v>0.52</v>
      </c>
      <c r="BX113" s="147">
        <f t="shared" si="110"/>
        <v>0.52</v>
      </c>
      <c r="BY113" s="147">
        <f t="shared" si="110"/>
        <v>0.52</v>
      </c>
      <c r="BZ113" s="147">
        <f t="shared" si="110"/>
        <v>0.53949129852744315</v>
      </c>
      <c r="CA113" s="147">
        <f t="shared" si="110"/>
        <v>0.55799999999999994</v>
      </c>
      <c r="CB113" s="147">
        <f t="shared" si="110"/>
        <v>0.55799999999999994</v>
      </c>
      <c r="CC113" s="245">
        <f t="shared" si="110"/>
        <v>0.55799999999999994</v>
      </c>
      <c r="CD113" s="245">
        <f t="shared" si="110"/>
        <v>0.54936708860759487</v>
      </c>
      <c r="CE113" s="91"/>
    </row>
    <row r="114" spans="1:84" s="92" customFormat="1" ht="15">
      <c r="A114" s="92" t="s">
        <v>652</v>
      </c>
      <c r="B114" s="91"/>
      <c r="C114" s="91"/>
      <c r="D114" s="91"/>
      <c r="E114" s="91"/>
      <c r="F114" s="91"/>
      <c r="G114" s="97"/>
      <c r="H114" s="97"/>
      <c r="I114" s="97"/>
      <c r="J114" s="97"/>
      <c r="K114" s="97"/>
      <c r="L114" s="110">
        <v>18.8</v>
      </c>
      <c r="M114" s="110">
        <v>24.7</v>
      </c>
      <c r="N114" s="110">
        <v>47.7</v>
      </c>
      <c r="O114" s="110">
        <v>42.2</v>
      </c>
      <c r="P114" s="110">
        <v>47.6</v>
      </c>
      <c r="Q114" s="110">
        <v>40.4</v>
      </c>
      <c r="R114" s="97">
        <f>R127+R136+R137</f>
        <v>37.236000000000004</v>
      </c>
      <c r="S114" s="97">
        <f t="shared" ref="S114:Z114" si="111">S127+S136+S137</f>
        <v>64.923315339059954</v>
      </c>
      <c r="T114" s="97">
        <f t="shared" si="111"/>
        <v>58.496512969362868</v>
      </c>
      <c r="U114" s="97">
        <f t="shared" si="111"/>
        <v>59.613988384447879</v>
      </c>
      <c r="V114" s="97">
        <f t="shared" si="111"/>
        <v>60.688642950265688</v>
      </c>
      <c r="W114" s="97">
        <f t="shared" si="111"/>
        <v>61.72267800549448</v>
      </c>
      <c r="X114" s="97">
        <f t="shared" si="111"/>
        <v>62.71826215427545</v>
      </c>
      <c r="Y114" s="97">
        <f t="shared" si="111"/>
        <v>63.677533214822702</v>
      </c>
      <c r="Z114" s="97">
        <f t="shared" si="111"/>
        <v>64.602600164053257</v>
      </c>
      <c r="AB114" s="92" t="s">
        <v>652</v>
      </c>
      <c r="BB114" s="96"/>
      <c r="BC114" s="96"/>
      <c r="BD114" s="96"/>
      <c r="BE114" s="96"/>
      <c r="BF114" s="96"/>
      <c r="BG114" s="96"/>
      <c r="BH114" s="96"/>
      <c r="BI114" s="96"/>
      <c r="BJ114" s="96"/>
      <c r="BK114" s="96"/>
      <c r="BL114" s="96"/>
      <c r="BM114" s="96"/>
      <c r="BN114" s="96"/>
      <c r="BO114" s="96"/>
      <c r="BP114" s="96"/>
      <c r="BQ114" s="96"/>
      <c r="BR114" s="244">
        <f>BR112-BR115</f>
        <v>5.0599999999999987</v>
      </c>
      <c r="BS114" s="244">
        <f>BS112-BS115</f>
        <v>5.3299999999999983</v>
      </c>
      <c r="BT114" s="244">
        <f>BT112-BT115</f>
        <v>5.6099999999999994</v>
      </c>
      <c r="BU114" s="244">
        <f>BU112-BU115</f>
        <v>11.124999999999993</v>
      </c>
      <c r="BV114" s="96">
        <v>12.5</v>
      </c>
      <c r="BW114" s="244">
        <f>BW112-BW115</f>
        <v>14.631999999999998</v>
      </c>
      <c r="BX114" s="244">
        <f>BX112-BX115</f>
        <v>11.744000000000003</v>
      </c>
      <c r="BY114" s="244">
        <f>BY112-BY115</f>
        <v>6.3039999999999878</v>
      </c>
      <c r="BZ114" s="96">
        <v>11.1</v>
      </c>
      <c r="CA114" s="244">
        <f>CA112-CA115</f>
        <v>9.4427999999999983</v>
      </c>
      <c r="CB114" s="244">
        <f>CB112-CB115</f>
        <v>9.7753999999999976</v>
      </c>
      <c r="CC114" s="244">
        <f>CC112-CC115</f>
        <v>10.502999999999972</v>
      </c>
      <c r="CD114" s="96">
        <v>10.1</v>
      </c>
      <c r="CE114" s="91"/>
      <c r="CF114" s="91"/>
    </row>
    <row r="115" spans="1:84" s="92" customFormat="1" ht="15">
      <c r="A115" s="92" t="s">
        <v>653</v>
      </c>
      <c r="B115" s="91"/>
      <c r="C115" s="91"/>
      <c r="D115" s="91"/>
      <c r="E115" s="91"/>
      <c r="F115" s="91"/>
      <c r="G115" s="97"/>
      <c r="H115" s="97"/>
      <c r="I115" s="97"/>
      <c r="J115" s="97"/>
      <c r="K115" s="97"/>
      <c r="L115" s="246">
        <v>41.4</v>
      </c>
      <c r="M115" s="246">
        <v>52.9</v>
      </c>
      <c r="N115" s="246">
        <v>107.30000000000001</v>
      </c>
      <c r="O115" s="96">
        <v>128.60000000000002</v>
      </c>
      <c r="P115" s="96">
        <f>P109-P111-P114</f>
        <v>166</v>
      </c>
      <c r="Q115" s="96">
        <f>198.8</f>
        <v>198.8</v>
      </c>
      <c r="R115" s="96">
        <v>133</v>
      </c>
      <c r="S115" s="97">
        <f>+S109-S111-S114</f>
        <v>133.90433788681116</v>
      </c>
      <c r="T115" s="97">
        <f>+T109-T111-T114</f>
        <v>175.4895389080886</v>
      </c>
      <c r="U115" s="97">
        <f t="shared" ref="U115:Z115" si="112">+U109-U111-U114</f>
        <v>178.84196515334364</v>
      </c>
      <c r="V115" s="97">
        <f t="shared" si="112"/>
        <v>186.11183838081476</v>
      </c>
      <c r="W115" s="97">
        <f t="shared" si="112"/>
        <v>193.39772441721604</v>
      </c>
      <c r="X115" s="97">
        <f t="shared" si="112"/>
        <v>196.51722141672974</v>
      </c>
      <c r="Y115" s="97">
        <f t="shared" si="112"/>
        <v>199.5229374064445</v>
      </c>
      <c r="Z115" s="97">
        <f t="shared" si="112"/>
        <v>202.42148051403356</v>
      </c>
      <c r="AB115" s="92" t="s">
        <v>653</v>
      </c>
      <c r="BB115" s="97"/>
      <c r="BC115" s="97"/>
      <c r="BD115" s="97"/>
      <c r="BE115" s="97"/>
      <c r="BF115" s="97"/>
      <c r="BG115" s="97"/>
      <c r="BH115" s="97"/>
      <c r="BI115" s="97"/>
      <c r="BJ115" s="97"/>
      <c r="BK115" s="97"/>
      <c r="BL115" s="97"/>
      <c r="BM115" s="97"/>
      <c r="BN115" s="97"/>
      <c r="BO115" s="97"/>
      <c r="BP115" s="97"/>
      <c r="BQ115" s="97"/>
      <c r="BR115" s="97">
        <v>11</v>
      </c>
      <c r="BS115" s="97">
        <v>11.5</v>
      </c>
      <c r="BT115" s="97">
        <v>11</v>
      </c>
      <c r="BU115" s="97">
        <v>19.399999999999999</v>
      </c>
      <c r="BV115" s="96">
        <v>23.5</v>
      </c>
      <c r="BW115" s="96">
        <v>23.9</v>
      </c>
      <c r="BX115" s="96">
        <v>27.099999999999998</v>
      </c>
      <c r="BY115" s="96">
        <v>32.800000000000018</v>
      </c>
      <c r="BZ115" s="96">
        <v>29.2</v>
      </c>
      <c r="CA115" s="96">
        <v>33.299999999999997</v>
      </c>
      <c r="CB115" s="96">
        <v>32.799999999999997</v>
      </c>
      <c r="CC115" s="96">
        <f>O115-BZ115-CA115-CB115</f>
        <v>33.300000000000026</v>
      </c>
      <c r="CD115" s="96">
        <f>14.6+3.4+15.3</f>
        <v>33.299999999999997</v>
      </c>
      <c r="CE115" s="91"/>
    </row>
    <row r="116" spans="1:84" s="92" customFormat="1" ht="15">
      <c r="A116" s="92" t="s">
        <v>651</v>
      </c>
      <c r="B116" s="91"/>
      <c r="C116" s="91"/>
      <c r="D116" s="91"/>
      <c r="E116" s="91"/>
      <c r="F116" s="91"/>
      <c r="G116" s="103"/>
      <c r="H116" s="103"/>
      <c r="I116" s="103"/>
      <c r="J116" s="103"/>
      <c r="K116" s="103"/>
      <c r="L116" s="103">
        <f t="shared" ref="L116:Z116" si="113">+L115/L109</f>
        <v>0.35597592433361996</v>
      </c>
      <c r="M116" s="103">
        <f t="shared" si="113"/>
        <v>0.36357388316151201</v>
      </c>
      <c r="N116" s="103">
        <f t="shared" si="113"/>
        <v>0.36103633916554512</v>
      </c>
      <c r="O116" s="103">
        <f t="shared" si="113"/>
        <v>0.4201241424371121</v>
      </c>
      <c r="P116" s="103">
        <f t="shared" si="113"/>
        <v>0.43776371308016881</v>
      </c>
      <c r="Q116" s="103">
        <f>+Q115/Q109</f>
        <v>0.47243346007604564</v>
      </c>
      <c r="R116" s="103">
        <f t="shared" si="113"/>
        <v>0.41433021806853582</v>
      </c>
      <c r="S116" s="103">
        <f t="shared" si="113"/>
        <v>0.41250000000000009</v>
      </c>
      <c r="T116" s="103">
        <f t="shared" si="113"/>
        <v>0.44999999999999996</v>
      </c>
      <c r="U116" s="103">
        <f t="shared" si="113"/>
        <v>0.44999999999999996</v>
      </c>
      <c r="V116" s="103">
        <f t="shared" si="113"/>
        <v>0.45999999999999996</v>
      </c>
      <c r="W116" s="103">
        <f t="shared" si="113"/>
        <v>0.47</v>
      </c>
      <c r="X116" s="103">
        <f t="shared" si="113"/>
        <v>0.47</v>
      </c>
      <c r="Y116" s="103">
        <f t="shared" si="113"/>
        <v>0.47000000000000008</v>
      </c>
      <c r="Z116" s="103">
        <f t="shared" si="113"/>
        <v>0.47</v>
      </c>
      <c r="AB116" s="92" t="s">
        <v>651</v>
      </c>
      <c r="BB116" s="147" t="e">
        <f t="shared" ref="BB116:CD116" si="114">BB115/BB109</f>
        <v>#DIV/0!</v>
      </c>
      <c r="BC116" s="147" t="e">
        <f t="shared" si="114"/>
        <v>#DIV/0!</v>
      </c>
      <c r="BD116" s="147" t="e">
        <f t="shared" si="114"/>
        <v>#DIV/0!</v>
      </c>
      <c r="BE116" s="147" t="e">
        <f t="shared" si="114"/>
        <v>#DIV/0!</v>
      </c>
      <c r="BF116" s="147" t="e">
        <f t="shared" si="114"/>
        <v>#DIV/0!</v>
      </c>
      <c r="BG116" s="147" t="e">
        <f t="shared" si="114"/>
        <v>#DIV/0!</v>
      </c>
      <c r="BH116" s="147" t="e">
        <f t="shared" si="114"/>
        <v>#DIV/0!</v>
      </c>
      <c r="BI116" s="147" t="e">
        <f t="shared" si="114"/>
        <v>#DIV/0!</v>
      </c>
      <c r="BJ116" s="147" t="e">
        <f t="shared" si="114"/>
        <v>#DIV/0!</v>
      </c>
      <c r="BK116" s="147" t="e">
        <f t="shared" si="114"/>
        <v>#DIV/0!</v>
      </c>
      <c r="BL116" s="147" t="e">
        <f t="shared" si="114"/>
        <v>#DIV/0!</v>
      </c>
      <c r="BM116" s="147" t="e">
        <f t="shared" si="114"/>
        <v>#DIV/0!</v>
      </c>
      <c r="BN116" s="147" t="e">
        <f t="shared" si="114"/>
        <v>#DIV/0!</v>
      </c>
      <c r="BO116" s="147" t="e">
        <f t="shared" si="114"/>
        <v>#DIV/0!</v>
      </c>
      <c r="BP116" s="147" t="e">
        <f t="shared" si="114"/>
        <v>#DIV/0!</v>
      </c>
      <c r="BQ116" s="147" t="e">
        <f t="shared" si="114"/>
        <v>#DIV/0!</v>
      </c>
      <c r="BR116" s="147">
        <f t="shared" si="114"/>
        <v>0.37671232876712329</v>
      </c>
      <c r="BS116" s="147">
        <f t="shared" si="114"/>
        <v>0.37581699346405228</v>
      </c>
      <c r="BT116" s="147">
        <f t="shared" si="114"/>
        <v>0.36423841059602652</v>
      </c>
      <c r="BU116" s="147">
        <f t="shared" si="114"/>
        <v>0.34954954954954959</v>
      </c>
      <c r="BV116" s="147">
        <f t="shared" si="114"/>
        <v>0.32103825136612019</v>
      </c>
      <c r="BW116" s="147">
        <f t="shared" si="114"/>
        <v>0.32253711201079621</v>
      </c>
      <c r="BX116" s="147">
        <f t="shared" si="114"/>
        <v>0.36278447121820612</v>
      </c>
      <c r="BY116" s="147">
        <f t="shared" si="114"/>
        <v>0.43617021276595769</v>
      </c>
      <c r="BZ116" s="147">
        <f t="shared" si="114"/>
        <v>0.39089692101740292</v>
      </c>
      <c r="CA116" s="147">
        <f t="shared" si="114"/>
        <v>0.43472584856396868</v>
      </c>
      <c r="CB116" s="147">
        <f t="shared" si="114"/>
        <v>0.42988204456094364</v>
      </c>
      <c r="CC116" s="147">
        <f t="shared" si="114"/>
        <v>0.42420382165605131</v>
      </c>
      <c r="CD116" s="147">
        <f t="shared" si="114"/>
        <v>0.42151898734177212</v>
      </c>
      <c r="CE116" s="91"/>
    </row>
    <row r="117" spans="1:84" s="92" customFormat="1" ht="15">
      <c r="A117" s="92" t="s">
        <v>648</v>
      </c>
      <c r="B117" s="91"/>
      <c r="C117" s="91"/>
      <c r="D117" s="91"/>
      <c r="E117" s="91"/>
      <c r="F117" s="91"/>
      <c r="G117" s="97"/>
      <c r="H117" s="103"/>
      <c r="I117" s="103"/>
      <c r="J117" s="103"/>
      <c r="K117" s="103"/>
      <c r="L117" s="103"/>
      <c r="M117" s="103">
        <f t="shared" ref="M117:Z117" si="115">+M115/L115-1</f>
        <v>0.27777777777777768</v>
      </c>
      <c r="N117" s="103">
        <f t="shared" si="115"/>
        <v>1.0283553875236295</v>
      </c>
      <c r="O117" s="103">
        <f t="shared" si="115"/>
        <v>0.19850885368126758</v>
      </c>
      <c r="P117" s="103">
        <f t="shared" si="115"/>
        <v>0.29082426127527183</v>
      </c>
      <c r="Q117" s="103">
        <f>+Q115/P115-1</f>
        <v>0.19759036144578324</v>
      </c>
      <c r="R117" s="103">
        <f t="shared" si="115"/>
        <v>-0.33098591549295775</v>
      </c>
      <c r="S117" s="103">
        <f t="shared" si="115"/>
        <v>6.7995329835426332E-3</v>
      </c>
      <c r="T117" s="103">
        <f t="shared" si="115"/>
        <v>0.31055902801617408</v>
      </c>
      <c r="U117" s="103">
        <f t="shared" si="115"/>
        <v>1.9103282543871947E-2</v>
      </c>
      <c r="V117" s="103">
        <f t="shared" si="115"/>
        <v>4.0649705572390449E-2</v>
      </c>
      <c r="W117" s="103">
        <f t="shared" si="115"/>
        <v>3.9147891395781009E-2</v>
      </c>
      <c r="X117" s="103">
        <f t="shared" si="115"/>
        <v>1.6129957107375414E-2</v>
      </c>
      <c r="Y117" s="103">
        <f t="shared" si="115"/>
        <v>1.5294924119351849E-2</v>
      </c>
      <c r="Z117" s="103">
        <f t="shared" si="115"/>
        <v>1.4527367856882023E-2</v>
      </c>
      <c r="AB117" s="92" t="s">
        <v>648</v>
      </c>
      <c r="BB117" s="147"/>
      <c r="BC117" s="147"/>
      <c r="BD117" s="147"/>
      <c r="BE117" s="147"/>
      <c r="BF117" s="147"/>
      <c r="BG117" s="147"/>
      <c r="BH117" s="147"/>
      <c r="BI117" s="147"/>
      <c r="BJ117" s="147"/>
      <c r="BK117" s="147"/>
      <c r="BL117" s="147"/>
      <c r="BM117" s="147"/>
      <c r="BN117" s="147"/>
      <c r="BO117" s="147"/>
      <c r="BP117" s="147"/>
      <c r="BQ117" s="147"/>
      <c r="BR117" s="147"/>
      <c r="BS117" s="147"/>
      <c r="BT117" s="147"/>
      <c r="BU117" s="147"/>
      <c r="BV117" s="147">
        <f t="shared" ref="BV117:CD117" si="116">BV115/BR115-1</f>
        <v>1.1363636363636362</v>
      </c>
      <c r="BW117" s="147">
        <f t="shared" si="116"/>
        <v>1.0782608695652174</v>
      </c>
      <c r="BX117" s="147">
        <f t="shared" si="116"/>
        <v>1.4636363636363634</v>
      </c>
      <c r="BY117" s="147">
        <f t="shared" si="116"/>
        <v>0.69072164948453718</v>
      </c>
      <c r="BZ117" s="147">
        <f t="shared" si="116"/>
        <v>0.24255319148936172</v>
      </c>
      <c r="CA117" s="147">
        <f t="shared" si="116"/>
        <v>0.39330543933054396</v>
      </c>
      <c r="CB117" s="147">
        <f t="shared" si="116"/>
        <v>0.21033210332103325</v>
      </c>
      <c r="CC117" s="147">
        <f t="shared" si="116"/>
        <v>1.5243902439024515E-2</v>
      </c>
      <c r="CD117" s="147">
        <f t="shared" si="116"/>
        <v>0.1404109589041096</v>
      </c>
      <c r="CE117" s="91"/>
    </row>
    <row r="118" spans="1:84" s="92" customFormat="1" ht="15">
      <c r="A118" s="92" t="s">
        <v>19</v>
      </c>
      <c r="B118" s="91"/>
      <c r="C118" s="91"/>
      <c r="D118" s="91"/>
      <c r="E118" s="91"/>
      <c r="F118" s="91"/>
      <c r="G118" s="97"/>
      <c r="H118" s="97"/>
      <c r="I118" s="97"/>
      <c r="J118" s="97"/>
      <c r="K118" s="97"/>
      <c r="L118" s="97"/>
      <c r="M118" s="246">
        <v>25.5</v>
      </c>
      <c r="N118" s="246">
        <v>65.8</v>
      </c>
      <c r="O118" s="110">
        <v>60.4</v>
      </c>
      <c r="P118" s="110">
        <v>78.099999999999994</v>
      </c>
      <c r="Q118" s="110">
        <v>91</v>
      </c>
      <c r="R118" s="110">
        <v>132</v>
      </c>
      <c r="S118" s="97">
        <f>+S119*S109</f>
        <v>155.81595681374387</v>
      </c>
      <c r="T118" s="97">
        <f t="shared" ref="T118:Z118" si="117">+T119*T109</f>
        <v>85.794885688398878</v>
      </c>
      <c r="U118" s="97">
        <f t="shared" si="117"/>
        <v>75.511051953633995</v>
      </c>
      <c r="V118" s="97">
        <f t="shared" si="117"/>
        <v>76.872281070336541</v>
      </c>
      <c r="W118" s="97">
        <f t="shared" si="117"/>
        <v>74.06721360659337</v>
      </c>
      <c r="X118" s="97">
        <f t="shared" si="117"/>
        <v>75.26191458513054</v>
      </c>
      <c r="Y118" s="97">
        <f t="shared" si="117"/>
        <v>76.41303985778724</v>
      </c>
      <c r="Z118" s="97">
        <f t="shared" si="117"/>
        <v>77.523120196863914</v>
      </c>
      <c r="AB118" s="92" t="s">
        <v>19</v>
      </c>
      <c r="BB118" s="96"/>
      <c r="BC118" s="96"/>
      <c r="BD118" s="96"/>
      <c r="BE118" s="96"/>
      <c r="BF118" s="96"/>
      <c r="BG118" s="96"/>
      <c r="BH118" s="96"/>
      <c r="BI118" s="96"/>
      <c r="BJ118" s="96"/>
      <c r="BK118" s="96"/>
      <c r="BL118" s="96"/>
      <c r="BM118" s="96"/>
      <c r="BN118" s="96"/>
      <c r="BO118" s="96"/>
      <c r="BP118" s="96"/>
      <c r="BQ118" s="96"/>
      <c r="BR118" s="96">
        <v>10.1</v>
      </c>
      <c r="BS118" s="96">
        <v>0.8</v>
      </c>
      <c r="BT118" s="96">
        <v>7.2999999999999989</v>
      </c>
      <c r="BU118" s="96">
        <v>7.3000000000000025</v>
      </c>
      <c r="BV118" s="96">
        <v>19.5</v>
      </c>
      <c r="BW118" s="96">
        <v>16.600000000000001</v>
      </c>
      <c r="BX118" s="96">
        <v>17.399999999999999</v>
      </c>
      <c r="BY118" s="96">
        <v>12.299999999999997</v>
      </c>
      <c r="BZ118" s="96">
        <v>13.7</v>
      </c>
      <c r="CA118" s="96">
        <v>19.500000000000004</v>
      </c>
      <c r="CB118" s="96">
        <v>17.2</v>
      </c>
      <c r="CC118" s="96">
        <f>O118-BZ118-CA118-CB118</f>
        <v>10</v>
      </c>
      <c r="CD118" s="96">
        <v>15.7</v>
      </c>
      <c r="CE118" s="91"/>
    </row>
    <row r="119" spans="1:84" s="92" customFormat="1" ht="15">
      <c r="A119" s="92" t="s">
        <v>654</v>
      </c>
      <c r="B119" s="91"/>
      <c r="C119" s="91"/>
      <c r="D119" s="91"/>
      <c r="E119" s="91"/>
      <c r="F119" s="91"/>
      <c r="G119" s="103"/>
      <c r="H119" s="103"/>
      <c r="I119" s="103"/>
      <c r="J119" s="103"/>
      <c r="K119" s="103"/>
      <c r="L119" s="103"/>
      <c r="M119" s="103">
        <f t="shared" ref="M119:R119" si="118">+M118/M109</f>
        <v>0.17525773195876287</v>
      </c>
      <c r="N119" s="103">
        <f t="shared" si="118"/>
        <v>0.22139973082099595</v>
      </c>
      <c r="O119" s="103">
        <f t="shared" si="118"/>
        <v>0.19732113688337144</v>
      </c>
      <c r="P119" s="103">
        <f t="shared" si="118"/>
        <v>0.20595991561181434</v>
      </c>
      <c r="Q119" s="103">
        <f t="shared" si="118"/>
        <v>0.21625475285171103</v>
      </c>
      <c r="R119" s="103">
        <f t="shared" si="118"/>
        <v>0.41121495327102803</v>
      </c>
      <c r="S119" s="104">
        <v>0.48</v>
      </c>
      <c r="T119" s="104">
        <v>0.22</v>
      </c>
      <c r="U119" s="104">
        <v>0.19</v>
      </c>
      <c r="V119" s="104">
        <v>0.19</v>
      </c>
      <c r="W119" s="104">
        <v>0.18</v>
      </c>
      <c r="X119" s="104">
        <v>0.18</v>
      </c>
      <c r="Y119" s="104">
        <v>0.18</v>
      </c>
      <c r="Z119" s="104">
        <v>0.18</v>
      </c>
      <c r="AB119" s="92" t="s">
        <v>654</v>
      </c>
      <c r="BB119" s="147" t="e">
        <f t="shared" ref="BB119:CD119" si="119">+BB118/BB109</f>
        <v>#DIV/0!</v>
      </c>
      <c r="BC119" s="147" t="e">
        <f t="shared" si="119"/>
        <v>#DIV/0!</v>
      </c>
      <c r="BD119" s="147" t="e">
        <f t="shared" si="119"/>
        <v>#DIV/0!</v>
      </c>
      <c r="BE119" s="147" t="e">
        <f t="shared" si="119"/>
        <v>#DIV/0!</v>
      </c>
      <c r="BF119" s="147" t="e">
        <f t="shared" si="119"/>
        <v>#DIV/0!</v>
      </c>
      <c r="BG119" s="147" t="e">
        <f t="shared" si="119"/>
        <v>#DIV/0!</v>
      </c>
      <c r="BH119" s="147" t="e">
        <f t="shared" si="119"/>
        <v>#DIV/0!</v>
      </c>
      <c r="BI119" s="147" t="e">
        <f t="shared" si="119"/>
        <v>#DIV/0!</v>
      </c>
      <c r="BJ119" s="147" t="e">
        <f t="shared" si="119"/>
        <v>#DIV/0!</v>
      </c>
      <c r="BK119" s="147" t="e">
        <f t="shared" si="119"/>
        <v>#DIV/0!</v>
      </c>
      <c r="BL119" s="147" t="e">
        <f t="shared" si="119"/>
        <v>#DIV/0!</v>
      </c>
      <c r="BM119" s="147" t="e">
        <f t="shared" si="119"/>
        <v>#DIV/0!</v>
      </c>
      <c r="BN119" s="147" t="e">
        <f t="shared" si="119"/>
        <v>#DIV/0!</v>
      </c>
      <c r="BO119" s="147" t="e">
        <f t="shared" si="119"/>
        <v>#DIV/0!</v>
      </c>
      <c r="BP119" s="147" t="e">
        <f t="shared" si="119"/>
        <v>#DIV/0!</v>
      </c>
      <c r="BQ119" s="147" t="e">
        <f t="shared" si="119"/>
        <v>#DIV/0!</v>
      </c>
      <c r="BR119" s="147">
        <f t="shared" si="119"/>
        <v>0.3458904109589041</v>
      </c>
      <c r="BS119" s="147">
        <f t="shared" si="119"/>
        <v>2.6143790849673203E-2</v>
      </c>
      <c r="BT119" s="147">
        <f t="shared" si="119"/>
        <v>0.24172185430463572</v>
      </c>
      <c r="BU119" s="147">
        <f t="shared" si="119"/>
        <v>0.1315315315315316</v>
      </c>
      <c r="BV119" s="147">
        <f t="shared" si="119"/>
        <v>0.26639344262295078</v>
      </c>
      <c r="BW119" s="147">
        <f t="shared" si="119"/>
        <v>0.22402159244264511</v>
      </c>
      <c r="BX119" s="147">
        <f t="shared" si="119"/>
        <v>0.2329317269076305</v>
      </c>
      <c r="BY119" s="147">
        <f t="shared" si="119"/>
        <v>0.16356382978723399</v>
      </c>
      <c r="BZ119" s="147">
        <f t="shared" si="119"/>
        <v>0.18340026773761711</v>
      </c>
      <c r="CA119" s="147">
        <f t="shared" si="119"/>
        <v>0.25456919060052224</v>
      </c>
      <c r="CB119" s="147">
        <f t="shared" si="119"/>
        <v>0.2254259501965924</v>
      </c>
      <c r="CC119" s="245">
        <f t="shared" si="119"/>
        <v>0.12738853503184713</v>
      </c>
      <c r="CD119" s="245">
        <f t="shared" si="119"/>
        <v>0.19873417721518988</v>
      </c>
      <c r="CE119" s="91"/>
    </row>
    <row r="120" spans="1:84" s="92" customFormat="1" ht="15">
      <c r="A120" s="92" t="s">
        <v>27</v>
      </c>
      <c r="B120" s="91"/>
      <c r="C120" s="91"/>
      <c r="D120" s="91"/>
      <c r="E120" s="91"/>
      <c r="F120" s="91"/>
      <c r="G120" s="91"/>
      <c r="H120" s="91"/>
      <c r="I120" s="91"/>
      <c r="J120" s="91"/>
      <c r="K120" s="91"/>
      <c r="L120" s="97">
        <f t="shared" ref="L120:Y120" si="120">L115-L118</f>
        <v>41.4</v>
      </c>
      <c r="M120" s="97">
        <f t="shared" si="120"/>
        <v>27.4</v>
      </c>
      <c r="N120" s="97">
        <f t="shared" si="120"/>
        <v>41.500000000000014</v>
      </c>
      <c r="O120" s="97">
        <f t="shared" si="120"/>
        <v>68.200000000000017</v>
      </c>
      <c r="P120" s="97">
        <f t="shared" si="120"/>
        <v>87.9</v>
      </c>
      <c r="Q120" s="97">
        <f>Q115-Q118</f>
        <v>107.80000000000001</v>
      </c>
      <c r="R120" s="97">
        <f t="shared" si="120"/>
        <v>1</v>
      </c>
      <c r="S120" s="97">
        <f t="shared" si="120"/>
        <v>-21.911618926932704</v>
      </c>
      <c r="T120" s="97">
        <f t="shared" si="120"/>
        <v>89.694653219689727</v>
      </c>
      <c r="U120" s="97">
        <f t="shared" si="120"/>
        <v>103.33091319970964</v>
      </c>
      <c r="V120" s="97">
        <f t="shared" si="120"/>
        <v>109.23955731047822</v>
      </c>
      <c r="W120" s="97">
        <f t="shared" si="120"/>
        <v>119.33051081062267</v>
      </c>
      <c r="X120" s="97">
        <f t="shared" si="120"/>
        <v>121.2553068315992</v>
      </c>
      <c r="Y120" s="97">
        <f t="shared" si="120"/>
        <v>123.10989754865726</v>
      </c>
      <c r="Z120" s="97">
        <f>Z115-Z118</f>
        <v>124.89836031716965</v>
      </c>
      <c r="BB120" s="91"/>
      <c r="BC120" s="91"/>
      <c r="BD120" s="91"/>
      <c r="BE120" s="91"/>
      <c r="BF120" s="91"/>
      <c r="BG120" s="91"/>
      <c r="BH120" s="91"/>
      <c r="BI120" s="91"/>
      <c r="BJ120" s="91"/>
      <c r="BK120" s="91"/>
      <c r="BL120" s="91"/>
      <c r="BM120" s="91"/>
      <c r="BN120" s="91"/>
      <c r="BO120" s="91"/>
      <c r="BP120" s="91"/>
      <c r="BQ120" s="91"/>
      <c r="BR120" s="145">
        <f t="shared" ref="BR120:CC120" si="121">BR115-BR118</f>
        <v>0.90000000000000036</v>
      </c>
      <c r="BS120" s="145">
        <f t="shared" si="121"/>
        <v>10.7</v>
      </c>
      <c r="BT120" s="145">
        <f t="shared" si="121"/>
        <v>3.7000000000000011</v>
      </c>
      <c r="BU120" s="145">
        <f t="shared" si="121"/>
        <v>12.099999999999996</v>
      </c>
      <c r="BV120" s="145">
        <f t="shared" si="121"/>
        <v>4</v>
      </c>
      <c r="BW120" s="145">
        <f t="shared" si="121"/>
        <v>7.2999999999999972</v>
      </c>
      <c r="BX120" s="145">
        <f t="shared" si="121"/>
        <v>9.6999999999999993</v>
      </c>
      <c r="BY120" s="145">
        <f t="shared" si="121"/>
        <v>20.500000000000021</v>
      </c>
      <c r="BZ120" s="145">
        <f t="shared" si="121"/>
        <v>15.5</v>
      </c>
      <c r="CA120" s="145">
        <f t="shared" si="121"/>
        <v>13.799999999999994</v>
      </c>
      <c r="CB120" s="145">
        <f t="shared" si="121"/>
        <v>15.599999999999998</v>
      </c>
      <c r="CC120" s="145">
        <f t="shared" si="121"/>
        <v>23.300000000000026</v>
      </c>
      <c r="CD120" s="145">
        <f>CD115-CD118</f>
        <v>17.599999999999998</v>
      </c>
      <c r="CE120" s="91"/>
    </row>
    <row r="121" spans="1:84" s="92" customFormat="1" ht="15">
      <c r="A121" s="92" t="s">
        <v>651</v>
      </c>
      <c r="B121" s="91"/>
      <c r="C121" s="91"/>
      <c r="D121" s="91"/>
      <c r="E121" s="91"/>
      <c r="F121" s="91"/>
      <c r="G121" s="91"/>
      <c r="H121" s="91"/>
      <c r="I121" s="91"/>
      <c r="J121" s="91"/>
      <c r="K121" s="91"/>
      <c r="L121" s="103">
        <f t="shared" ref="L121:Y121" si="122">L120/L109</f>
        <v>0.35597592433361996</v>
      </c>
      <c r="M121" s="103">
        <f t="shared" si="122"/>
        <v>0.18831615120274914</v>
      </c>
      <c r="N121" s="103">
        <f t="shared" si="122"/>
        <v>0.13963660834454919</v>
      </c>
      <c r="O121" s="103">
        <f t="shared" si="122"/>
        <v>0.22280300555374064</v>
      </c>
      <c r="P121" s="103">
        <f t="shared" si="122"/>
        <v>0.23180379746835444</v>
      </c>
      <c r="Q121" s="103">
        <f>Q120/Q109</f>
        <v>0.25617870722433461</v>
      </c>
      <c r="R121" s="103">
        <f t="shared" si="122"/>
        <v>3.1152647975077881E-3</v>
      </c>
      <c r="S121" s="103">
        <f t="shared" si="122"/>
        <v>-6.7499999999999907E-2</v>
      </c>
      <c r="T121" s="103">
        <f t="shared" si="122"/>
        <v>0.22999999999999998</v>
      </c>
      <c r="U121" s="103">
        <f t="shared" si="122"/>
        <v>0.25999999999999995</v>
      </c>
      <c r="V121" s="103">
        <f t="shared" si="122"/>
        <v>0.26999999999999996</v>
      </c>
      <c r="W121" s="103">
        <f t="shared" si="122"/>
        <v>0.29000000000000004</v>
      </c>
      <c r="X121" s="103">
        <f t="shared" si="122"/>
        <v>0.28999999999999998</v>
      </c>
      <c r="Y121" s="103">
        <f t="shared" si="122"/>
        <v>0.29000000000000009</v>
      </c>
      <c r="Z121" s="103">
        <f>Z120/Z109</f>
        <v>0.28999999999999998</v>
      </c>
      <c r="BB121" s="91"/>
      <c r="BC121" s="91"/>
      <c r="BD121" s="91"/>
      <c r="BE121" s="91"/>
      <c r="BF121" s="91"/>
      <c r="BG121" s="91"/>
      <c r="BH121" s="91"/>
      <c r="BI121" s="91"/>
      <c r="BJ121" s="91"/>
      <c r="BK121" s="91"/>
      <c r="BL121" s="91"/>
      <c r="BM121" s="91"/>
      <c r="BN121" s="91"/>
      <c r="BO121" s="91"/>
      <c r="BP121" s="91"/>
      <c r="BQ121" s="91"/>
      <c r="BR121" s="245">
        <f t="shared" ref="BR121:CC121" si="123">BR120/BR109</f>
        <v>3.082191780821919E-2</v>
      </c>
      <c r="BS121" s="245">
        <f t="shared" si="123"/>
        <v>0.34967320261437906</v>
      </c>
      <c r="BT121" s="245">
        <f t="shared" si="123"/>
        <v>0.12251655629139077</v>
      </c>
      <c r="BU121" s="245">
        <f t="shared" si="123"/>
        <v>0.21801801801801801</v>
      </c>
      <c r="BV121" s="245">
        <f t="shared" si="123"/>
        <v>5.4644808743169397E-2</v>
      </c>
      <c r="BW121" s="245">
        <f t="shared" si="123"/>
        <v>9.8515519568151119E-2</v>
      </c>
      <c r="BX121" s="245">
        <f t="shared" si="123"/>
        <v>0.12985274431057561</v>
      </c>
      <c r="BY121" s="245">
        <f t="shared" si="123"/>
        <v>0.27260638297872369</v>
      </c>
      <c r="BZ121" s="245">
        <f t="shared" si="123"/>
        <v>0.20749665327978581</v>
      </c>
      <c r="CA121" s="245">
        <f t="shared" si="123"/>
        <v>0.1801566579634464</v>
      </c>
      <c r="CB121" s="245">
        <f t="shared" si="123"/>
        <v>0.20445609436435122</v>
      </c>
      <c r="CC121" s="245">
        <f t="shared" si="123"/>
        <v>0.29681528662420414</v>
      </c>
      <c r="CD121" s="245">
        <f>CD120/CD109</f>
        <v>0.22278481012658224</v>
      </c>
      <c r="CE121" s="91"/>
    </row>
    <row r="122" spans="1:84" s="92" customFormat="1" ht="15">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243"/>
      <c r="CD122" s="91"/>
      <c r="CE122" s="91"/>
    </row>
    <row r="123" spans="1:84" s="92" customFormat="1" ht="15">
      <c r="A123" s="92" t="s">
        <v>655</v>
      </c>
      <c r="B123" s="91"/>
      <c r="C123" s="91"/>
      <c r="D123" s="91"/>
      <c r="E123" s="91"/>
      <c r="F123" s="91"/>
      <c r="G123" s="97"/>
      <c r="H123" s="97"/>
      <c r="I123" s="97"/>
      <c r="J123" s="97"/>
      <c r="K123" s="97"/>
      <c r="L123" s="97">
        <f t="shared" ref="L123:Z123" si="124">+L109-L132</f>
        <v>116.3</v>
      </c>
      <c r="M123" s="97">
        <f t="shared" si="124"/>
        <v>145.5</v>
      </c>
      <c r="N123" s="97">
        <f t="shared" si="124"/>
        <v>297.2</v>
      </c>
      <c r="O123" s="97">
        <f t="shared" si="124"/>
        <v>306.10000000000002</v>
      </c>
      <c r="P123" s="97">
        <f t="shared" si="124"/>
        <v>379.2</v>
      </c>
      <c r="Q123" s="97">
        <f>+Q109-Q132</f>
        <v>420.8</v>
      </c>
      <c r="R123" s="97">
        <f>+R109-R132</f>
        <v>321</v>
      </c>
      <c r="S123" s="97">
        <f t="shared" si="124"/>
        <v>324.61657669529973</v>
      </c>
      <c r="T123" s="97">
        <f t="shared" si="124"/>
        <v>389.97675312908581</v>
      </c>
      <c r="U123" s="97">
        <f t="shared" si="124"/>
        <v>397.42658922965256</v>
      </c>
      <c r="V123" s="97">
        <f t="shared" si="124"/>
        <v>404.59095300177125</v>
      </c>
      <c r="W123" s="97">
        <f t="shared" si="124"/>
        <v>411.48452003662987</v>
      </c>
      <c r="X123" s="97">
        <f t="shared" si="124"/>
        <v>418.12174769516969</v>
      </c>
      <c r="Y123" s="97">
        <f t="shared" si="124"/>
        <v>424.51688809881801</v>
      </c>
      <c r="Z123" s="97">
        <f t="shared" si="124"/>
        <v>430.68400109368844</v>
      </c>
      <c r="AB123" s="92" t="s">
        <v>655</v>
      </c>
      <c r="BB123" s="91"/>
      <c r="BC123" s="91"/>
      <c r="BD123" s="91"/>
      <c r="BE123" s="91"/>
      <c r="BF123" s="145">
        <f t="shared" ref="BF123:CC123" si="125">BF109-BF132</f>
        <v>0</v>
      </c>
      <c r="BG123" s="145">
        <f t="shared" si="125"/>
        <v>0</v>
      </c>
      <c r="BH123" s="145">
        <f t="shared" si="125"/>
        <v>0</v>
      </c>
      <c r="BI123" s="145">
        <f t="shared" si="125"/>
        <v>0</v>
      </c>
      <c r="BJ123" s="145">
        <f t="shared" si="125"/>
        <v>0</v>
      </c>
      <c r="BK123" s="145">
        <f t="shared" si="125"/>
        <v>0</v>
      </c>
      <c r="BL123" s="145">
        <f t="shared" si="125"/>
        <v>0</v>
      </c>
      <c r="BM123" s="145">
        <f t="shared" si="125"/>
        <v>0</v>
      </c>
      <c r="BN123" s="145">
        <f t="shared" si="125"/>
        <v>0</v>
      </c>
      <c r="BO123" s="145">
        <f t="shared" si="125"/>
        <v>0</v>
      </c>
      <c r="BP123" s="145">
        <f t="shared" si="125"/>
        <v>0</v>
      </c>
      <c r="BQ123" s="145">
        <f t="shared" si="125"/>
        <v>0</v>
      </c>
      <c r="BR123" s="145">
        <f t="shared" si="125"/>
        <v>29.2</v>
      </c>
      <c r="BS123" s="145">
        <f t="shared" si="125"/>
        <v>30.6</v>
      </c>
      <c r="BT123" s="145">
        <f t="shared" si="125"/>
        <v>30.2</v>
      </c>
      <c r="BU123" s="145">
        <f t="shared" si="125"/>
        <v>55.499999999999986</v>
      </c>
      <c r="BV123" s="145">
        <f t="shared" si="125"/>
        <v>73.2</v>
      </c>
      <c r="BW123" s="145">
        <f t="shared" si="125"/>
        <v>74.099999999999994</v>
      </c>
      <c r="BX123" s="145">
        <f t="shared" si="125"/>
        <v>74.7</v>
      </c>
      <c r="BY123" s="145">
        <f t="shared" si="125"/>
        <v>75.2</v>
      </c>
      <c r="BZ123" s="145">
        <f t="shared" si="125"/>
        <v>74.7</v>
      </c>
      <c r="CA123" s="145">
        <f t="shared" si="125"/>
        <v>76.599999999999994</v>
      </c>
      <c r="CB123" s="145">
        <f t="shared" si="125"/>
        <v>76.3</v>
      </c>
      <c r="CC123" s="145">
        <f t="shared" si="125"/>
        <v>78.5</v>
      </c>
      <c r="CD123" s="145">
        <f>CD109-CD132</f>
        <v>79</v>
      </c>
      <c r="CE123" s="91"/>
    </row>
    <row r="124" spans="1:84" s="92" customFormat="1" ht="15">
      <c r="A124" s="92" t="s">
        <v>656</v>
      </c>
      <c r="B124" s="91"/>
      <c r="C124" s="91"/>
      <c r="D124" s="91"/>
      <c r="E124" s="91"/>
      <c r="F124" s="91"/>
      <c r="G124" s="97"/>
      <c r="H124" s="97"/>
      <c r="I124" s="97"/>
      <c r="J124" s="97"/>
      <c r="K124" s="97"/>
      <c r="L124" s="97">
        <f t="shared" ref="L124:Q124" si="126">L112-L133</f>
        <v>59.699999999999996</v>
      </c>
      <c r="M124" s="97">
        <f t="shared" si="126"/>
        <v>77.2</v>
      </c>
      <c r="N124" s="97">
        <f t="shared" si="126"/>
        <v>154.6</v>
      </c>
      <c r="O124" s="97">
        <f t="shared" si="126"/>
        <v>170.8</v>
      </c>
      <c r="P124" s="97">
        <f t="shared" si="126"/>
        <v>213.6</v>
      </c>
      <c r="Q124" s="97">
        <f t="shared" si="126"/>
        <v>249.20000000000002</v>
      </c>
      <c r="R124" s="97">
        <f>R125*R123</f>
        <v>160.5</v>
      </c>
      <c r="S124" s="97">
        <f t="shared" ref="S124:Z124" si="127">S125*S123</f>
        <v>198.8276532258711</v>
      </c>
      <c r="T124" s="97">
        <f t="shared" si="127"/>
        <v>233.98605187745147</v>
      </c>
      <c r="U124" s="97">
        <f t="shared" si="127"/>
        <v>238.45595353779152</v>
      </c>
      <c r="V124" s="97">
        <f t="shared" si="127"/>
        <v>246.80048133108045</v>
      </c>
      <c r="W124" s="97">
        <f t="shared" si="127"/>
        <v>255.12040242271053</v>
      </c>
      <c r="X124" s="97">
        <f t="shared" si="127"/>
        <v>259.2354835710052</v>
      </c>
      <c r="Y124" s="97">
        <f t="shared" si="127"/>
        <v>263.20047062126719</v>
      </c>
      <c r="Z124" s="97">
        <f t="shared" si="127"/>
        <v>267.02408067808682</v>
      </c>
      <c r="AB124" s="92" t="s">
        <v>656</v>
      </c>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243"/>
      <c r="CD124" s="91"/>
      <c r="CE124" s="91"/>
    </row>
    <row r="125" spans="1:84" s="92" customFormat="1" ht="15">
      <c r="A125" s="92" t="s">
        <v>654</v>
      </c>
      <c r="B125" s="91"/>
      <c r="C125" s="91"/>
      <c r="D125" s="91"/>
      <c r="E125" s="91"/>
      <c r="F125" s="91"/>
      <c r="G125" s="97"/>
      <c r="H125" s="97"/>
      <c r="I125" s="97"/>
      <c r="J125" s="97"/>
      <c r="K125" s="97"/>
      <c r="L125" s="103">
        <f t="shared" ref="L125:Q125" si="128">L124/L123</f>
        <v>0.5133276010318143</v>
      </c>
      <c r="M125" s="103">
        <f t="shared" si="128"/>
        <v>0.53058419243986255</v>
      </c>
      <c r="N125" s="103">
        <f t="shared" si="128"/>
        <v>0.52018842530282638</v>
      </c>
      <c r="O125" s="103">
        <f t="shared" si="128"/>
        <v>0.55798758575628882</v>
      </c>
      <c r="P125" s="103">
        <f t="shared" si="128"/>
        <v>0.56329113924050633</v>
      </c>
      <c r="Q125" s="103">
        <f t="shared" si="128"/>
        <v>0.59220532319391639</v>
      </c>
      <c r="R125" s="123">
        <v>0.5</v>
      </c>
      <c r="S125" s="123">
        <v>0.61250000000000004</v>
      </c>
      <c r="T125" s="123">
        <v>0.6</v>
      </c>
      <c r="U125" s="123">
        <v>0.6</v>
      </c>
      <c r="V125" s="123">
        <v>0.61</v>
      </c>
      <c r="W125" s="123">
        <v>0.62</v>
      </c>
      <c r="X125" s="123">
        <v>0.62</v>
      </c>
      <c r="Y125" s="123">
        <v>0.62</v>
      </c>
      <c r="Z125" s="123">
        <v>0.62</v>
      </c>
      <c r="AB125" s="92" t="s">
        <v>654</v>
      </c>
      <c r="BB125" s="91"/>
      <c r="BC125" s="91"/>
      <c r="BD125" s="91"/>
      <c r="BE125" s="91"/>
      <c r="BF125" s="91"/>
      <c r="BG125" s="91"/>
      <c r="BH125" s="91"/>
      <c r="BI125" s="91"/>
      <c r="BJ125" s="91"/>
      <c r="BK125" s="91"/>
      <c r="BL125" s="91"/>
      <c r="BM125" s="91"/>
      <c r="BN125" s="91"/>
      <c r="BO125" s="91"/>
      <c r="BP125" s="91"/>
      <c r="BQ125" s="91"/>
      <c r="BR125" s="145"/>
      <c r="BS125" s="145"/>
      <c r="BT125" s="145"/>
      <c r="BU125" s="145"/>
      <c r="BV125" s="145"/>
      <c r="BW125" s="145"/>
      <c r="BX125" s="145"/>
      <c r="BY125" s="145"/>
      <c r="BZ125" s="145"/>
      <c r="CA125" s="145"/>
      <c r="CB125" s="145"/>
      <c r="CC125" s="145"/>
      <c r="CD125" s="145"/>
      <c r="CE125" s="91"/>
    </row>
    <row r="126" spans="1:84" s="92" customFormat="1" ht="15">
      <c r="A126" s="92" t="s">
        <v>657</v>
      </c>
      <c r="B126" s="91"/>
      <c r="C126" s="91"/>
      <c r="D126" s="91"/>
      <c r="E126" s="91"/>
      <c r="F126" s="91"/>
      <c r="G126" s="97"/>
      <c r="H126" s="97"/>
      <c r="I126" s="97"/>
      <c r="J126" s="97"/>
      <c r="K126" s="97"/>
      <c r="L126" s="97">
        <f t="shared" ref="L126:Z126" si="129">L123-L124</f>
        <v>56.6</v>
      </c>
      <c r="M126" s="97">
        <f t="shared" si="129"/>
        <v>68.3</v>
      </c>
      <c r="N126" s="97">
        <f t="shared" si="129"/>
        <v>142.6</v>
      </c>
      <c r="O126" s="97">
        <f t="shared" si="129"/>
        <v>135.30000000000001</v>
      </c>
      <c r="P126" s="97">
        <f t="shared" si="129"/>
        <v>165.6</v>
      </c>
      <c r="Q126" s="97">
        <f>Q123-Q124</f>
        <v>171.6</v>
      </c>
      <c r="R126" s="97">
        <f>R123-R124</f>
        <v>160.5</v>
      </c>
      <c r="S126" s="97">
        <f t="shared" si="129"/>
        <v>125.78892346942862</v>
      </c>
      <c r="T126" s="97">
        <f t="shared" si="129"/>
        <v>155.99070125163433</v>
      </c>
      <c r="U126" s="97">
        <f t="shared" si="129"/>
        <v>158.97063569186105</v>
      </c>
      <c r="V126" s="97">
        <f t="shared" si="129"/>
        <v>157.79047167069081</v>
      </c>
      <c r="W126" s="97">
        <f t="shared" si="129"/>
        <v>156.36411761391935</v>
      </c>
      <c r="X126" s="97">
        <f t="shared" si="129"/>
        <v>158.88626412416448</v>
      </c>
      <c r="Y126" s="97">
        <f t="shared" si="129"/>
        <v>161.31641747755083</v>
      </c>
      <c r="Z126" s="97">
        <f t="shared" si="129"/>
        <v>163.65992041560162</v>
      </c>
      <c r="AB126" s="92" t="s">
        <v>657</v>
      </c>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row>
    <row r="127" spans="1:84" s="92" customFormat="1" ht="15">
      <c r="A127" s="92" t="s">
        <v>658</v>
      </c>
      <c r="B127" s="91"/>
      <c r="C127" s="91"/>
      <c r="D127" s="91"/>
      <c r="E127" s="91"/>
      <c r="F127" s="91"/>
      <c r="G127" s="97"/>
      <c r="H127" s="97"/>
      <c r="I127" s="97"/>
      <c r="J127" s="97"/>
      <c r="K127" s="97"/>
      <c r="L127" s="97">
        <f t="shared" ref="L127:Q127" si="130">L114-L136-L137</f>
        <v>18.8</v>
      </c>
      <c r="M127" s="97">
        <f t="shared" si="130"/>
        <v>24.7</v>
      </c>
      <c r="N127" s="97">
        <f t="shared" si="130"/>
        <v>47.7</v>
      </c>
      <c r="O127" s="97">
        <f t="shared" si="130"/>
        <v>42.2</v>
      </c>
      <c r="P127" s="97">
        <f t="shared" si="130"/>
        <v>47.6</v>
      </c>
      <c r="Q127" s="97">
        <f t="shared" si="130"/>
        <v>40.4</v>
      </c>
      <c r="R127" s="97">
        <f>R128*R123</f>
        <v>37.236000000000004</v>
      </c>
      <c r="S127" s="97">
        <f t="shared" ref="S127:Z127" si="131">S128*S123</f>
        <v>64.923315339059954</v>
      </c>
      <c r="T127" s="97">
        <f t="shared" si="131"/>
        <v>58.496512969362868</v>
      </c>
      <c r="U127" s="97">
        <f t="shared" si="131"/>
        <v>59.613988384447879</v>
      </c>
      <c r="V127" s="97">
        <f t="shared" si="131"/>
        <v>60.688642950265688</v>
      </c>
      <c r="W127" s="97">
        <f t="shared" si="131"/>
        <v>61.72267800549448</v>
      </c>
      <c r="X127" s="97">
        <f t="shared" si="131"/>
        <v>62.71826215427545</v>
      </c>
      <c r="Y127" s="97">
        <f t="shared" si="131"/>
        <v>63.677533214822702</v>
      </c>
      <c r="Z127" s="97">
        <f t="shared" si="131"/>
        <v>64.602600164053257</v>
      </c>
      <c r="AB127" s="92" t="s">
        <v>658</v>
      </c>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row>
    <row r="128" spans="1:84" s="92" customFormat="1" ht="15">
      <c r="A128" s="92" t="s">
        <v>654</v>
      </c>
      <c r="B128" s="91"/>
      <c r="C128" s="91"/>
      <c r="D128" s="91"/>
      <c r="E128" s="91"/>
      <c r="F128" s="91"/>
      <c r="G128" s="97"/>
      <c r="H128" s="97"/>
      <c r="I128" s="97"/>
      <c r="J128" s="97"/>
      <c r="K128" s="97"/>
      <c r="L128" s="103">
        <f t="shared" ref="L128:Q128" si="132">L127/L123</f>
        <v>0.16165090283748926</v>
      </c>
      <c r="M128" s="103">
        <f t="shared" si="132"/>
        <v>0.16975945017182131</v>
      </c>
      <c r="N128" s="103">
        <f t="shared" si="132"/>
        <v>0.16049798115746974</v>
      </c>
      <c r="O128" s="103">
        <f t="shared" si="132"/>
        <v>0.13786344331917674</v>
      </c>
      <c r="P128" s="103">
        <f t="shared" si="132"/>
        <v>0.12552742616033757</v>
      </c>
      <c r="Q128" s="103">
        <f t="shared" si="132"/>
        <v>9.6007604562737631E-2</v>
      </c>
      <c r="R128" s="104">
        <v>0.11600000000000001</v>
      </c>
      <c r="S128" s="104">
        <v>0.2</v>
      </c>
      <c r="T128" s="104">
        <v>0.15</v>
      </c>
      <c r="U128" s="104">
        <v>0.15</v>
      </c>
      <c r="V128" s="104">
        <v>0.15</v>
      </c>
      <c r="W128" s="104">
        <v>0.15</v>
      </c>
      <c r="X128" s="104">
        <v>0.15</v>
      </c>
      <c r="Y128" s="104">
        <v>0.15</v>
      </c>
      <c r="Z128" s="104">
        <v>0.15</v>
      </c>
      <c r="AB128" s="92" t="s">
        <v>654</v>
      </c>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row>
    <row r="129" spans="1:85" s="92" customFormat="1" ht="15">
      <c r="A129" s="92" t="s">
        <v>659</v>
      </c>
      <c r="B129" s="91"/>
      <c r="C129" s="91"/>
      <c r="D129" s="91"/>
      <c r="E129" s="91"/>
      <c r="F129" s="91"/>
      <c r="G129" s="97"/>
      <c r="H129" s="97"/>
      <c r="I129" s="97"/>
      <c r="J129" s="97"/>
      <c r="K129" s="97"/>
      <c r="L129" s="97">
        <f t="shared" ref="L129:Z129" si="133">+L115-L138</f>
        <v>41.4</v>
      </c>
      <c r="M129" s="97">
        <f t="shared" si="133"/>
        <v>52.9</v>
      </c>
      <c r="N129" s="97">
        <f t="shared" si="133"/>
        <v>107.30000000000001</v>
      </c>
      <c r="O129" s="97">
        <f t="shared" si="133"/>
        <v>128.60000000000002</v>
      </c>
      <c r="P129" s="97">
        <f t="shared" si="133"/>
        <v>166</v>
      </c>
      <c r="Q129" s="97">
        <f>+Q115-Q138</f>
        <v>198.8</v>
      </c>
      <c r="R129" s="97">
        <f>+R115-R138</f>
        <v>133</v>
      </c>
      <c r="S129" s="97">
        <f t="shared" si="133"/>
        <v>133.90433788681116</v>
      </c>
      <c r="T129" s="97">
        <f t="shared" si="133"/>
        <v>175.4895389080886</v>
      </c>
      <c r="U129" s="97">
        <f t="shared" si="133"/>
        <v>178.84196515334364</v>
      </c>
      <c r="V129" s="97">
        <f t="shared" si="133"/>
        <v>186.11183838081476</v>
      </c>
      <c r="W129" s="97">
        <f t="shared" si="133"/>
        <v>193.39772441721604</v>
      </c>
      <c r="X129" s="97">
        <f t="shared" si="133"/>
        <v>196.51722141672974</v>
      </c>
      <c r="Y129" s="97">
        <f t="shared" si="133"/>
        <v>199.5229374064445</v>
      </c>
      <c r="Z129" s="97">
        <f t="shared" si="133"/>
        <v>202.42148051403356</v>
      </c>
      <c r="AB129" s="92" t="s">
        <v>759</v>
      </c>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row>
    <row r="130" spans="1:85" s="92" customFormat="1" ht="15">
      <c r="A130" s="92" t="s">
        <v>654</v>
      </c>
      <c r="B130" s="91"/>
      <c r="C130" s="91"/>
      <c r="D130" s="91"/>
      <c r="E130" s="91"/>
      <c r="F130" s="91"/>
      <c r="G130" s="97"/>
      <c r="H130" s="97"/>
      <c r="I130" s="97"/>
      <c r="J130" s="97"/>
      <c r="K130" s="97"/>
      <c r="L130" s="101">
        <f t="shared" ref="L130:Z130" si="134">+L129/L123</f>
        <v>0.35597592433361996</v>
      </c>
      <c r="M130" s="101">
        <f t="shared" si="134"/>
        <v>0.36357388316151201</v>
      </c>
      <c r="N130" s="101">
        <f t="shared" si="134"/>
        <v>0.36103633916554512</v>
      </c>
      <c r="O130" s="101">
        <f t="shared" si="134"/>
        <v>0.4201241424371121</v>
      </c>
      <c r="P130" s="101">
        <f t="shared" si="134"/>
        <v>0.43776371308016881</v>
      </c>
      <c r="Q130" s="101">
        <f>+Q129/Q123</f>
        <v>0.47243346007604564</v>
      </c>
      <c r="R130" s="101">
        <f t="shared" si="134"/>
        <v>0.41433021806853582</v>
      </c>
      <c r="S130" s="101">
        <f t="shared" si="134"/>
        <v>0.41250000000000009</v>
      </c>
      <c r="T130" s="101">
        <f t="shared" si="134"/>
        <v>0.44999999999999996</v>
      </c>
      <c r="U130" s="101">
        <f t="shared" si="134"/>
        <v>0.44999999999999996</v>
      </c>
      <c r="V130" s="101">
        <f t="shared" si="134"/>
        <v>0.45999999999999996</v>
      </c>
      <c r="W130" s="101">
        <f t="shared" si="134"/>
        <v>0.47</v>
      </c>
      <c r="X130" s="101">
        <f t="shared" si="134"/>
        <v>0.47</v>
      </c>
      <c r="Y130" s="101">
        <f t="shared" si="134"/>
        <v>0.47000000000000008</v>
      </c>
      <c r="Z130" s="101">
        <f t="shared" si="134"/>
        <v>0.47</v>
      </c>
      <c r="AB130" s="92" t="s">
        <v>654</v>
      </c>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row>
    <row r="131" spans="1:85" s="92" customFormat="1" ht="15">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row>
    <row r="132" spans="1:85" s="92" customFormat="1" ht="15">
      <c r="A132" s="92" t="s">
        <v>660</v>
      </c>
      <c r="B132" s="91"/>
      <c r="C132" s="91"/>
      <c r="D132" s="91"/>
      <c r="E132" s="91"/>
      <c r="F132" s="91"/>
      <c r="G132" s="91"/>
      <c r="H132" s="91"/>
      <c r="I132" s="91"/>
      <c r="J132" s="91"/>
      <c r="K132" s="91"/>
      <c r="L132" s="97">
        <f t="shared" ref="L132:Z132" si="135">+L64</f>
        <v>0</v>
      </c>
      <c r="M132" s="97">
        <f t="shared" si="135"/>
        <v>0</v>
      </c>
      <c r="N132" s="97">
        <f t="shared" si="135"/>
        <v>0</v>
      </c>
      <c r="O132" s="97">
        <f t="shared" si="135"/>
        <v>0</v>
      </c>
      <c r="P132" s="97">
        <f t="shared" si="135"/>
        <v>0</v>
      </c>
      <c r="Q132" s="97">
        <f t="shared" si="135"/>
        <v>0</v>
      </c>
      <c r="R132" s="97">
        <f t="shared" si="135"/>
        <v>0</v>
      </c>
      <c r="S132" s="97">
        <f t="shared" si="135"/>
        <v>0</v>
      </c>
      <c r="T132" s="97">
        <f t="shared" si="135"/>
        <v>0</v>
      </c>
      <c r="U132" s="97">
        <f t="shared" si="135"/>
        <v>0</v>
      </c>
      <c r="V132" s="97">
        <f t="shared" si="135"/>
        <v>0</v>
      </c>
      <c r="W132" s="97">
        <f t="shared" si="135"/>
        <v>0</v>
      </c>
      <c r="X132" s="97">
        <f t="shared" si="135"/>
        <v>0</v>
      </c>
      <c r="Y132" s="97">
        <f t="shared" si="135"/>
        <v>0</v>
      </c>
      <c r="Z132" s="97">
        <f t="shared" si="135"/>
        <v>0</v>
      </c>
      <c r="AB132" s="92" t="s">
        <v>660</v>
      </c>
      <c r="BB132" s="91"/>
      <c r="BC132" s="91"/>
      <c r="BD132" s="91"/>
      <c r="BE132" s="91"/>
      <c r="BF132" s="96">
        <v>0</v>
      </c>
      <c r="BG132" s="96">
        <v>0</v>
      </c>
      <c r="BH132" s="96">
        <v>0</v>
      </c>
      <c r="BI132" s="96">
        <v>0</v>
      </c>
      <c r="BJ132" s="96">
        <v>0</v>
      </c>
      <c r="BK132" s="96">
        <v>0</v>
      </c>
      <c r="BL132" s="96">
        <v>0</v>
      </c>
      <c r="BM132" s="96">
        <v>0</v>
      </c>
      <c r="BN132" s="96">
        <v>0</v>
      </c>
      <c r="BO132" s="96">
        <v>0</v>
      </c>
      <c r="BP132" s="96">
        <v>0</v>
      </c>
      <c r="BQ132" s="96">
        <v>0</v>
      </c>
      <c r="BR132" s="96">
        <v>0</v>
      </c>
      <c r="BS132" s="96">
        <v>0</v>
      </c>
      <c r="BT132" s="96">
        <v>0</v>
      </c>
      <c r="BU132" s="96">
        <v>0</v>
      </c>
      <c r="BV132" s="96">
        <v>0</v>
      </c>
      <c r="BW132" s="96">
        <v>0</v>
      </c>
      <c r="BX132" s="96">
        <v>0</v>
      </c>
      <c r="BY132" s="96">
        <v>0</v>
      </c>
      <c r="BZ132" s="96">
        <v>0</v>
      </c>
      <c r="CA132" s="96">
        <v>0</v>
      </c>
      <c r="CB132" s="96">
        <v>0</v>
      </c>
      <c r="CC132" s="96">
        <v>0</v>
      </c>
      <c r="CD132" s="96">
        <v>0</v>
      </c>
      <c r="CE132" s="91"/>
    </row>
    <row r="133" spans="1:85" s="92" customFormat="1" ht="15">
      <c r="A133" s="92" t="s">
        <v>661</v>
      </c>
      <c r="B133" s="91"/>
      <c r="C133" s="91"/>
      <c r="D133" s="91"/>
      <c r="E133" s="91"/>
      <c r="F133" s="91"/>
      <c r="G133" s="91"/>
      <c r="H133" s="91"/>
      <c r="I133" s="91"/>
      <c r="J133" s="91"/>
      <c r="K133" s="91"/>
      <c r="L133" s="97">
        <f t="shared" ref="L133:Z133" si="136">L134*L132</f>
        <v>0</v>
      </c>
      <c r="M133" s="97">
        <f t="shared" si="136"/>
        <v>0</v>
      </c>
      <c r="N133" s="97">
        <f t="shared" si="136"/>
        <v>0</v>
      </c>
      <c r="O133" s="97">
        <f t="shared" si="136"/>
        <v>0</v>
      </c>
      <c r="P133" s="97">
        <f t="shared" si="136"/>
        <v>0</v>
      </c>
      <c r="Q133" s="97">
        <f t="shared" si="136"/>
        <v>0</v>
      </c>
      <c r="R133" s="97">
        <f t="shared" si="136"/>
        <v>0</v>
      </c>
      <c r="S133" s="97">
        <f t="shared" si="136"/>
        <v>0</v>
      </c>
      <c r="T133" s="97">
        <f t="shared" si="136"/>
        <v>0</v>
      </c>
      <c r="U133" s="97">
        <f t="shared" si="136"/>
        <v>0</v>
      </c>
      <c r="V133" s="97">
        <f t="shared" si="136"/>
        <v>0</v>
      </c>
      <c r="W133" s="97">
        <f t="shared" si="136"/>
        <v>0</v>
      </c>
      <c r="X133" s="97">
        <f t="shared" si="136"/>
        <v>0</v>
      </c>
      <c r="Y133" s="97">
        <f t="shared" si="136"/>
        <v>0</v>
      </c>
      <c r="Z133" s="97">
        <f t="shared" si="136"/>
        <v>0</v>
      </c>
      <c r="AB133" s="92" t="s">
        <v>661</v>
      </c>
      <c r="BB133" s="91"/>
      <c r="BC133" s="91"/>
      <c r="BD133" s="91"/>
      <c r="BE133" s="91"/>
      <c r="BF133" s="96">
        <v>0</v>
      </c>
      <c r="BG133" s="96">
        <v>0</v>
      </c>
      <c r="BH133" s="96">
        <v>0</v>
      </c>
      <c r="BI133" s="96">
        <v>0</v>
      </c>
      <c r="BJ133" s="96">
        <v>0</v>
      </c>
      <c r="BK133" s="96">
        <v>0</v>
      </c>
      <c r="BL133" s="96">
        <v>0</v>
      </c>
      <c r="BM133" s="96">
        <v>0</v>
      </c>
      <c r="BN133" s="96">
        <v>0</v>
      </c>
      <c r="BO133" s="96">
        <v>0</v>
      </c>
      <c r="BP133" s="96">
        <v>0</v>
      </c>
      <c r="BQ133" s="96">
        <v>0</v>
      </c>
      <c r="BR133" s="96">
        <v>0</v>
      </c>
      <c r="BS133" s="96">
        <v>0</v>
      </c>
      <c r="BT133" s="96">
        <v>0</v>
      </c>
      <c r="BU133" s="96">
        <v>0</v>
      </c>
      <c r="BV133" s="96">
        <v>0</v>
      </c>
      <c r="BW133" s="96">
        <v>0</v>
      </c>
      <c r="BX133" s="96">
        <v>0</v>
      </c>
      <c r="BY133" s="96">
        <v>0</v>
      </c>
      <c r="BZ133" s="96">
        <v>0</v>
      </c>
      <c r="CA133" s="96">
        <v>0</v>
      </c>
      <c r="CB133" s="96">
        <v>0</v>
      </c>
      <c r="CC133" s="96">
        <v>0</v>
      </c>
      <c r="CD133" s="96">
        <v>0</v>
      </c>
      <c r="CE133" s="91"/>
    </row>
    <row r="134" spans="1:85" s="92" customFormat="1" ht="15">
      <c r="A134" s="92" t="s">
        <v>662</v>
      </c>
      <c r="B134" s="91"/>
      <c r="C134" s="91"/>
      <c r="D134" s="91"/>
      <c r="E134" s="91"/>
      <c r="F134" s="91"/>
      <c r="G134" s="91"/>
      <c r="H134" s="91"/>
      <c r="I134" s="91"/>
      <c r="J134" s="91"/>
      <c r="K134" s="91"/>
      <c r="L134" s="234">
        <v>0</v>
      </c>
      <c r="M134" s="234">
        <v>0</v>
      </c>
      <c r="N134" s="234">
        <v>0</v>
      </c>
      <c r="O134" s="234">
        <v>0</v>
      </c>
      <c r="P134" s="234">
        <v>0</v>
      </c>
      <c r="Q134" s="234">
        <v>0</v>
      </c>
      <c r="R134" s="234">
        <v>0</v>
      </c>
      <c r="S134" s="234">
        <v>0</v>
      </c>
      <c r="T134" s="234">
        <v>0</v>
      </c>
      <c r="U134" s="234">
        <v>0</v>
      </c>
      <c r="V134" s="234">
        <v>0</v>
      </c>
      <c r="W134" s="234">
        <v>0</v>
      </c>
      <c r="X134" s="234">
        <v>0</v>
      </c>
      <c r="Y134" s="234">
        <v>0</v>
      </c>
      <c r="Z134" s="234">
        <v>0</v>
      </c>
      <c r="AB134" s="92" t="s">
        <v>662</v>
      </c>
      <c r="BB134" s="91"/>
      <c r="BC134" s="91"/>
      <c r="BD134" s="91"/>
      <c r="BE134" s="91"/>
      <c r="BF134" s="147" t="e">
        <f t="shared" ref="BF134:CC134" si="137">BF133/BF132</f>
        <v>#DIV/0!</v>
      </c>
      <c r="BG134" s="147" t="e">
        <f t="shared" si="137"/>
        <v>#DIV/0!</v>
      </c>
      <c r="BH134" s="147" t="e">
        <f t="shared" si="137"/>
        <v>#DIV/0!</v>
      </c>
      <c r="BI134" s="147" t="e">
        <f t="shared" si="137"/>
        <v>#DIV/0!</v>
      </c>
      <c r="BJ134" s="147" t="e">
        <f t="shared" si="137"/>
        <v>#DIV/0!</v>
      </c>
      <c r="BK134" s="147" t="e">
        <f t="shared" si="137"/>
        <v>#DIV/0!</v>
      </c>
      <c r="BL134" s="147" t="e">
        <f t="shared" si="137"/>
        <v>#DIV/0!</v>
      </c>
      <c r="BM134" s="147" t="e">
        <f t="shared" si="137"/>
        <v>#DIV/0!</v>
      </c>
      <c r="BN134" s="147" t="e">
        <f t="shared" si="137"/>
        <v>#DIV/0!</v>
      </c>
      <c r="BO134" s="147" t="e">
        <f t="shared" si="137"/>
        <v>#DIV/0!</v>
      </c>
      <c r="BP134" s="147" t="e">
        <f t="shared" si="137"/>
        <v>#DIV/0!</v>
      </c>
      <c r="BQ134" s="147" t="e">
        <f t="shared" si="137"/>
        <v>#DIV/0!</v>
      </c>
      <c r="BR134" s="147" t="e">
        <f t="shared" si="137"/>
        <v>#DIV/0!</v>
      </c>
      <c r="BS134" s="147" t="e">
        <f t="shared" si="137"/>
        <v>#DIV/0!</v>
      </c>
      <c r="BT134" s="147" t="e">
        <f t="shared" si="137"/>
        <v>#DIV/0!</v>
      </c>
      <c r="BU134" s="147" t="e">
        <f t="shared" si="137"/>
        <v>#DIV/0!</v>
      </c>
      <c r="BV134" s="147" t="e">
        <f t="shared" si="137"/>
        <v>#DIV/0!</v>
      </c>
      <c r="BW134" s="147" t="e">
        <f t="shared" si="137"/>
        <v>#DIV/0!</v>
      </c>
      <c r="BX134" s="147" t="e">
        <f t="shared" si="137"/>
        <v>#DIV/0!</v>
      </c>
      <c r="BY134" s="147" t="e">
        <f t="shared" si="137"/>
        <v>#DIV/0!</v>
      </c>
      <c r="BZ134" s="147" t="e">
        <f t="shared" si="137"/>
        <v>#DIV/0!</v>
      </c>
      <c r="CA134" s="147" t="e">
        <f t="shared" si="137"/>
        <v>#DIV/0!</v>
      </c>
      <c r="CB134" s="147" t="e">
        <f t="shared" si="137"/>
        <v>#DIV/0!</v>
      </c>
      <c r="CC134" s="147" t="e">
        <f t="shared" si="137"/>
        <v>#DIV/0!</v>
      </c>
      <c r="CD134" s="147" t="e">
        <f>CD133/CD132</f>
        <v>#DIV/0!</v>
      </c>
      <c r="CE134" s="91"/>
    </row>
    <row r="135" spans="1:85" s="92" customFormat="1" ht="15">
      <c r="A135" s="92" t="s">
        <v>663</v>
      </c>
      <c r="B135" s="91"/>
      <c r="C135" s="91"/>
      <c r="D135" s="91"/>
      <c r="E135" s="91"/>
      <c r="F135" s="91"/>
      <c r="G135" s="91"/>
      <c r="H135" s="91"/>
      <c r="I135" s="91"/>
      <c r="J135" s="91"/>
      <c r="K135" s="91"/>
      <c r="L135" s="97">
        <f t="shared" ref="L135:Z135" si="138">+L132-L133</f>
        <v>0</v>
      </c>
      <c r="M135" s="97">
        <f t="shared" si="138"/>
        <v>0</v>
      </c>
      <c r="N135" s="97">
        <f t="shared" si="138"/>
        <v>0</v>
      </c>
      <c r="O135" s="97">
        <f t="shared" si="138"/>
        <v>0</v>
      </c>
      <c r="P135" s="97">
        <f t="shared" si="138"/>
        <v>0</v>
      </c>
      <c r="Q135" s="97">
        <f t="shared" si="138"/>
        <v>0</v>
      </c>
      <c r="R135" s="97">
        <f t="shared" si="138"/>
        <v>0</v>
      </c>
      <c r="S135" s="97">
        <f t="shared" si="138"/>
        <v>0</v>
      </c>
      <c r="T135" s="97">
        <f t="shared" si="138"/>
        <v>0</v>
      </c>
      <c r="U135" s="97">
        <f t="shared" si="138"/>
        <v>0</v>
      </c>
      <c r="V135" s="97">
        <f t="shared" si="138"/>
        <v>0</v>
      </c>
      <c r="W135" s="97">
        <f t="shared" si="138"/>
        <v>0</v>
      </c>
      <c r="X135" s="97">
        <f t="shared" si="138"/>
        <v>0</v>
      </c>
      <c r="Y135" s="97">
        <f t="shared" si="138"/>
        <v>0</v>
      </c>
      <c r="Z135" s="97">
        <f t="shared" si="138"/>
        <v>0</v>
      </c>
      <c r="AB135" s="92" t="s">
        <v>663</v>
      </c>
      <c r="BB135" s="91"/>
      <c r="BC135" s="91"/>
      <c r="BD135" s="91"/>
      <c r="BE135" s="91"/>
      <c r="BF135" s="96">
        <v>0</v>
      </c>
      <c r="BG135" s="96">
        <v>0</v>
      </c>
      <c r="BH135" s="96">
        <v>0</v>
      </c>
      <c r="BI135" s="96">
        <v>0</v>
      </c>
      <c r="BJ135" s="96">
        <v>0</v>
      </c>
      <c r="BK135" s="96">
        <v>0</v>
      </c>
      <c r="BL135" s="96">
        <v>0</v>
      </c>
      <c r="BM135" s="96">
        <v>0</v>
      </c>
      <c r="BN135" s="96">
        <v>0</v>
      </c>
      <c r="BO135" s="96">
        <v>0</v>
      </c>
      <c r="BP135" s="96">
        <v>0</v>
      </c>
      <c r="BQ135" s="96">
        <v>0</v>
      </c>
      <c r="BR135" s="96">
        <v>0</v>
      </c>
      <c r="BS135" s="96">
        <v>0</v>
      </c>
      <c r="BT135" s="96">
        <v>0</v>
      </c>
      <c r="BU135" s="96">
        <v>0</v>
      </c>
      <c r="BV135" s="96">
        <v>0</v>
      </c>
      <c r="BW135" s="96">
        <v>0</v>
      </c>
      <c r="BX135" s="96">
        <v>0</v>
      </c>
      <c r="BY135" s="96">
        <v>0</v>
      </c>
      <c r="BZ135" s="96">
        <v>0</v>
      </c>
      <c r="CA135" s="96">
        <v>0</v>
      </c>
      <c r="CB135" s="96">
        <v>0</v>
      </c>
      <c r="CC135" s="96">
        <v>0</v>
      </c>
      <c r="CD135" s="96">
        <v>0</v>
      </c>
      <c r="CE135" s="91"/>
    </row>
    <row r="136" spans="1:85" s="92" customFormat="1" ht="15">
      <c r="A136" s="92" t="s">
        <v>664</v>
      </c>
      <c r="B136" s="91"/>
      <c r="C136" s="91"/>
      <c r="D136" s="91"/>
      <c r="E136" s="91"/>
      <c r="F136" s="91"/>
      <c r="G136" s="91"/>
      <c r="H136" s="91"/>
      <c r="I136" s="91"/>
      <c r="J136" s="91"/>
      <c r="K136" s="91"/>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B136" s="92" t="s">
        <v>664</v>
      </c>
      <c r="BB136" s="91"/>
      <c r="BC136" s="91"/>
      <c r="BD136" s="91"/>
      <c r="BE136" s="91"/>
      <c r="BF136" s="96">
        <v>0</v>
      </c>
      <c r="BG136" s="96">
        <v>0</v>
      </c>
      <c r="BH136" s="96">
        <v>0</v>
      </c>
      <c r="BI136" s="96">
        <v>0</v>
      </c>
      <c r="BJ136" s="96">
        <v>0</v>
      </c>
      <c r="BK136" s="96">
        <v>0</v>
      </c>
      <c r="BL136" s="96">
        <v>0</v>
      </c>
      <c r="BM136" s="96">
        <v>0</v>
      </c>
      <c r="BN136" s="96">
        <v>0</v>
      </c>
      <c r="BO136" s="96">
        <v>0</v>
      </c>
      <c r="BP136" s="96">
        <v>0</v>
      </c>
      <c r="BQ136" s="96">
        <v>0</v>
      </c>
      <c r="BR136" s="96">
        <v>0</v>
      </c>
      <c r="BS136" s="96">
        <v>0</v>
      </c>
      <c r="BT136" s="96">
        <v>0</v>
      </c>
      <c r="BU136" s="96">
        <v>0</v>
      </c>
      <c r="BV136" s="96">
        <v>0</v>
      </c>
      <c r="BW136" s="96">
        <v>0</v>
      </c>
      <c r="BX136" s="96">
        <v>0</v>
      </c>
      <c r="BY136" s="96">
        <v>0</v>
      </c>
      <c r="BZ136" s="96">
        <v>0</v>
      </c>
      <c r="CA136" s="96">
        <v>0</v>
      </c>
      <c r="CB136" s="96">
        <v>0</v>
      </c>
      <c r="CC136" s="96">
        <v>0</v>
      </c>
      <c r="CD136" s="96">
        <v>0</v>
      </c>
      <c r="CE136" s="91"/>
    </row>
    <row r="137" spans="1:85" s="92" customFormat="1" ht="15">
      <c r="A137" s="92" t="s">
        <v>665</v>
      </c>
      <c r="B137" s="91"/>
      <c r="C137" s="91"/>
      <c r="D137" s="91"/>
      <c r="E137" s="91"/>
      <c r="F137" s="91"/>
      <c r="G137" s="91"/>
      <c r="H137" s="91"/>
      <c r="I137" s="91"/>
      <c r="J137" s="91"/>
      <c r="K137" s="91"/>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B137" s="92" t="s">
        <v>665</v>
      </c>
      <c r="BB137" s="91"/>
      <c r="BC137" s="91"/>
      <c r="BD137" s="91"/>
      <c r="BE137" s="91"/>
      <c r="BF137" s="96">
        <v>0</v>
      </c>
      <c r="BG137" s="96">
        <v>0</v>
      </c>
      <c r="BH137" s="96">
        <v>0</v>
      </c>
      <c r="BI137" s="96">
        <v>0</v>
      </c>
      <c r="BJ137" s="96">
        <v>0</v>
      </c>
      <c r="BK137" s="96">
        <v>0</v>
      </c>
      <c r="BL137" s="96">
        <v>0</v>
      </c>
      <c r="BM137" s="96">
        <v>0</v>
      </c>
      <c r="BN137" s="96">
        <v>0</v>
      </c>
      <c r="BO137" s="96">
        <v>0</v>
      </c>
      <c r="BP137" s="96">
        <v>0</v>
      </c>
      <c r="BQ137" s="96">
        <v>0</v>
      </c>
      <c r="BR137" s="96">
        <v>0</v>
      </c>
      <c r="BS137" s="96">
        <v>0</v>
      </c>
      <c r="BT137" s="96">
        <v>0</v>
      </c>
      <c r="BU137" s="96">
        <v>0</v>
      </c>
      <c r="BV137" s="96">
        <v>0</v>
      </c>
      <c r="BW137" s="96">
        <v>0</v>
      </c>
      <c r="BX137" s="96">
        <v>0</v>
      </c>
      <c r="BY137" s="96">
        <v>0</v>
      </c>
      <c r="BZ137" s="96">
        <v>0</v>
      </c>
      <c r="CA137" s="96">
        <v>0</v>
      </c>
      <c r="CB137" s="96">
        <v>0</v>
      </c>
      <c r="CC137" s="96">
        <v>0</v>
      </c>
      <c r="CD137" s="96">
        <v>0</v>
      </c>
      <c r="CE137" s="91"/>
    </row>
    <row r="138" spans="1:85" s="92" customFormat="1" ht="15">
      <c r="A138" s="92" t="s">
        <v>666</v>
      </c>
      <c r="B138" s="91"/>
      <c r="C138" s="91"/>
      <c r="D138" s="91"/>
      <c r="E138" s="91"/>
      <c r="F138" s="91"/>
      <c r="G138" s="91"/>
      <c r="H138" s="91"/>
      <c r="I138" s="91"/>
      <c r="J138" s="91"/>
      <c r="K138" s="91"/>
      <c r="L138" s="149">
        <f t="shared" ref="L138:Z138" si="139">+L133-L136-L137</f>
        <v>0</v>
      </c>
      <c r="M138" s="149">
        <f t="shared" si="139"/>
        <v>0</v>
      </c>
      <c r="N138" s="149">
        <f t="shared" si="139"/>
        <v>0</v>
      </c>
      <c r="O138" s="149">
        <f t="shared" si="139"/>
        <v>0</v>
      </c>
      <c r="P138" s="149">
        <f t="shared" si="139"/>
        <v>0</v>
      </c>
      <c r="Q138" s="149">
        <f t="shared" si="139"/>
        <v>0</v>
      </c>
      <c r="R138" s="149">
        <f t="shared" si="139"/>
        <v>0</v>
      </c>
      <c r="S138" s="149">
        <f t="shared" si="139"/>
        <v>0</v>
      </c>
      <c r="T138" s="149">
        <f t="shared" si="139"/>
        <v>0</v>
      </c>
      <c r="U138" s="149">
        <f t="shared" si="139"/>
        <v>0</v>
      </c>
      <c r="V138" s="149">
        <f t="shared" si="139"/>
        <v>0</v>
      </c>
      <c r="W138" s="149">
        <f t="shared" si="139"/>
        <v>0</v>
      </c>
      <c r="X138" s="149">
        <f t="shared" si="139"/>
        <v>0</v>
      </c>
      <c r="Y138" s="149">
        <f t="shared" si="139"/>
        <v>0</v>
      </c>
      <c r="Z138" s="149">
        <f t="shared" si="139"/>
        <v>0</v>
      </c>
      <c r="AB138" s="92" t="s">
        <v>666</v>
      </c>
      <c r="BB138" s="91"/>
      <c r="BC138" s="91"/>
      <c r="BD138" s="91"/>
      <c r="BE138" s="91"/>
      <c r="BF138" s="144">
        <f t="shared" ref="BF138:CD138" si="140">+BF133-BF136-BF137</f>
        <v>0</v>
      </c>
      <c r="BG138" s="144">
        <f t="shared" si="140"/>
        <v>0</v>
      </c>
      <c r="BH138" s="144">
        <f t="shared" si="140"/>
        <v>0</v>
      </c>
      <c r="BI138" s="144">
        <f t="shared" si="140"/>
        <v>0</v>
      </c>
      <c r="BJ138" s="144">
        <f t="shared" si="140"/>
        <v>0</v>
      </c>
      <c r="BK138" s="144">
        <f t="shared" si="140"/>
        <v>0</v>
      </c>
      <c r="BL138" s="144">
        <f t="shared" si="140"/>
        <v>0</v>
      </c>
      <c r="BM138" s="144">
        <f t="shared" si="140"/>
        <v>0</v>
      </c>
      <c r="BN138" s="144">
        <f t="shared" si="140"/>
        <v>0</v>
      </c>
      <c r="BO138" s="144">
        <f t="shared" si="140"/>
        <v>0</v>
      </c>
      <c r="BP138" s="144">
        <f t="shared" si="140"/>
        <v>0</v>
      </c>
      <c r="BQ138" s="144">
        <f t="shared" si="140"/>
        <v>0</v>
      </c>
      <c r="BR138" s="144">
        <f t="shared" si="140"/>
        <v>0</v>
      </c>
      <c r="BS138" s="144">
        <f t="shared" si="140"/>
        <v>0</v>
      </c>
      <c r="BT138" s="144">
        <f t="shared" si="140"/>
        <v>0</v>
      </c>
      <c r="BU138" s="144">
        <f t="shared" si="140"/>
        <v>0</v>
      </c>
      <c r="BV138" s="144">
        <f t="shared" si="140"/>
        <v>0</v>
      </c>
      <c r="BW138" s="144">
        <f t="shared" si="140"/>
        <v>0</v>
      </c>
      <c r="BX138" s="144">
        <f t="shared" si="140"/>
        <v>0</v>
      </c>
      <c r="BY138" s="144">
        <f t="shared" si="140"/>
        <v>0</v>
      </c>
      <c r="BZ138" s="144">
        <f t="shared" si="140"/>
        <v>0</v>
      </c>
      <c r="CA138" s="144">
        <f t="shared" si="140"/>
        <v>0</v>
      </c>
      <c r="CB138" s="144">
        <f t="shared" si="140"/>
        <v>0</v>
      </c>
      <c r="CC138" s="144">
        <f t="shared" si="140"/>
        <v>0</v>
      </c>
      <c r="CD138" s="144">
        <f t="shared" si="140"/>
        <v>0</v>
      </c>
      <c r="CE138" s="91"/>
    </row>
    <row r="139" spans="1:85" ht="15">
      <c r="A139" s="92"/>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2"/>
      <c r="CG139" s="92"/>
    </row>
    <row r="140" spans="1:85" ht="15">
      <c r="A140" s="92"/>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2"/>
      <c r="CG140" s="92"/>
    </row>
    <row r="141" spans="1:85" ht="15">
      <c r="A141" s="92"/>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2"/>
      <c r="CG141" s="92"/>
    </row>
    <row r="142" spans="1:85" ht="15">
      <c r="A142" s="93" t="str">
        <f>CONCATENATE(A$1," Income statement")</f>
        <v>Liberty Puerto Rico Income statement</v>
      </c>
      <c r="B142" s="94">
        <f t="shared" ref="B142:Z142" si="141">+B$1</f>
        <v>2001</v>
      </c>
      <c r="C142" s="94">
        <f t="shared" si="141"/>
        <v>2002</v>
      </c>
      <c r="D142" s="94">
        <f t="shared" si="141"/>
        <v>2003</v>
      </c>
      <c r="E142" s="94">
        <f t="shared" si="141"/>
        <v>2004</v>
      </c>
      <c r="F142" s="94">
        <f t="shared" si="141"/>
        <v>2005</v>
      </c>
      <c r="G142" s="94">
        <f t="shared" si="141"/>
        <v>2006</v>
      </c>
      <c r="H142" s="94">
        <f t="shared" si="141"/>
        <v>2007</v>
      </c>
      <c r="I142" s="94">
        <f t="shared" si="141"/>
        <v>2008</v>
      </c>
      <c r="J142" s="94">
        <f t="shared" si="141"/>
        <v>2009</v>
      </c>
      <c r="K142" s="94">
        <f t="shared" si="141"/>
        <v>2010</v>
      </c>
      <c r="L142" s="94">
        <f t="shared" si="141"/>
        <v>2011</v>
      </c>
      <c r="M142" s="94">
        <f t="shared" si="141"/>
        <v>2012</v>
      </c>
      <c r="N142" s="94">
        <f t="shared" si="141"/>
        <v>2013</v>
      </c>
      <c r="O142" s="94">
        <f t="shared" si="141"/>
        <v>2014</v>
      </c>
      <c r="P142" s="94">
        <f t="shared" si="141"/>
        <v>2015</v>
      </c>
      <c r="Q142" s="94">
        <f t="shared" si="141"/>
        <v>2016</v>
      </c>
      <c r="R142" s="94" t="str">
        <f t="shared" si="141"/>
        <v>2017E</v>
      </c>
      <c r="S142" s="94" t="str">
        <f t="shared" si="141"/>
        <v>2018E</v>
      </c>
      <c r="T142" s="94" t="str">
        <f t="shared" si="141"/>
        <v>2019E</v>
      </c>
      <c r="U142" s="94" t="str">
        <f t="shared" si="141"/>
        <v>2020E</v>
      </c>
      <c r="V142" s="94" t="str">
        <f t="shared" si="141"/>
        <v>2021E</v>
      </c>
      <c r="W142" s="94" t="str">
        <f t="shared" si="141"/>
        <v>2022E</v>
      </c>
      <c r="X142" s="94" t="str">
        <f t="shared" si="141"/>
        <v>2023E</v>
      </c>
      <c r="Y142" s="94" t="str">
        <f t="shared" si="141"/>
        <v>2024E</v>
      </c>
      <c r="Z142" s="94" t="str">
        <f t="shared" si="141"/>
        <v>2025E</v>
      </c>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2"/>
      <c r="CG142" s="92"/>
    </row>
    <row r="143" spans="1:85" ht="15">
      <c r="A143" s="92" t="s">
        <v>15</v>
      </c>
      <c r="B143" s="97"/>
      <c r="C143" s="97"/>
      <c r="D143" s="97"/>
      <c r="E143" s="97"/>
      <c r="F143" s="97"/>
      <c r="G143" s="97"/>
      <c r="H143" s="97"/>
      <c r="I143" s="97"/>
      <c r="J143" s="97"/>
      <c r="K143" s="97"/>
      <c r="L143" s="97"/>
      <c r="M143" s="97">
        <f>M109</f>
        <v>145.5</v>
      </c>
      <c r="N143" s="97">
        <f t="shared" ref="N143:Z143" si="142">N109</f>
        <v>297.2</v>
      </c>
      <c r="O143" s="97">
        <f t="shared" si="142"/>
        <v>306.10000000000002</v>
      </c>
      <c r="P143" s="97">
        <f t="shared" si="142"/>
        <v>379.2</v>
      </c>
      <c r="Q143" s="97">
        <f t="shared" si="142"/>
        <v>420.8</v>
      </c>
      <c r="R143" s="97">
        <f t="shared" si="142"/>
        <v>321</v>
      </c>
      <c r="S143" s="97">
        <f t="shared" si="142"/>
        <v>324.61657669529973</v>
      </c>
      <c r="T143" s="97">
        <f t="shared" si="142"/>
        <v>389.97675312908581</v>
      </c>
      <c r="U143" s="97">
        <f t="shared" si="142"/>
        <v>397.42658922965256</v>
      </c>
      <c r="V143" s="97">
        <f t="shared" si="142"/>
        <v>404.59095300177125</v>
      </c>
      <c r="W143" s="97">
        <f t="shared" si="142"/>
        <v>411.48452003662987</v>
      </c>
      <c r="X143" s="97">
        <f t="shared" si="142"/>
        <v>418.12174769516969</v>
      </c>
      <c r="Y143" s="97">
        <f t="shared" si="142"/>
        <v>424.51688809881801</v>
      </c>
      <c r="Z143" s="97">
        <f t="shared" si="142"/>
        <v>430.68400109368844</v>
      </c>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2"/>
      <c r="CG143" s="92"/>
    </row>
    <row r="144" spans="1:85" ht="15">
      <c r="A144" s="92" t="s">
        <v>649</v>
      </c>
      <c r="B144" s="153"/>
      <c r="C144" s="153"/>
      <c r="D144" s="153"/>
      <c r="E144" s="153"/>
      <c r="F144" s="153"/>
      <c r="G144" s="153"/>
      <c r="H144" s="153"/>
      <c r="I144" s="153"/>
      <c r="J144" s="153"/>
      <c r="K144" s="153"/>
      <c r="L144" s="153"/>
      <c r="M144" s="153">
        <f>-M111</f>
        <v>-68.3</v>
      </c>
      <c r="N144" s="153">
        <f t="shared" ref="N144:Z144" si="143">-N111</f>
        <v>-142.6</v>
      </c>
      <c r="O144" s="153">
        <f t="shared" si="143"/>
        <v>-135.30000000000001</v>
      </c>
      <c r="P144" s="153">
        <f t="shared" si="143"/>
        <v>-165.6</v>
      </c>
      <c r="Q144" s="153">
        <f t="shared" si="143"/>
        <v>-171.6</v>
      </c>
      <c r="R144" s="153">
        <f t="shared" si="143"/>
        <v>-160.5</v>
      </c>
      <c r="S144" s="153">
        <f t="shared" si="143"/>
        <v>-125.78892346942862</v>
      </c>
      <c r="T144" s="153">
        <f t="shared" si="143"/>
        <v>-155.99070125163433</v>
      </c>
      <c r="U144" s="153">
        <f t="shared" si="143"/>
        <v>-158.97063569186105</v>
      </c>
      <c r="V144" s="153">
        <f t="shared" si="143"/>
        <v>-157.79047167069081</v>
      </c>
      <c r="W144" s="153">
        <f t="shared" si="143"/>
        <v>-156.36411761391935</v>
      </c>
      <c r="X144" s="153">
        <f t="shared" si="143"/>
        <v>-158.88626412416448</v>
      </c>
      <c r="Y144" s="153">
        <f t="shared" si="143"/>
        <v>-161.31641747755083</v>
      </c>
      <c r="Z144" s="153">
        <f t="shared" si="143"/>
        <v>-163.65992041560162</v>
      </c>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2"/>
      <c r="CG144" s="92"/>
    </row>
    <row r="145" spans="1:85" ht="15">
      <c r="A145" s="92" t="s">
        <v>650</v>
      </c>
      <c r="B145" s="97"/>
      <c r="C145" s="97"/>
      <c r="D145" s="97"/>
      <c r="E145" s="97"/>
      <c r="F145" s="97"/>
      <c r="G145" s="97"/>
      <c r="H145" s="97"/>
      <c r="I145" s="97"/>
      <c r="J145" s="97"/>
      <c r="K145" s="97"/>
      <c r="L145" s="97"/>
      <c r="M145" s="97">
        <f>M143+M144</f>
        <v>77.2</v>
      </c>
      <c r="N145" s="97">
        <f>N143+N144</f>
        <v>154.6</v>
      </c>
      <c r="O145" s="97">
        <f>O143+O144</f>
        <v>170.8</v>
      </c>
      <c r="P145" s="97">
        <f t="shared" ref="P145:Z145" si="144">P143+P144</f>
        <v>213.6</v>
      </c>
      <c r="Q145" s="97">
        <f t="shared" si="144"/>
        <v>249.20000000000002</v>
      </c>
      <c r="R145" s="97">
        <f t="shared" si="144"/>
        <v>160.5</v>
      </c>
      <c r="S145" s="97">
        <f t="shared" si="144"/>
        <v>198.8276532258711</v>
      </c>
      <c r="T145" s="97">
        <f t="shared" si="144"/>
        <v>233.98605187745147</v>
      </c>
      <c r="U145" s="97">
        <f t="shared" si="144"/>
        <v>238.45595353779152</v>
      </c>
      <c r="V145" s="97">
        <f t="shared" si="144"/>
        <v>246.80048133108045</v>
      </c>
      <c r="W145" s="97">
        <f t="shared" si="144"/>
        <v>255.12040242271053</v>
      </c>
      <c r="X145" s="97">
        <f t="shared" si="144"/>
        <v>259.2354835710052</v>
      </c>
      <c r="Y145" s="97">
        <f t="shared" si="144"/>
        <v>263.20047062126719</v>
      </c>
      <c r="Z145" s="97">
        <f t="shared" si="144"/>
        <v>267.02408067808682</v>
      </c>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2"/>
      <c r="CG145" s="92"/>
    </row>
    <row r="146" spans="1:85" ht="15">
      <c r="A146" s="92" t="s">
        <v>652</v>
      </c>
      <c r="B146" s="97"/>
      <c r="C146" s="97"/>
      <c r="D146" s="97"/>
      <c r="E146" s="97"/>
      <c r="F146" s="97"/>
      <c r="G146" s="97"/>
      <c r="H146" s="97"/>
      <c r="I146" s="97"/>
      <c r="J146" s="97"/>
      <c r="K146" s="97"/>
      <c r="L146" s="97"/>
      <c r="M146" s="97">
        <f>-M114</f>
        <v>-24.7</v>
      </c>
      <c r="N146" s="97">
        <f t="shared" ref="N146:Z146" si="145">-N114</f>
        <v>-47.7</v>
      </c>
      <c r="O146" s="97">
        <f t="shared" si="145"/>
        <v>-42.2</v>
      </c>
      <c r="P146" s="97">
        <f t="shared" si="145"/>
        <v>-47.6</v>
      </c>
      <c r="Q146" s="97">
        <f t="shared" si="145"/>
        <v>-40.4</v>
      </c>
      <c r="R146" s="97">
        <f t="shared" si="145"/>
        <v>-37.236000000000004</v>
      </c>
      <c r="S146" s="97">
        <f t="shared" si="145"/>
        <v>-64.923315339059954</v>
      </c>
      <c r="T146" s="97">
        <f t="shared" si="145"/>
        <v>-58.496512969362868</v>
      </c>
      <c r="U146" s="97">
        <f t="shared" si="145"/>
        <v>-59.613988384447879</v>
      </c>
      <c r="V146" s="97">
        <f t="shared" si="145"/>
        <v>-60.688642950265688</v>
      </c>
      <c r="W146" s="97">
        <f t="shared" si="145"/>
        <v>-61.72267800549448</v>
      </c>
      <c r="X146" s="97">
        <f t="shared" si="145"/>
        <v>-62.71826215427545</v>
      </c>
      <c r="Y146" s="97">
        <f t="shared" si="145"/>
        <v>-63.677533214822702</v>
      </c>
      <c r="Z146" s="97">
        <f t="shared" si="145"/>
        <v>-64.602600164053257</v>
      </c>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2"/>
      <c r="CG146" s="92"/>
    </row>
    <row r="147" spans="1:85" ht="15">
      <c r="A147" s="92" t="s">
        <v>653</v>
      </c>
      <c r="B147" s="97"/>
      <c r="C147" s="97"/>
      <c r="D147" s="97"/>
      <c r="E147" s="97"/>
      <c r="F147" s="97"/>
      <c r="G147" s="97"/>
      <c r="H147" s="97"/>
      <c r="I147" s="97"/>
      <c r="J147" s="97"/>
      <c r="K147" s="97"/>
      <c r="L147" s="97"/>
      <c r="M147" s="97">
        <f>M145+M146</f>
        <v>52.5</v>
      </c>
      <c r="N147" s="97">
        <f>N145+N146</f>
        <v>106.89999999999999</v>
      </c>
      <c r="O147" s="97">
        <f>O145+O146</f>
        <v>128.60000000000002</v>
      </c>
      <c r="P147" s="97">
        <f t="shared" ref="P147:Z147" si="146">P145+P146</f>
        <v>166</v>
      </c>
      <c r="Q147" s="97">
        <f t="shared" si="146"/>
        <v>208.8</v>
      </c>
      <c r="R147" s="97">
        <f t="shared" si="146"/>
        <v>123.264</v>
      </c>
      <c r="S147" s="97">
        <f t="shared" si="146"/>
        <v>133.90433788681116</v>
      </c>
      <c r="T147" s="97">
        <f t="shared" si="146"/>
        <v>175.4895389080886</v>
      </c>
      <c r="U147" s="97">
        <f t="shared" si="146"/>
        <v>178.84196515334364</v>
      </c>
      <c r="V147" s="97">
        <f t="shared" si="146"/>
        <v>186.11183838081476</v>
      </c>
      <c r="W147" s="97">
        <f t="shared" si="146"/>
        <v>193.39772441721604</v>
      </c>
      <c r="X147" s="97">
        <f t="shared" si="146"/>
        <v>196.51722141672974</v>
      </c>
      <c r="Y147" s="97">
        <f t="shared" si="146"/>
        <v>199.5229374064445</v>
      </c>
      <c r="Z147" s="97">
        <f t="shared" si="146"/>
        <v>202.42148051403356</v>
      </c>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2"/>
      <c r="CG147" s="92"/>
    </row>
    <row r="148" spans="1:85" ht="15">
      <c r="A148" s="92" t="s">
        <v>56</v>
      </c>
      <c r="B148" s="96"/>
      <c r="C148" s="96"/>
      <c r="D148" s="96"/>
      <c r="E148" s="96"/>
      <c r="F148" s="96"/>
      <c r="G148" s="96"/>
      <c r="H148" s="96"/>
      <c r="I148" s="96"/>
      <c r="J148" s="96"/>
      <c r="K148" s="96"/>
      <c r="L148" s="96"/>
      <c r="M148" s="96">
        <v>-29.6</v>
      </c>
      <c r="N148" s="96">
        <v>-55.1</v>
      </c>
      <c r="O148" s="96">
        <v>-63.9</v>
      </c>
      <c r="P148" s="96">
        <v>-74.599999999999994</v>
      </c>
      <c r="Q148" s="96">
        <v>-83.2</v>
      </c>
      <c r="R148" s="100">
        <f t="shared" ref="R148:Z149" si="147">Q148</f>
        <v>-83.2</v>
      </c>
      <c r="S148" s="100">
        <f t="shared" si="147"/>
        <v>-83.2</v>
      </c>
      <c r="T148" s="100">
        <f t="shared" si="147"/>
        <v>-83.2</v>
      </c>
      <c r="U148" s="100">
        <f t="shared" si="147"/>
        <v>-83.2</v>
      </c>
      <c r="V148" s="100">
        <f t="shared" si="147"/>
        <v>-83.2</v>
      </c>
      <c r="W148" s="100">
        <f t="shared" si="147"/>
        <v>-83.2</v>
      </c>
      <c r="X148" s="100">
        <f t="shared" si="147"/>
        <v>-83.2</v>
      </c>
      <c r="Y148" s="100">
        <f t="shared" si="147"/>
        <v>-83.2</v>
      </c>
      <c r="Z148" s="100">
        <f t="shared" si="147"/>
        <v>-83.2</v>
      </c>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2"/>
      <c r="CG148" s="92"/>
    </row>
    <row r="149" spans="1:85" ht="15">
      <c r="A149" s="92" t="s">
        <v>4</v>
      </c>
      <c r="B149" s="154"/>
      <c r="C149" s="154"/>
      <c r="D149" s="154"/>
      <c r="E149" s="154"/>
      <c r="F149" s="154"/>
      <c r="G149" s="154"/>
      <c r="H149" s="154"/>
      <c r="I149" s="154"/>
      <c r="J149" s="154"/>
      <c r="K149" s="154"/>
      <c r="L149" s="154"/>
      <c r="M149" s="154">
        <f>-137.3-M148-M146-M144</f>
        <v>-14.700000000000017</v>
      </c>
      <c r="N149" s="154">
        <f>-260.6-N148-N146-N144</f>
        <v>-15.200000000000017</v>
      </c>
      <c r="O149" s="154">
        <f>-246-O148-O146-O144</f>
        <v>-4.5999999999999659</v>
      </c>
      <c r="P149" s="154">
        <v>-11.9</v>
      </c>
      <c r="Q149" s="154">
        <v>-12.9</v>
      </c>
      <c r="R149" s="155">
        <f t="shared" si="147"/>
        <v>-12.9</v>
      </c>
      <c r="S149" s="155">
        <f t="shared" si="147"/>
        <v>-12.9</v>
      </c>
      <c r="T149" s="155">
        <f t="shared" si="147"/>
        <v>-12.9</v>
      </c>
      <c r="U149" s="155">
        <f t="shared" si="147"/>
        <v>-12.9</v>
      </c>
      <c r="V149" s="155">
        <f t="shared" si="147"/>
        <v>-12.9</v>
      </c>
      <c r="W149" s="155">
        <f t="shared" si="147"/>
        <v>-12.9</v>
      </c>
      <c r="X149" s="155">
        <f t="shared" si="147"/>
        <v>-12.9</v>
      </c>
      <c r="Y149" s="155">
        <f t="shared" si="147"/>
        <v>-12.9</v>
      </c>
      <c r="Z149" s="155">
        <f t="shared" si="147"/>
        <v>-12.9</v>
      </c>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2"/>
      <c r="CG149" s="92"/>
    </row>
    <row r="150" spans="1:85" ht="15">
      <c r="A150" s="92" t="s">
        <v>668</v>
      </c>
      <c r="B150" s="97"/>
      <c r="C150" s="97"/>
      <c r="D150" s="97"/>
      <c r="E150" s="97"/>
      <c r="F150" s="97"/>
      <c r="G150" s="97"/>
      <c r="H150" s="97"/>
      <c r="I150" s="97"/>
      <c r="J150" s="97"/>
      <c r="K150" s="97"/>
      <c r="L150" s="97"/>
      <c r="M150" s="97">
        <f>M147+M148+M149</f>
        <v>8.1999999999999815</v>
      </c>
      <c r="N150" s="97">
        <f>N147+N148+N149</f>
        <v>36.599999999999973</v>
      </c>
      <c r="O150" s="97">
        <f>O147+O148+O149</f>
        <v>60.100000000000051</v>
      </c>
      <c r="P150" s="97">
        <f t="shared" ref="P150:Z150" si="148">P147+P148+P149</f>
        <v>79.5</v>
      </c>
      <c r="Q150" s="97">
        <f t="shared" si="148"/>
        <v>112.7</v>
      </c>
      <c r="R150" s="97">
        <f t="shared" si="148"/>
        <v>27.163999999999994</v>
      </c>
      <c r="S150" s="97">
        <f t="shared" si="148"/>
        <v>37.804337886811162</v>
      </c>
      <c r="T150" s="97">
        <f t="shared" si="148"/>
        <v>79.389538908088596</v>
      </c>
      <c r="U150" s="97">
        <f t="shared" si="148"/>
        <v>82.741965153343628</v>
      </c>
      <c r="V150" s="97">
        <f t="shared" si="148"/>
        <v>90.011838380814751</v>
      </c>
      <c r="W150" s="97">
        <f t="shared" si="148"/>
        <v>97.297724417216031</v>
      </c>
      <c r="X150" s="97">
        <f t="shared" si="148"/>
        <v>100.41722141672973</v>
      </c>
      <c r="Y150" s="97">
        <f t="shared" si="148"/>
        <v>103.42293740644449</v>
      </c>
      <c r="Z150" s="97">
        <f t="shared" si="148"/>
        <v>106.32148051403355</v>
      </c>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2"/>
      <c r="CG150" s="92"/>
    </row>
    <row r="151" spans="1:85" ht="15">
      <c r="A151" s="92" t="s">
        <v>669</v>
      </c>
      <c r="B151" s="96"/>
      <c r="C151" s="96"/>
      <c r="D151" s="96"/>
      <c r="E151" s="96"/>
      <c r="F151" s="96"/>
      <c r="G151" s="96"/>
      <c r="H151" s="96"/>
      <c r="I151" s="96"/>
      <c r="J151" s="96"/>
      <c r="K151" s="96"/>
      <c r="L151" s="96"/>
      <c r="M151" s="96">
        <f>-12.5</f>
        <v>-12.5</v>
      </c>
      <c r="N151" s="96">
        <f>-47.9-1.2</f>
        <v>-49.1</v>
      </c>
      <c r="O151" s="96">
        <f>-42.3-1.5</f>
        <v>-43.8</v>
      </c>
      <c r="P151" s="96">
        <f>-49.7-1.6</f>
        <v>-51.300000000000004</v>
      </c>
      <c r="Q151" s="96">
        <f>-51.5-0.6</f>
        <v>-52.1</v>
      </c>
      <c r="R151" s="97">
        <f t="shared" ref="R151:Z151" si="149">-R256</f>
        <v>-64.903999999999996</v>
      </c>
      <c r="S151" s="97">
        <f t="shared" si="149"/>
        <v>-64.903999999999996</v>
      </c>
      <c r="T151" s="97">
        <f t="shared" si="149"/>
        <v>-64.903999999999996</v>
      </c>
      <c r="U151" s="97">
        <f t="shared" si="149"/>
        <v>-64.903999999999996</v>
      </c>
      <c r="V151" s="97">
        <f t="shared" si="149"/>
        <v>-64.903999999999996</v>
      </c>
      <c r="W151" s="97">
        <f t="shared" si="149"/>
        <v>-55.103999999999999</v>
      </c>
      <c r="X151" s="97">
        <f t="shared" si="149"/>
        <v>-40.333999999999996</v>
      </c>
      <c r="Y151" s="97">
        <f t="shared" si="149"/>
        <v>-35.363999999999997</v>
      </c>
      <c r="Z151" s="97">
        <f t="shared" si="149"/>
        <v>-35.363999999999997</v>
      </c>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2"/>
      <c r="CG151" s="92"/>
    </row>
    <row r="152" spans="1:85" ht="15">
      <c r="A152" s="92" t="s">
        <v>670</v>
      </c>
      <c r="B152" s="96"/>
      <c r="C152" s="96"/>
      <c r="D152" s="96"/>
      <c r="E152" s="96"/>
      <c r="F152" s="96"/>
      <c r="G152" s="96"/>
      <c r="H152" s="96"/>
      <c r="I152" s="96"/>
      <c r="J152" s="96"/>
      <c r="K152" s="96"/>
      <c r="L152" s="96"/>
      <c r="M152" s="96">
        <v>0.1</v>
      </c>
      <c r="N152" s="96">
        <v>0</v>
      </c>
      <c r="O152" s="96">
        <v>0</v>
      </c>
      <c r="P152" s="96">
        <v>0</v>
      </c>
      <c r="Q152" s="96">
        <v>0</v>
      </c>
      <c r="R152" s="97">
        <f t="shared" ref="R152:Z152" si="150">Q209*R161</f>
        <v>0</v>
      </c>
      <c r="S152" s="97">
        <f t="shared" si="150"/>
        <v>0</v>
      </c>
      <c r="T152" s="97">
        <f t="shared" si="150"/>
        <v>0</v>
      </c>
      <c r="U152" s="97">
        <f t="shared" si="150"/>
        <v>0</v>
      </c>
      <c r="V152" s="97">
        <f t="shared" si="150"/>
        <v>0</v>
      </c>
      <c r="W152" s="97">
        <f t="shared" si="150"/>
        <v>0</v>
      </c>
      <c r="X152" s="97">
        <f t="shared" si="150"/>
        <v>0</v>
      </c>
      <c r="Y152" s="97">
        <f t="shared" si="150"/>
        <v>0</v>
      </c>
      <c r="Z152" s="97">
        <f t="shared" si="150"/>
        <v>0</v>
      </c>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2"/>
      <c r="CG152" s="92"/>
    </row>
    <row r="153" spans="1:85" ht="15">
      <c r="A153" s="92" t="s">
        <v>671</v>
      </c>
      <c r="B153" s="97"/>
      <c r="C153" s="97"/>
      <c r="D153" s="97"/>
      <c r="E153" s="97"/>
      <c r="F153" s="97"/>
      <c r="G153" s="97"/>
      <c r="H153" s="97"/>
      <c r="I153" s="97"/>
      <c r="J153" s="97"/>
      <c r="K153" s="97"/>
      <c r="L153" s="97"/>
      <c r="M153" s="97">
        <f>M151+M152</f>
        <v>-12.4</v>
      </c>
      <c r="N153" s="97">
        <f t="shared" ref="N153:Z153" si="151">N151+N152</f>
        <v>-49.1</v>
      </c>
      <c r="O153" s="97">
        <f t="shared" si="151"/>
        <v>-43.8</v>
      </c>
      <c r="P153" s="97">
        <f t="shared" si="151"/>
        <v>-51.300000000000004</v>
      </c>
      <c r="Q153" s="97">
        <f t="shared" si="151"/>
        <v>-52.1</v>
      </c>
      <c r="R153" s="97">
        <f t="shared" si="151"/>
        <v>-64.903999999999996</v>
      </c>
      <c r="S153" s="97">
        <f t="shared" si="151"/>
        <v>-64.903999999999996</v>
      </c>
      <c r="T153" s="97">
        <f t="shared" si="151"/>
        <v>-64.903999999999996</v>
      </c>
      <c r="U153" s="97">
        <f t="shared" si="151"/>
        <v>-64.903999999999996</v>
      </c>
      <c r="V153" s="97">
        <f t="shared" si="151"/>
        <v>-64.903999999999996</v>
      </c>
      <c r="W153" s="97">
        <f t="shared" si="151"/>
        <v>-55.103999999999999</v>
      </c>
      <c r="X153" s="97">
        <f t="shared" si="151"/>
        <v>-40.333999999999996</v>
      </c>
      <c r="Y153" s="97">
        <f t="shared" si="151"/>
        <v>-35.363999999999997</v>
      </c>
      <c r="Z153" s="97">
        <f t="shared" si="151"/>
        <v>-35.363999999999997</v>
      </c>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2"/>
      <c r="CG153" s="92"/>
    </row>
    <row r="154" spans="1:85" ht="15">
      <c r="A154" s="92" t="s">
        <v>4</v>
      </c>
      <c r="B154" s="154"/>
      <c r="C154" s="154"/>
      <c r="D154" s="154"/>
      <c r="E154" s="154"/>
      <c r="F154" s="154"/>
      <c r="G154" s="154"/>
      <c r="H154" s="154"/>
      <c r="I154" s="154"/>
      <c r="J154" s="154"/>
      <c r="K154" s="154"/>
      <c r="L154" s="154"/>
      <c r="M154" s="154">
        <f>-11-M150-M153</f>
        <v>-6.7999999999999812</v>
      </c>
      <c r="N154" s="154">
        <f>-12.5-N150-N153</f>
        <v>0</v>
      </c>
      <c r="O154" s="154">
        <f>6.5-O150-O153</f>
        <v>-9.800000000000054</v>
      </c>
      <c r="P154" s="154">
        <f>-0.2-13.8</f>
        <v>-14</v>
      </c>
      <c r="Q154" s="154">
        <f>-0.2-2.4</f>
        <v>-2.6</v>
      </c>
      <c r="R154" s="155">
        <v>0</v>
      </c>
      <c r="S154" s="155">
        <v>0</v>
      </c>
      <c r="T154" s="155">
        <v>0</v>
      </c>
      <c r="U154" s="155">
        <v>0</v>
      </c>
      <c r="V154" s="155">
        <v>0</v>
      </c>
      <c r="W154" s="155">
        <v>0</v>
      </c>
      <c r="X154" s="155">
        <v>0</v>
      </c>
      <c r="Y154" s="155">
        <v>0</v>
      </c>
      <c r="Z154" s="155">
        <v>0</v>
      </c>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2"/>
      <c r="CG154" s="92"/>
    </row>
    <row r="155" spans="1:85" ht="15">
      <c r="A155" s="92" t="s">
        <v>672</v>
      </c>
      <c r="B155" s="97"/>
      <c r="C155" s="97"/>
      <c r="D155" s="97"/>
      <c r="E155" s="97"/>
      <c r="F155" s="97"/>
      <c r="G155" s="97"/>
      <c r="H155" s="97"/>
      <c r="I155" s="97"/>
      <c r="J155" s="97"/>
      <c r="K155" s="97"/>
      <c r="L155" s="97"/>
      <c r="M155" s="97">
        <f>M150+M153+M154</f>
        <v>-11</v>
      </c>
      <c r="N155" s="97">
        <f>N150+N153+N154</f>
        <v>-12.500000000000028</v>
      </c>
      <c r="O155" s="97">
        <f>O150+O153+O154</f>
        <v>6.5</v>
      </c>
      <c r="P155" s="97">
        <f t="shared" ref="P155:Z155" si="152">P150+P153+P154</f>
        <v>14.199999999999996</v>
      </c>
      <c r="Q155" s="97">
        <f t="shared" si="152"/>
        <v>58</v>
      </c>
      <c r="R155" s="97">
        <f t="shared" si="152"/>
        <v>-37.74</v>
      </c>
      <c r="S155" s="97">
        <f t="shared" si="152"/>
        <v>-27.099662113188835</v>
      </c>
      <c r="T155" s="97">
        <f t="shared" si="152"/>
        <v>14.4855389080886</v>
      </c>
      <c r="U155" s="97">
        <f t="shared" si="152"/>
        <v>17.837965153343632</v>
      </c>
      <c r="V155" s="97">
        <f t="shared" si="152"/>
        <v>25.107838380814755</v>
      </c>
      <c r="W155" s="97">
        <f t="shared" si="152"/>
        <v>42.193724417216032</v>
      </c>
      <c r="X155" s="97">
        <f t="shared" si="152"/>
        <v>60.083221416729735</v>
      </c>
      <c r="Y155" s="97">
        <f t="shared" si="152"/>
        <v>68.0589374064445</v>
      </c>
      <c r="Z155" s="97">
        <f t="shared" si="152"/>
        <v>70.957480514033563</v>
      </c>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2"/>
      <c r="CG155" s="92"/>
    </row>
    <row r="156" spans="1:85" ht="15">
      <c r="A156" s="92" t="s">
        <v>67</v>
      </c>
      <c r="B156" s="154"/>
      <c r="C156" s="154"/>
      <c r="D156" s="154"/>
      <c r="E156" s="154"/>
      <c r="F156" s="154"/>
      <c r="G156" s="154"/>
      <c r="H156" s="154"/>
      <c r="I156" s="154"/>
      <c r="J156" s="154"/>
      <c r="K156" s="154"/>
      <c r="L156" s="154"/>
      <c r="M156" s="154">
        <v>80</v>
      </c>
      <c r="N156" s="154">
        <v>0</v>
      </c>
      <c r="O156" s="154">
        <v>0</v>
      </c>
      <c r="P156" s="154">
        <v>0</v>
      </c>
      <c r="Q156" s="154">
        <v>0</v>
      </c>
      <c r="R156" s="153">
        <f>IF(R155&gt;0,R155*'LiLAC valuation'!I67,0)</f>
        <v>0</v>
      </c>
      <c r="S156" s="153">
        <f>IF(S155&gt;0,S155*'LiLAC valuation'!J67,0)</f>
        <v>0</v>
      </c>
      <c r="T156" s="153">
        <f>IF(T155&gt;0,T155*'LiLAC valuation'!K67,0)</f>
        <v>5.6493601741545545</v>
      </c>
      <c r="U156" s="153">
        <f>IF(U155&gt;0,U155*'LiLAC valuation'!L67,0)</f>
        <v>6.9568064098040168</v>
      </c>
      <c r="V156" s="153">
        <f>IF(V155&gt;0,V155*'LiLAC valuation'!M67,0)</f>
        <v>9.7920569685177554</v>
      </c>
      <c r="W156" s="153">
        <f>IF(W155&gt;0,W155*'LiLAC valuation'!N67,0)</f>
        <v>16.455552522714253</v>
      </c>
      <c r="X156" s="153">
        <f>IF(X155&gt;0,X155*'LiLAC valuation'!O67,0)</f>
        <v>23.432456352524596</v>
      </c>
      <c r="Y156" s="153">
        <f>IF(Y155&gt;0,Y155*'LiLAC valuation'!P67,0)</f>
        <v>26.542985588513357</v>
      </c>
      <c r="Z156" s="153">
        <f>IF(Z155&gt;0,Z155*'LiLAC valuation'!Q67,0)</f>
        <v>27.673417400473092</v>
      </c>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2"/>
      <c r="CG156" s="92"/>
    </row>
    <row r="157" spans="1:85" ht="15">
      <c r="A157" s="92" t="s">
        <v>673</v>
      </c>
      <c r="B157" s="97"/>
      <c r="C157" s="97"/>
      <c r="D157" s="97"/>
      <c r="E157" s="97"/>
      <c r="F157" s="97"/>
      <c r="G157" s="97"/>
      <c r="H157" s="97"/>
      <c r="I157" s="97"/>
      <c r="J157" s="97"/>
      <c r="K157" s="97"/>
      <c r="L157" s="97"/>
      <c r="M157" s="97">
        <f>M155+M156</f>
        <v>69</v>
      </c>
      <c r="N157" s="97">
        <f>N155+N156</f>
        <v>-12.500000000000028</v>
      </c>
      <c r="O157" s="97">
        <f>O155+O156</f>
        <v>6.5</v>
      </c>
      <c r="P157" s="97">
        <f t="shared" ref="P157:Z157" si="153">P155+P156</f>
        <v>14.199999999999996</v>
      </c>
      <c r="Q157" s="97">
        <f t="shared" si="153"/>
        <v>58</v>
      </c>
      <c r="R157" s="97">
        <f t="shared" si="153"/>
        <v>-37.74</v>
      </c>
      <c r="S157" s="97">
        <f t="shared" si="153"/>
        <v>-27.099662113188835</v>
      </c>
      <c r="T157" s="97">
        <f t="shared" si="153"/>
        <v>20.134899082243155</v>
      </c>
      <c r="U157" s="97">
        <f t="shared" si="153"/>
        <v>24.794771563147648</v>
      </c>
      <c r="V157" s="97">
        <f t="shared" si="153"/>
        <v>34.89989534933251</v>
      </c>
      <c r="W157" s="97">
        <f t="shared" si="153"/>
        <v>58.649276939930289</v>
      </c>
      <c r="X157" s="97">
        <f t="shared" si="153"/>
        <v>83.515677769254324</v>
      </c>
      <c r="Y157" s="97">
        <f t="shared" si="153"/>
        <v>94.60192299495786</v>
      </c>
      <c r="Z157" s="97">
        <f t="shared" si="153"/>
        <v>98.630897914506647</v>
      </c>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2"/>
      <c r="CG157" s="92"/>
    </row>
    <row r="158" spans="1:85" ht="15">
      <c r="A158" s="92" t="s">
        <v>674</v>
      </c>
      <c r="B158" s="96"/>
      <c r="C158" s="96"/>
      <c r="D158" s="96"/>
      <c r="E158" s="96"/>
      <c r="F158" s="96"/>
      <c r="G158" s="96"/>
      <c r="H158" s="96"/>
      <c r="I158" s="96"/>
      <c r="J158" s="96"/>
      <c r="K158" s="96"/>
      <c r="L158" s="96"/>
      <c r="M158" s="96">
        <v>0</v>
      </c>
      <c r="N158" s="96">
        <v>0</v>
      </c>
      <c r="O158" s="96">
        <v>0</v>
      </c>
      <c r="P158" s="96">
        <v>0</v>
      </c>
      <c r="Q158" s="97">
        <f t="shared" ref="Q158:Z158" ca="1" si="154">Q162*Q157</f>
        <v>0</v>
      </c>
      <c r="R158" s="97">
        <f t="shared" ca="1" si="154"/>
        <v>0</v>
      </c>
      <c r="S158" s="97">
        <f t="shared" ca="1" si="154"/>
        <v>0</v>
      </c>
      <c r="T158" s="97">
        <f t="shared" ca="1" si="154"/>
        <v>0</v>
      </c>
      <c r="U158" s="97">
        <f t="shared" ca="1" si="154"/>
        <v>0</v>
      </c>
      <c r="V158" s="97">
        <f t="shared" ca="1" si="154"/>
        <v>0</v>
      </c>
      <c r="W158" s="97">
        <f t="shared" ca="1" si="154"/>
        <v>0</v>
      </c>
      <c r="X158" s="97">
        <f t="shared" ca="1" si="154"/>
        <v>0</v>
      </c>
      <c r="Y158" s="97">
        <f t="shared" ca="1" si="154"/>
        <v>0</v>
      </c>
      <c r="Z158" s="97">
        <f t="shared" ca="1" si="154"/>
        <v>0</v>
      </c>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2"/>
      <c r="CG158" s="92"/>
    </row>
    <row r="159" spans="1:85" ht="15">
      <c r="A159" s="92" t="s">
        <v>675</v>
      </c>
      <c r="B159" s="97"/>
      <c r="C159" s="97"/>
      <c r="D159" s="97"/>
      <c r="E159" s="97"/>
      <c r="F159" s="97"/>
      <c r="G159" s="97"/>
      <c r="H159" s="97"/>
      <c r="I159" s="97"/>
      <c r="J159" s="97"/>
      <c r="K159" s="97"/>
      <c r="L159" s="97"/>
      <c r="M159" s="97">
        <f>M157+M158</f>
        <v>69</v>
      </c>
      <c r="N159" s="97">
        <f>N157+N158</f>
        <v>-12.500000000000028</v>
      </c>
      <c r="O159" s="97">
        <f>O157+O158</f>
        <v>6.5</v>
      </c>
      <c r="P159" s="97">
        <f t="shared" ref="P159:Z159" si="155">P157+P158</f>
        <v>14.199999999999996</v>
      </c>
      <c r="Q159" s="97">
        <f t="shared" ca="1" si="155"/>
        <v>58</v>
      </c>
      <c r="R159" s="97">
        <f t="shared" ca="1" si="155"/>
        <v>-37.74</v>
      </c>
      <c r="S159" s="97">
        <f t="shared" ca="1" si="155"/>
        <v>-27.099662113188835</v>
      </c>
      <c r="T159" s="97">
        <f t="shared" ca="1" si="155"/>
        <v>20.134899082243155</v>
      </c>
      <c r="U159" s="97">
        <f t="shared" ca="1" si="155"/>
        <v>24.794771563147648</v>
      </c>
      <c r="V159" s="97">
        <f t="shared" ca="1" si="155"/>
        <v>34.89989534933251</v>
      </c>
      <c r="W159" s="97">
        <f t="shared" ca="1" si="155"/>
        <v>58.649276939930289</v>
      </c>
      <c r="X159" s="97">
        <f t="shared" ca="1" si="155"/>
        <v>83.515677769254324</v>
      </c>
      <c r="Y159" s="97">
        <f t="shared" ca="1" si="155"/>
        <v>94.60192299495786</v>
      </c>
      <c r="Z159" s="97">
        <f t="shared" ca="1" si="155"/>
        <v>98.630897914506647</v>
      </c>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2"/>
      <c r="CG159" s="92"/>
    </row>
    <row r="160" spans="1:85" ht="15">
      <c r="A160" s="92"/>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2"/>
      <c r="CG160" s="92"/>
    </row>
    <row r="161" spans="1:85" ht="15">
      <c r="A161" s="92" t="s">
        <v>676</v>
      </c>
      <c r="B161" s="101"/>
      <c r="C161" s="101"/>
      <c r="D161" s="101"/>
      <c r="E161" s="101"/>
      <c r="F161" s="101"/>
      <c r="G161" s="101"/>
      <c r="H161" s="101"/>
      <c r="I161" s="101"/>
      <c r="J161" s="101"/>
      <c r="K161" s="101"/>
      <c r="L161" s="101"/>
      <c r="M161" s="101"/>
      <c r="N161" s="101">
        <f>N152/M219</f>
        <v>0</v>
      </c>
      <c r="O161" s="101">
        <f>O152/N219</f>
        <v>0</v>
      </c>
      <c r="P161" s="101">
        <f>P152/O219</f>
        <v>0</v>
      </c>
      <c r="Q161" s="101">
        <f>Q152/P219</f>
        <v>0</v>
      </c>
      <c r="R161" s="102">
        <f t="shared" ref="R161:Z162" si="156">Q161</f>
        <v>0</v>
      </c>
      <c r="S161" s="102">
        <f t="shared" si="156"/>
        <v>0</v>
      </c>
      <c r="T161" s="102">
        <f t="shared" si="156"/>
        <v>0</v>
      </c>
      <c r="U161" s="102">
        <f t="shared" si="156"/>
        <v>0</v>
      </c>
      <c r="V161" s="102">
        <f t="shared" si="156"/>
        <v>0</v>
      </c>
      <c r="W161" s="102">
        <f t="shared" si="156"/>
        <v>0</v>
      </c>
      <c r="X161" s="102">
        <f t="shared" si="156"/>
        <v>0</v>
      </c>
      <c r="Y161" s="102">
        <f t="shared" si="156"/>
        <v>0</v>
      </c>
      <c r="Z161" s="102">
        <f t="shared" si="156"/>
        <v>0</v>
      </c>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2"/>
      <c r="CG161" s="92"/>
    </row>
    <row r="162" spans="1:85" ht="15">
      <c r="A162" s="92" t="s">
        <v>677</v>
      </c>
      <c r="B162" s="101"/>
      <c r="C162" s="101"/>
      <c r="D162" s="101"/>
      <c r="E162" s="101"/>
      <c r="F162" s="101"/>
      <c r="G162" s="101"/>
      <c r="H162" s="101"/>
      <c r="I162" s="101"/>
      <c r="J162" s="101"/>
      <c r="K162" s="101"/>
      <c r="L162" s="101"/>
      <c r="M162" s="101">
        <f>M158/M157</f>
        <v>0</v>
      </c>
      <c r="N162" s="101">
        <f>N158/N157</f>
        <v>0</v>
      </c>
      <c r="O162" s="101">
        <f>O158/O157</f>
        <v>0</v>
      </c>
      <c r="P162" s="101">
        <f>P158/P157</f>
        <v>0</v>
      </c>
      <c r="Q162" s="101">
        <f ca="1">Q158/Q157</f>
        <v>0</v>
      </c>
      <c r="R162" s="102">
        <f t="shared" ca="1" si="156"/>
        <v>0</v>
      </c>
      <c r="S162" s="102">
        <f t="shared" ca="1" si="156"/>
        <v>0</v>
      </c>
      <c r="T162" s="102">
        <f t="shared" ca="1" si="156"/>
        <v>0</v>
      </c>
      <c r="U162" s="102">
        <f t="shared" ca="1" si="156"/>
        <v>0</v>
      </c>
      <c r="V162" s="102">
        <f t="shared" ca="1" si="156"/>
        <v>0</v>
      </c>
      <c r="W162" s="102">
        <f t="shared" ca="1" si="156"/>
        <v>0</v>
      </c>
      <c r="X162" s="102">
        <f t="shared" ca="1" si="156"/>
        <v>0</v>
      </c>
      <c r="Y162" s="102">
        <f t="shared" ca="1" si="156"/>
        <v>0</v>
      </c>
      <c r="Z162" s="102">
        <f t="shared" ca="1" si="156"/>
        <v>0</v>
      </c>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2"/>
      <c r="CG162" s="92"/>
    </row>
    <row r="163" spans="1:85" ht="15">
      <c r="A163" s="92"/>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2"/>
      <c r="CG163" s="92"/>
    </row>
    <row r="164" spans="1:85" ht="15">
      <c r="A164" s="92"/>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2"/>
      <c r="CG164" s="92"/>
    </row>
    <row r="165" spans="1:85" ht="15">
      <c r="A165" s="92"/>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2"/>
      <c r="CG165" s="92"/>
    </row>
    <row r="166" spans="1:85" ht="15">
      <c r="A166" s="93" t="str">
        <f>CONCATENATE(A$1," cash flow")</f>
        <v>Liberty Puerto Rico cash flow</v>
      </c>
      <c r="B166" s="94">
        <f t="shared" ref="B166:Z166" si="157">+B$1</f>
        <v>2001</v>
      </c>
      <c r="C166" s="94">
        <f t="shared" si="157"/>
        <v>2002</v>
      </c>
      <c r="D166" s="94">
        <f t="shared" si="157"/>
        <v>2003</v>
      </c>
      <c r="E166" s="94">
        <f t="shared" si="157"/>
        <v>2004</v>
      </c>
      <c r="F166" s="94">
        <f t="shared" si="157"/>
        <v>2005</v>
      </c>
      <c r="G166" s="94">
        <f t="shared" si="157"/>
        <v>2006</v>
      </c>
      <c r="H166" s="94">
        <f t="shared" si="157"/>
        <v>2007</v>
      </c>
      <c r="I166" s="94">
        <f t="shared" si="157"/>
        <v>2008</v>
      </c>
      <c r="J166" s="94">
        <f t="shared" si="157"/>
        <v>2009</v>
      </c>
      <c r="K166" s="94">
        <f t="shared" si="157"/>
        <v>2010</v>
      </c>
      <c r="L166" s="94">
        <f t="shared" si="157"/>
        <v>2011</v>
      </c>
      <c r="M166" s="94">
        <f t="shared" si="157"/>
        <v>2012</v>
      </c>
      <c r="N166" s="94">
        <f t="shared" si="157"/>
        <v>2013</v>
      </c>
      <c r="O166" s="94">
        <f t="shared" si="157"/>
        <v>2014</v>
      </c>
      <c r="P166" s="94">
        <f t="shared" si="157"/>
        <v>2015</v>
      </c>
      <c r="Q166" s="94">
        <f t="shared" si="157"/>
        <v>2016</v>
      </c>
      <c r="R166" s="94" t="str">
        <f t="shared" si="157"/>
        <v>2017E</v>
      </c>
      <c r="S166" s="94" t="str">
        <f t="shared" si="157"/>
        <v>2018E</v>
      </c>
      <c r="T166" s="94" t="str">
        <f t="shared" si="157"/>
        <v>2019E</v>
      </c>
      <c r="U166" s="94" t="str">
        <f t="shared" si="157"/>
        <v>2020E</v>
      </c>
      <c r="V166" s="94" t="str">
        <f t="shared" si="157"/>
        <v>2021E</v>
      </c>
      <c r="W166" s="94" t="str">
        <f t="shared" si="157"/>
        <v>2022E</v>
      </c>
      <c r="X166" s="94" t="str">
        <f t="shared" si="157"/>
        <v>2023E</v>
      </c>
      <c r="Y166" s="94" t="str">
        <f t="shared" si="157"/>
        <v>2024E</v>
      </c>
      <c r="Z166" s="94" t="str">
        <f t="shared" si="157"/>
        <v>2025E</v>
      </c>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2"/>
      <c r="CG166" s="92"/>
    </row>
    <row r="167" spans="1:85" ht="15">
      <c r="A167" s="92" t="s">
        <v>8</v>
      </c>
      <c r="B167" s="91"/>
      <c r="C167" s="91"/>
      <c r="D167" s="91"/>
      <c r="E167" s="91"/>
      <c r="F167" s="91"/>
      <c r="G167" s="91"/>
      <c r="H167" s="91"/>
      <c r="I167" s="91"/>
      <c r="J167" s="91"/>
      <c r="K167" s="91"/>
      <c r="L167" s="91"/>
      <c r="M167" s="97">
        <f t="shared" ref="M167:Z167" si="158">M115</f>
        <v>52.9</v>
      </c>
      <c r="N167" s="97">
        <f t="shared" si="158"/>
        <v>107.30000000000001</v>
      </c>
      <c r="O167" s="97">
        <f t="shared" si="158"/>
        <v>128.60000000000002</v>
      </c>
      <c r="P167" s="97">
        <f t="shared" si="158"/>
        <v>166</v>
      </c>
      <c r="Q167" s="97">
        <f t="shared" si="158"/>
        <v>198.8</v>
      </c>
      <c r="R167" s="97">
        <f t="shared" si="158"/>
        <v>133</v>
      </c>
      <c r="S167" s="97">
        <f t="shared" si="158"/>
        <v>133.90433788681116</v>
      </c>
      <c r="T167" s="97">
        <f t="shared" si="158"/>
        <v>175.4895389080886</v>
      </c>
      <c r="U167" s="97">
        <f t="shared" si="158"/>
        <v>178.84196515334364</v>
      </c>
      <c r="V167" s="97">
        <f t="shared" si="158"/>
        <v>186.11183838081476</v>
      </c>
      <c r="W167" s="97">
        <f t="shared" si="158"/>
        <v>193.39772441721604</v>
      </c>
      <c r="X167" s="97">
        <f t="shared" si="158"/>
        <v>196.51722141672974</v>
      </c>
      <c r="Y167" s="97">
        <f t="shared" si="158"/>
        <v>199.5229374064445</v>
      </c>
      <c r="Z167" s="97">
        <f t="shared" si="158"/>
        <v>202.42148051403356</v>
      </c>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2"/>
      <c r="CG167" s="92"/>
    </row>
    <row r="168" spans="1:85" ht="15">
      <c r="A168" s="92" t="s">
        <v>19</v>
      </c>
      <c r="B168" s="91"/>
      <c r="C168" s="91"/>
      <c r="D168" s="91"/>
      <c r="E168" s="91"/>
      <c r="F168" s="91"/>
      <c r="G168" s="91"/>
      <c r="H168" s="91"/>
      <c r="I168" s="91"/>
      <c r="J168" s="91"/>
      <c r="K168" s="91"/>
      <c r="L168" s="91"/>
      <c r="M168" s="97">
        <f t="shared" ref="M168:Z168" si="159">-M118</f>
        <v>-25.5</v>
      </c>
      <c r="N168" s="97">
        <f t="shared" si="159"/>
        <v>-65.8</v>
      </c>
      <c r="O168" s="97">
        <f t="shared" si="159"/>
        <v>-60.4</v>
      </c>
      <c r="P168" s="97">
        <f t="shared" si="159"/>
        <v>-78.099999999999994</v>
      </c>
      <c r="Q168" s="97">
        <f t="shared" si="159"/>
        <v>-91</v>
      </c>
      <c r="R168" s="97">
        <f t="shared" si="159"/>
        <v>-132</v>
      </c>
      <c r="S168" s="97">
        <f t="shared" si="159"/>
        <v>-155.81595681374387</v>
      </c>
      <c r="T168" s="97">
        <f t="shared" si="159"/>
        <v>-85.794885688398878</v>
      </c>
      <c r="U168" s="97">
        <f t="shared" si="159"/>
        <v>-75.511051953633995</v>
      </c>
      <c r="V168" s="97">
        <f t="shared" si="159"/>
        <v>-76.872281070336541</v>
      </c>
      <c r="W168" s="97">
        <f t="shared" si="159"/>
        <v>-74.06721360659337</v>
      </c>
      <c r="X168" s="97">
        <f t="shared" si="159"/>
        <v>-75.26191458513054</v>
      </c>
      <c r="Y168" s="97">
        <f t="shared" si="159"/>
        <v>-76.41303985778724</v>
      </c>
      <c r="Z168" s="97">
        <f t="shared" si="159"/>
        <v>-77.523120196863914</v>
      </c>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2"/>
      <c r="CG168" s="92"/>
    </row>
    <row r="169" spans="1:85" ht="15">
      <c r="A169" s="92" t="s">
        <v>678</v>
      </c>
      <c r="B169" s="91"/>
      <c r="C169" s="91"/>
      <c r="D169" s="91"/>
      <c r="E169" s="91"/>
      <c r="F169" s="91"/>
      <c r="G169" s="91"/>
      <c r="H169" s="91"/>
      <c r="I169" s="91"/>
      <c r="J169" s="91"/>
      <c r="K169" s="91"/>
      <c r="L169" s="91"/>
      <c r="M169" s="96">
        <f>1.7-29.1</f>
        <v>-27.400000000000002</v>
      </c>
      <c r="N169" s="96">
        <f>-3-16.8</f>
        <v>-19.8</v>
      </c>
      <c r="O169" s="96">
        <f>-3.9-2.4</f>
        <v>-6.3</v>
      </c>
      <c r="P169" s="96">
        <f>1.7-5.9</f>
        <v>-4.2</v>
      </c>
      <c r="Q169" s="97">
        <f t="shared" ref="Q169:Z169" ca="1" si="160">Q181*Q109</f>
        <v>-4.660759493670886</v>
      </c>
      <c r="R169" s="97">
        <f t="shared" ca="1" si="160"/>
        <v>-3.5553797468354431</v>
      </c>
      <c r="S169" s="97">
        <f t="shared" ca="1" si="160"/>
        <v>-3.5954367671947756</v>
      </c>
      <c r="T169" s="97">
        <f t="shared" ca="1" si="160"/>
        <v>-4.3193627719993684</v>
      </c>
      <c r="U169" s="97">
        <f t="shared" ca="1" si="160"/>
        <v>-4.4018767794423548</v>
      </c>
      <c r="V169" s="97">
        <f t="shared" ca="1" si="160"/>
        <v>-4.4812289098297446</v>
      </c>
      <c r="W169" s="97">
        <f t="shared" ca="1" si="160"/>
        <v>-4.5575817092664703</v>
      </c>
      <c r="X169" s="97">
        <f t="shared" ca="1" si="160"/>
        <v>-4.6310953067502973</v>
      </c>
      <c r="Y169" s="97">
        <f t="shared" ca="1" si="160"/>
        <v>-4.7019275580565285</v>
      </c>
      <c r="Z169" s="97">
        <f t="shared" ca="1" si="160"/>
        <v>-4.7702341893288276</v>
      </c>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2"/>
      <c r="CG169" s="92"/>
    </row>
    <row r="170" spans="1:85" ht="15">
      <c r="A170" s="92" t="s">
        <v>679</v>
      </c>
      <c r="B170" s="91"/>
      <c r="C170" s="91"/>
      <c r="D170" s="91"/>
      <c r="E170" s="91"/>
      <c r="F170" s="91"/>
      <c r="G170" s="91"/>
      <c r="H170" s="91"/>
      <c r="I170" s="91"/>
      <c r="J170" s="91"/>
      <c r="K170" s="91"/>
      <c r="L170" s="91"/>
      <c r="M170" s="96">
        <v>-18.100000000000001</v>
      </c>
      <c r="N170" s="96">
        <v>-46.7</v>
      </c>
      <c r="O170" s="96">
        <v>-34</v>
      </c>
      <c r="P170" s="96">
        <v>-44.7</v>
      </c>
      <c r="Q170" s="96">
        <v>-52.9</v>
      </c>
      <c r="R170" s="97">
        <f t="shared" ref="R170:Z170" si="161">-R263</f>
        <v>-64.903999999999996</v>
      </c>
      <c r="S170" s="97">
        <f t="shared" si="161"/>
        <v>-64.903999999999996</v>
      </c>
      <c r="T170" s="97">
        <f t="shared" si="161"/>
        <v>-64.903999999999996</v>
      </c>
      <c r="U170" s="97">
        <f t="shared" si="161"/>
        <v>-64.903999999999996</v>
      </c>
      <c r="V170" s="97">
        <f t="shared" si="161"/>
        <v>-64.903999999999996</v>
      </c>
      <c r="W170" s="97">
        <f t="shared" si="161"/>
        <v>-55.103999999999999</v>
      </c>
      <c r="X170" s="97">
        <f t="shared" si="161"/>
        <v>-40.333999999999996</v>
      </c>
      <c r="Y170" s="97">
        <f t="shared" si="161"/>
        <v>-35.363999999999997</v>
      </c>
      <c r="Z170" s="97">
        <f t="shared" si="161"/>
        <v>-35.363999999999997</v>
      </c>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2"/>
      <c r="CG170" s="92"/>
    </row>
    <row r="171" spans="1:85" ht="15">
      <c r="A171" s="92" t="s">
        <v>205</v>
      </c>
      <c r="B171" s="91"/>
      <c r="C171" s="91"/>
      <c r="D171" s="91"/>
      <c r="E171" s="91"/>
      <c r="F171" s="91"/>
      <c r="G171" s="91"/>
      <c r="H171" s="91"/>
      <c r="I171" s="91"/>
      <c r="J171" s="91"/>
      <c r="K171" s="91"/>
      <c r="L171" s="91"/>
      <c r="M171" s="96">
        <v>0</v>
      </c>
      <c r="N171" s="96">
        <v>0</v>
      </c>
      <c r="O171" s="96">
        <v>0</v>
      </c>
      <c r="P171" s="96">
        <v>0</v>
      </c>
      <c r="Q171" s="96">
        <v>-1.4</v>
      </c>
      <c r="R171" s="97">
        <f t="shared" ref="R171:Z171" si="162">R182*SUM(R187:R189)</f>
        <v>-8.5188085501319594E-2</v>
      </c>
      <c r="S171" s="97">
        <f t="shared" si="162"/>
        <v>-0.10354814585016422</v>
      </c>
      <c r="T171" s="97">
        <f t="shared" si="162"/>
        <v>-0.94781975218718684</v>
      </c>
      <c r="U171" s="97">
        <f t="shared" si="162"/>
        <v>-1.0158814236880576</v>
      </c>
      <c r="V171" s="97">
        <f t="shared" si="162"/>
        <v>-1.1634759380077822</v>
      </c>
      <c r="W171" s="97">
        <f t="shared" si="162"/>
        <v>-1.5103572346080576</v>
      </c>
      <c r="X171" s="97">
        <f t="shared" si="162"/>
        <v>-1.8735536121033325</v>
      </c>
      <c r="Y171" s="97">
        <f t="shared" si="162"/>
        <v>-2.0354782964851394</v>
      </c>
      <c r="Z171" s="97">
        <f t="shared" si="162"/>
        <v>-2.094325135874691</v>
      </c>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2"/>
      <c r="CG171" s="92"/>
    </row>
    <row r="172" spans="1:85" ht="15">
      <c r="A172" s="92" t="s">
        <v>680</v>
      </c>
      <c r="B172" s="91"/>
      <c r="C172" s="91"/>
      <c r="D172" s="91"/>
      <c r="E172" s="91"/>
      <c r="F172" s="91"/>
      <c r="G172" s="91"/>
      <c r="H172" s="91"/>
      <c r="I172" s="91"/>
      <c r="J172" s="91"/>
      <c r="K172" s="91"/>
      <c r="L172" s="91"/>
      <c r="M172" s="96">
        <f>-12.7</f>
        <v>-12.7</v>
      </c>
      <c r="N172" s="96">
        <f>-8.8</f>
        <v>-8.8000000000000007</v>
      </c>
      <c r="O172" s="96">
        <f>-13.2</f>
        <v>-13.2</v>
      </c>
      <c r="P172" s="96">
        <v>-0.4</v>
      </c>
      <c r="Q172" s="96">
        <v>-0.4</v>
      </c>
      <c r="R172" s="97">
        <f t="shared" ref="R172:Z172" si="163">-R238</f>
        <v>0</v>
      </c>
      <c r="S172" s="97">
        <f t="shared" si="163"/>
        <v>0</v>
      </c>
      <c r="T172" s="97">
        <f t="shared" si="163"/>
        <v>0</v>
      </c>
      <c r="U172" s="97">
        <f t="shared" si="163"/>
        <v>0</v>
      </c>
      <c r="V172" s="97">
        <f t="shared" si="163"/>
        <v>0</v>
      </c>
      <c r="W172" s="97">
        <f t="shared" si="163"/>
        <v>-530</v>
      </c>
      <c r="X172" s="97">
        <f t="shared" si="163"/>
        <v>-142</v>
      </c>
      <c r="Y172" s="97">
        <f t="shared" si="163"/>
        <v>0</v>
      </c>
      <c r="Z172" s="97">
        <f t="shared" si="163"/>
        <v>0</v>
      </c>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2"/>
      <c r="CG172" s="92"/>
    </row>
    <row r="173" spans="1:85" ht="15">
      <c r="A173" s="92" t="s">
        <v>681</v>
      </c>
      <c r="B173" s="91"/>
      <c r="C173" s="91"/>
      <c r="D173" s="91"/>
      <c r="E173" s="91"/>
      <c r="F173" s="91"/>
      <c r="G173" s="91"/>
      <c r="H173" s="91"/>
      <c r="I173" s="91"/>
      <c r="J173" s="91"/>
      <c r="K173" s="91"/>
      <c r="L173" s="91"/>
      <c r="M173" s="96">
        <f>13.4+10</f>
        <v>23.4</v>
      </c>
      <c r="N173" s="96">
        <f>10+3.3</f>
        <v>13.3</v>
      </c>
      <c r="O173" s="96">
        <f>20.5</f>
        <v>20.5</v>
      </c>
      <c r="P173" s="96">
        <v>0</v>
      </c>
      <c r="Q173" s="96">
        <v>0</v>
      </c>
      <c r="R173" s="97">
        <f t="shared" ref="R173:Z173" si="164">R250</f>
        <v>0</v>
      </c>
      <c r="S173" s="97">
        <f t="shared" si="164"/>
        <v>0</v>
      </c>
      <c r="T173" s="97">
        <f t="shared" si="164"/>
        <v>0</v>
      </c>
      <c r="U173" s="97">
        <f t="shared" si="164"/>
        <v>0</v>
      </c>
      <c r="V173" s="97">
        <f t="shared" si="164"/>
        <v>0</v>
      </c>
      <c r="W173" s="97">
        <f t="shared" si="164"/>
        <v>250</v>
      </c>
      <c r="X173" s="97">
        <f t="shared" si="164"/>
        <v>0</v>
      </c>
      <c r="Y173" s="97">
        <f t="shared" si="164"/>
        <v>0</v>
      </c>
      <c r="Z173" s="97">
        <f t="shared" si="164"/>
        <v>0</v>
      </c>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2"/>
      <c r="CG173" s="92"/>
    </row>
    <row r="174" spans="1:85" ht="15">
      <c r="A174" s="92" t="s">
        <v>682</v>
      </c>
      <c r="B174" s="91"/>
      <c r="C174" s="91"/>
      <c r="D174" s="91"/>
      <c r="E174" s="91"/>
      <c r="F174" s="91"/>
      <c r="G174" s="91"/>
      <c r="H174" s="91"/>
      <c r="I174" s="91"/>
      <c r="J174" s="91"/>
      <c r="K174" s="91"/>
      <c r="L174" s="91"/>
      <c r="M174" s="96">
        <f>4.4</f>
        <v>4.4000000000000004</v>
      </c>
      <c r="N174" s="96">
        <f>19.9</f>
        <v>19.899999999999999</v>
      </c>
      <c r="O174" s="96">
        <f>0</f>
        <v>0</v>
      </c>
      <c r="P174" s="152">
        <f>10.2+6.8</f>
        <v>17</v>
      </c>
      <c r="Q174" s="96">
        <f>0</f>
        <v>0</v>
      </c>
      <c r="R174" s="152">
        <v>0</v>
      </c>
      <c r="S174" s="152">
        <v>0</v>
      </c>
      <c r="T174" s="152">
        <v>0</v>
      </c>
      <c r="U174" s="152">
        <v>0</v>
      </c>
      <c r="V174" s="152">
        <v>0</v>
      </c>
      <c r="W174" s="152">
        <v>0</v>
      </c>
      <c r="X174" s="152">
        <v>0</v>
      </c>
      <c r="Y174" s="152">
        <v>0</v>
      </c>
      <c r="Z174" s="152">
        <v>0</v>
      </c>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2"/>
      <c r="CG174" s="92"/>
    </row>
    <row r="175" spans="1:85" ht="15">
      <c r="A175" s="92" t="s">
        <v>683</v>
      </c>
      <c r="B175" s="156"/>
      <c r="C175" s="156"/>
      <c r="D175" s="156"/>
      <c r="E175" s="156"/>
      <c r="F175" s="156"/>
      <c r="G175" s="156"/>
      <c r="H175" s="156"/>
      <c r="I175" s="156"/>
      <c r="J175" s="156"/>
      <c r="K175" s="156"/>
      <c r="L175" s="156"/>
      <c r="M175" s="154">
        <f>-7.3-SUM(M167:M174)</f>
        <v>-4.2999999999999945</v>
      </c>
      <c r="N175" s="154">
        <f>7.1-SUM(N167:N174)</f>
        <v>7.6999999999999904</v>
      </c>
      <c r="O175" s="154">
        <f>12.4-SUM(O167:O174)</f>
        <v>-22.800000000000018</v>
      </c>
      <c r="P175" s="154">
        <f>43.8-SUM(P167:P174)</f>
        <v>-11.800000000000004</v>
      </c>
      <c r="Q175" s="154">
        <f ca="1">12.8-SUM(Q167:Q174)</f>
        <v>-35.639240506329131</v>
      </c>
      <c r="R175" s="155">
        <v>0</v>
      </c>
      <c r="S175" s="155">
        <v>0</v>
      </c>
      <c r="T175" s="155">
        <f>Analysis!J1144</f>
        <v>120</v>
      </c>
      <c r="U175" s="155">
        <v>0</v>
      </c>
      <c r="V175" s="155">
        <f>U175</f>
        <v>0</v>
      </c>
      <c r="W175" s="155">
        <f>V175</f>
        <v>0</v>
      </c>
      <c r="X175" s="155">
        <f>W175</f>
        <v>0</v>
      </c>
      <c r="Y175" s="155">
        <f>X175</f>
        <v>0</v>
      </c>
      <c r="Z175" s="155">
        <f>Y175</f>
        <v>0</v>
      </c>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2"/>
      <c r="CG175" s="92"/>
    </row>
    <row r="176" spans="1:85" ht="15">
      <c r="A176" s="92" t="s">
        <v>684</v>
      </c>
      <c r="B176" s="91"/>
      <c r="C176" s="91"/>
      <c r="D176" s="91"/>
      <c r="E176" s="91"/>
      <c r="F176" s="91"/>
      <c r="G176" s="91"/>
      <c r="H176" s="91"/>
      <c r="I176" s="91"/>
      <c r="J176" s="91"/>
      <c r="K176" s="91"/>
      <c r="L176" s="91"/>
      <c r="M176" s="97">
        <f>SUM(M167:M175)</f>
        <v>-7.3</v>
      </c>
      <c r="N176" s="97">
        <f>SUM(N167:N175)</f>
        <v>7.1</v>
      </c>
      <c r="O176" s="97">
        <f>SUM(O167:O175)</f>
        <v>12.399999999999999</v>
      </c>
      <c r="P176" s="97">
        <f>SUM(P167:P175)</f>
        <v>43.8</v>
      </c>
      <c r="Q176" s="97">
        <f ca="1">SUM(Q167:Q175)</f>
        <v>12.800000000000004</v>
      </c>
      <c r="R176" s="97">
        <f t="shared" ref="R176:Z176" ca="1" si="165">SUM(R167:R175)</f>
        <v>-67.544567832336753</v>
      </c>
      <c r="S176" s="97">
        <f t="shared" ca="1" si="165"/>
        <v>-90.514603839977639</v>
      </c>
      <c r="T176" s="97">
        <f t="shared" ca="1" si="165"/>
        <v>139.52347069550319</v>
      </c>
      <c r="U176" s="97">
        <f t="shared" ca="1" si="165"/>
        <v>33.009154996579227</v>
      </c>
      <c r="V176" s="97">
        <f t="shared" ca="1" si="165"/>
        <v>38.690852462640699</v>
      </c>
      <c r="W176" s="97">
        <f t="shared" ca="1" si="165"/>
        <v>-221.84142813325184</v>
      </c>
      <c r="X176" s="97">
        <f t="shared" ca="1" si="165"/>
        <v>-67.583342087254437</v>
      </c>
      <c r="Y176" s="97">
        <f t="shared" ca="1" si="165"/>
        <v>81.008491694115605</v>
      </c>
      <c r="Z176" s="97">
        <f t="shared" ca="1" si="165"/>
        <v>82.669800991966127</v>
      </c>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2"/>
      <c r="CG176" s="92"/>
    </row>
    <row r="177" spans="1:85" ht="15">
      <c r="A177" s="92"/>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2"/>
      <c r="CG177" s="92"/>
    </row>
    <row r="178" spans="1:85" ht="15">
      <c r="A178" s="92" t="s">
        <v>685</v>
      </c>
      <c r="B178" s="91"/>
      <c r="C178" s="91"/>
      <c r="D178" s="91"/>
      <c r="E178" s="91"/>
      <c r="F178" s="91"/>
      <c r="G178" s="91"/>
      <c r="H178" s="91"/>
      <c r="I178" s="91"/>
      <c r="J178" s="91"/>
      <c r="K178" s="91"/>
      <c r="L178" s="91"/>
      <c r="M178" s="91"/>
      <c r="N178" s="91"/>
      <c r="O178" s="145">
        <f>N179</f>
        <v>9.5</v>
      </c>
      <c r="P178" s="145">
        <f t="shared" ref="P178:Z178" si="166">O179</f>
        <v>21.9</v>
      </c>
      <c r="Q178" s="145">
        <f t="shared" si="166"/>
        <v>65.7</v>
      </c>
      <c r="R178" s="145">
        <f t="shared" si="166"/>
        <v>78.5</v>
      </c>
      <c r="S178" s="145">
        <f t="shared" ca="1" si="166"/>
        <v>10.955432167663247</v>
      </c>
      <c r="T178" s="145">
        <f t="shared" ca="1" si="166"/>
        <v>-79.559171672314392</v>
      </c>
      <c r="U178" s="145">
        <f t="shared" ca="1" si="166"/>
        <v>59.964299023188801</v>
      </c>
      <c r="V178" s="145">
        <f t="shared" ca="1" si="166"/>
        <v>92.973454019768027</v>
      </c>
      <c r="W178" s="145">
        <f t="shared" ca="1" si="166"/>
        <v>131.66430648240873</v>
      </c>
      <c r="X178" s="145">
        <f t="shared" ca="1" si="166"/>
        <v>-90.177121650843105</v>
      </c>
      <c r="Y178" s="145">
        <f t="shared" ca="1" si="166"/>
        <v>-157.76046373809754</v>
      </c>
      <c r="Z178" s="145">
        <f t="shared" ca="1" si="166"/>
        <v>-76.751972043981937</v>
      </c>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2"/>
      <c r="CG178" s="92"/>
    </row>
    <row r="179" spans="1:85" ht="15">
      <c r="A179" s="92" t="s">
        <v>686</v>
      </c>
      <c r="B179" s="91"/>
      <c r="C179" s="91"/>
      <c r="D179" s="91"/>
      <c r="E179" s="91"/>
      <c r="F179" s="91"/>
      <c r="G179" s="91"/>
      <c r="H179" s="91"/>
      <c r="I179" s="91"/>
      <c r="J179" s="91"/>
      <c r="K179" s="91"/>
      <c r="L179" s="91"/>
      <c r="M179" s="96">
        <v>2.4</v>
      </c>
      <c r="N179" s="96">
        <v>9.5</v>
      </c>
      <c r="O179" s="96">
        <v>21.9</v>
      </c>
      <c r="P179" s="96">
        <v>65.7</v>
      </c>
      <c r="Q179" s="96">
        <v>78.5</v>
      </c>
      <c r="R179" s="97">
        <f t="shared" ref="R179:Z179" ca="1" si="167">R178+R176</f>
        <v>10.955432167663247</v>
      </c>
      <c r="S179" s="97">
        <f t="shared" ca="1" si="167"/>
        <v>-79.559171672314392</v>
      </c>
      <c r="T179" s="97">
        <f t="shared" ca="1" si="167"/>
        <v>59.964299023188801</v>
      </c>
      <c r="U179" s="97">
        <f t="shared" ca="1" si="167"/>
        <v>92.973454019768027</v>
      </c>
      <c r="V179" s="97">
        <f t="shared" ca="1" si="167"/>
        <v>131.66430648240873</v>
      </c>
      <c r="W179" s="97">
        <f t="shared" ca="1" si="167"/>
        <v>-90.177121650843105</v>
      </c>
      <c r="X179" s="97">
        <f t="shared" ca="1" si="167"/>
        <v>-157.76046373809754</v>
      </c>
      <c r="Y179" s="97">
        <f t="shared" ca="1" si="167"/>
        <v>-76.751972043981937</v>
      </c>
      <c r="Z179" s="97">
        <f t="shared" ca="1" si="167"/>
        <v>5.9178289479841908</v>
      </c>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2"/>
      <c r="CG179" s="92"/>
    </row>
    <row r="180" spans="1:85" ht="15">
      <c r="A180" s="92"/>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2"/>
      <c r="CG180" s="92"/>
    </row>
    <row r="181" spans="1:85" ht="15">
      <c r="A181" s="92" t="s">
        <v>687</v>
      </c>
      <c r="B181" s="91"/>
      <c r="C181" s="91"/>
      <c r="D181" s="91"/>
      <c r="E181" s="91"/>
      <c r="F181" s="91"/>
      <c r="G181" s="91"/>
      <c r="H181" s="91"/>
      <c r="I181" s="91"/>
      <c r="J181" s="91"/>
      <c r="K181" s="91"/>
      <c r="L181" s="91"/>
      <c r="M181" s="103">
        <f>M169/M109</f>
        <v>-0.18831615120274917</v>
      </c>
      <c r="N181" s="103">
        <f>N169/N109</f>
        <v>-6.6621803499327059E-2</v>
      </c>
      <c r="O181" s="103">
        <f>O169/O109</f>
        <v>-2.0581509310682783E-2</v>
      </c>
      <c r="P181" s="103">
        <f>P169/P109</f>
        <v>-1.1075949367088608E-2</v>
      </c>
      <c r="Q181" s="103">
        <f ca="1">Q169/Q109</f>
        <v>-1.1075949367088608E-2</v>
      </c>
      <c r="R181" s="104">
        <f t="shared" ref="R181:Z182" ca="1" si="168">Q181</f>
        <v>-1.1075949367088608E-2</v>
      </c>
      <c r="S181" s="104">
        <f t="shared" ca="1" si="168"/>
        <v>-1.1075949367088608E-2</v>
      </c>
      <c r="T181" s="104">
        <f t="shared" ca="1" si="168"/>
        <v>-1.1075949367088608E-2</v>
      </c>
      <c r="U181" s="104">
        <f t="shared" ca="1" si="168"/>
        <v>-1.1075949367088608E-2</v>
      </c>
      <c r="V181" s="104">
        <f t="shared" ca="1" si="168"/>
        <v>-1.1075949367088608E-2</v>
      </c>
      <c r="W181" s="104">
        <f t="shared" ca="1" si="168"/>
        <v>-1.1075949367088608E-2</v>
      </c>
      <c r="X181" s="104">
        <f t="shared" ca="1" si="168"/>
        <v>-1.1075949367088608E-2</v>
      </c>
      <c r="Y181" s="104">
        <f t="shared" ca="1" si="168"/>
        <v>-1.1075949367088608E-2</v>
      </c>
      <c r="Z181" s="104">
        <f t="shared" ca="1" si="168"/>
        <v>-1.1075949367088608E-2</v>
      </c>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2"/>
      <c r="CG181" s="92"/>
    </row>
    <row r="182" spans="1:85" ht="15">
      <c r="A182" s="92" t="s">
        <v>688</v>
      </c>
      <c r="B182" s="91"/>
      <c r="C182" s="91"/>
      <c r="D182" s="91"/>
      <c r="E182" s="91"/>
      <c r="F182" s="91"/>
      <c r="G182" s="91"/>
      <c r="H182" s="91"/>
      <c r="I182" s="91"/>
      <c r="J182" s="91"/>
      <c r="K182" s="91"/>
      <c r="L182" s="91"/>
      <c r="M182" s="103">
        <f>M171/SUM(M187:M189)</f>
        <v>0</v>
      </c>
      <c r="N182" s="103">
        <f>N171/SUM(N187:N189)</f>
        <v>0</v>
      </c>
      <c r="O182" s="103">
        <f>O171/SUM(O187:O189)</f>
        <v>0</v>
      </c>
      <c r="P182" s="103">
        <f>P171/SUM(P187:P189)</f>
        <v>0</v>
      </c>
      <c r="Q182" s="103">
        <f>Q171/SUM(Q187:Q189)</f>
        <v>-2.0302212941210589E-2</v>
      </c>
      <c r="R182" s="104">
        <f t="shared" si="168"/>
        <v>-2.0302212941210589E-2</v>
      </c>
      <c r="S182" s="104">
        <f t="shared" si="168"/>
        <v>-2.0302212941210589E-2</v>
      </c>
      <c r="T182" s="104">
        <f t="shared" si="168"/>
        <v>-2.0302212941210589E-2</v>
      </c>
      <c r="U182" s="104">
        <f t="shared" si="168"/>
        <v>-2.0302212941210589E-2</v>
      </c>
      <c r="V182" s="104">
        <f t="shared" si="168"/>
        <v>-2.0302212941210589E-2</v>
      </c>
      <c r="W182" s="104">
        <f t="shared" si="168"/>
        <v>-2.0302212941210589E-2</v>
      </c>
      <c r="X182" s="104">
        <f t="shared" si="168"/>
        <v>-2.0302212941210589E-2</v>
      </c>
      <c r="Y182" s="104">
        <f t="shared" si="168"/>
        <v>-2.0302212941210589E-2</v>
      </c>
      <c r="Z182" s="104">
        <f t="shared" si="168"/>
        <v>-2.0302212941210589E-2</v>
      </c>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2"/>
      <c r="CG182" s="92"/>
    </row>
    <row r="183" spans="1:85" ht="15">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2"/>
      <c r="CG183" s="92"/>
    </row>
    <row r="184" spans="1:85" ht="15">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2"/>
      <c r="CG184" s="92"/>
    </row>
    <row r="185" spans="1:85" ht="15">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2"/>
      <c r="CG185" s="92"/>
    </row>
    <row r="186" spans="1:85" ht="15">
      <c r="A186" s="93" t="str">
        <f>CONCATENATE(A$1," EFCF and Clean net income")</f>
        <v>Liberty Puerto Rico EFCF and Clean net income</v>
      </c>
      <c r="B186" s="94">
        <f t="shared" ref="B186:Z186" si="169">+B$1</f>
        <v>2001</v>
      </c>
      <c r="C186" s="94">
        <f t="shared" si="169"/>
        <v>2002</v>
      </c>
      <c r="D186" s="94">
        <f t="shared" si="169"/>
        <v>2003</v>
      </c>
      <c r="E186" s="94">
        <f t="shared" si="169"/>
        <v>2004</v>
      </c>
      <c r="F186" s="94">
        <f t="shared" si="169"/>
        <v>2005</v>
      </c>
      <c r="G186" s="94">
        <f t="shared" si="169"/>
        <v>2006</v>
      </c>
      <c r="H186" s="94">
        <f t="shared" si="169"/>
        <v>2007</v>
      </c>
      <c r="I186" s="94">
        <f t="shared" si="169"/>
        <v>2008</v>
      </c>
      <c r="J186" s="94">
        <f t="shared" si="169"/>
        <v>2009</v>
      </c>
      <c r="K186" s="94">
        <f t="shared" si="169"/>
        <v>2010</v>
      </c>
      <c r="L186" s="94">
        <f t="shared" si="169"/>
        <v>2011</v>
      </c>
      <c r="M186" s="94">
        <f t="shared" si="169"/>
        <v>2012</v>
      </c>
      <c r="N186" s="94">
        <f t="shared" si="169"/>
        <v>2013</v>
      </c>
      <c r="O186" s="94">
        <f t="shared" si="169"/>
        <v>2014</v>
      </c>
      <c r="P186" s="94">
        <f t="shared" si="169"/>
        <v>2015</v>
      </c>
      <c r="Q186" s="94">
        <f t="shared" si="169"/>
        <v>2016</v>
      </c>
      <c r="R186" s="94" t="str">
        <f t="shared" si="169"/>
        <v>2017E</v>
      </c>
      <c r="S186" s="94" t="str">
        <f t="shared" si="169"/>
        <v>2018E</v>
      </c>
      <c r="T186" s="94" t="str">
        <f t="shared" si="169"/>
        <v>2019E</v>
      </c>
      <c r="U186" s="94" t="str">
        <f t="shared" si="169"/>
        <v>2020E</v>
      </c>
      <c r="V186" s="94" t="str">
        <f t="shared" si="169"/>
        <v>2021E</v>
      </c>
      <c r="W186" s="94" t="str">
        <f t="shared" si="169"/>
        <v>2022E</v>
      </c>
      <c r="X186" s="94" t="str">
        <f t="shared" si="169"/>
        <v>2023E</v>
      </c>
      <c r="Y186" s="94" t="str">
        <f t="shared" si="169"/>
        <v>2024E</v>
      </c>
      <c r="Z186" s="94" t="str">
        <f t="shared" si="169"/>
        <v>2025E</v>
      </c>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2"/>
      <c r="CG186" s="92"/>
    </row>
    <row r="187" spans="1:85" ht="15">
      <c r="A187" s="157" t="s">
        <v>8</v>
      </c>
      <c r="B187" s="158"/>
      <c r="C187" s="158"/>
      <c r="D187" s="158"/>
      <c r="E187" s="158"/>
      <c r="F187" s="158"/>
      <c r="G187" s="158"/>
      <c r="H187" s="158"/>
      <c r="I187" s="158"/>
      <c r="J187" s="158"/>
      <c r="K187" s="158"/>
      <c r="L187" s="158"/>
      <c r="M187" s="158">
        <f t="shared" ref="M187:Z187" si="170">M115</f>
        <v>52.9</v>
      </c>
      <c r="N187" s="158">
        <f t="shared" si="170"/>
        <v>107.30000000000001</v>
      </c>
      <c r="O187" s="158">
        <f t="shared" si="170"/>
        <v>128.60000000000002</v>
      </c>
      <c r="P187" s="158">
        <f t="shared" si="170"/>
        <v>166</v>
      </c>
      <c r="Q187" s="158">
        <f t="shared" si="170"/>
        <v>198.8</v>
      </c>
      <c r="R187" s="158">
        <f t="shared" si="170"/>
        <v>133</v>
      </c>
      <c r="S187" s="158">
        <f t="shared" si="170"/>
        <v>133.90433788681116</v>
      </c>
      <c r="T187" s="158">
        <f t="shared" si="170"/>
        <v>175.4895389080886</v>
      </c>
      <c r="U187" s="158">
        <f t="shared" si="170"/>
        <v>178.84196515334364</v>
      </c>
      <c r="V187" s="158">
        <f t="shared" si="170"/>
        <v>186.11183838081476</v>
      </c>
      <c r="W187" s="158">
        <f t="shared" si="170"/>
        <v>193.39772441721604</v>
      </c>
      <c r="X187" s="158">
        <f t="shared" si="170"/>
        <v>196.51722141672974</v>
      </c>
      <c r="Y187" s="158">
        <f t="shared" si="170"/>
        <v>199.5229374064445</v>
      </c>
      <c r="Z187" s="158">
        <f t="shared" si="170"/>
        <v>202.42148051403356</v>
      </c>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2"/>
      <c r="CG187" s="92"/>
    </row>
    <row r="188" spans="1:85" ht="15">
      <c r="A188" s="157" t="s">
        <v>689</v>
      </c>
      <c r="B188" s="158"/>
      <c r="C188" s="158"/>
      <c r="D188" s="158"/>
      <c r="E188" s="158"/>
      <c r="F188" s="158"/>
      <c r="G188" s="158"/>
      <c r="H188" s="158"/>
      <c r="I188" s="158"/>
      <c r="J188" s="158"/>
      <c r="K188" s="158"/>
      <c r="L188" s="158"/>
      <c r="M188" s="106">
        <v>-29.6</v>
      </c>
      <c r="N188" s="106">
        <v>-55.1</v>
      </c>
      <c r="O188" s="106">
        <v>-63.9</v>
      </c>
      <c r="P188" s="247">
        <f>O188</f>
        <v>-63.9</v>
      </c>
      <c r="Q188" s="247">
        <f t="shared" ref="Q188:Z188" si="171">P188</f>
        <v>-63.9</v>
      </c>
      <c r="R188" s="247">
        <f t="shared" si="171"/>
        <v>-63.9</v>
      </c>
      <c r="S188" s="247">
        <f t="shared" si="171"/>
        <v>-63.9</v>
      </c>
      <c r="T188" s="247">
        <f t="shared" si="171"/>
        <v>-63.9</v>
      </c>
      <c r="U188" s="247">
        <f t="shared" si="171"/>
        <v>-63.9</v>
      </c>
      <c r="V188" s="247">
        <f t="shared" si="171"/>
        <v>-63.9</v>
      </c>
      <c r="W188" s="247">
        <f t="shared" si="171"/>
        <v>-63.9</v>
      </c>
      <c r="X188" s="247">
        <f t="shared" si="171"/>
        <v>-63.9</v>
      </c>
      <c r="Y188" s="247">
        <f t="shared" si="171"/>
        <v>-63.9</v>
      </c>
      <c r="Z188" s="247">
        <f t="shared" si="171"/>
        <v>-63.9</v>
      </c>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2"/>
      <c r="CG188" s="92"/>
    </row>
    <row r="189" spans="1:85" ht="15">
      <c r="A189" s="157" t="s">
        <v>690</v>
      </c>
      <c r="B189" s="91"/>
      <c r="C189" s="158"/>
      <c r="D189" s="158"/>
      <c r="E189" s="158"/>
      <c r="F189" s="158"/>
      <c r="G189" s="158"/>
      <c r="H189" s="158"/>
      <c r="I189" s="158"/>
      <c r="J189" s="158"/>
      <c r="K189" s="158"/>
      <c r="L189" s="158"/>
      <c r="M189" s="106">
        <f>-12.5</f>
        <v>-12.5</v>
      </c>
      <c r="N189" s="106">
        <f>-47.9-1.2</f>
        <v>-49.1</v>
      </c>
      <c r="O189" s="106">
        <f>-42.3-1.5</f>
        <v>-43.8</v>
      </c>
      <c r="P189" s="158">
        <f>-P263</f>
        <v>-57.734999999999992</v>
      </c>
      <c r="Q189" s="158">
        <f t="shared" ref="Q189:Z189" si="172">-Q263</f>
        <v>-65.941999999999993</v>
      </c>
      <c r="R189" s="158">
        <f t="shared" si="172"/>
        <v>-64.903999999999996</v>
      </c>
      <c r="S189" s="158">
        <f t="shared" si="172"/>
        <v>-64.903999999999996</v>
      </c>
      <c r="T189" s="158">
        <f t="shared" si="172"/>
        <v>-64.903999999999996</v>
      </c>
      <c r="U189" s="158">
        <f t="shared" si="172"/>
        <v>-64.903999999999996</v>
      </c>
      <c r="V189" s="158">
        <f t="shared" si="172"/>
        <v>-64.903999999999996</v>
      </c>
      <c r="W189" s="158">
        <f t="shared" si="172"/>
        <v>-55.103999999999999</v>
      </c>
      <c r="X189" s="158">
        <f t="shared" si="172"/>
        <v>-40.333999999999996</v>
      </c>
      <c r="Y189" s="158">
        <f t="shared" si="172"/>
        <v>-35.363999999999997</v>
      </c>
      <c r="Z189" s="158">
        <f t="shared" si="172"/>
        <v>-35.363999999999997</v>
      </c>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2"/>
      <c r="CG189" s="92"/>
    </row>
    <row r="190" spans="1:85" ht="15">
      <c r="A190" s="157" t="s">
        <v>691</v>
      </c>
      <c r="B190" s="159"/>
      <c r="C190" s="159"/>
      <c r="D190" s="159"/>
      <c r="E190" s="159"/>
      <c r="F190" s="159"/>
      <c r="G190" s="159"/>
      <c r="H190" s="159"/>
      <c r="I190" s="159"/>
      <c r="J190" s="159"/>
      <c r="K190" s="159"/>
      <c r="L190" s="159"/>
      <c r="M190" s="106">
        <v>0</v>
      </c>
      <c r="N190" s="106">
        <v>0</v>
      </c>
      <c r="O190" s="106">
        <v>0</v>
      </c>
      <c r="P190" s="247">
        <f>O190</f>
        <v>0</v>
      </c>
      <c r="Q190" s="247">
        <f t="shared" ref="Q190:Z190" si="173">P190</f>
        <v>0</v>
      </c>
      <c r="R190" s="247">
        <f t="shared" si="173"/>
        <v>0</v>
      </c>
      <c r="S190" s="247">
        <f t="shared" si="173"/>
        <v>0</v>
      </c>
      <c r="T190" s="247">
        <f t="shared" si="173"/>
        <v>0</v>
      </c>
      <c r="U190" s="247">
        <f t="shared" si="173"/>
        <v>0</v>
      </c>
      <c r="V190" s="247">
        <f t="shared" si="173"/>
        <v>0</v>
      </c>
      <c r="W190" s="247">
        <f t="shared" si="173"/>
        <v>0</v>
      </c>
      <c r="X190" s="247">
        <f t="shared" si="173"/>
        <v>0</v>
      </c>
      <c r="Y190" s="247">
        <f t="shared" si="173"/>
        <v>0</v>
      </c>
      <c r="Z190" s="247">
        <f t="shared" si="173"/>
        <v>0</v>
      </c>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2"/>
      <c r="CG190" s="92"/>
    </row>
    <row r="191" spans="1:85" ht="15">
      <c r="A191" s="157" t="s">
        <v>692</v>
      </c>
      <c r="B191" s="161"/>
      <c r="C191" s="161"/>
      <c r="D191" s="161"/>
      <c r="E191" s="161"/>
      <c r="F191" s="161"/>
      <c r="G191" s="161"/>
      <c r="H191" s="161"/>
      <c r="I191" s="161"/>
      <c r="J191" s="161"/>
      <c r="K191" s="161"/>
      <c r="L191" s="161"/>
      <c r="M191" s="106">
        <v>0</v>
      </c>
      <c r="N191" s="106">
        <v>0</v>
      </c>
      <c r="O191" s="106">
        <v>0</v>
      </c>
      <c r="P191" s="161">
        <f>IF(SUM(P187:P189)&gt;0,SUM(P187:P189)*-'LiLAC valuation'!G67,0)</f>
        <v>-17.302350000000001</v>
      </c>
      <c r="Q191" s="161">
        <f>IF(SUM(Q187:Q189)&gt;0,SUM(Q187:Q189)*-'LiLAC valuation'!H67,0)</f>
        <v>-26.893620000000006</v>
      </c>
      <c r="R191" s="161">
        <f>IF(SUM(R187:R189)&gt;0,SUM(R187:R189)*-'LiLAC valuation'!I67,0)</f>
        <v>-1.6364399999999992</v>
      </c>
      <c r="S191" s="161">
        <f>IF(SUM(S187:S189)&gt;0,SUM(S187:S189)*-'LiLAC valuation'!J67,0)</f>
        <v>-1.9891317758563529</v>
      </c>
      <c r="T191" s="161">
        <f>IF(SUM(T187:T189)&gt;0,SUM(T187:T189)*-'LiLAC valuation'!K67,0)</f>
        <v>-18.207360174154555</v>
      </c>
      <c r="U191" s="161">
        <f>IF(SUM(U187:U189)&gt;0,SUM(U187:U189)*-'LiLAC valuation'!L67,0)</f>
        <v>-19.514806409804017</v>
      </c>
      <c r="V191" s="161">
        <f>IF(SUM(V187:V189)&gt;0,SUM(V187:V189)*-'LiLAC valuation'!M67,0)</f>
        <v>-22.350056968517755</v>
      </c>
      <c r="W191" s="161">
        <f>IF(SUM(W187:W189)&gt;0,SUM(W187:W189)*-'LiLAC valuation'!N67,0)</f>
        <v>-29.013552522714253</v>
      </c>
      <c r="X191" s="161">
        <f>IF(SUM(X187:X189)&gt;0,SUM(X187:X189)*-'LiLAC valuation'!O67,0)</f>
        <v>-35.990456352524596</v>
      </c>
      <c r="Y191" s="161">
        <f>IF(SUM(Y187:Y189)&gt;0,SUM(Y187:Y189)*-'LiLAC valuation'!P67,0)</f>
        <v>-39.100985588513353</v>
      </c>
      <c r="Z191" s="161">
        <f>IF(SUM(Z187:Z189)&gt;0,SUM(Z187:Z189)*-'LiLAC valuation'!Q67,0)</f>
        <v>-40.231417400473084</v>
      </c>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2"/>
      <c r="CG191" s="92"/>
    </row>
    <row r="192" spans="1:85" ht="15">
      <c r="A192" s="157" t="s">
        <v>693</v>
      </c>
      <c r="B192" s="132"/>
      <c r="C192" s="132"/>
      <c r="D192" s="132"/>
      <c r="E192" s="132"/>
      <c r="F192" s="132"/>
      <c r="G192" s="132"/>
      <c r="H192" s="132"/>
      <c r="I192" s="132"/>
      <c r="J192" s="132"/>
      <c r="K192" s="132"/>
      <c r="L192" s="132"/>
      <c r="M192" s="132">
        <v>0</v>
      </c>
      <c r="N192" s="132">
        <v>0</v>
      </c>
      <c r="O192" s="132">
        <v>0</v>
      </c>
      <c r="P192" s="248">
        <f>O192</f>
        <v>0</v>
      </c>
      <c r="Q192" s="248">
        <f t="shared" ref="Q192:Z192" si="174">P192</f>
        <v>0</v>
      </c>
      <c r="R192" s="248">
        <f t="shared" si="174"/>
        <v>0</v>
      </c>
      <c r="S192" s="248">
        <f t="shared" si="174"/>
        <v>0</v>
      </c>
      <c r="T192" s="248">
        <f t="shared" si="174"/>
        <v>0</v>
      </c>
      <c r="U192" s="248">
        <f t="shared" si="174"/>
        <v>0</v>
      </c>
      <c r="V192" s="248">
        <f t="shared" si="174"/>
        <v>0</v>
      </c>
      <c r="W192" s="248">
        <f t="shared" si="174"/>
        <v>0</v>
      </c>
      <c r="X192" s="248">
        <f t="shared" si="174"/>
        <v>0</v>
      </c>
      <c r="Y192" s="248">
        <f t="shared" si="174"/>
        <v>0</v>
      </c>
      <c r="Z192" s="248">
        <f t="shared" si="174"/>
        <v>0</v>
      </c>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2"/>
      <c r="CG192" s="92"/>
    </row>
    <row r="193" spans="1:85" ht="15">
      <c r="A193" s="162" t="s">
        <v>228</v>
      </c>
      <c r="B193" s="158"/>
      <c r="C193" s="158"/>
      <c r="D193" s="158"/>
      <c r="E193" s="158"/>
      <c r="F193" s="158"/>
      <c r="G193" s="158"/>
      <c r="H193" s="158"/>
      <c r="I193" s="158"/>
      <c r="J193" s="158"/>
      <c r="K193" s="158"/>
      <c r="L193" s="158"/>
      <c r="M193" s="158">
        <f>SUM(M187:M192)</f>
        <v>10.799999999999997</v>
      </c>
      <c r="N193" s="158">
        <f t="shared" ref="N193:Z193" si="175">SUM(N187:N192)</f>
        <v>3.1000000000000085</v>
      </c>
      <c r="O193" s="158">
        <f t="shared" si="175"/>
        <v>20.90000000000002</v>
      </c>
      <c r="P193" s="158">
        <f t="shared" si="175"/>
        <v>27.062650000000001</v>
      </c>
      <c r="Q193" s="158">
        <f t="shared" si="175"/>
        <v>42.064380000000007</v>
      </c>
      <c r="R193" s="158">
        <f t="shared" si="175"/>
        <v>2.5595599999999985</v>
      </c>
      <c r="S193" s="158">
        <f t="shared" si="175"/>
        <v>3.1112061109548081</v>
      </c>
      <c r="T193" s="158">
        <f t="shared" si="175"/>
        <v>28.478178733934048</v>
      </c>
      <c r="U193" s="158">
        <f t="shared" si="175"/>
        <v>30.523158743539618</v>
      </c>
      <c r="V193" s="158">
        <f t="shared" si="175"/>
        <v>34.957781412297003</v>
      </c>
      <c r="W193" s="158">
        <f t="shared" si="175"/>
        <v>45.380171894501785</v>
      </c>
      <c r="X193" s="158">
        <f t="shared" si="175"/>
        <v>56.292765064205135</v>
      </c>
      <c r="Y193" s="158">
        <f t="shared" si="175"/>
        <v>61.157951817931135</v>
      </c>
      <c r="Z193" s="158">
        <f t="shared" si="175"/>
        <v>62.926063113560467</v>
      </c>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2"/>
      <c r="CG193" s="92"/>
    </row>
    <row r="194" spans="1:85" ht="15">
      <c r="A194" s="157" t="s">
        <v>694</v>
      </c>
      <c r="B194" s="163"/>
      <c r="C194" s="163"/>
      <c r="D194" s="163"/>
      <c r="E194" s="163"/>
      <c r="F194" s="163"/>
      <c r="G194" s="163"/>
      <c r="H194" s="163"/>
      <c r="I194" s="163"/>
      <c r="J194" s="163"/>
      <c r="K194" s="163"/>
      <c r="L194" s="163"/>
      <c r="M194" s="163"/>
      <c r="N194" s="163"/>
      <c r="O194" s="163"/>
      <c r="P194" s="163"/>
      <c r="Q194" s="91"/>
      <c r="R194" s="91"/>
      <c r="S194" s="91"/>
      <c r="T194" s="91"/>
      <c r="U194" s="91"/>
      <c r="V194" s="91"/>
      <c r="W194" s="91"/>
      <c r="X194" s="91"/>
      <c r="Y194" s="91"/>
      <c r="Z194" s="91"/>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2"/>
      <c r="CG194" s="92"/>
    </row>
    <row r="195" spans="1:85" ht="15">
      <c r="A195" s="157"/>
      <c r="B195" s="157"/>
      <c r="C195" s="157"/>
      <c r="D195" s="157"/>
      <c r="E195" s="157"/>
      <c r="F195" s="157"/>
      <c r="G195" s="157"/>
      <c r="H195" s="157"/>
      <c r="I195" s="157"/>
      <c r="J195" s="157"/>
      <c r="K195" s="157"/>
      <c r="L195" s="157"/>
      <c r="M195" s="159"/>
      <c r="N195" s="159"/>
      <c r="O195" s="159"/>
      <c r="P195" s="159"/>
      <c r="Q195" s="91"/>
      <c r="R195" s="91"/>
      <c r="S195" s="91"/>
      <c r="T195" s="91"/>
      <c r="U195" s="91"/>
      <c r="V195" s="91"/>
      <c r="W195" s="91"/>
      <c r="X195" s="91"/>
      <c r="Y195" s="91"/>
      <c r="Z195" s="91"/>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2"/>
      <c r="CG195" s="92"/>
    </row>
    <row r="196" spans="1:85" ht="15">
      <c r="A196" s="157" t="s">
        <v>228</v>
      </c>
      <c r="B196" s="164"/>
      <c r="C196" s="164"/>
      <c r="D196" s="164"/>
      <c r="E196" s="164"/>
      <c r="F196" s="164"/>
      <c r="G196" s="164"/>
      <c r="H196" s="164"/>
      <c r="I196" s="164"/>
      <c r="J196" s="164"/>
      <c r="K196" s="164"/>
      <c r="L196" s="164"/>
      <c r="M196" s="158">
        <f>M193</f>
        <v>10.799999999999997</v>
      </c>
      <c r="N196" s="158">
        <f t="shared" ref="N196:Z196" si="176">N193</f>
        <v>3.1000000000000085</v>
      </c>
      <c r="O196" s="158">
        <f t="shared" si="176"/>
        <v>20.90000000000002</v>
      </c>
      <c r="P196" s="158">
        <f t="shared" si="176"/>
        <v>27.062650000000001</v>
      </c>
      <c r="Q196" s="158">
        <f t="shared" si="176"/>
        <v>42.064380000000007</v>
      </c>
      <c r="R196" s="158">
        <f t="shared" si="176"/>
        <v>2.5595599999999985</v>
      </c>
      <c r="S196" s="158">
        <f t="shared" si="176"/>
        <v>3.1112061109548081</v>
      </c>
      <c r="T196" s="158">
        <f t="shared" si="176"/>
        <v>28.478178733934048</v>
      </c>
      <c r="U196" s="158">
        <f t="shared" si="176"/>
        <v>30.523158743539618</v>
      </c>
      <c r="V196" s="158">
        <f t="shared" si="176"/>
        <v>34.957781412297003</v>
      </c>
      <c r="W196" s="158">
        <f t="shared" si="176"/>
        <v>45.380171894501785</v>
      </c>
      <c r="X196" s="158">
        <f t="shared" si="176"/>
        <v>56.292765064205135</v>
      </c>
      <c r="Y196" s="158">
        <f t="shared" si="176"/>
        <v>61.157951817931135</v>
      </c>
      <c r="Z196" s="158">
        <f t="shared" si="176"/>
        <v>62.926063113560467</v>
      </c>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2"/>
      <c r="CG196" s="92"/>
    </row>
    <row r="197" spans="1:85" ht="15">
      <c r="A197" s="157" t="s">
        <v>695</v>
      </c>
      <c r="B197" s="164"/>
      <c r="C197" s="164"/>
      <c r="D197" s="164"/>
      <c r="E197" s="164"/>
      <c r="F197" s="164"/>
      <c r="G197" s="164"/>
      <c r="H197" s="164"/>
      <c r="I197" s="164"/>
      <c r="J197" s="164"/>
      <c r="K197" s="164"/>
      <c r="L197" s="164"/>
      <c r="M197" s="158">
        <f>-M188</f>
        <v>29.6</v>
      </c>
      <c r="N197" s="158">
        <f t="shared" ref="N197:Z197" si="177">-N188</f>
        <v>55.1</v>
      </c>
      <c r="O197" s="158">
        <f t="shared" si="177"/>
        <v>63.9</v>
      </c>
      <c r="P197" s="158">
        <f t="shared" si="177"/>
        <v>63.9</v>
      </c>
      <c r="Q197" s="158">
        <f t="shared" si="177"/>
        <v>63.9</v>
      </c>
      <c r="R197" s="158">
        <f t="shared" si="177"/>
        <v>63.9</v>
      </c>
      <c r="S197" s="158">
        <f t="shared" si="177"/>
        <v>63.9</v>
      </c>
      <c r="T197" s="158">
        <f t="shared" si="177"/>
        <v>63.9</v>
      </c>
      <c r="U197" s="158">
        <f t="shared" si="177"/>
        <v>63.9</v>
      </c>
      <c r="V197" s="158">
        <f t="shared" si="177"/>
        <v>63.9</v>
      </c>
      <c r="W197" s="158">
        <f t="shared" si="177"/>
        <v>63.9</v>
      </c>
      <c r="X197" s="158">
        <f t="shared" si="177"/>
        <v>63.9</v>
      </c>
      <c r="Y197" s="158">
        <f t="shared" si="177"/>
        <v>63.9</v>
      </c>
      <c r="Z197" s="158">
        <f t="shared" si="177"/>
        <v>63.9</v>
      </c>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2"/>
      <c r="CG197" s="92"/>
    </row>
    <row r="198" spans="1:85" ht="15">
      <c r="A198" s="157" t="s">
        <v>696</v>
      </c>
      <c r="B198" s="165"/>
      <c r="C198" s="165"/>
      <c r="D198" s="165"/>
      <c r="E198" s="165"/>
      <c r="F198" s="165"/>
      <c r="G198" s="165"/>
      <c r="H198" s="165"/>
      <c r="I198" s="165"/>
      <c r="J198" s="165"/>
      <c r="K198" s="165"/>
      <c r="L198" s="165"/>
      <c r="M198" s="166">
        <f t="shared" ref="M198:Z198" si="178">-M118</f>
        <v>-25.5</v>
      </c>
      <c r="N198" s="166">
        <f t="shared" si="178"/>
        <v>-65.8</v>
      </c>
      <c r="O198" s="166">
        <f t="shared" si="178"/>
        <v>-60.4</v>
      </c>
      <c r="P198" s="166">
        <f t="shared" si="178"/>
        <v>-78.099999999999994</v>
      </c>
      <c r="Q198" s="166">
        <f t="shared" si="178"/>
        <v>-91</v>
      </c>
      <c r="R198" s="166">
        <f t="shared" si="178"/>
        <v>-132</v>
      </c>
      <c r="S198" s="166">
        <f t="shared" si="178"/>
        <v>-155.81595681374387</v>
      </c>
      <c r="T198" s="166">
        <f t="shared" si="178"/>
        <v>-85.794885688398878</v>
      </c>
      <c r="U198" s="166">
        <f t="shared" si="178"/>
        <v>-75.511051953633995</v>
      </c>
      <c r="V198" s="166">
        <f t="shared" si="178"/>
        <v>-76.872281070336541</v>
      </c>
      <c r="W198" s="166">
        <f t="shared" si="178"/>
        <v>-74.06721360659337</v>
      </c>
      <c r="X198" s="166">
        <f t="shared" si="178"/>
        <v>-75.26191458513054</v>
      </c>
      <c r="Y198" s="166">
        <f t="shared" si="178"/>
        <v>-76.41303985778724</v>
      </c>
      <c r="Z198" s="166">
        <f t="shared" si="178"/>
        <v>-77.523120196863914</v>
      </c>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2"/>
      <c r="CG198" s="92"/>
    </row>
    <row r="199" spans="1:85" ht="15">
      <c r="A199" s="162" t="s">
        <v>241</v>
      </c>
      <c r="B199" s="164"/>
      <c r="C199" s="164"/>
      <c r="D199" s="164"/>
      <c r="E199" s="164"/>
      <c r="F199" s="164"/>
      <c r="G199" s="164"/>
      <c r="H199" s="164"/>
      <c r="I199" s="164"/>
      <c r="J199" s="164"/>
      <c r="K199" s="164"/>
      <c r="L199" s="164"/>
      <c r="M199" s="158">
        <f>SUM(M196:M198)</f>
        <v>14.899999999999999</v>
      </c>
      <c r="N199" s="158">
        <f t="shared" ref="N199:Z199" si="179">SUM(N196:N198)</f>
        <v>-7.5999999999999872</v>
      </c>
      <c r="O199" s="158">
        <f t="shared" si="179"/>
        <v>24.400000000000013</v>
      </c>
      <c r="P199" s="158">
        <f t="shared" si="179"/>
        <v>12.862650000000002</v>
      </c>
      <c r="Q199" s="158">
        <f t="shared" si="179"/>
        <v>14.964380000000006</v>
      </c>
      <c r="R199" s="158">
        <f t="shared" si="179"/>
        <v>-65.540440000000004</v>
      </c>
      <c r="S199" s="158">
        <f t="shared" si="179"/>
        <v>-88.804750702789065</v>
      </c>
      <c r="T199" s="158">
        <f t="shared" si="179"/>
        <v>6.5832930455351715</v>
      </c>
      <c r="U199" s="158">
        <f t="shared" si="179"/>
        <v>18.912106789905621</v>
      </c>
      <c r="V199" s="158">
        <f t="shared" si="179"/>
        <v>21.98550034196046</v>
      </c>
      <c r="W199" s="158">
        <f t="shared" si="179"/>
        <v>35.212958287908421</v>
      </c>
      <c r="X199" s="158">
        <f t="shared" si="179"/>
        <v>44.930850479074593</v>
      </c>
      <c r="Y199" s="158">
        <f t="shared" si="179"/>
        <v>48.644911960143887</v>
      </c>
      <c r="Z199" s="158">
        <f t="shared" si="179"/>
        <v>49.302942916696551</v>
      </c>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2"/>
      <c r="CG199" s="92"/>
    </row>
    <row r="200" spans="1:85" ht="15">
      <c r="A200" s="99"/>
      <c r="B200" s="99"/>
      <c r="C200" s="99"/>
      <c r="D200" s="99"/>
      <c r="E200" s="99"/>
      <c r="F200" s="99"/>
      <c r="G200" s="99"/>
      <c r="H200" s="99"/>
      <c r="I200" s="99"/>
      <c r="J200" s="99"/>
      <c r="K200" s="99"/>
      <c r="L200" s="99"/>
      <c r="M200" s="97"/>
      <c r="N200" s="97"/>
      <c r="O200" s="97"/>
      <c r="P200" s="97"/>
      <c r="Q200" s="91"/>
      <c r="R200" s="91"/>
      <c r="S200" s="91"/>
      <c r="T200" s="91"/>
      <c r="U200" s="91"/>
      <c r="V200" s="91"/>
      <c r="W200" s="91"/>
      <c r="X200" s="91"/>
      <c r="Y200" s="91"/>
      <c r="Z200" s="91"/>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2"/>
      <c r="CG200" s="92"/>
    </row>
    <row r="201" spans="1:85" ht="15">
      <c r="A201" s="99"/>
      <c r="B201" s="99"/>
      <c r="C201" s="99"/>
      <c r="D201" s="99"/>
      <c r="E201" s="99"/>
      <c r="F201" s="99"/>
      <c r="G201" s="99"/>
      <c r="H201" s="99"/>
      <c r="I201" s="99"/>
      <c r="J201" s="99"/>
      <c r="K201" s="99"/>
      <c r="L201" s="99"/>
      <c r="M201" s="97"/>
      <c r="N201" s="97"/>
      <c r="O201" s="97"/>
      <c r="P201" s="97"/>
      <c r="Q201" s="91"/>
      <c r="R201" s="91"/>
      <c r="S201" s="91"/>
      <c r="T201" s="91"/>
      <c r="U201" s="91"/>
      <c r="V201" s="91"/>
      <c r="W201" s="91"/>
      <c r="X201" s="91"/>
      <c r="Y201" s="91"/>
      <c r="Z201" s="91"/>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2"/>
      <c r="CG201" s="92"/>
    </row>
    <row r="202" spans="1:85" ht="15">
      <c r="A202" s="99"/>
      <c r="B202" s="99"/>
      <c r="C202" s="99"/>
      <c r="D202" s="99"/>
      <c r="E202" s="99"/>
      <c r="F202" s="99"/>
      <c r="G202" s="99"/>
      <c r="H202" s="99"/>
      <c r="I202" s="99"/>
      <c r="J202" s="99"/>
      <c r="K202" s="99"/>
      <c r="L202" s="99"/>
      <c r="M202" s="97"/>
      <c r="N202" s="97"/>
      <c r="O202" s="97"/>
      <c r="P202" s="97"/>
      <c r="Q202" s="91"/>
      <c r="R202" s="91"/>
      <c r="S202" s="91"/>
      <c r="T202" s="91"/>
      <c r="U202" s="91"/>
      <c r="V202" s="91"/>
      <c r="W202" s="91"/>
      <c r="X202" s="91"/>
      <c r="Y202" s="91"/>
      <c r="Z202" s="91"/>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2"/>
      <c r="CG202" s="92"/>
    </row>
    <row r="203" spans="1:85" ht="15">
      <c r="A203" s="93" t="str">
        <f>CONCATENATE(A$1," Tax")</f>
        <v>Liberty Puerto Rico Tax</v>
      </c>
      <c r="B203" s="94">
        <f t="shared" ref="B203:Z203" si="180">+B$1</f>
        <v>2001</v>
      </c>
      <c r="C203" s="94">
        <f t="shared" si="180"/>
        <v>2002</v>
      </c>
      <c r="D203" s="94">
        <f t="shared" si="180"/>
        <v>2003</v>
      </c>
      <c r="E203" s="94">
        <f t="shared" si="180"/>
        <v>2004</v>
      </c>
      <c r="F203" s="94">
        <f t="shared" si="180"/>
        <v>2005</v>
      </c>
      <c r="G203" s="94">
        <f t="shared" si="180"/>
        <v>2006</v>
      </c>
      <c r="H203" s="94">
        <f t="shared" si="180"/>
        <v>2007</v>
      </c>
      <c r="I203" s="94">
        <f t="shared" si="180"/>
        <v>2008</v>
      </c>
      <c r="J203" s="94">
        <f t="shared" si="180"/>
        <v>2009</v>
      </c>
      <c r="K203" s="94">
        <f t="shared" si="180"/>
        <v>2010</v>
      </c>
      <c r="L203" s="94">
        <f t="shared" si="180"/>
        <v>2011</v>
      </c>
      <c r="M203" s="94">
        <f t="shared" si="180"/>
        <v>2012</v>
      </c>
      <c r="N203" s="94">
        <f t="shared" si="180"/>
        <v>2013</v>
      </c>
      <c r="O203" s="94">
        <f t="shared" si="180"/>
        <v>2014</v>
      </c>
      <c r="P203" s="94">
        <f t="shared" si="180"/>
        <v>2015</v>
      </c>
      <c r="Q203" s="94">
        <f t="shared" si="180"/>
        <v>2016</v>
      </c>
      <c r="R203" s="94" t="str">
        <f t="shared" si="180"/>
        <v>2017E</v>
      </c>
      <c r="S203" s="94" t="str">
        <f t="shared" si="180"/>
        <v>2018E</v>
      </c>
      <c r="T203" s="94" t="str">
        <f t="shared" si="180"/>
        <v>2019E</v>
      </c>
      <c r="U203" s="94" t="str">
        <f t="shared" si="180"/>
        <v>2020E</v>
      </c>
      <c r="V203" s="94" t="str">
        <f t="shared" si="180"/>
        <v>2021E</v>
      </c>
      <c r="W203" s="94" t="str">
        <f t="shared" si="180"/>
        <v>2022E</v>
      </c>
      <c r="X203" s="94" t="str">
        <f t="shared" si="180"/>
        <v>2023E</v>
      </c>
      <c r="Y203" s="94" t="str">
        <f t="shared" si="180"/>
        <v>2024E</v>
      </c>
      <c r="Z203" s="94" t="str">
        <f t="shared" si="180"/>
        <v>2025E</v>
      </c>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2"/>
      <c r="CG203" s="92"/>
    </row>
    <row r="204" spans="1:85" ht="15">
      <c r="A204" s="99" t="s">
        <v>189</v>
      </c>
      <c r="B204" s="167"/>
      <c r="C204" s="167"/>
      <c r="D204" s="167"/>
      <c r="E204" s="167"/>
      <c r="F204" s="167"/>
      <c r="G204" s="167"/>
      <c r="H204" s="167"/>
      <c r="I204" s="167"/>
      <c r="J204" s="167"/>
      <c r="K204" s="167"/>
      <c r="L204" s="167"/>
      <c r="M204" s="167">
        <f>-M191</f>
        <v>0</v>
      </c>
      <c r="N204" s="167">
        <f>-N191</f>
        <v>0</v>
      </c>
      <c r="O204" s="167">
        <f>-O191</f>
        <v>0</v>
      </c>
      <c r="P204" s="167">
        <f>-P191</f>
        <v>17.302350000000001</v>
      </c>
      <c r="Q204" s="167">
        <f t="shared" ref="Q204:Z204" si="181">-Q191</f>
        <v>26.893620000000006</v>
      </c>
      <c r="R204" s="167">
        <f t="shared" si="181"/>
        <v>1.6364399999999992</v>
      </c>
      <c r="S204" s="167">
        <f t="shared" si="181"/>
        <v>1.9891317758563529</v>
      </c>
      <c r="T204" s="167">
        <f t="shared" si="181"/>
        <v>18.207360174154555</v>
      </c>
      <c r="U204" s="167">
        <f t="shared" si="181"/>
        <v>19.514806409804017</v>
      </c>
      <c r="V204" s="167">
        <f t="shared" si="181"/>
        <v>22.350056968517755</v>
      </c>
      <c r="W204" s="167">
        <f t="shared" si="181"/>
        <v>29.013552522714253</v>
      </c>
      <c r="X204" s="167">
        <f t="shared" si="181"/>
        <v>35.990456352524596</v>
      </c>
      <c r="Y204" s="167">
        <f t="shared" si="181"/>
        <v>39.100985588513353</v>
      </c>
      <c r="Z204" s="167">
        <f t="shared" si="181"/>
        <v>40.231417400473084</v>
      </c>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2"/>
      <c r="CG204" s="92"/>
    </row>
    <row r="205" spans="1:85" ht="15">
      <c r="A205" s="99" t="s">
        <v>697</v>
      </c>
      <c r="B205" s="153"/>
      <c r="C205" s="153"/>
      <c r="D205" s="153"/>
      <c r="E205" s="153"/>
      <c r="F205" s="153"/>
      <c r="G205" s="153"/>
      <c r="H205" s="153"/>
      <c r="I205" s="153"/>
      <c r="J205" s="153"/>
      <c r="K205" s="153"/>
      <c r="L205" s="153"/>
      <c r="M205" s="133">
        <f>-M171</f>
        <v>0</v>
      </c>
      <c r="N205" s="133">
        <f t="shared" ref="N205:Z205" si="182">-N171</f>
        <v>0</v>
      </c>
      <c r="O205" s="133">
        <f t="shared" si="182"/>
        <v>0</v>
      </c>
      <c r="P205" s="133">
        <f t="shared" si="182"/>
        <v>0</v>
      </c>
      <c r="Q205" s="133">
        <f t="shared" si="182"/>
        <v>1.4</v>
      </c>
      <c r="R205" s="133">
        <f t="shared" si="182"/>
        <v>8.5188085501319594E-2</v>
      </c>
      <c r="S205" s="133">
        <f t="shared" si="182"/>
        <v>0.10354814585016422</v>
      </c>
      <c r="T205" s="133">
        <f t="shared" si="182"/>
        <v>0.94781975218718684</v>
      </c>
      <c r="U205" s="133">
        <f t="shared" si="182"/>
        <v>1.0158814236880576</v>
      </c>
      <c r="V205" s="133">
        <f t="shared" si="182"/>
        <v>1.1634759380077822</v>
      </c>
      <c r="W205" s="133">
        <f t="shared" si="182"/>
        <v>1.5103572346080576</v>
      </c>
      <c r="X205" s="133">
        <f t="shared" si="182"/>
        <v>1.8735536121033325</v>
      </c>
      <c r="Y205" s="133">
        <f t="shared" si="182"/>
        <v>2.0354782964851394</v>
      </c>
      <c r="Z205" s="133">
        <f t="shared" si="182"/>
        <v>2.094325135874691</v>
      </c>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2"/>
      <c r="CG205" s="92"/>
    </row>
    <row r="206" spans="1:85" ht="15.75" thickBot="1">
      <c r="A206" s="99" t="s">
        <v>698</v>
      </c>
      <c r="B206" s="97"/>
      <c r="C206" s="97"/>
      <c r="D206" s="97"/>
      <c r="E206" s="97"/>
      <c r="F206" s="97"/>
      <c r="G206" s="97"/>
      <c r="H206" s="97"/>
      <c r="I206" s="97"/>
      <c r="J206" s="97"/>
      <c r="K206" s="97"/>
      <c r="L206" s="97"/>
      <c r="M206" s="97">
        <f>M204-M205</f>
        <v>0</v>
      </c>
      <c r="N206" s="97">
        <f t="shared" ref="N206:Z206" si="183">N204-N205</f>
        <v>0</v>
      </c>
      <c r="O206" s="97">
        <f t="shared" si="183"/>
        <v>0</v>
      </c>
      <c r="P206" s="97">
        <f t="shared" si="183"/>
        <v>17.302350000000001</v>
      </c>
      <c r="Q206" s="97">
        <f t="shared" si="183"/>
        <v>25.493620000000007</v>
      </c>
      <c r="R206" s="97">
        <f t="shared" si="183"/>
        <v>1.5512519144986796</v>
      </c>
      <c r="S206" s="97">
        <f t="shared" si="183"/>
        <v>1.8855836300061888</v>
      </c>
      <c r="T206" s="97">
        <f t="shared" si="183"/>
        <v>17.259540421967369</v>
      </c>
      <c r="U206" s="97">
        <f t="shared" si="183"/>
        <v>18.498924986115959</v>
      </c>
      <c r="V206" s="97">
        <f t="shared" si="183"/>
        <v>21.186581030509974</v>
      </c>
      <c r="W206" s="97">
        <f t="shared" si="183"/>
        <v>27.503195288106195</v>
      </c>
      <c r="X206" s="97">
        <f t="shared" si="183"/>
        <v>34.116902740421267</v>
      </c>
      <c r="Y206" s="97">
        <f t="shared" si="183"/>
        <v>37.065507292028215</v>
      </c>
      <c r="Z206" s="97">
        <f t="shared" si="183"/>
        <v>38.137092264598394</v>
      </c>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2"/>
      <c r="CG206" s="92"/>
    </row>
    <row r="207" spans="1:85" ht="15.75" thickBot="1">
      <c r="A207" s="99" t="s">
        <v>204</v>
      </c>
      <c r="B207" s="97"/>
      <c r="C207" s="97"/>
      <c r="D207" s="97"/>
      <c r="E207" s="97"/>
      <c r="F207" s="97"/>
      <c r="G207" s="97"/>
      <c r="H207" s="97"/>
      <c r="I207" s="97"/>
      <c r="J207" s="97"/>
      <c r="K207" s="97"/>
      <c r="L207" s="97"/>
      <c r="M207" s="97"/>
      <c r="N207" s="97"/>
      <c r="O207" s="97"/>
      <c r="P207" s="168">
        <f>NPV(6.8%,Q206:U206)</f>
        <v>53.357862131569867</v>
      </c>
      <c r="Q207" s="91"/>
      <c r="R207" s="91"/>
      <c r="S207" s="91"/>
      <c r="T207" s="91"/>
      <c r="U207" s="91"/>
      <c r="V207" s="91"/>
      <c r="W207" s="91"/>
      <c r="X207" s="91"/>
      <c r="Y207" s="91"/>
      <c r="Z207" s="91"/>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2"/>
      <c r="CG207" s="92"/>
    </row>
    <row r="208" spans="1:85" ht="15">
      <c r="A208" s="92"/>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2"/>
      <c r="CG208" s="92"/>
    </row>
    <row r="209" spans="1:85" ht="1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2"/>
      <c r="CG209" s="92"/>
    </row>
    <row r="210" spans="1:85" ht="15">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2"/>
      <c r="CG210" s="92"/>
    </row>
    <row r="211" spans="1:85" ht="15">
      <c r="A211" s="93" t="str">
        <f>CONCATENATE(A$1," Debt structure ($ mn)")</f>
        <v>Liberty Puerto Rico Debt structure ($ mn)</v>
      </c>
      <c r="B211" s="94">
        <f t="shared" ref="B211:Z211" si="184">+B$1</f>
        <v>2001</v>
      </c>
      <c r="C211" s="94">
        <f t="shared" si="184"/>
        <v>2002</v>
      </c>
      <c r="D211" s="94">
        <f t="shared" si="184"/>
        <v>2003</v>
      </c>
      <c r="E211" s="94">
        <f t="shared" si="184"/>
        <v>2004</v>
      </c>
      <c r="F211" s="94">
        <f t="shared" si="184"/>
        <v>2005</v>
      </c>
      <c r="G211" s="94">
        <f t="shared" si="184"/>
        <v>2006</v>
      </c>
      <c r="H211" s="94">
        <f t="shared" si="184"/>
        <v>2007</v>
      </c>
      <c r="I211" s="94">
        <f t="shared" si="184"/>
        <v>2008</v>
      </c>
      <c r="J211" s="94">
        <f t="shared" si="184"/>
        <v>2009</v>
      </c>
      <c r="K211" s="94">
        <f t="shared" si="184"/>
        <v>2010</v>
      </c>
      <c r="L211" s="94">
        <f t="shared" si="184"/>
        <v>2011</v>
      </c>
      <c r="M211" s="94">
        <f t="shared" si="184"/>
        <v>2012</v>
      </c>
      <c r="N211" s="94">
        <f t="shared" si="184"/>
        <v>2013</v>
      </c>
      <c r="O211" s="94">
        <f t="shared" si="184"/>
        <v>2014</v>
      </c>
      <c r="P211" s="94">
        <f t="shared" si="184"/>
        <v>2015</v>
      </c>
      <c r="Q211" s="94">
        <f t="shared" si="184"/>
        <v>2016</v>
      </c>
      <c r="R211" s="94" t="str">
        <f t="shared" si="184"/>
        <v>2017E</v>
      </c>
      <c r="S211" s="94" t="str">
        <f t="shared" si="184"/>
        <v>2018E</v>
      </c>
      <c r="T211" s="94" t="str">
        <f t="shared" si="184"/>
        <v>2019E</v>
      </c>
      <c r="U211" s="94" t="str">
        <f t="shared" si="184"/>
        <v>2020E</v>
      </c>
      <c r="V211" s="94" t="str">
        <f t="shared" si="184"/>
        <v>2021E</v>
      </c>
      <c r="W211" s="94" t="str">
        <f t="shared" si="184"/>
        <v>2022E</v>
      </c>
      <c r="X211" s="94" t="str">
        <f t="shared" si="184"/>
        <v>2023E</v>
      </c>
      <c r="Y211" s="94" t="str">
        <f t="shared" si="184"/>
        <v>2024E</v>
      </c>
      <c r="Z211" s="94" t="str">
        <f t="shared" si="184"/>
        <v>2025E</v>
      </c>
      <c r="AA211" s="92"/>
      <c r="AB211" s="93" t="str">
        <f>CONCATENATE(AB$1," Debt structure ($ mn)")</f>
        <v>Liberty Puerto Rico Debt structure ($ mn)</v>
      </c>
      <c r="AC211" s="94" t="str">
        <f>AC$1</f>
        <v>Q4 01</v>
      </c>
      <c r="AD211" s="94" t="str">
        <f t="shared" ref="AD211:CD211" si="185">AD$1</f>
        <v>Q1 02</v>
      </c>
      <c r="AE211" s="94" t="str">
        <f t="shared" si="185"/>
        <v>Q2 02</v>
      </c>
      <c r="AF211" s="94" t="str">
        <f t="shared" si="185"/>
        <v>Q3 02</v>
      </c>
      <c r="AG211" s="94" t="str">
        <f t="shared" si="185"/>
        <v>Q4 02</v>
      </c>
      <c r="AH211" s="94" t="str">
        <f t="shared" si="185"/>
        <v>Q1 03</v>
      </c>
      <c r="AI211" s="94" t="str">
        <f t="shared" si="185"/>
        <v>Q2 03</v>
      </c>
      <c r="AJ211" s="94" t="str">
        <f t="shared" si="185"/>
        <v>Q3 03</v>
      </c>
      <c r="AK211" s="94" t="str">
        <f t="shared" si="185"/>
        <v>Q4 03</v>
      </c>
      <c r="AL211" s="94" t="str">
        <f t="shared" si="185"/>
        <v>1Q04</v>
      </c>
      <c r="AM211" s="94" t="str">
        <f t="shared" si="185"/>
        <v>Q2 04</v>
      </c>
      <c r="AN211" s="94" t="str">
        <f t="shared" si="185"/>
        <v>Q3 04</v>
      </c>
      <c r="AO211" s="94" t="str">
        <f t="shared" si="185"/>
        <v>Q4 04</v>
      </c>
      <c r="AP211" s="94" t="str">
        <f t="shared" si="185"/>
        <v>Q1 05</v>
      </c>
      <c r="AQ211" s="94" t="str">
        <f t="shared" si="185"/>
        <v>Q2 05</v>
      </c>
      <c r="AR211" s="94" t="str">
        <f t="shared" si="185"/>
        <v>Q3 05</v>
      </c>
      <c r="AS211" s="94" t="str">
        <f t="shared" si="185"/>
        <v>Q4 05</v>
      </c>
      <c r="AT211" s="94" t="str">
        <f t="shared" si="185"/>
        <v>Q1 06</v>
      </c>
      <c r="AU211" s="94" t="str">
        <f t="shared" si="185"/>
        <v>Q2 06</v>
      </c>
      <c r="AV211" s="94" t="str">
        <f t="shared" si="185"/>
        <v>Q3 06</v>
      </c>
      <c r="AW211" s="94" t="str">
        <f t="shared" si="185"/>
        <v>Q4 06</v>
      </c>
      <c r="AX211" s="94" t="str">
        <f t="shared" si="185"/>
        <v>Q1 07</v>
      </c>
      <c r="AY211" s="94" t="str">
        <f t="shared" si="185"/>
        <v>Q2 07</v>
      </c>
      <c r="AZ211" s="94" t="str">
        <f t="shared" si="185"/>
        <v>Q3 07</v>
      </c>
      <c r="BA211" s="94" t="str">
        <f t="shared" si="185"/>
        <v>Q4 07</v>
      </c>
      <c r="BB211" s="94" t="str">
        <f t="shared" si="185"/>
        <v>Q1 08</v>
      </c>
      <c r="BC211" s="94" t="str">
        <f t="shared" si="185"/>
        <v>Q2 08</v>
      </c>
      <c r="BD211" s="94" t="str">
        <f t="shared" si="185"/>
        <v>Q3 08</v>
      </c>
      <c r="BE211" s="94" t="str">
        <f t="shared" si="185"/>
        <v>Q4 08</v>
      </c>
      <c r="BF211" s="94" t="str">
        <f t="shared" si="185"/>
        <v>Q1 09</v>
      </c>
      <c r="BG211" s="94" t="str">
        <f t="shared" si="185"/>
        <v>Q2 09</v>
      </c>
      <c r="BH211" s="94" t="str">
        <f t="shared" si="185"/>
        <v>Q3 09</v>
      </c>
      <c r="BI211" s="94" t="str">
        <f t="shared" si="185"/>
        <v>Q4 09</v>
      </c>
      <c r="BJ211" s="94" t="str">
        <f t="shared" si="185"/>
        <v>Q1 10</v>
      </c>
      <c r="BK211" s="94" t="str">
        <f t="shared" si="185"/>
        <v>Q2 10</v>
      </c>
      <c r="BL211" s="94" t="str">
        <f t="shared" si="185"/>
        <v>Q3 10</v>
      </c>
      <c r="BM211" s="94" t="str">
        <f t="shared" si="185"/>
        <v>Q4 10</v>
      </c>
      <c r="BN211" s="94" t="str">
        <f t="shared" si="185"/>
        <v>Q1 11</v>
      </c>
      <c r="BO211" s="94" t="str">
        <f t="shared" si="185"/>
        <v>Q2 11</v>
      </c>
      <c r="BP211" s="94" t="str">
        <f t="shared" si="185"/>
        <v>Q3 11</v>
      </c>
      <c r="BQ211" s="94" t="str">
        <f t="shared" si="185"/>
        <v>Q4 11</v>
      </c>
      <c r="BR211" s="94" t="str">
        <f t="shared" si="185"/>
        <v>Q1 12</v>
      </c>
      <c r="BS211" s="94" t="str">
        <f t="shared" si="185"/>
        <v>Q2 12</v>
      </c>
      <c r="BT211" s="94" t="str">
        <f t="shared" si="185"/>
        <v>Q3 12</v>
      </c>
      <c r="BU211" s="94" t="str">
        <f t="shared" si="185"/>
        <v>Q4 12</v>
      </c>
      <c r="BV211" s="94" t="str">
        <f t="shared" si="185"/>
        <v>Q1 13</v>
      </c>
      <c r="BW211" s="94" t="str">
        <f t="shared" si="185"/>
        <v>Q2 13</v>
      </c>
      <c r="BX211" s="94" t="str">
        <f t="shared" si="185"/>
        <v>Q3 13</v>
      </c>
      <c r="BY211" s="94" t="str">
        <f t="shared" si="185"/>
        <v>Q4 13</v>
      </c>
      <c r="BZ211" s="94" t="str">
        <f t="shared" si="185"/>
        <v>Q1 14</v>
      </c>
      <c r="CA211" s="94" t="str">
        <f t="shared" si="185"/>
        <v>Q2 14</v>
      </c>
      <c r="CB211" s="94" t="str">
        <f t="shared" si="185"/>
        <v>Q3 14</v>
      </c>
      <c r="CC211" s="94" t="str">
        <f t="shared" si="185"/>
        <v>Q4 14</v>
      </c>
      <c r="CD211" s="94" t="str">
        <f t="shared" si="185"/>
        <v>Q1 15</v>
      </c>
      <c r="CE211" s="91"/>
      <c r="CF211" s="92"/>
      <c r="CG211" s="92"/>
    </row>
    <row r="212" spans="1:85" ht="15">
      <c r="A212" s="169" t="s">
        <v>760</v>
      </c>
      <c r="B212" s="91"/>
      <c r="C212" s="91"/>
      <c r="D212" s="91"/>
      <c r="E212" s="91"/>
      <c r="F212" s="91"/>
      <c r="G212" s="91"/>
      <c r="H212" s="91"/>
      <c r="I212" s="91"/>
      <c r="J212" s="91"/>
      <c r="K212" s="91"/>
      <c r="L212" s="91"/>
      <c r="M212" s="249">
        <v>663.9</v>
      </c>
      <c r="N212" s="249">
        <v>665</v>
      </c>
      <c r="O212" s="96">
        <v>672</v>
      </c>
      <c r="P212" s="96">
        <v>934</v>
      </c>
      <c r="Q212" s="96">
        <v>927.2</v>
      </c>
      <c r="R212" s="145">
        <f t="shared" ref="R212:Z214" si="186">Q212-R231+R243</f>
        <v>927.2</v>
      </c>
      <c r="S212" s="145">
        <f t="shared" si="186"/>
        <v>927.2</v>
      </c>
      <c r="T212" s="145">
        <f t="shared" si="186"/>
        <v>927.2</v>
      </c>
      <c r="U212" s="145">
        <f t="shared" si="186"/>
        <v>927.2</v>
      </c>
      <c r="V212" s="145">
        <f t="shared" si="186"/>
        <v>927.2</v>
      </c>
      <c r="W212" s="145">
        <f t="shared" si="186"/>
        <v>647.20000000000005</v>
      </c>
      <c r="X212" s="145">
        <f t="shared" si="186"/>
        <v>505.20000000000005</v>
      </c>
      <c r="Y212" s="145">
        <f t="shared" si="186"/>
        <v>505.20000000000005</v>
      </c>
      <c r="Z212" s="145">
        <f t="shared" si="186"/>
        <v>505.20000000000005</v>
      </c>
      <c r="AA212" s="92"/>
      <c r="AB212" s="169" t="s">
        <v>760</v>
      </c>
      <c r="AC212" s="110"/>
      <c r="AD212" s="110"/>
      <c r="AE212" s="110"/>
      <c r="AF212" s="110"/>
      <c r="AG212" s="110"/>
      <c r="AH212" s="110"/>
      <c r="AI212" s="110"/>
      <c r="AJ212" s="110"/>
      <c r="AK212" s="110"/>
      <c r="AL212" s="110"/>
      <c r="AM212" s="110"/>
      <c r="AN212" s="110"/>
      <c r="AO212" s="110"/>
      <c r="AP212" s="110"/>
      <c r="AQ212" s="110"/>
      <c r="AR212" s="110"/>
      <c r="AS212" s="110"/>
      <c r="AT212" s="110"/>
      <c r="AU212" s="110"/>
      <c r="AV212" s="110"/>
      <c r="AW212" s="110"/>
      <c r="AX212" s="110"/>
      <c r="AY212" s="110"/>
      <c r="AZ212" s="110"/>
      <c r="BA212" s="110"/>
      <c r="BB212" s="96"/>
      <c r="BC212" s="96"/>
      <c r="BD212" s="96"/>
      <c r="BE212" s="96"/>
      <c r="BF212" s="96"/>
      <c r="BG212" s="96"/>
      <c r="BH212" s="96"/>
      <c r="BI212" s="96"/>
      <c r="BJ212" s="96"/>
      <c r="BK212" s="96"/>
      <c r="BL212" s="96"/>
      <c r="BM212" s="96"/>
      <c r="BN212" s="96"/>
      <c r="BO212" s="96"/>
      <c r="BP212" s="96"/>
      <c r="BQ212" s="96"/>
      <c r="BR212" s="96"/>
      <c r="BS212" s="96"/>
      <c r="BT212" s="96"/>
      <c r="BU212" s="96">
        <v>663.9</v>
      </c>
      <c r="BV212" s="96"/>
      <c r="BW212" s="96"/>
      <c r="BX212" s="96"/>
      <c r="BY212" s="96">
        <v>665</v>
      </c>
      <c r="BZ212" s="96">
        <v>657.6</v>
      </c>
      <c r="CA212" s="96">
        <v>652.29999999999995</v>
      </c>
      <c r="CB212" s="96">
        <v>671.9</v>
      </c>
      <c r="CC212" s="96">
        <v>672</v>
      </c>
      <c r="CD212" s="96">
        <v>672</v>
      </c>
      <c r="CE212" s="141" t="str">
        <f>AB212</f>
        <v>Liberty Puerto Rico Bank facilities</v>
      </c>
      <c r="CF212" s="92"/>
      <c r="CG212" s="92"/>
    </row>
    <row r="213" spans="1:85" ht="15">
      <c r="A213" s="169" t="s">
        <v>761</v>
      </c>
      <c r="B213" s="91"/>
      <c r="C213" s="91"/>
      <c r="D213" s="91"/>
      <c r="E213" s="91"/>
      <c r="F213" s="91"/>
      <c r="G213" s="91"/>
      <c r="H213" s="91"/>
      <c r="I213" s="91"/>
      <c r="J213" s="91"/>
      <c r="K213" s="91"/>
      <c r="L213" s="91"/>
      <c r="M213" s="96">
        <v>0</v>
      </c>
      <c r="N213" s="96">
        <v>0</v>
      </c>
      <c r="O213" s="96">
        <v>0</v>
      </c>
      <c r="P213" s="96">
        <v>0</v>
      </c>
      <c r="Q213" s="96">
        <v>0</v>
      </c>
      <c r="R213" s="145">
        <f t="shared" si="186"/>
        <v>0</v>
      </c>
      <c r="S213" s="145">
        <f t="shared" si="186"/>
        <v>0</v>
      </c>
      <c r="T213" s="145">
        <f t="shared" si="186"/>
        <v>0</v>
      </c>
      <c r="U213" s="145">
        <f t="shared" si="186"/>
        <v>0</v>
      </c>
      <c r="V213" s="145">
        <f t="shared" si="186"/>
        <v>0</v>
      </c>
      <c r="W213" s="145">
        <f t="shared" si="186"/>
        <v>0</v>
      </c>
      <c r="X213" s="145">
        <f t="shared" si="186"/>
        <v>0</v>
      </c>
      <c r="Y213" s="145">
        <f t="shared" si="186"/>
        <v>0</v>
      </c>
      <c r="Z213" s="145">
        <f t="shared" si="186"/>
        <v>0</v>
      </c>
      <c r="AA213" s="92"/>
      <c r="AB213" s="169" t="s">
        <v>761</v>
      </c>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c r="BB213" s="96"/>
      <c r="BC213" s="96"/>
      <c r="BD213" s="96"/>
      <c r="BE213" s="96"/>
      <c r="BF213" s="96"/>
      <c r="BG213" s="96"/>
      <c r="BH213" s="96"/>
      <c r="BI213" s="96"/>
      <c r="BJ213" s="96"/>
      <c r="BK213" s="96"/>
      <c r="BL213" s="96"/>
      <c r="BM213" s="96"/>
      <c r="BN213" s="96"/>
      <c r="BO213" s="96"/>
      <c r="BP213" s="96"/>
      <c r="BQ213" s="96"/>
      <c r="BR213" s="96"/>
      <c r="BS213" s="96"/>
      <c r="BT213" s="96"/>
      <c r="BU213" s="96">
        <v>0</v>
      </c>
      <c r="BV213" s="96"/>
      <c r="BW213" s="96"/>
      <c r="BX213" s="96"/>
      <c r="BY213" s="96">
        <v>0</v>
      </c>
      <c r="BZ213" s="96">
        <v>0</v>
      </c>
      <c r="CA213" s="96">
        <v>0</v>
      </c>
      <c r="CB213" s="96">
        <v>0</v>
      </c>
      <c r="CC213" s="96">
        <v>0</v>
      </c>
      <c r="CD213" s="96">
        <v>0</v>
      </c>
      <c r="CE213" s="141" t="str">
        <f t="shared" ref="CE213:CE223" si="187">AB213</f>
        <v>Senior secured notes</v>
      </c>
      <c r="CF213" s="92"/>
      <c r="CG213" s="92"/>
    </row>
    <row r="214" spans="1:85" ht="15">
      <c r="A214" s="92" t="s">
        <v>703</v>
      </c>
      <c r="B214" s="156"/>
      <c r="C214" s="156"/>
      <c r="D214" s="156"/>
      <c r="E214" s="156"/>
      <c r="F214" s="156"/>
      <c r="G214" s="156"/>
      <c r="H214" s="156"/>
      <c r="I214" s="156"/>
      <c r="J214" s="156"/>
      <c r="K214" s="156"/>
      <c r="L214" s="156"/>
      <c r="M214" s="154">
        <v>0.6</v>
      </c>
      <c r="N214" s="154">
        <v>1.6</v>
      </c>
      <c r="O214" s="154">
        <v>1</v>
      </c>
      <c r="P214" s="154">
        <v>0.5</v>
      </c>
      <c r="Q214" s="154">
        <v>0.2</v>
      </c>
      <c r="R214" s="171">
        <f t="shared" si="186"/>
        <v>0.2</v>
      </c>
      <c r="S214" s="171">
        <f t="shared" si="186"/>
        <v>0.2</v>
      </c>
      <c r="T214" s="171">
        <f t="shared" si="186"/>
        <v>0.2</v>
      </c>
      <c r="U214" s="171">
        <f t="shared" si="186"/>
        <v>0.2</v>
      </c>
      <c r="V214" s="171">
        <f t="shared" si="186"/>
        <v>0.2</v>
      </c>
      <c r="W214" s="171">
        <f t="shared" si="186"/>
        <v>0.2</v>
      </c>
      <c r="X214" s="171">
        <f t="shared" si="186"/>
        <v>0.2</v>
      </c>
      <c r="Y214" s="171">
        <f t="shared" si="186"/>
        <v>0.2</v>
      </c>
      <c r="Z214" s="171">
        <f t="shared" si="186"/>
        <v>0.2</v>
      </c>
      <c r="AA214" s="92"/>
      <c r="AB214" s="92" t="s">
        <v>703</v>
      </c>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2"/>
      <c r="AY214" s="172"/>
      <c r="AZ214" s="172"/>
      <c r="BA214" s="172"/>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v>0.6</v>
      </c>
      <c r="BV214" s="154"/>
      <c r="BW214" s="154"/>
      <c r="BX214" s="154"/>
      <c r="BY214" s="154">
        <v>1.6</v>
      </c>
      <c r="BZ214" s="154">
        <v>1.4</v>
      </c>
      <c r="CA214" s="154">
        <v>1.3</v>
      </c>
      <c r="CB214" s="154">
        <v>1.6</v>
      </c>
      <c r="CC214" s="154">
        <v>1</v>
      </c>
      <c r="CD214" s="154">
        <v>0.9</v>
      </c>
      <c r="CE214" s="141" t="str">
        <f t="shared" si="187"/>
        <v>Capital leases</v>
      </c>
      <c r="CF214" s="92"/>
      <c r="CG214" s="92"/>
    </row>
    <row r="215" spans="1:85" ht="15">
      <c r="A215" s="92" t="s">
        <v>704</v>
      </c>
      <c r="B215" s="144">
        <f>SUM(B212:B214)</f>
        <v>0</v>
      </c>
      <c r="C215" s="144">
        <f>SUM(C212:C214)</f>
        <v>0</v>
      </c>
      <c r="D215" s="144">
        <f t="shared" ref="D215:L215" si="188">SUM(D212:D214)</f>
        <v>0</v>
      </c>
      <c r="E215" s="144">
        <f t="shared" si="188"/>
        <v>0</v>
      </c>
      <c r="F215" s="144">
        <f t="shared" si="188"/>
        <v>0</v>
      </c>
      <c r="G215" s="144">
        <f t="shared" si="188"/>
        <v>0</v>
      </c>
      <c r="H215" s="144">
        <f t="shared" si="188"/>
        <v>0</v>
      </c>
      <c r="I215" s="144">
        <f t="shared" si="188"/>
        <v>0</v>
      </c>
      <c r="J215" s="144">
        <f t="shared" si="188"/>
        <v>0</v>
      </c>
      <c r="K215" s="144">
        <f t="shared" si="188"/>
        <v>0</v>
      </c>
      <c r="L215" s="144">
        <f t="shared" si="188"/>
        <v>0</v>
      </c>
      <c r="M215" s="144">
        <f>SUM(M212:M214)</f>
        <v>664.5</v>
      </c>
      <c r="N215" s="144">
        <f>SUM(N212:N214)</f>
        <v>666.6</v>
      </c>
      <c r="O215" s="144">
        <f t="shared" ref="O215:Z215" si="189">SUM(O212:O214)</f>
        <v>673</v>
      </c>
      <c r="P215" s="144">
        <f t="shared" si="189"/>
        <v>934.5</v>
      </c>
      <c r="Q215" s="144">
        <f t="shared" si="189"/>
        <v>927.40000000000009</v>
      </c>
      <c r="R215" s="144">
        <f t="shared" si="189"/>
        <v>927.40000000000009</v>
      </c>
      <c r="S215" s="144">
        <f t="shared" si="189"/>
        <v>927.40000000000009</v>
      </c>
      <c r="T215" s="144">
        <f t="shared" si="189"/>
        <v>927.40000000000009</v>
      </c>
      <c r="U215" s="144">
        <f t="shared" si="189"/>
        <v>927.40000000000009</v>
      </c>
      <c r="V215" s="144">
        <f t="shared" si="189"/>
        <v>927.40000000000009</v>
      </c>
      <c r="W215" s="144">
        <f t="shared" si="189"/>
        <v>647.40000000000009</v>
      </c>
      <c r="X215" s="144">
        <f t="shared" si="189"/>
        <v>505.40000000000003</v>
      </c>
      <c r="Y215" s="144">
        <f t="shared" si="189"/>
        <v>505.40000000000003</v>
      </c>
      <c r="Z215" s="144">
        <f t="shared" si="189"/>
        <v>505.40000000000003</v>
      </c>
      <c r="AA215" s="92"/>
      <c r="AB215" s="92" t="s">
        <v>704</v>
      </c>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144">
        <f t="shared" ref="BB215:CD215" si="190">SUM(BB212:BB214)</f>
        <v>0</v>
      </c>
      <c r="BC215" s="144">
        <f t="shared" si="190"/>
        <v>0</v>
      </c>
      <c r="BD215" s="144">
        <f t="shared" si="190"/>
        <v>0</v>
      </c>
      <c r="BE215" s="144">
        <f t="shared" si="190"/>
        <v>0</v>
      </c>
      <c r="BF215" s="144">
        <f t="shared" si="190"/>
        <v>0</v>
      </c>
      <c r="BG215" s="144">
        <f t="shared" si="190"/>
        <v>0</v>
      </c>
      <c r="BH215" s="144">
        <f t="shared" si="190"/>
        <v>0</v>
      </c>
      <c r="BI215" s="144">
        <f t="shared" si="190"/>
        <v>0</v>
      </c>
      <c r="BJ215" s="144">
        <f t="shared" si="190"/>
        <v>0</v>
      </c>
      <c r="BK215" s="144">
        <f t="shared" si="190"/>
        <v>0</v>
      </c>
      <c r="BL215" s="144">
        <f t="shared" si="190"/>
        <v>0</v>
      </c>
      <c r="BM215" s="144">
        <f t="shared" si="190"/>
        <v>0</v>
      </c>
      <c r="BN215" s="144">
        <f t="shared" si="190"/>
        <v>0</v>
      </c>
      <c r="BO215" s="144">
        <f t="shared" si="190"/>
        <v>0</v>
      </c>
      <c r="BP215" s="144">
        <f t="shared" si="190"/>
        <v>0</v>
      </c>
      <c r="BQ215" s="144">
        <f t="shared" si="190"/>
        <v>0</v>
      </c>
      <c r="BR215" s="144">
        <f t="shared" si="190"/>
        <v>0</v>
      </c>
      <c r="BS215" s="144">
        <f t="shared" si="190"/>
        <v>0</v>
      </c>
      <c r="BT215" s="144">
        <f t="shared" si="190"/>
        <v>0</v>
      </c>
      <c r="BU215" s="144">
        <f t="shared" si="190"/>
        <v>664.5</v>
      </c>
      <c r="BV215" s="144">
        <f t="shared" si="190"/>
        <v>0</v>
      </c>
      <c r="BW215" s="144">
        <f t="shared" si="190"/>
        <v>0</v>
      </c>
      <c r="BX215" s="144">
        <f t="shared" si="190"/>
        <v>0</v>
      </c>
      <c r="BY215" s="144">
        <f t="shared" si="190"/>
        <v>666.6</v>
      </c>
      <c r="BZ215" s="144">
        <f t="shared" si="190"/>
        <v>659</v>
      </c>
      <c r="CA215" s="144">
        <f t="shared" si="190"/>
        <v>653.59999999999991</v>
      </c>
      <c r="CB215" s="144">
        <f t="shared" si="190"/>
        <v>673.5</v>
      </c>
      <c r="CC215" s="144">
        <f t="shared" si="190"/>
        <v>673</v>
      </c>
      <c r="CD215" s="144">
        <f t="shared" si="190"/>
        <v>672.9</v>
      </c>
      <c r="CE215" s="141" t="str">
        <f t="shared" si="187"/>
        <v>Total senior secured debt</v>
      </c>
      <c r="CF215" s="92"/>
      <c r="CG215" s="92"/>
    </row>
    <row r="216" spans="1:85" ht="15">
      <c r="A216" s="92" t="s">
        <v>705</v>
      </c>
      <c r="B216" s="91"/>
      <c r="C216" s="91"/>
      <c r="D216" s="91"/>
      <c r="E216" s="91"/>
      <c r="F216" s="91"/>
      <c r="G216" s="91"/>
      <c r="H216" s="91"/>
      <c r="I216" s="91"/>
      <c r="J216" s="91"/>
      <c r="K216" s="91"/>
      <c r="L216" s="91"/>
      <c r="M216" s="96">
        <v>0</v>
      </c>
      <c r="N216" s="96">
        <v>0</v>
      </c>
      <c r="O216" s="96">
        <v>0</v>
      </c>
      <c r="P216" s="96">
        <v>0</v>
      </c>
      <c r="Q216" s="96">
        <v>0</v>
      </c>
      <c r="R216" s="145">
        <f t="shared" ref="R216:Z217" si="191">Q216-R235+R247</f>
        <v>0</v>
      </c>
      <c r="S216" s="145">
        <f t="shared" si="191"/>
        <v>0</v>
      </c>
      <c r="T216" s="145">
        <f t="shared" si="191"/>
        <v>0</v>
      </c>
      <c r="U216" s="145">
        <f t="shared" si="191"/>
        <v>0</v>
      </c>
      <c r="V216" s="145">
        <f t="shared" si="191"/>
        <v>0</v>
      </c>
      <c r="W216" s="145">
        <f t="shared" si="191"/>
        <v>0</v>
      </c>
      <c r="X216" s="145">
        <f t="shared" si="191"/>
        <v>0</v>
      </c>
      <c r="Y216" s="145">
        <f t="shared" si="191"/>
        <v>0</v>
      </c>
      <c r="Z216" s="145">
        <f t="shared" si="191"/>
        <v>0</v>
      </c>
      <c r="AA216" s="92"/>
      <c r="AB216" s="92" t="s">
        <v>705</v>
      </c>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c r="BB216" s="96"/>
      <c r="BC216" s="96"/>
      <c r="BD216" s="96"/>
      <c r="BE216" s="96"/>
      <c r="BF216" s="96"/>
      <c r="BG216" s="96"/>
      <c r="BH216" s="96"/>
      <c r="BI216" s="96"/>
      <c r="BJ216" s="96"/>
      <c r="BK216" s="96"/>
      <c r="BL216" s="96"/>
      <c r="BM216" s="96"/>
      <c r="BN216" s="96"/>
      <c r="BO216" s="96"/>
      <c r="BP216" s="96"/>
      <c r="BQ216" s="96"/>
      <c r="BR216" s="96"/>
      <c r="BS216" s="96"/>
      <c r="BT216" s="96"/>
      <c r="BU216" s="96"/>
      <c r="BV216" s="96"/>
      <c r="BW216" s="96"/>
      <c r="BX216" s="96"/>
      <c r="BY216" s="96">
        <v>0</v>
      </c>
      <c r="BZ216" s="96">
        <v>0</v>
      </c>
      <c r="CA216" s="96">
        <v>0</v>
      </c>
      <c r="CB216" s="96">
        <v>0</v>
      </c>
      <c r="CC216" s="96">
        <v>0</v>
      </c>
      <c r="CD216" s="96">
        <v>0</v>
      </c>
      <c r="CE216" s="141" t="str">
        <f t="shared" si="187"/>
        <v>HY debt</v>
      </c>
      <c r="CF216" s="92"/>
      <c r="CG216" s="92"/>
    </row>
    <row r="217" spans="1:85" ht="15">
      <c r="A217" s="92" t="s">
        <v>4</v>
      </c>
      <c r="B217" s="91"/>
      <c r="C217" s="91"/>
      <c r="D217" s="91"/>
      <c r="E217" s="91"/>
      <c r="F217" s="91"/>
      <c r="G217" s="91"/>
      <c r="H217" s="91"/>
      <c r="I217" s="91"/>
      <c r="J217" s="91"/>
      <c r="K217" s="91"/>
      <c r="L217" s="91"/>
      <c r="M217" s="154">
        <v>0</v>
      </c>
      <c r="N217" s="154">
        <v>0</v>
      </c>
      <c r="O217" s="154">
        <v>0</v>
      </c>
      <c r="P217" s="154">
        <v>0</v>
      </c>
      <c r="Q217" s="154">
        <v>0</v>
      </c>
      <c r="R217" s="171">
        <f t="shared" si="191"/>
        <v>0</v>
      </c>
      <c r="S217" s="171">
        <f t="shared" si="191"/>
        <v>0</v>
      </c>
      <c r="T217" s="171">
        <f t="shared" si="191"/>
        <v>0</v>
      </c>
      <c r="U217" s="171">
        <f t="shared" si="191"/>
        <v>0</v>
      </c>
      <c r="V217" s="171">
        <f t="shared" si="191"/>
        <v>0</v>
      </c>
      <c r="W217" s="171">
        <f t="shared" si="191"/>
        <v>0</v>
      </c>
      <c r="X217" s="171">
        <f t="shared" si="191"/>
        <v>0</v>
      </c>
      <c r="Y217" s="171">
        <f t="shared" si="191"/>
        <v>0</v>
      </c>
      <c r="Z217" s="171">
        <f t="shared" si="191"/>
        <v>0</v>
      </c>
      <c r="AA217" s="92"/>
      <c r="AB217" s="92" t="s">
        <v>4</v>
      </c>
      <c r="AC217" s="172"/>
      <c r="AD217" s="172"/>
      <c r="AE217" s="172"/>
      <c r="AF217" s="172"/>
      <c r="AG217" s="172"/>
      <c r="AH217" s="172"/>
      <c r="AI217" s="172"/>
      <c r="AJ217" s="172"/>
      <c r="AK217" s="172"/>
      <c r="AL217" s="172"/>
      <c r="AM217" s="172"/>
      <c r="AN217" s="172"/>
      <c r="AO217" s="172"/>
      <c r="AP217" s="172"/>
      <c r="AQ217" s="172"/>
      <c r="AR217" s="172"/>
      <c r="AS217" s="172"/>
      <c r="AT217" s="172"/>
      <c r="AU217" s="172"/>
      <c r="AV217" s="172"/>
      <c r="AW217" s="172"/>
      <c r="AX217" s="172"/>
      <c r="AY217" s="172"/>
      <c r="AZ217" s="172"/>
      <c r="BA217" s="172"/>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v>0</v>
      </c>
      <c r="BZ217" s="154">
        <v>0</v>
      </c>
      <c r="CA217" s="154">
        <v>0</v>
      </c>
      <c r="CB217" s="154">
        <v>0</v>
      </c>
      <c r="CC217" s="154">
        <v>0</v>
      </c>
      <c r="CD217" s="154">
        <v>0</v>
      </c>
      <c r="CE217" s="141" t="str">
        <f t="shared" si="187"/>
        <v>Other</v>
      </c>
      <c r="CF217" s="92"/>
      <c r="CG217" s="92"/>
    </row>
    <row r="218" spans="1:85" ht="15">
      <c r="A218" s="92" t="s">
        <v>741</v>
      </c>
      <c r="B218" s="92"/>
      <c r="C218" s="92"/>
      <c r="D218" s="92"/>
      <c r="E218" s="92"/>
      <c r="F218" s="92"/>
      <c r="G218" s="92"/>
      <c r="H218" s="92"/>
      <c r="I218" s="92"/>
      <c r="J218" s="92"/>
      <c r="K218" s="92"/>
      <c r="L218" s="92"/>
      <c r="M218" s="144">
        <f>SUM(M215:M217)</f>
        <v>664.5</v>
      </c>
      <c r="N218" s="144">
        <f>SUM(N215:N217)</f>
        <v>666.6</v>
      </c>
      <c r="O218" s="144">
        <f>SUM(O215:O217)</f>
        <v>673</v>
      </c>
      <c r="P218" s="144">
        <f t="shared" ref="P218:Z218" si="192">SUM(P215:P217)</f>
        <v>934.5</v>
      </c>
      <c r="Q218" s="144">
        <f t="shared" si="192"/>
        <v>927.40000000000009</v>
      </c>
      <c r="R218" s="144">
        <f t="shared" si="192"/>
        <v>927.40000000000009</v>
      </c>
      <c r="S218" s="144">
        <f t="shared" si="192"/>
        <v>927.40000000000009</v>
      </c>
      <c r="T218" s="144">
        <f t="shared" si="192"/>
        <v>927.40000000000009</v>
      </c>
      <c r="U218" s="144">
        <f t="shared" si="192"/>
        <v>927.40000000000009</v>
      </c>
      <c r="V218" s="144">
        <f t="shared" si="192"/>
        <v>927.40000000000009</v>
      </c>
      <c r="W218" s="144">
        <f t="shared" si="192"/>
        <v>647.40000000000009</v>
      </c>
      <c r="X218" s="144">
        <f t="shared" si="192"/>
        <v>505.40000000000003</v>
      </c>
      <c r="Y218" s="144">
        <f t="shared" si="192"/>
        <v>505.40000000000003</v>
      </c>
      <c r="Z218" s="144">
        <f t="shared" si="192"/>
        <v>505.40000000000003</v>
      </c>
      <c r="AA218" s="92"/>
      <c r="AB218" s="92" t="s">
        <v>741</v>
      </c>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144">
        <f t="shared" ref="BB218:CC218" si="193">SUM(BB215:BB217)</f>
        <v>0</v>
      </c>
      <c r="BC218" s="144">
        <f t="shared" si="193"/>
        <v>0</v>
      </c>
      <c r="BD218" s="144">
        <f t="shared" si="193"/>
        <v>0</v>
      </c>
      <c r="BE218" s="144">
        <f t="shared" si="193"/>
        <v>0</v>
      </c>
      <c r="BF218" s="144">
        <f t="shared" si="193"/>
        <v>0</v>
      </c>
      <c r="BG218" s="144">
        <f t="shared" si="193"/>
        <v>0</v>
      </c>
      <c r="BH218" s="144">
        <f t="shared" si="193"/>
        <v>0</v>
      </c>
      <c r="BI218" s="144">
        <f t="shared" si="193"/>
        <v>0</v>
      </c>
      <c r="BJ218" s="144">
        <f t="shared" si="193"/>
        <v>0</v>
      </c>
      <c r="BK218" s="144">
        <f t="shared" si="193"/>
        <v>0</v>
      </c>
      <c r="BL218" s="144">
        <f t="shared" si="193"/>
        <v>0</v>
      </c>
      <c r="BM218" s="144">
        <f t="shared" si="193"/>
        <v>0</v>
      </c>
      <c r="BN218" s="144">
        <f t="shared" si="193"/>
        <v>0</v>
      </c>
      <c r="BO218" s="144">
        <f t="shared" si="193"/>
        <v>0</v>
      </c>
      <c r="BP218" s="144">
        <f t="shared" si="193"/>
        <v>0</v>
      </c>
      <c r="BQ218" s="144">
        <f t="shared" si="193"/>
        <v>0</v>
      </c>
      <c r="BR218" s="144">
        <f t="shared" si="193"/>
        <v>0</v>
      </c>
      <c r="BS218" s="144">
        <f t="shared" si="193"/>
        <v>0</v>
      </c>
      <c r="BT218" s="144">
        <f t="shared" si="193"/>
        <v>0</v>
      </c>
      <c r="BU218" s="144">
        <f t="shared" si="193"/>
        <v>664.5</v>
      </c>
      <c r="BV218" s="144">
        <f t="shared" si="193"/>
        <v>0</v>
      </c>
      <c r="BW218" s="144">
        <f t="shared" si="193"/>
        <v>0</v>
      </c>
      <c r="BX218" s="144">
        <f t="shared" si="193"/>
        <v>0</v>
      </c>
      <c r="BY218" s="144">
        <f t="shared" si="193"/>
        <v>666.6</v>
      </c>
      <c r="BZ218" s="144">
        <f t="shared" si="193"/>
        <v>659</v>
      </c>
      <c r="CA218" s="144">
        <f t="shared" si="193"/>
        <v>653.59999999999991</v>
      </c>
      <c r="CB218" s="144">
        <f t="shared" si="193"/>
        <v>673.5</v>
      </c>
      <c r="CC218" s="144">
        <f t="shared" si="193"/>
        <v>673</v>
      </c>
      <c r="CD218" s="144">
        <f>SUM(CD215:CD217)</f>
        <v>672.9</v>
      </c>
      <c r="CE218" s="141" t="str">
        <f t="shared" si="187"/>
        <v>Total debt</v>
      </c>
      <c r="CF218" s="92"/>
      <c r="CG218" s="92"/>
    </row>
    <row r="219" spans="1:85" ht="15">
      <c r="A219" s="92" t="s">
        <v>707</v>
      </c>
      <c r="B219" s="92"/>
      <c r="C219" s="92"/>
      <c r="D219" s="92"/>
      <c r="E219" s="92"/>
      <c r="F219" s="92"/>
      <c r="G219" s="92"/>
      <c r="H219" s="92"/>
      <c r="I219" s="92"/>
      <c r="J219" s="92"/>
      <c r="K219" s="92"/>
      <c r="L219" s="92"/>
      <c r="M219" s="154">
        <v>2.4</v>
      </c>
      <c r="N219" s="154">
        <v>9.5</v>
      </c>
      <c r="O219" s="154">
        <f>O179</f>
        <v>21.9</v>
      </c>
      <c r="P219" s="154">
        <f>P179</f>
        <v>65.7</v>
      </c>
      <c r="Q219" s="154">
        <f t="shared" ref="Q219:Z219" si="194">Q179</f>
        <v>78.5</v>
      </c>
      <c r="R219" s="171">
        <f t="shared" ca="1" si="194"/>
        <v>10.955432167663247</v>
      </c>
      <c r="S219" s="171">
        <f t="shared" ca="1" si="194"/>
        <v>-79.559171672314392</v>
      </c>
      <c r="T219" s="171">
        <f t="shared" ca="1" si="194"/>
        <v>59.964299023188801</v>
      </c>
      <c r="U219" s="171">
        <f t="shared" ca="1" si="194"/>
        <v>92.973454019768027</v>
      </c>
      <c r="V219" s="171">
        <f t="shared" ca="1" si="194"/>
        <v>131.66430648240873</v>
      </c>
      <c r="W219" s="171">
        <f t="shared" ca="1" si="194"/>
        <v>-90.177121650843105</v>
      </c>
      <c r="X219" s="171">
        <f t="shared" ca="1" si="194"/>
        <v>-157.76046373809754</v>
      </c>
      <c r="Y219" s="171">
        <f t="shared" ca="1" si="194"/>
        <v>-76.751972043981937</v>
      </c>
      <c r="Z219" s="171">
        <f t="shared" ca="1" si="194"/>
        <v>5.9178289479841908</v>
      </c>
      <c r="AA219" s="92"/>
      <c r="AB219" s="92" t="s">
        <v>707</v>
      </c>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v>2.4</v>
      </c>
      <c r="BV219" s="154"/>
      <c r="BW219" s="154"/>
      <c r="BX219" s="154"/>
      <c r="BY219" s="154">
        <v>9.5</v>
      </c>
      <c r="BZ219" s="154">
        <v>8.9</v>
      </c>
      <c r="CA219" s="154">
        <v>1.5</v>
      </c>
      <c r="CB219" s="154">
        <v>11.5</v>
      </c>
      <c r="CC219" s="154">
        <v>21.9</v>
      </c>
      <c r="CD219" s="154">
        <v>30.2</v>
      </c>
      <c r="CE219" s="141" t="str">
        <f t="shared" si="187"/>
        <v>Cash</v>
      </c>
      <c r="CF219" s="92"/>
      <c r="CG219" s="92"/>
    </row>
    <row r="220" spans="1:85" ht="15">
      <c r="A220" s="92" t="s">
        <v>708</v>
      </c>
      <c r="B220" s="92"/>
      <c r="C220" s="92"/>
      <c r="D220" s="92"/>
      <c r="E220" s="92"/>
      <c r="F220" s="92"/>
      <c r="G220" s="92"/>
      <c r="H220" s="92"/>
      <c r="I220" s="92"/>
      <c r="J220" s="92"/>
      <c r="K220" s="92"/>
      <c r="L220" s="92"/>
      <c r="M220" s="144">
        <f t="shared" ref="M220:Z220" si="195">M218-M219</f>
        <v>662.1</v>
      </c>
      <c r="N220" s="144">
        <f t="shared" si="195"/>
        <v>657.1</v>
      </c>
      <c r="O220" s="144">
        <f t="shared" si="195"/>
        <v>651.1</v>
      </c>
      <c r="P220" s="144">
        <f t="shared" si="195"/>
        <v>868.8</v>
      </c>
      <c r="Q220" s="144">
        <f t="shared" si="195"/>
        <v>848.90000000000009</v>
      </c>
      <c r="R220" s="144">
        <f t="shared" ca="1" si="195"/>
        <v>916.44456783233682</v>
      </c>
      <c r="S220" s="144">
        <f t="shared" ca="1" si="195"/>
        <v>1006.9591716723145</v>
      </c>
      <c r="T220" s="144">
        <f t="shared" ca="1" si="195"/>
        <v>867.43570097681129</v>
      </c>
      <c r="U220" s="144">
        <f t="shared" ca="1" si="195"/>
        <v>834.42654598023205</v>
      </c>
      <c r="V220" s="144">
        <f t="shared" ca="1" si="195"/>
        <v>795.73569351759136</v>
      </c>
      <c r="W220" s="144">
        <f t="shared" ca="1" si="195"/>
        <v>737.5771216508432</v>
      </c>
      <c r="X220" s="144">
        <f t="shared" ca="1" si="195"/>
        <v>663.16046373809763</v>
      </c>
      <c r="Y220" s="144">
        <f t="shared" ca="1" si="195"/>
        <v>582.15197204398191</v>
      </c>
      <c r="Z220" s="144">
        <f t="shared" ca="1" si="195"/>
        <v>499.48217105201581</v>
      </c>
      <c r="AA220" s="92"/>
      <c r="AB220" s="92" t="s">
        <v>708</v>
      </c>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144">
        <f t="shared" ref="BB220:CD220" si="196">BB218-BB219</f>
        <v>0</v>
      </c>
      <c r="BC220" s="144">
        <f t="shared" si="196"/>
        <v>0</v>
      </c>
      <c r="BD220" s="144">
        <f t="shared" si="196"/>
        <v>0</v>
      </c>
      <c r="BE220" s="144">
        <f t="shared" si="196"/>
        <v>0</v>
      </c>
      <c r="BF220" s="144">
        <f t="shared" si="196"/>
        <v>0</v>
      </c>
      <c r="BG220" s="144">
        <f t="shared" si="196"/>
        <v>0</v>
      </c>
      <c r="BH220" s="144">
        <f t="shared" si="196"/>
        <v>0</v>
      </c>
      <c r="BI220" s="144">
        <f t="shared" si="196"/>
        <v>0</v>
      </c>
      <c r="BJ220" s="144">
        <f t="shared" si="196"/>
        <v>0</v>
      </c>
      <c r="BK220" s="144">
        <f t="shared" si="196"/>
        <v>0</v>
      </c>
      <c r="BL220" s="144">
        <f t="shared" si="196"/>
        <v>0</v>
      </c>
      <c r="BM220" s="144">
        <f t="shared" si="196"/>
        <v>0</v>
      </c>
      <c r="BN220" s="144">
        <f t="shared" si="196"/>
        <v>0</v>
      </c>
      <c r="BO220" s="144">
        <f t="shared" si="196"/>
        <v>0</v>
      </c>
      <c r="BP220" s="144">
        <f t="shared" si="196"/>
        <v>0</v>
      </c>
      <c r="BQ220" s="144">
        <f t="shared" si="196"/>
        <v>0</v>
      </c>
      <c r="BR220" s="144">
        <f t="shared" si="196"/>
        <v>0</v>
      </c>
      <c r="BS220" s="144">
        <f t="shared" si="196"/>
        <v>0</v>
      </c>
      <c r="BT220" s="144">
        <f t="shared" si="196"/>
        <v>0</v>
      </c>
      <c r="BU220" s="144">
        <f t="shared" si="196"/>
        <v>662.1</v>
      </c>
      <c r="BV220" s="144">
        <f t="shared" si="196"/>
        <v>0</v>
      </c>
      <c r="BW220" s="144">
        <f t="shared" si="196"/>
        <v>0</v>
      </c>
      <c r="BX220" s="144">
        <f t="shared" si="196"/>
        <v>0</v>
      </c>
      <c r="BY220" s="144">
        <f t="shared" si="196"/>
        <v>657.1</v>
      </c>
      <c r="BZ220" s="144">
        <f t="shared" si="196"/>
        <v>650.1</v>
      </c>
      <c r="CA220" s="144">
        <f t="shared" si="196"/>
        <v>652.09999999999991</v>
      </c>
      <c r="CB220" s="144">
        <f t="shared" si="196"/>
        <v>662</v>
      </c>
      <c r="CC220" s="144">
        <f t="shared" si="196"/>
        <v>651.1</v>
      </c>
      <c r="CD220" s="144">
        <f t="shared" si="196"/>
        <v>642.69999999999993</v>
      </c>
      <c r="CE220" s="141" t="str">
        <f t="shared" si="187"/>
        <v>Total third party net debt</v>
      </c>
      <c r="CF220" s="92"/>
      <c r="CG220" s="92"/>
    </row>
    <row r="221" spans="1:85" ht="15">
      <c r="A221" s="92" t="s">
        <v>709</v>
      </c>
      <c r="B221" s="92"/>
      <c r="C221" s="92"/>
      <c r="D221" s="92"/>
      <c r="E221" s="92"/>
      <c r="F221" s="92"/>
      <c r="G221" s="92"/>
      <c r="H221" s="92"/>
      <c r="I221" s="92"/>
      <c r="J221" s="92"/>
      <c r="K221" s="92"/>
      <c r="L221" s="92"/>
      <c r="M221" s="96">
        <v>10</v>
      </c>
      <c r="N221" s="96">
        <v>13.3</v>
      </c>
      <c r="O221" s="96">
        <v>14.5</v>
      </c>
      <c r="P221" s="96">
        <v>16</v>
      </c>
      <c r="Q221" s="96">
        <v>0</v>
      </c>
      <c r="R221" s="145">
        <f t="shared" ref="R221:Z221" si="197">Q221-R237+R249</f>
        <v>0</v>
      </c>
      <c r="S221" s="145">
        <f t="shared" si="197"/>
        <v>0</v>
      </c>
      <c r="T221" s="145">
        <f t="shared" si="197"/>
        <v>0</v>
      </c>
      <c r="U221" s="145">
        <f t="shared" si="197"/>
        <v>0</v>
      </c>
      <c r="V221" s="145">
        <f t="shared" si="197"/>
        <v>0</v>
      </c>
      <c r="W221" s="145">
        <f t="shared" si="197"/>
        <v>0</v>
      </c>
      <c r="X221" s="145">
        <f t="shared" si="197"/>
        <v>0</v>
      </c>
      <c r="Y221" s="145">
        <f t="shared" si="197"/>
        <v>0</v>
      </c>
      <c r="Z221" s="145">
        <f t="shared" si="197"/>
        <v>0</v>
      </c>
      <c r="AA221" s="92"/>
      <c r="AB221" s="92" t="s">
        <v>709</v>
      </c>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0"/>
      <c r="AY221" s="110"/>
      <c r="AZ221" s="110"/>
      <c r="BA221" s="110"/>
      <c r="BB221" s="96"/>
      <c r="BC221" s="96"/>
      <c r="BD221" s="96"/>
      <c r="BE221" s="96"/>
      <c r="BF221" s="96"/>
      <c r="BG221" s="96"/>
      <c r="BH221" s="96"/>
      <c r="BI221" s="96"/>
      <c r="BJ221" s="96"/>
      <c r="BK221" s="96"/>
      <c r="BL221" s="96"/>
      <c r="BM221" s="96"/>
      <c r="BN221" s="96"/>
      <c r="BO221" s="96"/>
      <c r="BP221" s="96"/>
      <c r="BQ221" s="96"/>
      <c r="BR221" s="96"/>
      <c r="BS221" s="96"/>
      <c r="BT221" s="96"/>
      <c r="BU221" s="96">
        <v>10</v>
      </c>
      <c r="BV221" s="96"/>
      <c r="BW221" s="96"/>
      <c r="BX221" s="96"/>
      <c r="BY221" s="96">
        <v>13.3</v>
      </c>
      <c r="BZ221" s="96">
        <v>13.3</v>
      </c>
      <c r="CA221" s="96">
        <v>13.3</v>
      </c>
      <c r="CB221" s="96">
        <v>13.3</v>
      </c>
      <c r="CC221" s="96">
        <v>14.5</v>
      </c>
      <c r="CD221" s="96">
        <v>16</v>
      </c>
      <c r="CE221" s="141" t="str">
        <f t="shared" si="187"/>
        <v>Related party debt</v>
      </c>
      <c r="CF221" s="92"/>
      <c r="CG221" s="92"/>
    </row>
    <row r="222" spans="1:85" ht="15">
      <c r="A222" s="92" t="s">
        <v>710</v>
      </c>
      <c r="B222" s="92"/>
      <c r="C222" s="92"/>
      <c r="D222" s="92"/>
      <c r="E222" s="92"/>
      <c r="F222" s="92"/>
      <c r="G222" s="92"/>
      <c r="H222" s="92"/>
      <c r="I222" s="92"/>
      <c r="J222" s="92"/>
      <c r="K222" s="92"/>
      <c r="L222" s="92"/>
      <c r="M222" s="144">
        <f>M220+M221</f>
        <v>672.1</v>
      </c>
      <c r="N222" s="144">
        <f t="shared" ref="N222:Z222" si="198">N220+N221</f>
        <v>670.4</v>
      </c>
      <c r="O222" s="144">
        <f t="shared" si="198"/>
        <v>665.6</v>
      </c>
      <c r="P222" s="144">
        <f t="shared" si="198"/>
        <v>884.8</v>
      </c>
      <c r="Q222" s="144">
        <f t="shared" si="198"/>
        <v>848.90000000000009</v>
      </c>
      <c r="R222" s="144">
        <f t="shared" ca="1" si="198"/>
        <v>916.44456783233682</v>
      </c>
      <c r="S222" s="144">
        <f t="shared" ca="1" si="198"/>
        <v>1006.9591716723145</v>
      </c>
      <c r="T222" s="144">
        <f t="shared" ca="1" si="198"/>
        <v>867.43570097681129</v>
      </c>
      <c r="U222" s="144">
        <f t="shared" ca="1" si="198"/>
        <v>834.42654598023205</v>
      </c>
      <c r="V222" s="144">
        <f t="shared" ca="1" si="198"/>
        <v>795.73569351759136</v>
      </c>
      <c r="W222" s="144">
        <f t="shared" ca="1" si="198"/>
        <v>737.5771216508432</v>
      </c>
      <c r="X222" s="144">
        <f t="shared" ca="1" si="198"/>
        <v>663.16046373809763</v>
      </c>
      <c r="Y222" s="144">
        <f t="shared" ca="1" si="198"/>
        <v>582.15197204398191</v>
      </c>
      <c r="Z222" s="144">
        <f t="shared" ca="1" si="198"/>
        <v>499.48217105201581</v>
      </c>
      <c r="AA222" s="92"/>
      <c r="AB222" s="92" t="s">
        <v>710</v>
      </c>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144">
        <f t="shared" ref="BB222:CD222" si="199">BB220+BB221</f>
        <v>0</v>
      </c>
      <c r="BC222" s="144">
        <f t="shared" si="199"/>
        <v>0</v>
      </c>
      <c r="BD222" s="144">
        <f t="shared" si="199"/>
        <v>0</v>
      </c>
      <c r="BE222" s="144">
        <f t="shared" si="199"/>
        <v>0</v>
      </c>
      <c r="BF222" s="144">
        <f t="shared" si="199"/>
        <v>0</v>
      </c>
      <c r="BG222" s="144">
        <f t="shared" si="199"/>
        <v>0</v>
      </c>
      <c r="BH222" s="144">
        <f t="shared" si="199"/>
        <v>0</v>
      </c>
      <c r="BI222" s="144">
        <f t="shared" si="199"/>
        <v>0</v>
      </c>
      <c r="BJ222" s="144">
        <f t="shared" si="199"/>
        <v>0</v>
      </c>
      <c r="BK222" s="144">
        <f t="shared" si="199"/>
        <v>0</v>
      </c>
      <c r="BL222" s="144">
        <f t="shared" si="199"/>
        <v>0</v>
      </c>
      <c r="BM222" s="144">
        <f t="shared" si="199"/>
        <v>0</v>
      </c>
      <c r="BN222" s="144">
        <f t="shared" si="199"/>
        <v>0</v>
      </c>
      <c r="BO222" s="144">
        <f t="shared" si="199"/>
        <v>0</v>
      </c>
      <c r="BP222" s="144">
        <f t="shared" si="199"/>
        <v>0</v>
      </c>
      <c r="BQ222" s="144">
        <f t="shared" si="199"/>
        <v>0</v>
      </c>
      <c r="BR222" s="144">
        <f t="shared" si="199"/>
        <v>0</v>
      </c>
      <c r="BS222" s="144">
        <f t="shared" si="199"/>
        <v>0</v>
      </c>
      <c r="BT222" s="144">
        <f t="shared" si="199"/>
        <v>0</v>
      </c>
      <c r="BU222" s="144">
        <f t="shared" si="199"/>
        <v>672.1</v>
      </c>
      <c r="BV222" s="144">
        <f t="shared" si="199"/>
        <v>0</v>
      </c>
      <c r="BW222" s="144">
        <f t="shared" si="199"/>
        <v>0</v>
      </c>
      <c r="BX222" s="144">
        <f t="shared" si="199"/>
        <v>0</v>
      </c>
      <c r="BY222" s="144">
        <f t="shared" si="199"/>
        <v>670.4</v>
      </c>
      <c r="BZ222" s="144">
        <f t="shared" si="199"/>
        <v>663.4</v>
      </c>
      <c r="CA222" s="144">
        <f t="shared" si="199"/>
        <v>665.39999999999986</v>
      </c>
      <c r="CB222" s="144">
        <f t="shared" si="199"/>
        <v>675.3</v>
      </c>
      <c r="CC222" s="144">
        <f t="shared" si="199"/>
        <v>665.6</v>
      </c>
      <c r="CD222" s="144">
        <f t="shared" si="199"/>
        <v>658.69999999999993</v>
      </c>
      <c r="CE222" s="141" t="str">
        <f t="shared" si="187"/>
        <v>Total net debt</v>
      </c>
      <c r="CF222" s="92"/>
      <c r="CG222" s="92"/>
    </row>
    <row r="223" spans="1:85" ht="15">
      <c r="A223" s="92" t="s">
        <v>711</v>
      </c>
      <c r="B223" s="92"/>
      <c r="C223" s="92"/>
      <c r="D223" s="92"/>
      <c r="E223" s="92"/>
      <c r="F223" s="92"/>
      <c r="G223" s="92"/>
      <c r="H223" s="92"/>
      <c r="I223" s="92"/>
      <c r="J223" s="92"/>
      <c r="K223" s="92"/>
      <c r="L223" s="92"/>
      <c r="M223" s="144">
        <f>M222+M219</f>
        <v>674.5</v>
      </c>
      <c r="N223" s="144">
        <f t="shared" ref="N223:Z223" si="200">N222+N219</f>
        <v>679.9</v>
      </c>
      <c r="O223" s="144">
        <f t="shared" si="200"/>
        <v>687.5</v>
      </c>
      <c r="P223" s="144">
        <f t="shared" si="200"/>
        <v>950.5</v>
      </c>
      <c r="Q223" s="144">
        <f t="shared" si="200"/>
        <v>927.40000000000009</v>
      </c>
      <c r="R223" s="144">
        <f t="shared" ca="1" si="200"/>
        <v>927.40000000000009</v>
      </c>
      <c r="S223" s="144">
        <f t="shared" ca="1" si="200"/>
        <v>927.40000000000009</v>
      </c>
      <c r="T223" s="144">
        <f t="shared" ca="1" si="200"/>
        <v>927.40000000000009</v>
      </c>
      <c r="U223" s="144">
        <f t="shared" ca="1" si="200"/>
        <v>927.40000000000009</v>
      </c>
      <c r="V223" s="144">
        <f t="shared" ca="1" si="200"/>
        <v>927.40000000000009</v>
      </c>
      <c r="W223" s="144">
        <f t="shared" ca="1" si="200"/>
        <v>647.40000000000009</v>
      </c>
      <c r="X223" s="144">
        <f t="shared" ca="1" si="200"/>
        <v>505.40000000000009</v>
      </c>
      <c r="Y223" s="144">
        <f t="shared" ca="1" si="200"/>
        <v>505.4</v>
      </c>
      <c r="Z223" s="144">
        <f t="shared" ca="1" si="200"/>
        <v>505.4</v>
      </c>
      <c r="AA223" s="92"/>
      <c r="AB223" s="92" t="s">
        <v>711</v>
      </c>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144">
        <f t="shared" ref="BB223:CD223" si="201">BB218+BB221</f>
        <v>0</v>
      </c>
      <c r="BC223" s="144">
        <f t="shared" si="201"/>
        <v>0</v>
      </c>
      <c r="BD223" s="144">
        <f t="shared" si="201"/>
        <v>0</v>
      </c>
      <c r="BE223" s="144">
        <f t="shared" si="201"/>
        <v>0</v>
      </c>
      <c r="BF223" s="144">
        <f t="shared" si="201"/>
        <v>0</v>
      </c>
      <c r="BG223" s="144">
        <f t="shared" si="201"/>
        <v>0</v>
      </c>
      <c r="BH223" s="144">
        <f t="shared" si="201"/>
        <v>0</v>
      </c>
      <c r="BI223" s="144">
        <f t="shared" si="201"/>
        <v>0</v>
      </c>
      <c r="BJ223" s="144">
        <f t="shared" si="201"/>
        <v>0</v>
      </c>
      <c r="BK223" s="144">
        <f t="shared" si="201"/>
        <v>0</v>
      </c>
      <c r="BL223" s="144">
        <f t="shared" si="201"/>
        <v>0</v>
      </c>
      <c r="BM223" s="144">
        <f t="shared" si="201"/>
        <v>0</v>
      </c>
      <c r="BN223" s="144">
        <f t="shared" si="201"/>
        <v>0</v>
      </c>
      <c r="BO223" s="144">
        <f t="shared" si="201"/>
        <v>0</v>
      </c>
      <c r="BP223" s="144">
        <f t="shared" si="201"/>
        <v>0</v>
      </c>
      <c r="BQ223" s="144">
        <f t="shared" si="201"/>
        <v>0</v>
      </c>
      <c r="BR223" s="144">
        <f t="shared" si="201"/>
        <v>0</v>
      </c>
      <c r="BS223" s="144">
        <f t="shared" si="201"/>
        <v>0</v>
      </c>
      <c r="BT223" s="144">
        <f t="shared" si="201"/>
        <v>0</v>
      </c>
      <c r="BU223" s="144">
        <f t="shared" si="201"/>
        <v>674.5</v>
      </c>
      <c r="BV223" s="144">
        <f t="shared" si="201"/>
        <v>0</v>
      </c>
      <c r="BW223" s="144">
        <f t="shared" si="201"/>
        <v>0</v>
      </c>
      <c r="BX223" s="144">
        <f t="shared" si="201"/>
        <v>0</v>
      </c>
      <c r="BY223" s="144">
        <f t="shared" si="201"/>
        <v>679.9</v>
      </c>
      <c r="BZ223" s="144">
        <f t="shared" si="201"/>
        <v>672.3</v>
      </c>
      <c r="CA223" s="144">
        <f t="shared" si="201"/>
        <v>666.89999999999986</v>
      </c>
      <c r="CB223" s="144">
        <f t="shared" si="201"/>
        <v>686.8</v>
      </c>
      <c r="CC223" s="144">
        <f t="shared" si="201"/>
        <v>687.5</v>
      </c>
      <c r="CD223" s="144">
        <f t="shared" si="201"/>
        <v>688.9</v>
      </c>
      <c r="CE223" s="141" t="str">
        <f t="shared" si="187"/>
        <v>Total gross debt</v>
      </c>
      <c r="CF223" s="92"/>
      <c r="CG223" s="92"/>
    </row>
    <row r="224" spans="1:85" ht="15">
      <c r="A224" s="92"/>
      <c r="B224" s="92"/>
      <c r="C224" s="92"/>
      <c r="D224" s="92"/>
      <c r="E224" s="92"/>
      <c r="F224" s="92"/>
      <c r="G224" s="92"/>
      <c r="H224" s="92"/>
      <c r="I224" s="92"/>
      <c r="J224" s="92"/>
      <c r="K224" s="92"/>
      <c r="L224" s="92"/>
      <c r="M224" s="144"/>
      <c r="N224" s="144"/>
      <c r="O224" s="144"/>
      <c r="P224" s="92"/>
      <c r="Q224" s="92"/>
      <c r="R224" s="92"/>
      <c r="S224" s="92"/>
      <c r="T224" s="92"/>
      <c r="U224" s="92"/>
      <c r="V224" s="92"/>
      <c r="W224" s="92"/>
      <c r="X224" s="92"/>
      <c r="Y224" s="92"/>
      <c r="Z224" s="92"/>
      <c r="AA224" s="92"/>
      <c r="AB224" s="92"/>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1"/>
      <c r="CF224" s="92"/>
      <c r="CG224" s="92"/>
    </row>
    <row r="225" spans="1:85" ht="15">
      <c r="A225" s="92"/>
      <c r="B225" s="92"/>
      <c r="C225" s="92"/>
      <c r="D225" s="92"/>
      <c r="E225" s="92"/>
      <c r="F225" s="92"/>
      <c r="G225" s="92"/>
      <c r="H225" s="92"/>
      <c r="I225" s="92"/>
      <c r="J225" s="92"/>
      <c r="K225" s="92"/>
      <c r="L225" s="92"/>
      <c r="M225" s="144"/>
      <c r="N225" s="144"/>
      <c r="O225" s="144"/>
      <c r="P225" s="92"/>
      <c r="Q225" s="92"/>
      <c r="R225" s="92"/>
      <c r="S225" s="92"/>
      <c r="T225" s="92"/>
      <c r="U225" s="92"/>
      <c r="V225" s="92"/>
      <c r="W225" s="92"/>
      <c r="X225" s="92"/>
      <c r="Y225" s="92"/>
      <c r="Z225" s="92"/>
      <c r="AA225" s="92"/>
      <c r="AB225" s="92"/>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144"/>
      <c r="BC225" s="144"/>
      <c r="BD225" s="144"/>
      <c r="BE225" s="144"/>
      <c r="BF225" s="144"/>
      <c r="BG225" s="144"/>
      <c r="BH225" s="144"/>
      <c r="BI225" s="144"/>
      <c r="BJ225" s="144"/>
      <c r="BK225" s="144"/>
      <c r="BL225" s="144"/>
      <c r="BM225" s="144"/>
      <c r="BN225" s="144"/>
      <c r="BO225" s="144"/>
      <c r="BP225" s="144"/>
      <c r="BQ225" s="144"/>
      <c r="BR225" s="144"/>
      <c r="BS225" s="144"/>
      <c r="BT225" s="144"/>
      <c r="BU225" s="144"/>
      <c r="BV225" s="144"/>
      <c r="BW225" s="144"/>
      <c r="BX225" s="144"/>
      <c r="BY225" s="144"/>
      <c r="BZ225" s="144"/>
      <c r="CA225" s="144"/>
      <c r="CB225" s="144"/>
      <c r="CC225" s="144"/>
      <c r="CD225" s="144"/>
      <c r="CE225" s="91"/>
      <c r="CF225" s="92"/>
      <c r="CG225" s="92"/>
    </row>
    <row r="226" spans="1:85" ht="15">
      <c r="A226" s="92" t="s">
        <v>712</v>
      </c>
      <c r="B226" s="92"/>
      <c r="C226" s="92"/>
      <c r="D226" s="92"/>
      <c r="E226" s="92"/>
      <c r="F226" s="92"/>
      <c r="G226" s="92"/>
      <c r="H226" s="92"/>
      <c r="I226" s="92"/>
      <c r="J226" s="92"/>
      <c r="K226" s="92"/>
      <c r="L226" s="92"/>
      <c r="M226" s="173">
        <f t="shared" ref="M226:Z226" si="202">M222/M115</f>
        <v>12.705103969754255</v>
      </c>
      <c r="N226" s="173">
        <f t="shared" si="202"/>
        <v>6.2479030754892815</v>
      </c>
      <c r="O226" s="173">
        <f t="shared" si="202"/>
        <v>5.1757387247278377</v>
      </c>
      <c r="P226" s="173">
        <f t="shared" si="202"/>
        <v>5.3301204819277102</v>
      </c>
      <c r="Q226" s="173">
        <f t="shared" si="202"/>
        <v>4.2701207243460768</v>
      </c>
      <c r="R226" s="173">
        <f t="shared" ca="1" si="202"/>
        <v>6.8905606603935095</v>
      </c>
      <c r="S226" s="173">
        <f t="shared" ca="1" si="202"/>
        <v>7.5199891770757521</v>
      </c>
      <c r="T226" s="173">
        <f t="shared" ca="1" si="202"/>
        <v>4.9429482029189478</v>
      </c>
      <c r="U226" s="173">
        <f t="shared" ca="1" si="202"/>
        <v>4.6657200689154452</v>
      </c>
      <c r="V226" s="173">
        <f t="shared" ca="1" si="202"/>
        <v>4.2755780633867477</v>
      </c>
      <c r="W226" s="173">
        <f t="shared" ca="1" si="202"/>
        <v>3.8137838688301802</v>
      </c>
      <c r="X226" s="173">
        <f t="shared" ca="1" si="202"/>
        <v>3.3745666611671421</v>
      </c>
      <c r="Y226" s="173">
        <f t="shared" ca="1" si="202"/>
        <v>2.9177195344617992</v>
      </c>
      <c r="Z226" s="173">
        <f t="shared" ca="1" si="202"/>
        <v>2.4675354106867502</v>
      </c>
      <c r="AA226" s="92"/>
      <c r="AB226" s="92" t="s">
        <v>8</v>
      </c>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144">
        <f t="shared" ref="BB226:CD226" si="203">BB115</f>
        <v>0</v>
      </c>
      <c r="BC226" s="144">
        <f t="shared" si="203"/>
        <v>0</v>
      </c>
      <c r="BD226" s="144">
        <f t="shared" si="203"/>
        <v>0</v>
      </c>
      <c r="BE226" s="144">
        <f t="shared" si="203"/>
        <v>0</v>
      </c>
      <c r="BF226" s="144">
        <f t="shared" si="203"/>
        <v>0</v>
      </c>
      <c r="BG226" s="144">
        <f t="shared" si="203"/>
        <v>0</v>
      </c>
      <c r="BH226" s="144">
        <f t="shared" si="203"/>
        <v>0</v>
      </c>
      <c r="BI226" s="144">
        <f t="shared" si="203"/>
        <v>0</v>
      </c>
      <c r="BJ226" s="144">
        <f t="shared" si="203"/>
        <v>0</v>
      </c>
      <c r="BK226" s="144">
        <f t="shared" si="203"/>
        <v>0</v>
      </c>
      <c r="BL226" s="144">
        <f t="shared" si="203"/>
        <v>0</v>
      </c>
      <c r="BM226" s="144">
        <f t="shared" si="203"/>
        <v>0</v>
      </c>
      <c r="BN226" s="144">
        <f t="shared" si="203"/>
        <v>0</v>
      </c>
      <c r="BO226" s="144">
        <f t="shared" si="203"/>
        <v>0</v>
      </c>
      <c r="BP226" s="144">
        <f t="shared" si="203"/>
        <v>0</v>
      </c>
      <c r="BQ226" s="144">
        <f t="shared" si="203"/>
        <v>0</v>
      </c>
      <c r="BR226" s="144">
        <f t="shared" si="203"/>
        <v>11</v>
      </c>
      <c r="BS226" s="144">
        <f t="shared" si="203"/>
        <v>11.5</v>
      </c>
      <c r="BT226" s="144">
        <f t="shared" si="203"/>
        <v>11</v>
      </c>
      <c r="BU226" s="144">
        <f t="shared" si="203"/>
        <v>19.399999999999999</v>
      </c>
      <c r="BV226" s="144">
        <f t="shared" si="203"/>
        <v>23.5</v>
      </c>
      <c r="BW226" s="144">
        <f t="shared" si="203"/>
        <v>23.9</v>
      </c>
      <c r="BX226" s="144">
        <f t="shared" si="203"/>
        <v>27.099999999999998</v>
      </c>
      <c r="BY226" s="144">
        <f t="shared" si="203"/>
        <v>32.800000000000018</v>
      </c>
      <c r="BZ226" s="144">
        <f t="shared" si="203"/>
        <v>29.2</v>
      </c>
      <c r="CA226" s="144">
        <f t="shared" si="203"/>
        <v>33.299999999999997</v>
      </c>
      <c r="CB226" s="144">
        <f t="shared" si="203"/>
        <v>32.799999999999997</v>
      </c>
      <c r="CC226" s="144">
        <f t="shared" si="203"/>
        <v>33.300000000000026</v>
      </c>
      <c r="CD226" s="144">
        <f t="shared" si="203"/>
        <v>33.299999999999997</v>
      </c>
      <c r="CE226" s="141" t="str">
        <f>AB226</f>
        <v>EBITDA</v>
      </c>
      <c r="CF226" s="92"/>
      <c r="CG226" s="92"/>
    </row>
    <row r="227" spans="1:85" ht="15">
      <c r="A227" s="92" t="s">
        <v>713</v>
      </c>
      <c r="B227" s="92"/>
      <c r="C227" s="92"/>
      <c r="D227" s="92"/>
      <c r="E227" s="92"/>
      <c r="F227" s="92"/>
      <c r="G227" s="92"/>
      <c r="H227" s="92"/>
      <c r="I227" s="92"/>
      <c r="J227" s="92"/>
      <c r="K227" s="92"/>
      <c r="L227" s="92"/>
      <c r="M227" s="173">
        <f t="shared" ref="M227:Z227" si="204">M223/M115</f>
        <v>12.750472589792061</v>
      </c>
      <c r="N227" s="173">
        <f t="shared" si="204"/>
        <v>6.3364398881640254</v>
      </c>
      <c r="O227" s="173">
        <f t="shared" si="204"/>
        <v>5.3460342146189728</v>
      </c>
      <c r="P227" s="173">
        <f t="shared" si="204"/>
        <v>5.725903614457831</v>
      </c>
      <c r="Q227" s="173">
        <f t="shared" si="204"/>
        <v>4.6649899396378274</v>
      </c>
      <c r="R227" s="173">
        <f t="shared" ca="1" si="204"/>
        <v>6.9729323308270681</v>
      </c>
      <c r="S227" s="173">
        <f t="shared" ca="1" si="204"/>
        <v>6.9258398542990287</v>
      </c>
      <c r="T227" s="173">
        <f t="shared" ca="1" si="204"/>
        <v>5.2846454881035347</v>
      </c>
      <c r="U227" s="173">
        <f t="shared" ca="1" si="204"/>
        <v>5.1855838153244616</v>
      </c>
      <c r="V227" s="173">
        <f t="shared" ca="1" si="204"/>
        <v>4.9830253038626724</v>
      </c>
      <c r="W227" s="173">
        <f t="shared" ca="1" si="204"/>
        <v>3.3475057783170552</v>
      </c>
      <c r="X227" s="173">
        <f t="shared" ca="1" si="204"/>
        <v>2.5717847848472317</v>
      </c>
      <c r="Y227" s="173">
        <f t="shared" ca="1" si="204"/>
        <v>2.5330420981646786</v>
      </c>
      <c r="Z227" s="173">
        <f t="shared" ca="1" si="204"/>
        <v>2.4967705933015414</v>
      </c>
      <c r="AA227" s="92"/>
      <c r="AB227" s="92" t="s">
        <v>714</v>
      </c>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144"/>
      <c r="BA227" s="144"/>
      <c r="BB227" s="144"/>
      <c r="BC227" s="144"/>
      <c r="BD227" s="144"/>
      <c r="BE227" s="144"/>
      <c r="BF227" s="144"/>
      <c r="BG227" s="144"/>
      <c r="BH227" s="144"/>
      <c r="BI227" s="144"/>
      <c r="BJ227" s="144"/>
      <c r="BK227" s="144"/>
      <c r="BL227" s="144"/>
      <c r="BM227" s="144"/>
      <c r="BN227" s="144"/>
      <c r="BO227" s="144"/>
      <c r="BP227" s="144"/>
      <c r="BQ227" s="144"/>
      <c r="BR227" s="144"/>
      <c r="BS227" s="144"/>
      <c r="BT227" s="144"/>
      <c r="BU227" s="144">
        <f t="shared" ref="BU227:CD227" si="205">SUM(BR226:BU226)</f>
        <v>52.9</v>
      </c>
      <c r="BV227" s="144">
        <f t="shared" si="205"/>
        <v>65.400000000000006</v>
      </c>
      <c r="BW227" s="144">
        <f t="shared" si="205"/>
        <v>77.8</v>
      </c>
      <c r="BX227" s="144">
        <f t="shared" si="205"/>
        <v>93.899999999999991</v>
      </c>
      <c r="BY227" s="144">
        <f t="shared" si="205"/>
        <v>107.30000000000001</v>
      </c>
      <c r="BZ227" s="144">
        <f t="shared" si="205"/>
        <v>113.00000000000001</v>
      </c>
      <c r="CA227" s="144">
        <f t="shared" si="205"/>
        <v>122.40000000000002</v>
      </c>
      <c r="CB227" s="144">
        <f t="shared" si="205"/>
        <v>128.10000000000002</v>
      </c>
      <c r="CC227" s="144">
        <f t="shared" si="205"/>
        <v>128.60000000000002</v>
      </c>
      <c r="CD227" s="144">
        <f t="shared" si="205"/>
        <v>132.70000000000002</v>
      </c>
      <c r="CE227" s="141" t="str">
        <f>AB227</f>
        <v>LTM EBITDA</v>
      </c>
      <c r="CF227" s="92"/>
      <c r="CG227" s="92"/>
    </row>
    <row r="228" spans="1:85" ht="15">
      <c r="A228" s="92"/>
      <c r="B228" s="92"/>
      <c r="C228" s="92"/>
      <c r="D228" s="92"/>
      <c r="E228" s="92"/>
      <c r="F228" s="92"/>
      <c r="G228" s="92"/>
      <c r="H228" s="92"/>
      <c r="I228" s="92"/>
      <c r="J228" s="92"/>
      <c r="K228" s="92"/>
      <c r="L228" s="92"/>
      <c r="M228" s="144"/>
      <c r="N228" s="144"/>
      <c r="O228" s="144"/>
      <c r="P228" s="92"/>
      <c r="Q228" s="92"/>
      <c r="R228" s="92"/>
      <c r="S228" s="92"/>
      <c r="T228" s="92"/>
      <c r="U228" s="92"/>
      <c r="V228" s="92"/>
      <c r="W228" s="92"/>
      <c r="X228" s="92"/>
      <c r="Y228" s="92"/>
      <c r="Z228" s="92"/>
      <c r="AA228" s="92"/>
      <c r="AB228" s="92"/>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144"/>
      <c r="BC228" s="144"/>
      <c r="BD228" s="144"/>
      <c r="BE228" s="144"/>
      <c r="BF228" s="144"/>
      <c r="BG228" s="144"/>
      <c r="BH228" s="144"/>
      <c r="BI228" s="144"/>
      <c r="BJ228" s="144"/>
      <c r="BK228" s="144"/>
      <c r="BL228" s="144"/>
      <c r="BM228" s="144"/>
      <c r="BN228" s="144"/>
      <c r="BO228" s="144"/>
      <c r="BP228" s="144"/>
      <c r="BQ228" s="144"/>
      <c r="BR228" s="144"/>
      <c r="BS228" s="144"/>
      <c r="BT228" s="144"/>
      <c r="BU228" s="144"/>
      <c r="BV228" s="144"/>
      <c r="BW228" s="144"/>
      <c r="BX228" s="144"/>
      <c r="BY228" s="144"/>
      <c r="BZ228" s="144"/>
      <c r="CA228" s="144"/>
      <c r="CB228" s="144"/>
      <c r="CC228" s="144"/>
      <c r="CD228" s="144"/>
      <c r="CE228" s="91"/>
      <c r="CF228" s="92"/>
      <c r="CG228" s="92"/>
    </row>
    <row r="229" spans="1:85" ht="15">
      <c r="A229" s="92"/>
      <c r="B229" s="92"/>
      <c r="C229" s="92"/>
      <c r="D229" s="92"/>
      <c r="E229" s="92"/>
      <c r="F229" s="92"/>
      <c r="G229" s="92"/>
      <c r="H229" s="92"/>
      <c r="I229" s="92"/>
      <c r="J229" s="92"/>
      <c r="K229" s="92"/>
      <c r="L229" s="92"/>
      <c r="M229" s="144"/>
      <c r="N229" s="144"/>
      <c r="O229" s="144"/>
      <c r="P229" s="92"/>
      <c r="Q229" s="92"/>
      <c r="R229" s="92"/>
      <c r="S229" s="92"/>
      <c r="T229" s="92"/>
      <c r="U229" s="92"/>
      <c r="V229" s="92"/>
      <c r="W229" s="92"/>
      <c r="X229" s="92"/>
      <c r="Y229" s="92"/>
      <c r="Z229" s="92"/>
      <c r="AA229" s="92"/>
      <c r="AB229" s="92"/>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91"/>
      <c r="CF229" s="92"/>
      <c r="CG229" s="92"/>
    </row>
    <row r="230" spans="1:85" ht="15">
      <c r="A230" s="174" t="s">
        <v>244</v>
      </c>
      <c r="B230" s="94"/>
      <c r="C230" s="94"/>
      <c r="D230" s="94"/>
      <c r="E230" s="94"/>
      <c r="F230" s="94"/>
      <c r="G230" s="94"/>
      <c r="H230" s="94"/>
      <c r="I230" s="94"/>
      <c r="J230" s="94"/>
      <c r="K230" s="94"/>
      <c r="L230" s="94"/>
      <c r="M230" s="94"/>
      <c r="N230" s="94"/>
      <c r="O230" s="94"/>
      <c r="P230" s="94">
        <f t="shared" ref="P230:Z230" si="206">P1</f>
        <v>2015</v>
      </c>
      <c r="Q230" s="94">
        <f t="shared" si="206"/>
        <v>2016</v>
      </c>
      <c r="R230" s="94" t="str">
        <f t="shared" si="206"/>
        <v>2017E</v>
      </c>
      <c r="S230" s="94" t="str">
        <f t="shared" si="206"/>
        <v>2018E</v>
      </c>
      <c r="T230" s="94" t="str">
        <f t="shared" si="206"/>
        <v>2019E</v>
      </c>
      <c r="U230" s="94" t="str">
        <f t="shared" si="206"/>
        <v>2020E</v>
      </c>
      <c r="V230" s="94" t="str">
        <f t="shared" si="206"/>
        <v>2021E</v>
      </c>
      <c r="W230" s="94" t="str">
        <f t="shared" si="206"/>
        <v>2022E</v>
      </c>
      <c r="X230" s="94" t="str">
        <f t="shared" si="206"/>
        <v>2023E</v>
      </c>
      <c r="Y230" s="94" t="str">
        <f t="shared" si="206"/>
        <v>2024E</v>
      </c>
      <c r="Z230" s="94" t="str">
        <f t="shared" si="206"/>
        <v>2025E</v>
      </c>
      <c r="AA230" s="92"/>
      <c r="AB230" s="92" t="s">
        <v>715</v>
      </c>
      <c r="AC230" s="173" t="e">
        <f t="shared" ref="AC230:CD230" si="207">(AC212)/AC227</f>
        <v>#DIV/0!</v>
      </c>
      <c r="AD230" s="173" t="e">
        <f t="shared" si="207"/>
        <v>#DIV/0!</v>
      </c>
      <c r="AE230" s="173" t="e">
        <f t="shared" si="207"/>
        <v>#DIV/0!</v>
      </c>
      <c r="AF230" s="173" t="e">
        <f t="shared" si="207"/>
        <v>#DIV/0!</v>
      </c>
      <c r="AG230" s="173" t="e">
        <f t="shared" si="207"/>
        <v>#DIV/0!</v>
      </c>
      <c r="AH230" s="173" t="e">
        <f t="shared" si="207"/>
        <v>#DIV/0!</v>
      </c>
      <c r="AI230" s="173" t="e">
        <f t="shared" si="207"/>
        <v>#DIV/0!</v>
      </c>
      <c r="AJ230" s="173" t="e">
        <f t="shared" si="207"/>
        <v>#DIV/0!</v>
      </c>
      <c r="AK230" s="173" t="e">
        <f t="shared" si="207"/>
        <v>#DIV/0!</v>
      </c>
      <c r="AL230" s="173" t="e">
        <f t="shared" si="207"/>
        <v>#DIV/0!</v>
      </c>
      <c r="AM230" s="173" t="e">
        <f t="shared" si="207"/>
        <v>#DIV/0!</v>
      </c>
      <c r="AN230" s="173" t="e">
        <f t="shared" si="207"/>
        <v>#DIV/0!</v>
      </c>
      <c r="AO230" s="173" t="e">
        <f t="shared" si="207"/>
        <v>#DIV/0!</v>
      </c>
      <c r="AP230" s="173" t="e">
        <f t="shared" si="207"/>
        <v>#DIV/0!</v>
      </c>
      <c r="AQ230" s="173" t="e">
        <f t="shared" si="207"/>
        <v>#DIV/0!</v>
      </c>
      <c r="AR230" s="173" t="e">
        <f t="shared" si="207"/>
        <v>#DIV/0!</v>
      </c>
      <c r="AS230" s="173" t="e">
        <f t="shared" si="207"/>
        <v>#DIV/0!</v>
      </c>
      <c r="AT230" s="173" t="e">
        <f t="shared" si="207"/>
        <v>#DIV/0!</v>
      </c>
      <c r="AU230" s="173" t="e">
        <f t="shared" si="207"/>
        <v>#DIV/0!</v>
      </c>
      <c r="AV230" s="173" t="e">
        <f t="shared" si="207"/>
        <v>#DIV/0!</v>
      </c>
      <c r="AW230" s="173" t="e">
        <f t="shared" si="207"/>
        <v>#DIV/0!</v>
      </c>
      <c r="AX230" s="173" t="e">
        <f t="shared" si="207"/>
        <v>#DIV/0!</v>
      </c>
      <c r="AY230" s="173" t="e">
        <f t="shared" si="207"/>
        <v>#DIV/0!</v>
      </c>
      <c r="AZ230" s="173" t="e">
        <f t="shared" si="207"/>
        <v>#DIV/0!</v>
      </c>
      <c r="BA230" s="173" t="e">
        <f t="shared" si="207"/>
        <v>#DIV/0!</v>
      </c>
      <c r="BB230" s="173" t="e">
        <f t="shared" si="207"/>
        <v>#DIV/0!</v>
      </c>
      <c r="BC230" s="173" t="e">
        <f t="shared" si="207"/>
        <v>#DIV/0!</v>
      </c>
      <c r="BD230" s="173" t="e">
        <f t="shared" si="207"/>
        <v>#DIV/0!</v>
      </c>
      <c r="BE230" s="173" t="e">
        <f t="shared" si="207"/>
        <v>#DIV/0!</v>
      </c>
      <c r="BF230" s="173" t="e">
        <f t="shared" si="207"/>
        <v>#DIV/0!</v>
      </c>
      <c r="BG230" s="173" t="e">
        <f t="shared" si="207"/>
        <v>#DIV/0!</v>
      </c>
      <c r="BH230" s="173" t="e">
        <f t="shared" si="207"/>
        <v>#DIV/0!</v>
      </c>
      <c r="BI230" s="173" t="e">
        <f t="shared" si="207"/>
        <v>#DIV/0!</v>
      </c>
      <c r="BJ230" s="173" t="e">
        <f t="shared" si="207"/>
        <v>#DIV/0!</v>
      </c>
      <c r="BK230" s="173" t="e">
        <f t="shared" si="207"/>
        <v>#DIV/0!</v>
      </c>
      <c r="BL230" s="173" t="e">
        <f t="shared" si="207"/>
        <v>#DIV/0!</v>
      </c>
      <c r="BM230" s="173" t="e">
        <f t="shared" si="207"/>
        <v>#DIV/0!</v>
      </c>
      <c r="BN230" s="173" t="e">
        <f t="shared" si="207"/>
        <v>#DIV/0!</v>
      </c>
      <c r="BO230" s="173" t="e">
        <f t="shared" si="207"/>
        <v>#DIV/0!</v>
      </c>
      <c r="BP230" s="173" t="e">
        <f t="shared" si="207"/>
        <v>#DIV/0!</v>
      </c>
      <c r="BQ230" s="173" t="e">
        <f t="shared" si="207"/>
        <v>#DIV/0!</v>
      </c>
      <c r="BR230" s="173" t="e">
        <f t="shared" si="207"/>
        <v>#DIV/0!</v>
      </c>
      <c r="BS230" s="173" t="e">
        <f t="shared" si="207"/>
        <v>#DIV/0!</v>
      </c>
      <c r="BT230" s="173" t="e">
        <f t="shared" si="207"/>
        <v>#DIV/0!</v>
      </c>
      <c r="BU230" s="173">
        <f t="shared" si="207"/>
        <v>12.550094517958412</v>
      </c>
      <c r="BV230" s="173">
        <f t="shared" si="207"/>
        <v>0</v>
      </c>
      <c r="BW230" s="173">
        <f t="shared" si="207"/>
        <v>0</v>
      </c>
      <c r="BX230" s="173">
        <f t="shared" si="207"/>
        <v>0</v>
      </c>
      <c r="BY230" s="173">
        <f t="shared" si="207"/>
        <v>6.1975768872320591</v>
      </c>
      <c r="BZ230" s="173">
        <f t="shared" si="207"/>
        <v>5.8194690265486724</v>
      </c>
      <c r="CA230" s="173">
        <f t="shared" si="207"/>
        <v>5.3292483660130703</v>
      </c>
      <c r="CB230" s="173">
        <f t="shared" si="207"/>
        <v>5.2451209992193588</v>
      </c>
      <c r="CC230" s="173">
        <f t="shared" si="207"/>
        <v>5.2255054432348356</v>
      </c>
      <c r="CD230" s="173">
        <f t="shared" si="207"/>
        <v>5.0640542577241892</v>
      </c>
      <c r="CE230" s="141" t="str">
        <f t="shared" ref="CE230:CE237" si="208">AB230</f>
        <v>Bank gross leverage</v>
      </c>
      <c r="CF230" s="92"/>
      <c r="CG230" s="92"/>
    </row>
    <row r="231" spans="1:85" ht="15">
      <c r="A231" s="169" t="s">
        <v>760</v>
      </c>
      <c r="B231" s="92"/>
      <c r="C231" s="92"/>
      <c r="D231" s="92"/>
      <c r="E231" s="92"/>
      <c r="F231" s="92"/>
      <c r="G231" s="92"/>
      <c r="H231" s="92"/>
      <c r="I231" s="92"/>
      <c r="J231" s="92"/>
      <c r="K231" s="92"/>
      <c r="L231" s="92"/>
      <c r="M231" s="144"/>
      <c r="N231" s="144"/>
      <c r="O231" s="144"/>
      <c r="P231" s="100"/>
      <c r="Q231" s="100"/>
      <c r="R231" s="100"/>
      <c r="S231" s="100"/>
      <c r="T231" s="100"/>
      <c r="U231" s="100"/>
      <c r="V231" s="100"/>
      <c r="W231" s="100">
        <v>530</v>
      </c>
      <c r="X231" s="100">
        <v>142</v>
      </c>
      <c r="Y231" s="100"/>
      <c r="Z231" s="100"/>
      <c r="AA231" s="92"/>
      <c r="AB231" s="92" t="s">
        <v>716</v>
      </c>
      <c r="AC231" s="173" t="e">
        <f t="shared" ref="AC231:CD231" si="209">AC215/AC227</f>
        <v>#DIV/0!</v>
      </c>
      <c r="AD231" s="173" t="e">
        <f t="shared" si="209"/>
        <v>#DIV/0!</v>
      </c>
      <c r="AE231" s="173" t="e">
        <f t="shared" si="209"/>
        <v>#DIV/0!</v>
      </c>
      <c r="AF231" s="173" t="e">
        <f t="shared" si="209"/>
        <v>#DIV/0!</v>
      </c>
      <c r="AG231" s="173" t="e">
        <f t="shared" si="209"/>
        <v>#DIV/0!</v>
      </c>
      <c r="AH231" s="173" t="e">
        <f t="shared" si="209"/>
        <v>#DIV/0!</v>
      </c>
      <c r="AI231" s="173" t="e">
        <f t="shared" si="209"/>
        <v>#DIV/0!</v>
      </c>
      <c r="AJ231" s="173" t="e">
        <f t="shared" si="209"/>
        <v>#DIV/0!</v>
      </c>
      <c r="AK231" s="173" t="e">
        <f t="shared" si="209"/>
        <v>#DIV/0!</v>
      </c>
      <c r="AL231" s="173" t="e">
        <f t="shared" si="209"/>
        <v>#DIV/0!</v>
      </c>
      <c r="AM231" s="173" t="e">
        <f t="shared" si="209"/>
        <v>#DIV/0!</v>
      </c>
      <c r="AN231" s="173" t="e">
        <f t="shared" si="209"/>
        <v>#DIV/0!</v>
      </c>
      <c r="AO231" s="173" t="e">
        <f t="shared" si="209"/>
        <v>#DIV/0!</v>
      </c>
      <c r="AP231" s="173" t="e">
        <f t="shared" si="209"/>
        <v>#DIV/0!</v>
      </c>
      <c r="AQ231" s="173" t="e">
        <f t="shared" si="209"/>
        <v>#DIV/0!</v>
      </c>
      <c r="AR231" s="173" t="e">
        <f t="shared" si="209"/>
        <v>#DIV/0!</v>
      </c>
      <c r="AS231" s="173" t="e">
        <f t="shared" si="209"/>
        <v>#DIV/0!</v>
      </c>
      <c r="AT231" s="173" t="e">
        <f t="shared" si="209"/>
        <v>#DIV/0!</v>
      </c>
      <c r="AU231" s="173" t="e">
        <f t="shared" si="209"/>
        <v>#DIV/0!</v>
      </c>
      <c r="AV231" s="173" t="e">
        <f t="shared" si="209"/>
        <v>#DIV/0!</v>
      </c>
      <c r="AW231" s="173" t="e">
        <f t="shared" si="209"/>
        <v>#DIV/0!</v>
      </c>
      <c r="AX231" s="173" t="e">
        <f t="shared" si="209"/>
        <v>#DIV/0!</v>
      </c>
      <c r="AY231" s="173" t="e">
        <f t="shared" si="209"/>
        <v>#DIV/0!</v>
      </c>
      <c r="AZ231" s="173" t="e">
        <f t="shared" si="209"/>
        <v>#DIV/0!</v>
      </c>
      <c r="BA231" s="173" t="e">
        <f t="shared" si="209"/>
        <v>#DIV/0!</v>
      </c>
      <c r="BB231" s="173" t="e">
        <f t="shared" si="209"/>
        <v>#DIV/0!</v>
      </c>
      <c r="BC231" s="173" t="e">
        <f t="shared" si="209"/>
        <v>#DIV/0!</v>
      </c>
      <c r="BD231" s="173" t="e">
        <f t="shared" si="209"/>
        <v>#DIV/0!</v>
      </c>
      <c r="BE231" s="173" t="e">
        <f t="shared" si="209"/>
        <v>#DIV/0!</v>
      </c>
      <c r="BF231" s="173" t="e">
        <f t="shared" si="209"/>
        <v>#DIV/0!</v>
      </c>
      <c r="BG231" s="173" t="e">
        <f t="shared" si="209"/>
        <v>#DIV/0!</v>
      </c>
      <c r="BH231" s="173" t="e">
        <f t="shared" si="209"/>
        <v>#DIV/0!</v>
      </c>
      <c r="BI231" s="173" t="e">
        <f t="shared" si="209"/>
        <v>#DIV/0!</v>
      </c>
      <c r="BJ231" s="173" t="e">
        <f t="shared" si="209"/>
        <v>#DIV/0!</v>
      </c>
      <c r="BK231" s="173" t="e">
        <f t="shared" si="209"/>
        <v>#DIV/0!</v>
      </c>
      <c r="BL231" s="173" t="e">
        <f t="shared" si="209"/>
        <v>#DIV/0!</v>
      </c>
      <c r="BM231" s="173" t="e">
        <f t="shared" si="209"/>
        <v>#DIV/0!</v>
      </c>
      <c r="BN231" s="173" t="e">
        <f t="shared" si="209"/>
        <v>#DIV/0!</v>
      </c>
      <c r="BO231" s="173" t="e">
        <f t="shared" si="209"/>
        <v>#DIV/0!</v>
      </c>
      <c r="BP231" s="173" t="e">
        <f t="shared" si="209"/>
        <v>#DIV/0!</v>
      </c>
      <c r="BQ231" s="173" t="e">
        <f t="shared" si="209"/>
        <v>#DIV/0!</v>
      </c>
      <c r="BR231" s="173" t="e">
        <f t="shared" si="209"/>
        <v>#DIV/0!</v>
      </c>
      <c r="BS231" s="173" t="e">
        <f t="shared" si="209"/>
        <v>#DIV/0!</v>
      </c>
      <c r="BT231" s="173" t="e">
        <f t="shared" si="209"/>
        <v>#DIV/0!</v>
      </c>
      <c r="BU231" s="173">
        <f t="shared" si="209"/>
        <v>12.561436672967865</v>
      </c>
      <c r="BV231" s="173">
        <f t="shared" si="209"/>
        <v>0</v>
      </c>
      <c r="BW231" s="173">
        <f t="shared" si="209"/>
        <v>0</v>
      </c>
      <c r="BX231" s="173">
        <f t="shared" si="209"/>
        <v>0</v>
      </c>
      <c r="BY231" s="173">
        <f t="shared" si="209"/>
        <v>6.2124883504193846</v>
      </c>
      <c r="BZ231" s="173">
        <f t="shared" si="209"/>
        <v>5.8318584070796451</v>
      </c>
      <c r="CA231" s="173">
        <f t="shared" si="209"/>
        <v>5.3398692810457504</v>
      </c>
      <c r="CB231" s="173">
        <f t="shared" si="209"/>
        <v>5.2576112412177975</v>
      </c>
      <c r="CC231" s="173">
        <f t="shared" si="209"/>
        <v>5.2332814930015541</v>
      </c>
      <c r="CD231" s="173">
        <f t="shared" si="209"/>
        <v>5.070836473247927</v>
      </c>
      <c r="CE231" s="141" t="str">
        <f t="shared" si="208"/>
        <v>Senior secured debt gross leverage</v>
      </c>
      <c r="CF231" s="92"/>
      <c r="CG231" s="92"/>
    </row>
    <row r="232" spans="1:85" ht="15">
      <c r="A232" s="169" t="s">
        <v>762</v>
      </c>
      <c r="B232" s="92"/>
      <c r="C232" s="92"/>
      <c r="D232" s="92"/>
      <c r="E232" s="92"/>
      <c r="F232" s="92"/>
      <c r="G232" s="92"/>
      <c r="H232" s="92"/>
      <c r="I232" s="92"/>
      <c r="J232" s="92"/>
      <c r="K232" s="92"/>
      <c r="L232" s="92"/>
      <c r="M232" s="144"/>
      <c r="N232" s="144"/>
      <c r="O232" s="144"/>
      <c r="P232" s="100"/>
      <c r="Q232" s="100"/>
      <c r="R232" s="100"/>
      <c r="S232" s="100"/>
      <c r="T232" s="100"/>
      <c r="U232" s="100"/>
      <c r="V232" s="100"/>
      <c r="W232" s="100"/>
      <c r="X232" s="100"/>
      <c r="Y232" s="100"/>
      <c r="Z232" s="100"/>
      <c r="AA232" s="92"/>
      <c r="AB232" s="92" t="s">
        <v>763</v>
      </c>
      <c r="AC232" s="173" t="e">
        <f t="shared" ref="AC232:CC232" si="210">AC218/AC227</f>
        <v>#DIV/0!</v>
      </c>
      <c r="AD232" s="173" t="e">
        <f t="shared" si="210"/>
        <v>#DIV/0!</v>
      </c>
      <c r="AE232" s="173" t="e">
        <f t="shared" si="210"/>
        <v>#DIV/0!</v>
      </c>
      <c r="AF232" s="173" t="e">
        <f t="shared" si="210"/>
        <v>#DIV/0!</v>
      </c>
      <c r="AG232" s="173" t="e">
        <f t="shared" si="210"/>
        <v>#DIV/0!</v>
      </c>
      <c r="AH232" s="173" t="e">
        <f t="shared" si="210"/>
        <v>#DIV/0!</v>
      </c>
      <c r="AI232" s="173" t="e">
        <f t="shared" si="210"/>
        <v>#DIV/0!</v>
      </c>
      <c r="AJ232" s="173" t="e">
        <f t="shared" si="210"/>
        <v>#DIV/0!</v>
      </c>
      <c r="AK232" s="173" t="e">
        <f t="shared" si="210"/>
        <v>#DIV/0!</v>
      </c>
      <c r="AL232" s="173" t="e">
        <f t="shared" si="210"/>
        <v>#DIV/0!</v>
      </c>
      <c r="AM232" s="173" t="e">
        <f t="shared" si="210"/>
        <v>#DIV/0!</v>
      </c>
      <c r="AN232" s="173" t="e">
        <f t="shared" si="210"/>
        <v>#DIV/0!</v>
      </c>
      <c r="AO232" s="173" t="e">
        <f t="shared" si="210"/>
        <v>#DIV/0!</v>
      </c>
      <c r="AP232" s="173" t="e">
        <f t="shared" si="210"/>
        <v>#DIV/0!</v>
      </c>
      <c r="AQ232" s="173" t="e">
        <f t="shared" si="210"/>
        <v>#DIV/0!</v>
      </c>
      <c r="AR232" s="173" t="e">
        <f t="shared" si="210"/>
        <v>#DIV/0!</v>
      </c>
      <c r="AS232" s="173" t="e">
        <f t="shared" si="210"/>
        <v>#DIV/0!</v>
      </c>
      <c r="AT232" s="173" t="e">
        <f t="shared" si="210"/>
        <v>#DIV/0!</v>
      </c>
      <c r="AU232" s="173" t="e">
        <f t="shared" si="210"/>
        <v>#DIV/0!</v>
      </c>
      <c r="AV232" s="173" t="e">
        <f t="shared" si="210"/>
        <v>#DIV/0!</v>
      </c>
      <c r="AW232" s="173" t="e">
        <f t="shared" si="210"/>
        <v>#DIV/0!</v>
      </c>
      <c r="AX232" s="173" t="e">
        <f t="shared" si="210"/>
        <v>#DIV/0!</v>
      </c>
      <c r="AY232" s="173" t="e">
        <f t="shared" si="210"/>
        <v>#DIV/0!</v>
      </c>
      <c r="AZ232" s="173" t="e">
        <f t="shared" si="210"/>
        <v>#DIV/0!</v>
      </c>
      <c r="BA232" s="173" t="e">
        <f t="shared" si="210"/>
        <v>#DIV/0!</v>
      </c>
      <c r="BB232" s="173" t="e">
        <f t="shared" si="210"/>
        <v>#DIV/0!</v>
      </c>
      <c r="BC232" s="173" t="e">
        <f t="shared" si="210"/>
        <v>#DIV/0!</v>
      </c>
      <c r="BD232" s="173" t="e">
        <f t="shared" si="210"/>
        <v>#DIV/0!</v>
      </c>
      <c r="BE232" s="173" t="e">
        <f t="shared" si="210"/>
        <v>#DIV/0!</v>
      </c>
      <c r="BF232" s="173" t="e">
        <f t="shared" si="210"/>
        <v>#DIV/0!</v>
      </c>
      <c r="BG232" s="173" t="e">
        <f t="shared" si="210"/>
        <v>#DIV/0!</v>
      </c>
      <c r="BH232" s="173" t="e">
        <f t="shared" si="210"/>
        <v>#DIV/0!</v>
      </c>
      <c r="BI232" s="173" t="e">
        <f t="shared" si="210"/>
        <v>#DIV/0!</v>
      </c>
      <c r="BJ232" s="173" t="e">
        <f t="shared" si="210"/>
        <v>#DIV/0!</v>
      </c>
      <c r="BK232" s="173" t="e">
        <f t="shared" si="210"/>
        <v>#DIV/0!</v>
      </c>
      <c r="BL232" s="173" t="e">
        <f t="shared" si="210"/>
        <v>#DIV/0!</v>
      </c>
      <c r="BM232" s="173" t="e">
        <f t="shared" si="210"/>
        <v>#DIV/0!</v>
      </c>
      <c r="BN232" s="173" t="e">
        <f t="shared" si="210"/>
        <v>#DIV/0!</v>
      </c>
      <c r="BO232" s="173" t="e">
        <f t="shared" si="210"/>
        <v>#DIV/0!</v>
      </c>
      <c r="BP232" s="173" t="e">
        <f t="shared" si="210"/>
        <v>#DIV/0!</v>
      </c>
      <c r="BQ232" s="173" t="e">
        <f t="shared" si="210"/>
        <v>#DIV/0!</v>
      </c>
      <c r="BR232" s="173" t="e">
        <f t="shared" si="210"/>
        <v>#DIV/0!</v>
      </c>
      <c r="BS232" s="173" t="e">
        <f t="shared" si="210"/>
        <v>#DIV/0!</v>
      </c>
      <c r="BT232" s="173" t="e">
        <f t="shared" si="210"/>
        <v>#DIV/0!</v>
      </c>
      <c r="BU232" s="173">
        <f t="shared" si="210"/>
        <v>12.561436672967865</v>
      </c>
      <c r="BV232" s="173">
        <f t="shared" si="210"/>
        <v>0</v>
      </c>
      <c r="BW232" s="173">
        <f t="shared" si="210"/>
        <v>0</v>
      </c>
      <c r="BX232" s="173">
        <f t="shared" si="210"/>
        <v>0</v>
      </c>
      <c r="BY232" s="173">
        <f t="shared" si="210"/>
        <v>6.2124883504193846</v>
      </c>
      <c r="BZ232" s="173">
        <f t="shared" si="210"/>
        <v>5.8318584070796451</v>
      </c>
      <c r="CA232" s="173">
        <f t="shared" si="210"/>
        <v>5.3398692810457504</v>
      </c>
      <c r="CB232" s="173">
        <f t="shared" si="210"/>
        <v>5.2576112412177975</v>
      </c>
      <c r="CC232" s="173">
        <f t="shared" si="210"/>
        <v>5.2332814930015541</v>
      </c>
      <c r="CD232" s="173">
        <f>CD218/CD227</f>
        <v>5.070836473247927</v>
      </c>
      <c r="CE232" s="141" t="str">
        <f t="shared" si="208"/>
        <v>Total third-party gross leverage</v>
      </c>
      <c r="CF232" s="92"/>
      <c r="CG232" s="92"/>
    </row>
    <row r="233" spans="1:85" ht="15">
      <c r="A233" s="92" t="s">
        <v>703</v>
      </c>
      <c r="B233" s="92"/>
      <c r="C233" s="92"/>
      <c r="D233" s="92"/>
      <c r="E233" s="92"/>
      <c r="F233" s="92"/>
      <c r="G233" s="92"/>
      <c r="H233" s="92"/>
      <c r="I233" s="92"/>
      <c r="J233" s="92"/>
      <c r="K233" s="92"/>
      <c r="L233" s="92"/>
      <c r="M233" s="144"/>
      <c r="N233" s="144"/>
      <c r="O233" s="144"/>
      <c r="P233" s="155"/>
      <c r="Q233" s="155"/>
      <c r="R233" s="155"/>
      <c r="S233" s="155"/>
      <c r="T233" s="155"/>
      <c r="U233" s="155"/>
      <c r="V233" s="155"/>
      <c r="W233" s="155"/>
      <c r="X233" s="155"/>
      <c r="Y233" s="155"/>
      <c r="Z233" s="155"/>
      <c r="AA233" s="92"/>
      <c r="AB233" s="175" t="s">
        <v>718</v>
      </c>
      <c r="AC233" s="176" t="e">
        <f t="shared" ref="AC233:BA233" si="211">AC218/AC227</f>
        <v>#DIV/0!</v>
      </c>
      <c r="AD233" s="176" t="e">
        <f t="shared" si="211"/>
        <v>#DIV/0!</v>
      </c>
      <c r="AE233" s="176" t="e">
        <f t="shared" si="211"/>
        <v>#DIV/0!</v>
      </c>
      <c r="AF233" s="176" t="e">
        <f t="shared" si="211"/>
        <v>#DIV/0!</v>
      </c>
      <c r="AG233" s="176" t="e">
        <f t="shared" si="211"/>
        <v>#DIV/0!</v>
      </c>
      <c r="AH233" s="176" t="e">
        <f t="shared" si="211"/>
        <v>#DIV/0!</v>
      </c>
      <c r="AI233" s="176" t="e">
        <f t="shared" si="211"/>
        <v>#DIV/0!</v>
      </c>
      <c r="AJ233" s="176" t="e">
        <f t="shared" si="211"/>
        <v>#DIV/0!</v>
      </c>
      <c r="AK233" s="176" t="e">
        <f t="shared" si="211"/>
        <v>#DIV/0!</v>
      </c>
      <c r="AL233" s="176" t="e">
        <f t="shared" si="211"/>
        <v>#DIV/0!</v>
      </c>
      <c r="AM233" s="176" t="e">
        <f t="shared" si="211"/>
        <v>#DIV/0!</v>
      </c>
      <c r="AN233" s="176" t="e">
        <f t="shared" si="211"/>
        <v>#DIV/0!</v>
      </c>
      <c r="AO233" s="176" t="e">
        <f t="shared" si="211"/>
        <v>#DIV/0!</v>
      </c>
      <c r="AP233" s="176" t="e">
        <f t="shared" si="211"/>
        <v>#DIV/0!</v>
      </c>
      <c r="AQ233" s="176" t="e">
        <f t="shared" si="211"/>
        <v>#DIV/0!</v>
      </c>
      <c r="AR233" s="176" t="e">
        <f t="shared" si="211"/>
        <v>#DIV/0!</v>
      </c>
      <c r="AS233" s="176" t="e">
        <f t="shared" si="211"/>
        <v>#DIV/0!</v>
      </c>
      <c r="AT233" s="176" t="e">
        <f t="shared" si="211"/>
        <v>#DIV/0!</v>
      </c>
      <c r="AU233" s="176" t="e">
        <f t="shared" si="211"/>
        <v>#DIV/0!</v>
      </c>
      <c r="AV233" s="176" t="e">
        <f t="shared" si="211"/>
        <v>#DIV/0!</v>
      </c>
      <c r="AW233" s="176" t="e">
        <f t="shared" si="211"/>
        <v>#DIV/0!</v>
      </c>
      <c r="AX233" s="176" t="e">
        <f t="shared" si="211"/>
        <v>#DIV/0!</v>
      </c>
      <c r="AY233" s="176" t="e">
        <f t="shared" si="211"/>
        <v>#DIV/0!</v>
      </c>
      <c r="AZ233" s="176" t="e">
        <f t="shared" si="211"/>
        <v>#DIV/0!</v>
      </c>
      <c r="BA233" s="176" t="e">
        <f t="shared" si="211"/>
        <v>#DIV/0!</v>
      </c>
      <c r="BB233" s="176" t="e">
        <f t="shared" ref="BB233:CD233" si="212">(BB218+BB221)/BB227</f>
        <v>#DIV/0!</v>
      </c>
      <c r="BC233" s="176" t="e">
        <f t="shared" si="212"/>
        <v>#DIV/0!</v>
      </c>
      <c r="BD233" s="176" t="e">
        <f t="shared" si="212"/>
        <v>#DIV/0!</v>
      </c>
      <c r="BE233" s="176" t="e">
        <f t="shared" si="212"/>
        <v>#DIV/0!</v>
      </c>
      <c r="BF233" s="176" t="e">
        <f t="shared" si="212"/>
        <v>#DIV/0!</v>
      </c>
      <c r="BG233" s="176" t="e">
        <f t="shared" si="212"/>
        <v>#DIV/0!</v>
      </c>
      <c r="BH233" s="176" t="e">
        <f t="shared" si="212"/>
        <v>#DIV/0!</v>
      </c>
      <c r="BI233" s="176" t="e">
        <f t="shared" si="212"/>
        <v>#DIV/0!</v>
      </c>
      <c r="BJ233" s="176" t="e">
        <f t="shared" si="212"/>
        <v>#DIV/0!</v>
      </c>
      <c r="BK233" s="176" t="e">
        <f t="shared" si="212"/>
        <v>#DIV/0!</v>
      </c>
      <c r="BL233" s="176" t="e">
        <f t="shared" si="212"/>
        <v>#DIV/0!</v>
      </c>
      <c r="BM233" s="176" t="e">
        <f t="shared" si="212"/>
        <v>#DIV/0!</v>
      </c>
      <c r="BN233" s="176" t="e">
        <f t="shared" si="212"/>
        <v>#DIV/0!</v>
      </c>
      <c r="BO233" s="176" t="e">
        <f t="shared" si="212"/>
        <v>#DIV/0!</v>
      </c>
      <c r="BP233" s="176" t="e">
        <f t="shared" si="212"/>
        <v>#DIV/0!</v>
      </c>
      <c r="BQ233" s="176" t="e">
        <f t="shared" si="212"/>
        <v>#DIV/0!</v>
      </c>
      <c r="BR233" s="176" t="e">
        <f t="shared" si="212"/>
        <v>#DIV/0!</v>
      </c>
      <c r="BS233" s="176" t="e">
        <f t="shared" si="212"/>
        <v>#DIV/0!</v>
      </c>
      <c r="BT233" s="176" t="e">
        <f t="shared" si="212"/>
        <v>#DIV/0!</v>
      </c>
      <c r="BU233" s="176">
        <f t="shared" si="212"/>
        <v>12.750472589792061</v>
      </c>
      <c r="BV233" s="176">
        <f t="shared" si="212"/>
        <v>0</v>
      </c>
      <c r="BW233" s="176">
        <f t="shared" si="212"/>
        <v>0</v>
      </c>
      <c r="BX233" s="176">
        <f t="shared" si="212"/>
        <v>0</v>
      </c>
      <c r="BY233" s="176">
        <f t="shared" si="212"/>
        <v>6.3364398881640254</v>
      </c>
      <c r="BZ233" s="176">
        <f t="shared" si="212"/>
        <v>5.949557522123893</v>
      </c>
      <c r="CA233" s="176">
        <f t="shared" si="212"/>
        <v>5.4485294117647038</v>
      </c>
      <c r="CB233" s="176">
        <f t="shared" si="212"/>
        <v>5.3614363778298193</v>
      </c>
      <c r="CC233" s="176">
        <f t="shared" si="212"/>
        <v>5.3460342146189728</v>
      </c>
      <c r="CD233" s="176">
        <f t="shared" si="212"/>
        <v>5.1914091936699309</v>
      </c>
      <c r="CE233" s="141" t="str">
        <f t="shared" si="208"/>
        <v>Total gross leverage</v>
      </c>
      <c r="CF233" s="92"/>
      <c r="CG233" s="92"/>
    </row>
    <row r="234" spans="1:85" ht="15">
      <c r="A234" s="92" t="s">
        <v>704</v>
      </c>
      <c r="B234" s="92"/>
      <c r="C234" s="92"/>
      <c r="D234" s="92"/>
      <c r="E234" s="92"/>
      <c r="F234" s="92"/>
      <c r="G234" s="92"/>
      <c r="H234" s="92"/>
      <c r="I234" s="92"/>
      <c r="J234" s="92"/>
      <c r="K234" s="92"/>
      <c r="L234" s="92"/>
      <c r="M234" s="144"/>
      <c r="N234" s="144"/>
      <c r="O234" s="144"/>
      <c r="P234" s="97">
        <f>SUM(P231:P233)</f>
        <v>0</v>
      </c>
      <c r="Q234" s="97">
        <f t="shared" ref="Q234:Z234" si="213">SUM(Q231:Q233)</f>
        <v>0</v>
      </c>
      <c r="R234" s="97">
        <f t="shared" si="213"/>
        <v>0</v>
      </c>
      <c r="S234" s="97">
        <f t="shared" si="213"/>
        <v>0</v>
      </c>
      <c r="T234" s="97">
        <f t="shared" si="213"/>
        <v>0</v>
      </c>
      <c r="U234" s="97">
        <f t="shared" si="213"/>
        <v>0</v>
      </c>
      <c r="V234" s="97">
        <f t="shared" si="213"/>
        <v>0</v>
      </c>
      <c r="W234" s="97">
        <f t="shared" si="213"/>
        <v>530</v>
      </c>
      <c r="X234" s="97">
        <f t="shared" si="213"/>
        <v>142</v>
      </c>
      <c r="Y234" s="97">
        <f t="shared" si="213"/>
        <v>0</v>
      </c>
      <c r="Z234" s="97">
        <f t="shared" si="213"/>
        <v>0</v>
      </c>
      <c r="AA234" s="92"/>
      <c r="AB234" s="92" t="s">
        <v>719</v>
      </c>
      <c r="AC234" s="173" t="e">
        <f t="shared" ref="AC234:CD234" si="214">(AC212-AC219)/AC227</f>
        <v>#DIV/0!</v>
      </c>
      <c r="AD234" s="173" t="e">
        <f t="shared" si="214"/>
        <v>#DIV/0!</v>
      </c>
      <c r="AE234" s="173" t="e">
        <f t="shared" si="214"/>
        <v>#DIV/0!</v>
      </c>
      <c r="AF234" s="173" t="e">
        <f t="shared" si="214"/>
        <v>#DIV/0!</v>
      </c>
      <c r="AG234" s="173" t="e">
        <f t="shared" si="214"/>
        <v>#DIV/0!</v>
      </c>
      <c r="AH234" s="173" t="e">
        <f t="shared" si="214"/>
        <v>#DIV/0!</v>
      </c>
      <c r="AI234" s="173" t="e">
        <f t="shared" si="214"/>
        <v>#DIV/0!</v>
      </c>
      <c r="AJ234" s="173" t="e">
        <f t="shared" si="214"/>
        <v>#DIV/0!</v>
      </c>
      <c r="AK234" s="173" t="e">
        <f t="shared" si="214"/>
        <v>#DIV/0!</v>
      </c>
      <c r="AL234" s="173" t="e">
        <f t="shared" si="214"/>
        <v>#DIV/0!</v>
      </c>
      <c r="AM234" s="173" t="e">
        <f t="shared" si="214"/>
        <v>#DIV/0!</v>
      </c>
      <c r="AN234" s="173" t="e">
        <f t="shared" si="214"/>
        <v>#DIV/0!</v>
      </c>
      <c r="AO234" s="173" t="e">
        <f t="shared" si="214"/>
        <v>#DIV/0!</v>
      </c>
      <c r="AP234" s="173" t="e">
        <f t="shared" si="214"/>
        <v>#DIV/0!</v>
      </c>
      <c r="AQ234" s="173" t="e">
        <f t="shared" si="214"/>
        <v>#DIV/0!</v>
      </c>
      <c r="AR234" s="173" t="e">
        <f t="shared" si="214"/>
        <v>#DIV/0!</v>
      </c>
      <c r="AS234" s="173" t="e">
        <f t="shared" si="214"/>
        <v>#DIV/0!</v>
      </c>
      <c r="AT234" s="173" t="e">
        <f t="shared" si="214"/>
        <v>#DIV/0!</v>
      </c>
      <c r="AU234" s="173" t="e">
        <f t="shared" si="214"/>
        <v>#DIV/0!</v>
      </c>
      <c r="AV234" s="173" t="e">
        <f t="shared" si="214"/>
        <v>#DIV/0!</v>
      </c>
      <c r="AW234" s="173" t="e">
        <f t="shared" si="214"/>
        <v>#DIV/0!</v>
      </c>
      <c r="AX234" s="173" t="e">
        <f t="shared" si="214"/>
        <v>#DIV/0!</v>
      </c>
      <c r="AY234" s="173" t="e">
        <f t="shared" si="214"/>
        <v>#DIV/0!</v>
      </c>
      <c r="AZ234" s="173" t="e">
        <f t="shared" si="214"/>
        <v>#DIV/0!</v>
      </c>
      <c r="BA234" s="173" t="e">
        <f t="shared" si="214"/>
        <v>#DIV/0!</v>
      </c>
      <c r="BB234" s="173" t="e">
        <f t="shared" si="214"/>
        <v>#DIV/0!</v>
      </c>
      <c r="BC234" s="173" t="e">
        <f t="shared" si="214"/>
        <v>#DIV/0!</v>
      </c>
      <c r="BD234" s="173" t="e">
        <f t="shared" si="214"/>
        <v>#DIV/0!</v>
      </c>
      <c r="BE234" s="173" t="e">
        <f t="shared" si="214"/>
        <v>#DIV/0!</v>
      </c>
      <c r="BF234" s="173" t="e">
        <f t="shared" si="214"/>
        <v>#DIV/0!</v>
      </c>
      <c r="BG234" s="173" t="e">
        <f t="shared" si="214"/>
        <v>#DIV/0!</v>
      </c>
      <c r="BH234" s="173" t="e">
        <f t="shared" si="214"/>
        <v>#DIV/0!</v>
      </c>
      <c r="BI234" s="173" t="e">
        <f t="shared" si="214"/>
        <v>#DIV/0!</v>
      </c>
      <c r="BJ234" s="173" t="e">
        <f t="shared" si="214"/>
        <v>#DIV/0!</v>
      </c>
      <c r="BK234" s="173" t="e">
        <f t="shared" si="214"/>
        <v>#DIV/0!</v>
      </c>
      <c r="BL234" s="173" t="e">
        <f t="shared" si="214"/>
        <v>#DIV/0!</v>
      </c>
      <c r="BM234" s="173" t="e">
        <f t="shared" si="214"/>
        <v>#DIV/0!</v>
      </c>
      <c r="BN234" s="173" t="e">
        <f t="shared" si="214"/>
        <v>#DIV/0!</v>
      </c>
      <c r="BO234" s="173" t="e">
        <f t="shared" si="214"/>
        <v>#DIV/0!</v>
      </c>
      <c r="BP234" s="173" t="e">
        <f t="shared" si="214"/>
        <v>#DIV/0!</v>
      </c>
      <c r="BQ234" s="173" t="e">
        <f t="shared" si="214"/>
        <v>#DIV/0!</v>
      </c>
      <c r="BR234" s="173" t="e">
        <f t="shared" si="214"/>
        <v>#DIV/0!</v>
      </c>
      <c r="BS234" s="173" t="e">
        <f t="shared" si="214"/>
        <v>#DIV/0!</v>
      </c>
      <c r="BT234" s="173" t="e">
        <f t="shared" si="214"/>
        <v>#DIV/0!</v>
      </c>
      <c r="BU234" s="173">
        <f t="shared" si="214"/>
        <v>12.504725897920606</v>
      </c>
      <c r="BV234" s="173">
        <f t="shared" si="214"/>
        <v>0</v>
      </c>
      <c r="BW234" s="173">
        <f t="shared" si="214"/>
        <v>0</v>
      </c>
      <c r="BX234" s="173">
        <f t="shared" si="214"/>
        <v>0</v>
      </c>
      <c r="BY234" s="173">
        <f t="shared" si="214"/>
        <v>6.1090400745573152</v>
      </c>
      <c r="BZ234" s="173">
        <f t="shared" si="214"/>
        <v>5.7407079646017696</v>
      </c>
      <c r="CA234" s="173">
        <f t="shared" si="214"/>
        <v>5.3169934640522865</v>
      </c>
      <c r="CB234" s="173">
        <f t="shared" si="214"/>
        <v>5.1553473848555802</v>
      </c>
      <c r="CC234" s="173">
        <f t="shared" si="214"/>
        <v>5.0552099533437005</v>
      </c>
      <c r="CD234" s="173">
        <f t="shared" si="214"/>
        <v>4.8364732479276551</v>
      </c>
      <c r="CE234" s="141" t="str">
        <f t="shared" si="208"/>
        <v>Bank net leverage</v>
      </c>
      <c r="CF234" s="92"/>
      <c r="CG234" s="92"/>
    </row>
    <row r="235" spans="1:85" ht="15">
      <c r="A235" s="92" t="s">
        <v>705</v>
      </c>
      <c r="B235" s="92"/>
      <c r="C235" s="92"/>
      <c r="D235" s="92"/>
      <c r="E235" s="92"/>
      <c r="F235" s="92"/>
      <c r="G235" s="92"/>
      <c r="H235" s="92"/>
      <c r="I235" s="92"/>
      <c r="J235" s="92"/>
      <c r="K235" s="92"/>
      <c r="L235" s="92"/>
      <c r="M235" s="144"/>
      <c r="N235" s="144"/>
      <c r="O235" s="144"/>
      <c r="P235" s="100"/>
      <c r="Q235" s="100"/>
      <c r="R235" s="100"/>
      <c r="S235" s="100"/>
      <c r="T235" s="100"/>
      <c r="U235" s="100"/>
      <c r="V235" s="100"/>
      <c r="W235" s="100"/>
      <c r="X235" s="100"/>
      <c r="Y235" s="100"/>
      <c r="Z235" s="100"/>
      <c r="AA235" s="92"/>
      <c r="AB235" s="92" t="s">
        <v>720</v>
      </c>
      <c r="AC235" s="173" t="e">
        <f t="shared" ref="AC235:CD235" si="215">(AC215-AC219)/AC227</f>
        <v>#DIV/0!</v>
      </c>
      <c r="AD235" s="173" t="e">
        <f t="shared" si="215"/>
        <v>#DIV/0!</v>
      </c>
      <c r="AE235" s="173" t="e">
        <f t="shared" si="215"/>
        <v>#DIV/0!</v>
      </c>
      <c r="AF235" s="173" t="e">
        <f t="shared" si="215"/>
        <v>#DIV/0!</v>
      </c>
      <c r="AG235" s="173" t="e">
        <f t="shared" si="215"/>
        <v>#DIV/0!</v>
      </c>
      <c r="AH235" s="173" t="e">
        <f t="shared" si="215"/>
        <v>#DIV/0!</v>
      </c>
      <c r="AI235" s="173" t="e">
        <f t="shared" si="215"/>
        <v>#DIV/0!</v>
      </c>
      <c r="AJ235" s="173" t="e">
        <f t="shared" si="215"/>
        <v>#DIV/0!</v>
      </c>
      <c r="AK235" s="173" t="e">
        <f t="shared" si="215"/>
        <v>#DIV/0!</v>
      </c>
      <c r="AL235" s="173" t="e">
        <f t="shared" si="215"/>
        <v>#DIV/0!</v>
      </c>
      <c r="AM235" s="173" t="e">
        <f t="shared" si="215"/>
        <v>#DIV/0!</v>
      </c>
      <c r="AN235" s="173" t="e">
        <f t="shared" si="215"/>
        <v>#DIV/0!</v>
      </c>
      <c r="AO235" s="173" t="e">
        <f t="shared" si="215"/>
        <v>#DIV/0!</v>
      </c>
      <c r="AP235" s="173" t="e">
        <f t="shared" si="215"/>
        <v>#DIV/0!</v>
      </c>
      <c r="AQ235" s="173" t="e">
        <f t="shared" si="215"/>
        <v>#DIV/0!</v>
      </c>
      <c r="AR235" s="173" t="e">
        <f t="shared" si="215"/>
        <v>#DIV/0!</v>
      </c>
      <c r="AS235" s="173" t="e">
        <f t="shared" si="215"/>
        <v>#DIV/0!</v>
      </c>
      <c r="AT235" s="173" t="e">
        <f t="shared" si="215"/>
        <v>#DIV/0!</v>
      </c>
      <c r="AU235" s="173" t="e">
        <f t="shared" si="215"/>
        <v>#DIV/0!</v>
      </c>
      <c r="AV235" s="173" t="e">
        <f t="shared" si="215"/>
        <v>#DIV/0!</v>
      </c>
      <c r="AW235" s="173" t="e">
        <f t="shared" si="215"/>
        <v>#DIV/0!</v>
      </c>
      <c r="AX235" s="173" t="e">
        <f t="shared" si="215"/>
        <v>#DIV/0!</v>
      </c>
      <c r="AY235" s="173" t="e">
        <f t="shared" si="215"/>
        <v>#DIV/0!</v>
      </c>
      <c r="AZ235" s="173" t="e">
        <f t="shared" si="215"/>
        <v>#DIV/0!</v>
      </c>
      <c r="BA235" s="173" t="e">
        <f t="shared" si="215"/>
        <v>#DIV/0!</v>
      </c>
      <c r="BB235" s="173" t="e">
        <f t="shared" si="215"/>
        <v>#DIV/0!</v>
      </c>
      <c r="BC235" s="173" t="e">
        <f t="shared" si="215"/>
        <v>#DIV/0!</v>
      </c>
      <c r="BD235" s="173" t="e">
        <f t="shared" si="215"/>
        <v>#DIV/0!</v>
      </c>
      <c r="BE235" s="173" t="e">
        <f t="shared" si="215"/>
        <v>#DIV/0!</v>
      </c>
      <c r="BF235" s="173" t="e">
        <f t="shared" si="215"/>
        <v>#DIV/0!</v>
      </c>
      <c r="BG235" s="173" t="e">
        <f t="shared" si="215"/>
        <v>#DIV/0!</v>
      </c>
      <c r="BH235" s="173" t="e">
        <f t="shared" si="215"/>
        <v>#DIV/0!</v>
      </c>
      <c r="BI235" s="173" t="e">
        <f t="shared" si="215"/>
        <v>#DIV/0!</v>
      </c>
      <c r="BJ235" s="173" t="e">
        <f t="shared" si="215"/>
        <v>#DIV/0!</v>
      </c>
      <c r="BK235" s="173" t="e">
        <f t="shared" si="215"/>
        <v>#DIV/0!</v>
      </c>
      <c r="BL235" s="173" t="e">
        <f t="shared" si="215"/>
        <v>#DIV/0!</v>
      </c>
      <c r="BM235" s="173" t="e">
        <f t="shared" si="215"/>
        <v>#DIV/0!</v>
      </c>
      <c r="BN235" s="173" t="e">
        <f t="shared" si="215"/>
        <v>#DIV/0!</v>
      </c>
      <c r="BO235" s="173" t="e">
        <f t="shared" si="215"/>
        <v>#DIV/0!</v>
      </c>
      <c r="BP235" s="173" t="e">
        <f t="shared" si="215"/>
        <v>#DIV/0!</v>
      </c>
      <c r="BQ235" s="173" t="e">
        <f t="shared" si="215"/>
        <v>#DIV/0!</v>
      </c>
      <c r="BR235" s="173" t="e">
        <f t="shared" si="215"/>
        <v>#DIV/0!</v>
      </c>
      <c r="BS235" s="173" t="e">
        <f t="shared" si="215"/>
        <v>#DIV/0!</v>
      </c>
      <c r="BT235" s="173" t="e">
        <f t="shared" si="215"/>
        <v>#DIV/0!</v>
      </c>
      <c r="BU235" s="173">
        <f t="shared" si="215"/>
        <v>12.516068052930057</v>
      </c>
      <c r="BV235" s="173">
        <f t="shared" si="215"/>
        <v>0</v>
      </c>
      <c r="BW235" s="173">
        <f t="shared" si="215"/>
        <v>0</v>
      </c>
      <c r="BX235" s="173">
        <f t="shared" si="215"/>
        <v>0</v>
      </c>
      <c r="BY235" s="173">
        <f t="shared" si="215"/>
        <v>6.1239515377446407</v>
      </c>
      <c r="BZ235" s="173">
        <f t="shared" si="215"/>
        <v>5.7530973451327432</v>
      </c>
      <c r="CA235" s="173">
        <f t="shared" si="215"/>
        <v>5.3276143790849657</v>
      </c>
      <c r="CB235" s="173">
        <f t="shared" si="215"/>
        <v>5.1678376268540198</v>
      </c>
      <c r="CC235" s="173">
        <f t="shared" si="215"/>
        <v>5.062986003110419</v>
      </c>
      <c r="CD235" s="173">
        <f t="shared" si="215"/>
        <v>4.8432554634513929</v>
      </c>
      <c r="CE235" s="141" t="str">
        <f t="shared" si="208"/>
        <v>Senior secured debt net leverage</v>
      </c>
      <c r="CF235" s="92"/>
      <c r="CG235" s="92"/>
    </row>
    <row r="236" spans="1:85" ht="15">
      <c r="A236" s="92" t="s">
        <v>4</v>
      </c>
      <c r="B236" s="92"/>
      <c r="C236" s="92"/>
      <c r="D236" s="92"/>
      <c r="E236" s="92"/>
      <c r="F236" s="92"/>
      <c r="G236" s="92"/>
      <c r="H236" s="92"/>
      <c r="I236" s="92"/>
      <c r="J236" s="92"/>
      <c r="K236" s="92"/>
      <c r="L236" s="92"/>
      <c r="M236" s="144"/>
      <c r="N236" s="144"/>
      <c r="O236" s="144"/>
      <c r="P236" s="100"/>
      <c r="Q236" s="100"/>
      <c r="R236" s="100"/>
      <c r="S236" s="100"/>
      <c r="T236" s="100"/>
      <c r="U236" s="100"/>
      <c r="V236" s="100"/>
      <c r="W236" s="100"/>
      <c r="X236" s="100"/>
      <c r="Y236" s="100"/>
      <c r="Z236" s="100"/>
      <c r="AA236" s="92"/>
      <c r="AB236" s="92" t="s">
        <v>764</v>
      </c>
      <c r="AC236" s="173" t="e">
        <f t="shared" ref="AC236:CC236" si="216">AC220/AC227</f>
        <v>#DIV/0!</v>
      </c>
      <c r="AD236" s="173" t="e">
        <f t="shared" si="216"/>
        <v>#DIV/0!</v>
      </c>
      <c r="AE236" s="173" t="e">
        <f t="shared" si="216"/>
        <v>#DIV/0!</v>
      </c>
      <c r="AF236" s="173" t="e">
        <f t="shared" si="216"/>
        <v>#DIV/0!</v>
      </c>
      <c r="AG236" s="173" t="e">
        <f t="shared" si="216"/>
        <v>#DIV/0!</v>
      </c>
      <c r="AH236" s="173" t="e">
        <f t="shared" si="216"/>
        <v>#DIV/0!</v>
      </c>
      <c r="AI236" s="173" t="e">
        <f t="shared" si="216"/>
        <v>#DIV/0!</v>
      </c>
      <c r="AJ236" s="173" t="e">
        <f t="shared" si="216"/>
        <v>#DIV/0!</v>
      </c>
      <c r="AK236" s="173" t="e">
        <f t="shared" si="216"/>
        <v>#DIV/0!</v>
      </c>
      <c r="AL236" s="173" t="e">
        <f t="shared" si="216"/>
        <v>#DIV/0!</v>
      </c>
      <c r="AM236" s="173" t="e">
        <f t="shared" si="216"/>
        <v>#DIV/0!</v>
      </c>
      <c r="AN236" s="173" t="e">
        <f t="shared" si="216"/>
        <v>#DIV/0!</v>
      </c>
      <c r="AO236" s="173" t="e">
        <f t="shared" si="216"/>
        <v>#DIV/0!</v>
      </c>
      <c r="AP236" s="173" t="e">
        <f t="shared" si="216"/>
        <v>#DIV/0!</v>
      </c>
      <c r="AQ236" s="173" t="e">
        <f t="shared" si="216"/>
        <v>#DIV/0!</v>
      </c>
      <c r="AR236" s="173" t="e">
        <f t="shared" si="216"/>
        <v>#DIV/0!</v>
      </c>
      <c r="AS236" s="173" t="e">
        <f t="shared" si="216"/>
        <v>#DIV/0!</v>
      </c>
      <c r="AT236" s="173" t="e">
        <f t="shared" si="216"/>
        <v>#DIV/0!</v>
      </c>
      <c r="AU236" s="173" t="e">
        <f t="shared" si="216"/>
        <v>#DIV/0!</v>
      </c>
      <c r="AV236" s="173" t="e">
        <f t="shared" si="216"/>
        <v>#DIV/0!</v>
      </c>
      <c r="AW236" s="173" t="e">
        <f t="shared" si="216"/>
        <v>#DIV/0!</v>
      </c>
      <c r="AX236" s="173" t="e">
        <f t="shared" si="216"/>
        <v>#DIV/0!</v>
      </c>
      <c r="AY236" s="173" t="e">
        <f t="shared" si="216"/>
        <v>#DIV/0!</v>
      </c>
      <c r="AZ236" s="173" t="e">
        <f t="shared" si="216"/>
        <v>#DIV/0!</v>
      </c>
      <c r="BA236" s="173" t="e">
        <f t="shared" si="216"/>
        <v>#DIV/0!</v>
      </c>
      <c r="BB236" s="173" t="e">
        <f t="shared" si="216"/>
        <v>#DIV/0!</v>
      </c>
      <c r="BC236" s="173" t="e">
        <f t="shared" si="216"/>
        <v>#DIV/0!</v>
      </c>
      <c r="BD236" s="173" t="e">
        <f t="shared" si="216"/>
        <v>#DIV/0!</v>
      </c>
      <c r="BE236" s="173" t="e">
        <f t="shared" si="216"/>
        <v>#DIV/0!</v>
      </c>
      <c r="BF236" s="173" t="e">
        <f t="shared" si="216"/>
        <v>#DIV/0!</v>
      </c>
      <c r="BG236" s="173" t="e">
        <f t="shared" si="216"/>
        <v>#DIV/0!</v>
      </c>
      <c r="BH236" s="173" t="e">
        <f t="shared" si="216"/>
        <v>#DIV/0!</v>
      </c>
      <c r="BI236" s="173" t="e">
        <f t="shared" si="216"/>
        <v>#DIV/0!</v>
      </c>
      <c r="BJ236" s="173" t="e">
        <f t="shared" si="216"/>
        <v>#DIV/0!</v>
      </c>
      <c r="BK236" s="173" t="e">
        <f t="shared" si="216"/>
        <v>#DIV/0!</v>
      </c>
      <c r="BL236" s="173" t="e">
        <f t="shared" si="216"/>
        <v>#DIV/0!</v>
      </c>
      <c r="BM236" s="173" t="e">
        <f t="shared" si="216"/>
        <v>#DIV/0!</v>
      </c>
      <c r="BN236" s="173" t="e">
        <f t="shared" si="216"/>
        <v>#DIV/0!</v>
      </c>
      <c r="BO236" s="173" t="e">
        <f t="shared" si="216"/>
        <v>#DIV/0!</v>
      </c>
      <c r="BP236" s="173" t="e">
        <f t="shared" si="216"/>
        <v>#DIV/0!</v>
      </c>
      <c r="BQ236" s="173" t="e">
        <f t="shared" si="216"/>
        <v>#DIV/0!</v>
      </c>
      <c r="BR236" s="173" t="e">
        <f t="shared" si="216"/>
        <v>#DIV/0!</v>
      </c>
      <c r="BS236" s="173" t="e">
        <f t="shared" si="216"/>
        <v>#DIV/0!</v>
      </c>
      <c r="BT236" s="173" t="e">
        <f t="shared" si="216"/>
        <v>#DIV/0!</v>
      </c>
      <c r="BU236" s="173">
        <f t="shared" si="216"/>
        <v>12.516068052930057</v>
      </c>
      <c r="BV236" s="173">
        <f t="shared" si="216"/>
        <v>0</v>
      </c>
      <c r="BW236" s="173">
        <f t="shared" si="216"/>
        <v>0</v>
      </c>
      <c r="BX236" s="173">
        <f t="shared" si="216"/>
        <v>0</v>
      </c>
      <c r="BY236" s="173">
        <f t="shared" si="216"/>
        <v>6.1239515377446407</v>
      </c>
      <c r="BZ236" s="173">
        <f t="shared" si="216"/>
        <v>5.7530973451327432</v>
      </c>
      <c r="CA236" s="173">
        <f t="shared" si="216"/>
        <v>5.3276143790849657</v>
      </c>
      <c r="CB236" s="173">
        <f t="shared" si="216"/>
        <v>5.1678376268540198</v>
      </c>
      <c r="CC236" s="173">
        <f t="shared" si="216"/>
        <v>5.062986003110419</v>
      </c>
      <c r="CD236" s="173">
        <f>CD220/CD227</f>
        <v>4.8432554634513929</v>
      </c>
      <c r="CE236" s="141" t="str">
        <f t="shared" si="208"/>
        <v>Total third-party net leverage</v>
      </c>
      <c r="CF236" s="92"/>
      <c r="CG236" s="92"/>
    </row>
    <row r="237" spans="1:85" ht="15">
      <c r="A237" s="92" t="s">
        <v>709</v>
      </c>
      <c r="B237" s="92"/>
      <c r="C237" s="92"/>
      <c r="D237" s="92"/>
      <c r="E237" s="92"/>
      <c r="F237" s="92"/>
      <c r="G237" s="92"/>
      <c r="H237" s="92"/>
      <c r="I237" s="92"/>
      <c r="J237" s="92"/>
      <c r="K237" s="92"/>
      <c r="L237" s="92"/>
      <c r="M237" s="144"/>
      <c r="N237" s="144"/>
      <c r="O237" s="144"/>
      <c r="P237" s="155"/>
      <c r="Q237" s="155"/>
      <c r="R237" s="155"/>
      <c r="S237" s="155"/>
      <c r="T237" s="155"/>
      <c r="U237" s="155"/>
      <c r="V237" s="155"/>
      <c r="W237" s="155"/>
      <c r="X237" s="155"/>
      <c r="Y237" s="155"/>
      <c r="Z237" s="155"/>
      <c r="AA237" s="92"/>
      <c r="AB237" s="92" t="s">
        <v>723</v>
      </c>
      <c r="AC237" s="173" t="e">
        <f t="shared" ref="AC237:BA237" si="217">AC220/AC227</f>
        <v>#DIV/0!</v>
      </c>
      <c r="AD237" s="173" t="e">
        <f t="shared" si="217"/>
        <v>#DIV/0!</v>
      </c>
      <c r="AE237" s="173" t="e">
        <f t="shared" si="217"/>
        <v>#DIV/0!</v>
      </c>
      <c r="AF237" s="173" t="e">
        <f t="shared" si="217"/>
        <v>#DIV/0!</v>
      </c>
      <c r="AG237" s="173" t="e">
        <f t="shared" si="217"/>
        <v>#DIV/0!</v>
      </c>
      <c r="AH237" s="173" t="e">
        <f t="shared" si="217"/>
        <v>#DIV/0!</v>
      </c>
      <c r="AI237" s="173" t="e">
        <f t="shared" si="217"/>
        <v>#DIV/0!</v>
      </c>
      <c r="AJ237" s="173" t="e">
        <f t="shared" si="217"/>
        <v>#DIV/0!</v>
      </c>
      <c r="AK237" s="173" t="e">
        <f t="shared" si="217"/>
        <v>#DIV/0!</v>
      </c>
      <c r="AL237" s="173" t="e">
        <f t="shared" si="217"/>
        <v>#DIV/0!</v>
      </c>
      <c r="AM237" s="173" t="e">
        <f t="shared" si="217"/>
        <v>#DIV/0!</v>
      </c>
      <c r="AN237" s="173" t="e">
        <f t="shared" si="217"/>
        <v>#DIV/0!</v>
      </c>
      <c r="AO237" s="173" t="e">
        <f t="shared" si="217"/>
        <v>#DIV/0!</v>
      </c>
      <c r="AP237" s="173" t="e">
        <f t="shared" si="217"/>
        <v>#DIV/0!</v>
      </c>
      <c r="AQ237" s="173" t="e">
        <f t="shared" si="217"/>
        <v>#DIV/0!</v>
      </c>
      <c r="AR237" s="173" t="e">
        <f t="shared" si="217"/>
        <v>#DIV/0!</v>
      </c>
      <c r="AS237" s="173" t="e">
        <f t="shared" si="217"/>
        <v>#DIV/0!</v>
      </c>
      <c r="AT237" s="173" t="e">
        <f t="shared" si="217"/>
        <v>#DIV/0!</v>
      </c>
      <c r="AU237" s="173" t="e">
        <f t="shared" si="217"/>
        <v>#DIV/0!</v>
      </c>
      <c r="AV237" s="173" t="e">
        <f t="shared" si="217"/>
        <v>#DIV/0!</v>
      </c>
      <c r="AW237" s="173" t="e">
        <f t="shared" si="217"/>
        <v>#DIV/0!</v>
      </c>
      <c r="AX237" s="173" t="e">
        <f t="shared" si="217"/>
        <v>#DIV/0!</v>
      </c>
      <c r="AY237" s="173" t="e">
        <f t="shared" si="217"/>
        <v>#DIV/0!</v>
      </c>
      <c r="AZ237" s="173" t="e">
        <f t="shared" si="217"/>
        <v>#DIV/0!</v>
      </c>
      <c r="BA237" s="173" t="e">
        <f t="shared" si="217"/>
        <v>#DIV/0!</v>
      </c>
      <c r="BB237" s="173" t="e">
        <f t="shared" ref="BB237:CD237" si="218">BB222/BB227</f>
        <v>#DIV/0!</v>
      </c>
      <c r="BC237" s="173" t="e">
        <f t="shared" si="218"/>
        <v>#DIV/0!</v>
      </c>
      <c r="BD237" s="173" t="e">
        <f t="shared" si="218"/>
        <v>#DIV/0!</v>
      </c>
      <c r="BE237" s="173" t="e">
        <f t="shared" si="218"/>
        <v>#DIV/0!</v>
      </c>
      <c r="BF237" s="173" t="e">
        <f t="shared" si="218"/>
        <v>#DIV/0!</v>
      </c>
      <c r="BG237" s="173" t="e">
        <f t="shared" si="218"/>
        <v>#DIV/0!</v>
      </c>
      <c r="BH237" s="173" t="e">
        <f t="shared" si="218"/>
        <v>#DIV/0!</v>
      </c>
      <c r="BI237" s="173" t="e">
        <f t="shared" si="218"/>
        <v>#DIV/0!</v>
      </c>
      <c r="BJ237" s="173" t="e">
        <f t="shared" si="218"/>
        <v>#DIV/0!</v>
      </c>
      <c r="BK237" s="173" t="e">
        <f t="shared" si="218"/>
        <v>#DIV/0!</v>
      </c>
      <c r="BL237" s="173" t="e">
        <f t="shared" si="218"/>
        <v>#DIV/0!</v>
      </c>
      <c r="BM237" s="173" t="e">
        <f t="shared" si="218"/>
        <v>#DIV/0!</v>
      </c>
      <c r="BN237" s="173" t="e">
        <f t="shared" si="218"/>
        <v>#DIV/0!</v>
      </c>
      <c r="BO237" s="173" t="e">
        <f t="shared" si="218"/>
        <v>#DIV/0!</v>
      </c>
      <c r="BP237" s="173" t="e">
        <f t="shared" si="218"/>
        <v>#DIV/0!</v>
      </c>
      <c r="BQ237" s="173" t="e">
        <f t="shared" si="218"/>
        <v>#DIV/0!</v>
      </c>
      <c r="BR237" s="173" t="e">
        <f t="shared" si="218"/>
        <v>#DIV/0!</v>
      </c>
      <c r="BS237" s="173" t="e">
        <f t="shared" si="218"/>
        <v>#DIV/0!</v>
      </c>
      <c r="BT237" s="173" t="e">
        <f t="shared" si="218"/>
        <v>#DIV/0!</v>
      </c>
      <c r="BU237" s="173">
        <f t="shared" si="218"/>
        <v>12.705103969754255</v>
      </c>
      <c r="BV237" s="173">
        <f t="shared" si="218"/>
        <v>0</v>
      </c>
      <c r="BW237" s="173">
        <f t="shared" si="218"/>
        <v>0</v>
      </c>
      <c r="BX237" s="173">
        <f t="shared" si="218"/>
        <v>0</v>
      </c>
      <c r="BY237" s="173">
        <f t="shared" si="218"/>
        <v>6.2479030754892815</v>
      </c>
      <c r="BZ237" s="173">
        <f t="shared" si="218"/>
        <v>5.8707964601769902</v>
      </c>
      <c r="CA237" s="173">
        <f t="shared" si="218"/>
        <v>5.4362745098039191</v>
      </c>
      <c r="CB237" s="173">
        <f t="shared" si="218"/>
        <v>5.2716627634660407</v>
      </c>
      <c r="CC237" s="173">
        <f t="shared" si="218"/>
        <v>5.1757387247278377</v>
      </c>
      <c r="CD237" s="173">
        <f t="shared" si="218"/>
        <v>4.9638281838733977</v>
      </c>
      <c r="CE237" s="141" t="str">
        <f t="shared" si="208"/>
        <v>Total net leverage</v>
      </c>
      <c r="CF237" s="92"/>
      <c r="CG237" s="92"/>
    </row>
    <row r="238" spans="1:85" ht="15">
      <c r="A238" s="92" t="s">
        <v>741</v>
      </c>
      <c r="B238" s="92"/>
      <c r="C238" s="92"/>
      <c r="D238" s="92"/>
      <c r="E238" s="92"/>
      <c r="F238" s="92"/>
      <c r="G238" s="92"/>
      <c r="H238" s="92"/>
      <c r="I238" s="92"/>
      <c r="J238" s="92"/>
      <c r="K238" s="92"/>
      <c r="L238" s="92"/>
      <c r="M238" s="173"/>
      <c r="N238" s="173"/>
      <c r="O238" s="173"/>
      <c r="P238" s="97">
        <f>SUM(P234:P237)</f>
        <v>0</v>
      </c>
      <c r="Q238" s="97">
        <f t="shared" ref="Q238:Z238" si="219">SUM(Q234:Q237)</f>
        <v>0</v>
      </c>
      <c r="R238" s="97">
        <f t="shared" si="219"/>
        <v>0</v>
      </c>
      <c r="S238" s="97">
        <f t="shared" si="219"/>
        <v>0</v>
      </c>
      <c r="T238" s="97">
        <f t="shared" si="219"/>
        <v>0</v>
      </c>
      <c r="U238" s="97">
        <f t="shared" si="219"/>
        <v>0</v>
      </c>
      <c r="V238" s="97">
        <f t="shared" si="219"/>
        <v>0</v>
      </c>
      <c r="W238" s="97">
        <f t="shared" si="219"/>
        <v>530</v>
      </c>
      <c r="X238" s="97">
        <f t="shared" si="219"/>
        <v>142</v>
      </c>
      <c r="Y238" s="97">
        <f t="shared" si="219"/>
        <v>0</v>
      </c>
      <c r="Z238" s="97">
        <f t="shared" si="219"/>
        <v>0</v>
      </c>
      <c r="AA238" s="92"/>
      <c r="AB238" s="92"/>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2"/>
      <c r="CG238" s="92"/>
    </row>
    <row r="239" spans="1:85" ht="15">
      <c r="A239" s="92"/>
      <c r="B239" s="92"/>
      <c r="C239" s="92"/>
      <c r="D239" s="92"/>
      <c r="E239" s="92"/>
      <c r="F239" s="92"/>
      <c r="G239" s="92"/>
      <c r="H239" s="92"/>
      <c r="I239" s="92"/>
      <c r="J239" s="92"/>
      <c r="K239" s="92"/>
      <c r="L239" s="92"/>
      <c r="M239" s="173"/>
      <c r="N239" s="173"/>
      <c r="O239" s="173"/>
      <c r="P239" s="173"/>
      <c r="Q239" s="173"/>
      <c r="R239" s="173"/>
      <c r="S239" s="173"/>
      <c r="T239" s="173"/>
      <c r="U239" s="173"/>
      <c r="V239" s="173"/>
      <c r="W239" s="173"/>
      <c r="X239" s="173"/>
      <c r="Y239" s="173"/>
      <c r="Z239" s="173"/>
      <c r="AA239" s="92"/>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2"/>
      <c r="CG239" s="92"/>
    </row>
    <row r="240" spans="1:85" ht="15">
      <c r="A240" s="92"/>
      <c r="B240" s="92"/>
      <c r="C240" s="92"/>
      <c r="D240" s="92"/>
      <c r="E240" s="92"/>
      <c r="F240" s="92"/>
      <c r="G240" s="92"/>
      <c r="H240" s="92"/>
      <c r="I240" s="92"/>
      <c r="J240" s="92"/>
      <c r="K240" s="92"/>
      <c r="L240" s="92"/>
      <c r="M240" s="173"/>
      <c r="N240" s="173"/>
      <c r="O240" s="173"/>
      <c r="P240" s="173"/>
      <c r="Q240" s="173"/>
      <c r="R240" s="173"/>
      <c r="S240" s="173"/>
      <c r="T240" s="173"/>
      <c r="U240" s="173"/>
      <c r="V240" s="173"/>
      <c r="W240" s="173"/>
      <c r="X240" s="173"/>
      <c r="Y240" s="173"/>
      <c r="Z240" s="173"/>
      <c r="AA240" s="92"/>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2"/>
      <c r="CG240" s="92"/>
    </row>
    <row r="241" spans="1:85" ht="15">
      <c r="A241" s="92"/>
      <c r="B241" s="92"/>
      <c r="C241" s="92"/>
      <c r="D241" s="92"/>
      <c r="E241" s="92"/>
      <c r="F241" s="92"/>
      <c r="G241" s="92"/>
      <c r="H241" s="92"/>
      <c r="I241" s="92"/>
      <c r="J241" s="92"/>
      <c r="K241" s="92"/>
      <c r="L241" s="92"/>
      <c r="M241" s="173"/>
      <c r="N241" s="173"/>
      <c r="O241" s="173"/>
      <c r="P241" s="97"/>
      <c r="Q241" s="97"/>
      <c r="R241" s="97"/>
      <c r="S241" s="97"/>
      <c r="T241" s="97"/>
      <c r="U241" s="97"/>
      <c r="V241" s="97"/>
      <c r="W241" s="97"/>
      <c r="X241" s="97"/>
      <c r="Y241" s="97"/>
      <c r="Z241" s="97"/>
      <c r="AB241" s="174" t="s">
        <v>725</v>
      </c>
      <c r="AC241" s="177"/>
      <c r="AD241" s="177"/>
      <c r="AE241" s="177"/>
      <c r="AF241" s="177"/>
      <c r="AG241" s="177"/>
      <c r="AH241" s="177"/>
      <c r="AI241" s="177"/>
      <c r="AJ241" s="177"/>
      <c r="AK241" s="177"/>
      <c r="AL241" s="177"/>
      <c r="AM241" s="177"/>
      <c r="AN241" s="177"/>
      <c r="AO241" s="177"/>
      <c r="AP241" s="177"/>
      <c r="AQ241" s="177"/>
      <c r="AR241" s="177"/>
      <c r="AS241" s="177"/>
      <c r="AT241" s="177"/>
      <c r="AU241" s="177"/>
      <c r="AV241" s="177"/>
      <c r="AW241" s="177"/>
      <c r="AX241" s="177"/>
      <c r="AY241" s="177"/>
      <c r="AZ241" s="177"/>
      <c r="BA241" s="177"/>
      <c r="BB241" s="178"/>
      <c r="BC241" s="178"/>
      <c r="BD241" s="178"/>
      <c r="BE241" s="178"/>
      <c r="BF241" s="178"/>
      <c r="BG241" s="178"/>
      <c r="BH241" s="178"/>
      <c r="BI241" s="178"/>
      <c r="BJ241" s="178"/>
      <c r="BK241" s="178"/>
      <c r="BL241" s="178"/>
      <c r="BM241" s="178"/>
      <c r="BN241" s="178"/>
      <c r="BO241" s="178"/>
      <c r="BP241" s="178"/>
      <c r="BQ241" s="178"/>
      <c r="BR241" s="178">
        <v>2014</v>
      </c>
      <c r="BS241" s="178">
        <v>2015</v>
      </c>
      <c r="BT241" s="178">
        <v>2016</v>
      </c>
      <c r="BU241" s="178">
        <v>2017</v>
      </c>
      <c r="BV241" s="178">
        <v>2018</v>
      </c>
      <c r="BW241" s="178">
        <v>2019</v>
      </c>
      <c r="BX241" s="178" t="s">
        <v>765</v>
      </c>
      <c r="BY241" s="178">
        <v>2021</v>
      </c>
      <c r="BZ241" s="178">
        <v>2022</v>
      </c>
      <c r="CA241" s="178">
        <v>2023</v>
      </c>
      <c r="CB241" s="178">
        <v>2024</v>
      </c>
      <c r="CC241" s="178">
        <v>2025</v>
      </c>
      <c r="CD241" s="91"/>
      <c r="CE241" s="91"/>
      <c r="CG241" s="92"/>
    </row>
    <row r="242" spans="1:85" ht="15">
      <c r="A242" s="174" t="s">
        <v>727</v>
      </c>
      <c r="B242" s="94"/>
      <c r="C242" s="94"/>
      <c r="D242" s="94"/>
      <c r="E242" s="94"/>
      <c r="F242" s="94"/>
      <c r="G242" s="94"/>
      <c r="H242" s="94"/>
      <c r="I242" s="94"/>
      <c r="J242" s="94"/>
      <c r="K242" s="94"/>
      <c r="L242" s="94"/>
      <c r="M242" s="94"/>
      <c r="N242" s="94"/>
      <c r="O242" s="94"/>
      <c r="P242" s="94">
        <f t="shared" ref="P242:Z242" si="220">P1</f>
        <v>2015</v>
      </c>
      <c r="Q242" s="94">
        <f t="shared" si="220"/>
        <v>2016</v>
      </c>
      <c r="R242" s="94" t="str">
        <f t="shared" si="220"/>
        <v>2017E</v>
      </c>
      <c r="S242" s="94" t="str">
        <f t="shared" si="220"/>
        <v>2018E</v>
      </c>
      <c r="T242" s="94" t="str">
        <f t="shared" si="220"/>
        <v>2019E</v>
      </c>
      <c r="U242" s="94" t="str">
        <f t="shared" si="220"/>
        <v>2020E</v>
      </c>
      <c r="V242" s="94" t="str">
        <f t="shared" si="220"/>
        <v>2021E</v>
      </c>
      <c r="W242" s="94" t="str">
        <f t="shared" si="220"/>
        <v>2022E</v>
      </c>
      <c r="X242" s="94" t="str">
        <f t="shared" si="220"/>
        <v>2023E</v>
      </c>
      <c r="Y242" s="94" t="str">
        <f t="shared" si="220"/>
        <v>2024E</v>
      </c>
      <c r="Z242" s="94" t="str">
        <f t="shared" si="220"/>
        <v>2025E</v>
      </c>
      <c r="AB242" s="169" t="s">
        <v>726</v>
      </c>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6"/>
      <c r="BC242" s="96"/>
      <c r="BD242" s="96"/>
      <c r="BE242" s="96"/>
      <c r="BF242" s="96"/>
      <c r="BG242" s="96"/>
      <c r="BH242" s="96"/>
      <c r="BI242" s="96"/>
      <c r="BJ242" s="96"/>
      <c r="BK242" s="96"/>
      <c r="BL242" s="96"/>
      <c r="BM242" s="96"/>
      <c r="BN242" s="96"/>
      <c r="BO242" s="96"/>
      <c r="BP242" s="96"/>
      <c r="BQ242" s="96"/>
      <c r="BR242" s="96"/>
      <c r="BS242" s="96"/>
      <c r="BT242" s="96"/>
      <c r="BU242" s="96"/>
      <c r="BV242" s="96"/>
      <c r="BW242" s="96"/>
      <c r="BX242" s="96"/>
      <c r="BY242" s="96"/>
      <c r="BZ242" s="96">
        <v>530</v>
      </c>
      <c r="CA242" s="96">
        <v>142</v>
      </c>
      <c r="CB242" s="96"/>
      <c r="CC242" s="96"/>
      <c r="CD242" s="91"/>
      <c r="CE242" s="141" t="str">
        <f>AB242</f>
        <v>3rd party debt</v>
      </c>
      <c r="CG242" s="92"/>
    </row>
    <row r="243" spans="1:85" ht="15">
      <c r="A243" s="169" t="s">
        <v>760</v>
      </c>
      <c r="B243" s="92"/>
      <c r="C243" s="92"/>
      <c r="D243" s="92"/>
      <c r="E243" s="92"/>
      <c r="F243" s="92"/>
      <c r="G243" s="92"/>
      <c r="H243" s="92"/>
      <c r="I243" s="92"/>
      <c r="J243" s="92"/>
      <c r="K243" s="92"/>
      <c r="L243" s="92"/>
      <c r="M243" s="144"/>
      <c r="N243" s="144"/>
      <c r="O243" s="144"/>
      <c r="P243" s="100">
        <v>267.5</v>
      </c>
      <c r="Q243" s="100"/>
      <c r="R243" s="100"/>
      <c r="S243" s="100"/>
      <c r="T243" s="100"/>
      <c r="U243" s="100"/>
      <c r="V243" s="100"/>
      <c r="W243" s="100">
        <v>250</v>
      </c>
      <c r="X243" s="100"/>
      <c r="Y243" s="100"/>
      <c r="Z243" s="100"/>
      <c r="AB243" s="169" t="s">
        <v>709</v>
      </c>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6">
        <f>CD221</f>
        <v>16</v>
      </c>
      <c r="BY243" s="91"/>
      <c r="BZ243" s="91"/>
      <c r="CA243" s="91"/>
      <c r="CB243" s="91"/>
      <c r="CC243" s="91"/>
      <c r="CD243" s="91"/>
      <c r="CE243" s="141" t="str">
        <f>AB243</f>
        <v>Related party debt</v>
      </c>
      <c r="CG243" s="92"/>
    </row>
    <row r="244" spans="1:85" ht="15">
      <c r="A244" s="169" t="s">
        <v>762</v>
      </c>
      <c r="B244" s="92"/>
      <c r="C244" s="92"/>
      <c r="D244" s="92"/>
      <c r="E244" s="92"/>
      <c r="F244" s="92"/>
      <c r="G244" s="92"/>
      <c r="H244" s="92"/>
      <c r="I244" s="92"/>
      <c r="J244" s="92"/>
      <c r="K244" s="92"/>
      <c r="L244" s="92"/>
      <c r="M244" s="144"/>
      <c r="N244" s="144"/>
      <c r="O244" s="144"/>
      <c r="P244" s="100"/>
      <c r="Q244" s="100"/>
      <c r="R244" s="100"/>
      <c r="S244" s="100"/>
      <c r="T244" s="100"/>
      <c r="U244" s="100"/>
      <c r="V244" s="100"/>
      <c r="W244" s="100"/>
      <c r="X244" s="100"/>
      <c r="Y244" s="100"/>
      <c r="Z244" s="100"/>
      <c r="CE244" s="91"/>
      <c r="CG244" s="92"/>
    </row>
    <row r="245" spans="1:85" ht="15">
      <c r="A245" s="92" t="s">
        <v>703</v>
      </c>
      <c r="B245" s="92"/>
      <c r="C245" s="92"/>
      <c r="D245" s="92"/>
      <c r="E245" s="92"/>
      <c r="F245" s="92"/>
      <c r="G245" s="92"/>
      <c r="H245" s="92"/>
      <c r="I245" s="92"/>
      <c r="J245" s="92"/>
      <c r="K245" s="92"/>
      <c r="L245" s="92"/>
      <c r="M245" s="144"/>
      <c r="N245" s="144"/>
      <c r="O245" s="144"/>
      <c r="P245" s="155"/>
      <c r="Q245" s="155"/>
      <c r="R245" s="155"/>
      <c r="S245" s="155"/>
      <c r="T245" s="155"/>
      <c r="U245" s="155"/>
      <c r="V245" s="155"/>
      <c r="W245" s="155"/>
      <c r="X245" s="155"/>
      <c r="Y245" s="155"/>
      <c r="Z245" s="155"/>
      <c r="CE245" s="91"/>
      <c r="CG245" s="92"/>
    </row>
    <row r="246" spans="1:85" ht="15">
      <c r="A246" s="92" t="s">
        <v>704</v>
      </c>
      <c r="B246" s="92"/>
      <c r="C246" s="92"/>
      <c r="D246" s="92"/>
      <c r="E246" s="92"/>
      <c r="F246" s="92"/>
      <c r="G246" s="92"/>
      <c r="H246" s="92"/>
      <c r="I246" s="92"/>
      <c r="J246" s="92"/>
      <c r="K246" s="92"/>
      <c r="L246" s="92"/>
      <c r="M246" s="144"/>
      <c r="N246" s="144"/>
      <c r="O246" s="144"/>
      <c r="P246" s="97">
        <f>SUM(P243:P245)</f>
        <v>267.5</v>
      </c>
      <c r="Q246" s="97">
        <f t="shared" ref="Q246:Z246" si="221">SUM(Q243:Q245)</f>
        <v>0</v>
      </c>
      <c r="R246" s="97">
        <f t="shared" si="221"/>
        <v>0</v>
      </c>
      <c r="S246" s="97">
        <f t="shared" si="221"/>
        <v>0</v>
      </c>
      <c r="T246" s="97">
        <f t="shared" si="221"/>
        <v>0</v>
      </c>
      <c r="U246" s="97">
        <f t="shared" si="221"/>
        <v>0</v>
      </c>
      <c r="V246" s="97">
        <f t="shared" si="221"/>
        <v>0</v>
      </c>
      <c r="W246" s="97">
        <f t="shared" si="221"/>
        <v>250</v>
      </c>
      <c r="X246" s="97">
        <f t="shared" si="221"/>
        <v>0</v>
      </c>
      <c r="Y246" s="97">
        <f t="shared" si="221"/>
        <v>0</v>
      </c>
      <c r="Z246" s="97">
        <f t="shared" si="221"/>
        <v>0</v>
      </c>
      <c r="CE246" s="91"/>
      <c r="CG246" s="92"/>
    </row>
    <row r="247" spans="1:85" ht="15">
      <c r="A247" s="92" t="s">
        <v>705</v>
      </c>
      <c r="B247" s="92"/>
      <c r="C247" s="92"/>
      <c r="D247" s="92"/>
      <c r="E247" s="92"/>
      <c r="F247" s="92"/>
      <c r="G247" s="92"/>
      <c r="H247" s="92"/>
      <c r="I247" s="92"/>
      <c r="J247" s="92"/>
      <c r="K247" s="92"/>
      <c r="L247" s="92"/>
      <c r="M247" s="144"/>
      <c r="N247" s="144"/>
      <c r="O247" s="144"/>
      <c r="P247" s="100"/>
      <c r="Q247" s="100"/>
      <c r="R247" s="100"/>
      <c r="S247" s="100"/>
      <c r="T247" s="100"/>
      <c r="U247" s="100"/>
      <c r="V247" s="100"/>
      <c r="W247" s="100"/>
      <c r="X247" s="100"/>
      <c r="Y247" s="100"/>
      <c r="Z247" s="100"/>
      <c r="CE247" s="91"/>
      <c r="CG247" s="92"/>
    </row>
    <row r="248" spans="1:85" ht="15">
      <c r="A248" s="92" t="s">
        <v>4</v>
      </c>
      <c r="B248" s="92"/>
      <c r="C248" s="92"/>
      <c r="D248" s="92"/>
      <c r="E248" s="92"/>
      <c r="F248" s="92"/>
      <c r="G248" s="92"/>
      <c r="H248" s="92"/>
      <c r="I248" s="92"/>
      <c r="J248" s="92"/>
      <c r="K248" s="92"/>
      <c r="L248" s="92"/>
      <c r="M248" s="144"/>
      <c r="N248" s="144"/>
      <c r="O248" s="144"/>
      <c r="P248" s="100"/>
      <c r="Q248" s="100"/>
      <c r="R248" s="100"/>
      <c r="S248" s="100"/>
      <c r="T248" s="100"/>
      <c r="U248" s="100"/>
      <c r="V248" s="100"/>
      <c r="W248" s="100"/>
      <c r="X248" s="100"/>
      <c r="Y248" s="100"/>
      <c r="Z248" s="100"/>
      <c r="CE248" s="91"/>
      <c r="CG248" s="92"/>
    </row>
    <row r="249" spans="1:85" ht="15" customHeight="1">
      <c r="A249" s="92" t="s">
        <v>709</v>
      </c>
      <c r="B249" s="92"/>
      <c r="C249" s="92"/>
      <c r="D249" s="92"/>
      <c r="E249" s="92"/>
      <c r="F249" s="92"/>
      <c r="G249" s="92"/>
      <c r="H249" s="92"/>
      <c r="I249" s="92"/>
      <c r="J249" s="92"/>
      <c r="K249" s="92"/>
      <c r="L249" s="92"/>
      <c r="M249" s="144"/>
      <c r="N249" s="144"/>
      <c r="O249" s="144"/>
      <c r="P249" s="155"/>
      <c r="Q249" s="155"/>
      <c r="R249" s="155"/>
      <c r="S249" s="155"/>
      <c r="T249" s="155"/>
      <c r="U249" s="155"/>
      <c r="V249" s="155"/>
      <c r="W249" s="155"/>
      <c r="X249" s="155"/>
      <c r="Y249" s="155"/>
      <c r="Z249" s="155"/>
      <c r="CE249" s="91"/>
      <c r="CG249" s="92"/>
    </row>
    <row r="250" spans="1:85" ht="15">
      <c r="A250" s="92" t="s">
        <v>741</v>
      </c>
      <c r="B250" s="92"/>
      <c r="C250" s="92"/>
      <c r="D250" s="92"/>
      <c r="E250" s="92"/>
      <c r="F250" s="92"/>
      <c r="G250" s="92"/>
      <c r="H250" s="92"/>
      <c r="I250" s="92"/>
      <c r="J250" s="92"/>
      <c r="K250" s="92"/>
      <c r="L250" s="92"/>
      <c r="M250" s="173"/>
      <c r="N250" s="173"/>
      <c r="O250" s="173"/>
      <c r="P250" s="97">
        <f>SUM(P246:P249)</f>
        <v>267.5</v>
      </c>
      <c r="Q250" s="97">
        <f t="shared" ref="Q250:Z250" si="222">SUM(Q246:Q249)</f>
        <v>0</v>
      </c>
      <c r="R250" s="97">
        <f t="shared" si="222"/>
        <v>0</v>
      </c>
      <c r="S250" s="97">
        <f t="shared" si="222"/>
        <v>0</v>
      </c>
      <c r="T250" s="97">
        <f t="shared" si="222"/>
        <v>0</v>
      </c>
      <c r="U250" s="97">
        <f t="shared" si="222"/>
        <v>0</v>
      </c>
      <c r="V250" s="97">
        <f t="shared" si="222"/>
        <v>0</v>
      </c>
      <c r="W250" s="97">
        <f t="shared" si="222"/>
        <v>250</v>
      </c>
      <c r="X250" s="97">
        <f t="shared" si="222"/>
        <v>0</v>
      </c>
      <c r="Y250" s="97">
        <f t="shared" si="222"/>
        <v>0</v>
      </c>
      <c r="Z250" s="97">
        <f t="shared" si="222"/>
        <v>0</v>
      </c>
      <c r="AB250" s="92"/>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G250" s="92"/>
    </row>
    <row r="251" spans="1:85" ht="15" customHeight="1">
      <c r="A251" s="92"/>
      <c r="B251" s="92"/>
      <c r="C251" s="92"/>
      <c r="D251" s="92"/>
      <c r="E251" s="92"/>
      <c r="F251" s="92"/>
      <c r="G251" s="92"/>
      <c r="H251" s="92"/>
      <c r="I251" s="92"/>
      <c r="J251" s="92"/>
      <c r="K251" s="92"/>
      <c r="L251" s="92"/>
      <c r="M251" s="173"/>
      <c r="N251" s="173"/>
      <c r="O251" s="173"/>
      <c r="P251" s="173"/>
      <c r="Q251" s="173"/>
      <c r="R251" s="173"/>
      <c r="S251" s="173"/>
      <c r="T251" s="173"/>
      <c r="U251" s="173"/>
      <c r="V251" s="173"/>
      <c r="W251" s="173"/>
      <c r="X251" s="173"/>
      <c r="Y251" s="173"/>
      <c r="Z251" s="173"/>
      <c r="AB251" s="179" t="str">
        <f>AB211</f>
        <v>Liberty Puerto Rico Debt structure ($ mn)</v>
      </c>
      <c r="AC251" s="180" t="str">
        <f>CD211</f>
        <v>Q1 15</v>
      </c>
      <c r="AD251" s="181" t="s">
        <v>728</v>
      </c>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G251" s="92"/>
    </row>
    <row r="252" spans="1:85" ht="15">
      <c r="A252" s="92"/>
      <c r="B252" s="92"/>
      <c r="C252" s="92"/>
      <c r="D252" s="92"/>
      <c r="E252" s="92"/>
      <c r="F252" s="92"/>
      <c r="G252" s="92"/>
      <c r="H252" s="92"/>
      <c r="I252" s="92"/>
      <c r="J252" s="92"/>
      <c r="K252" s="92"/>
      <c r="L252" s="92"/>
      <c r="M252" s="173"/>
      <c r="N252" s="173"/>
      <c r="O252" s="173"/>
      <c r="P252" s="173"/>
      <c r="Q252" s="173"/>
      <c r="R252" s="173"/>
      <c r="S252" s="173"/>
      <c r="T252" s="173"/>
      <c r="U252" s="173"/>
      <c r="V252" s="173"/>
      <c r="W252" s="173"/>
      <c r="X252" s="173"/>
      <c r="Y252" s="173"/>
      <c r="Z252" s="173"/>
      <c r="AB252" s="182" t="str">
        <f>AB212</f>
        <v>Liberty Puerto Rico Bank facilities</v>
      </c>
      <c r="AC252" s="250">
        <f>CD212</f>
        <v>672</v>
      </c>
      <c r="AD252" s="184"/>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row>
    <row r="253" spans="1:85" ht="15">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B253" s="185" t="str">
        <f t="shared" ref="AB253:AB261" si="223">AB214</f>
        <v>Capital leases</v>
      </c>
      <c r="AC253" s="251">
        <f t="shared" ref="AC253:AC261" si="224">CD214</f>
        <v>0.9</v>
      </c>
      <c r="AD253" s="187"/>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row>
    <row r="254" spans="1:85" ht="15">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B254" s="182" t="str">
        <f t="shared" si="223"/>
        <v>Total senior secured debt</v>
      </c>
      <c r="AC254" s="252">
        <f t="shared" si="224"/>
        <v>672.9</v>
      </c>
      <c r="AD254" s="189">
        <f>CD231</f>
        <v>5.070836473247927</v>
      </c>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row>
    <row r="255" spans="1:85" ht="15">
      <c r="A255" s="174" t="s">
        <v>731</v>
      </c>
      <c r="B255" s="94"/>
      <c r="C255" s="94"/>
      <c r="D255" s="94"/>
      <c r="E255" s="94"/>
      <c r="F255" s="94"/>
      <c r="G255" s="94"/>
      <c r="H255" s="94"/>
      <c r="I255" s="94"/>
      <c r="J255" s="94"/>
      <c r="K255" s="94"/>
      <c r="L255" s="94" t="s">
        <v>732</v>
      </c>
      <c r="M255" s="94"/>
      <c r="N255" s="94" t="s">
        <v>734</v>
      </c>
      <c r="O255" s="94"/>
      <c r="P255" s="94">
        <f t="shared" ref="P255:Z255" si="225">P1</f>
        <v>2015</v>
      </c>
      <c r="Q255" s="94">
        <f t="shared" si="225"/>
        <v>2016</v>
      </c>
      <c r="R255" s="94" t="str">
        <f t="shared" si="225"/>
        <v>2017E</v>
      </c>
      <c r="S255" s="94" t="str">
        <f t="shared" si="225"/>
        <v>2018E</v>
      </c>
      <c r="T255" s="94" t="str">
        <f t="shared" si="225"/>
        <v>2019E</v>
      </c>
      <c r="U255" s="94" t="str">
        <f t="shared" si="225"/>
        <v>2020E</v>
      </c>
      <c r="V255" s="94" t="str">
        <f t="shared" si="225"/>
        <v>2021E</v>
      </c>
      <c r="W255" s="94" t="str">
        <f t="shared" si="225"/>
        <v>2022E</v>
      </c>
      <c r="X255" s="94" t="str">
        <f t="shared" si="225"/>
        <v>2023E</v>
      </c>
      <c r="Y255" s="94" t="str">
        <f t="shared" si="225"/>
        <v>2024E</v>
      </c>
      <c r="Z255" s="94" t="str">
        <f t="shared" si="225"/>
        <v>2025E</v>
      </c>
      <c r="AB255" s="185" t="str">
        <f t="shared" si="223"/>
        <v>HY debt</v>
      </c>
      <c r="AC255" s="253">
        <f t="shared" si="224"/>
        <v>0</v>
      </c>
      <c r="AD255" s="1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row>
    <row r="256" spans="1:85" ht="15">
      <c r="A256" s="169" t="s">
        <v>760</v>
      </c>
      <c r="B256" s="92"/>
      <c r="F256" s="92"/>
      <c r="G256" s="92"/>
      <c r="H256" s="92"/>
      <c r="I256" s="92"/>
      <c r="J256" s="92"/>
      <c r="K256" s="92"/>
      <c r="L256" s="254">
        <v>1.7999999999999999E-2</v>
      </c>
      <c r="M256" s="200">
        <v>5.1999999999999998E-2</v>
      </c>
      <c r="N256" s="201">
        <f>L256+M256</f>
        <v>6.9999999999999993E-2</v>
      </c>
      <c r="O256" s="144"/>
      <c r="P256" s="97">
        <f t="shared" ref="P256:Z258" si="226">AVERAGE(O212:P212)*$N256</f>
        <v>56.209999999999994</v>
      </c>
      <c r="Q256" s="97">
        <f t="shared" si="226"/>
        <v>65.141999999999996</v>
      </c>
      <c r="R256" s="97">
        <f t="shared" si="226"/>
        <v>64.903999999999996</v>
      </c>
      <c r="S256" s="97">
        <f t="shared" si="226"/>
        <v>64.903999999999996</v>
      </c>
      <c r="T256" s="97">
        <f t="shared" si="226"/>
        <v>64.903999999999996</v>
      </c>
      <c r="U256" s="97">
        <f t="shared" si="226"/>
        <v>64.903999999999996</v>
      </c>
      <c r="V256" s="97">
        <f t="shared" si="226"/>
        <v>64.903999999999996</v>
      </c>
      <c r="W256" s="97">
        <f t="shared" si="226"/>
        <v>55.103999999999999</v>
      </c>
      <c r="X256" s="97">
        <f t="shared" si="226"/>
        <v>40.333999999999996</v>
      </c>
      <c r="Y256" s="97">
        <f t="shared" si="226"/>
        <v>35.363999999999997</v>
      </c>
      <c r="Z256" s="97">
        <f t="shared" si="226"/>
        <v>35.363999999999997</v>
      </c>
      <c r="AB256" s="182" t="str">
        <f t="shared" si="223"/>
        <v>Other</v>
      </c>
      <c r="AC256" s="255">
        <f t="shared" si="224"/>
        <v>0</v>
      </c>
      <c r="AD256" s="193"/>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row>
    <row r="257" spans="1:83" ht="15">
      <c r="A257" s="169" t="s">
        <v>762</v>
      </c>
      <c r="B257" s="92"/>
      <c r="F257" s="92"/>
      <c r="G257" s="92"/>
      <c r="H257" s="92"/>
      <c r="I257" s="92"/>
      <c r="J257" s="92"/>
      <c r="K257" s="92"/>
      <c r="L257" s="92"/>
      <c r="M257" s="200">
        <v>0</v>
      </c>
      <c r="N257" s="201">
        <f t="shared" ref="N257:N262" si="227">L257+M257</f>
        <v>0</v>
      </c>
      <c r="O257" s="144"/>
      <c r="P257" s="97">
        <f t="shared" si="226"/>
        <v>0</v>
      </c>
      <c r="Q257" s="97">
        <f t="shared" si="226"/>
        <v>0</v>
      </c>
      <c r="R257" s="97">
        <f t="shared" si="226"/>
        <v>0</v>
      </c>
      <c r="S257" s="97">
        <f t="shared" si="226"/>
        <v>0</v>
      </c>
      <c r="T257" s="97">
        <f t="shared" si="226"/>
        <v>0</v>
      </c>
      <c r="U257" s="97">
        <f t="shared" si="226"/>
        <v>0</v>
      </c>
      <c r="V257" s="97">
        <f t="shared" si="226"/>
        <v>0</v>
      </c>
      <c r="W257" s="97">
        <f t="shared" si="226"/>
        <v>0</v>
      </c>
      <c r="X257" s="97">
        <f t="shared" si="226"/>
        <v>0</v>
      </c>
      <c r="Y257" s="97">
        <f t="shared" si="226"/>
        <v>0</v>
      </c>
      <c r="Z257" s="97">
        <f t="shared" si="226"/>
        <v>0</v>
      </c>
      <c r="AB257" s="185" t="str">
        <f t="shared" si="223"/>
        <v>Total debt</v>
      </c>
      <c r="AC257" s="253">
        <f t="shared" si="224"/>
        <v>672.9</v>
      </c>
      <c r="AD257" s="191">
        <f>CD232</f>
        <v>5.070836473247927</v>
      </c>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row>
    <row r="258" spans="1:83" ht="15">
      <c r="A258" s="92" t="s">
        <v>703</v>
      </c>
      <c r="B258" s="92"/>
      <c r="F258" s="92"/>
      <c r="G258" s="92"/>
      <c r="H258" s="92"/>
      <c r="I258" s="92"/>
      <c r="J258" s="92"/>
      <c r="K258" s="92"/>
      <c r="L258" s="92"/>
      <c r="M258" s="200">
        <v>0</v>
      </c>
      <c r="N258" s="201">
        <f t="shared" si="227"/>
        <v>0</v>
      </c>
      <c r="O258" s="144"/>
      <c r="P258" s="153">
        <f t="shared" si="226"/>
        <v>0</v>
      </c>
      <c r="Q258" s="153">
        <f t="shared" si="226"/>
        <v>0</v>
      </c>
      <c r="R258" s="153">
        <f t="shared" si="226"/>
        <v>0</v>
      </c>
      <c r="S258" s="153">
        <f t="shared" si="226"/>
        <v>0</v>
      </c>
      <c r="T258" s="153">
        <f t="shared" si="226"/>
        <v>0</v>
      </c>
      <c r="U258" s="153">
        <f t="shared" si="226"/>
        <v>0</v>
      </c>
      <c r="V258" s="153">
        <f t="shared" si="226"/>
        <v>0</v>
      </c>
      <c r="W258" s="153">
        <f t="shared" si="226"/>
        <v>0</v>
      </c>
      <c r="X258" s="153">
        <f t="shared" si="226"/>
        <v>0</v>
      </c>
      <c r="Y258" s="153">
        <f t="shared" si="226"/>
        <v>0</v>
      </c>
      <c r="Z258" s="153">
        <f t="shared" si="226"/>
        <v>0</v>
      </c>
      <c r="AB258" s="182" t="str">
        <f t="shared" si="223"/>
        <v>Cash</v>
      </c>
      <c r="AC258" s="255">
        <f t="shared" si="224"/>
        <v>30.2</v>
      </c>
      <c r="AD258" s="193"/>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row>
    <row r="259" spans="1:83" ht="15">
      <c r="A259" s="92" t="s">
        <v>704</v>
      </c>
      <c r="B259" s="92"/>
      <c r="F259" s="92"/>
      <c r="G259" s="92"/>
      <c r="H259" s="92"/>
      <c r="I259" s="92"/>
      <c r="J259" s="92"/>
      <c r="K259" s="92"/>
      <c r="L259" s="92"/>
      <c r="M259" s="92"/>
      <c r="N259" s="92"/>
      <c r="O259" s="144"/>
      <c r="P259" s="97">
        <f>SUM(P256:P258)</f>
        <v>56.209999999999994</v>
      </c>
      <c r="Q259" s="97">
        <f t="shared" ref="Q259:Z259" si="228">SUM(Q256:Q258)</f>
        <v>65.141999999999996</v>
      </c>
      <c r="R259" s="97">
        <f t="shared" si="228"/>
        <v>64.903999999999996</v>
      </c>
      <c r="S259" s="97">
        <f t="shared" si="228"/>
        <v>64.903999999999996</v>
      </c>
      <c r="T259" s="97">
        <f t="shared" si="228"/>
        <v>64.903999999999996</v>
      </c>
      <c r="U259" s="97">
        <f t="shared" si="228"/>
        <v>64.903999999999996</v>
      </c>
      <c r="V259" s="97">
        <f t="shared" si="228"/>
        <v>64.903999999999996</v>
      </c>
      <c r="W259" s="97">
        <f t="shared" si="228"/>
        <v>55.103999999999999</v>
      </c>
      <c r="X259" s="97">
        <f t="shared" si="228"/>
        <v>40.333999999999996</v>
      </c>
      <c r="Y259" s="97">
        <f t="shared" si="228"/>
        <v>35.363999999999997</v>
      </c>
      <c r="Z259" s="97">
        <f t="shared" si="228"/>
        <v>35.363999999999997</v>
      </c>
      <c r="AB259" s="256" t="str">
        <f t="shared" si="223"/>
        <v>Total third party net debt</v>
      </c>
      <c r="AC259" s="257">
        <f t="shared" si="224"/>
        <v>642.69999999999993</v>
      </c>
      <c r="AD259" s="258">
        <f>CD236</f>
        <v>4.8432554634513929</v>
      </c>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row>
    <row r="260" spans="1:83" ht="15">
      <c r="A260" s="92" t="s">
        <v>705</v>
      </c>
      <c r="B260" s="92"/>
      <c r="F260" s="92"/>
      <c r="G260" s="92"/>
      <c r="H260" s="92"/>
      <c r="I260" s="92"/>
      <c r="J260" s="92"/>
      <c r="K260" s="92"/>
      <c r="L260" s="92"/>
      <c r="M260" s="200">
        <v>0</v>
      </c>
      <c r="N260" s="201">
        <f t="shared" si="227"/>
        <v>0</v>
      </c>
      <c r="O260" s="144"/>
      <c r="P260" s="97">
        <f t="shared" ref="P260:Z261" si="229">AVERAGE(O216:P216)*$N260</f>
        <v>0</v>
      </c>
      <c r="Q260" s="97">
        <f t="shared" si="229"/>
        <v>0</v>
      </c>
      <c r="R260" s="97">
        <f t="shared" si="229"/>
        <v>0</v>
      </c>
      <c r="S260" s="97">
        <f t="shared" si="229"/>
        <v>0</v>
      </c>
      <c r="T260" s="97">
        <f t="shared" si="229"/>
        <v>0</v>
      </c>
      <c r="U260" s="97">
        <f t="shared" si="229"/>
        <v>0</v>
      </c>
      <c r="V260" s="97">
        <f t="shared" si="229"/>
        <v>0</v>
      </c>
      <c r="W260" s="97">
        <f t="shared" si="229"/>
        <v>0</v>
      </c>
      <c r="X260" s="97">
        <f t="shared" si="229"/>
        <v>0</v>
      </c>
      <c r="Y260" s="97">
        <f t="shared" si="229"/>
        <v>0</v>
      </c>
      <c r="Z260" s="97">
        <f t="shared" si="229"/>
        <v>0</v>
      </c>
      <c r="AB260" s="197" t="str">
        <f t="shared" si="223"/>
        <v>Related party debt</v>
      </c>
      <c r="AC260" s="198">
        <f t="shared" si="224"/>
        <v>16</v>
      </c>
      <c r="AD260" s="199"/>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row>
    <row r="261" spans="1:83" ht="15.75" thickBot="1">
      <c r="A261" s="92" t="s">
        <v>4</v>
      </c>
      <c r="B261" s="92"/>
      <c r="F261" s="92"/>
      <c r="G261" s="92"/>
      <c r="H261" s="92"/>
      <c r="I261" s="92"/>
      <c r="J261" s="92"/>
      <c r="K261" s="92"/>
      <c r="L261" s="92"/>
      <c r="M261" s="200">
        <v>0</v>
      </c>
      <c r="N261" s="201">
        <f t="shared" si="227"/>
        <v>0</v>
      </c>
      <c r="O261" s="144"/>
      <c r="P261" s="97">
        <f t="shared" si="229"/>
        <v>0</v>
      </c>
      <c r="Q261" s="97">
        <f t="shared" si="229"/>
        <v>0</v>
      </c>
      <c r="R261" s="97">
        <f t="shared" si="229"/>
        <v>0</v>
      </c>
      <c r="S261" s="97">
        <f t="shared" si="229"/>
        <v>0</v>
      </c>
      <c r="T261" s="97">
        <f t="shared" si="229"/>
        <v>0</v>
      </c>
      <c r="U261" s="97">
        <f t="shared" si="229"/>
        <v>0</v>
      </c>
      <c r="V261" s="97">
        <f t="shared" si="229"/>
        <v>0</v>
      </c>
      <c r="W261" s="97">
        <f t="shared" si="229"/>
        <v>0</v>
      </c>
      <c r="X261" s="97">
        <f t="shared" si="229"/>
        <v>0</v>
      </c>
      <c r="Y261" s="97">
        <f t="shared" si="229"/>
        <v>0</v>
      </c>
      <c r="Z261" s="97">
        <f t="shared" si="229"/>
        <v>0</v>
      </c>
      <c r="AB261" s="202" t="str">
        <f t="shared" si="223"/>
        <v>Total net debt</v>
      </c>
      <c r="AC261" s="259">
        <f t="shared" si="224"/>
        <v>658.69999999999993</v>
      </c>
      <c r="AD261" s="204">
        <f>CD237</f>
        <v>4.9638281838733977</v>
      </c>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row>
    <row r="262" spans="1:83" ht="15.75" thickTop="1">
      <c r="A262" s="92" t="s">
        <v>709</v>
      </c>
      <c r="B262" s="92"/>
      <c r="F262" s="92"/>
      <c r="G262" s="92"/>
      <c r="H262" s="92"/>
      <c r="I262" s="92"/>
      <c r="J262" s="92"/>
      <c r="K262" s="92"/>
      <c r="L262" s="92"/>
      <c r="M262" s="200">
        <v>0.1</v>
      </c>
      <c r="N262" s="201">
        <f t="shared" si="227"/>
        <v>0.1</v>
      </c>
      <c r="O262" s="144"/>
      <c r="P262" s="153">
        <f t="shared" ref="P262:Z262" si="230">AVERAGE(O221:P221)*$N262</f>
        <v>1.5250000000000001</v>
      </c>
      <c r="Q262" s="153">
        <f t="shared" si="230"/>
        <v>0.8</v>
      </c>
      <c r="R262" s="153">
        <f t="shared" si="230"/>
        <v>0</v>
      </c>
      <c r="S262" s="153">
        <f t="shared" si="230"/>
        <v>0</v>
      </c>
      <c r="T262" s="153">
        <f t="shared" si="230"/>
        <v>0</v>
      </c>
      <c r="U262" s="153">
        <f t="shared" si="230"/>
        <v>0</v>
      </c>
      <c r="V262" s="153">
        <f t="shared" si="230"/>
        <v>0</v>
      </c>
      <c r="W262" s="153">
        <f t="shared" si="230"/>
        <v>0</v>
      </c>
      <c r="X262" s="153">
        <f t="shared" si="230"/>
        <v>0</v>
      </c>
      <c r="Y262" s="153">
        <f t="shared" si="230"/>
        <v>0</v>
      </c>
      <c r="Z262" s="153">
        <f t="shared" si="230"/>
        <v>0</v>
      </c>
      <c r="AB262" s="92"/>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row>
    <row r="263" spans="1:83" ht="15">
      <c r="A263" s="92" t="s">
        <v>741</v>
      </c>
      <c r="B263" s="92"/>
      <c r="C263" s="92"/>
      <c r="D263" s="92"/>
      <c r="E263" s="92"/>
      <c r="F263" s="92"/>
      <c r="G263" s="92"/>
      <c r="H263" s="92"/>
      <c r="I263" s="92"/>
      <c r="J263" s="92"/>
      <c r="K263" s="92"/>
      <c r="L263" s="92"/>
      <c r="M263" s="173"/>
      <c r="N263" s="173"/>
      <c r="O263" s="173"/>
      <c r="P263" s="97">
        <f>SUM(P259:P262)</f>
        <v>57.734999999999992</v>
      </c>
      <c r="Q263" s="97">
        <f t="shared" ref="Q263:Z263" si="231">SUM(Q259:Q262)</f>
        <v>65.941999999999993</v>
      </c>
      <c r="R263" s="97">
        <f t="shared" si="231"/>
        <v>64.903999999999996</v>
      </c>
      <c r="S263" s="97">
        <f t="shared" si="231"/>
        <v>64.903999999999996</v>
      </c>
      <c r="T263" s="97">
        <f t="shared" si="231"/>
        <v>64.903999999999996</v>
      </c>
      <c r="U263" s="97">
        <f t="shared" si="231"/>
        <v>64.903999999999996</v>
      </c>
      <c r="V263" s="97">
        <f t="shared" si="231"/>
        <v>64.903999999999996</v>
      </c>
      <c r="W263" s="97">
        <f t="shared" si="231"/>
        <v>55.103999999999999</v>
      </c>
      <c r="X263" s="97">
        <f t="shared" si="231"/>
        <v>40.333999999999996</v>
      </c>
      <c r="Y263" s="97">
        <f t="shared" si="231"/>
        <v>35.363999999999997</v>
      </c>
      <c r="Z263" s="97">
        <f t="shared" si="231"/>
        <v>35.363999999999997</v>
      </c>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row>
    <row r="264" spans="1:83" ht="15">
      <c r="A264" s="92"/>
      <c r="B264" s="92"/>
      <c r="C264" s="92"/>
      <c r="D264" s="92"/>
      <c r="E264" s="92"/>
      <c r="F264" s="92"/>
      <c r="G264" s="92"/>
      <c r="H264" s="92"/>
      <c r="I264" s="92"/>
      <c r="J264" s="92"/>
      <c r="K264" s="92"/>
      <c r="L264" s="92"/>
      <c r="M264" s="173"/>
      <c r="N264" s="173"/>
      <c r="O264" s="173"/>
      <c r="P264" s="173"/>
      <c r="Q264" s="173"/>
      <c r="R264" s="173"/>
      <c r="S264" s="173"/>
      <c r="T264" s="173"/>
      <c r="U264" s="173"/>
      <c r="V264" s="173"/>
      <c r="W264" s="173"/>
      <c r="X264" s="173"/>
      <c r="Y264" s="173"/>
      <c r="Z264" s="173"/>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row>
    <row r="265" spans="1:83" ht="15">
      <c r="A265" s="92"/>
      <c r="B265" s="92"/>
      <c r="C265" s="205"/>
      <c r="D265" s="92"/>
      <c r="E265" s="92"/>
      <c r="F265" s="92"/>
      <c r="G265" s="92"/>
      <c r="H265" s="92"/>
      <c r="I265" s="92"/>
      <c r="J265" s="92"/>
      <c r="K265" s="92"/>
      <c r="L265" s="92"/>
      <c r="M265" s="173"/>
      <c r="N265" s="173"/>
      <c r="O265" s="173"/>
      <c r="P265" s="173"/>
      <c r="Q265" s="173"/>
      <c r="R265" s="173"/>
      <c r="S265" s="173"/>
      <c r="T265" s="173"/>
      <c r="U265" s="173"/>
      <c r="V265" s="173"/>
      <c r="W265" s="173"/>
      <c r="X265" s="173"/>
      <c r="Y265" s="173"/>
      <c r="Z265" s="173"/>
      <c r="AB265" s="206" t="s">
        <v>766</v>
      </c>
      <c r="AC265" s="207" t="str">
        <f>AC$1</f>
        <v>Q4 01</v>
      </c>
      <c r="AD265" s="207" t="str">
        <f t="shared" ref="AD265:CD265" si="232">AD$1</f>
        <v>Q1 02</v>
      </c>
      <c r="AE265" s="207" t="str">
        <f t="shared" si="232"/>
        <v>Q2 02</v>
      </c>
      <c r="AF265" s="207" t="str">
        <f t="shared" si="232"/>
        <v>Q3 02</v>
      </c>
      <c r="AG265" s="207" t="str">
        <f t="shared" si="232"/>
        <v>Q4 02</v>
      </c>
      <c r="AH265" s="207" t="str">
        <f t="shared" si="232"/>
        <v>Q1 03</v>
      </c>
      <c r="AI265" s="207" t="str">
        <f t="shared" si="232"/>
        <v>Q2 03</v>
      </c>
      <c r="AJ265" s="207" t="str">
        <f t="shared" si="232"/>
        <v>Q3 03</v>
      </c>
      <c r="AK265" s="207" t="str">
        <f t="shared" si="232"/>
        <v>Q4 03</v>
      </c>
      <c r="AL265" s="207" t="str">
        <f t="shared" si="232"/>
        <v>1Q04</v>
      </c>
      <c r="AM265" s="207" t="str">
        <f t="shared" si="232"/>
        <v>Q2 04</v>
      </c>
      <c r="AN265" s="207" t="str">
        <f t="shared" si="232"/>
        <v>Q3 04</v>
      </c>
      <c r="AO265" s="207" t="str">
        <f t="shared" si="232"/>
        <v>Q4 04</v>
      </c>
      <c r="AP265" s="207" t="str">
        <f t="shared" si="232"/>
        <v>Q1 05</v>
      </c>
      <c r="AQ265" s="207" t="str">
        <f t="shared" si="232"/>
        <v>Q2 05</v>
      </c>
      <c r="AR265" s="207" t="str">
        <f t="shared" si="232"/>
        <v>Q3 05</v>
      </c>
      <c r="AS265" s="207" t="str">
        <f t="shared" si="232"/>
        <v>Q4 05</v>
      </c>
      <c r="AT265" s="207" t="str">
        <f t="shared" si="232"/>
        <v>Q1 06</v>
      </c>
      <c r="AU265" s="207" t="str">
        <f t="shared" si="232"/>
        <v>Q2 06</v>
      </c>
      <c r="AV265" s="207" t="str">
        <f t="shared" si="232"/>
        <v>Q3 06</v>
      </c>
      <c r="AW265" s="207" t="str">
        <f t="shared" si="232"/>
        <v>Q4 06</v>
      </c>
      <c r="AX265" s="207" t="str">
        <f t="shared" si="232"/>
        <v>Q1 07</v>
      </c>
      <c r="AY265" s="207" t="str">
        <f t="shared" si="232"/>
        <v>Q2 07</v>
      </c>
      <c r="AZ265" s="207" t="str">
        <f t="shared" si="232"/>
        <v>Q3 07</v>
      </c>
      <c r="BA265" s="207" t="str">
        <f t="shared" si="232"/>
        <v>Q4 07</v>
      </c>
      <c r="BB265" s="207" t="str">
        <f t="shared" si="232"/>
        <v>Q1 08</v>
      </c>
      <c r="BC265" s="207" t="str">
        <f t="shared" si="232"/>
        <v>Q2 08</v>
      </c>
      <c r="BD265" s="207" t="str">
        <f t="shared" si="232"/>
        <v>Q3 08</v>
      </c>
      <c r="BE265" s="207" t="str">
        <f t="shared" si="232"/>
        <v>Q4 08</v>
      </c>
      <c r="BF265" s="207" t="str">
        <f t="shared" si="232"/>
        <v>Q1 09</v>
      </c>
      <c r="BG265" s="207" t="str">
        <f t="shared" si="232"/>
        <v>Q2 09</v>
      </c>
      <c r="BH265" s="207" t="str">
        <f t="shared" si="232"/>
        <v>Q3 09</v>
      </c>
      <c r="BI265" s="207" t="str">
        <f t="shared" si="232"/>
        <v>Q4 09</v>
      </c>
      <c r="BJ265" s="207" t="str">
        <f t="shared" si="232"/>
        <v>Q1 10</v>
      </c>
      <c r="BK265" s="207" t="str">
        <f t="shared" si="232"/>
        <v>Q2 10</v>
      </c>
      <c r="BL265" s="207" t="str">
        <f t="shared" si="232"/>
        <v>Q3 10</v>
      </c>
      <c r="BM265" s="207" t="str">
        <f t="shared" si="232"/>
        <v>Q4 10</v>
      </c>
      <c r="BN265" s="207" t="str">
        <f t="shared" si="232"/>
        <v>Q1 11</v>
      </c>
      <c r="BO265" s="207" t="str">
        <f t="shared" si="232"/>
        <v>Q2 11</v>
      </c>
      <c r="BP265" s="207" t="str">
        <f t="shared" si="232"/>
        <v>Q3 11</v>
      </c>
      <c r="BQ265" s="207" t="str">
        <f t="shared" si="232"/>
        <v>Q4 11</v>
      </c>
      <c r="BR265" s="207" t="str">
        <f t="shared" si="232"/>
        <v>Q1 12</v>
      </c>
      <c r="BS265" s="207" t="str">
        <f t="shared" si="232"/>
        <v>Q2 12</v>
      </c>
      <c r="BT265" s="207" t="str">
        <f t="shared" si="232"/>
        <v>Q3 12</v>
      </c>
      <c r="BU265" s="207" t="str">
        <f t="shared" si="232"/>
        <v>Q4 12</v>
      </c>
      <c r="BV265" s="207" t="str">
        <f t="shared" si="232"/>
        <v>Q1 13</v>
      </c>
      <c r="BW265" s="207" t="str">
        <f t="shared" si="232"/>
        <v>Q2 13</v>
      </c>
      <c r="BX265" s="207" t="str">
        <f t="shared" si="232"/>
        <v>Q3 13</v>
      </c>
      <c r="BY265" s="207" t="str">
        <f t="shared" si="232"/>
        <v>Q4 13</v>
      </c>
      <c r="BZ265" s="207" t="str">
        <f t="shared" si="232"/>
        <v>Q1 14</v>
      </c>
      <c r="CA265" s="207" t="str">
        <f t="shared" si="232"/>
        <v>Q2 14</v>
      </c>
      <c r="CB265" s="207" t="str">
        <f t="shared" si="232"/>
        <v>Q3 14</v>
      </c>
      <c r="CC265" s="207" t="str">
        <f t="shared" si="232"/>
        <v>Q4 14</v>
      </c>
      <c r="CD265" s="207" t="str">
        <f t="shared" si="232"/>
        <v>Q1 15</v>
      </c>
      <c r="CE265" s="91"/>
    </row>
    <row r="266" spans="1:83" ht="15">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B266" s="208" t="s">
        <v>736</v>
      </c>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c r="BI266" s="209"/>
      <c r="BJ266" s="209"/>
      <c r="BK266" s="209"/>
      <c r="BL266" s="209"/>
      <c r="BM266" s="209"/>
      <c r="BN266" s="209"/>
      <c r="BO266" s="209"/>
      <c r="BP266" s="209"/>
      <c r="BQ266" s="209"/>
      <c r="BR266" s="209"/>
      <c r="BS266" s="209"/>
      <c r="BT266" s="209"/>
      <c r="BU266" s="209"/>
      <c r="BV266" s="209"/>
      <c r="BW266" s="209"/>
      <c r="BX266" s="209"/>
      <c r="BY266" s="209"/>
      <c r="BZ266" s="209"/>
      <c r="CA266" s="209"/>
      <c r="CB266" s="209"/>
      <c r="CC266" s="209"/>
      <c r="CD266" s="209"/>
      <c r="CE266" s="91"/>
    </row>
    <row r="267" spans="1:83" ht="15">
      <c r="AB267" s="210" t="s">
        <v>737</v>
      </c>
      <c r="AC267" s="211"/>
      <c r="AD267" s="211"/>
      <c r="AE267" s="211"/>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c r="BI267" s="209"/>
      <c r="BJ267" s="209"/>
      <c r="BK267" s="209"/>
      <c r="BL267" s="209"/>
      <c r="BM267" s="209"/>
      <c r="BN267" s="209"/>
      <c r="BO267" s="209"/>
      <c r="BP267" s="209"/>
      <c r="BQ267" s="209"/>
      <c r="BR267" s="209"/>
      <c r="BS267" s="209"/>
      <c r="BT267" s="209"/>
      <c r="BU267" s="209">
        <f t="shared" ref="BU267:CD269" si="233">BU215</f>
        <v>664.5</v>
      </c>
      <c r="BV267" s="209">
        <f t="shared" si="233"/>
        <v>0</v>
      </c>
      <c r="BW267" s="209">
        <f t="shared" si="233"/>
        <v>0</v>
      </c>
      <c r="BX267" s="209">
        <f t="shared" si="233"/>
        <v>0</v>
      </c>
      <c r="BY267" s="209">
        <f t="shared" si="233"/>
        <v>666.6</v>
      </c>
      <c r="BZ267" s="209">
        <f t="shared" si="233"/>
        <v>659</v>
      </c>
      <c r="CA267" s="209">
        <f t="shared" si="233"/>
        <v>653.59999999999991</v>
      </c>
      <c r="CB267" s="209">
        <f t="shared" si="233"/>
        <v>673.5</v>
      </c>
      <c r="CC267" s="209">
        <f t="shared" si="233"/>
        <v>673</v>
      </c>
      <c r="CD267" s="209">
        <f t="shared" si="233"/>
        <v>672.9</v>
      </c>
      <c r="CE267" s="141" t="str">
        <f>AB267</f>
        <v>Senior secured debt</v>
      </c>
    </row>
    <row r="268" spans="1:83" ht="15">
      <c r="AB268" s="210" t="s">
        <v>738</v>
      </c>
      <c r="AC268" s="211"/>
      <c r="AD268" s="211"/>
      <c r="AE268" s="211"/>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c r="BI268" s="209"/>
      <c r="BJ268" s="209"/>
      <c r="BK268" s="209"/>
      <c r="BL268" s="209"/>
      <c r="BM268" s="209"/>
      <c r="BN268" s="209"/>
      <c r="BO268" s="209"/>
      <c r="BP268" s="209"/>
      <c r="BQ268" s="209"/>
      <c r="BR268" s="209"/>
      <c r="BS268" s="209"/>
      <c r="BT268" s="209"/>
      <c r="BU268" s="209">
        <f t="shared" si="233"/>
        <v>0</v>
      </c>
      <c r="BV268" s="209">
        <f t="shared" si="233"/>
        <v>0</v>
      </c>
      <c r="BW268" s="209">
        <f t="shared" si="233"/>
        <v>0</v>
      </c>
      <c r="BX268" s="209">
        <f t="shared" si="233"/>
        <v>0</v>
      </c>
      <c r="BY268" s="209">
        <f t="shared" si="233"/>
        <v>0</v>
      </c>
      <c r="BZ268" s="209">
        <f t="shared" si="233"/>
        <v>0</v>
      </c>
      <c r="CA268" s="209">
        <f t="shared" si="233"/>
        <v>0</v>
      </c>
      <c r="CB268" s="209">
        <f t="shared" si="233"/>
        <v>0</v>
      </c>
      <c r="CC268" s="209">
        <f t="shared" si="233"/>
        <v>0</v>
      </c>
      <c r="CD268" s="209">
        <f t="shared" si="233"/>
        <v>0</v>
      </c>
      <c r="CE268" s="141" t="str">
        <f t="shared" ref="CE268:CE283" si="234">AB268</f>
        <v>Senior unsecured debt</v>
      </c>
    </row>
    <row r="269" spans="1:83" ht="15">
      <c r="AB269" s="210" t="s">
        <v>739</v>
      </c>
      <c r="AC269" s="211"/>
      <c r="AD269" s="211"/>
      <c r="AE269" s="211"/>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c r="BI269" s="209"/>
      <c r="BJ269" s="209"/>
      <c r="BK269" s="209"/>
      <c r="BL269" s="209"/>
      <c r="BM269" s="209"/>
      <c r="BN269" s="209"/>
      <c r="BO269" s="209"/>
      <c r="BP269" s="209"/>
      <c r="BQ269" s="209"/>
      <c r="BR269" s="209"/>
      <c r="BS269" s="209"/>
      <c r="BT269" s="209"/>
      <c r="BU269" s="209">
        <f t="shared" si="233"/>
        <v>0</v>
      </c>
      <c r="BV269" s="209">
        <f t="shared" si="233"/>
        <v>0</v>
      </c>
      <c r="BW269" s="209">
        <f t="shared" si="233"/>
        <v>0</v>
      </c>
      <c r="BX269" s="209">
        <f t="shared" si="233"/>
        <v>0</v>
      </c>
      <c r="BY269" s="209">
        <f t="shared" si="233"/>
        <v>0</v>
      </c>
      <c r="BZ269" s="209">
        <f t="shared" si="233"/>
        <v>0</v>
      </c>
      <c r="CA269" s="209">
        <f t="shared" si="233"/>
        <v>0</v>
      </c>
      <c r="CB269" s="209">
        <f t="shared" si="233"/>
        <v>0</v>
      </c>
      <c r="CC269" s="209">
        <f t="shared" si="233"/>
        <v>0</v>
      </c>
      <c r="CD269" s="209">
        <f>CD217</f>
        <v>0</v>
      </c>
      <c r="CE269" s="141" t="str">
        <f t="shared" si="234"/>
        <v>Other debt</v>
      </c>
    </row>
    <row r="270" spans="1:83" ht="15">
      <c r="AB270" s="210" t="s">
        <v>740</v>
      </c>
      <c r="AC270" s="211"/>
      <c r="AD270" s="211"/>
      <c r="AE270" s="211"/>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c r="BI270" s="209"/>
      <c r="BJ270" s="209"/>
      <c r="BK270" s="209"/>
      <c r="BL270" s="209"/>
      <c r="BM270" s="209"/>
      <c r="BN270" s="209"/>
      <c r="BO270" s="209"/>
      <c r="BP270" s="209"/>
      <c r="BQ270" s="209"/>
      <c r="BR270" s="209"/>
      <c r="BS270" s="209"/>
      <c r="BT270" s="209"/>
      <c r="BU270" s="209"/>
      <c r="BV270" s="209"/>
      <c r="BW270" s="209"/>
      <c r="BX270" s="209"/>
      <c r="BY270" s="209"/>
      <c r="BZ270" s="209"/>
      <c r="CA270" s="209"/>
      <c r="CB270" s="209"/>
      <c r="CC270" s="209"/>
      <c r="CD270" s="209"/>
      <c r="CE270" s="141" t="str">
        <f t="shared" si="234"/>
        <v>PIK debt</v>
      </c>
    </row>
    <row r="271" spans="1:83" ht="15">
      <c r="AB271" s="210" t="s">
        <v>741</v>
      </c>
      <c r="AC271" s="209"/>
      <c r="AD271" s="209"/>
      <c r="AE271" s="209"/>
      <c r="AF271" s="209"/>
      <c r="AG271" s="209"/>
      <c r="AH271" s="209"/>
      <c r="AI271" s="209"/>
      <c r="AJ271" s="209"/>
      <c r="AK271" s="209"/>
      <c r="AL271" s="209"/>
      <c r="AM271" s="209"/>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c r="BI271" s="209"/>
      <c r="BJ271" s="209"/>
      <c r="BK271" s="209"/>
      <c r="BL271" s="209"/>
      <c r="BM271" s="209"/>
      <c r="BN271" s="209"/>
      <c r="BO271" s="209"/>
      <c r="BP271" s="209"/>
      <c r="BQ271" s="209"/>
      <c r="BR271" s="209"/>
      <c r="BS271" s="209"/>
      <c r="BT271" s="209"/>
      <c r="BU271" s="209">
        <f t="shared" ref="BU271:CD271" si="235">BU267+BU268+BU269+BU270</f>
        <v>664.5</v>
      </c>
      <c r="BV271" s="209">
        <f t="shared" si="235"/>
        <v>0</v>
      </c>
      <c r="BW271" s="209">
        <f t="shared" si="235"/>
        <v>0</v>
      </c>
      <c r="BX271" s="209">
        <f t="shared" si="235"/>
        <v>0</v>
      </c>
      <c r="BY271" s="209">
        <f t="shared" si="235"/>
        <v>666.6</v>
      </c>
      <c r="BZ271" s="209">
        <f t="shared" si="235"/>
        <v>659</v>
      </c>
      <c r="CA271" s="209">
        <f t="shared" si="235"/>
        <v>653.59999999999991</v>
      </c>
      <c r="CB271" s="209">
        <f t="shared" si="235"/>
        <v>673.5</v>
      </c>
      <c r="CC271" s="209">
        <f t="shared" si="235"/>
        <v>673</v>
      </c>
      <c r="CD271" s="209">
        <f t="shared" si="235"/>
        <v>672.9</v>
      </c>
      <c r="CE271" s="141" t="str">
        <f t="shared" si="234"/>
        <v>Total debt</v>
      </c>
    </row>
    <row r="272" spans="1:83" ht="15">
      <c r="AB272" s="210" t="s">
        <v>707</v>
      </c>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c r="BI272" s="209"/>
      <c r="BJ272" s="209"/>
      <c r="BK272" s="209"/>
      <c r="BL272" s="209"/>
      <c r="BM272" s="209"/>
      <c r="BN272" s="209"/>
      <c r="BO272" s="209"/>
      <c r="BP272" s="209"/>
      <c r="BQ272" s="209"/>
      <c r="BR272" s="209"/>
      <c r="BS272" s="209"/>
      <c r="BT272" s="209"/>
      <c r="BU272" s="209">
        <f t="shared" ref="BU272:CD272" si="236">BU219</f>
        <v>2.4</v>
      </c>
      <c r="BV272" s="209">
        <f t="shared" si="236"/>
        <v>0</v>
      </c>
      <c r="BW272" s="209">
        <f t="shared" si="236"/>
        <v>0</v>
      </c>
      <c r="BX272" s="209">
        <f t="shared" si="236"/>
        <v>0</v>
      </c>
      <c r="BY272" s="209">
        <f t="shared" si="236"/>
        <v>9.5</v>
      </c>
      <c r="BZ272" s="209">
        <f t="shared" si="236"/>
        <v>8.9</v>
      </c>
      <c r="CA272" s="209">
        <f t="shared" si="236"/>
        <v>1.5</v>
      </c>
      <c r="CB272" s="209">
        <f t="shared" si="236"/>
        <v>11.5</v>
      </c>
      <c r="CC272" s="209">
        <f t="shared" si="236"/>
        <v>21.9</v>
      </c>
      <c r="CD272" s="209">
        <f t="shared" si="236"/>
        <v>30.2</v>
      </c>
      <c r="CE272" s="141" t="str">
        <f t="shared" si="234"/>
        <v>Cash</v>
      </c>
    </row>
    <row r="273" spans="28:83" ht="15">
      <c r="AB273" s="210" t="s">
        <v>115</v>
      </c>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c r="BI273" s="209"/>
      <c r="BJ273" s="209"/>
      <c r="BK273" s="209"/>
      <c r="BL273" s="209"/>
      <c r="BM273" s="209"/>
      <c r="BN273" s="209"/>
      <c r="BO273" s="209"/>
      <c r="BP273" s="209"/>
      <c r="BQ273" s="209"/>
      <c r="BR273" s="209"/>
      <c r="BS273" s="209"/>
      <c r="BT273" s="209"/>
      <c r="BU273" s="209">
        <f t="shared" ref="BU273:CD273" si="237">BU271-BU272</f>
        <v>662.1</v>
      </c>
      <c r="BV273" s="209">
        <f t="shared" si="237"/>
        <v>0</v>
      </c>
      <c r="BW273" s="209">
        <f t="shared" si="237"/>
        <v>0</v>
      </c>
      <c r="BX273" s="209">
        <f t="shared" si="237"/>
        <v>0</v>
      </c>
      <c r="BY273" s="209">
        <f t="shared" si="237"/>
        <v>657.1</v>
      </c>
      <c r="BZ273" s="209">
        <f t="shared" si="237"/>
        <v>650.1</v>
      </c>
      <c r="CA273" s="209">
        <f t="shared" si="237"/>
        <v>652.09999999999991</v>
      </c>
      <c r="CB273" s="209">
        <f t="shared" si="237"/>
        <v>662</v>
      </c>
      <c r="CC273" s="209">
        <f t="shared" si="237"/>
        <v>651.1</v>
      </c>
      <c r="CD273" s="209">
        <f t="shared" si="237"/>
        <v>642.69999999999993</v>
      </c>
      <c r="CE273" s="141" t="str">
        <f t="shared" si="234"/>
        <v>Net debt</v>
      </c>
    </row>
    <row r="274" spans="28:83" ht="15">
      <c r="AB274" s="210" t="s">
        <v>647</v>
      </c>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c r="BI274" s="209"/>
      <c r="BJ274" s="209"/>
      <c r="BK274" s="209"/>
      <c r="BL274" s="209"/>
      <c r="BM274" s="209"/>
      <c r="BN274" s="209"/>
      <c r="BO274" s="209"/>
      <c r="BP274" s="209"/>
      <c r="BQ274" s="209"/>
      <c r="BR274" s="209"/>
      <c r="BS274" s="209"/>
      <c r="BT274" s="209"/>
      <c r="BU274" s="209">
        <f t="shared" ref="BU274:CD274" si="238">BU109</f>
        <v>55.499999999999986</v>
      </c>
      <c r="BV274" s="209">
        <f t="shared" si="238"/>
        <v>73.2</v>
      </c>
      <c r="BW274" s="209">
        <f t="shared" si="238"/>
        <v>74.099999999999994</v>
      </c>
      <c r="BX274" s="209">
        <f t="shared" si="238"/>
        <v>74.7</v>
      </c>
      <c r="BY274" s="209">
        <f t="shared" si="238"/>
        <v>75.2</v>
      </c>
      <c r="BZ274" s="209">
        <f t="shared" si="238"/>
        <v>74.7</v>
      </c>
      <c r="CA274" s="209">
        <f t="shared" si="238"/>
        <v>76.599999999999994</v>
      </c>
      <c r="CB274" s="209">
        <f t="shared" si="238"/>
        <v>76.3</v>
      </c>
      <c r="CC274" s="209">
        <f t="shared" si="238"/>
        <v>78.5</v>
      </c>
      <c r="CD274" s="209">
        <f t="shared" si="238"/>
        <v>79</v>
      </c>
      <c r="CE274" s="141" t="str">
        <f t="shared" si="234"/>
        <v>Revenues</v>
      </c>
    </row>
    <row r="275" spans="28:83" ht="15">
      <c r="AB275" s="210" t="s">
        <v>8</v>
      </c>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c r="BI275" s="209"/>
      <c r="BJ275" s="209"/>
      <c r="BK275" s="209"/>
      <c r="BL275" s="209"/>
      <c r="BM275" s="209"/>
      <c r="BN275" s="209"/>
      <c r="BO275" s="209"/>
      <c r="BP275" s="209"/>
      <c r="BQ275" s="209"/>
      <c r="BR275" s="209"/>
      <c r="BS275" s="209"/>
      <c r="BT275" s="209"/>
      <c r="BU275" s="209">
        <f t="shared" ref="BU275:CD275" si="239">BU226</f>
        <v>19.399999999999999</v>
      </c>
      <c r="BV275" s="209">
        <f t="shared" si="239"/>
        <v>23.5</v>
      </c>
      <c r="BW275" s="209">
        <f t="shared" si="239"/>
        <v>23.9</v>
      </c>
      <c r="BX275" s="209">
        <f t="shared" si="239"/>
        <v>27.099999999999998</v>
      </c>
      <c r="BY275" s="209">
        <f t="shared" si="239"/>
        <v>32.800000000000018</v>
      </c>
      <c r="BZ275" s="209">
        <f t="shared" si="239"/>
        <v>29.2</v>
      </c>
      <c r="CA275" s="209">
        <f t="shared" si="239"/>
        <v>33.299999999999997</v>
      </c>
      <c r="CB275" s="209">
        <f t="shared" si="239"/>
        <v>32.799999999999997</v>
      </c>
      <c r="CC275" s="209">
        <f t="shared" si="239"/>
        <v>33.300000000000026</v>
      </c>
      <c r="CD275" s="209">
        <f t="shared" si="239"/>
        <v>33.299999999999997</v>
      </c>
      <c r="CE275" s="141" t="str">
        <f t="shared" si="234"/>
        <v>EBITDA</v>
      </c>
    </row>
    <row r="276" spans="28:83" ht="15">
      <c r="AB276" s="210" t="s">
        <v>19</v>
      </c>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f t="shared" ref="BU276:CD276" si="240">-BU118</f>
        <v>-7.3000000000000025</v>
      </c>
      <c r="BV276" s="209">
        <f t="shared" si="240"/>
        <v>-19.5</v>
      </c>
      <c r="BW276" s="209">
        <f t="shared" si="240"/>
        <v>-16.600000000000001</v>
      </c>
      <c r="BX276" s="209">
        <f t="shared" si="240"/>
        <v>-17.399999999999999</v>
      </c>
      <c r="BY276" s="209">
        <f t="shared" si="240"/>
        <v>-12.299999999999997</v>
      </c>
      <c r="BZ276" s="209">
        <f t="shared" si="240"/>
        <v>-13.7</v>
      </c>
      <c r="CA276" s="209">
        <f t="shared" si="240"/>
        <v>-19.500000000000004</v>
      </c>
      <c r="CB276" s="209">
        <f t="shared" si="240"/>
        <v>-17.2</v>
      </c>
      <c r="CC276" s="209">
        <f t="shared" si="240"/>
        <v>-10</v>
      </c>
      <c r="CD276" s="209">
        <f t="shared" si="240"/>
        <v>-15.7</v>
      </c>
      <c r="CE276" s="141" t="str">
        <f t="shared" si="234"/>
        <v>Capex</v>
      </c>
    </row>
    <row r="277" spans="28:83" ht="15">
      <c r="AB277" s="210" t="s">
        <v>679</v>
      </c>
      <c r="AC277" s="212"/>
      <c r="AD277" s="212"/>
      <c r="AE277" s="212"/>
      <c r="AF277" s="212"/>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c r="BI277" s="212"/>
      <c r="BJ277" s="212"/>
      <c r="BK277" s="212"/>
      <c r="BL277" s="212"/>
      <c r="BM277" s="212"/>
      <c r="BN277" s="212"/>
      <c r="BO277" s="212"/>
      <c r="BP277" s="212"/>
      <c r="BQ277" s="212"/>
      <c r="BR277" s="212"/>
      <c r="BS277" s="212"/>
      <c r="BT277" s="212"/>
      <c r="BU277" s="212"/>
      <c r="BV277" s="212">
        <v>-11.1</v>
      </c>
      <c r="BW277" s="212">
        <f>-22.8-BV277</f>
        <v>-11.700000000000001</v>
      </c>
      <c r="BX277" s="212">
        <f>-34.6-BV277-BW277</f>
        <v>-11.799999999999999</v>
      </c>
      <c r="BY277" s="212">
        <f>-46.7-BV277-BW277-BX277</f>
        <v>-12.1</v>
      </c>
      <c r="BZ277" s="212">
        <v>-11.5</v>
      </c>
      <c r="CA277" s="212">
        <f>-23-BZ277</f>
        <v>-11.5</v>
      </c>
      <c r="CB277" s="212">
        <f>-24.3-CA277-BZ277</f>
        <v>-1.3000000000000007</v>
      </c>
      <c r="CC277" s="212">
        <f>-34-BZ277-CA277-CB277</f>
        <v>-9.6999999999999993</v>
      </c>
      <c r="CD277" s="212">
        <v>-9</v>
      </c>
      <c r="CE277" s="141" t="str">
        <f t="shared" si="234"/>
        <v>Cash interest</v>
      </c>
    </row>
    <row r="278" spans="28:83" ht="15">
      <c r="AB278" s="210" t="s">
        <v>742</v>
      </c>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f t="shared" ref="BU278:CD278" si="241">BU270-BT270</f>
        <v>0</v>
      </c>
      <c r="BV278" s="209">
        <f t="shared" si="241"/>
        <v>0</v>
      </c>
      <c r="BW278" s="209">
        <f t="shared" si="241"/>
        <v>0</v>
      </c>
      <c r="BX278" s="209">
        <f t="shared" si="241"/>
        <v>0</v>
      </c>
      <c r="BY278" s="209">
        <f t="shared" si="241"/>
        <v>0</v>
      </c>
      <c r="BZ278" s="209">
        <f t="shared" si="241"/>
        <v>0</v>
      </c>
      <c r="CA278" s="209">
        <f t="shared" si="241"/>
        <v>0</v>
      </c>
      <c r="CB278" s="209">
        <f t="shared" si="241"/>
        <v>0</v>
      </c>
      <c r="CC278" s="209">
        <f t="shared" si="241"/>
        <v>0</v>
      </c>
      <c r="CD278" s="209">
        <f t="shared" si="241"/>
        <v>0</v>
      </c>
      <c r="CE278" s="141" t="str">
        <f t="shared" si="234"/>
        <v>PIK interest</v>
      </c>
    </row>
    <row r="279" spans="28:83" ht="15">
      <c r="AB279" s="210" t="s">
        <v>743</v>
      </c>
      <c r="AC279" s="212"/>
      <c r="AD279" s="212"/>
      <c r="AE279" s="212"/>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c r="BI279" s="212"/>
      <c r="BJ279" s="212"/>
      <c r="BK279" s="212"/>
      <c r="BL279" s="212"/>
      <c r="BM279" s="212"/>
      <c r="BN279" s="212"/>
      <c r="BO279" s="212"/>
      <c r="BP279" s="212"/>
      <c r="BQ279" s="212"/>
      <c r="BR279" s="212"/>
      <c r="BS279" s="212"/>
      <c r="BT279" s="212"/>
      <c r="BU279" s="212"/>
      <c r="BV279" s="212">
        <v>2.6</v>
      </c>
      <c r="BW279" s="212">
        <f>12.7-BV279</f>
        <v>10.1</v>
      </c>
      <c r="BX279" s="212">
        <f>3.8-BV279-BW279</f>
        <v>-8.9</v>
      </c>
      <c r="BY279" s="212">
        <f>-3-16.8-BV279-BW279-BX279</f>
        <v>-23.6</v>
      </c>
      <c r="BZ279" s="212">
        <v>0.8</v>
      </c>
      <c r="CA279" s="212">
        <f>-4.8-BZ279</f>
        <v>-5.6</v>
      </c>
      <c r="CB279" s="212">
        <f>-6.4-CA279-BZ279</f>
        <v>-1.6000000000000008</v>
      </c>
      <c r="CC279" s="212">
        <f>-3.9-2.4-BZ279-CA279-CB279</f>
        <v>0.10000000000000075</v>
      </c>
      <c r="CD279" s="212">
        <v>-1.6</v>
      </c>
      <c r="CE279" s="141" t="str">
        <f t="shared" si="234"/>
        <v>W capital change</v>
      </c>
    </row>
    <row r="280" spans="28:83" ht="15">
      <c r="AB280" s="210" t="s">
        <v>744</v>
      </c>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v>0</v>
      </c>
      <c r="BW280" s="212">
        <f>0-BV280</f>
        <v>0</v>
      </c>
      <c r="BX280" s="212">
        <f>0-BV280-BW280</f>
        <v>0</v>
      </c>
      <c r="BY280" s="212">
        <f>0-BV280-BW280-BX280</f>
        <v>0</v>
      </c>
      <c r="BZ280" s="212">
        <v>0</v>
      </c>
      <c r="CA280" s="212">
        <f>0-BZ280</f>
        <v>0</v>
      </c>
      <c r="CB280" s="212">
        <f>0-CA280-BZ280</f>
        <v>0</v>
      </c>
      <c r="CC280" s="212">
        <v>0</v>
      </c>
      <c r="CD280" s="212">
        <v>0</v>
      </c>
      <c r="CE280" s="141" t="str">
        <f t="shared" si="234"/>
        <v>Cash taxes</v>
      </c>
    </row>
    <row r="281" spans="28:83" ht="15">
      <c r="AB281" s="210" t="s">
        <v>682</v>
      </c>
      <c r="AC281" s="212"/>
      <c r="AD281" s="212"/>
      <c r="AE281" s="212"/>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c r="BI281" s="212"/>
      <c r="BJ281" s="212"/>
      <c r="BK281" s="212"/>
      <c r="BL281" s="212"/>
      <c r="BM281" s="212"/>
      <c r="BN281" s="212"/>
      <c r="BO281" s="212"/>
      <c r="BP281" s="212"/>
      <c r="BQ281" s="212"/>
      <c r="BR281" s="212"/>
      <c r="BS281" s="212"/>
      <c r="BT281" s="212"/>
      <c r="BU281" s="212"/>
      <c r="BV281" s="212">
        <v>0</v>
      </c>
      <c r="BW281" s="212">
        <f>3.3-BV281</f>
        <v>3.3</v>
      </c>
      <c r="BX281" s="212">
        <f>3.3-BV281-BW281</f>
        <v>0</v>
      </c>
      <c r="BY281" s="212">
        <f>19.9+3.3-BV281-BW281-BX281</f>
        <v>19.899999999999999</v>
      </c>
      <c r="BZ281" s="212">
        <v>0</v>
      </c>
      <c r="CA281" s="212">
        <f>0-BZ281</f>
        <v>0</v>
      </c>
      <c r="CB281" s="212">
        <f>0-CA281-BZ281</f>
        <v>0</v>
      </c>
      <c r="CC281" s="212">
        <v>0</v>
      </c>
      <c r="CD281" s="212">
        <v>0</v>
      </c>
      <c r="CE281" s="141" t="str">
        <f t="shared" si="234"/>
        <v>Shareholder payments</v>
      </c>
    </row>
    <row r="282" spans="28:83" ht="15">
      <c r="AB282" s="210" t="s">
        <v>745</v>
      </c>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f t="shared" ref="BU282:CD282" si="242">-BU283-(BU275+BU276+BU277+BU279+BU280+BU281)</f>
        <v>-674.2</v>
      </c>
      <c r="BV282" s="209">
        <f t="shared" si="242"/>
        <v>666.6</v>
      </c>
      <c r="BW282" s="209">
        <f t="shared" si="242"/>
        <v>-8.9999999999999964</v>
      </c>
      <c r="BX282" s="209">
        <f t="shared" si="242"/>
        <v>11</v>
      </c>
      <c r="BY282" s="209">
        <f t="shared" si="242"/>
        <v>-661.80000000000007</v>
      </c>
      <c r="BZ282" s="209">
        <f t="shared" si="242"/>
        <v>2.2000000000000002</v>
      </c>
      <c r="CA282" s="209">
        <f t="shared" si="242"/>
        <v>1.3000000000001197</v>
      </c>
      <c r="CB282" s="209">
        <f t="shared" si="242"/>
        <v>-22.600000000000087</v>
      </c>
      <c r="CC282" s="209">
        <f t="shared" si="242"/>
        <v>-2.8000000000000504</v>
      </c>
      <c r="CD282" s="209">
        <f t="shared" si="242"/>
        <v>1.4000000000000927</v>
      </c>
      <c r="CE282" s="141" t="str">
        <f t="shared" si="234"/>
        <v>Other cash flow</v>
      </c>
    </row>
    <row r="283" spans="28:83" ht="15">
      <c r="AB283" s="210" t="s">
        <v>116</v>
      </c>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f t="shared" ref="BU283:CD283" si="243">BU273-BT273</f>
        <v>662.1</v>
      </c>
      <c r="BV283" s="209">
        <f t="shared" si="243"/>
        <v>-662.1</v>
      </c>
      <c r="BW283" s="209">
        <f t="shared" si="243"/>
        <v>0</v>
      </c>
      <c r="BX283" s="209">
        <f t="shared" si="243"/>
        <v>0</v>
      </c>
      <c r="BY283" s="209">
        <f t="shared" si="243"/>
        <v>657.1</v>
      </c>
      <c r="BZ283" s="209">
        <f t="shared" si="243"/>
        <v>-7</v>
      </c>
      <c r="CA283" s="209">
        <f t="shared" si="243"/>
        <v>1.9999999999998863</v>
      </c>
      <c r="CB283" s="209">
        <f t="shared" si="243"/>
        <v>9.9000000000000909</v>
      </c>
      <c r="CC283" s="209">
        <f t="shared" si="243"/>
        <v>-10.899999999999977</v>
      </c>
      <c r="CD283" s="209">
        <f t="shared" si="243"/>
        <v>-8.4000000000000909</v>
      </c>
      <c r="CE283" s="141" t="str">
        <f t="shared" si="234"/>
        <v>Change in net debt</v>
      </c>
    </row>
    <row r="287" spans="28:83" ht="15">
      <c r="AB287" s="213" t="s">
        <v>377</v>
      </c>
      <c r="AC287" s="260" t="str">
        <f>AC$1</f>
        <v>Q4 01</v>
      </c>
      <c r="AD287" s="260" t="str">
        <f t="shared" ref="AD287:CD287" si="244">AD$1</f>
        <v>Q1 02</v>
      </c>
      <c r="AE287" s="260" t="str">
        <f t="shared" si="244"/>
        <v>Q2 02</v>
      </c>
      <c r="AF287" s="260" t="str">
        <f t="shared" si="244"/>
        <v>Q3 02</v>
      </c>
      <c r="AG287" s="260" t="str">
        <f t="shared" si="244"/>
        <v>Q4 02</v>
      </c>
      <c r="AH287" s="260" t="str">
        <f t="shared" si="244"/>
        <v>Q1 03</v>
      </c>
      <c r="AI287" s="260" t="str">
        <f t="shared" si="244"/>
        <v>Q2 03</v>
      </c>
      <c r="AJ287" s="260" t="str">
        <f t="shared" si="244"/>
        <v>Q3 03</v>
      </c>
      <c r="AK287" s="260" t="str">
        <f t="shared" si="244"/>
        <v>Q4 03</v>
      </c>
      <c r="AL287" s="260" t="str">
        <f t="shared" si="244"/>
        <v>1Q04</v>
      </c>
      <c r="AM287" s="260" t="str">
        <f t="shared" si="244"/>
        <v>Q2 04</v>
      </c>
      <c r="AN287" s="260" t="str">
        <f t="shared" si="244"/>
        <v>Q3 04</v>
      </c>
      <c r="AO287" s="260" t="str">
        <f t="shared" si="244"/>
        <v>Q4 04</v>
      </c>
      <c r="AP287" s="260" t="str">
        <f t="shared" si="244"/>
        <v>Q1 05</v>
      </c>
      <c r="AQ287" s="260" t="str">
        <f t="shared" si="244"/>
        <v>Q2 05</v>
      </c>
      <c r="AR287" s="260" t="str">
        <f t="shared" si="244"/>
        <v>Q3 05</v>
      </c>
      <c r="AS287" s="260" t="str">
        <f t="shared" si="244"/>
        <v>Q4 05</v>
      </c>
      <c r="AT287" s="260" t="str">
        <f t="shared" si="244"/>
        <v>Q1 06</v>
      </c>
      <c r="AU287" s="260" t="str">
        <f t="shared" si="244"/>
        <v>Q2 06</v>
      </c>
      <c r="AV287" s="260" t="str">
        <f t="shared" si="244"/>
        <v>Q3 06</v>
      </c>
      <c r="AW287" s="260" t="str">
        <f t="shared" si="244"/>
        <v>Q4 06</v>
      </c>
      <c r="AX287" s="260" t="str">
        <f t="shared" si="244"/>
        <v>Q1 07</v>
      </c>
      <c r="AY287" s="260" t="str">
        <f t="shared" si="244"/>
        <v>Q2 07</v>
      </c>
      <c r="AZ287" s="260" t="str">
        <f t="shared" si="244"/>
        <v>Q3 07</v>
      </c>
      <c r="BA287" s="260" t="str">
        <f t="shared" si="244"/>
        <v>Q4 07</v>
      </c>
      <c r="BB287" s="260" t="str">
        <f t="shared" si="244"/>
        <v>Q1 08</v>
      </c>
      <c r="BC287" s="260" t="str">
        <f t="shared" si="244"/>
        <v>Q2 08</v>
      </c>
      <c r="BD287" s="260" t="str">
        <f t="shared" si="244"/>
        <v>Q3 08</v>
      </c>
      <c r="BE287" s="260" t="str">
        <f t="shared" si="244"/>
        <v>Q4 08</v>
      </c>
      <c r="BF287" s="260" t="str">
        <f t="shared" si="244"/>
        <v>Q1 09</v>
      </c>
      <c r="BG287" s="260" t="str">
        <f t="shared" si="244"/>
        <v>Q2 09</v>
      </c>
      <c r="BH287" s="260" t="str">
        <f t="shared" si="244"/>
        <v>Q3 09</v>
      </c>
      <c r="BI287" s="260" t="str">
        <f t="shared" si="244"/>
        <v>Q4 09</v>
      </c>
      <c r="BJ287" s="260" t="str">
        <f t="shared" si="244"/>
        <v>Q1 10</v>
      </c>
      <c r="BK287" s="260" t="str">
        <f t="shared" si="244"/>
        <v>Q2 10</v>
      </c>
      <c r="BL287" s="260" t="str">
        <f t="shared" si="244"/>
        <v>Q3 10</v>
      </c>
      <c r="BM287" s="260" t="str">
        <f t="shared" si="244"/>
        <v>Q4 10</v>
      </c>
      <c r="BN287" s="260" t="str">
        <f t="shared" si="244"/>
        <v>Q1 11</v>
      </c>
      <c r="BO287" s="260" t="str">
        <f t="shared" si="244"/>
        <v>Q2 11</v>
      </c>
      <c r="BP287" s="260" t="str">
        <f t="shared" si="244"/>
        <v>Q3 11</v>
      </c>
      <c r="BQ287" s="260" t="str">
        <f t="shared" si="244"/>
        <v>Q4 11</v>
      </c>
      <c r="BR287" s="260" t="str">
        <f t="shared" si="244"/>
        <v>Q1 12</v>
      </c>
      <c r="BS287" s="260" t="str">
        <f t="shared" si="244"/>
        <v>Q2 12</v>
      </c>
      <c r="BT287" s="260" t="str">
        <f t="shared" si="244"/>
        <v>Q3 12</v>
      </c>
      <c r="BU287" s="260" t="str">
        <f t="shared" si="244"/>
        <v>Q4 12</v>
      </c>
      <c r="BV287" s="260" t="str">
        <f t="shared" si="244"/>
        <v>Q1 13</v>
      </c>
      <c r="BW287" s="260" t="str">
        <f t="shared" si="244"/>
        <v>Q2 13</v>
      </c>
      <c r="BX287" s="260" t="str">
        <f t="shared" si="244"/>
        <v>Q3 13</v>
      </c>
      <c r="BY287" s="260" t="str">
        <f t="shared" si="244"/>
        <v>Q4 13</v>
      </c>
      <c r="BZ287" s="260" t="str">
        <f t="shared" si="244"/>
        <v>Q1 14</v>
      </c>
      <c r="CA287" s="260" t="str">
        <f t="shared" si="244"/>
        <v>Q2 14</v>
      </c>
      <c r="CB287" s="260" t="str">
        <f t="shared" si="244"/>
        <v>Q3 14</v>
      </c>
      <c r="CC287" s="260" t="str">
        <f t="shared" si="244"/>
        <v>Q4 14</v>
      </c>
      <c r="CD287" s="260" t="str">
        <f t="shared" si="244"/>
        <v>Q1 15</v>
      </c>
    </row>
    <row r="288" spans="28:83" ht="15">
      <c r="AB288" s="214" t="s">
        <v>377</v>
      </c>
      <c r="AC288" s="215"/>
      <c r="BB288" s="116">
        <f t="shared" ref="BB288:CD288" si="245">BB275+BB276+BB277+BB279+BB280</f>
        <v>0</v>
      </c>
      <c r="BC288" s="116">
        <f t="shared" si="245"/>
        <v>0</v>
      </c>
      <c r="BD288" s="116">
        <f t="shared" si="245"/>
        <v>0</v>
      </c>
      <c r="BE288" s="116">
        <f t="shared" si="245"/>
        <v>0</v>
      </c>
      <c r="BF288" s="116">
        <f t="shared" si="245"/>
        <v>0</v>
      </c>
      <c r="BG288" s="116">
        <f t="shared" si="245"/>
        <v>0</v>
      </c>
      <c r="BH288" s="116">
        <f t="shared" si="245"/>
        <v>0</v>
      </c>
      <c r="BI288" s="116">
        <f t="shared" si="245"/>
        <v>0</v>
      </c>
      <c r="BJ288" s="116">
        <f t="shared" si="245"/>
        <v>0</v>
      </c>
      <c r="BK288" s="116">
        <f t="shared" si="245"/>
        <v>0</v>
      </c>
      <c r="BL288" s="116">
        <f t="shared" si="245"/>
        <v>0</v>
      </c>
      <c r="BM288" s="116">
        <f t="shared" si="245"/>
        <v>0</v>
      </c>
      <c r="BN288" s="116">
        <f t="shared" si="245"/>
        <v>0</v>
      </c>
      <c r="BO288" s="116">
        <f t="shared" si="245"/>
        <v>0</v>
      </c>
      <c r="BP288" s="116">
        <f t="shared" si="245"/>
        <v>0</v>
      </c>
      <c r="BQ288" s="116">
        <f t="shared" si="245"/>
        <v>0</v>
      </c>
      <c r="BR288" s="116">
        <f t="shared" si="245"/>
        <v>0</v>
      </c>
      <c r="BS288" s="116">
        <f t="shared" si="245"/>
        <v>0</v>
      </c>
      <c r="BT288" s="116">
        <f t="shared" si="245"/>
        <v>0</v>
      </c>
      <c r="BU288" s="116">
        <f t="shared" si="245"/>
        <v>12.099999999999996</v>
      </c>
      <c r="BV288" s="116">
        <f t="shared" si="245"/>
        <v>-4.5</v>
      </c>
      <c r="BW288" s="116">
        <f t="shared" si="245"/>
        <v>5.6999999999999957</v>
      </c>
      <c r="BX288" s="116">
        <f t="shared" si="245"/>
        <v>-11</v>
      </c>
      <c r="BY288" s="116">
        <f t="shared" si="245"/>
        <v>-15.19999999999998</v>
      </c>
      <c r="BZ288" s="116">
        <f t="shared" si="245"/>
        <v>4.8</v>
      </c>
      <c r="CA288" s="116">
        <f t="shared" si="245"/>
        <v>-3.300000000000006</v>
      </c>
      <c r="CB288" s="116">
        <f t="shared" si="245"/>
        <v>12.699999999999996</v>
      </c>
      <c r="CC288" s="116">
        <f t="shared" si="245"/>
        <v>13.700000000000028</v>
      </c>
      <c r="CD288" s="116">
        <f t="shared" si="245"/>
        <v>6.9999999999999982</v>
      </c>
      <c r="CE288" s="141" t="str">
        <f>AB288</f>
        <v>FCF</v>
      </c>
    </row>
    <row r="289" spans="28:83" ht="15">
      <c r="AB289" s="216" t="s">
        <v>746</v>
      </c>
      <c r="AC289" s="215"/>
      <c r="BE289" s="116">
        <f t="shared" ref="BE289:CD289" si="246">SUM(BB288:BE288)</f>
        <v>0</v>
      </c>
      <c r="BF289" s="116">
        <f t="shared" si="246"/>
        <v>0</v>
      </c>
      <c r="BG289" s="116">
        <f t="shared" si="246"/>
        <v>0</v>
      </c>
      <c r="BH289" s="116">
        <f t="shared" si="246"/>
        <v>0</v>
      </c>
      <c r="BI289" s="116">
        <f t="shared" si="246"/>
        <v>0</v>
      </c>
      <c r="BJ289" s="116">
        <f t="shared" si="246"/>
        <v>0</v>
      </c>
      <c r="BK289" s="116">
        <f t="shared" si="246"/>
        <v>0</v>
      </c>
      <c r="BL289" s="116">
        <f t="shared" si="246"/>
        <v>0</v>
      </c>
      <c r="BM289" s="116">
        <f t="shared" si="246"/>
        <v>0</v>
      </c>
      <c r="BN289" s="116">
        <f t="shared" si="246"/>
        <v>0</v>
      </c>
      <c r="BO289" s="116">
        <f t="shared" si="246"/>
        <v>0</v>
      </c>
      <c r="BP289" s="116">
        <f t="shared" si="246"/>
        <v>0</v>
      </c>
      <c r="BQ289" s="116">
        <f t="shared" si="246"/>
        <v>0</v>
      </c>
      <c r="BR289" s="116">
        <f t="shared" si="246"/>
        <v>0</v>
      </c>
      <c r="BS289" s="116">
        <f t="shared" si="246"/>
        <v>0</v>
      </c>
      <c r="BT289" s="116">
        <f t="shared" si="246"/>
        <v>0</v>
      </c>
      <c r="BU289" s="116">
        <f t="shared" si="246"/>
        <v>12.099999999999996</v>
      </c>
      <c r="BV289" s="116">
        <f t="shared" si="246"/>
        <v>7.5999999999999961</v>
      </c>
      <c r="BW289" s="116">
        <f t="shared" si="246"/>
        <v>13.299999999999992</v>
      </c>
      <c r="BX289" s="116">
        <f t="shared" si="246"/>
        <v>2.2999999999999918</v>
      </c>
      <c r="BY289" s="116">
        <f t="shared" si="246"/>
        <v>-24.999999999999986</v>
      </c>
      <c r="BZ289" s="116">
        <f t="shared" si="246"/>
        <v>-15.699999999999985</v>
      </c>
      <c r="CA289" s="116">
        <f t="shared" si="246"/>
        <v>-24.699999999999989</v>
      </c>
      <c r="CB289" s="116">
        <f t="shared" si="246"/>
        <v>-0.99999999999999112</v>
      </c>
      <c r="CC289" s="116">
        <f t="shared" si="246"/>
        <v>27.900000000000016</v>
      </c>
      <c r="CD289" s="116">
        <f t="shared" si="246"/>
        <v>30.100000000000016</v>
      </c>
      <c r="CE289" s="141" t="str">
        <f>AB289</f>
        <v>LTM FCF</v>
      </c>
    </row>
    <row r="290" spans="28:83" ht="15">
      <c r="AB290" s="214"/>
      <c r="AC290" s="215"/>
    </row>
    <row r="291" spans="28:83" ht="15">
      <c r="AB291" s="217"/>
      <c r="AC291" s="215"/>
    </row>
    <row r="292" spans="28:83" ht="15">
      <c r="AB292" s="218" t="s">
        <v>747</v>
      </c>
      <c r="AC292" s="219" t="str">
        <f>AC$1</f>
        <v>Q4 01</v>
      </c>
      <c r="AD292" s="219" t="str">
        <f t="shared" ref="AD292:CD292" si="247">AD$1</f>
        <v>Q1 02</v>
      </c>
      <c r="AE292" s="219" t="str">
        <f t="shared" si="247"/>
        <v>Q2 02</v>
      </c>
      <c r="AF292" s="219" t="str">
        <f t="shared" si="247"/>
        <v>Q3 02</v>
      </c>
      <c r="AG292" s="219" t="str">
        <f t="shared" si="247"/>
        <v>Q4 02</v>
      </c>
      <c r="AH292" s="219" t="str">
        <f t="shared" si="247"/>
        <v>Q1 03</v>
      </c>
      <c r="AI292" s="219" t="str">
        <f t="shared" si="247"/>
        <v>Q2 03</v>
      </c>
      <c r="AJ292" s="219" t="str">
        <f t="shared" si="247"/>
        <v>Q3 03</v>
      </c>
      <c r="AK292" s="219" t="str">
        <f t="shared" si="247"/>
        <v>Q4 03</v>
      </c>
      <c r="AL292" s="219" t="str">
        <f t="shared" si="247"/>
        <v>1Q04</v>
      </c>
      <c r="AM292" s="219" t="str">
        <f t="shared" si="247"/>
        <v>Q2 04</v>
      </c>
      <c r="AN292" s="219" t="str">
        <f t="shared" si="247"/>
        <v>Q3 04</v>
      </c>
      <c r="AO292" s="219" t="str">
        <f t="shared" si="247"/>
        <v>Q4 04</v>
      </c>
      <c r="AP292" s="219" t="str">
        <f t="shared" si="247"/>
        <v>Q1 05</v>
      </c>
      <c r="AQ292" s="219" t="str">
        <f t="shared" si="247"/>
        <v>Q2 05</v>
      </c>
      <c r="AR292" s="219" t="str">
        <f t="shared" si="247"/>
        <v>Q3 05</v>
      </c>
      <c r="AS292" s="219" t="str">
        <f t="shared" si="247"/>
        <v>Q4 05</v>
      </c>
      <c r="AT292" s="219" t="str">
        <f t="shared" si="247"/>
        <v>Q1 06</v>
      </c>
      <c r="AU292" s="219" t="str">
        <f t="shared" si="247"/>
        <v>Q2 06</v>
      </c>
      <c r="AV292" s="219" t="str">
        <f t="shared" si="247"/>
        <v>Q3 06</v>
      </c>
      <c r="AW292" s="219" t="str">
        <f t="shared" si="247"/>
        <v>Q4 06</v>
      </c>
      <c r="AX292" s="219" t="str">
        <f t="shared" si="247"/>
        <v>Q1 07</v>
      </c>
      <c r="AY292" s="219" t="str">
        <f t="shared" si="247"/>
        <v>Q2 07</v>
      </c>
      <c r="AZ292" s="219" t="str">
        <f t="shared" si="247"/>
        <v>Q3 07</v>
      </c>
      <c r="BA292" s="219" t="str">
        <f t="shared" si="247"/>
        <v>Q4 07</v>
      </c>
      <c r="BB292" s="219" t="str">
        <f t="shared" si="247"/>
        <v>Q1 08</v>
      </c>
      <c r="BC292" s="219" t="str">
        <f t="shared" si="247"/>
        <v>Q2 08</v>
      </c>
      <c r="BD292" s="219" t="str">
        <f t="shared" si="247"/>
        <v>Q3 08</v>
      </c>
      <c r="BE292" s="219" t="str">
        <f t="shared" si="247"/>
        <v>Q4 08</v>
      </c>
      <c r="BF292" s="219" t="str">
        <f t="shared" si="247"/>
        <v>Q1 09</v>
      </c>
      <c r="BG292" s="219" t="str">
        <f t="shared" si="247"/>
        <v>Q2 09</v>
      </c>
      <c r="BH292" s="219" t="str">
        <f t="shared" si="247"/>
        <v>Q3 09</v>
      </c>
      <c r="BI292" s="219" t="str">
        <f t="shared" si="247"/>
        <v>Q4 09</v>
      </c>
      <c r="BJ292" s="219" t="str">
        <f t="shared" si="247"/>
        <v>Q1 10</v>
      </c>
      <c r="BK292" s="219" t="str">
        <f t="shared" si="247"/>
        <v>Q2 10</v>
      </c>
      <c r="BL292" s="219" t="str">
        <f t="shared" si="247"/>
        <v>Q3 10</v>
      </c>
      <c r="BM292" s="219" t="str">
        <f t="shared" si="247"/>
        <v>Q4 10</v>
      </c>
      <c r="BN292" s="219" t="str">
        <f t="shared" si="247"/>
        <v>Q1 11</v>
      </c>
      <c r="BO292" s="219" t="str">
        <f t="shared" si="247"/>
        <v>Q2 11</v>
      </c>
      <c r="BP292" s="219" t="str">
        <f t="shared" si="247"/>
        <v>Q3 11</v>
      </c>
      <c r="BQ292" s="219" t="str">
        <f t="shared" si="247"/>
        <v>Q4 11</v>
      </c>
      <c r="BR292" s="219" t="str">
        <f t="shared" si="247"/>
        <v>Q1 12</v>
      </c>
      <c r="BS292" s="219" t="str">
        <f t="shared" si="247"/>
        <v>Q2 12</v>
      </c>
      <c r="BT292" s="219" t="str">
        <f t="shared" si="247"/>
        <v>Q3 12</v>
      </c>
      <c r="BU292" s="219" t="str">
        <f t="shared" si="247"/>
        <v>Q4 12</v>
      </c>
      <c r="BV292" s="219" t="str">
        <f t="shared" si="247"/>
        <v>Q1 13</v>
      </c>
      <c r="BW292" s="219" t="str">
        <f t="shared" si="247"/>
        <v>Q2 13</v>
      </c>
      <c r="BX292" s="219" t="str">
        <f t="shared" si="247"/>
        <v>Q3 13</v>
      </c>
      <c r="BY292" s="219" t="str">
        <f t="shared" si="247"/>
        <v>Q4 13</v>
      </c>
      <c r="BZ292" s="219" t="str">
        <f t="shared" si="247"/>
        <v>Q1 14</v>
      </c>
      <c r="CA292" s="219" t="str">
        <f t="shared" si="247"/>
        <v>Q2 14</v>
      </c>
      <c r="CB292" s="219" t="str">
        <f t="shared" si="247"/>
        <v>Q3 14</v>
      </c>
      <c r="CC292" s="219" t="str">
        <f t="shared" si="247"/>
        <v>Q4 14</v>
      </c>
      <c r="CD292" s="219" t="str">
        <f t="shared" si="247"/>
        <v>Q1 15</v>
      </c>
    </row>
    <row r="293" spans="28:83" ht="15">
      <c r="AB293" s="220" t="s">
        <v>8</v>
      </c>
      <c r="AC293" s="261"/>
      <c r="AD293" s="261"/>
      <c r="AE293" s="261"/>
      <c r="AF293" s="261"/>
      <c r="AG293" s="261"/>
      <c r="AH293" s="261"/>
      <c r="AI293" s="261"/>
      <c r="AJ293" s="261"/>
      <c r="AK293" s="261"/>
      <c r="AL293" s="261"/>
      <c r="AM293" s="261"/>
      <c r="AN293" s="261"/>
      <c r="AO293" s="261"/>
      <c r="AP293" s="261"/>
      <c r="AQ293" s="261"/>
      <c r="AR293" s="261"/>
      <c r="AS293" s="261"/>
      <c r="AT293" s="261"/>
      <c r="AU293" s="261"/>
      <c r="AV293" s="261"/>
      <c r="AW293" s="261"/>
      <c r="AX293" s="261"/>
      <c r="AY293" s="261"/>
      <c r="AZ293" s="261"/>
      <c r="BA293" s="261"/>
      <c r="BB293" s="261"/>
      <c r="BC293" s="261"/>
      <c r="BD293" s="261"/>
      <c r="BE293" s="261"/>
      <c r="BF293" s="261"/>
      <c r="BG293" s="261"/>
      <c r="BH293" s="261"/>
      <c r="BI293" s="261"/>
      <c r="BJ293" s="261"/>
      <c r="BK293" s="261"/>
      <c r="BL293" s="261"/>
      <c r="BM293" s="261"/>
      <c r="BN293" s="261"/>
      <c r="BO293" s="261"/>
      <c r="BP293" s="261"/>
      <c r="BQ293" s="261"/>
      <c r="BR293" s="261"/>
      <c r="BS293" s="261"/>
      <c r="BT293" s="261"/>
      <c r="BU293" s="221">
        <f t="shared" ref="BU293:CD295" si="248">BU275</f>
        <v>19.399999999999999</v>
      </c>
      <c r="BV293" s="221">
        <f t="shared" si="248"/>
        <v>23.5</v>
      </c>
      <c r="BW293" s="221">
        <f t="shared" si="248"/>
        <v>23.9</v>
      </c>
      <c r="BX293" s="221">
        <f t="shared" si="248"/>
        <v>27.099999999999998</v>
      </c>
      <c r="BY293" s="221">
        <f t="shared" si="248"/>
        <v>32.800000000000018</v>
      </c>
      <c r="BZ293" s="221">
        <f t="shared" si="248"/>
        <v>29.2</v>
      </c>
      <c r="CA293" s="221">
        <f t="shared" si="248"/>
        <v>33.299999999999997</v>
      </c>
      <c r="CB293" s="221">
        <f t="shared" si="248"/>
        <v>32.799999999999997</v>
      </c>
      <c r="CC293" s="221">
        <f t="shared" si="248"/>
        <v>33.300000000000026</v>
      </c>
      <c r="CD293" s="221">
        <f t="shared" si="248"/>
        <v>33.299999999999997</v>
      </c>
      <c r="CE293" s="262" t="str">
        <f>AB293</f>
        <v>EBITDA</v>
      </c>
    </row>
    <row r="294" spans="28:83" ht="15">
      <c r="AB294" s="222" t="s">
        <v>19</v>
      </c>
      <c r="AC294" s="263"/>
      <c r="AD294" s="263"/>
      <c r="AE294" s="263"/>
      <c r="AF294" s="263"/>
      <c r="AG294" s="263"/>
      <c r="AH294" s="263"/>
      <c r="AI294" s="263"/>
      <c r="AJ294" s="263"/>
      <c r="AK294" s="263"/>
      <c r="AL294" s="263"/>
      <c r="AM294" s="263"/>
      <c r="AN294" s="263"/>
      <c r="AO294" s="263"/>
      <c r="AP294" s="263"/>
      <c r="AQ294" s="263"/>
      <c r="AR294" s="263"/>
      <c r="AS294" s="263"/>
      <c r="AT294" s="263"/>
      <c r="AU294" s="263"/>
      <c r="AV294" s="263"/>
      <c r="AW294" s="263"/>
      <c r="AX294" s="263"/>
      <c r="AY294" s="263"/>
      <c r="AZ294" s="263"/>
      <c r="BA294" s="263"/>
      <c r="BB294" s="263"/>
      <c r="BC294" s="263"/>
      <c r="BD294" s="263"/>
      <c r="BE294" s="263"/>
      <c r="BF294" s="263"/>
      <c r="BG294" s="263"/>
      <c r="BH294" s="263"/>
      <c r="BI294" s="263"/>
      <c r="BJ294" s="263"/>
      <c r="BK294" s="263"/>
      <c r="BL294" s="263"/>
      <c r="BM294" s="263"/>
      <c r="BN294" s="263"/>
      <c r="BO294" s="263"/>
      <c r="BP294" s="263"/>
      <c r="BQ294" s="263"/>
      <c r="BR294" s="263"/>
      <c r="BS294" s="263"/>
      <c r="BT294" s="263"/>
      <c r="BU294" s="223">
        <f t="shared" si="248"/>
        <v>-7.3000000000000025</v>
      </c>
      <c r="BV294" s="223">
        <f t="shared" si="248"/>
        <v>-19.5</v>
      </c>
      <c r="BW294" s="223">
        <f t="shared" si="248"/>
        <v>-16.600000000000001</v>
      </c>
      <c r="BX294" s="223">
        <f t="shared" si="248"/>
        <v>-17.399999999999999</v>
      </c>
      <c r="BY294" s="223">
        <f t="shared" si="248"/>
        <v>-12.299999999999997</v>
      </c>
      <c r="BZ294" s="223">
        <f t="shared" si="248"/>
        <v>-13.7</v>
      </c>
      <c r="CA294" s="223">
        <f t="shared" si="248"/>
        <v>-19.500000000000004</v>
      </c>
      <c r="CB294" s="223">
        <f t="shared" si="248"/>
        <v>-17.2</v>
      </c>
      <c r="CC294" s="223">
        <f t="shared" si="248"/>
        <v>-10</v>
      </c>
      <c r="CD294" s="223">
        <f t="shared" si="248"/>
        <v>-15.7</v>
      </c>
      <c r="CE294" s="262" t="str">
        <f t="shared" ref="CE294:CE308" si="249">AB294</f>
        <v>Capex</v>
      </c>
    </row>
    <row r="295" spans="28:83" ht="15">
      <c r="AB295" s="220" t="s">
        <v>679</v>
      </c>
      <c r="AC295" s="261"/>
      <c r="AD295" s="261"/>
      <c r="AE295" s="261"/>
      <c r="AF295" s="261"/>
      <c r="AG295" s="261"/>
      <c r="AH295" s="261"/>
      <c r="AI295" s="261"/>
      <c r="AJ295" s="261"/>
      <c r="AK295" s="261"/>
      <c r="AL295" s="261"/>
      <c r="AM295" s="261"/>
      <c r="AN295" s="261"/>
      <c r="AO295" s="261"/>
      <c r="AP295" s="261"/>
      <c r="AQ295" s="261"/>
      <c r="AR295" s="261"/>
      <c r="AS295" s="261"/>
      <c r="AT295" s="261"/>
      <c r="AU295" s="261"/>
      <c r="AV295" s="261"/>
      <c r="AW295" s="261"/>
      <c r="AX295" s="261"/>
      <c r="AY295" s="261"/>
      <c r="AZ295" s="261"/>
      <c r="BA295" s="261"/>
      <c r="BB295" s="261"/>
      <c r="BC295" s="261"/>
      <c r="BD295" s="261"/>
      <c r="BE295" s="261"/>
      <c r="BF295" s="261"/>
      <c r="BG295" s="261"/>
      <c r="BH295" s="261"/>
      <c r="BI295" s="261"/>
      <c r="BJ295" s="261"/>
      <c r="BK295" s="261"/>
      <c r="BL295" s="261"/>
      <c r="BM295" s="261"/>
      <c r="BN295" s="261"/>
      <c r="BO295" s="261"/>
      <c r="BP295" s="261"/>
      <c r="BQ295" s="261"/>
      <c r="BR295" s="261"/>
      <c r="BS295" s="261"/>
      <c r="BT295" s="261"/>
      <c r="BU295" s="221"/>
      <c r="BV295" s="221">
        <f t="shared" si="248"/>
        <v>-11.1</v>
      </c>
      <c r="BW295" s="221">
        <f t="shared" si="248"/>
        <v>-11.700000000000001</v>
      </c>
      <c r="BX295" s="221">
        <f t="shared" si="248"/>
        <v>-11.799999999999999</v>
      </c>
      <c r="BY295" s="221">
        <f t="shared" si="248"/>
        <v>-12.1</v>
      </c>
      <c r="BZ295" s="221">
        <f t="shared" si="248"/>
        <v>-11.5</v>
      </c>
      <c r="CA295" s="221">
        <f t="shared" si="248"/>
        <v>-11.5</v>
      </c>
      <c r="CB295" s="221">
        <f t="shared" si="248"/>
        <v>-1.3000000000000007</v>
      </c>
      <c r="CC295" s="221">
        <f t="shared" si="248"/>
        <v>-9.6999999999999993</v>
      </c>
      <c r="CD295" s="221">
        <f t="shared" si="248"/>
        <v>-9</v>
      </c>
      <c r="CE295" s="262" t="str">
        <f t="shared" si="249"/>
        <v>Cash interest</v>
      </c>
    </row>
    <row r="296" spans="28:83" ht="15">
      <c r="AB296" s="222" t="s">
        <v>743</v>
      </c>
      <c r="AC296" s="263"/>
      <c r="AD296" s="263"/>
      <c r="AE296" s="263"/>
      <c r="AF296" s="263"/>
      <c r="AG296" s="263"/>
      <c r="AH296" s="263"/>
      <c r="AI296" s="263"/>
      <c r="AJ296" s="263"/>
      <c r="AK296" s="263"/>
      <c r="AL296" s="263"/>
      <c r="AM296" s="263"/>
      <c r="AN296" s="263"/>
      <c r="AO296" s="263"/>
      <c r="AP296" s="263"/>
      <c r="AQ296" s="263"/>
      <c r="AR296" s="263"/>
      <c r="AS296" s="263"/>
      <c r="AT296" s="263"/>
      <c r="AU296" s="263"/>
      <c r="AV296" s="263"/>
      <c r="AW296" s="263"/>
      <c r="AX296" s="263"/>
      <c r="AY296" s="263"/>
      <c r="AZ296" s="263"/>
      <c r="BA296" s="263"/>
      <c r="BB296" s="263"/>
      <c r="BC296" s="263"/>
      <c r="BD296" s="263"/>
      <c r="BE296" s="263"/>
      <c r="BF296" s="263"/>
      <c r="BG296" s="263"/>
      <c r="BH296" s="263"/>
      <c r="BI296" s="263"/>
      <c r="BJ296" s="263"/>
      <c r="BK296" s="263"/>
      <c r="BL296" s="263"/>
      <c r="BM296" s="263"/>
      <c r="BN296" s="263"/>
      <c r="BO296" s="263"/>
      <c r="BP296" s="263"/>
      <c r="BQ296" s="263"/>
      <c r="BR296" s="263"/>
      <c r="BS296" s="263"/>
      <c r="BT296" s="263"/>
      <c r="BU296" s="223"/>
      <c r="BV296" s="223">
        <f t="shared" ref="BV296:CD300" si="250">BV279</f>
        <v>2.6</v>
      </c>
      <c r="BW296" s="223">
        <f t="shared" si="250"/>
        <v>10.1</v>
      </c>
      <c r="BX296" s="223">
        <f t="shared" si="250"/>
        <v>-8.9</v>
      </c>
      <c r="BY296" s="223">
        <f t="shared" si="250"/>
        <v>-23.6</v>
      </c>
      <c r="BZ296" s="223">
        <f t="shared" si="250"/>
        <v>0.8</v>
      </c>
      <c r="CA296" s="223">
        <f t="shared" si="250"/>
        <v>-5.6</v>
      </c>
      <c r="CB296" s="223">
        <f t="shared" si="250"/>
        <v>-1.6000000000000008</v>
      </c>
      <c r="CC296" s="223">
        <f t="shared" si="250"/>
        <v>0.10000000000000075</v>
      </c>
      <c r="CD296" s="223">
        <f t="shared" si="250"/>
        <v>-1.6</v>
      </c>
      <c r="CE296" s="262" t="str">
        <f t="shared" si="249"/>
        <v>W capital change</v>
      </c>
    </row>
    <row r="297" spans="28:83" ht="15">
      <c r="AB297" s="220" t="s">
        <v>744</v>
      </c>
      <c r="AC297" s="261"/>
      <c r="AD297" s="261"/>
      <c r="AE297" s="261"/>
      <c r="AF297" s="261"/>
      <c r="AG297" s="261"/>
      <c r="AH297" s="261"/>
      <c r="AI297" s="261"/>
      <c r="AJ297" s="261"/>
      <c r="AK297" s="261"/>
      <c r="AL297" s="261"/>
      <c r="AM297" s="261"/>
      <c r="AN297" s="261"/>
      <c r="AO297" s="261"/>
      <c r="AP297" s="261"/>
      <c r="AQ297" s="261"/>
      <c r="AR297" s="261"/>
      <c r="AS297" s="261"/>
      <c r="AT297" s="261"/>
      <c r="AU297" s="261"/>
      <c r="AV297" s="261"/>
      <c r="AW297" s="261"/>
      <c r="AX297" s="261"/>
      <c r="AY297" s="261"/>
      <c r="AZ297" s="261"/>
      <c r="BA297" s="261"/>
      <c r="BB297" s="261"/>
      <c r="BC297" s="261"/>
      <c r="BD297" s="261"/>
      <c r="BE297" s="261"/>
      <c r="BF297" s="261"/>
      <c r="BG297" s="261"/>
      <c r="BH297" s="261"/>
      <c r="BI297" s="261"/>
      <c r="BJ297" s="261"/>
      <c r="BK297" s="261"/>
      <c r="BL297" s="261"/>
      <c r="BM297" s="261"/>
      <c r="BN297" s="261"/>
      <c r="BO297" s="261"/>
      <c r="BP297" s="261"/>
      <c r="BQ297" s="261"/>
      <c r="BR297" s="261"/>
      <c r="BS297" s="261"/>
      <c r="BT297" s="261"/>
      <c r="BU297" s="221"/>
      <c r="BV297" s="221">
        <f t="shared" si="250"/>
        <v>0</v>
      </c>
      <c r="BW297" s="221">
        <f t="shared" si="250"/>
        <v>0</v>
      </c>
      <c r="BX297" s="221">
        <f t="shared" si="250"/>
        <v>0</v>
      </c>
      <c r="BY297" s="221">
        <f t="shared" si="250"/>
        <v>0</v>
      </c>
      <c r="BZ297" s="221">
        <f t="shared" si="250"/>
        <v>0</v>
      </c>
      <c r="CA297" s="221">
        <f t="shared" si="250"/>
        <v>0</v>
      </c>
      <c r="CB297" s="221">
        <f t="shared" si="250"/>
        <v>0</v>
      </c>
      <c r="CC297" s="221">
        <f t="shared" si="250"/>
        <v>0</v>
      </c>
      <c r="CD297" s="221">
        <f t="shared" si="250"/>
        <v>0</v>
      </c>
      <c r="CE297" s="262" t="str">
        <f t="shared" si="249"/>
        <v>Cash taxes</v>
      </c>
    </row>
    <row r="298" spans="28:83" ht="15">
      <c r="AB298" s="222" t="s">
        <v>682</v>
      </c>
      <c r="AC298" s="263"/>
      <c r="AD298" s="263"/>
      <c r="AE298" s="263"/>
      <c r="AF298" s="263"/>
      <c r="AG298" s="263"/>
      <c r="AH298" s="263"/>
      <c r="AI298" s="263"/>
      <c r="AJ298" s="263"/>
      <c r="AK298" s="263"/>
      <c r="AL298" s="263"/>
      <c r="AM298" s="263"/>
      <c r="AN298" s="263"/>
      <c r="AO298" s="263"/>
      <c r="AP298" s="263"/>
      <c r="AQ298" s="263"/>
      <c r="AR298" s="263"/>
      <c r="AS298" s="263"/>
      <c r="AT298" s="263"/>
      <c r="AU298" s="263"/>
      <c r="AV298" s="263"/>
      <c r="AW298" s="263"/>
      <c r="AX298" s="263"/>
      <c r="AY298" s="263"/>
      <c r="AZ298" s="263"/>
      <c r="BA298" s="263"/>
      <c r="BB298" s="263"/>
      <c r="BC298" s="263"/>
      <c r="BD298" s="263"/>
      <c r="BE298" s="263"/>
      <c r="BF298" s="263"/>
      <c r="BG298" s="263"/>
      <c r="BH298" s="263"/>
      <c r="BI298" s="263"/>
      <c r="BJ298" s="263"/>
      <c r="BK298" s="263"/>
      <c r="BL298" s="263"/>
      <c r="BM298" s="263"/>
      <c r="BN298" s="263"/>
      <c r="BO298" s="263"/>
      <c r="BP298" s="263"/>
      <c r="BQ298" s="263"/>
      <c r="BR298" s="263"/>
      <c r="BS298" s="263"/>
      <c r="BT298" s="263"/>
      <c r="BU298" s="223"/>
      <c r="BV298" s="223">
        <f t="shared" si="250"/>
        <v>0</v>
      </c>
      <c r="BW298" s="223">
        <f t="shared" si="250"/>
        <v>3.3</v>
      </c>
      <c r="BX298" s="223">
        <f t="shared" si="250"/>
        <v>0</v>
      </c>
      <c r="BY298" s="223">
        <f t="shared" si="250"/>
        <v>19.899999999999999</v>
      </c>
      <c r="BZ298" s="223">
        <f t="shared" si="250"/>
        <v>0</v>
      </c>
      <c r="CA298" s="223">
        <f t="shared" si="250"/>
        <v>0</v>
      </c>
      <c r="CB298" s="223">
        <f t="shared" si="250"/>
        <v>0</v>
      </c>
      <c r="CC298" s="223">
        <f t="shared" si="250"/>
        <v>0</v>
      </c>
      <c r="CD298" s="223">
        <f t="shared" si="250"/>
        <v>0</v>
      </c>
      <c r="CE298" s="262" t="str">
        <f t="shared" si="249"/>
        <v>Shareholder payments</v>
      </c>
    </row>
    <row r="299" spans="28:83" ht="15">
      <c r="AB299" s="220" t="s">
        <v>745</v>
      </c>
      <c r="AC299" s="261"/>
      <c r="AD299" s="261"/>
      <c r="AE299" s="261"/>
      <c r="AF299" s="261"/>
      <c r="AG299" s="261"/>
      <c r="AH299" s="261"/>
      <c r="AI299" s="261"/>
      <c r="AJ299" s="261"/>
      <c r="AK299" s="261"/>
      <c r="AL299" s="261"/>
      <c r="AM299" s="261"/>
      <c r="AN299" s="261"/>
      <c r="AO299" s="261"/>
      <c r="AP299" s="261"/>
      <c r="AQ299" s="261"/>
      <c r="AR299" s="261"/>
      <c r="AS299" s="261"/>
      <c r="AT299" s="261"/>
      <c r="AU299" s="261"/>
      <c r="AV299" s="261"/>
      <c r="AW299" s="261"/>
      <c r="AX299" s="261"/>
      <c r="AY299" s="261"/>
      <c r="AZ299" s="261"/>
      <c r="BA299" s="261"/>
      <c r="BB299" s="261"/>
      <c r="BC299" s="261"/>
      <c r="BD299" s="261"/>
      <c r="BE299" s="261"/>
      <c r="BF299" s="261"/>
      <c r="BG299" s="261"/>
      <c r="BH299" s="261"/>
      <c r="BI299" s="261"/>
      <c r="BJ299" s="261"/>
      <c r="BK299" s="261"/>
      <c r="BL299" s="261"/>
      <c r="BM299" s="261"/>
      <c r="BN299" s="261"/>
      <c r="BO299" s="261"/>
      <c r="BP299" s="261"/>
      <c r="BQ299" s="261"/>
      <c r="BR299" s="261"/>
      <c r="BS299" s="261"/>
      <c r="BT299" s="261"/>
      <c r="BU299" s="221"/>
      <c r="BV299" s="221">
        <f t="shared" si="250"/>
        <v>666.6</v>
      </c>
      <c r="BW299" s="221">
        <f t="shared" si="250"/>
        <v>-8.9999999999999964</v>
      </c>
      <c r="BX299" s="221">
        <f t="shared" si="250"/>
        <v>11</v>
      </c>
      <c r="BY299" s="221">
        <f t="shared" si="250"/>
        <v>-661.80000000000007</v>
      </c>
      <c r="BZ299" s="221">
        <f t="shared" si="250"/>
        <v>2.2000000000000002</v>
      </c>
      <c r="CA299" s="221">
        <f t="shared" si="250"/>
        <v>1.3000000000001197</v>
      </c>
      <c r="CB299" s="221">
        <f t="shared" si="250"/>
        <v>-22.600000000000087</v>
      </c>
      <c r="CC299" s="221">
        <f t="shared" si="250"/>
        <v>-2.8000000000000504</v>
      </c>
      <c r="CD299" s="221">
        <f t="shared" si="250"/>
        <v>1.4000000000000927</v>
      </c>
      <c r="CE299" s="262" t="str">
        <f t="shared" si="249"/>
        <v>Other cash flow</v>
      </c>
    </row>
    <row r="300" spans="28:83" ht="15">
      <c r="AB300" s="222" t="s">
        <v>116</v>
      </c>
      <c r="AC300" s="263"/>
      <c r="AD300" s="263"/>
      <c r="AE300" s="263"/>
      <c r="AF300" s="263"/>
      <c r="AG300" s="263"/>
      <c r="AH300" s="263"/>
      <c r="AI300" s="263"/>
      <c r="AJ300" s="263"/>
      <c r="AK300" s="263"/>
      <c r="AL300" s="263"/>
      <c r="AM300" s="263"/>
      <c r="AN300" s="263"/>
      <c r="AO300" s="263"/>
      <c r="AP300" s="263"/>
      <c r="AQ300" s="263"/>
      <c r="AR300" s="263"/>
      <c r="AS300" s="263"/>
      <c r="AT300" s="263"/>
      <c r="AU300" s="263"/>
      <c r="AV300" s="263"/>
      <c r="AW300" s="263"/>
      <c r="AX300" s="263"/>
      <c r="AY300" s="263"/>
      <c r="AZ300" s="263"/>
      <c r="BA300" s="263"/>
      <c r="BB300" s="263"/>
      <c r="BC300" s="263"/>
      <c r="BD300" s="263"/>
      <c r="BE300" s="263"/>
      <c r="BF300" s="263"/>
      <c r="BG300" s="263"/>
      <c r="BH300" s="263"/>
      <c r="BI300" s="263"/>
      <c r="BJ300" s="263"/>
      <c r="BK300" s="263"/>
      <c r="BL300" s="263"/>
      <c r="BM300" s="263"/>
      <c r="BN300" s="263"/>
      <c r="BO300" s="263"/>
      <c r="BP300" s="263"/>
      <c r="BQ300" s="263"/>
      <c r="BR300" s="263"/>
      <c r="BS300" s="263"/>
      <c r="BT300" s="263"/>
      <c r="BU300" s="223"/>
      <c r="BV300" s="223">
        <f t="shared" si="250"/>
        <v>-662.1</v>
      </c>
      <c r="BW300" s="223">
        <f t="shared" si="250"/>
        <v>0</v>
      </c>
      <c r="BX300" s="223">
        <f t="shared" si="250"/>
        <v>0</v>
      </c>
      <c r="BY300" s="223">
        <f t="shared" si="250"/>
        <v>657.1</v>
      </c>
      <c r="BZ300" s="223">
        <f t="shared" si="250"/>
        <v>-7</v>
      </c>
      <c r="CA300" s="223">
        <f t="shared" si="250"/>
        <v>1.9999999999998863</v>
      </c>
      <c r="CB300" s="223">
        <f t="shared" si="250"/>
        <v>9.9000000000000909</v>
      </c>
      <c r="CC300" s="223">
        <f t="shared" si="250"/>
        <v>-10.899999999999977</v>
      </c>
      <c r="CD300" s="223">
        <f t="shared" si="250"/>
        <v>-8.4000000000000909</v>
      </c>
      <c r="CE300" s="262" t="str">
        <f t="shared" si="249"/>
        <v>Change in net debt</v>
      </c>
    </row>
    <row r="301" spans="28:83" ht="15">
      <c r="AB301" s="218" t="s">
        <v>748</v>
      </c>
      <c r="AC301" s="219" t="str">
        <f>+AC292</f>
        <v>Q4 01</v>
      </c>
      <c r="AD301" s="219" t="str">
        <f t="shared" ref="AD301:CD301" si="251">+AD292</f>
        <v>Q1 02</v>
      </c>
      <c r="AE301" s="219" t="str">
        <f t="shared" si="251"/>
        <v>Q2 02</v>
      </c>
      <c r="AF301" s="219" t="str">
        <f t="shared" si="251"/>
        <v>Q3 02</v>
      </c>
      <c r="AG301" s="219" t="str">
        <f t="shared" si="251"/>
        <v>Q4 02</v>
      </c>
      <c r="AH301" s="219" t="str">
        <f t="shared" si="251"/>
        <v>Q1 03</v>
      </c>
      <c r="AI301" s="219" t="str">
        <f t="shared" si="251"/>
        <v>Q2 03</v>
      </c>
      <c r="AJ301" s="219" t="str">
        <f t="shared" si="251"/>
        <v>Q3 03</v>
      </c>
      <c r="AK301" s="219" t="str">
        <f t="shared" si="251"/>
        <v>Q4 03</v>
      </c>
      <c r="AL301" s="219" t="str">
        <f t="shared" si="251"/>
        <v>1Q04</v>
      </c>
      <c r="AM301" s="219" t="str">
        <f t="shared" si="251"/>
        <v>Q2 04</v>
      </c>
      <c r="AN301" s="219" t="str">
        <f t="shared" si="251"/>
        <v>Q3 04</v>
      </c>
      <c r="AO301" s="219" t="str">
        <f t="shared" si="251"/>
        <v>Q4 04</v>
      </c>
      <c r="AP301" s="219" t="str">
        <f t="shared" si="251"/>
        <v>Q1 05</v>
      </c>
      <c r="AQ301" s="219" t="str">
        <f t="shared" si="251"/>
        <v>Q2 05</v>
      </c>
      <c r="AR301" s="219" t="str">
        <f t="shared" si="251"/>
        <v>Q3 05</v>
      </c>
      <c r="AS301" s="219" t="str">
        <f t="shared" si="251"/>
        <v>Q4 05</v>
      </c>
      <c r="AT301" s="219" t="str">
        <f t="shared" si="251"/>
        <v>Q1 06</v>
      </c>
      <c r="AU301" s="219" t="str">
        <f t="shared" si="251"/>
        <v>Q2 06</v>
      </c>
      <c r="AV301" s="219" t="str">
        <f t="shared" si="251"/>
        <v>Q3 06</v>
      </c>
      <c r="AW301" s="219" t="str">
        <f t="shared" si="251"/>
        <v>Q4 06</v>
      </c>
      <c r="AX301" s="219" t="str">
        <f t="shared" si="251"/>
        <v>Q1 07</v>
      </c>
      <c r="AY301" s="219" t="str">
        <f t="shared" si="251"/>
        <v>Q2 07</v>
      </c>
      <c r="AZ301" s="219" t="str">
        <f t="shared" si="251"/>
        <v>Q3 07</v>
      </c>
      <c r="BA301" s="219" t="str">
        <f t="shared" si="251"/>
        <v>Q4 07</v>
      </c>
      <c r="BB301" s="219" t="str">
        <f t="shared" si="251"/>
        <v>Q1 08</v>
      </c>
      <c r="BC301" s="219" t="str">
        <f t="shared" si="251"/>
        <v>Q2 08</v>
      </c>
      <c r="BD301" s="219" t="str">
        <f t="shared" si="251"/>
        <v>Q3 08</v>
      </c>
      <c r="BE301" s="219" t="str">
        <f t="shared" si="251"/>
        <v>Q4 08</v>
      </c>
      <c r="BF301" s="219" t="str">
        <f t="shared" si="251"/>
        <v>Q1 09</v>
      </c>
      <c r="BG301" s="219" t="str">
        <f t="shared" si="251"/>
        <v>Q2 09</v>
      </c>
      <c r="BH301" s="219" t="str">
        <f t="shared" si="251"/>
        <v>Q3 09</v>
      </c>
      <c r="BI301" s="219" t="str">
        <f t="shared" si="251"/>
        <v>Q4 09</v>
      </c>
      <c r="BJ301" s="219" t="str">
        <f t="shared" si="251"/>
        <v>Q1 10</v>
      </c>
      <c r="BK301" s="219" t="str">
        <f t="shared" si="251"/>
        <v>Q2 10</v>
      </c>
      <c r="BL301" s="219" t="str">
        <f t="shared" si="251"/>
        <v>Q3 10</v>
      </c>
      <c r="BM301" s="219" t="str">
        <f t="shared" si="251"/>
        <v>Q4 10</v>
      </c>
      <c r="BN301" s="219" t="str">
        <f t="shared" si="251"/>
        <v>Q1 11</v>
      </c>
      <c r="BO301" s="219" t="str">
        <f t="shared" si="251"/>
        <v>Q2 11</v>
      </c>
      <c r="BP301" s="219" t="str">
        <f t="shared" si="251"/>
        <v>Q3 11</v>
      </c>
      <c r="BQ301" s="219" t="str">
        <f t="shared" si="251"/>
        <v>Q4 11</v>
      </c>
      <c r="BR301" s="219" t="str">
        <f t="shared" si="251"/>
        <v>Q1 12</v>
      </c>
      <c r="BS301" s="219" t="str">
        <f t="shared" si="251"/>
        <v>Q2 12</v>
      </c>
      <c r="BT301" s="219" t="str">
        <f t="shared" si="251"/>
        <v>Q3 12</v>
      </c>
      <c r="BU301" s="219" t="str">
        <f t="shared" si="251"/>
        <v>Q4 12</v>
      </c>
      <c r="BV301" s="219" t="str">
        <f t="shared" si="251"/>
        <v>Q1 13</v>
      </c>
      <c r="BW301" s="219" t="str">
        <f t="shared" si="251"/>
        <v>Q2 13</v>
      </c>
      <c r="BX301" s="219" t="str">
        <f t="shared" si="251"/>
        <v>Q3 13</v>
      </c>
      <c r="BY301" s="219" t="str">
        <f t="shared" si="251"/>
        <v>Q4 13</v>
      </c>
      <c r="BZ301" s="219" t="str">
        <f t="shared" si="251"/>
        <v>Q1 14</v>
      </c>
      <c r="CA301" s="219" t="str">
        <f t="shared" si="251"/>
        <v>Q2 14</v>
      </c>
      <c r="CB301" s="219" t="str">
        <f t="shared" si="251"/>
        <v>Q3 14</v>
      </c>
      <c r="CC301" s="219" t="str">
        <f t="shared" si="251"/>
        <v>Q4 14</v>
      </c>
      <c r="CD301" s="219" t="str">
        <f t="shared" si="251"/>
        <v>Q1 15</v>
      </c>
      <c r="CE301" s="262" t="str">
        <f t="shared" si="249"/>
        <v>Summary leverage</v>
      </c>
    </row>
    <row r="302" spans="28:83" ht="15">
      <c r="AB302" s="220" t="s">
        <v>707</v>
      </c>
      <c r="AC302" s="261"/>
      <c r="AD302" s="261"/>
      <c r="AE302" s="261"/>
      <c r="AF302" s="261"/>
      <c r="AG302" s="261"/>
      <c r="AH302" s="261"/>
      <c r="AI302" s="261"/>
      <c r="AJ302" s="261"/>
      <c r="AK302" s="261"/>
      <c r="AL302" s="261"/>
      <c r="AM302" s="261"/>
      <c r="AN302" s="261"/>
      <c r="AO302" s="261"/>
      <c r="AP302" s="261"/>
      <c r="AQ302" s="261"/>
      <c r="AR302" s="261"/>
      <c r="AS302" s="261"/>
      <c r="AT302" s="261"/>
      <c r="AU302" s="261"/>
      <c r="AV302" s="261"/>
      <c r="AW302" s="261"/>
      <c r="AX302" s="261"/>
      <c r="AY302" s="261"/>
      <c r="AZ302" s="261"/>
      <c r="BA302" s="261"/>
      <c r="BB302" s="261"/>
      <c r="BC302" s="261"/>
      <c r="BD302" s="261"/>
      <c r="BE302" s="261"/>
      <c r="BF302" s="261"/>
      <c r="BG302" s="261"/>
      <c r="BH302" s="261"/>
      <c r="BI302" s="261"/>
      <c r="BJ302" s="261"/>
      <c r="BK302" s="261"/>
      <c r="BL302" s="261"/>
      <c r="BM302" s="261"/>
      <c r="BN302" s="261"/>
      <c r="BO302" s="261"/>
      <c r="BP302" s="261"/>
      <c r="BQ302" s="261"/>
      <c r="BR302" s="261"/>
      <c r="BS302" s="261"/>
      <c r="BT302" s="261"/>
      <c r="BU302" s="221">
        <f>BU272</f>
        <v>2.4</v>
      </c>
      <c r="BV302" s="221"/>
      <c r="BW302" s="221"/>
      <c r="BX302" s="221">
        <f t="shared" ref="BX302:CD302" si="252">BX272</f>
        <v>0</v>
      </c>
      <c r="BY302" s="221">
        <f t="shared" si="252"/>
        <v>9.5</v>
      </c>
      <c r="BZ302" s="221">
        <f t="shared" si="252"/>
        <v>8.9</v>
      </c>
      <c r="CA302" s="221">
        <f t="shared" si="252"/>
        <v>1.5</v>
      </c>
      <c r="CB302" s="221">
        <f t="shared" si="252"/>
        <v>11.5</v>
      </c>
      <c r="CC302" s="221">
        <f t="shared" si="252"/>
        <v>21.9</v>
      </c>
      <c r="CD302" s="221">
        <f t="shared" si="252"/>
        <v>30.2</v>
      </c>
      <c r="CE302" s="262" t="str">
        <f t="shared" si="249"/>
        <v>Cash</v>
      </c>
    </row>
    <row r="303" spans="28:83" ht="15">
      <c r="AB303" s="222" t="s">
        <v>749</v>
      </c>
      <c r="AC303" s="263"/>
      <c r="AD303" s="263"/>
      <c r="AE303" s="263"/>
      <c r="AF303" s="263"/>
      <c r="AG303" s="263"/>
      <c r="AH303" s="263"/>
      <c r="AI303" s="263"/>
      <c r="AJ303" s="263"/>
      <c r="AK303" s="263"/>
      <c r="AL303" s="263"/>
      <c r="AM303" s="263"/>
      <c r="AN303" s="263"/>
      <c r="AO303" s="263"/>
      <c r="AP303" s="263"/>
      <c r="AQ303" s="263"/>
      <c r="AR303" s="263"/>
      <c r="AS303" s="263"/>
      <c r="AT303" s="263"/>
      <c r="AU303" s="263"/>
      <c r="AV303" s="263"/>
      <c r="AW303" s="263"/>
      <c r="AX303" s="263"/>
      <c r="AY303" s="263"/>
      <c r="AZ303" s="263"/>
      <c r="BA303" s="263"/>
      <c r="BB303" s="263"/>
      <c r="BC303" s="263"/>
      <c r="BD303" s="263"/>
      <c r="BE303" s="263"/>
      <c r="BF303" s="263"/>
      <c r="BG303" s="263"/>
      <c r="BH303" s="263"/>
      <c r="BI303" s="263"/>
      <c r="BJ303" s="263"/>
      <c r="BK303" s="263"/>
      <c r="BL303" s="263"/>
      <c r="BM303" s="263"/>
      <c r="BN303" s="263"/>
      <c r="BO303" s="263"/>
      <c r="BP303" s="263"/>
      <c r="BQ303" s="263"/>
      <c r="BR303" s="263"/>
      <c r="BS303" s="263"/>
      <c r="BT303" s="263"/>
      <c r="BU303" s="223">
        <f>BU267</f>
        <v>664.5</v>
      </c>
      <c r="BV303" s="223"/>
      <c r="BW303" s="223"/>
      <c r="BX303" s="223">
        <f t="shared" ref="BX303:CD304" si="253">BX267</f>
        <v>0</v>
      </c>
      <c r="BY303" s="223">
        <f t="shared" si="253"/>
        <v>666.6</v>
      </c>
      <c r="BZ303" s="223">
        <f t="shared" si="253"/>
        <v>659</v>
      </c>
      <c r="CA303" s="223">
        <f t="shared" si="253"/>
        <v>653.59999999999991</v>
      </c>
      <c r="CB303" s="223">
        <f t="shared" si="253"/>
        <v>673.5</v>
      </c>
      <c r="CC303" s="223">
        <f t="shared" si="253"/>
        <v>673</v>
      </c>
      <c r="CD303" s="223">
        <f t="shared" si="253"/>
        <v>672.9</v>
      </c>
      <c r="CE303" s="262" t="str">
        <f t="shared" si="249"/>
        <v>Senior debt</v>
      </c>
    </row>
    <row r="304" spans="28:83" ht="15">
      <c r="AB304" s="220" t="s">
        <v>705</v>
      </c>
      <c r="AC304" s="261"/>
      <c r="AD304" s="261"/>
      <c r="AE304" s="261"/>
      <c r="AF304" s="261"/>
      <c r="AG304" s="261"/>
      <c r="AH304" s="261"/>
      <c r="AI304" s="261"/>
      <c r="AJ304" s="261"/>
      <c r="AK304" s="261"/>
      <c r="AL304" s="261"/>
      <c r="AM304" s="261"/>
      <c r="AN304" s="261"/>
      <c r="AO304" s="261"/>
      <c r="AP304" s="261"/>
      <c r="AQ304" s="261"/>
      <c r="AR304" s="261"/>
      <c r="AS304" s="261"/>
      <c r="AT304" s="261"/>
      <c r="AU304" s="261"/>
      <c r="AV304" s="261"/>
      <c r="AW304" s="261"/>
      <c r="AX304" s="261"/>
      <c r="AY304" s="261"/>
      <c r="AZ304" s="261"/>
      <c r="BA304" s="261"/>
      <c r="BB304" s="261"/>
      <c r="BC304" s="261"/>
      <c r="BD304" s="261"/>
      <c r="BE304" s="261"/>
      <c r="BF304" s="261"/>
      <c r="BG304" s="261"/>
      <c r="BH304" s="261"/>
      <c r="BI304" s="261"/>
      <c r="BJ304" s="261"/>
      <c r="BK304" s="261"/>
      <c r="BL304" s="261"/>
      <c r="BM304" s="261"/>
      <c r="BN304" s="261"/>
      <c r="BO304" s="261"/>
      <c r="BP304" s="261"/>
      <c r="BQ304" s="261"/>
      <c r="BR304" s="261"/>
      <c r="BS304" s="261"/>
      <c r="BT304" s="261"/>
      <c r="BU304" s="221">
        <f>BU268</f>
        <v>0</v>
      </c>
      <c r="BV304" s="221"/>
      <c r="BW304" s="221"/>
      <c r="BX304" s="221">
        <f t="shared" si="253"/>
        <v>0</v>
      </c>
      <c r="BY304" s="221">
        <f t="shared" si="253"/>
        <v>0</v>
      </c>
      <c r="BZ304" s="221">
        <f t="shared" si="253"/>
        <v>0</v>
      </c>
      <c r="CA304" s="221">
        <f t="shared" si="253"/>
        <v>0</v>
      </c>
      <c r="CB304" s="221">
        <f t="shared" si="253"/>
        <v>0</v>
      </c>
      <c r="CC304" s="221">
        <f t="shared" si="253"/>
        <v>0</v>
      </c>
      <c r="CD304" s="221">
        <f t="shared" si="253"/>
        <v>0</v>
      </c>
      <c r="CE304" s="262" t="str">
        <f t="shared" si="249"/>
        <v>HY debt</v>
      </c>
    </row>
    <row r="305" spans="26:88" ht="15">
      <c r="AB305" s="222" t="s">
        <v>741</v>
      </c>
      <c r="AC305" s="263"/>
      <c r="AD305" s="263"/>
      <c r="AE305" s="263"/>
      <c r="AF305" s="263"/>
      <c r="AG305" s="263"/>
      <c r="AH305" s="263"/>
      <c r="AI305" s="263"/>
      <c r="AJ305" s="263"/>
      <c r="AK305" s="263"/>
      <c r="AL305" s="263"/>
      <c r="AM305" s="263"/>
      <c r="AN305" s="263"/>
      <c r="AO305" s="263"/>
      <c r="AP305" s="263"/>
      <c r="AQ305" s="263"/>
      <c r="AR305" s="263"/>
      <c r="AS305" s="263"/>
      <c r="AT305" s="263"/>
      <c r="AU305" s="263"/>
      <c r="AV305" s="263"/>
      <c r="AW305" s="263"/>
      <c r="AX305" s="263"/>
      <c r="AY305" s="263"/>
      <c r="AZ305" s="263"/>
      <c r="BA305" s="263"/>
      <c r="BB305" s="263"/>
      <c r="BC305" s="263"/>
      <c r="BD305" s="263"/>
      <c r="BE305" s="263"/>
      <c r="BF305" s="263"/>
      <c r="BG305" s="263"/>
      <c r="BH305" s="263"/>
      <c r="BI305" s="263"/>
      <c r="BJ305" s="263"/>
      <c r="BK305" s="263"/>
      <c r="BL305" s="263"/>
      <c r="BM305" s="263"/>
      <c r="BN305" s="263"/>
      <c r="BO305" s="263"/>
      <c r="BP305" s="263"/>
      <c r="BQ305" s="263"/>
      <c r="BR305" s="263"/>
      <c r="BS305" s="263"/>
      <c r="BT305" s="263"/>
      <c r="BU305" s="223">
        <f>BU271</f>
        <v>664.5</v>
      </c>
      <c r="BV305" s="223"/>
      <c r="BW305" s="223"/>
      <c r="BX305" s="223">
        <f t="shared" ref="BX305:CD305" si="254">BX271</f>
        <v>0</v>
      </c>
      <c r="BY305" s="223">
        <f t="shared" si="254"/>
        <v>666.6</v>
      </c>
      <c r="BZ305" s="223">
        <f t="shared" si="254"/>
        <v>659</v>
      </c>
      <c r="CA305" s="223">
        <f t="shared" si="254"/>
        <v>653.59999999999991</v>
      </c>
      <c r="CB305" s="223">
        <f t="shared" si="254"/>
        <v>673.5</v>
      </c>
      <c r="CC305" s="223">
        <f t="shared" si="254"/>
        <v>673</v>
      </c>
      <c r="CD305" s="223">
        <f t="shared" si="254"/>
        <v>672.9</v>
      </c>
      <c r="CE305" s="262" t="str">
        <f t="shared" si="249"/>
        <v>Total debt</v>
      </c>
    </row>
    <row r="306" spans="26:88" ht="15">
      <c r="AB306" s="220" t="s">
        <v>714</v>
      </c>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21"/>
      <c r="BK306" s="221"/>
      <c r="BL306" s="221"/>
      <c r="BM306" s="221"/>
      <c r="BN306" s="221"/>
      <c r="BO306" s="221"/>
      <c r="BP306" s="221"/>
      <c r="BQ306" s="221"/>
      <c r="BR306" s="221"/>
      <c r="BS306" s="221"/>
      <c r="BT306" s="221"/>
      <c r="BU306" s="221"/>
      <c r="BV306" s="221"/>
      <c r="BW306" s="221"/>
      <c r="BX306" s="221">
        <f t="shared" ref="BX306:CD306" si="255">SUM(BU293:BX293)</f>
        <v>93.899999999999991</v>
      </c>
      <c r="BY306" s="221">
        <f t="shared" si="255"/>
        <v>107.30000000000001</v>
      </c>
      <c r="BZ306" s="221">
        <f t="shared" si="255"/>
        <v>113.00000000000001</v>
      </c>
      <c r="CA306" s="221">
        <f t="shared" si="255"/>
        <v>122.40000000000002</v>
      </c>
      <c r="CB306" s="221">
        <f t="shared" si="255"/>
        <v>128.10000000000002</v>
      </c>
      <c r="CC306" s="221">
        <f t="shared" si="255"/>
        <v>128.60000000000002</v>
      </c>
      <c r="CD306" s="221">
        <f t="shared" si="255"/>
        <v>132.70000000000002</v>
      </c>
      <c r="CE306" s="262" t="str">
        <f t="shared" si="249"/>
        <v>LTM EBITDA</v>
      </c>
    </row>
    <row r="307" spans="26:88" ht="15">
      <c r="AA307" s="92"/>
      <c r="AB307" s="222" t="s">
        <v>750</v>
      </c>
      <c r="AC307" s="263"/>
      <c r="AD307" s="263"/>
      <c r="AE307" s="263"/>
      <c r="AF307" s="263"/>
      <c r="AG307" s="263"/>
      <c r="AH307" s="263"/>
      <c r="AI307" s="263"/>
      <c r="AJ307" s="263"/>
      <c r="AK307" s="263"/>
      <c r="AL307" s="263"/>
      <c r="AM307" s="263"/>
      <c r="AN307" s="263"/>
      <c r="AO307" s="263"/>
      <c r="AP307" s="263"/>
      <c r="AQ307" s="263"/>
      <c r="AR307" s="263"/>
      <c r="AS307" s="263"/>
      <c r="AT307" s="263"/>
      <c r="AU307" s="263"/>
      <c r="AV307" s="263"/>
      <c r="AW307" s="263"/>
      <c r="AX307" s="263"/>
      <c r="AY307" s="263"/>
      <c r="AZ307" s="263"/>
      <c r="BA307" s="263"/>
      <c r="BB307" s="263"/>
      <c r="BC307" s="263"/>
      <c r="BD307" s="263"/>
      <c r="BE307" s="263"/>
      <c r="BF307" s="263"/>
      <c r="BG307" s="263"/>
      <c r="BH307" s="263"/>
      <c r="BI307" s="263"/>
      <c r="BJ307" s="263"/>
      <c r="BK307" s="263"/>
      <c r="BL307" s="263"/>
      <c r="BM307" s="263"/>
      <c r="BN307" s="263"/>
      <c r="BO307" s="263"/>
      <c r="BP307" s="263"/>
      <c r="BQ307" s="263"/>
      <c r="BR307" s="263"/>
      <c r="BS307" s="263"/>
      <c r="BT307" s="263"/>
      <c r="BU307" s="224"/>
      <c r="BV307" s="224"/>
      <c r="BW307" s="224"/>
      <c r="BX307" s="224">
        <f t="shared" ref="BX307:CD307" si="256">(BX303-BX302)/BX306</f>
        <v>0</v>
      </c>
      <c r="BY307" s="224">
        <f t="shared" si="256"/>
        <v>6.1239515377446407</v>
      </c>
      <c r="BZ307" s="224">
        <f t="shared" si="256"/>
        <v>5.7530973451327432</v>
      </c>
      <c r="CA307" s="224">
        <f t="shared" si="256"/>
        <v>5.3276143790849657</v>
      </c>
      <c r="CB307" s="224">
        <f t="shared" si="256"/>
        <v>5.1678376268540198</v>
      </c>
      <c r="CC307" s="224">
        <f t="shared" si="256"/>
        <v>5.062986003110419</v>
      </c>
      <c r="CD307" s="224">
        <f t="shared" si="256"/>
        <v>4.8432554634513929</v>
      </c>
      <c r="CE307" s="262" t="str">
        <f t="shared" si="249"/>
        <v>Net senior debt / LTM EBITDA</v>
      </c>
      <c r="CF307" s="92"/>
      <c r="CG307" s="92"/>
      <c r="CH307" s="92"/>
      <c r="CI307" s="92"/>
      <c r="CJ307" s="92"/>
    </row>
    <row r="308" spans="26:88" ht="15">
      <c r="AA308" s="92"/>
      <c r="AB308" s="220" t="s">
        <v>751</v>
      </c>
      <c r="AC308" s="261"/>
      <c r="AD308" s="261"/>
      <c r="AE308" s="261"/>
      <c r="AF308" s="261"/>
      <c r="AG308" s="261"/>
      <c r="AH308" s="261"/>
      <c r="AI308" s="261"/>
      <c r="AJ308" s="261"/>
      <c r="AK308" s="261"/>
      <c r="AL308" s="261"/>
      <c r="AM308" s="261"/>
      <c r="AN308" s="261"/>
      <c r="AO308" s="261"/>
      <c r="AP308" s="261"/>
      <c r="AQ308" s="261"/>
      <c r="AR308" s="261"/>
      <c r="AS308" s="261"/>
      <c r="AT308" s="261"/>
      <c r="AU308" s="261"/>
      <c r="AV308" s="261"/>
      <c r="AW308" s="261"/>
      <c r="AX308" s="261"/>
      <c r="AY308" s="261"/>
      <c r="AZ308" s="261"/>
      <c r="BA308" s="261"/>
      <c r="BB308" s="261"/>
      <c r="BC308" s="261"/>
      <c r="BD308" s="261"/>
      <c r="BE308" s="261"/>
      <c r="BF308" s="261"/>
      <c r="BG308" s="261"/>
      <c r="BH308" s="261"/>
      <c r="BI308" s="261"/>
      <c r="BJ308" s="261"/>
      <c r="BK308" s="261"/>
      <c r="BL308" s="261"/>
      <c r="BM308" s="261"/>
      <c r="BN308" s="261"/>
      <c r="BO308" s="261"/>
      <c r="BP308" s="261"/>
      <c r="BQ308" s="261"/>
      <c r="BR308" s="261"/>
      <c r="BS308" s="261"/>
      <c r="BT308" s="261"/>
      <c r="BU308" s="225"/>
      <c r="BV308" s="225"/>
      <c r="BW308" s="225"/>
      <c r="BX308" s="225">
        <f t="shared" ref="BX308:CD308" si="257">(BX305-BX302)/BX306</f>
        <v>0</v>
      </c>
      <c r="BY308" s="225">
        <f t="shared" si="257"/>
        <v>6.1239515377446407</v>
      </c>
      <c r="BZ308" s="225">
        <f t="shared" si="257"/>
        <v>5.7530973451327432</v>
      </c>
      <c r="CA308" s="225">
        <f t="shared" si="257"/>
        <v>5.3276143790849657</v>
      </c>
      <c r="CB308" s="225">
        <f t="shared" si="257"/>
        <v>5.1678376268540198</v>
      </c>
      <c r="CC308" s="225">
        <f t="shared" si="257"/>
        <v>5.062986003110419</v>
      </c>
      <c r="CD308" s="225">
        <f t="shared" si="257"/>
        <v>4.8432554634513929</v>
      </c>
      <c r="CE308" s="262" t="str">
        <f t="shared" si="249"/>
        <v>Net total external debt / LTM EBITDA</v>
      </c>
      <c r="CF308" s="92"/>
      <c r="CG308" s="92"/>
      <c r="CH308" s="92"/>
      <c r="CI308" s="92"/>
      <c r="CJ308" s="92"/>
    </row>
    <row r="309" spans="26:88" ht="15">
      <c r="Z309" s="92"/>
      <c r="AA309" s="92"/>
      <c r="AB309" s="214"/>
      <c r="AC309" s="215"/>
      <c r="AD309" s="92"/>
      <c r="AE309" s="92"/>
      <c r="AF309" s="92"/>
      <c r="AG309" s="92"/>
      <c r="AH309" s="92"/>
      <c r="AI309" s="92"/>
      <c r="AJ309" s="92"/>
      <c r="AK309" s="92"/>
      <c r="AL309" s="92"/>
      <c r="AM309" s="92"/>
      <c r="AN309" s="92"/>
      <c r="AO309" s="92"/>
      <c r="AP309" s="92"/>
      <c r="AQ309" s="92"/>
      <c r="AR309" s="92"/>
      <c r="AS309" s="92"/>
      <c r="AT309" s="92"/>
      <c r="AU309" s="92"/>
      <c r="AV309" s="92"/>
      <c r="AW309" s="92"/>
      <c r="AX309" s="92"/>
      <c r="AY309" s="92"/>
      <c r="AZ309" s="92"/>
      <c r="BA309" s="92"/>
      <c r="BB309" s="92"/>
      <c r="BC309" s="92"/>
      <c r="BD309" s="92"/>
      <c r="BE309" s="92"/>
      <c r="BF309" s="92"/>
      <c r="BG309" s="92"/>
      <c r="BH309" s="92"/>
      <c r="BI309" s="92"/>
      <c r="BJ309" s="92"/>
      <c r="BK309" s="92"/>
      <c r="BL309" s="92"/>
      <c r="BM309" s="92"/>
      <c r="BN309" s="92"/>
      <c r="BO309" s="92"/>
      <c r="BP309" s="92"/>
      <c r="BQ309" s="92"/>
      <c r="BR309" s="92"/>
      <c r="BS309" s="92"/>
      <c r="BT309" s="92"/>
      <c r="BU309" s="92"/>
      <c r="BV309" s="92"/>
      <c r="BW309" s="92"/>
      <c r="BX309" s="92"/>
      <c r="BY309" s="92"/>
      <c r="BZ309" s="92"/>
      <c r="CA309" s="92"/>
      <c r="CB309" s="92"/>
      <c r="CC309" s="92"/>
      <c r="CD309" s="92"/>
      <c r="CE309" s="92"/>
      <c r="CF309" s="92"/>
      <c r="CG309" s="92"/>
      <c r="CH309" s="92"/>
      <c r="CI309" s="92"/>
      <c r="CJ309" s="92"/>
    </row>
    <row r="310" spans="26:88" ht="15">
      <c r="Z310" s="92"/>
      <c r="AA310" s="92"/>
      <c r="AB310" s="92"/>
      <c r="AC310" s="92"/>
      <c r="AD310" s="92"/>
      <c r="AE310" s="92"/>
      <c r="AF310" s="92"/>
      <c r="AG310" s="92"/>
      <c r="AH310" s="92"/>
      <c r="AI310" s="92"/>
      <c r="AJ310" s="92"/>
      <c r="AK310" s="92"/>
      <c r="AL310" s="92"/>
      <c r="AM310" s="92"/>
      <c r="AN310" s="92"/>
      <c r="AO310" s="92"/>
      <c r="AP310" s="92"/>
      <c r="AQ310" s="92"/>
      <c r="AR310" s="92"/>
      <c r="AS310" s="92"/>
      <c r="AT310" s="92"/>
      <c r="AU310" s="92"/>
      <c r="AV310" s="92"/>
      <c r="AW310" s="92"/>
      <c r="AX310" s="92"/>
      <c r="AY310" s="92"/>
      <c r="AZ310" s="92"/>
      <c r="BA310" s="92"/>
      <c r="BB310" s="92"/>
      <c r="BC310" s="92"/>
      <c r="BD310" s="92"/>
      <c r="BE310" s="92"/>
      <c r="BF310" s="92"/>
      <c r="BG310" s="92"/>
      <c r="BH310" s="92"/>
      <c r="BI310" s="92"/>
      <c r="BJ310" s="92"/>
      <c r="BK310" s="92"/>
      <c r="BL310" s="92"/>
      <c r="BM310" s="92"/>
      <c r="BN310" s="92"/>
      <c r="BO310" s="92"/>
      <c r="BP310" s="92"/>
      <c r="BQ310" s="92"/>
      <c r="BR310" s="92"/>
      <c r="BS310" s="92"/>
      <c r="BT310" s="92"/>
      <c r="BU310" s="92"/>
      <c r="BV310" s="92"/>
      <c r="BW310" s="92"/>
      <c r="BX310" s="92"/>
      <c r="BY310" s="92"/>
      <c r="BZ310" s="92"/>
      <c r="CA310" s="92"/>
      <c r="CB310" s="92"/>
      <c r="CC310" s="92"/>
      <c r="CD310" s="92"/>
      <c r="CE310" s="92"/>
      <c r="CF310" s="92"/>
      <c r="CG310" s="92"/>
      <c r="CH310" s="92"/>
      <c r="CI310" s="92"/>
      <c r="CJ310" s="92"/>
    </row>
    <row r="311" spans="26:88" ht="15">
      <c r="Z311" s="92"/>
      <c r="AA311" s="92"/>
      <c r="AB311" s="92"/>
      <c r="AC311" s="92"/>
      <c r="AD311" s="92"/>
      <c r="AE311" s="92"/>
      <c r="AF311" s="92"/>
      <c r="AG311" s="92"/>
      <c r="AH311" s="92"/>
      <c r="AI311" s="92"/>
      <c r="AJ311" s="92"/>
      <c r="AK311" s="92"/>
      <c r="AL311" s="92"/>
      <c r="AM311" s="92"/>
      <c r="AN311" s="92"/>
      <c r="AO311" s="92"/>
      <c r="AP311" s="92"/>
      <c r="AQ311" s="92"/>
      <c r="AR311" s="92"/>
      <c r="AS311" s="92"/>
      <c r="AT311" s="92"/>
      <c r="AU311" s="92"/>
      <c r="AV311" s="92"/>
      <c r="AW311" s="92"/>
      <c r="AX311" s="92"/>
      <c r="AY311" s="92"/>
      <c r="AZ311" s="92"/>
      <c r="BA311" s="92"/>
      <c r="BB311" s="92"/>
      <c r="BC311" s="92"/>
      <c r="BD311" s="92"/>
      <c r="BE311" s="92"/>
      <c r="BF311" s="92"/>
      <c r="BG311" s="92"/>
      <c r="BH311" s="92"/>
      <c r="BI311" s="92"/>
      <c r="BJ311" s="92"/>
      <c r="BK311" s="92"/>
      <c r="BL311" s="92"/>
      <c r="BM311" s="92"/>
      <c r="BN311" s="92"/>
      <c r="BO311" s="92"/>
      <c r="BP311" s="92"/>
      <c r="BQ311" s="92"/>
      <c r="BR311" s="92"/>
      <c r="BS311" s="92"/>
      <c r="BT311" s="92"/>
      <c r="BU311" s="92"/>
      <c r="BV311" s="92"/>
      <c r="BW311" s="92"/>
      <c r="BX311" s="92"/>
      <c r="BY311" s="92"/>
      <c r="BZ311" s="92"/>
      <c r="CA311" s="92"/>
      <c r="CB311" s="92"/>
      <c r="CC311" s="92"/>
      <c r="CD311" s="92"/>
      <c r="CE311" s="92"/>
      <c r="CF311" s="92"/>
      <c r="CG311" s="92"/>
      <c r="CH311" s="92"/>
      <c r="CI311" s="92"/>
      <c r="CJ311" s="92"/>
    </row>
    <row r="312" spans="26:88" ht="15">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2"/>
      <c r="BJ312" s="92"/>
      <c r="BK312" s="92"/>
      <c r="BL312" s="92"/>
      <c r="BM312" s="92"/>
      <c r="BN312" s="92"/>
      <c r="BO312" s="92"/>
      <c r="BP312" s="92"/>
      <c r="BQ312" s="92"/>
      <c r="BR312" s="92"/>
      <c r="BS312" s="92"/>
      <c r="BT312" s="92"/>
      <c r="BU312" s="92"/>
      <c r="BV312" s="92"/>
      <c r="BW312" s="92"/>
      <c r="BX312" s="92"/>
      <c r="BY312" s="92"/>
      <c r="BZ312" s="92"/>
      <c r="CA312" s="92"/>
      <c r="CB312" s="92"/>
      <c r="CC312" s="92"/>
      <c r="CD312" s="92"/>
      <c r="CE312" s="92"/>
      <c r="CF312" s="92"/>
      <c r="CG312" s="92"/>
      <c r="CH312" s="92"/>
      <c r="CI312" s="92"/>
      <c r="CJ312" s="92"/>
    </row>
    <row r="313" spans="26:88" ht="15">
      <c r="Z313" s="92"/>
      <c r="AA313" s="92"/>
      <c r="AB313" s="92"/>
      <c r="AC313" s="92"/>
      <c r="AD313" s="92"/>
      <c r="AE313" s="92"/>
      <c r="AF313" s="92"/>
      <c r="AG313" s="92"/>
      <c r="AH313" s="92"/>
      <c r="AI313" s="92"/>
      <c r="AJ313" s="92"/>
      <c r="AK313" s="92"/>
      <c r="AL313" s="92"/>
      <c r="AM313" s="92"/>
      <c r="AN313" s="92"/>
      <c r="AO313" s="92"/>
      <c r="AP313" s="92"/>
      <c r="AQ313" s="92"/>
      <c r="AR313" s="92"/>
      <c r="AS313" s="92"/>
      <c r="AT313" s="92"/>
      <c r="AU313" s="92"/>
      <c r="AV313" s="92"/>
      <c r="AW313" s="92"/>
      <c r="AX313" s="92"/>
      <c r="AY313" s="92"/>
      <c r="AZ313" s="92"/>
      <c r="BA313" s="92"/>
      <c r="BB313" s="92"/>
      <c r="BC313" s="92"/>
      <c r="BD313" s="92"/>
      <c r="BE313" s="92"/>
      <c r="BF313" s="92"/>
      <c r="BG313" s="92"/>
      <c r="BH313" s="92"/>
      <c r="BI313" s="92"/>
      <c r="BJ313" s="92"/>
      <c r="BK313" s="92"/>
      <c r="BL313" s="92"/>
      <c r="BM313" s="92"/>
      <c r="BN313" s="92"/>
      <c r="BO313" s="92"/>
      <c r="BP313" s="92"/>
      <c r="BQ313" s="92"/>
      <c r="BR313" s="92"/>
      <c r="BS313" s="92"/>
      <c r="BT313" s="92"/>
      <c r="BU313" s="92"/>
      <c r="BV313" s="92"/>
      <c r="BW313" s="92"/>
      <c r="BX313" s="92"/>
      <c r="BY313" s="92"/>
      <c r="BZ313" s="92"/>
      <c r="CA313" s="92"/>
      <c r="CB313" s="92"/>
      <c r="CC313" s="92"/>
      <c r="CD313" s="92"/>
      <c r="CE313" s="92"/>
      <c r="CF313" s="92"/>
      <c r="CG313" s="92"/>
      <c r="CH313" s="92"/>
      <c r="CI313" s="92"/>
      <c r="CJ313" s="92"/>
    </row>
    <row r="314" spans="26:88" ht="15">
      <c r="Z314" s="92"/>
      <c r="AA314" s="92"/>
      <c r="AB314" s="92"/>
      <c r="AC314" s="92"/>
      <c r="AD314" s="92"/>
      <c r="AE314" s="92"/>
      <c r="AF314" s="92"/>
      <c r="AG314" s="92"/>
      <c r="AH314" s="92"/>
      <c r="AI314" s="92"/>
      <c r="AJ314" s="92"/>
      <c r="AK314" s="92"/>
      <c r="AL314" s="92"/>
      <c r="AM314" s="92"/>
      <c r="AN314" s="92"/>
      <c r="AO314" s="92"/>
      <c r="AP314" s="92"/>
      <c r="AQ314" s="92"/>
      <c r="AR314" s="92"/>
      <c r="AS314" s="92"/>
      <c r="AT314" s="92"/>
      <c r="AU314" s="92"/>
      <c r="AV314" s="92"/>
      <c r="AW314" s="92"/>
      <c r="AX314" s="92"/>
      <c r="AY314" s="92"/>
      <c r="AZ314" s="92"/>
      <c r="BA314" s="92"/>
      <c r="BB314" s="92"/>
      <c r="BC314" s="92"/>
      <c r="BD314" s="92"/>
      <c r="BE314" s="92"/>
      <c r="BF314" s="92"/>
      <c r="BG314" s="92"/>
      <c r="BH314" s="92"/>
      <c r="BI314" s="92"/>
      <c r="BJ314" s="92"/>
      <c r="BK314" s="92"/>
      <c r="BL314" s="92"/>
      <c r="BM314" s="92"/>
      <c r="BN314" s="92"/>
      <c r="BO314" s="92"/>
      <c r="BP314" s="92"/>
      <c r="BQ314" s="92"/>
      <c r="BR314" s="92"/>
      <c r="BS314" s="92"/>
      <c r="BT314" s="92"/>
      <c r="BU314" s="92"/>
      <c r="BV314" s="92"/>
      <c r="BW314" s="92"/>
      <c r="BX314" s="92"/>
      <c r="BY314" s="92"/>
      <c r="BZ314" s="92"/>
      <c r="CA314" s="92"/>
      <c r="CB314" s="92"/>
      <c r="CC314" s="92"/>
      <c r="CD314" s="92"/>
      <c r="CE314" s="92"/>
      <c r="CF314" s="92"/>
      <c r="CG314" s="92"/>
      <c r="CH314" s="92"/>
      <c r="CI314" s="92"/>
      <c r="CJ314" s="92"/>
    </row>
    <row r="315" spans="26:88" ht="15">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2"/>
      <c r="BS315" s="92"/>
      <c r="BT315" s="92"/>
      <c r="BU315" s="92"/>
      <c r="BV315" s="92"/>
      <c r="BW315" s="92"/>
      <c r="BX315" s="92"/>
      <c r="BY315" s="92"/>
      <c r="BZ315" s="92"/>
      <c r="CA315" s="92"/>
      <c r="CB315" s="92"/>
      <c r="CC315" s="92"/>
      <c r="CD315" s="92"/>
      <c r="CE315" s="92"/>
      <c r="CF315" s="92"/>
      <c r="CG315" s="92"/>
      <c r="CH315" s="92"/>
      <c r="CI315" s="92"/>
      <c r="CJ315" s="92"/>
    </row>
    <row r="316" spans="26:88" ht="15">
      <c r="Z316" s="92"/>
      <c r="AA316" s="92"/>
      <c r="AB316" s="92"/>
      <c r="AC316" s="92"/>
      <c r="AD316" s="92"/>
      <c r="AE316" s="92"/>
      <c r="AF316" s="92"/>
      <c r="AG316" s="92"/>
      <c r="AH316" s="92"/>
      <c r="AI316" s="92"/>
      <c r="AJ316" s="92"/>
      <c r="AK316" s="92"/>
      <c r="AL316" s="92"/>
      <c r="AM316" s="92"/>
      <c r="AN316" s="92"/>
      <c r="AO316" s="92"/>
      <c r="AP316" s="92"/>
      <c r="AQ316" s="92"/>
      <c r="AR316" s="92"/>
      <c r="AS316" s="92"/>
      <c r="AT316" s="92"/>
      <c r="AU316" s="92"/>
      <c r="AV316" s="92"/>
      <c r="AW316" s="92"/>
      <c r="AX316" s="92"/>
      <c r="AY316" s="92"/>
      <c r="AZ316" s="92"/>
      <c r="BA316" s="92"/>
      <c r="BB316" s="92"/>
      <c r="BC316" s="92"/>
      <c r="BD316" s="92"/>
      <c r="BE316" s="92"/>
      <c r="BF316" s="92"/>
      <c r="BG316" s="92"/>
      <c r="BH316" s="92"/>
      <c r="BI316" s="92"/>
      <c r="BJ316" s="92"/>
      <c r="BK316" s="92"/>
      <c r="BL316" s="92"/>
      <c r="BM316" s="92"/>
      <c r="BN316" s="92"/>
      <c r="BO316" s="92"/>
      <c r="BP316" s="92"/>
      <c r="BQ316" s="92"/>
      <c r="BR316" s="92"/>
      <c r="BS316" s="92"/>
      <c r="BT316" s="92"/>
      <c r="BU316" s="92"/>
      <c r="BV316" s="92"/>
      <c r="BW316" s="92"/>
      <c r="BX316" s="92"/>
      <c r="BY316" s="92"/>
      <c r="BZ316" s="92"/>
      <c r="CA316" s="92"/>
      <c r="CB316" s="92"/>
      <c r="CC316" s="92"/>
      <c r="CD316" s="92"/>
      <c r="CE316" s="92"/>
      <c r="CF316" s="92"/>
      <c r="CG316" s="92"/>
      <c r="CH316" s="92"/>
      <c r="CI316" s="92"/>
      <c r="CJ316" s="92"/>
    </row>
    <row r="317" spans="26:88" ht="15">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2"/>
      <c r="BS317" s="92"/>
      <c r="BT317" s="92"/>
      <c r="BU317" s="92"/>
      <c r="BV317" s="92"/>
      <c r="BW317" s="92"/>
      <c r="BX317" s="92"/>
      <c r="BY317" s="92"/>
      <c r="BZ317" s="92"/>
      <c r="CA317" s="92"/>
      <c r="CB317" s="92"/>
      <c r="CC317" s="92"/>
      <c r="CD317" s="92"/>
      <c r="CE317" s="92"/>
      <c r="CF317" s="92"/>
      <c r="CG317" s="92"/>
      <c r="CH317" s="92"/>
      <c r="CI317" s="92"/>
      <c r="CJ317" s="92"/>
    </row>
    <row r="318" spans="26:88" ht="15">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2"/>
      <c r="BS318" s="92"/>
      <c r="BT318" s="92"/>
      <c r="BU318" s="92"/>
      <c r="BV318" s="92"/>
      <c r="BW318" s="92"/>
      <c r="BX318" s="92"/>
      <c r="BY318" s="92"/>
      <c r="BZ318" s="92"/>
      <c r="CA318" s="92"/>
      <c r="CB318" s="92"/>
      <c r="CC318" s="92"/>
      <c r="CD318" s="92"/>
      <c r="CE318" s="92"/>
      <c r="CF318" s="92"/>
      <c r="CG318" s="92"/>
      <c r="CH318" s="92"/>
      <c r="CI318" s="92"/>
      <c r="CJ318" s="92"/>
    </row>
    <row r="319" spans="26:88" ht="15">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2"/>
      <c r="BS319" s="92"/>
      <c r="BT319" s="92"/>
      <c r="BU319" s="92"/>
      <c r="BV319" s="92"/>
      <c r="BW319" s="92"/>
      <c r="BX319" s="92"/>
      <c r="BY319" s="92"/>
      <c r="BZ319" s="92"/>
      <c r="CA319" s="92"/>
      <c r="CB319" s="92"/>
      <c r="CC319" s="92"/>
      <c r="CD319" s="92"/>
      <c r="CE319" s="92"/>
      <c r="CF319" s="92"/>
      <c r="CG319" s="92"/>
      <c r="CH319" s="92"/>
      <c r="CI319" s="92"/>
      <c r="CJ319" s="92"/>
    </row>
    <row r="320" spans="26:88" ht="15">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c r="BD320" s="92"/>
      <c r="BE320" s="92"/>
      <c r="BF320" s="92"/>
      <c r="BG320" s="92"/>
      <c r="BH320" s="92"/>
      <c r="BI320" s="92"/>
      <c r="BJ320" s="92"/>
      <c r="BK320" s="92"/>
      <c r="BL320" s="92"/>
      <c r="BM320" s="92"/>
      <c r="BN320" s="92"/>
      <c r="BO320" s="92"/>
      <c r="BP320" s="92"/>
      <c r="BQ320" s="92"/>
      <c r="BR320" s="92"/>
      <c r="BS320" s="92"/>
      <c r="BT320" s="92"/>
      <c r="BU320" s="92"/>
      <c r="BV320" s="92"/>
      <c r="BW320" s="92"/>
      <c r="BX320" s="92"/>
      <c r="BY320" s="92"/>
      <c r="BZ320" s="92"/>
      <c r="CA320" s="92"/>
      <c r="CB320" s="92"/>
      <c r="CC320" s="92"/>
      <c r="CD320" s="92"/>
      <c r="CE320" s="92"/>
      <c r="CF320" s="92"/>
      <c r="CG320" s="92"/>
      <c r="CH320" s="92"/>
      <c r="CI320" s="92"/>
      <c r="CJ320" s="92"/>
    </row>
    <row r="321" spans="26:88" ht="15">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c r="BD321" s="92"/>
      <c r="BE321" s="92"/>
      <c r="BF321" s="92"/>
      <c r="BG321" s="92"/>
      <c r="BH321" s="92"/>
      <c r="BI321" s="92"/>
      <c r="BJ321" s="92"/>
      <c r="BK321" s="92"/>
      <c r="BL321" s="92"/>
      <c r="BM321" s="92"/>
      <c r="BN321" s="92"/>
      <c r="BO321" s="92"/>
      <c r="BP321" s="92"/>
      <c r="BQ321" s="92"/>
      <c r="BR321" s="92"/>
      <c r="BS321" s="92"/>
      <c r="BT321" s="92"/>
      <c r="BU321" s="92"/>
      <c r="BV321" s="92"/>
      <c r="BW321" s="92"/>
      <c r="BX321" s="92"/>
      <c r="BY321" s="92"/>
      <c r="BZ321" s="92"/>
      <c r="CA321" s="92"/>
      <c r="CB321" s="92"/>
      <c r="CC321" s="92"/>
      <c r="CD321" s="92"/>
      <c r="CE321" s="92"/>
      <c r="CF321" s="92"/>
      <c r="CG321" s="92"/>
      <c r="CH321" s="92"/>
      <c r="CI321" s="92"/>
      <c r="CJ321" s="92"/>
    </row>
    <row r="322" spans="26:88" ht="15">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c r="BD322" s="92"/>
      <c r="BE322" s="92"/>
      <c r="BF322" s="92"/>
      <c r="BG322" s="92"/>
      <c r="BH322" s="92"/>
      <c r="BI322" s="92"/>
      <c r="BJ322" s="92"/>
      <c r="BK322" s="92"/>
      <c r="BL322" s="92"/>
      <c r="BM322" s="92"/>
      <c r="BN322" s="92"/>
      <c r="BO322" s="92"/>
      <c r="BP322" s="92"/>
      <c r="BQ322" s="92"/>
      <c r="BR322" s="92"/>
      <c r="BS322" s="92"/>
      <c r="BT322" s="92"/>
      <c r="BU322" s="92"/>
      <c r="BV322" s="92"/>
      <c r="BW322" s="92"/>
      <c r="BX322" s="92"/>
      <c r="BY322" s="92"/>
      <c r="BZ322" s="92"/>
      <c r="CA322" s="92"/>
      <c r="CB322" s="92"/>
      <c r="CC322" s="92"/>
      <c r="CD322" s="92"/>
      <c r="CE322" s="92"/>
      <c r="CF322" s="92"/>
      <c r="CG322" s="92"/>
      <c r="CH322" s="92"/>
      <c r="CI322" s="92"/>
      <c r="CJ322" s="92"/>
    </row>
    <row r="323" spans="26:88" ht="15">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c r="BD323" s="92"/>
      <c r="BE323" s="92"/>
      <c r="BF323" s="92"/>
      <c r="BG323" s="92"/>
      <c r="BH323" s="92"/>
      <c r="BI323" s="92"/>
      <c r="BJ323" s="92"/>
      <c r="BK323" s="92"/>
      <c r="BL323" s="92"/>
      <c r="BM323" s="92"/>
      <c r="BN323" s="92"/>
      <c r="BO323" s="92"/>
      <c r="BP323" s="92"/>
      <c r="BQ323" s="92"/>
      <c r="BR323" s="92"/>
      <c r="BS323" s="92"/>
      <c r="BT323" s="92"/>
      <c r="BU323" s="92"/>
      <c r="BV323" s="92"/>
      <c r="BW323" s="92"/>
      <c r="BX323" s="92"/>
      <c r="BY323" s="92"/>
      <c r="BZ323" s="92"/>
      <c r="CA323" s="92"/>
      <c r="CB323" s="92"/>
      <c r="CC323" s="92"/>
      <c r="CD323" s="92"/>
      <c r="CE323" s="92"/>
      <c r="CF323" s="92"/>
      <c r="CG323" s="92"/>
      <c r="CH323" s="92"/>
      <c r="CI323" s="92"/>
      <c r="CJ323" s="92"/>
    </row>
    <row r="324" spans="26:88" ht="15">
      <c r="Z324" s="92"/>
      <c r="AA324" s="92"/>
      <c r="AB324" s="92"/>
      <c r="AC324" s="92"/>
      <c r="AD324" s="92"/>
      <c r="AE324" s="92"/>
      <c r="AF324" s="92"/>
      <c r="AG324" s="92"/>
      <c r="AH324" s="92"/>
      <c r="AI324" s="92"/>
      <c r="AJ324" s="92"/>
      <c r="AK324" s="92"/>
      <c r="AL324" s="92"/>
      <c r="AM324" s="92"/>
      <c r="AN324" s="92"/>
      <c r="AO324" s="92"/>
      <c r="AP324" s="92"/>
      <c r="AQ324" s="92"/>
      <c r="AR324" s="92"/>
      <c r="AS324" s="92"/>
      <c r="AT324" s="92"/>
      <c r="AU324" s="92"/>
      <c r="AV324" s="92"/>
      <c r="AW324" s="92"/>
      <c r="AX324" s="92"/>
      <c r="AY324" s="92"/>
      <c r="AZ324" s="92"/>
      <c r="BA324" s="92"/>
      <c r="BB324" s="92"/>
      <c r="BC324" s="92"/>
      <c r="BD324" s="92"/>
      <c r="BE324" s="92"/>
      <c r="BF324" s="92"/>
      <c r="BG324" s="92"/>
      <c r="BH324" s="92"/>
      <c r="BI324" s="92"/>
      <c r="BJ324" s="92"/>
      <c r="BK324" s="92"/>
      <c r="BL324" s="92"/>
      <c r="BM324" s="92"/>
      <c r="BN324" s="92"/>
      <c r="BO324" s="92"/>
      <c r="BP324" s="92"/>
      <c r="BQ324" s="92"/>
      <c r="BR324" s="92"/>
      <c r="BS324" s="92"/>
      <c r="BT324" s="92"/>
      <c r="BU324" s="92"/>
      <c r="BV324" s="92"/>
      <c r="BW324" s="92"/>
      <c r="BX324" s="92"/>
      <c r="BY324" s="92"/>
      <c r="BZ324" s="92"/>
      <c r="CA324" s="92"/>
      <c r="CB324" s="92"/>
      <c r="CC324" s="92"/>
      <c r="CD324" s="92"/>
      <c r="CE324" s="92"/>
      <c r="CF324" s="92"/>
      <c r="CG324" s="92"/>
      <c r="CH324" s="92"/>
      <c r="CI324" s="92"/>
      <c r="CJ324" s="92"/>
    </row>
    <row r="325" spans="26:88" ht="15">
      <c r="Z325" s="92"/>
      <c r="AA325" s="92"/>
      <c r="AB325" s="92"/>
      <c r="AC325" s="92"/>
      <c r="AD325" s="92"/>
      <c r="AE325" s="92"/>
      <c r="AF325" s="92"/>
      <c r="AG325" s="92"/>
      <c r="AH325" s="92"/>
      <c r="AI325" s="92"/>
      <c r="AJ325" s="92"/>
      <c r="AK325" s="92"/>
      <c r="AL325" s="92"/>
      <c r="AM325" s="92"/>
      <c r="AN325" s="92"/>
      <c r="AO325" s="92"/>
      <c r="AP325" s="92"/>
      <c r="AQ325" s="92"/>
      <c r="AR325" s="92"/>
      <c r="AS325" s="92"/>
      <c r="AT325" s="92"/>
      <c r="AU325" s="92"/>
      <c r="AV325" s="92"/>
      <c r="AW325" s="92"/>
      <c r="AX325" s="92"/>
      <c r="AY325" s="92"/>
      <c r="AZ325" s="92"/>
      <c r="BA325" s="92"/>
      <c r="BB325" s="92"/>
      <c r="BC325" s="92"/>
      <c r="BD325" s="92"/>
      <c r="BE325" s="92"/>
      <c r="BF325" s="92"/>
      <c r="BG325" s="92"/>
      <c r="BH325" s="92"/>
      <c r="BI325" s="92"/>
      <c r="BJ325" s="92"/>
      <c r="BK325" s="92"/>
      <c r="BL325" s="92"/>
      <c r="BM325" s="92"/>
      <c r="BN325" s="92"/>
      <c r="BO325" s="92"/>
      <c r="BP325" s="92"/>
      <c r="BQ325" s="92"/>
      <c r="BR325" s="92"/>
      <c r="BS325" s="92"/>
      <c r="BT325" s="92"/>
      <c r="BU325" s="92"/>
      <c r="BV325" s="92"/>
      <c r="BW325" s="92"/>
      <c r="BX325" s="92"/>
      <c r="BY325" s="92"/>
      <c r="BZ325" s="92"/>
      <c r="CA325" s="92"/>
      <c r="CB325" s="92"/>
      <c r="CC325" s="92"/>
      <c r="CD325" s="92"/>
      <c r="CE325" s="92"/>
      <c r="CF325" s="92"/>
      <c r="CG325" s="92"/>
      <c r="CH325" s="92"/>
      <c r="CI325" s="92"/>
      <c r="CJ325" s="92"/>
    </row>
    <row r="326" spans="26:88" ht="15">
      <c r="Z326" s="92"/>
      <c r="AA326" s="92"/>
      <c r="AB326" s="92"/>
      <c r="AC326" s="92"/>
      <c r="AD326" s="92"/>
      <c r="AE326" s="92"/>
      <c r="AF326" s="92"/>
      <c r="AG326" s="92"/>
      <c r="AH326" s="92"/>
      <c r="AI326" s="92"/>
      <c r="AJ326" s="92"/>
      <c r="AK326" s="92"/>
      <c r="AL326" s="92"/>
      <c r="AM326" s="92"/>
      <c r="AN326" s="92"/>
      <c r="AO326" s="92"/>
      <c r="AP326" s="92"/>
      <c r="AQ326" s="92"/>
      <c r="AR326" s="92"/>
      <c r="AS326" s="92"/>
      <c r="AT326" s="92"/>
      <c r="AU326" s="92"/>
      <c r="AV326" s="92"/>
      <c r="AW326" s="92"/>
      <c r="AX326" s="92"/>
      <c r="AY326" s="92"/>
      <c r="AZ326" s="92"/>
      <c r="BA326" s="92"/>
      <c r="BB326" s="92"/>
      <c r="BC326" s="92"/>
      <c r="BD326" s="92"/>
      <c r="BE326" s="92"/>
      <c r="BF326" s="92"/>
      <c r="BG326" s="92"/>
      <c r="BH326" s="92"/>
      <c r="BI326" s="92"/>
      <c r="BJ326" s="92"/>
      <c r="BK326" s="92"/>
      <c r="BL326" s="92"/>
      <c r="BM326" s="92"/>
      <c r="BN326" s="92"/>
      <c r="BO326" s="92"/>
      <c r="BP326" s="92"/>
      <c r="BQ326" s="92"/>
      <c r="BR326" s="92"/>
      <c r="BS326" s="92"/>
      <c r="BT326" s="92"/>
      <c r="BU326" s="92"/>
      <c r="BV326" s="92"/>
      <c r="BW326" s="92"/>
      <c r="BX326" s="92"/>
      <c r="BY326" s="92"/>
      <c r="BZ326" s="92"/>
      <c r="CA326" s="92"/>
      <c r="CB326" s="92"/>
      <c r="CC326" s="92"/>
      <c r="CD326" s="92"/>
      <c r="CE326" s="92"/>
      <c r="CF326" s="92"/>
      <c r="CG326" s="92"/>
      <c r="CH326" s="92"/>
      <c r="CI326" s="92"/>
      <c r="CJ326" s="92"/>
    </row>
    <row r="327" spans="26:88" ht="15">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c r="BT327" s="92"/>
      <c r="BU327" s="92"/>
      <c r="BV327" s="92"/>
      <c r="BW327" s="92"/>
      <c r="BX327" s="92"/>
      <c r="BY327" s="92"/>
      <c r="BZ327" s="92"/>
      <c r="CA327" s="92"/>
      <c r="CB327" s="92"/>
      <c r="CC327" s="92"/>
      <c r="CD327" s="92"/>
      <c r="CE327" s="92"/>
      <c r="CF327" s="92"/>
      <c r="CG327" s="92"/>
      <c r="CH327" s="92"/>
      <c r="CI327" s="92"/>
      <c r="CJ327" s="92"/>
    </row>
    <row r="328" spans="26:88" ht="15">
      <c r="Z328" s="92"/>
      <c r="AA328" s="92"/>
      <c r="AB328" s="92"/>
      <c r="AC328" s="92"/>
      <c r="AD328" s="92"/>
      <c r="AE328" s="92"/>
      <c r="AF328" s="92"/>
      <c r="AG328" s="92"/>
      <c r="AH328" s="92"/>
      <c r="AI328" s="92"/>
      <c r="AJ328" s="92"/>
      <c r="AK328" s="92"/>
      <c r="AL328" s="92"/>
      <c r="AM328" s="92"/>
      <c r="AN328" s="92"/>
      <c r="AO328" s="92"/>
      <c r="AP328" s="92"/>
      <c r="AQ328" s="92"/>
      <c r="AR328" s="92"/>
      <c r="AS328" s="92"/>
      <c r="AT328" s="92"/>
      <c r="AU328" s="92"/>
      <c r="AV328" s="92"/>
      <c r="AW328" s="92"/>
      <c r="AX328" s="92"/>
      <c r="AY328" s="92"/>
      <c r="AZ328" s="92"/>
      <c r="BA328" s="92"/>
      <c r="BB328" s="92"/>
      <c r="BC328" s="92"/>
      <c r="BD328" s="92"/>
      <c r="BE328" s="92"/>
      <c r="BF328" s="92"/>
      <c r="BG328" s="92"/>
      <c r="BH328" s="92"/>
      <c r="BI328" s="92"/>
      <c r="BJ328" s="92"/>
      <c r="BK328" s="92"/>
      <c r="BL328" s="92"/>
      <c r="BM328" s="92"/>
      <c r="BN328" s="92"/>
      <c r="BO328" s="92"/>
      <c r="BP328" s="92"/>
      <c r="BQ328" s="92"/>
      <c r="BR328" s="92"/>
      <c r="BS328" s="92"/>
      <c r="BT328" s="92"/>
      <c r="BU328" s="92"/>
      <c r="BV328" s="92"/>
      <c r="BW328" s="92"/>
      <c r="BX328" s="92"/>
      <c r="BY328" s="92"/>
      <c r="BZ328" s="92"/>
      <c r="CA328" s="92"/>
      <c r="CB328" s="92"/>
      <c r="CC328" s="92"/>
      <c r="CD328" s="92"/>
      <c r="CE328" s="92"/>
      <c r="CF328" s="92"/>
      <c r="CG328" s="92"/>
      <c r="CH328" s="92"/>
      <c r="CI328" s="92"/>
      <c r="CJ328" s="92"/>
    </row>
    <row r="329" spans="26:88" ht="15">
      <c r="Z329" s="92"/>
      <c r="AA329" s="92"/>
      <c r="AB329" s="92"/>
      <c r="AC329" s="92"/>
      <c r="AD329" s="92"/>
      <c r="AE329" s="92"/>
      <c r="AF329" s="92"/>
      <c r="AG329" s="92"/>
      <c r="AH329" s="92"/>
      <c r="AI329" s="92"/>
      <c r="AJ329" s="92"/>
      <c r="AK329" s="92"/>
      <c r="AL329" s="92"/>
      <c r="AM329" s="92"/>
      <c r="AN329" s="92"/>
      <c r="AO329" s="92"/>
      <c r="AP329" s="92"/>
      <c r="AQ329" s="92"/>
      <c r="AR329" s="92"/>
      <c r="AS329" s="92"/>
      <c r="AT329" s="92"/>
      <c r="AU329" s="92"/>
      <c r="AV329" s="92"/>
      <c r="AW329" s="92"/>
      <c r="AX329" s="92"/>
      <c r="AY329" s="92"/>
      <c r="AZ329" s="92"/>
      <c r="BA329" s="92"/>
      <c r="BB329" s="92"/>
      <c r="BC329" s="92"/>
      <c r="BD329" s="92"/>
      <c r="BE329" s="92"/>
      <c r="BF329" s="92"/>
      <c r="BG329" s="92"/>
      <c r="BH329" s="92"/>
      <c r="BI329" s="92"/>
      <c r="BJ329" s="92"/>
      <c r="BK329" s="92"/>
      <c r="BL329" s="92"/>
      <c r="BM329" s="92"/>
      <c r="BN329" s="92"/>
      <c r="BO329" s="92"/>
      <c r="BP329" s="92"/>
      <c r="BQ329" s="92"/>
      <c r="BR329" s="92"/>
      <c r="BS329" s="92"/>
      <c r="BT329" s="92"/>
      <c r="BU329" s="92"/>
      <c r="BV329" s="92"/>
      <c r="BW329" s="92"/>
      <c r="BX329" s="92"/>
      <c r="BY329" s="92"/>
      <c r="BZ329" s="92"/>
      <c r="CA329" s="92"/>
      <c r="CB329" s="92"/>
      <c r="CC329" s="92"/>
      <c r="CD329" s="92"/>
      <c r="CE329" s="92"/>
      <c r="CF329" s="92"/>
      <c r="CG329" s="92"/>
      <c r="CH329" s="92"/>
      <c r="CI329" s="92"/>
      <c r="CJ329" s="92"/>
    </row>
    <row r="330" spans="26:88" ht="15">
      <c r="Z330" s="92"/>
      <c r="AA330" s="92"/>
      <c r="AB330" s="92"/>
      <c r="AC330" s="92"/>
      <c r="AD330" s="92"/>
      <c r="AE330" s="92"/>
      <c r="AF330" s="92"/>
      <c r="AG330" s="92"/>
      <c r="AH330" s="92"/>
      <c r="AI330" s="92"/>
      <c r="AJ330" s="92"/>
      <c r="AK330" s="92"/>
      <c r="AL330" s="92"/>
      <c r="AM330" s="92"/>
      <c r="AN330" s="92"/>
      <c r="AO330" s="92"/>
      <c r="AP330" s="92"/>
      <c r="AQ330" s="92"/>
      <c r="AR330" s="92"/>
      <c r="AS330" s="92"/>
      <c r="AT330" s="92"/>
      <c r="AU330" s="92"/>
      <c r="AV330" s="92"/>
      <c r="AW330" s="92"/>
      <c r="AX330" s="92"/>
      <c r="AY330" s="92"/>
      <c r="AZ330" s="92"/>
      <c r="BA330" s="92"/>
      <c r="BB330" s="92"/>
      <c r="BC330" s="92"/>
      <c r="BD330" s="92"/>
      <c r="BE330" s="92"/>
      <c r="BF330" s="92"/>
      <c r="BG330" s="92"/>
      <c r="BH330" s="92"/>
      <c r="BI330" s="92"/>
      <c r="BJ330" s="92"/>
      <c r="BK330" s="92"/>
      <c r="BL330" s="92"/>
      <c r="BM330" s="92"/>
      <c r="BN330" s="92"/>
      <c r="BO330" s="92"/>
      <c r="BP330" s="92"/>
      <c r="BQ330" s="92"/>
      <c r="BR330" s="92"/>
      <c r="BS330" s="92"/>
      <c r="BT330" s="92"/>
      <c r="BU330" s="92"/>
      <c r="BV330" s="92"/>
      <c r="BW330" s="92"/>
      <c r="BX330" s="92"/>
      <c r="BY330" s="92"/>
      <c r="BZ330" s="92"/>
      <c r="CA330" s="92"/>
      <c r="CB330" s="92"/>
      <c r="CC330" s="92"/>
      <c r="CD330" s="92"/>
      <c r="CE330" s="92"/>
      <c r="CF330" s="92"/>
      <c r="CG330" s="92"/>
      <c r="CH330" s="92"/>
      <c r="CI330" s="92"/>
      <c r="CJ330" s="92"/>
    </row>
    <row r="331" spans="26:88" ht="15">
      <c r="Z331" s="92"/>
      <c r="AA331" s="92"/>
      <c r="AB331" s="92"/>
      <c r="AC331" s="92"/>
      <c r="AD331" s="92"/>
      <c r="AE331" s="92"/>
      <c r="AF331" s="92"/>
      <c r="AG331" s="92"/>
      <c r="AH331" s="92"/>
      <c r="AI331" s="92"/>
      <c r="AJ331" s="92"/>
      <c r="AK331" s="92"/>
      <c r="AL331" s="92"/>
      <c r="AM331" s="92"/>
      <c r="AN331" s="92"/>
      <c r="AO331" s="92"/>
      <c r="AP331" s="92"/>
      <c r="AQ331" s="92"/>
      <c r="AR331" s="92"/>
      <c r="AS331" s="92"/>
      <c r="AT331" s="92"/>
      <c r="AU331" s="92"/>
      <c r="AV331" s="92"/>
      <c r="AW331" s="92"/>
      <c r="AX331" s="92"/>
      <c r="AY331" s="92"/>
      <c r="AZ331" s="92"/>
      <c r="BA331" s="92"/>
      <c r="BB331" s="92"/>
      <c r="BC331" s="92"/>
      <c r="BD331" s="92"/>
      <c r="BE331" s="92"/>
      <c r="BF331" s="92"/>
      <c r="BG331" s="92"/>
      <c r="BH331" s="92"/>
      <c r="BI331" s="92"/>
      <c r="BJ331" s="92"/>
      <c r="BK331" s="92"/>
      <c r="BL331" s="92"/>
      <c r="BM331" s="92"/>
      <c r="BN331" s="92"/>
      <c r="BO331" s="92"/>
      <c r="BP331" s="92"/>
      <c r="BQ331" s="92"/>
      <c r="BR331" s="92"/>
      <c r="BS331" s="92"/>
      <c r="BT331" s="92"/>
      <c r="BU331" s="92"/>
      <c r="BV331" s="92"/>
      <c r="BW331" s="92"/>
      <c r="BX331" s="92"/>
      <c r="BY331" s="92"/>
      <c r="BZ331" s="92"/>
      <c r="CA331" s="92"/>
      <c r="CB331" s="92"/>
      <c r="CC331" s="92"/>
      <c r="CD331" s="92"/>
      <c r="CE331" s="92"/>
      <c r="CF331" s="92"/>
      <c r="CG331" s="92"/>
      <c r="CH331" s="92"/>
      <c r="CI331" s="92"/>
      <c r="CJ331" s="92"/>
    </row>
    <row r="332" spans="26:88" ht="15">
      <c r="Z332" s="92"/>
      <c r="AA332" s="92"/>
      <c r="AB332" s="92"/>
      <c r="AC332" s="92"/>
      <c r="AD332" s="92"/>
      <c r="AE332" s="92"/>
      <c r="AF332" s="92"/>
      <c r="AG332" s="92"/>
      <c r="AH332" s="92"/>
      <c r="AI332" s="92"/>
      <c r="AJ332" s="92"/>
      <c r="AK332" s="92"/>
      <c r="AL332" s="92"/>
      <c r="AM332" s="92"/>
      <c r="AN332" s="92"/>
      <c r="AO332" s="92"/>
      <c r="AP332" s="92"/>
      <c r="AQ332" s="92"/>
      <c r="AR332" s="92"/>
      <c r="AS332" s="92"/>
      <c r="AT332" s="92"/>
      <c r="AU332" s="92"/>
      <c r="AV332" s="92"/>
      <c r="AW332" s="92"/>
      <c r="AX332" s="92"/>
      <c r="AY332" s="92"/>
      <c r="AZ332" s="92"/>
      <c r="BA332" s="92"/>
      <c r="BB332" s="92"/>
      <c r="BC332" s="92"/>
      <c r="BD332" s="92"/>
      <c r="BE332" s="92"/>
      <c r="BF332" s="92"/>
      <c r="BG332" s="92"/>
      <c r="BH332" s="92"/>
      <c r="BI332" s="92"/>
      <c r="BJ332" s="92"/>
      <c r="BK332" s="92"/>
      <c r="BL332" s="92"/>
      <c r="BM332" s="92"/>
      <c r="BN332" s="92"/>
      <c r="BO332" s="92"/>
      <c r="BP332" s="92"/>
      <c r="BQ332" s="92"/>
      <c r="BR332" s="92"/>
      <c r="BS332" s="92"/>
      <c r="BT332" s="92"/>
      <c r="BU332" s="92"/>
      <c r="BV332" s="92"/>
      <c r="BW332" s="92"/>
      <c r="BX332" s="92"/>
      <c r="BY332" s="92"/>
      <c r="BZ332" s="92"/>
      <c r="CA332" s="92"/>
      <c r="CB332" s="92"/>
      <c r="CC332" s="92"/>
      <c r="CD332" s="92"/>
      <c r="CE332" s="92"/>
      <c r="CF332" s="92"/>
      <c r="CG332" s="92"/>
      <c r="CH332" s="92"/>
      <c r="CI332" s="92"/>
      <c r="CJ332" s="92"/>
    </row>
    <row r="333" spans="26:88" ht="15">
      <c r="Z333" s="92"/>
      <c r="AA333" s="92"/>
      <c r="AB333" s="92"/>
      <c r="AC333" s="92"/>
      <c r="AD333" s="92"/>
      <c r="AE333" s="92"/>
      <c r="AF333" s="92"/>
      <c r="AG333" s="92"/>
      <c r="AH333" s="92"/>
      <c r="AI333" s="92"/>
      <c r="AJ333" s="92"/>
      <c r="AK333" s="92"/>
      <c r="AL333" s="92"/>
      <c r="AM333" s="92"/>
      <c r="AN333" s="92"/>
      <c r="AO333" s="92"/>
      <c r="AP333" s="92"/>
      <c r="AQ333" s="92"/>
      <c r="AR333" s="92"/>
      <c r="AS333" s="92"/>
      <c r="AT333" s="92"/>
      <c r="AU333" s="92"/>
      <c r="AV333" s="92"/>
      <c r="AW333" s="92"/>
      <c r="AX333" s="92"/>
      <c r="AY333" s="92"/>
      <c r="AZ333" s="92"/>
      <c r="BA333" s="92"/>
      <c r="BB333" s="92"/>
      <c r="BC333" s="92"/>
      <c r="BD333" s="92"/>
      <c r="BE333" s="92"/>
      <c r="BF333" s="92"/>
      <c r="BG333" s="92"/>
      <c r="BH333" s="92"/>
      <c r="BI333" s="92"/>
      <c r="BJ333" s="92"/>
      <c r="BK333" s="92"/>
      <c r="BL333" s="92"/>
      <c r="BM333" s="92"/>
      <c r="BN333" s="92"/>
      <c r="BO333" s="92"/>
      <c r="BP333" s="92"/>
      <c r="BQ333" s="92"/>
      <c r="BR333" s="92"/>
      <c r="BS333" s="92"/>
      <c r="BT333" s="92"/>
      <c r="BU333" s="92"/>
      <c r="BV333" s="92"/>
      <c r="BW333" s="92"/>
      <c r="BX333" s="92"/>
      <c r="BY333" s="92"/>
      <c r="BZ333" s="92"/>
      <c r="CA333" s="92"/>
      <c r="CB333" s="92"/>
      <c r="CC333" s="92"/>
      <c r="CD333" s="92"/>
      <c r="CE333" s="92"/>
      <c r="CF333" s="92"/>
      <c r="CG333" s="92"/>
      <c r="CH333" s="92"/>
      <c r="CI333" s="92"/>
      <c r="CJ333" s="92"/>
    </row>
    <row r="334" spans="26:88" ht="15">
      <c r="Z334" s="92"/>
      <c r="AA334" s="92"/>
      <c r="AB334" s="92"/>
      <c r="AC334" s="92"/>
      <c r="AD334" s="92"/>
      <c r="AE334" s="92"/>
      <c r="AF334" s="92"/>
      <c r="AG334" s="92"/>
      <c r="AH334" s="92"/>
      <c r="AI334" s="92"/>
      <c r="AJ334" s="92"/>
      <c r="AK334" s="92"/>
      <c r="AL334" s="92"/>
      <c r="AM334" s="92"/>
      <c r="AN334" s="92"/>
      <c r="AO334" s="92"/>
      <c r="AP334" s="92"/>
      <c r="AQ334" s="92"/>
      <c r="AR334" s="92"/>
      <c r="AS334" s="92"/>
      <c r="AT334" s="92"/>
      <c r="AU334" s="92"/>
      <c r="AV334" s="92"/>
      <c r="AW334" s="92"/>
      <c r="AX334" s="92"/>
      <c r="AY334" s="92"/>
      <c r="AZ334" s="92"/>
      <c r="BA334" s="92"/>
      <c r="BB334" s="92"/>
      <c r="BC334" s="92"/>
      <c r="BD334" s="92"/>
      <c r="BE334" s="92"/>
      <c r="BF334" s="92"/>
      <c r="BG334" s="92"/>
      <c r="BH334" s="92"/>
      <c r="BI334" s="92"/>
      <c r="BJ334" s="92"/>
      <c r="BK334" s="92"/>
      <c r="BL334" s="92"/>
      <c r="BM334" s="92"/>
      <c r="BN334" s="92"/>
      <c r="BO334" s="92"/>
      <c r="BP334" s="92"/>
      <c r="BQ334" s="92"/>
      <c r="BR334" s="92"/>
      <c r="BS334" s="92"/>
      <c r="BT334" s="92"/>
      <c r="BU334" s="92"/>
      <c r="BV334" s="92"/>
      <c r="BW334" s="92"/>
      <c r="BX334" s="92"/>
      <c r="BY334" s="92"/>
      <c r="BZ334" s="92"/>
      <c r="CA334" s="92"/>
      <c r="CB334" s="92"/>
      <c r="CC334" s="92"/>
      <c r="CD334" s="92"/>
      <c r="CE334" s="92"/>
      <c r="CF334" s="92"/>
      <c r="CG334" s="92"/>
      <c r="CH334" s="92"/>
      <c r="CI334" s="92"/>
      <c r="CJ334" s="92"/>
    </row>
    <row r="335" spans="26:88" ht="15">
      <c r="Z335" s="92"/>
      <c r="AA335" s="92"/>
      <c r="AB335" s="92"/>
      <c r="AC335" s="92"/>
      <c r="AD335" s="92"/>
      <c r="AE335" s="92"/>
      <c r="AF335" s="92"/>
      <c r="AG335" s="92"/>
      <c r="AH335" s="92"/>
      <c r="AI335" s="92"/>
      <c r="AJ335" s="92"/>
      <c r="AK335" s="92"/>
      <c r="AL335" s="92"/>
      <c r="AM335" s="92"/>
      <c r="AN335" s="92"/>
      <c r="AO335" s="92"/>
      <c r="AP335" s="92"/>
      <c r="AQ335" s="92"/>
      <c r="AR335" s="92"/>
      <c r="AS335" s="92"/>
      <c r="AT335" s="92"/>
      <c r="AU335" s="92"/>
      <c r="AV335" s="92"/>
      <c r="AW335" s="92"/>
      <c r="AX335" s="92"/>
      <c r="AY335" s="92"/>
      <c r="AZ335" s="92"/>
      <c r="BA335" s="92"/>
      <c r="BB335" s="92"/>
      <c r="BC335" s="92"/>
      <c r="BD335" s="92"/>
      <c r="BE335" s="92"/>
      <c r="BF335" s="92"/>
      <c r="BG335" s="92"/>
      <c r="BH335" s="92"/>
      <c r="BI335" s="92"/>
      <c r="BJ335" s="92"/>
      <c r="BK335" s="92"/>
      <c r="BL335" s="92"/>
      <c r="BM335" s="92"/>
      <c r="BN335" s="92"/>
      <c r="BO335" s="92"/>
      <c r="BP335" s="92"/>
      <c r="BQ335" s="92"/>
      <c r="BR335" s="92"/>
      <c r="BS335" s="92"/>
      <c r="BT335" s="92"/>
      <c r="BU335" s="92"/>
      <c r="BV335" s="92"/>
      <c r="BW335" s="92"/>
      <c r="BX335" s="92"/>
      <c r="BY335" s="92"/>
      <c r="BZ335" s="92"/>
      <c r="CA335" s="92"/>
      <c r="CB335" s="92"/>
      <c r="CC335" s="92"/>
      <c r="CD335" s="92"/>
      <c r="CE335" s="92"/>
      <c r="CF335" s="92"/>
      <c r="CG335" s="92"/>
      <c r="CH335" s="92"/>
      <c r="CI335" s="92"/>
      <c r="CJ335" s="92"/>
    </row>
    <row r="336" spans="26:88" ht="15">
      <c r="Z336" s="92"/>
      <c r="AA336" s="92"/>
      <c r="AB336" s="92"/>
      <c r="AC336" s="92"/>
      <c r="AD336" s="92"/>
      <c r="AE336" s="92"/>
      <c r="AF336" s="92"/>
      <c r="AG336" s="92"/>
      <c r="AH336" s="92"/>
      <c r="AI336" s="92"/>
      <c r="AJ336" s="92"/>
      <c r="AK336" s="92"/>
      <c r="AL336" s="92"/>
      <c r="AM336" s="92"/>
      <c r="AN336" s="92"/>
      <c r="AO336" s="92"/>
      <c r="AP336" s="92"/>
      <c r="AQ336" s="92"/>
      <c r="AR336" s="92"/>
      <c r="AS336" s="92"/>
      <c r="AT336" s="92"/>
      <c r="AU336" s="92"/>
      <c r="AV336" s="92"/>
      <c r="AW336" s="92"/>
      <c r="AX336" s="92"/>
      <c r="AY336" s="92"/>
      <c r="AZ336" s="92"/>
      <c r="BA336" s="92"/>
      <c r="BB336" s="92"/>
      <c r="BC336" s="92"/>
      <c r="BD336" s="92"/>
      <c r="BE336" s="92"/>
      <c r="BF336" s="92"/>
      <c r="BG336" s="92"/>
      <c r="BH336" s="92"/>
      <c r="BI336" s="92"/>
      <c r="BJ336" s="92"/>
      <c r="BK336" s="92"/>
      <c r="BL336" s="92"/>
      <c r="BM336" s="92"/>
      <c r="BN336" s="92"/>
      <c r="BO336" s="92"/>
      <c r="BP336" s="92"/>
      <c r="BQ336" s="92"/>
      <c r="BR336" s="92"/>
      <c r="BS336" s="92"/>
      <c r="BT336" s="92"/>
      <c r="BU336" s="92"/>
      <c r="BV336" s="92"/>
      <c r="BW336" s="92"/>
      <c r="BX336" s="92"/>
      <c r="BY336" s="92"/>
      <c r="BZ336" s="92"/>
      <c r="CA336" s="92"/>
      <c r="CB336" s="92"/>
      <c r="CC336" s="92"/>
      <c r="CD336" s="92"/>
      <c r="CE336" s="92"/>
      <c r="CF336" s="92"/>
      <c r="CG336" s="92"/>
      <c r="CH336" s="92"/>
      <c r="CI336" s="92"/>
      <c r="CJ336" s="92"/>
    </row>
    <row r="337" spans="26:88" ht="15">
      <c r="Z337" s="92"/>
      <c r="AA337" s="92"/>
      <c r="AB337" s="92"/>
      <c r="AC337" s="92"/>
      <c r="AD337" s="92"/>
      <c r="AE337" s="92"/>
      <c r="AF337" s="92"/>
      <c r="AG337" s="92"/>
      <c r="AH337" s="92"/>
      <c r="AI337" s="92"/>
      <c r="AJ337" s="92"/>
      <c r="AK337" s="92"/>
      <c r="AL337" s="92"/>
      <c r="AM337" s="92"/>
      <c r="AN337" s="92"/>
      <c r="AO337" s="92"/>
      <c r="AP337" s="92"/>
      <c r="AQ337" s="92"/>
      <c r="AR337" s="92"/>
      <c r="AS337" s="92"/>
      <c r="AT337" s="92"/>
      <c r="AU337" s="92"/>
      <c r="AV337" s="92"/>
      <c r="AW337" s="92"/>
      <c r="AX337" s="92"/>
      <c r="AY337" s="92"/>
      <c r="AZ337" s="92"/>
      <c r="BA337" s="92"/>
      <c r="BB337" s="92"/>
      <c r="BC337" s="92"/>
      <c r="BD337" s="92"/>
      <c r="BE337" s="92"/>
      <c r="BF337" s="92"/>
      <c r="BG337" s="92"/>
      <c r="BH337" s="92"/>
      <c r="BI337" s="92"/>
      <c r="BJ337" s="92"/>
      <c r="BK337" s="92"/>
      <c r="BL337" s="92"/>
      <c r="BM337" s="92"/>
      <c r="BN337" s="92"/>
      <c r="BO337" s="92"/>
      <c r="BP337" s="92"/>
      <c r="BQ337" s="92"/>
      <c r="BR337" s="92"/>
      <c r="BS337" s="92"/>
      <c r="BT337" s="92"/>
      <c r="BU337" s="92"/>
      <c r="BV337" s="92"/>
      <c r="BW337" s="92"/>
      <c r="BX337" s="92"/>
      <c r="BY337" s="92"/>
      <c r="BZ337" s="92"/>
      <c r="CA337" s="92"/>
      <c r="CB337" s="92"/>
      <c r="CC337" s="92"/>
      <c r="CD337" s="92"/>
      <c r="CE337" s="92"/>
      <c r="CF337" s="92"/>
      <c r="CG337" s="92"/>
      <c r="CH337" s="92"/>
      <c r="CI337" s="92"/>
      <c r="CJ337" s="92"/>
    </row>
    <row r="338" spans="26:88" ht="15">
      <c r="Z338" s="92"/>
      <c r="AA338" s="92"/>
      <c r="AB338" s="92"/>
      <c r="AC338" s="92"/>
      <c r="AD338" s="92"/>
      <c r="AE338" s="92"/>
      <c r="AF338" s="92"/>
      <c r="AG338" s="92"/>
      <c r="AH338" s="92"/>
      <c r="AI338" s="92"/>
      <c r="AJ338" s="92"/>
      <c r="AK338" s="92"/>
      <c r="AL338" s="92"/>
      <c r="AM338" s="92"/>
      <c r="AN338" s="92"/>
      <c r="AO338" s="92"/>
      <c r="AP338" s="92"/>
      <c r="AQ338" s="92"/>
      <c r="AR338" s="92"/>
      <c r="AS338" s="92"/>
      <c r="AT338" s="92"/>
      <c r="AU338" s="92"/>
      <c r="AV338" s="92"/>
      <c r="AW338" s="92"/>
      <c r="AX338" s="92"/>
      <c r="AY338" s="92"/>
      <c r="AZ338" s="92"/>
      <c r="BA338" s="92"/>
      <c r="BB338" s="92"/>
      <c r="BC338" s="92"/>
      <c r="BD338" s="92"/>
      <c r="BE338" s="92"/>
      <c r="BF338" s="92"/>
      <c r="BG338" s="92"/>
      <c r="BH338" s="92"/>
      <c r="BI338" s="92"/>
      <c r="BJ338" s="92"/>
      <c r="BK338" s="92"/>
      <c r="BL338" s="92"/>
      <c r="BM338" s="92"/>
      <c r="BN338" s="92"/>
      <c r="BO338" s="92"/>
      <c r="BP338" s="92"/>
      <c r="BQ338" s="92"/>
      <c r="BR338" s="92"/>
      <c r="BS338" s="92"/>
      <c r="BT338" s="92"/>
      <c r="BU338" s="92"/>
      <c r="BV338" s="92"/>
      <c r="BW338" s="92"/>
      <c r="BX338" s="92"/>
      <c r="BY338" s="92"/>
      <c r="BZ338" s="92"/>
      <c r="CA338" s="92"/>
      <c r="CB338" s="92"/>
      <c r="CC338" s="92"/>
      <c r="CD338" s="92"/>
      <c r="CE338" s="92"/>
      <c r="CF338" s="92"/>
      <c r="CG338" s="92"/>
      <c r="CH338" s="92"/>
      <c r="CI338" s="92"/>
      <c r="CJ338" s="92"/>
    </row>
    <row r="339" spans="26:88" ht="15">
      <c r="Z339" s="92"/>
      <c r="AA339" s="92"/>
      <c r="AB339" s="92"/>
      <c r="AC339" s="92"/>
      <c r="AD339" s="92"/>
      <c r="AE339" s="92"/>
      <c r="AF339" s="92"/>
      <c r="AG339" s="92"/>
      <c r="AH339" s="92"/>
      <c r="AI339" s="92"/>
      <c r="AJ339" s="92"/>
      <c r="AK339" s="92"/>
      <c r="AL339" s="92"/>
      <c r="AM339" s="92"/>
      <c r="AN339" s="92"/>
      <c r="AO339" s="92"/>
      <c r="AP339" s="92"/>
      <c r="AQ339" s="92"/>
      <c r="AR339" s="92"/>
      <c r="AS339" s="92"/>
      <c r="AT339" s="92"/>
      <c r="AU339" s="92"/>
      <c r="AV339" s="92"/>
      <c r="AW339" s="92"/>
      <c r="AX339" s="92"/>
      <c r="AY339" s="92"/>
      <c r="AZ339" s="92"/>
      <c r="BA339" s="92"/>
      <c r="BB339" s="92"/>
      <c r="BC339" s="92"/>
      <c r="BD339" s="92"/>
      <c r="BE339" s="92"/>
      <c r="BF339" s="92"/>
      <c r="BG339" s="92"/>
      <c r="BH339" s="92"/>
      <c r="BI339" s="92"/>
      <c r="BJ339" s="92"/>
      <c r="BK339" s="92"/>
      <c r="BL339" s="92"/>
      <c r="BM339" s="92"/>
      <c r="BN339" s="92"/>
      <c r="BO339" s="92"/>
      <c r="BP339" s="92"/>
      <c r="BQ339" s="92"/>
      <c r="BR339" s="92"/>
      <c r="BS339" s="92"/>
      <c r="BT339" s="92"/>
      <c r="BU339" s="92"/>
      <c r="BV339" s="92"/>
      <c r="BW339" s="92"/>
      <c r="BX339" s="92"/>
      <c r="BY339" s="92"/>
      <c r="BZ339" s="92"/>
      <c r="CA339" s="92"/>
      <c r="CB339" s="92"/>
      <c r="CC339" s="92"/>
      <c r="CD339" s="92"/>
      <c r="CE339" s="92"/>
      <c r="CF339" s="92"/>
      <c r="CG339" s="92"/>
      <c r="CH339" s="92"/>
      <c r="CI339" s="92"/>
      <c r="CJ339" s="92"/>
    </row>
    <row r="340" spans="26:88" ht="15">
      <c r="Z340" s="92"/>
      <c r="AA340" s="92"/>
      <c r="AB340" s="92"/>
      <c r="AC340" s="92"/>
      <c r="AD340" s="92"/>
      <c r="AE340" s="92"/>
      <c r="AF340" s="92"/>
      <c r="AG340" s="92"/>
      <c r="AH340" s="92"/>
      <c r="AI340" s="92"/>
      <c r="AJ340" s="92"/>
      <c r="AK340" s="92"/>
      <c r="AL340" s="92"/>
      <c r="AM340" s="92"/>
      <c r="AN340" s="92"/>
      <c r="AO340" s="92"/>
      <c r="AP340" s="92"/>
      <c r="AQ340" s="92"/>
      <c r="AR340" s="92"/>
      <c r="AS340" s="92"/>
      <c r="AT340" s="92"/>
      <c r="AU340" s="92"/>
      <c r="AV340" s="92"/>
      <c r="AW340" s="92"/>
      <c r="AX340" s="92"/>
      <c r="AY340" s="92"/>
      <c r="AZ340" s="92"/>
      <c r="BA340" s="92"/>
      <c r="BB340" s="92"/>
      <c r="BC340" s="92"/>
      <c r="BD340" s="92"/>
      <c r="BE340" s="92"/>
      <c r="BF340" s="92"/>
      <c r="BG340" s="92"/>
      <c r="BH340" s="92"/>
      <c r="BI340" s="92"/>
      <c r="BJ340" s="92"/>
      <c r="BK340" s="92"/>
      <c r="BL340" s="92"/>
      <c r="BM340" s="92"/>
      <c r="BN340" s="92"/>
      <c r="BO340" s="92"/>
      <c r="BP340" s="92"/>
      <c r="BQ340" s="92"/>
      <c r="BR340" s="92"/>
      <c r="BS340" s="92"/>
      <c r="BT340" s="92"/>
      <c r="BU340" s="92"/>
      <c r="BV340" s="92"/>
      <c r="BW340" s="92"/>
      <c r="BX340" s="92"/>
      <c r="BY340" s="92"/>
      <c r="BZ340" s="92"/>
      <c r="CA340" s="92"/>
      <c r="CB340" s="92"/>
      <c r="CC340" s="92"/>
      <c r="CD340" s="92"/>
      <c r="CE340" s="92"/>
      <c r="CF340" s="92"/>
      <c r="CG340" s="92"/>
      <c r="CH340" s="92"/>
      <c r="CI340" s="92"/>
      <c r="CJ340" s="92"/>
    </row>
    <row r="341" spans="26:88" ht="15">
      <c r="Z341" s="92"/>
      <c r="AA341" s="92"/>
      <c r="AB341" s="92"/>
      <c r="AC341" s="92"/>
      <c r="AD341" s="92"/>
      <c r="AE341" s="92"/>
      <c r="AF341" s="92"/>
      <c r="AG341" s="92"/>
      <c r="AH341" s="92"/>
      <c r="AI341" s="92"/>
      <c r="AJ341" s="92"/>
      <c r="AK341" s="92"/>
      <c r="AL341" s="92"/>
      <c r="AM341" s="92"/>
      <c r="AN341" s="92"/>
      <c r="AO341" s="92"/>
      <c r="AP341" s="92"/>
      <c r="AQ341" s="92"/>
      <c r="AR341" s="92"/>
      <c r="AS341" s="92"/>
      <c r="AT341" s="92"/>
      <c r="AU341" s="92"/>
      <c r="AV341" s="92"/>
      <c r="AW341" s="92"/>
      <c r="AX341" s="92"/>
      <c r="AY341" s="92"/>
      <c r="AZ341" s="92"/>
      <c r="BA341" s="92"/>
      <c r="BB341" s="92"/>
      <c r="BC341" s="92"/>
      <c r="BD341" s="92"/>
      <c r="BE341" s="92"/>
      <c r="BF341" s="92"/>
      <c r="BG341" s="92"/>
      <c r="BH341" s="92"/>
      <c r="BI341" s="92"/>
      <c r="BJ341" s="92"/>
      <c r="BK341" s="92"/>
      <c r="BL341" s="92"/>
      <c r="BM341" s="92"/>
      <c r="BN341" s="92"/>
      <c r="BO341" s="92"/>
      <c r="BP341" s="92"/>
      <c r="BQ341" s="92"/>
      <c r="BR341" s="92"/>
      <c r="BS341" s="92"/>
      <c r="BT341" s="92"/>
      <c r="BU341" s="92"/>
      <c r="BV341" s="92"/>
      <c r="BW341" s="92"/>
      <c r="BX341" s="92"/>
      <c r="BY341" s="92"/>
      <c r="BZ341" s="92"/>
      <c r="CA341" s="92"/>
      <c r="CB341" s="92"/>
      <c r="CC341" s="92"/>
      <c r="CD341" s="92"/>
      <c r="CE341" s="92"/>
      <c r="CF341" s="92"/>
      <c r="CG341" s="92"/>
      <c r="CH341" s="92"/>
      <c r="CI341" s="92"/>
      <c r="CJ341" s="92"/>
    </row>
    <row r="342" spans="26:88" ht="15">
      <c r="Z342" s="92"/>
      <c r="AA342" s="92"/>
      <c r="AB342" s="92"/>
      <c r="AC342" s="92"/>
      <c r="AD342" s="92"/>
      <c r="AE342" s="92"/>
      <c r="AF342" s="92"/>
      <c r="AG342" s="92"/>
      <c r="AH342" s="92"/>
      <c r="AI342" s="92"/>
      <c r="AJ342" s="92"/>
      <c r="AK342" s="92"/>
      <c r="AL342" s="92"/>
      <c r="AM342" s="92"/>
      <c r="AN342" s="92"/>
      <c r="AO342" s="92"/>
      <c r="AP342" s="92"/>
      <c r="AQ342" s="92"/>
      <c r="AR342" s="92"/>
      <c r="AS342" s="92"/>
      <c r="AT342" s="92"/>
      <c r="AU342" s="92"/>
      <c r="AV342" s="92"/>
      <c r="AW342" s="92"/>
      <c r="AX342" s="92"/>
      <c r="AY342" s="92"/>
      <c r="AZ342" s="92"/>
      <c r="BA342" s="92"/>
      <c r="BB342" s="92"/>
      <c r="BC342" s="92"/>
      <c r="BD342" s="92"/>
      <c r="BE342" s="92"/>
      <c r="BF342" s="92"/>
      <c r="BG342" s="92"/>
      <c r="BH342" s="92"/>
      <c r="BI342" s="92"/>
      <c r="BJ342" s="92"/>
      <c r="BK342" s="92"/>
      <c r="BL342" s="92"/>
      <c r="BM342" s="92"/>
      <c r="BN342" s="92"/>
      <c r="BO342" s="92"/>
      <c r="BP342" s="92"/>
      <c r="BQ342" s="92"/>
      <c r="BR342" s="92"/>
      <c r="BS342" s="92"/>
      <c r="BT342" s="92"/>
      <c r="BU342" s="92"/>
      <c r="BV342" s="92"/>
      <c r="BW342" s="92"/>
      <c r="BX342" s="92"/>
      <c r="BY342" s="92"/>
      <c r="BZ342" s="92"/>
      <c r="CA342" s="92"/>
      <c r="CB342" s="92"/>
      <c r="CC342" s="92"/>
      <c r="CD342" s="92"/>
      <c r="CE342" s="92"/>
      <c r="CF342" s="92"/>
      <c r="CG342" s="92"/>
      <c r="CH342" s="92"/>
      <c r="CI342" s="92"/>
      <c r="CJ342" s="92"/>
    </row>
    <row r="343" spans="26:88" ht="15">
      <c r="Z343" s="92"/>
      <c r="AA343" s="92"/>
      <c r="AB343" s="92"/>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2"/>
      <c r="CE343" s="92"/>
      <c r="CF343" s="92"/>
      <c r="CG343" s="92"/>
      <c r="CH343" s="92"/>
      <c r="CI343" s="92"/>
      <c r="CJ343" s="92"/>
    </row>
    <row r="344" spans="26:88" ht="15">
      <c r="Z344" s="92"/>
      <c r="AA344" s="92"/>
      <c r="AB344" s="92"/>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2"/>
      <c r="CE344" s="92"/>
      <c r="CF344" s="92"/>
      <c r="CG344" s="92"/>
      <c r="CH344" s="92"/>
      <c r="CI344" s="92"/>
      <c r="CJ344" s="92"/>
    </row>
    <row r="345" spans="26:88" ht="15">
      <c r="Z345" s="92"/>
      <c r="AA345" s="92"/>
      <c r="AB345" s="92"/>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2"/>
      <c r="CE345" s="92"/>
      <c r="CF345" s="92"/>
      <c r="CG345" s="92"/>
      <c r="CH345" s="92"/>
      <c r="CI345" s="92"/>
      <c r="CJ345" s="92"/>
    </row>
    <row r="346" spans="26:88" ht="15">
      <c r="Z346" s="92"/>
      <c r="AA346" s="92"/>
      <c r="AB346" s="264"/>
      <c r="AC346" s="92"/>
      <c r="AD346" s="92"/>
      <c r="AE346" s="92"/>
      <c r="AF346" s="92"/>
      <c r="AG346" s="92"/>
      <c r="AH346" s="92"/>
      <c r="AI346" s="92"/>
      <c r="AJ346" s="92"/>
      <c r="AK346" s="92"/>
      <c r="AL346" s="92"/>
      <c r="AM346" s="92"/>
      <c r="AN346" s="92"/>
      <c r="AO346" s="92"/>
      <c r="AP346" s="92"/>
      <c r="AQ346" s="92"/>
      <c r="AR346" s="92"/>
      <c r="AS346" s="92"/>
      <c r="AT346" s="92"/>
      <c r="AU346" s="92"/>
      <c r="AV346" s="92"/>
      <c r="AW346" s="92"/>
      <c r="AX346" s="92"/>
      <c r="AY346" s="92"/>
      <c r="AZ346" s="92"/>
      <c r="BA346" s="92"/>
      <c r="BB346" s="92"/>
      <c r="BC346" s="92"/>
      <c r="BD346" s="92"/>
      <c r="BE346" s="92"/>
      <c r="BF346" s="92"/>
      <c r="BG346" s="92"/>
      <c r="BH346" s="92"/>
      <c r="BI346" s="92"/>
      <c r="BJ346" s="92"/>
      <c r="BK346" s="92"/>
      <c r="BL346" s="92"/>
      <c r="BM346" s="92"/>
      <c r="BN346" s="92"/>
      <c r="BO346" s="92"/>
      <c r="BP346" s="92"/>
      <c r="BQ346" s="92"/>
      <c r="BR346" s="92"/>
      <c r="BS346" s="92"/>
      <c r="BT346" s="92"/>
      <c r="BU346" s="92"/>
      <c r="BV346" s="92"/>
      <c r="BW346" s="92"/>
      <c r="BX346" s="92"/>
      <c r="BY346" s="92"/>
      <c r="BZ346" s="92"/>
      <c r="CA346" s="92"/>
      <c r="CB346" s="92"/>
      <c r="CC346" s="92"/>
      <c r="CD346" s="92"/>
      <c r="CE346" s="92"/>
      <c r="CF346" s="92"/>
      <c r="CG346" s="92"/>
      <c r="CH346" s="92"/>
      <c r="CI346" s="92"/>
      <c r="CJ346" s="92"/>
    </row>
    <row r="347" spans="26:88" ht="15">
      <c r="Z347" s="92"/>
      <c r="AA347" s="92"/>
      <c r="AB347" s="264"/>
      <c r="AC347" s="92"/>
      <c r="AD347" s="92"/>
      <c r="AE347" s="92"/>
      <c r="AF347" s="92"/>
      <c r="AG347" s="92"/>
      <c r="AH347" s="92"/>
      <c r="AI347" s="92"/>
      <c r="AJ347" s="92"/>
      <c r="AK347" s="92"/>
      <c r="AL347" s="92"/>
      <c r="AM347" s="92"/>
      <c r="AN347" s="92"/>
      <c r="AO347" s="92"/>
      <c r="AP347" s="92"/>
      <c r="AQ347" s="92"/>
      <c r="AR347" s="92"/>
      <c r="AS347" s="92"/>
      <c r="AT347" s="92"/>
      <c r="AU347" s="92"/>
      <c r="AV347" s="92"/>
      <c r="AW347" s="92"/>
      <c r="AX347" s="92"/>
      <c r="AY347" s="92"/>
      <c r="AZ347" s="92"/>
      <c r="BA347" s="92"/>
      <c r="BB347" s="92"/>
      <c r="BC347" s="92"/>
      <c r="BD347" s="92"/>
      <c r="BE347" s="92"/>
      <c r="BF347" s="92"/>
      <c r="BG347" s="92"/>
      <c r="BH347" s="92"/>
      <c r="BI347" s="92"/>
      <c r="BJ347" s="92"/>
      <c r="BK347" s="92"/>
      <c r="BL347" s="92"/>
      <c r="BM347" s="92"/>
      <c r="BN347" s="92"/>
      <c r="BO347" s="92"/>
      <c r="BP347" s="92"/>
      <c r="BQ347" s="92"/>
      <c r="BR347" s="92"/>
      <c r="BS347" s="92"/>
      <c r="BT347" s="92"/>
      <c r="BU347" s="92"/>
      <c r="BV347" s="92"/>
      <c r="BW347" s="92"/>
      <c r="BX347" s="92"/>
      <c r="BY347" s="92"/>
      <c r="BZ347" s="92"/>
      <c r="CA347" s="92"/>
      <c r="CB347" s="92"/>
      <c r="CC347" s="92"/>
      <c r="CD347" s="92"/>
      <c r="CE347" s="92"/>
      <c r="CF347" s="92"/>
      <c r="CG347" s="92"/>
      <c r="CH347" s="92"/>
      <c r="CI347" s="92"/>
      <c r="CJ347" s="92"/>
    </row>
    <row r="348" spans="26:88" ht="15">
      <c r="Z348" s="92"/>
      <c r="AA348" s="92"/>
      <c r="AB348" s="264"/>
      <c r="AC348" s="92"/>
      <c r="AD348" s="92"/>
      <c r="AE348" s="92"/>
      <c r="AF348" s="92"/>
      <c r="AG348" s="92"/>
      <c r="AH348" s="92"/>
      <c r="AI348" s="92"/>
      <c r="AJ348" s="92"/>
      <c r="AK348" s="92"/>
      <c r="AL348" s="92"/>
      <c r="AM348" s="92"/>
      <c r="AN348" s="92"/>
      <c r="AO348" s="92"/>
      <c r="AP348" s="92"/>
      <c r="AQ348" s="92"/>
      <c r="AR348" s="92"/>
      <c r="AS348" s="92"/>
      <c r="AT348" s="92"/>
      <c r="AU348" s="92"/>
      <c r="AV348" s="92"/>
      <c r="AW348" s="92"/>
      <c r="AX348" s="92"/>
      <c r="AY348" s="92"/>
      <c r="AZ348" s="92"/>
      <c r="BA348" s="92"/>
      <c r="BB348" s="92"/>
      <c r="BC348" s="92"/>
      <c r="BD348" s="92"/>
      <c r="BE348" s="92"/>
      <c r="BF348" s="92"/>
      <c r="BG348" s="92"/>
      <c r="BH348" s="92"/>
      <c r="BI348" s="92"/>
      <c r="BJ348" s="92"/>
      <c r="BK348" s="92"/>
      <c r="BL348" s="92"/>
      <c r="BM348" s="92"/>
      <c r="BN348" s="92"/>
      <c r="BO348" s="92"/>
      <c r="BP348" s="92"/>
      <c r="BQ348" s="92"/>
      <c r="BR348" s="92"/>
      <c r="BS348" s="92"/>
      <c r="BT348" s="92"/>
      <c r="BU348" s="92"/>
      <c r="BV348" s="92"/>
      <c r="BW348" s="92"/>
      <c r="BX348" s="92"/>
      <c r="BY348" s="92"/>
      <c r="BZ348" s="92"/>
      <c r="CA348" s="92"/>
      <c r="CB348" s="92"/>
      <c r="CC348" s="92"/>
      <c r="CD348" s="92"/>
      <c r="CE348" s="92"/>
      <c r="CF348" s="92"/>
      <c r="CG348" s="92"/>
      <c r="CH348" s="92"/>
      <c r="CI348" s="92"/>
      <c r="CJ348" s="92"/>
    </row>
    <row r="349" spans="26:88" ht="15">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92"/>
      <c r="AY349" s="92"/>
      <c r="AZ349" s="92"/>
      <c r="BA349" s="92"/>
      <c r="BB349" s="92"/>
      <c r="BC349" s="92"/>
      <c r="BD349" s="92"/>
      <c r="BE349" s="92"/>
      <c r="BF349" s="92"/>
      <c r="BG349" s="92"/>
      <c r="BH349" s="92"/>
      <c r="BI349" s="92"/>
      <c r="BJ349" s="92"/>
      <c r="BK349" s="92"/>
      <c r="BL349" s="92"/>
      <c r="BM349" s="92"/>
      <c r="BN349" s="92"/>
      <c r="BO349" s="92"/>
      <c r="BP349" s="92"/>
      <c r="BQ349" s="92"/>
      <c r="BR349" s="92"/>
      <c r="BS349" s="92"/>
      <c r="BT349" s="92"/>
      <c r="BU349" s="92"/>
      <c r="BV349" s="92"/>
      <c r="BW349" s="92"/>
      <c r="BX349" s="92"/>
      <c r="BY349" s="92"/>
      <c r="BZ349" s="92"/>
      <c r="CA349" s="92"/>
      <c r="CB349" s="92"/>
      <c r="CC349" s="92"/>
      <c r="CD349" s="92"/>
      <c r="CE349" s="92"/>
      <c r="CF349" s="92"/>
      <c r="CG349" s="92"/>
      <c r="CH349" s="92"/>
      <c r="CI349" s="92"/>
      <c r="CJ349" s="92"/>
    </row>
    <row r="350" spans="26:88" ht="15">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2"/>
      <c r="AY350" s="92"/>
      <c r="AZ350" s="92"/>
      <c r="BA350" s="92"/>
      <c r="BB350" s="92"/>
      <c r="BC350" s="92"/>
      <c r="BD350" s="92"/>
      <c r="BE350" s="92"/>
      <c r="BF350" s="92"/>
      <c r="BG350" s="92"/>
      <c r="BH350" s="92"/>
      <c r="BI350" s="92"/>
      <c r="BJ350" s="92"/>
      <c r="BK350" s="92"/>
      <c r="BL350" s="92"/>
      <c r="BM350" s="92"/>
      <c r="BN350" s="92"/>
      <c r="BO350" s="92"/>
      <c r="BP350" s="92"/>
      <c r="BQ350" s="92"/>
      <c r="BR350" s="92"/>
      <c r="BS350" s="92"/>
      <c r="BT350" s="92"/>
      <c r="BU350" s="92"/>
      <c r="BV350" s="92"/>
      <c r="BW350" s="92"/>
      <c r="BX350" s="92"/>
      <c r="BY350" s="92"/>
      <c r="BZ350" s="92"/>
      <c r="CA350" s="92"/>
      <c r="CB350" s="92"/>
      <c r="CC350" s="92"/>
      <c r="CD350" s="92"/>
      <c r="CE350" s="92"/>
      <c r="CF350" s="92"/>
      <c r="CG350" s="92"/>
      <c r="CH350" s="92"/>
      <c r="CI350" s="92"/>
      <c r="CJ350" s="92"/>
    </row>
    <row r="351" spans="26:88" ht="15">
      <c r="Z351" s="92"/>
      <c r="AA351" s="92"/>
      <c r="AB351" s="92"/>
      <c r="AC351" s="92"/>
      <c r="AD351" s="92"/>
      <c r="AE351" s="92"/>
      <c r="AF351" s="92"/>
      <c r="AG351" s="92"/>
      <c r="AH351" s="92"/>
      <c r="AI351" s="92"/>
      <c r="AJ351" s="92"/>
      <c r="AK351" s="92"/>
      <c r="AL351" s="92"/>
      <c r="AM351" s="92"/>
      <c r="AN351" s="92"/>
      <c r="AO351" s="92"/>
      <c r="AP351" s="92"/>
      <c r="AQ351" s="92"/>
      <c r="AR351" s="92"/>
      <c r="AS351" s="92"/>
      <c r="AT351" s="92"/>
      <c r="AU351" s="92"/>
      <c r="AV351" s="92"/>
      <c r="AW351" s="92"/>
      <c r="AX351" s="92"/>
      <c r="AY351" s="92"/>
      <c r="AZ351" s="92"/>
      <c r="BA351" s="92"/>
      <c r="BB351" s="92"/>
      <c r="BC351" s="92"/>
      <c r="BD351" s="92"/>
      <c r="BE351" s="92"/>
      <c r="BF351" s="92"/>
      <c r="BG351" s="92"/>
      <c r="BH351" s="92"/>
      <c r="BI351" s="92"/>
      <c r="BJ351" s="92"/>
      <c r="BK351" s="92"/>
      <c r="BL351" s="92"/>
      <c r="BM351" s="92"/>
      <c r="BN351" s="92"/>
      <c r="BO351" s="92"/>
      <c r="BP351" s="92"/>
      <c r="BQ351" s="92"/>
      <c r="BR351" s="92"/>
      <c r="BS351" s="92"/>
      <c r="BT351" s="92"/>
      <c r="BU351" s="92"/>
      <c r="BV351" s="92"/>
      <c r="BW351" s="92"/>
      <c r="BX351" s="92"/>
      <c r="BY351" s="92"/>
      <c r="BZ351" s="92"/>
      <c r="CA351" s="92"/>
      <c r="CB351" s="92"/>
      <c r="CC351" s="92"/>
      <c r="CD351" s="92"/>
      <c r="CE351" s="92"/>
      <c r="CF351" s="92"/>
      <c r="CG351" s="92"/>
      <c r="CH351" s="92"/>
      <c r="CI351" s="92"/>
      <c r="CJ351" s="92"/>
    </row>
    <row r="352" spans="26:88" ht="15">
      <c r="Z352" s="92"/>
      <c r="AA352" s="92"/>
      <c r="AB352" s="92"/>
      <c r="AC352" s="92"/>
      <c r="AD352" s="92"/>
      <c r="AE352" s="92"/>
      <c r="AF352" s="92"/>
      <c r="AG352" s="92"/>
      <c r="AH352" s="92"/>
      <c r="AI352" s="92"/>
      <c r="AJ352" s="92"/>
      <c r="AK352" s="92"/>
      <c r="AL352" s="92"/>
      <c r="AM352" s="92"/>
      <c r="AN352" s="92"/>
      <c r="AO352" s="92"/>
      <c r="AP352" s="92"/>
      <c r="AQ352" s="92"/>
      <c r="AR352" s="92"/>
      <c r="AS352" s="92"/>
      <c r="AT352" s="92"/>
      <c r="AU352" s="92"/>
      <c r="AV352" s="92"/>
      <c r="AW352" s="92"/>
      <c r="AX352" s="92"/>
      <c r="AY352" s="92"/>
      <c r="AZ352" s="92"/>
      <c r="BA352" s="92"/>
      <c r="BB352" s="92"/>
      <c r="BC352" s="92"/>
      <c r="BD352" s="92"/>
      <c r="BE352" s="92"/>
      <c r="BF352" s="92"/>
      <c r="BG352" s="92"/>
      <c r="BH352" s="92"/>
      <c r="BI352" s="92"/>
      <c r="BJ352" s="92"/>
      <c r="BK352" s="92"/>
      <c r="BL352" s="92"/>
      <c r="BM352" s="92"/>
      <c r="BN352" s="92"/>
      <c r="BO352" s="92"/>
      <c r="BP352" s="92"/>
      <c r="BQ352" s="92"/>
      <c r="BR352" s="92"/>
      <c r="BS352" s="92"/>
      <c r="BT352" s="92"/>
      <c r="BU352" s="92"/>
      <c r="BV352" s="92"/>
      <c r="BW352" s="92"/>
      <c r="BX352" s="92"/>
      <c r="BY352" s="92"/>
      <c r="BZ352" s="92"/>
      <c r="CA352" s="92"/>
      <c r="CB352" s="92"/>
      <c r="CC352" s="92"/>
      <c r="CD352" s="92"/>
      <c r="CE352" s="92"/>
      <c r="CF352" s="92"/>
      <c r="CG352" s="92"/>
      <c r="CH352" s="92"/>
      <c r="CI352" s="92"/>
      <c r="CJ352" s="92"/>
    </row>
    <row r="353" spans="26:88" ht="15">
      <c r="Z353" s="92"/>
      <c r="AA353" s="92"/>
      <c r="AB353" s="92"/>
      <c r="AC353" s="92"/>
      <c r="AD353" s="92"/>
      <c r="AE353" s="92"/>
      <c r="AF353" s="92"/>
      <c r="AG353" s="92"/>
      <c r="AH353" s="92"/>
      <c r="AI353" s="92"/>
      <c r="AJ353" s="92"/>
      <c r="AK353" s="92"/>
      <c r="AL353" s="92"/>
      <c r="AM353" s="92"/>
      <c r="AN353" s="92"/>
      <c r="AO353" s="92"/>
      <c r="AP353" s="92"/>
      <c r="AQ353" s="92"/>
      <c r="AR353" s="92"/>
      <c r="AS353" s="92"/>
      <c r="AT353" s="92"/>
      <c r="AU353" s="92"/>
      <c r="AV353" s="92"/>
      <c r="AW353" s="92"/>
      <c r="AX353" s="92"/>
      <c r="AY353" s="92"/>
      <c r="AZ353" s="92"/>
      <c r="BA353" s="92"/>
      <c r="BB353" s="92"/>
      <c r="BC353" s="92"/>
      <c r="BD353" s="92"/>
      <c r="BE353" s="92"/>
      <c r="BF353" s="92"/>
      <c r="BG353" s="92"/>
      <c r="BH353" s="92"/>
      <c r="BI353" s="92"/>
      <c r="BJ353" s="92"/>
      <c r="BK353" s="92"/>
      <c r="BL353" s="92"/>
      <c r="BM353" s="92"/>
      <c r="BN353" s="92"/>
      <c r="BO353" s="92"/>
      <c r="BP353" s="92"/>
      <c r="BQ353" s="92"/>
      <c r="BR353" s="92"/>
      <c r="BS353" s="92"/>
      <c r="BT353" s="92"/>
      <c r="BU353" s="92"/>
      <c r="BV353" s="92"/>
      <c r="BW353" s="92"/>
      <c r="BX353" s="92"/>
      <c r="BY353" s="92"/>
      <c r="BZ353" s="92"/>
      <c r="CA353" s="92"/>
      <c r="CB353" s="92"/>
      <c r="CC353" s="92"/>
      <c r="CD353" s="92"/>
      <c r="CE353" s="92"/>
      <c r="CF353" s="92"/>
      <c r="CG353" s="92"/>
      <c r="CH353" s="92"/>
      <c r="CI353" s="92"/>
      <c r="CJ353" s="92"/>
    </row>
    <row r="354" spans="26:88" ht="15">
      <c r="Z354" s="92"/>
      <c r="AA354" s="92"/>
      <c r="AB354" s="92"/>
      <c r="AC354" s="92"/>
      <c r="AD354" s="92"/>
      <c r="AE354" s="92"/>
      <c r="AF354" s="92"/>
      <c r="AG354" s="92"/>
      <c r="AH354" s="92"/>
      <c r="AI354" s="92"/>
      <c r="AJ354" s="92"/>
      <c r="AK354" s="92"/>
      <c r="AL354" s="92"/>
      <c r="AM354" s="92"/>
      <c r="AN354" s="92"/>
      <c r="AO354" s="92"/>
      <c r="AP354" s="92"/>
      <c r="AQ354" s="92"/>
      <c r="AR354" s="92"/>
      <c r="AS354" s="92"/>
      <c r="AT354" s="92"/>
      <c r="AU354" s="92"/>
      <c r="AV354" s="92"/>
      <c r="AW354" s="92"/>
      <c r="AX354" s="92"/>
      <c r="AY354" s="92"/>
      <c r="AZ354" s="92"/>
      <c r="BA354" s="92"/>
      <c r="BB354" s="92"/>
      <c r="BC354" s="92"/>
      <c r="BD354" s="92"/>
      <c r="BE354" s="92"/>
      <c r="BF354" s="92"/>
      <c r="BG354" s="92"/>
      <c r="BH354" s="92"/>
      <c r="BI354" s="92"/>
      <c r="BJ354" s="92"/>
      <c r="BK354" s="92"/>
      <c r="BL354" s="92"/>
      <c r="BM354" s="92"/>
      <c r="BN354" s="92"/>
      <c r="BO354" s="92"/>
      <c r="BP354" s="92"/>
      <c r="BQ354" s="92"/>
      <c r="BR354" s="92"/>
      <c r="BS354" s="92"/>
      <c r="BT354" s="92"/>
      <c r="BU354" s="92"/>
      <c r="BV354" s="92"/>
      <c r="BW354" s="92"/>
      <c r="BX354" s="92"/>
      <c r="BY354" s="92"/>
      <c r="BZ354" s="92"/>
      <c r="CA354" s="92"/>
      <c r="CB354" s="92"/>
      <c r="CC354" s="92"/>
      <c r="CD354" s="92"/>
      <c r="CE354" s="92"/>
      <c r="CF354" s="92"/>
      <c r="CG354" s="92"/>
      <c r="CH354" s="92"/>
      <c r="CI354" s="92"/>
      <c r="CJ354" s="92"/>
    </row>
    <row r="355" spans="26:88" ht="15">
      <c r="Z355" s="92"/>
      <c r="AA355" s="92"/>
      <c r="AB355" s="92"/>
      <c r="AC355" s="92"/>
      <c r="AD355" s="92"/>
      <c r="AE355" s="92"/>
      <c r="AF355" s="92"/>
      <c r="AG355" s="92"/>
      <c r="AH355" s="92"/>
      <c r="AI355" s="92"/>
      <c r="AJ355" s="92"/>
      <c r="AK355" s="92"/>
      <c r="AL355" s="92"/>
      <c r="AM355" s="92"/>
      <c r="AN355" s="92"/>
      <c r="AO355" s="92"/>
      <c r="AP355" s="92"/>
      <c r="AQ355" s="92"/>
      <c r="AR355" s="92"/>
      <c r="AS355" s="92"/>
      <c r="AT355" s="92"/>
      <c r="AU355" s="92"/>
      <c r="AV355" s="92"/>
      <c r="AW355" s="92"/>
      <c r="AX355" s="92"/>
      <c r="AY355" s="92"/>
      <c r="AZ355" s="92"/>
      <c r="BA355" s="92"/>
      <c r="BB355" s="92"/>
      <c r="BC355" s="92"/>
      <c r="BD355" s="92"/>
      <c r="BE355" s="92"/>
      <c r="BF355" s="92"/>
      <c r="BG355" s="92"/>
      <c r="BH355" s="92"/>
      <c r="BI355" s="92"/>
      <c r="BJ355" s="92"/>
      <c r="BK355" s="92"/>
      <c r="BL355" s="92"/>
      <c r="BM355" s="92"/>
      <c r="BN355" s="92"/>
      <c r="BO355" s="92"/>
      <c r="BP355" s="92"/>
      <c r="BQ355" s="92"/>
      <c r="BR355" s="92"/>
      <c r="BS355" s="92"/>
      <c r="BT355" s="92"/>
      <c r="BU355" s="92"/>
      <c r="BV355" s="92"/>
      <c r="BW355" s="92"/>
      <c r="BX355" s="92"/>
      <c r="BY355" s="92"/>
      <c r="BZ355" s="92"/>
      <c r="CA355" s="92"/>
      <c r="CB355" s="92"/>
      <c r="CC355" s="92"/>
      <c r="CD355" s="92"/>
      <c r="CE355" s="92"/>
      <c r="CF355" s="92"/>
      <c r="CG355" s="92"/>
      <c r="CH355" s="92"/>
      <c r="CI355" s="92"/>
      <c r="CJ355" s="92"/>
    </row>
    <row r="356" spans="26:88" ht="15">
      <c r="Z356" s="92"/>
      <c r="AA356" s="92"/>
      <c r="AB356" s="92"/>
      <c r="AC356" s="92"/>
      <c r="AD356" s="92"/>
      <c r="AE356" s="92"/>
      <c r="AF356" s="92"/>
      <c r="AG356" s="92"/>
      <c r="AH356" s="92"/>
      <c r="AI356" s="92"/>
      <c r="AJ356" s="92"/>
      <c r="AK356" s="92"/>
      <c r="AL356" s="92"/>
      <c r="AM356" s="92"/>
      <c r="AN356" s="92"/>
      <c r="AO356" s="92"/>
      <c r="AP356" s="92"/>
      <c r="AQ356" s="92"/>
      <c r="AR356" s="92"/>
      <c r="AS356" s="92"/>
      <c r="AT356" s="92"/>
      <c r="AU356" s="92"/>
      <c r="AV356" s="92"/>
      <c r="AW356" s="92"/>
      <c r="AX356" s="92"/>
      <c r="AY356" s="92"/>
      <c r="AZ356" s="92"/>
      <c r="BA356" s="92"/>
      <c r="BB356" s="92"/>
      <c r="BC356" s="92"/>
      <c r="BD356" s="92"/>
      <c r="BE356" s="92"/>
      <c r="BF356" s="92"/>
      <c r="BG356" s="92"/>
      <c r="BH356" s="92"/>
      <c r="BI356" s="92"/>
      <c r="BJ356" s="92"/>
      <c r="BK356" s="92"/>
      <c r="BL356" s="92"/>
      <c r="BM356" s="92"/>
      <c r="BN356" s="92"/>
      <c r="BO356" s="92"/>
      <c r="BP356" s="92"/>
      <c r="BQ356" s="92"/>
      <c r="BR356" s="92"/>
      <c r="BS356" s="92"/>
      <c r="BT356" s="92"/>
      <c r="BU356" s="92"/>
      <c r="BV356" s="92"/>
      <c r="BW356" s="92"/>
      <c r="BX356" s="92"/>
      <c r="BY356" s="92"/>
      <c r="BZ356" s="92"/>
      <c r="CA356" s="92"/>
      <c r="CB356" s="92"/>
      <c r="CC356" s="92"/>
      <c r="CD356" s="92"/>
      <c r="CE356" s="92"/>
      <c r="CF356" s="92"/>
      <c r="CG356" s="92"/>
      <c r="CH356" s="92"/>
      <c r="CI356" s="92"/>
      <c r="CJ356" s="92"/>
    </row>
    <row r="357" spans="26:88" ht="15">
      <c r="Z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c r="BT357" s="92"/>
      <c r="BU357" s="92"/>
      <c r="BV357" s="92"/>
      <c r="BW357" s="92"/>
      <c r="BX357" s="92"/>
      <c r="BY357" s="92"/>
      <c r="BZ357" s="92"/>
      <c r="CA357" s="92"/>
      <c r="CB357" s="92"/>
      <c r="CC357" s="92"/>
      <c r="CD357" s="92"/>
    </row>
    <row r="358" spans="26:88" ht="15">
      <c r="Z358" s="92"/>
      <c r="AB358" s="92"/>
      <c r="AC358" s="92"/>
      <c r="AD358" s="92"/>
      <c r="AE358" s="92"/>
      <c r="AF358" s="92"/>
      <c r="AG358" s="92"/>
      <c r="AH358" s="92"/>
      <c r="AI358" s="92"/>
      <c r="AJ358" s="92"/>
      <c r="AK358" s="92"/>
      <c r="AL358" s="92"/>
      <c r="AM358" s="92"/>
      <c r="AN358" s="92"/>
      <c r="AO358" s="92"/>
      <c r="AP358" s="92"/>
      <c r="AQ358" s="92"/>
      <c r="AR358" s="92"/>
      <c r="AS358" s="92"/>
      <c r="AT358" s="92"/>
      <c r="AU358" s="92"/>
      <c r="AV358" s="92"/>
      <c r="AW358" s="92"/>
      <c r="AX358" s="92"/>
      <c r="AY358" s="92"/>
      <c r="AZ358" s="92"/>
      <c r="BA358" s="92"/>
      <c r="BB358" s="92"/>
      <c r="BC358" s="92"/>
      <c r="BD358" s="92"/>
      <c r="BE358" s="92"/>
      <c r="BF358" s="92"/>
      <c r="BG358" s="92"/>
      <c r="BH358" s="92"/>
      <c r="BI358" s="92"/>
      <c r="BJ358" s="92"/>
      <c r="BK358" s="92"/>
      <c r="BL358" s="92"/>
      <c r="BM358" s="92"/>
      <c r="BN358" s="92"/>
      <c r="BO358" s="92"/>
      <c r="BP358" s="92"/>
      <c r="BQ358" s="92"/>
      <c r="BR358" s="92"/>
      <c r="BS358" s="92"/>
      <c r="BT358" s="92"/>
      <c r="BU358" s="92"/>
      <c r="BV358" s="92"/>
      <c r="BW358" s="92"/>
      <c r="BX358" s="92"/>
      <c r="BY358" s="92"/>
      <c r="BZ358" s="92"/>
      <c r="CA358" s="92"/>
      <c r="CB358" s="92"/>
      <c r="CC358" s="92"/>
      <c r="CD358" s="92"/>
    </row>
  </sheetData>
  <pageMargins left="0.7" right="0.7" top="0.75" bottom="0.75" header="0.3" footer="0.3"/>
  <pageSetup paperSize="9" orientation="portrait"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P358"/>
  <sheetViews>
    <sheetView showGridLines="0" zoomScale="70" zoomScaleNormal="70" workbookViewId="0">
      <pane xSplit="1" ySplit="1" topLeftCell="K27" activePane="bottomRight" state="frozen"/>
      <selection activeCell="P119" sqref="P119"/>
      <selection pane="topRight" activeCell="P119" sqref="P119"/>
      <selection pane="bottomLeft" activeCell="P119" sqref="P119"/>
      <selection pane="bottomRight" activeCell="Z60" sqref="Z60"/>
    </sheetView>
  </sheetViews>
  <sheetFormatPr defaultColWidth="9.140625" defaultRowHeight="15" outlineLevelCol="1"/>
  <cols>
    <col min="1" max="1" width="41.7109375" style="92" bestFit="1" customWidth="1"/>
    <col min="2" max="10" width="9.140625" style="92" hidden="1" customWidth="1" outlineLevel="1"/>
    <col min="11" max="11" width="9.140625" style="92" collapsed="1"/>
    <col min="12" max="27" width="9.140625" style="92"/>
    <col min="28" max="29" width="25.140625" style="92" customWidth="1"/>
    <col min="30" max="30" width="41.42578125" style="92" bestFit="1" customWidth="1"/>
    <col min="31" max="31" width="9.140625" style="92" hidden="1" customWidth="1" outlineLevel="1"/>
    <col min="32" max="32" width="10" style="92" hidden="1" customWidth="1" outlineLevel="1"/>
    <col min="33" max="59" width="9.140625" style="92" hidden="1" customWidth="1" outlineLevel="1"/>
    <col min="60" max="60" width="9.140625" style="92" collapsed="1"/>
    <col min="61" max="16384" width="9.140625" style="92"/>
  </cols>
  <sheetData>
    <row r="1" spans="1:85" ht="21.75" customHeight="1">
      <c r="A1" s="89" t="s">
        <v>767</v>
      </c>
      <c r="B1" s="90">
        <v>2001</v>
      </c>
      <c r="C1" s="90">
        <v>2002</v>
      </c>
      <c r="D1" s="90">
        <v>2003</v>
      </c>
      <c r="E1" s="90">
        <v>2004</v>
      </c>
      <c r="F1" s="90">
        <v>2005</v>
      </c>
      <c r="G1" s="90">
        <v>2006</v>
      </c>
      <c r="H1" s="90">
        <v>2007</v>
      </c>
      <c r="I1" s="90">
        <v>2008</v>
      </c>
      <c r="J1" s="90">
        <v>2009</v>
      </c>
      <c r="K1" s="90">
        <v>2010</v>
      </c>
      <c r="L1" s="90">
        <v>2011</v>
      </c>
      <c r="M1" s="90">
        <v>2012</v>
      </c>
      <c r="N1" s="90">
        <v>2013</v>
      </c>
      <c r="O1" s="90">
        <v>2014</v>
      </c>
      <c r="P1" s="90">
        <v>2015</v>
      </c>
      <c r="Q1" s="90" t="s">
        <v>493</v>
      </c>
      <c r="R1" s="90" t="s">
        <v>494</v>
      </c>
      <c r="S1" s="90" t="s">
        <v>495</v>
      </c>
      <c r="T1" s="90" t="s">
        <v>496</v>
      </c>
      <c r="U1" s="90" t="s">
        <v>497</v>
      </c>
      <c r="V1" s="90" t="s">
        <v>498</v>
      </c>
      <c r="W1" s="90" t="s">
        <v>499</v>
      </c>
      <c r="X1" s="90" t="s">
        <v>500</v>
      </c>
      <c r="Y1" s="90" t="s">
        <v>501</v>
      </c>
      <c r="Z1" s="90" t="s">
        <v>502</v>
      </c>
      <c r="AA1" s="90"/>
      <c r="AB1" s="91"/>
      <c r="AC1" s="91"/>
      <c r="AD1" s="89" t="str">
        <f>A1</f>
        <v>LatAm (VTR / Puerto Rico)</v>
      </c>
      <c r="AE1" s="90" t="s">
        <v>503</v>
      </c>
      <c r="AF1" s="90" t="s">
        <v>504</v>
      </c>
      <c r="AG1" s="90" t="s">
        <v>505</v>
      </c>
      <c r="AH1" s="90" t="s">
        <v>506</v>
      </c>
      <c r="AI1" s="90" t="s">
        <v>507</v>
      </c>
      <c r="AJ1" s="90" t="s">
        <v>508</v>
      </c>
      <c r="AK1" s="90" t="s">
        <v>509</v>
      </c>
      <c r="AL1" s="90" t="s">
        <v>510</v>
      </c>
      <c r="AM1" s="90" t="s">
        <v>511</v>
      </c>
      <c r="AN1" s="90" t="s">
        <v>512</v>
      </c>
      <c r="AO1" s="90" t="s">
        <v>513</v>
      </c>
      <c r="AP1" s="90" t="s">
        <v>514</v>
      </c>
      <c r="AQ1" s="90" t="s">
        <v>515</v>
      </c>
      <c r="AR1" s="90" t="s">
        <v>516</v>
      </c>
      <c r="AS1" s="90" t="s">
        <v>517</v>
      </c>
      <c r="AT1" s="90" t="s">
        <v>518</v>
      </c>
      <c r="AU1" s="90" t="s">
        <v>519</v>
      </c>
      <c r="AV1" s="90" t="s">
        <v>520</v>
      </c>
      <c r="AW1" s="90" t="s">
        <v>521</v>
      </c>
      <c r="AX1" s="90" t="s">
        <v>522</v>
      </c>
      <c r="AY1" s="90" t="s">
        <v>523</v>
      </c>
      <c r="AZ1" s="90" t="s">
        <v>524</v>
      </c>
      <c r="BA1" s="90" t="s">
        <v>525</v>
      </c>
      <c r="BB1" s="90" t="s">
        <v>526</v>
      </c>
      <c r="BC1" s="90" t="s">
        <v>527</v>
      </c>
      <c r="BD1" s="90" t="s">
        <v>528</v>
      </c>
      <c r="BE1" s="90" t="s">
        <v>529</v>
      </c>
      <c r="BF1" s="90" t="s">
        <v>530</v>
      </c>
      <c r="BG1" s="90" t="s">
        <v>531</v>
      </c>
      <c r="BH1" s="90" t="s">
        <v>532</v>
      </c>
      <c r="BI1" s="90" t="s">
        <v>533</v>
      </c>
      <c r="BJ1" s="90" t="s">
        <v>534</v>
      </c>
      <c r="BK1" s="90" t="s">
        <v>535</v>
      </c>
      <c r="BL1" s="90" t="s">
        <v>536</v>
      </c>
      <c r="BM1" s="90" t="s">
        <v>537</v>
      </c>
      <c r="BN1" s="90" t="s">
        <v>538</v>
      </c>
      <c r="BO1" s="90" t="s">
        <v>539</v>
      </c>
      <c r="BP1" s="90" t="s">
        <v>540</v>
      </c>
      <c r="BQ1" s="90" t="s">
        <v>541</v>
      </c>
      <c r="BR1" s="90" t="s">
        <v>542</v>
      </c>
      <c r="BS1" s="90" t="s">
        <v>543</v>
      </c>
      <c r="BT1" s="90" t="s">
        <v>544</v>
      </c>
      <c r="BU1" s="90" t="s">
        <v>545</v>
      </c>
      <c r="BV1" s="90" t="s">
        <v>546</v>
      </c>
      <c r="BW1" s="90" t="s">
        <v>547</v>
      </c>
      <c r="BX1" s="90" t="s">
        <v>548</v>
      </c>
      <c r="BY1" s="90" t="s">
        <v>549</v>
      </c>
      <c r="BZ1" s="90" t="s">
        <v>550</v>
      </c>
      <c r="CA1" s="90" t="s">
        <v>551</v>
      </c>
      <c r="CB1" s="90" t="s">
        <v>552</v>
      </c>
      <c r="CC1" s="90" t="s">
        <v>553</v>
      </c>
      <c r="CD1" s="90" t="s">
        <v>554</v>
      </c>
      <c r="CE1" s="90" t="s">
        <v>555</v>
      </c>
      <c r="CF1" s="90" t="s">
        <v>556</v>
      </c>
      <c r="CG1" s="91"/>
    </row>
    <row r="2" spans="1:85">
      <c r="A2" s="14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14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row>
    <row r="3" spans="1:85">
      <c r="A3" s="93" t="str">
        <f>CONCATENATE(A$1," KPIs")</f>
        <v>LatAm (VTR / Puerto Rico) KPIs</v>
      </c>
      <c r="B3" s="94">
        <f>+B$1</f>
        <v>2001</v>
      </c>
      <c r="C3" s="94">
        <f t="shared" ref="C3:Z3" si="0">+C$1</f>
        <v>2002</v>
      </c>
      <c r="D3" s="94">
        <f t="shared" si="0"/>
        <v>2003</v>
      </c>
      <c r="E3" s="94">
        <f t="shared" si="0"/>
        <v>2004</v>
      </c>
      <c r="F3" s="94">
        <f t="shared" si="0"/>
        <v>2005</v>
      </c>
      <c r="G3" s="94">
        <f t="shared" si="0"/>
        <v>2006</v>
      </c>
      <c r="H3" s="94">
        <f t="shared" si="0"/>
        <v>2007</v>
      </c>
      <c r="I3" s="94">
        <f t="shared" si="0"/>
        <v>2008</v>
      </c>
      <c r="J3" s="94">
        <f t="shared" si="0"/>
        <v>2009</v>
      </c>
      <c r="K3" s="94">
        <f t="shared" si="0"/>
        <v>2010</v>
      </c>
      <c r="L3" s="94">
        <f t="shared" si="0"/>
        <v>2011</v>
      </c>
      <c r="M3" s="94">
        <f t="shared" si="0"/>
        <v>2012</v>
      </c>
      <c r="N3" s="94">
        <f t="shared" si="0"/>
        <v>2013</v>
      </c>
      <c r="O3" s="94">
        <f t="shared" si="0"/>
        <v>2014</v>
      </c>
      <c r="P3" s="94">
        <f t="shared" si="0"/>
        <v>2015</v>
      </c>
      <c r="Q3" s="94" t="str">
        <f t="shared" si="0"/>
        <v>2016E</v>
      </c>
      <c r="R3" s="94" t="str">
        <f t="shared" si="0"/>
        <v>2017E</v>
      </c>
      <c r="S3" s="94" t="str">
        <f t="shared" si="0"/>
        <v>2018E</v>
      </c>
      <c r="T3" s="94" t="str">
        <f t="shared" si="0"/>
        <v>2019E</v>
      </c>
      <c r="U3" s="94" t="str">
        <f t="shared" si="0"/>
        <v>2020E</v>
      </c>
      <c r="V3" s="94" t="str">
        <f t="shared" si="0"/>
        <v>2021E</v>
      </c>
      <c r="W3" s="94" t="str">
        <f t="shared" si="0"/>
        <v>2022E</v>
      </c>
      <c r="X3" s="94" t="str">
        <f t="shared" si="0"/>
        <v>2023E</v>
      </c>
      <c r="Y3" s="94" t="str">
        <f t="shared" si="0"/>
        <v>2024E</v>
      </c>
      <c r="Z3" s="94" t="str">
        <f t="shared" si="0"/>
        <v>2025E</v>
      </c>
      <c r="AA3" s="94"/>
      <c r="AB3" s="91"/>
      <c r="AC3" s="91"/>
      <c r="AD3" s="93" t="str">
        <f>A3</f>
        <v>LatAm (VTR / Puerto Rico) KPIs</v>
      </c>
      <c r="AE3" s="94" t="str">
        <f>AE$1</f>
        <v>Q4 01</v>
      </c>
      <c r="AF3" s="94" t="str">
        <f t="shared" ref="AF3:CF3" si="1">AF$1</f>
        <v>Q1 02</v>
      </c>
      <c r="AG3" s="94" t="str">
        <f t="shared" si="1"/>
        <v>Q2 02</v>
      </c>
      <c r="AH3" s="94" t="str">
        <f t="shared" si="1"/>
        <v>Q3 02</v>
      </c>
      <c r="AI3" s="94" t="str">
        <f t="shared" si="1"/>
        <v>Q4 02</v>
      </c>
      <c r="AJ3" s="94" t="str">
        <f t="shared" si="1"/>
        <v>Q1 03</v>
      </c>
      <c r="AK3" s="94" t="str">
        <f t="shared" si="1"/>
        <v>Q2 03</v>
      </c>
      <c r="AL3" s="94" t="str">
        <f t="shared" si="1"/>
        <v>Q3 03</v>
      </c>
      <c r="AM3" s="94" t="str">
        <f t="shared" si="1"/>
        <v>Q4 03</v>
      </c>
      <c r="AN3" s="94" t="str">
        <f t="shared" si="1"/>
        <v>1Q04</v>
      </c>
      <c r="AO3" s="94" t="str">
        <f t="shared" si="1"/>
        <v>Q2 04</v>
      </c>
      <c r="AP3" s="94" t="str">
        <f t="shared" si="1"/>
        <v>Q3 04</v>
      </c>
      <c r="AQ3" s="94" t="str">
        <f t="shared" si="1"/>
        <v>Q4 04</v>
      </c>
      <c r="AR3" s="94" t="str">
        <f t="shared" si="1"/>
        <v>Q1 05</v>
      </c>
      <c r="AS3" s="94" t="str">
        <f t="shared" si="1"/>
        <v>Q2 05</v>
      </c>
      <c r="AT3" s="94" t="str">
        <f t="shared" si="1"/>
        <v>Q3 05</v>
      </c>
      <c r="AU3" s="94" t="str">
        <f t="shared" si="1"/>
        <v>Q4 05</v>
      </c>
      <c r="AV3" s="94" t="str">
        <f t="shared" si="1"/>
        <v>Q1 06</v>
      </c>
      <c r="AW3" s="94" t="str">
        <f t="shared" si="1"/>
        <v>Q2 06</v>
      </c>
      <c r="AX3" s="94" t="str">
        <f t="shared" si="1"/>
        <v>Q3 06</v>
      </c>
      <c r="AY3" s="94" t="str">
        <f t="shared" si="1"/>
        <v>Q4 06</v>
      </c>
      <c r="AZ3" s="94" t="str">
        <f t="shared" si="1"/>
        <v>Q1 07</v>
      </c>
      <c r="BA3" s="94" t="str">
        <f t="shared" si="1"/>
        <v>Q2 07</v>
      </c>
      <c r="BB3" s="94" t="str">
        <f t="shared" si="1"/>
        <v>Q3 07</v>
      </c>
      <c r="BC3" s="94" t="str">
        <f t="shared" si="1"/>
        <v>Q4 07</v>
      </c>
      <c r="BD3" s="94" t="str">
        <f t="shared" si="1"/>
        <v>Q1 08</v>
      </c>
      <c r="BE3" s="94" t="str">
        <f t="shared" si="1"/>
        <v>Q2 08</v>
      </c>
      <c r="BF3" s="94" t="str">
        <f t="shared" si="1"/>
        <v>Q3 08</v>
      </c>
      <c r="BG3" s="94" t="str">
        <f t="shared" si="1"/>
        <v>Q4 08</v>
      </c>
      <c r="BH3" s="94" t="str">
        <f t="shared" si="1"/>
        <v>Q1 09</v>
      </c>
      <c r="BI3" s="94" t="str">
        <f t="shared" si="1"/>
        <v>Q2 09</v>
      </c>
      <c r="BJ3" s="94" t="str">
        <f t="shared" si="1"/>
        <v>Q3 09</v>
      </c>
      <c r="BK3" s="94" t="str">
        <f t="shared" si="1"/>
        <v>Q4 09</v>
      </c>
      <c r="BL3" s="94" t="str">
        <f t="shared" si="1"/>
        <v>Q1 10</v>
      </c>
      <c r="BM3" s="94" t="str">
        <f t="shared" si="1"/>
        <v>Q2 10</v>
      </c>
      <c r="BN3" s="94" t="str">
        <f t="shared" si="1"/>
        <v>Q3 10</v>
      </c>
      <c r="BO3" s="94" t="str">
        <f t="shared" si="1"/>
        <v>Q4 10</v>
      </c>
      <c r="BP3" s="94" t="str">
        <f t="shared" si="1"/>
        <v>Q1 11</v>
      </c>
      <c r="BQ3" s="94" t="str">
        <f t="shared" si="1"/>
        <v>Q2 11</v>
      </c>
      <c r="BR3" s="94" t="str">
        <f t="shared" si="1"/>
        <v>Q3 11</v>
      </c>
      <c r="BS3" s="94" t="str">
        <f t="shared" si="1"/>
        <v>Q4 11</v>
      </c>
      <c r="BT3" s="94" t="str">
        <f t="shared" si="1"/>
        <v>Q1 12</v>
      </c>
      <c r="BU3" s="94" t="str">
        <f t="shared" si="1"/>
        <v>Q2 12</v>
      </c>
      <c r="BV3" s="94" t="str">
        <f t="shared" si="1"/>
        <v>Q3 12</v>
      </c>
      <c r="BW3" s="94" t="str">
        <f t="shared" si="1"/>
        <v>Q4 12</v>
      </c>
      <c r="BX3" s="94" t="str">
        <f t="shared" si="1"/>
        <v>Q1 13</v>
      </c>
      <c r="BY3" s="94" t="str">
        <f t="shared" si="1"/>
        <v>Q2 13</v>
      </c>
      <c r="BZ3" s="94" t="str">
        <f t="shared" si="1"/>
        <v>Q3 13</v>
      </c>
      <c r="CA3" s="94" t="str">
        <f t="shared" si="1"/>
        <v>Q4 13</v>
      </c>
      <c r="CB3" s="94" t="str">
        <f t="shared" si="1"/>
        <v>Q1 14</v>
      </c>
      <c r="CC3" s="94" t="str">
        <f t="shared" si="1"/>
        <v>Q2 14</v>
      </c>
      <c r="CD3" s="94" t="str">
        <f t="shared" si="1"/>
        <v>Q3 14</v>
      </c>
      <c r="CE3" s="94" t="str">
        <f t="shared" si="1"/>
        <v>Q4 14</v>
      </c>
      <c r="CF3" s="94" t="str">
        <f t="shared" si="1"/>
        <v>Q1 15</v>
      </c>
      <c r="CG3" s="91"/>
    </row>
    <row r="4" spans="1:85">
      <c r="A4" s="141" t="s">
        <v>557</v>
      </c>
      <c r="B4" s="265">
        <f>VTR!B4+PR!B4</f>
        <v>2120.6999999999998</v>
      </c>
      <c r="C4" s="265">
        <f>VTR!C4+PR!C4</f>
        <v>2221.8000000000002</v>
      </c>
      <c r="D4" s="265">
        <f>VTR!D4+PR!D4</f>
        <v>2281.8999999999996</v>
      </c>
      <c r="E4" s="265">
        <f>VTR!E4+PR!E4</f>
        <v>1876.1000000000001</v>
      </c>
      <c r="F4" s="265">
        <f>VTR!F4+PR!F4</f>
        <v>2584.8000000000002</v>
      </c>
      <c r="G4" s="265">
        <f>VTR!G4+PR!G4</f>
        <v>2760.8999999999996</v>
      </c>
      <c r="H4" s="265">
        <f>VTR!H4+PR!H4</f>
        <v>2782</v>
      </c>
      <c r="I4" s="265">
        <f>VTR!I4+PR!I4</f>
        <v>2868.3</v>
      </c>
      <c r="J4" s="265">
        <f>VTR!J4+PR!J4</f>
        <v>2959.2000000000003</v>
      </c>
      <c r="K4" s="265">
        <f>VTR!K4+PR!K4</f>
        <v>3031.5</v>
      </c>
      <c r="L4" s="265">
        <f>VTR!L4+PR!L4</f>
        <v>3111.3</v>
      </c>
      <c r="M4" s="265">
        <f>VTR!M4+PR!M4</f>
        <v>3563.5</v>
      </c>
      <c r="N4" s="265">
        <f>VTR!N4+PR!N4</f>
        <v>3631.9</v>
      </c>
      <c r="O4" s="265">
        <f>VTR!O4+PR!O4</f>
        <v>3685.3</v>
      </c>
      <c r="P4" s="265">
        <f>VTR!P4+PR!P4</f>
        <v>4132.2</v>
      </c>
      <c r="Q4" s="265">
        <f>VTR!Q4+PR!Q4</f>
        <v>4308.8999999999996</v>
      </c>
      <c r="R4" s="265">
        <f>VTR!R4+PR!R4</f>
        <v>4517</v>
      </c>
      <c r="S4" s="265">
        <f>VTR!S4+PR!S4</f>
        <v>4643</v>
      </c>
      <c r="T4" s="265">
        <f>VTR!T4+PR!T4</f>
        <v>4686</v>
      </c>
      <c r="U4" s="265">
        <f>VTR!U4+PR!U4</f>
        <v>4729</v>
      </c>
      <c r="V4" s="265">
        <f>VTR!V4+PR!V4</f>
        <v>4772</v>
      </c>
      <c r="W4" s="265">
        <f>VTR!W4+PR!W4</f>
        <v>4815</v>
      </c>
      <c r="X4" s="265">
        <f>VTR!X4+PR!X4</f>
        <v>4858</v>
      </c>
      <c r="Y4" s="265">
        <f>VTR!Y4+PR!Y4</f>
        <v>4901</v>
      </c>
      <c r="Z4" s="265">
        <f>VTR!Z4+PR!Z4</f>
        <v>4944</v>
      </c>
      <c r="AA4" s="265"/>
      <c r="AB4" s="91"/>
      <c r="AC4" s="91"/>
      <c r="AD4" s="141" t="s">
        <v>557</v>
      </c>
      <c r="AE4" s="265">
        <f>VTR!AC4+PR!AC4</f>
        <v>2120.6999999999998</v>
      </c>
      <c r="AF4" s="265">
        <f>VTR!AD4+PR!AD4</f>
        <v>2142.4</v>
      </c>
      <c r="AG4" s="265">
        <f>VTR!AE4+PR!AE4</f>
        <v>2146.1999999999998</v>
      </c>
      <c r="AH4" s="265">
        <f>VTR!AF4+PR!AF4</f>
        <v>2219.8000000000002</v>
      </c>
      <c r="AI4" s="265">
        <f>VTR!AG4+PR!AG4</f>
        <v>2221.8000000000002</v>
      </c>
      <c r="AJ4" s="265">
        <f>VTR!AH4+PR!AH4</f>
        <v>2247.1000000000004</v>
      </c>
      <c r="AK4" s="265">
        <f>VTR!AI4+PR!AI4</f>
        <v>2262.6</v>
      </c>
      <c r="AL4" s="265">
        <f>VTR!AJ4+PR!AJ4</f>
        <v>2276.3000000000002</v>
      </c>
      <c r="AM4" s="265">
        <f>VTR!AK4+PR!AK4</f>
        <v>2281.8999999999996</v>
      </c>
      <c r="AN4" s="265">
        <f>VTR!AL4+PR!AL4</f>
        <v>2315.4</v>
      </c>
      <c r="AO4" s="265">
        <f>VTR!AM4+PR!AM4</f>
        <v>2340.8000000000002</v>
      </c>
      <c r="AP4" s="265">
        <f>VTR!AN4+PR!AN4</f>
        <v>1865.1000000000001</v>
      </c>
      <c r="AQ4" s="265">
        <f>VTR!AO4+PR!AO4</f>
        <v>1876.1000000000001</v>
      </c>
      <c r="AR4" s="265">
        <f>VTR!AP4+PR!AP4</f>
        <v>1888</v>
      </c>
      <c r="AS4" s="265">
        <f>VTR!AQ4+PR!AQ4</f>
        <v>2183.7999999999997</v>
      </c>
      <c r="AT4" s="265">
        <f>VTR!AR4+PR!AR4</f>
        <v>2433.1</v>
      </c>
      <c r="AU4" s="265">
        <f>VTR!AS4+PR!AS4</f>
        <v>2584.8000000000002</v>
      </c>
      <c r="AV4" s="265">
        <f>VTR!AT4+PR!AT4</f>
        <v>2666.5</v>
      </c>
      <c r="AW4" s="265">
        <f>VTR!AU4+PR!AU4</f>
        <v>2698</v>
      </c>
      <c r="AX4" s="265">
        <f>VTR!AV4+PR!AV4</f>
        <v>2737</v>
      </c>
      <c r="AY4" s="265">
        <f>VTR!AW4+PR!AW4</f>
        <v>2760.8999999999996</v>
      </c>
      <c r="AZ4" s="265">
        <f>VTR!AX4+PR!AX4</f>
        <v>2790.6</v>
      </c>
      <c r="BA4" s="265">
        <f>VTR!AY4+PR!AY4</f>
        <v>2815.7</v>
      </c>
      <c r="BB4" s="265">
        <f>VTR!AZ4+PR!AZ4</f>
        <v>2833.6</v>
      </c>
      <c r="BC4" s="265">
        <f>VTR!BA4+PR!BA4</f>
        <v>2782</v>
      </c>
      <c r="BD4" s="265">
        <f>VTR!BB4+PR!BB4</f>
        <v>2794.1</v>
      </c>
      <c r="BE4" s="265">
        <f>VTR!BC4+PR!BC4</f>
        <v>2806.5</v>
      </c>
      <c r="BF4" s="265">
        <f>VTR!BD4+PR!BD4</f>
        <v>2836</v>
      </c>
      <c r="BG4" s="265">
        <f>VTR!BE4+PR!BE4</f>
        <v>2868.3</v>
      </c>
      <c r="BH4" s="265">
        <f>VTR!BF4+PR!BF4</f>
        <v>2886.5</v>
      </c>
      <c r="BI4" s="265">
        <f>VTR!BG4+PR!BG4</f>
        <v>2911.8</v>
      </c>
      <c r="BJ4" s="265">
        <f>VTR!BH4+PR!BH4</f>
        <v>2944.7</v>
      </c>
      <c r="BK4" s="265">
        <f>VTR!BI4+PR!BI4</f>
        <v>2959.2000000000003</v>
      </c>
      <c r="BL4" s="265">
        <f>VTR!BJ4+PR!BJ4</f>
        <v>2939.3</v>
      </c>
      <c r="BM4" s="265">
        <f>VTR!BK4+PR!BK4</f>
        <v>2977.3</v>
      </c>
      <c r="BN4" s="265">
        <f>VTR!BL4+PR!BL4</f>
        <v>3016.3999999999996</v>
      </c>
      <c r="BO4" s="265">
        <f>VTR!BM4+PR!BM4</f>
        <v>3031.5</v>
      </c>
      <c r="BP4" s="265">
        <f>VTR!BN4+PR!BN4</f>
        <v>3036.6</v>
      </c>
      <c r="BQ4" s="265">
        <f>VTR!BO4+PR!BO4</f>
        <v>3064.2999999999997</v>
      </c>
      <c r="BR4" s="265">
        <f>VTR!BP4+PR!BP4</f>
        <v>3094.9</v>
      </c>
      <c r="BS4" s="265">
        <f>VTR!BQ4+PR!BQ4</f>
        <v>3111.3</v>
      </c>
      <c r="BT4" s="265">
        <f>VTR!BR4+PR!BR4</f>
        <v>3116.8</v>
      </c>
      <c r="BU4" s="265">
        <f>VTR!BS4+PR!BS4</f>
        <v>3143.8</v>
      </c>
      <c r="BV4" s="265">
        <f>VTR!BT4+PR!BT4</f>
        <v>3173.4</v>
      </c>
      <c r="BW4" s="265">
        <f>VTR!BU4+PR!BU4</f>
        <v>3563.5</v>
      </c>
      <c r="BX4" s="265">
        <f>VTR!BV4+PR!BV4</f>
        <v>3570.8</v>
      </c>
      <c r="BY4" s="265">
        <f>VTR!BW4+PR!BW4</f>
        <v>3591.6000000000004</v>
      </c>
      <c r="BZ4" s="265">
        <f>VTR!BX4+PR!BX4</f>
        <v>3609.8999999999996</v>
      </c>
      <c r="CA4" s="265">
        <f>VTR!BY4+PR!BY4</f>
        <v>3631.9</v>
      </c>
      <c r="CB4" s="265">
        <f>VTR!BZ4+PR!BZ4</f>
        <v>3637.8999999999996</v>
      </c>
      <c r="CC4" s="265">
        <f>VTR!CA4+PR!CA4</f>
        <v>3653</v>
      </c>
      <c r="CD4" s="265">
        <f>VTR!CB4+PR!CB4</f>
        <v>3674.5</v>
      </c>
      <c r="CE4" s="265">
        <f>VTR!CC4+PR!CC4</f>
        <v>3685.3</v>
      </c>
      <c r="CF4" s="265">
        <f>VTR!CD4+PR!CD4</f>
        <v>3692.7000000000003</v>
      </c>
      <c r="CG4" s="91"/>
    </row>
    <row r="5" spans="1:85">
      <c r="A5" s="141" t="s">
        <v>558</v>
      </c>
      <c r="B5" s="265">
        <f>VTR!B5+PR!B5</f>
        <v>873.30000000000007</v>
      </c>
      <c r="C5" s="265">
        <f>VTR!C5+PR!C5</f>
        <v>1469.6000000000001</v>
      </c>
      <c r="D5" s="265">
        <f>VTR!D5+PR!D5</f>
        <v>1532</v>
      </c>
      <c r="E5" s="265">
        <f>VTR!E5+PR!E5</f>
        <v>1116.4000000000001</v>
      </c>
      <c r="F5" s="265">
        <f>VTR!F5+PR!F5</f>
        <v>1661.5</v>
      </c>
      <c r="G5" s="265">
        <f>VTR!G5+PR!G5</f>
        <v>1899.8000000000002</v>
      </c>
      <c r="H5" s="265">
        <f>VTR!H5+PR!H5</f>
        <v>1993.2</v>
      </c>
      <c r="I5" s="265">
        <f>VTR!I5+PR!I5</f>
        <v>2124.5</v>
      </c>
      <c r="J5" s="265">
        <f>VTR!J5+PR!J5</f>
        <v>2301.5</v>
      </c>
      <c r="K5" s="265">
        <f>VTR!K5+PR!K5</f>
        <v>2380.5</v>
      </c>
      <c r="L5" s="265">
        <f>VTR!L5+PR!L5</f>
        <v>2482.8000000000002</v>
      </c>
      <c r="M5" s="265">
        <f>VTR!M5+PR!M5</f>
        <v>3032.8</v>
      </c>
      <c r="N5" s="265">
        <f>VTR!N5+PR!N5</f>
        <v>3110.7</v>
      </c>
      <c r="O5" s="265">
        <f>VTR!O5+PR!O5</f>
        <v>3166.2</v>
      </c>
      <c r="P5" s="265">
        <f>VTR!P5+PR!P5</f>
        <v>3615.8</v>
      </c>
      <c r="Q5" s="265">
        <f>VTR!Q5+PR!Q5</f>
        <v>3802.8</v>
      </c>
      <c r="R5" s="265">
        <f>VTR!R5+PR!R5</f>
        <v>4035.1000000000004</v>
      </c>
      <c r="S5" s="265">
        <f>VTR!S5+PR!S5</f>
        <v>4188</v>
      </c>
      <c r="T5" s="265">
        <f>VTR!T5+PR!T5</f>
        <v>4180.9610775620822</v>
      </c>
      <c r="U5" s="265">
        <f>VTR!U5+PR!U5</f>
        <v>4218.2828143871329</v>
      </c>
      <c r="V5" s="265">
        <f>VTR!V5+PR!V5</f>
        <v>4255.6045512121837</v>
      </c>
      <c r="W5" s="265">
        <f>VTR!W5+PR!W5</f>
        <v>4292.9262880372344</v>
      </c>
      <c r="X5" s="265">
        <f>VTR!X5+PR!X5</f>
        <v>4330.248024862286</v>
      </c>
      <c r="Y5" s="265">
        <f>VTR!Y5+PR!Y5</f>
        <v>4367.5697616873367</v>
      </c>
      <c r="Z5" s="265">
        <f>VTR!Z5+PR!Z5</f>
        <v>4404.8914985123874</v>
      </c>
      <c r="AA5" s="265"/>
      <c r="AB5" s="91"/>
      <c r="AC5" s="91"/>
      <c r="AD5" s="141" t="s">
        <v>558</v>
      </c>
      <c r="AE5" s="265">
        <f>VTR!AC5+PR!AC5</f>
        <v>873.30000000000007</v>
      </c>
      <c r="AF5" s="265">
        <f>VTR!AD5+PR!AD5</f>
        <v>924.80000000000007</v>
      </c>
      <c r="AG5" s="265">
        <f>VTR!AE5+PR!AE5</f>
        <v>949.4</v>
      </c>
      <c r="AH5" s="265">
        <f>VTR!AF5+PR!AF5</f>
        <v>1449.7</v>
      </c>
      <c r="AI5" s="265">
        <f>VTR!AG5+PR!AG5</f>
        <v>1469.6000000000001</v>
      </c>
      <c r="AJ5" s="265">
        <f>VTR!AH5+PR!AH5</f>
        <v>1481.9</v>
      </c>
      <c r="AK5" s="265">
        <f>VTR!AI5+PR!AI5</f>
        <v>1507.5</v>
      </c>
      <c r="AL5" s="265">
        <f>VTR!AJ5+PR!AJ5</f>
        <v>1518.9</v>
      </c>
      <c r="AM5" s="265">
        <f>VTR!AK5+PR!AK5</f>
        <v>1532</v>
      </c>
      <c r="AN5" s="265">
        <f>VTR!AL5+PR!AL5</f>
        <v>1557.6999999999998</v>
      </c>
      <c r="AO5" s="265">
        <f>VTR!AM5+PR!AM5</f>
        <v>1566.9</v>
      </c>
      <c r="AP5" s="265">
        <f>VTR!AN5+PR!AN5</f>
        <v>1105.2</v>
      </c>
      <c r="AQ5" s="265">
        <f>VTR!AO5+PR!AO5</f>
        <v>1116.4000000000001</v>
      </c>
      <c r="AR5" s="265">
        <f>VTR!AP5+PR!AP5</f>
        <v>1127.4000000000001</v>
      </c>
      <c r="AS5" s="265">
        <f>VTR!AQ5+PR!AQ5</f>
        <v>1408.1000000000001</v>
      </c>
      <c r="AT5" s="265">
        <f>VTR!AR5+PR!AR5</f>
        <v>1613.6999999999998</v>
      </c>
      <c r="AU5" s="265">
        <f>VTR!AS5+PR!AS5</f>
        <v>1661.5</v>
      </c>
      <c r="AV5" s="265">
        <f>VTR!AT5+PR!AT5</f>
        <v>1736.7</v>
      </c>
      <c r="AW5" s="265">
        <f>VTR!AU5+PR!AU5</f>
        <v>1783.2</v>
      </c>
      <c r="AX5" s="265">
        <f>VTR!AV5+PR!AV5</f>
        <v>1842.3999999999999</v>
      </c>
      <c r="AY5" s="265">
        <f>VTR!AW5+PR!AW5</f>
        <v>1899.8000000000002</v>
      </c>
      <c r="AZ5" s="265">
        <f>VTR!AX5+PR!AX5</f>
        <v>1932</v>
      </c>
      <c r="BA5" s="265">
        <f>VTR!AY5+PR!AY5</f>
        <v>1987.2</v>
      </c>
      <c r="BB5" s="265">
        <f>VTR!AZ5+PR!AZ5</f>
        <v>2022.3</v>
      </c>
      <c r="BC5" s="265">
        <f>VTR!BA5+PR!BA5</f>
        <v>1993.2</v>
      </c>
      <c r="BD5" s="265">
        <f>VTR!BB5+PR!BB5</f>
        <v>2003.9</v>
      </c>
      <c r="BE5" s="265">
        <f>VTR!BC5+PR!BC5</f>
        <v>2032.4</v>
      </c>
      <c r="BF5" s="265">
        <f>VTR!BD5+PR!BD5</f>
        <v>2083.5</v>
      </c>
      <c r="BG5" s="265">
        <f>VTR!BE5+PR!BE5</f>
        <v>2124.5</v>
      </c>
      <c r="BH5" s="265">
        <f>VTR!BF5+PR!BF5</f>
        <v>2177.1</v>
      </c>
      <c r="BI5" s="265">
        <f>VTR!BG5+PR!BG5</f>
        <v>2218.1</v>
      </c>
      <c r="BJ5" s="265">
        <f>VTR!BH5+PR!BH5</f>
        <v>2281.1</v>
      </c>
      <c r="BK5" s="265">
        <f>VTR!BI5+PR!BI5</f>
        <v>2301.5</v>
      </c>
      <c r="BL5" s="265">
        <f>VTR!BJ5+PR!BJ5</f>
        <v>2291.6</v>
      </c>
      <c r="BM5" s="265">
        <f>VTR!BK5+PR!BK5</f>
        <v>2328</v>
      </c>
      <c r="BN5" s="265">
        <f>VTR!BL5+PR!BL5</f>
        <v>2365.6999999999998</v>
      </c>
      <c r="BO5" s="265">
        <f>VTR!BM5+PR!BM5</f>
        <v>2380.5</v>
      </c>
      <c r="BP5" s="265">
        <f>VTR!BN5+PR!BN5</f>
        <v>2385.1999999999998</v>
      </c>
      <c r="BQ5" s="265">
        <f>VTR!BO5+PR!BO5</f>
        <v>2428.6999999999998</v>
      </c>
      <c r="BR5" s="265">
        <f>VTR!BP5+PR!BP5</f>
        <v>2460.6</v>
      </c>
      <c r="BS5" s="265">
        <f>VTR!BQ5+PR!BQ5</f>
        <v>2482.8000000000002</v>
      </c>
      <c r="BT5" s="265">
        <f>VTR!BR5+PR!BR5</f>
        <v>2492</v>
      </c>
      <c r="BU5" s="265">
        <f>VTR!BS5+PR!BS5</f>
        <v>2566.1</v>
      </c>
      <c r="BV5" s="265">
        <f>VTR!BT5+PR!BT5</f>
        <v>2632.2000000000003</v>
      </c>
      <c r="BW5" s="265">
        <f>VTR!BU5+PR!BU5</f>
        <v>3032.8</v>
      </c>
      <c r="BX5" s="265">
        <f>VTR!BV5+PR!BV5</f>
        <v>3040.4</v>
      </c>
      <c r="BY5" s="265">
        <f>VTR!BW5+PR!BW5</f>
        <v>3065.5</v>
      </c>
      <c r="BZ5" s="265">
        <f>VTR!BX5+PR!BX5</f>
        <v>3088</v>
      </c>
      <c r="CA5" s="265">
        <f>VTR!BY5+PR!BY5</f>
        <v>3110.7</v>
      </c>
      <c r="CB5" s="265">
        <f>VTR!BZ5+PR!BZ5</f>
        <v>3117</v>
      </c>
      <c r="CC5" s="265">
        <f>VTR!CA5+PR!CA5</f>
        <v>3132.5</v>
      </c>
      <c r="CD5" s="265">
        <f>VTR!CB5+PR!CB5</f>
        <v>3154.7999999999997</v>
      </c>
      <c r="CE5" s="265">
        <f>VTR!CC5+PR!CC5</f>
        <v>3166.2</v>
      </c>
      <c r="CF5" s="265">
        <f>VTR!CD5+PR!CD5</f>
        <v>3173.9</v>
      </c>
      <c r="CG5" s="91"/>
    </row>
    <row r="6" spans="1:85">
      <c r="A6" s="141" t="s">
        <v>559</v>
      </c>
      <c r="B6" s="265">
        <f>VTR!B6+PR!B6</f>
        <v>0</v>
      </c>
      <c r="C6" s="265">
        <f>VTR!C6+PR!C6</f>
        <v>0</v>
      </c>
      <c r="D6" s="265">
        <f>VTR!D6+PR!D6</f>
        <v>0</v>
      </c>
      <c r="E6" s="265">
        <f>VTR!E6+PR!E6</f>
        <v>665.3</v>
      </c>
      <c r="F6" s="265">
        <f>VTR!F6+PR!F6</f>
        <v>1042.2</v>
      </c>
      <c r="G6" s="265">
        <f>VTR!G6+PR!G6</f>
        <v>1095.5</v>
      </c>
      <c r="H6" s="265">
        <f>VTR!H6+PR!H6</f>
        <v>1107.3</v>
      </c>
      <c r="I6" s="265">
        <f>VTR!I6+PR!I6</f>
        <v>1149.6999999999998</v>
      </c>
      <c r="J6" s="265">
        <f>VTR!J6+PR!J6</f>
        <v>1180.8</v>
      </c>
      <c r="K6" s="265">
        <f>VTR!K6+PR!K6</f>
        <v>1189.3</v>
      </c>
      <c r="L6" s="265">
        <f>VTR!L6+PR!L6</f>
        <v>1223.3999999999999</v>
      </c>
      <c r="M6" s="265">
        <f>VTR!M6+PR!M6</f>
        <v>1415.2</v>
      </c>
      <c r="N6" s="265">
        <f>VTR!N6+PR!N6</f>
        <v>1472.6</v>
      </c>
      <c r="O6" s="265">
        <f>VTR!O6+PR!O6</f>
        <v>1506.9</v>
      </c>
      <c r="P6" s="265">
        <f>VTR!P6+PR!P6</f>
        <v>1664.3000000000002</v>
      </c>
      <c r="Q6" s="265">
        <f>VTR!Q6+PR!Q6</f>
        <v>1732.6000000000001</v>
      </c>
      <c r="R6" s="265">
        <f>VTR!R6+PR!R6</f>
        <v>1810.6000000000001</v>
      </c>
      <c r="S6" s="265">
        <f>VTR!S6+PR!S6</f>
        <v>1874.8130000000001</v>
      </c>
      <c r="T6" s="265">
        <f>VTR!T6+PR!T6</f>
        <v>1899.2270899999999</v>
      </c>
      <c r="U6" s="265">
        <f>VTR!U6+PR!U6</f>
        <v>1924.1030705000001</v>
      </c>
      <c r="V6" s="265">
        <f>VTR!V6+PR!V6</f>
        <v>1949.449915397</v>
      </c>
      <c r="W6" s="265">
        <f>VTR!W6+PR!W6</f>
        <v>1975.27677542681</v>
      </c>
      <c r="X6" s="265">
        <f>VTR!X6+PR!X6</f>
        <v>2001.5929816744351</v>
      </c>
      <c r="Y6" s="265">
        <f>VTR!Y6+PR!Y6</f>
        <v>2028.4080491544032</v>
      </c>
      <c r="Z6" s="265">
        <f>VTR!Z6+PR!Z6</f>
        <v>2055.7316804624356</v>
      </c>
      <c r="AA6" s="265"/>
      <c r="AB6" s="91"/>
      <c r="AC6" s="91"/>
      <c r="AD6" s="141" t="s">
        <v>559</v>
      </c>
      <c r="AE6" s="265">
        <f>VTR!AC6+PR!AC6</f>
        <v>0</v>
      </c>
      <c r="AF6" s="265">
        <f>VTR!AD6+PR!AD6</f>
        <v>0</v>
      </c>
      <c r="AG6" s="265">
        <f>VTR!AE6+PR!AE6</f>
        <v>0</v>
      </c>
      <c r="AH6" s="265">
        <f>VTR!AF6+PR!AF6</f>
        <v>0</v>
      </c>
      <c r="AI6" s="265">
        <f>VTR!AG6+PR!AG6</f>
        <v>0</v>
      </c>
      <c r="AJ6" s="265">
        <f>VTR!AH6+PR!AH6</f>
        <v>0</v>
      </c>
      <c r="AK6" s="265">
        <f>VTR!AI6+PR!AI6</f>
        <v>0</v>
      </c>
      <c r="AL6" s="265">
        <f>VTR!AJ6+PR!AJ6</f>
        <v>0</v>
      </c>
      <c r="AM6" s="265">
        <f>VTR!AK6+PR!AK6</f>
        <v>0</v>
      </c>
      <c r="AN6" s="265">
        <f>VTR!AL6+PR!AL6</f>
        <v>0</v>
      </c>
      <c r="AO6" s="265">
        <f>VTR!AM6+PR!AM6</f>
        <v>0</v>
      </c>
      <c r="AP6" s="265">
        <f>VTR!AN6+PR!AN6</f>
        <v>0</v>
      </c>
      <c r="AQ6" s="265">
        <f>VTR!AO6+PR!AO6</f>
        <v>665.3</v>
      </c>
      <c r="AR6" s="265">
        <f>VTR!AP6+PR!AP6</f>
        <v>677.8</v>
      </c>
      <c r="AS6" s="265">
        <f>VTR!AQ6+PR!AQ6</f>
        <v>909.30000000000007</v>
      </c>
      <c r="AT6" s="265">
        <f>VTR!AR6+PR!AR6</f>
        <v>1040.5</v>
      </c>
      <c r="AU6" s="265">
        <f>VTR!AS6+PR!AS6</f>
        <v>1042.2</v>
      </c>
      <c r="AV6" s="265">
        <f>VTR!AT6+PR!AT6</f>
        <v>1055.3999999999999</v>
      </c>
      <c r="AW6" s="265">
        <f>VTR!AU6+PR!AU6</f>
        <v>1079.4000000000001</v>
      </c>
      <c r="AX6" s="265">
        <f>VTR!AV6+PR!AV6</f>
        <v>1087.7</v>
      </c>
      <c r="AY6" s="265">
        <f>VTR!AW6+PR!AW6</f>
        <v>1095.5</v>
      </c>
      <c r="AZ6" s="265">
        <f>VTR!AX6+PR!AX6</f>
        <v>1100.5</v>
      </c>
      <c r="BA6" s="265">
        <f>VTR!AY6+PR!AY6</f>
        <v>1113.7</v>
      </c>
      <c r="BB6" s="265">
        <f>VTR!AZ6+PR!AZ6</f>
        <v>1125.8</v>
      </c>
      <c r="BC6" s="265">
        <f>VTR!BA6+PR!BA6</f>
        <v>1107.3</v>
      </c>
      <c r="BD6" s="265">
        <f>VTR!BB6+PR!BB6</f>
        <v>1119.2</v>
      </c>
      <c r="BE6" s="265">
        <f>VTR!BC6+PR!BC6</f>
        <v>1134</v>
      </c>
      <c r="BF6" s="265">
        <f>VTR!BD6+PR!BD6</f>
        <v>1147.0999999999999</v>
      </c>
      <c r="BG6" s="265">
        <f>VTR!BE6+PR!BE6</f>
        <v>1149.6999999999998</v>
      </c>
      <c r="BH6" s="265">
        <f>VTR!BF6+PR!BF6</f>
        <v>1156.8</v>
      </c>
      <c r="BI6" s="265">
        <f>VTR!BG6+PR!BG6</f>
        <v>1167.3999999999999</v>
      </c>
      <c r="BJ6" s="265">
        <f>VTR!BH6+PR!BH6</f>
        <v>1180</v>
      </c>
      <c r="BK6" s="265">
        <f>VTR!BI6+PR!BI6</f>
        <v>1180.8</v>
      </c>
      <c r="BL6" s="265">
        <f>VTR!BJ6+PR!BJ6</f>
        <v>1175.6000000000001</v>
      </c>
      <c r="BM6" s="265">
        <f>VTR!BK6+PR!BK6</f>
        <v>1188.8</v>
      </c>
      <c r="BN6" s="265">
        <f>VTR!BL6+PR!BL6</f>
        <v>1189.7</v>
      </c>
      <c r="BO6" s="265">
        <f>VTR!BM6+PR!BM6</f>
        <v>1189.3</v>
      </c>
      <c r="BP6" s="265">
        <f>VTR!BN6+PR!BN6</f>
        <v>1196.5</v>
      </c>
      <c r="BQ6" s="265">
        <f>VTR!BO6+PR!BO6</f>
        <v>1211.5999999999999</v>
      </c>
      <c r="BR6" s="265">
        <f>VTR!BP6+PR!BP6</f>
        <v>1221.3999999999999</v>
      </c>
      <c r="BS6" s="265">
        <f>VTR!BQ6+PR!BQ6</f>
        <v>1223.3999999999999</v>
      </c>
      <c r="BT6" s="265">
        <f>VTR!BR6+PR!BR6</f>
        <v>1231.6000000000001</v>
      </c>
      <c r="BU6" s="265">
        <f>VTR!BS6+PR!BS6</f>
        <v>1244.6999999999998</v>
      </c>
      <c r="BV6" s="265">
        <f>VTR!BT6+PR!BT6</f>
        <v>1254.2</v>
      </c>
      <c r="BW6" s="265">
        <f>VTR!BU6+PR!BU6</f>
        <v>1415.2</v>
      </c>
      <c r="BX6" s="265">
        <f>VTR!BV6+PR!BV6</f>
        <v>1441.1000000000001</v>
      </c>
      <c r="BY6" s="265">
        <f>VTR!BW6+PR!BW6</f>
        <v>1455</v>
      </c>
      <c r="BZ6" s="265">
        <f>VTR!BX6+PR!BX6</f>
        <v>1464.8</v>
      </c>
      <c r="CA6" s="265">
        <f>VTR!BY6+PR!BY6</f>
        <v>1472.6</v>
      </c>
      <c r="CB6" s="265">
        <f>VTR!BZ6+PR!BZ6</f>
        <v>1485.6</v>
      </c>
      <c r="CC6" s="265">
        <f>VTR!CA6+PR!CA6</f>
        <v>1500.4</v>
      </c>
      <c r="CD6" s="265">
        <f>VTR!CB6+PR!CB6</f>
        <v>1508.7</v>
      </c>
      <c r="CE6" s="265">
        <f>VTR!CC6+PR!CC6</f>
        <v>1506.9</v>
      </c>
      <c r="CF6" s="265">
        <f>VTR!CD6+PR!CD6</f>
        <v>1521.1000000000001</v>
      </c>
      <c r="CG6" s="91"/>
    </row>
    <row r="7" spans="1:85">
      <c r="A7" s="141" t="s">
        <v>560</v>
      </c>
      <c r="B7" s="265">
        <f>VTR!B7+PR!B7</f>
        <v>458.3</v>
      </c>
      <c r="C7" s="265">
        <f>VTR!C7+PR!C7</f>
        <v>474.1</v>
      </c>
      <c r="D7" s="265">
        <f>VTR!D7+PR!D7</f>
        <v>502.8</v>
      </c>
      <c r="E7" s="265">
        <f>VTR!E7+PR!E7</f>
        <v>517</v>
      </c>
      <c r="F7" s="265">
        <f>VTR!F7+PR!F7</f>
        <v>818.7</v>
      </c>
      <c r="G7" s="265">
        <f>VTR!G7+PR!G7</f>
        <v>708.30000000000007</v>
      </c>
      <c r="H7" s="265">
        <f>VTR!H7+PR!H7</f>
        <v>669.3</v>
      </c>
      <c r="I7" s="265">
        <f>VTR!I7+PR!I7</f>
        <v>532</v>
      </c>
      <c r="J7" s="265">
        <f>VTR!J7+PR!J7</f>
        <v>370.4</v>
      </c>
      <c r="K7" s="265">
        <f>VTR!K7+PR!K7</f>
        <v>289</v>
      </c>
      <c r="L7" s="265">
        <f>VTR!L7+PR!L7</f>
        <v>214.6</v>
      </c>
      <c r="M7" s="265">
        <f>VTR!M7+PR!M7</f>
        <v>163.19999999999999</v>
      </c>
      <c r="N7" s="265">
        <f>VTR!N7+PR!N7</f>
        <v>134.80000000000001</v>
      </c>
      <c r="O7" s="265">
        <f>VTR!O7+PR!O7</f>
        <v>110.3</v>
      </c>
      <c r="P7" s="265">
        <f>VTR!P7+PR!P7</f>
        <v>93.8</v>
      </c>
      <c r="Q7" s="265">
        <f>VTR!Q7+PR!Q7</f>
        <v>93.8</v>
      </c>
      <c r="R7" s="265">
        <f>VTR!R7+PR!R7</f>
        <v>67.5</v>
      </c>
      <c r="S7" s="265">
        <f>VTR!S7+PR!S7</f>
        <v>21.774960000000021</v>
      </c>
      <c r="T7" s="265">
        <f>VTR!T7+PR!T7</f>
        <v>0</v>
      </c>
      <c r="U7" s="265">
        <f>VTR!U7+PR!U7</f>
        <v>0</v>
      </c>
      <c r="V7" s="265">
        <f>VTR!V7+PR!V7</f>
        <v>0</v>
      </c>
      <c r="W7" s="265">
        <f>VTR!W7+PR!W7</f>
        <v>0</v>
      </c>
      <c r="X7" s="265">
        <f>VTR!X7+PR!X7</f>
        <v>0</v>
      </c>
      <c r="Y7" s="265">
        <f>VTR!Y7+PR!Y7</f>
        <v>0</v>
      </c>
      <c r="Z7" s="265">
        <f>VTR!Z7+PR!Z7</f>
        <v>0</v>
      </c>
      <c r="AA7" s="265"/>
      <c r="AB7" s="91"/>
      <c r="AC7" s="91"/>
      <c r="AD7" s="141" t="s">
        <v>560</v>
      </c>
      <c r="AE7" s="265">
        <f>VTR!AC7+PR!AC7</f>
        <v>458.3</v>
      </c>
      <c r="AF7" s="265">
        <f>VTR!AD7+PR!AD7</f>
        <v>448.5</v>
      </c>
      <c r="AG7" s="265">
        <f>VTR!AE7+PR!AE7</f>
        <v>459.7</v>
      </c>
      <c r="AH7" s="265">
        <f>VTR!AF7+PR!AF7</f>
        <v>466.2</v>
      </c>
      <c r="AI7" s="265">
        <f>VTR!AG7+PR!AG7</f>
        <v>474.1</v>
      </c>
      <c r="AJ7" s="265">
        <f>VTR!AH7+PR!AH7</f>
        <v>478</v>
      </c>
      <c r="AK7" s="265">
        <f>VTR!AI7+PR!AI7</f>
        <v>486.4</v>
      </c>
      <c r="AL7" s="265">
        <f>VTR!AJ7+PR!AJ7</f>
        <v>495.09999999999997</v>
      </c>
      <c r="AM7" s="265">
        <f>VTR!AK7+PR!AK7</f>
        <v>502.8</v>
      </c>
      <c r="AN7" s="265">
        <f>VTR!AL7+PR!AL7</f>
        <v>505.4</v>
      </c>
      <c r="AO7" s="265">
        <f>VTR!AM7+PR!AM7</f>
        <v>514.80000000000007</v>
      </c>
      <c r="AP7" s="265">
        <f>VTR!AN7+PR!AN7</f>
        <v>522.5</v>
      </c>
      <c r="AQ7" s="265">
        <f>VTR!AO7+PR!AO7</f>
        <v>517</v>
      </c>
      <c r="AR7" s="265">
        <f>VTR!AP7+PR!AP7</f>
        <v>522.69999999999993</v>
      </c>
      <c r="AS7" s="265">
        <f>VTR!AQ7+PR!AQ7</f>
        <v>746.8</v>
      </c>
      <c r="AT7" s="265">
        <f>VTR!AR7+PR!AR7</f>
        <v>811.6</v>
      </c>
      <c r="AU7" s="265">
        <f>VTR!AS7+PR!AS7</f>
        <v>818.7</v>
      </c>
      <c r="AV7" s="265">
        <f>VTR!AT7+PR!AT7</f>
        <v>798</v>
      </c>
      <c r="AW7" s="265">
        <f>VTR!AU7+PR!AU7</f>
        <v>745.1</v>
      </c>
      <c r="AX7" s="265">
        <f>VTR!AV7+PR!AV7</f>
        <v>728.4</v>
      </c>
      <c r="AY7" s="265">
        <f>VTR!AW7+PR!AW7</f>
        <v>708.30000000000007</v>
      </c>
      <c r="AZ7" s="265">
        <f>VTR!AX7+PR!AX7</f>
        <v>711.80000000000007</v>
      </c>
      <c r="BA7" s="265">
        <f>VTR!AY7+PR!AY7</f>
        <v>707.5</v>
      </c>
      <c r="BB7" s="265">
        <f>VTR!AZ7+PR!AZ7</f>
        <v>708.3</v>
      </c>
      <c r="BC7" s="265">
        <f>VTR!BA7+PR!BA7</f>
        <v>669.3</v>
      </c>
      <c r="BD7" s="265">
        <f>VTR!BB7+PR!BB7</f>
        <v>638.70000000000005</v>
      </c>
      <c r="BE7" s="265">
        <f>VTR!BC7+PR!BC7</f>
        <v>602.9</v>
      </c>
      <c r="BF7" s="265">
        <f>VTR!BD7+PR!BD7</f>
        <v>571.70000000000005</v>
      </c>
      <c r="BG7" s="265">
        <f>VTR!BE7+PR!BE7</f>
        <v>532</v>
      </c>
      <c r="BH7" s="265">
        <f>VTR!BF7+PR!BF7</f>
        <v>460.1</v>
      </c>
      <c r="BI7" s="265">
        <f>VTR!BG7+PR!BG7</f>
        <v>417.5</v>
      </c>
      <c r="BJ7" s="265">
        <f>VTR!BH7+PR!BH7</f>
        <v>389.7</v>
      </c>
      <c r="BK7" s="265">
        <f>VTR!BI7+PR!BI7</f>
        <v>370.4</v>
      </c>
      <c r="BL7" s="265">
        <f>VTR!BJ7+PR!BJ7</f>
        <v>349</v>
      </c>
      <c r="BM7" s="265">
        <f>VTR!BK7+PR!BK7</f>
        <v>328.7</v>
      </c>
      <c r="BN7" s="265">
        <f>VTR!BL7+PR!BL7</f>
        <v>308.39999999999998</v>
      </c>
      <c r="BO7" s="265">
        <f>VTR!BM7+PR!BM7</f>
        <v>289</v>
      </c>
      <c r="BP7" s="265">
        <f>VTR!BN7+PR!BN7</f>
        <v>266.39999999999998</v>
      </c>
      <c r="BQ7" s="265">
        <f>VTR!BO7+PR!BO7</f>
        <v>246.4</v>
      </c>
      <c r="BR7" s="265">
        <f>VTR!BP7+PR!BP7</f>
        <v>230.4</v>
      </c>
      <c r="BS7" s="265">
        <f>VTR!BQ7+PR!BQ7</f>
        <v>214.6</v>
      </c>
      <c r="BT7" s="265">
        <f>VTR!BR7+PR!BR7</f>
        <v>199.4</v>
      </c>
      <c r="BU7" s="265">
        <f>VTR!BS7+PR!BS7</f>
        <v>184.9</v>
      </c>
      <c r="BV7" s="265">
        <f>VTR!BT7+PR!BT7</f>
        <v>172.6</v>
      </c>
      <c r="BW7" s="265">
        <f>VTR!BU7+PR!BU7</f>
        <v>163.19999999999999</v>
      </c>
      <c r="BX7" s="265">
        <f>VTR!BV7+PR!BV7</f>
        <v>155</v>
      </c>
      <c r="BY7" s="265">
        <f>VTR!BW7+PR!BW7</f>
        <v>147.69999999999999</v>
      </c>
      <c r="BZ7" s="265">
        <f>VTR!BX7+PR!BX7</f>
        <v>140.6</v>
      </c>
      <c r="CA7" s="265">
        <f>VTR!BY7+PR!BY7</f>
        <v>134.80000000000001</v>
      </c>
      <c r="CB7" s="265">
        <f>VTR!BZ7+PR!BZ7</f>
        <v>127.9</v>
      </c>
      <c r="CC7" s="265">
        <f>VTR!CA7+PR!CA7</f>
        <v>122.2</v>
      </c>
      <c r="CD7" s="265">
        <f>VTR!CB7+PR!CB7</f>
        <v>116.2</v>
      </c>
      <c r="CE7" s="265">
        <f>VTR!CC7+PR!CC7</f>
        <v>110.3</v>
      </c>
      <c r="CF7" s="265">
        <f>VTR!CD7+PR!CD7</f>
        <v>106.1</v>
      </c>
      <c r="CG7" s="91"/>
    </row>
    <row r="8" spans="1:85">
      <c r="A8" s="141" t="s">
        <v>561</v>
      </c>
      <c r="B8" s="265">
        <f>VTR!B8+PR!B8</f>
        <v>7.3</v>
      </c>
      <c r="C8" s="265">
        <f>VTR!C8+PR!C8</f>
        <v>8.9</v>
      </c>
      <c r="D8" s="265">
        <f>VTR!D8+PR!D8</f>
        <v>6.5</v>
      </c>
      <c r="E8" s="265">
        <f>VTR!E8+PR!E8</f>
        <v>0</v>
      </c>
      <c r="F8" s="265">
        <f>VTR!F8+PR!F8</f>
        <v>62.4</v>
      </c>
      <c r="G8" s="265">
        <f>VTR!G8+PR!G8</f>
        <v>214.6</v>
      </c>
      <c r="H8" s="265">
        <f>VTR!H8+PR!H8</f>
        <v>268.5</v>
      </c>
      <c r="I8" s="265">
        <f>VTR!I8+PR!I8</f>
        <v>429</v>
      </c>
      <c r="J8" s="265">
        <f>VTR!J8+PR!J8</f>
        <v>619.29999999999995</v>
      </c>
      <c r="K8" s="265">
        <f>VTR!K8+PR!K8</f>
        <v>690</v>
      </c>
      <c r="L8" s="265">
        <f>VTR!L8+PR!L8</f>
        <v>781.80000000000007</v>
      </c>
      <c r="M8" s="265">
        <f>VTR!M8+PR!M8</f>
        <v>975.19999999999993</v>
      </c>
      <c r="N8" s="265">
        <f>VTR!N8+PR!N8</f>
        <v>1065.0999999999999</v>
      </c>
      <c r="O8" s="265">
        <f>VTR!O8+PR!O8</f>
        <v>1121.8</v>
      </c>
      <c r="P8" s="265">
        <f>VTR!P8+PR!P8</f>
        <v>1196.0999999999999</v>
      </c>
      <c r="Q8" s="265">
        <f>VTR!Q8+PR!Q8</f>
        <v>1214.8</v>
      </c>
      <c r="R8" s="265">
        <f>VTR!R8+PR!R8</f>
        <v>1261.2</v>
      </c>
      <c r="S8" s="265">
        <f>VTR!S8+PR!S8</f>
        <v>1330.8860400000001</v>
      </c>
      <c r="T8" s="265">
        <f>VTR!T8+PR!T8</f>
        <v>1377.07509</v>
      </c>
      <c r="U8" s="265">
        <f>VTR!U8+PR!U8</f>
        <v>1401.9510705000002</v>
      </c>
      <c r="V8" s="265">
        <f>VTR!V8+PR!V8</f>
        <v>1427.297915397</v>
      </c>
      <c r="W8" s="265">
        <f>VTR!W8+PR!W8</f>
        <v>1453.1247754268102</v>
      </c>
      <c r="X8" s="265">
        <f>VTR!X8+PR!X8</f>
        <v>1479.4409816744351</v>
      </c>
      <c r="Y8" s="265">
        <f>VTR!Y8+PR!Y8</f>
        <v>1506.2560491544034</v>
      </c>
      <c r="Z8" s="265">
        <f>VTR!Z8+PR!Z8</f>
        <v>1533.5796804624358</v>
      </c>
      <c r="AA8" s="265"/>
      <c r="AB8" s="91"/>
      <c r="AC8" s="91"/>
      <c r="AD8" s="141" t="s">
        <v>561</v>
      </c>
      <c r="AE8" s="265">
        <f>VTR!AC8+PR!AC8</f>
        <v>7.3</v>
      </c>
      <c r="AF8" s="265">
        <f>VTR!AD8+PR!AD8</f>
        <v>8.3000000000000007</v>
      </c>
      <c r="AG8" s="265">
        <f>VTR!AE8+PR!AE8</f>
        <v>8.5</v>
      </c>
      <c r="AH8" s="265">
        <f>VTR!AF8+PR!AF8</f>
        <v>8.8000000000000007</v>
      </c>
      <c r="AI8" s="265">
        <f>VTR!AG8+PR!AG8</f>
        <v>8.9</v>
      </c>
      <c r="AJ8" s="265">
        <f>VTR!AH8+PR!AH8</f>
        <v>8</v>
      </c>
      <c r="AK8" s="265">
        <f>VTR!AI8+PR!AI8</f>
        <v>7.3</v>
      </c>
      <c r="AL8" s="265">
        <f>VTR!AJ8+PR!AJ8</f>
        <v>6.9</v>
      </c>
      <c r="AM8" s="265">
        <f>VTR!AK8+PR!AK8</f>
        <v>6.5</v>
      </c>
      <c r="AN8" s="265">
        <f>VTR!AL8+PR!AL8</f>
        <v>6.4</v>
      </c>
      <c r="AO8" s="265">
        <f>VTR!AM8+PR!AM8</f>
        <v>6.3</v>
      </c>
      <c r="AP8" s="265">
        <f>VTR!AN8+PR!AN8</f>
        <v>6.4</v>
      </c>
      <c r="AQ8" s="265">
        <f>VTR!AO8+PR!AO8</f>
        <v>0</v>
      </c>
      <c r="AR8" s="265">
        <f>VTR!AP8+PR!AP8</f>
        <v>0</v>
      </c>
      <c r="AS8" s="265">
        <f>VTR!AQ8+PR!AQ8</f>
        <v>0</v>
      </c>
      <c r="AT8" s="265">
        <f>VTR!AR8+PR!AR8</f>
        <v>55.8</v>
      </c>
      <c r="AU8" s="265">
        <f>VTR!AS8+PR!AS8</f>
        <v>62.4</v>
      </c>
      <c r="AV8" s="265">
        <f>VTR!AT8+PR!AT8</f>
        <v>89.5</v>
      </c>
      <c r="AW8" s="265">
        <f>VTR!AU8+PR!AU8</f>
        <v>166</v>
      </c>
      <c r="AX8" s="265">
        <f>VTR!AV8+PR!AV8</f>
        <v>191.60000000000002</v>
      </c>
      <c r="AY8" s="265">
        <f>VTR!AW8+PR!AW8</f>
        <v>214.6</v>
      </c>
      <c r="AZ8" s="265">
        <f>VTR!AX8+PR!AX8</f>
        <v>210.2</v>
      </c>
      <c r="BA8" s="265">
        <f>VTR!AY8+PR!AY8</f>
        <v>224.4</v>
      </c>
      <c r="BB8" s="265">
        <f>VTR!AZ8+PR!AZ8</f>
        <v>232.6</v>
      </c>
      <c r="BC8" s="265">
        <f>VTR!BA8+PR!BA8</f>
        <v>268.5</v>
      </c>
      <c r="BD8" s="265">
        <f>VTR!BB8+PR!BB8</f>
        <v>306.39999999999998</v>
      </c>
      <c r="BE8" s="265">
        <f>VTR!BC8+PR!BC8</f>
        <v>352</v>
      </c>
      <c r="BF8" s="265">
        <f>VTR!BD8+PR!BD8</f>
        <v>388.5</v>
      </c>
      <c r="BG8" s="265">
        <f>VTR!BE8+PR!BE8</f>
        <v>429</v>
      </c>
      <c r="BH8" s="265">
        <f>VTR!BF8+PR!BF8</f>
        <v>509.4</v>
      </c>
      <c r="BI8" s="265">
        <f>VTR!BG8+PR!BG8</f>
        <v>563.20000000000005</v>
      </c>
      <c r="BJ8" s="265">
        <f>VTR!BH8+PR!BH8</f>
        <v>599.29999999999995</v>
      </c>
      <c r="BK8" s="265">
        <f>VTR!BI8+PR!BI8</f>
        <v>619.29999999999995</v>
      </c>
      <c r="BL8" s="265">
        <f>VTR!BJ8+PR!BJ8</f>
        <v>630.5</v>
      </c>
      <c r="BM8" s="265">
        <f>VTR!BK8+PR!BK8</f>
        <v>655</v>
      </c>
      <c r="BN8" s="265">
        <f>VTR!BL8+PR!BL8</f>
        <v>668.7</v>
      </c>
      <c r="BO8" s="265">
        <f>VTR!BM8+PR!BM8</f>
        <v>690</v>
      </c>
      <c r="BP8" s="265">
        <f>VTR!BN8+PR!BN8</f>
        <v>717.4</v>
      </c>
      <c r="BQ8" s="265">
        <f>VTR!BO8+PR!BO8</f>
        <v>748.6</v>
      </c>
      <c r="BR8" s="265">
        <f>VTR!BP8+PR!BP8</f>
        <v>769.4</v>
      </c>
      <c r="BS8" s="265">
        <f>VTR!BQ8+PR!BQ8</f>
        <v>781.80000000000007</v>
      </c>
      <c r="BT8" s="265">
        <f>VTR!BR8+PR!BR8</f>
        <v>800.59999999999991</v>
      </c>
      <c r="BU8" s="265">
        <f>VTR!BS8+PR!BS8</f>
        <v>818</v>
      </c>
      <c r="BV8" s="265">
        <f>VTR!BT8+PR!BT8</f>
        <v>825.1</v>
      </c>
      <c r="BW8" s="265">
        <f>VTR!BU8+PR!BU8</f>
        <v>975.19999999999993</v>
      </c>
      <c r="BX8" s="265">
        <f>VTR!BV8+PR!BV8</f>
        <v>1005.3</v>
      </c>
      <c r="BY8" s="265">
        <f>VTR!BW8+PR!BW8</f>
        <v>1032.2</v>
      </c>
      <c r="BZ8" s="265">
        <f>VTR!BX8+PR!BX8</f>
        <v>1053.5</v>
      </c>
      <c r="CA8" s="265">
        <f>VTR!BY8+PR!BY8</f>
        <v>1065.0999999999999</v>
      </c>
      <c r="CB8" s="265">
        <f>VTR!BZ8+PR!BZ8</f>
        <v>1085.0999999999999</v>
      </c>
      <c r="CC8" s="265">
        <f>VTR!CA8+PR!CA8</f>
        <v>1101.1000000000001</v>
      </c>
      <c r="CD8" s="265">
        <f>VTR!CB8+PR!CB8</f>
        <v>1110.7</v>
      </c>
      <c r="CE8" s="265">
        <f>VTR!CC8+PR!CC8</f>
        <v>1121.8</v>
      </c>
      <c r="CF8" s="265">
        <f>VTR!CD8+PR!CD8</f>
        <v>1122.7</v>
      </c>
      <c r="CG8" s="91"/>
    </row>
    <row r="9" spans="1:85">
      <c r="A9" s="141" t="s">
        <v>562</v>
      </c>
      <c r="B9" s="265">
        <f>VTR!B11+PR!B9</f>
        <v>8.5</v>
      </c>
      <c r="C9" s="265">
        <f>VTR!C11+PR!C9</f>
        <v>6.9</v>
      </c>
      <c r="D9" s="265">
        <f>VTR!D11+PR!D9</f>
        <v>5.5</v>
      </c>
      <c r="E9" s="265">
        <f>VTR!E11+PR!E9</f>
        <v>4.5</v>
      </c>
      <c r="F9" s="265">
        <f>VTR!F11+PR!F9</f>
        <v>0</v>
      </c>
      <c r="G9" s="265">
        <f>VTR!G11+PR!G9</f>
        <v>15</v>
      </c>
      <c r="H9" s="265">
        <f>VTR!H11+PR!H9</f>
        <v>15</v>
      </c>
      <c r="I9" s="265">
        <f>VTR!I11+PR!I9</f>
        <v>15</v>
      </c>
      <c r="J9" s="265">
        <f>VTR!J11+PR!J9</f>
        <v>15</v>
      </c>
      <c r="K9" s="265">
        <f>VTR!K11+PR!K9</f>
        <v>0</v>
      </c>
      <c r="L9" s="265">
        <f>VTR!L11+PR!L9</f>
        <v>0</v>
      </c>
      <c r="M9" s="265">
        <f>VTR!M11+PR!M9</f>
        <v>0</v>
      </c>
      <c r="N9" s="265">
        <f>VTR!N11+PR!N9</f>
        <v>0</v>
      </c>
      <c r="O9" s="265">
        <f>VTR!O11+PR!O9</f>
        <v>0</v>
      </c>
      <c r="P9" s="265">
        <f>VTR!P11+PR!P9</f>
        <v>0</v>
      </c>
      <c r="Q9" s="265">
        <f>VTR!Q11+PR!Q9</f>
        <v>0</v>
      </c>
      <c r="R9" s="265">
        <f>VTR!R11+PR!R9</f>
        <v>0</v>
      </c>
      <c r="S9" s="265">
        <f>VTR!S11+PR!S9</f>
        <v>0</v>
      </c>
      <c r="T9" s="265">
        <f>VTR!T11+PR!T9</f>
        <v>0</v>
      </c>
      <c r="U9" s="265">
        <f>VTR!U11+PR!U9</f>
        <v>0</v>
      </c>
      <c r="V9" s="265">
        <f>VTR!V11+PR!V9</f>
        <v>0</v>
      </c>
      <c r="W9" s="265">
        <f>VTR!W11+PR!W9</f>
        <v>0</v>
      </c>
      <c r="X9" s="265">
        <f>VTR!X11+PR!X9</f>
        <v>0</v>
      </c>
      <c r="Y9" s="265">
        <f>VTR!Y11+PR!Y9</f>
        <v>0</v>
      </c>
      <c r="Z9" s="265">
        <f>VTR!Z11+PR!Z9</f>
        <v>0</v>
      </c>
      <c r="AA9" s="265"/>
      <c r="AB9" s="91"/>
      <c r="AC9" s="91"/>
      <c r="AD9" s="141" t="s">
        <v>562</v>
      </c>
      <c r="AE9" s="265">
        <f>VTR!AC11+PR!AC9</f>
        <v>8.5</v>
      </c>
      <c r="AF9" s="265">
        <f>VTR!AD11+PR!AD9</f>
        <v>8.4</v>
      </c>
      <c r="AG9" s="265">
        <f>VTR!AE11+PR!AE9</f>
        <v>8.5</v>
      </c>
      <c r="AH9" s="265">
        <f>VTR!AF11+PR!AF9</f>
        <v>8.1</v>
      </c>
      <c r="AI9" s="265">
        <f>VTR!AG11+PR!AG9</f>
        <v>6.9</v>
      </c>
      <c r="AJ9" s="265">
        <f>VTR!AH11+PR!AH9</f>
        <v>6.8</v>
      </c>
      <c r="AK9" s="265">
        <f>VTR!AI11+PR!AI9</f>
        <v>6.3</v>
      </c>
      <c r="AL9" s="265">
        <f>VTR!AJ11+PR!AJ9</f>
        <v>5.9</v>
      </c>
      <c r="AM9" s="265">
        <f>VTR!AK11+PR!AK9</f>
        <v>5.5</v>
      </c>
      <c r="AN9" s="265">
        <f>VTR!AL11+PR!AL9</f>
        <v>5.2</v>
      </c>
      <c r="AO9" s="265">
        <f>VTR!AM11+PR!AM9</f>
        <v>5</v>
      </c>
      <c r="AP9" s="265">
        <f>VTR!AN11+PR!AN9</f>
        <v>4.8</v>
      </c>
      <c r="AQ9" s="265">
        <f>VTR!AO11+PR!AO9</f>
        <v>4.5</v>
      </c>
      <c r="AR9" s="265">
        <f>VTR!AP11+PR!AP9</f>
        <v>0</v>
      </c>
      <c r="AS9" s="265">
        <f>VTR!AQ11+PR!AQ9</f>
        <v>1</v>
      </c>
      <c r="AT9" s="265">
        <f>VTR!AR11+PR!AR9</f>
        <v>0</v>
      </c>
      <c r="AU9" s="265">
        <f>VTR!AS11+PR!AS9</f>
        <v>0</v>
      </c>
      <c r="AV9" s="265">
        <f>VTR!AT11+PR!AT9</f>
        <v>15.1</v>
      </c>
      <c r="AW9" s="265">
        <f>VTR!AU11+PR!AU9</f>
        <v>15.1</v>
      </c>
      <c r="AX9" s="265">
        <f>VTR!AV11+PR!AV9</f>
        <v>15.1</v>
      </c>
      <c r="AY9" s="265">
        <f>VTR!AW11+PR!AW9</f>
        <v>15</v>
      </c>
      <c r="AZ9" s="265">
        <f>VTR!AX11+PR!AX9</f>
        <v>14.7</v>
      </c>
      <c r="BA9" s="265">
        <f>VTR!AY11+PR!AY9</f>
        <v>14.5</v>
      </c>
      <c r="BB9" s="265">
        <f>VTR!AZ11+PR!AZ9</f>
        <v>14.3</v>
      </c>
      <c r="BC9" s="265">
        <f>VTR!BA11+PR!BA9</f>
        <v>15</v>
      </c>
      <c r="BD9" s="265">
        <f>VTR!BB11+PR!BB9</f>
        <v>0</v>
      </c>
      <c r="BE9" s="265">
        <f>VTR!BC11+PR!BC9</f>
        <v>0</v>
      </c>
      <c r="BF9" s="265">
        <f>VTR!BD11+PR!BD9</f>
        <v>0</v>
      </c>
      <c r="BG9" s="265">
        <f>VTR!BE11+PR!BE9</f>
        <v>15</v>
      </c>
      <c r="BH9" s="265">
        <f>VTR!BF11+PR!BF9</f>
        <v>15</v>
      </c>
      <c r="BI9" s="265">
        <f>VTR!BG11+PR!BG9</f>
        <v>0</v>
      </c>
      <c r="BJ9" s="265">
        <f>VTR!BH11+PR!BH9</f>
        <v>0</v>
      </c>
      <c r="BK9" s="265">
        <f>VTR!BI11+PR!BI9</f>
        <v>15</v>
      </c>
      <c r="BL9" s="265">
        <f>VTR!BJ11+PR!BJ9</f>
        <v>0</v>
      </c>
      <c r="BM9" s="265">
        <f>VTR!BK11+PR!BK9</f>
        <v>0</v>
      </c>
      <c r="BN9" s="265">
        <f>VTR!BL11+PR!BL9</f>
        <v>0</v>
      </c>
      <c r="BO9" s="265">
        <f>VTR!BM11+PR!BM9</f>
        <v>0</v>
      </c>
      <c r="BP9" s="265">
        <f>VTR!BN11+PR!BN9</f>
        <v>0</v>
      </c>
      <c r="BQ9" s="265">
        <f>VTR!BO11+PR!BO9</f>
        <v>0</v>
      </c>
      <c r="BR9" s="265">
        <f>VTR!BP11+PR!BP9</f>
        <v>0</v>
      </c>
      <c r="BS9" s="265">
        <f>VTR!BQ11+PR!BQ9</f>
        <v>0</v>
      </c>
      <c r="BT9" s="265">
        <f>VTR!BR11+PR!BR9</f>
        <v>0</v>
      </c>
      <c r="BU9" s="265">
        <f>VTR!BS11+PR!BS9</f>
        <v>0</v>
      </c>
      <c r="BV9" s="265">
        <f>VTR!BT11+PR!BT9</f>
        <v>0</v>
      </c>
      <c r="BW9" s="265">
        <f>VTR!BU11+PR!BU9</f>
        <v>0</v>
      </c>
      <c r="BX9" s="265">
        <f>VTR!BV11+PR!BV9</f>
        <v>0</v>
      </c>
      <c r="BY9" s="265">
        <f>VTR!BW11+PR!BW9</f>
        <v>0</v>
      </c>
      <c r="BZ9" s="265">
        <f>VTR!BX11+PR!BX9</f>
        <v>0</v>
      </c>
      <c r="CA9" s="265">
        <f>VTR!BY11+PR!BY9</f>
        <v>0</v>
      </c>
      <c r="CB9" s="265">
        <f>VTR!BZ11+PR!BZ9</f>
        <v>0</v>
      </c>
      <c r="CC9" s="265">
        <f>VTR!CA11+PR!CA9</f>
        <v>0</v>
      </c>
      <c r="CD9" s="265">
        <f>VTR!CB11+PR!CB9</f>
        <v>0</v>
      </c>
      <c r="CE9" s="265">
        <f>VTR!CC11+PR!CC9</f>
        <v>0</v>
      </c>
      <c r="CF9" s="265">
        <f>VTR!CD11+PR!CD9</f>
        <v>0</v>
      </c>
      <c r="CG9" s="91"/>
    </row>
    <row r="10" spans="1:85">
      <c r="A10" s="141" t="s">
        <v>563</v>
      </c>
      <c r="B10" s="265">
        <f>VTR!B12+PR!B10</f>
        <v>474.1</v>
      </c>
      <c r="C10" s="265">
        <f>VTR!C12+PR!C10</f>
        <v>489.9</v>
      </c>
      <c r="D10" s="265">
        <f>VTR!D12+PR!D10</f>
        <v>514.79999999999995</v>
      </c>
      <c r="E10" s="265">
        <f>VTR!E12+PR!E10</f>
        <v>521.5</v>
      </c>
      <c r="F10" s="265">
        <f>VTR!F12+PR!F10</f>
        <v>881.1</v>
      </c>
      <c r="G10" s="265">
        <f>VTR!G12+PR!G10</f>
        <v>937.9</v>
      </c>
      <c r="H10" s="265">
        <f>VTR!H12+PR!H10</f>
        <v>952.8</v>
      </c>
      <c r="I10" s="265">
        <f>VTR!I12+PR!I10</f>
        <v>976</v>
      </c>
      <c r="J10" s="265">
        <f>VTR!J12+PR!J10</f>
        <v>1004.6999999999999</v>
      </c>
      <c r="K10" s="265">
        <f>VTR!K12+PR!K10</f>
        <v>979</v>
      </c>
      <c r="L10" s="265">
        <f>VTR!L12+PR!L10</f>
        <v>996.40000000000009</v>
      </c>
      <c r="M10" s="265">
        <f>VTR!M12+PR!M10</f>
        <v>1138.4000000000001</v>
      </c>
      <c r="N10" s="265">
        <f>VTR!N12+PR!N10</f>
        <v>1199.9000000000001</v>
      </c>
      <c r="O10" s="265">
        <f>VTR!O12+PR!O10</f>
        <v>1233.4000000000001</v>
      </c>
      <c r="P10" s="265">
        <f>VTR!P12+PR!P10</f>
        <v>1289.9000000000001</v>
      </c>
      <c r="Q10" s="265">
        <f>VTR!Q12+PR!Q10</f>
        <v>1308.5999999999999</v>
      </c>
      <c r="R10" s="265">
        <f>VTR!R12+PR!R10</f>
        <v>1328.7</v>
      </c>
      <c r="S10" s="265">
        <f>VTR!S12+PR!S10</f>
        <v>1352.6610000000001</v>
      </c>
      <c r="T10" s="265">
        <f>VTR!T12+PR!T10</f>
        <v>1377.07509</v>
      </c>
      <c r="U10" s="265">
        <f>VTR!U12+PR!U10</f>
        <v>1401.9510705000002</v>
      </c>
      <c r="V10" s="265">
        <f>VTR!V12+PR!V10</f>
        <v>1427.297915397</v>
      </c>
      <c r="W10" s="265">
        <f>VTR!W12+PR!W10</f>
        <v>1453.1247754268102</v>
      </c>
      <c r="X10" s="265">
        <f>VTR!X12+PR!X10</f>
        <v>1479.4409816744351</v>
      </c>
      <c r="Y10" s="265">
        <f>VTR!Y12+PR!Y10</f>
        <v>1506.2560491544034</v>
      </c>
      <c r="Z10" s="265">
        <f>VTR!Z12+PR!Z10</f>
        <v>1533.5796804624358</v>
      </c>
      <c r="AA10" s="265"/>
      <c r="AB10" s="91"/>
      <c r="AC10" s="91"/>
      <c r="AD10" s="141" t="s">
        <v>563</v>
      </c>
      <c r="AE10" s="265">
        <f>VTR!AC12+PR!AC10</f>
        <v>474.1</v>
      </c>
      <c r="AF10" s="265">
        <f>VTR!AD12+PR!AD10</f>
        <v>465.2</v>
      </c>
      <c r="AG10" s="265">
        <f>VTR!AE12+PR!AE10</f>
        <v>476.7</v>
      </c>
      <c r="AH10" s="265">
        <f>VTR!AF12+PR!AF10</f>
        <v>483.1</v>
      </c>
      <c r="AI10" s="265">
        <f>VTR!AG12+PR!AG10</f>
        <v>489.9</v>
      </c>
      <c r="AJ10" s="265">
        <f>VTR!AH12+PR!AH10</f>
        <v>492.8</v>
      </c>
      <c r="AK10" s="265">
        <f>VTR!AI12+PR!AI10</f>
        <v>500</v>
      </c>
      <c r="AL10" s="265">
        <f>VTR!AJ12+PR!AJ10</f>
        <v>507.9</v>
      </c>
      <c r="AM10" s="265">
        <f>VTR!AK12+PR!AK10</f>
        <v>514.79999999999995</v>
      </c>
      <c r="AN10" s="265">
        <f>VTR!AL12+PR!AL10</f>
        <v>517</v>
      </c>
      <c r="AO10" s="265">
        <f>VTR!AM12+PR!AM10</f>
        <v>526.1</v>
      </c>
      <c r="AP10" s="265">
        <f>VTR!AN12+PR!AN10</f>
        <v>533.69999999999993</v>
      </c>
      <c r="AQ10" s="265">
        <f>VTR!AO12+PR!AO10</f>
        <v>521.5</v>
      </c>
      <c r="AR10" s="265">
        <f>VTR!AP12+PR!AP10</f>
        <v>522.69999999999993</v>
      </c>
      <c r="AS10" s="265">
        <f>VTR!AQ12+PR!AQ10</f>
        <v>747.8</v>
      </c>
      <c r="AT10" s="265">
        <f>VTR!AR12+PR!AR10</f>
        <v>867.4</v>
      </c>
      <c r="AU10" s="265">
        <f>VTR!AS12+PR!AS10</f>
        <v>881.1</v>
      </c>
      <c r="AV10" s="265">
        <f>VTR!AT12+PR!AT10</f>
        <v>902.59999999999991</v>
      </c>
      <c r="AW10" s="265">
        <f>VTR!AU12+PR!AU10</f>
        <v>926.2</v>
      </c>
      <c r="AX10" s="265">
        <f>VTR!AV12+PR!AV10</f>
        <v>935.09999999999991</v>
      </c>
      <c r="AY10" s="265">
        <f>VTR!AW12+PR!AW10</f>
        <v>937.9</v>
      </c>
      <c r="AZ10" s="265">
        <f>VTR!AX12+PR!AX10</f>
        <v>936.7</v>
      </c>
      <c r="BA10" s="265">
        <f>VTR!AY12+PR!AY10</f>
        <v>946.4</v>
      </c>
      <c r="BB10" s="265">
        <f>VTR!AZ12+PR!AZ10</f>
        <v>955.19999999999993</v>
      </c>
      <c r="BC10" s="265">
        <f>VTR!BA12+PR!BA10</f>
        <v>952.8</v>
      </c>
      <c r="BD10" s="265">
        <f>VTR!BB12+PR!BB10</f>
        <v>945.1</v>
      </c>
      <c r="BE10" s="265">
        <f>VTR!BC12+PR!BC10</f>
        <v>954.89999999999986</v>
      </c>
      <c r="BF10" s="265">
        <f>VTR!BD12+PR!BD10</f>
        <v>960.2</v>
      </c>
      <c r="BG10" s="265">
        <f>VTR!BE12+PR!BE10</f>
        <v>976</v>
      </c>
      <c r="BH10" s="265">
        <f>VTR!BF12+PR!BF10</f>
        <v>984.5</v>
      </c>
      <c r="BI10" s="265">
        <f>VTR!BG12+PR!BG10</f>
        <v>980.7</v>
      </c>
      <c r="BJ10" s="265">
        <f>VTR!BH12+PR!BH10</f>
        <v>989</v>
      </c>
      <c r="BK10" s="265">
        <f>VTR!BI12+PR!BI10</f>
        <v>1004.6999999999999</v>
      </c>
      <c r="BL10" s="265">
        <f>VTR!BJ12+PR!BJ10</f>
        <v>979.5</v>
      </c>
      <c r="BM10" s="265">
        <f>VTR!BK12+PR!BK10</f>
        <v>983.7</v>
      </c>
      <c r="BN10" s="265">
        <f>VTR!BL12+PR!BL10</f>
        <v>977.1</v>
      </c>
      <c r="BO10" s="265">
        <f>VTR!BM12+PR!BM10</f>
        <v>979</v>
      </c>
      <c r="BP10" s="265">
        <f>VTR!BN12+PR!BN10</f>
        <v>983.8</v>
      </c>
      <c r="BQ10" s="265">
        <f>VTR!BO12+PR!BO10</f>
        <v>995</v>
      </c>
      <c r="BR10" s="265">
        <f>VTR!BP12+PR!BP10</f>
        <v>999.8</v>
      </c>
      <c r="BS10" s="265">
        <f>VTR!BQ12+PR!BQ10</f>
        <v>996.40000000000009</v>
      </c>
      <c r="BT10" s="265">
        <f>VTR!BR12+PR!BR10</f>
        <v>999.99999999999989</v>
      </c>
      <c r="BU10" s="265">
        <f>VTR!BS12+PR!BS10</f>
        <v>1002.9</v>
      </c>
      <c r="BV10" s="265">
        <f>VTR!BT12+PR!BT10</f>
        <v>997.7</v>
      </c>
      <c r="BW10" s="265">
        <f>VTR!BU12+PR!BU10</f>
        <v>1138.4000000000001</v>
      </c>
      <c r="BX10" s="265">
        <f>VTR!BV12+PR!BV10</f>
        <v>1160.3</v>
      </c>
      <c r="BY10" s="265">
        <f>VTR!BW12+PR!BW10</f>
        <v>1179.8999999999999</v>
      </c>
      <c r="BZ10" s="265">
        <f>VTR!BX12+PR!BX10</f>
        <v>1194.0999999999999</v>
      </c>
      <c r="CA10" s="265">
        <f>VTR!BY12+PR!BY10</f>
        <v>1199.9000000000001</v>
      </c>
      <c r="CB10" s="265">
        <f>VTR!BZ12+PR!BZ10</f>
        <v>1213</v>
      </c>
      <c r="CC10" s="265">
        <f>VTR!CA12+PR!CA10</f>
        <v>1223.3</v>
      </c>
      <c r="CD10" s="265">
        <f>VTR!CB12+PR!CB10</f>
        <v>1226.9000000000001</v>
      </c>
      <c r="CE10" s="265">
        <f>VTR!CC12+PR!CC10</f>
        <v>1233.4000000000001</v>
      </c>
      <c r="CF10" s="265">
        <f>VTR!CD12+PR!CD10</f>
        <v>1228.8</v>
      </c>
      <c r="CG10" s="91"/>
    </row>
    <row r="11" spans="1:85">
      <c r="A11" s="141" t="s">
        <v>564</v>
      </c>
      <c r="B11" s="265">
        <f>VTR!B13+PR!B11</f>
        <v>25.400000000000002</v>
      </c>
      <c r="C11" s="265">
        <f>VTR!C13+PR!C11</f>
        <v>72.899999999999991</v>
      </c>
      <c r="D11" s="265">
        <f>VTR!D13+PR!D11</f>
        <v>133.1</v>
      </c>
      <c r="E11" s="265">
        <f>VTR!E13+PR!E11</f>
        <v>180.60000000000002</v>
      </c>
      <c r="F11" s="265">
        <f>VTR!F13+PR!F11</f>
        <v>339.8</v>
      </c>
      <c r="G11" s="265">
        <f>VTR!G13+PR!G11</f>
        <v>466.5</v>
      </c>
      <c r="H11" s="265">
        <f>VTR!H13+PR!H11</f>
        <v>578.29999999999995</v>
      </c>
      <c r="I11" s="265">
        <f>VTR!I13+PR!I11</f>
        <v>657.40000000000009</v>
      </c>
      <c r="J11" s="265">
        <f>VTR!J13+PR!J11</f>
        <v>730.59999999999991</v>
      </c>
      <c r="K11" s="265">
        <f>VTR!K13+PR!K11</f>
        <v>779.3</v>
      </c>
      <c r="L11" s="265">
        <f>VTR!L13+PR!L11</f>
        <v>852.5</v>
      </c>
      <c r="M11" s="265">
        <f>VTR!M13+PR!M11</f>
        <v>1004.5</v>
      </c>
      <c r="N11" s="265">
        <f>VTR!N13+PR!N11</f>
        <v>1077.9000000000001</v>
      </c>
      <c r="O11" s="265">
        <f>VTR!O13+PR!O11</f>
        <v>1142.3</v>
      </c>
      <c r="P11" s="265">
        <f>VTR!P13+PR!P11</f>
        <v>1322.1</v>
      </c>
      <c r="Q11" s="265">
        <f>VTR!Q13+PR!Q11</f>
        <v>1420.2</v>
      </c>
      <c r="R11" s="265">
        <f>VTR!R13+PR!R11</f>
        <v>1525.6</v>
      </c>
      <c r="S11" s="265">
        <f>VTR!S13+PR!S11</f>
        <v>1570.6</v>
      </c>
      <c r="T11" s="265">
        <f>VTR!T13+PR!T11</f>
        <v>1605.6</v>
      </c>
      <c r="U11" s="265">
        <f>VTR!U13+PR!U11</f>
        <v>1640.6</v>
      </c>
      <c r="V11" s="265">
        <f>VTR!V13+PR!V11</f>
        <v>1675.6</v>
      </c>
      <c r="W11" s="265">
        <f>VTR!W13+PR!W11</f>
        <v>1710.6</v>
      </c>
      <c r="X11" s="265">
        <f>VTR!X13+PR!X11</f>
        <v>1745.6</v>
      </c>
      <c r="Y11" s="265">
        <f>VTR!Y13+PR!Y11</f>
        <v>1780.6</v>
      </c>
      <c r="Z11" s="265">
        <f>VTR!Z13+PR!Z11</f>
        <v>1815.6</v>
      </c>
      <c r="AA11" s="265"/>
      <c r="AB11" s="91"/>
      <c r="AC11" s="91"/>
      <c r="AD11" s="141" t="s">
        <v>564</v>
      </c>
      <c r="AE11" s="265">
        <f>VTR!AC13+PR!AC11</f>
        <v>25.400000000000002</v>
      </c>
      <c r="AF11" s="265">
        <f>VTR!AD13+PR!AD11</f>
        <v>31.7</v>
      </c>
      <c r="AG11" s="265">
        <f>VTR!AE13+PR!AE11</f>
        <v>44.7</v>
      </c>
      <c r="AH11" s="265">
        <f>VTR!AF13+PR!AF11</f>
        <v>61.300000000000004</v>
      </c>
      <c r="AI11" s="265">
        <f>VTR!AG13+PR!AG11</f>
        <v>72.899999999999991</v>
      </c>
      <c r="AJ11" s="265">
        <f>VTR!AH13+PR!AH11</f>
        <v>85.1</v>
      </c>
      <c r="AK11" s="265">
        <f>VTR!AI13+PR!AI11</f>
        <v>102.3</v>
      </c>
      <c r="AL11" s="265">
        <f>VTR!AJ13+PR!AJ11</f>
        <v>118.6</v>
      </c>
      <c r="AM11" s="265">
        <f>VTR!AK13+PR!AK11</f>
        <v>133.1</v>
      </c>
      <c r="AN11" s="265">
        <f>VTR!AL13+PR!AL11</f>
        <v>142.4</v>
      </c>
      <c r="AO11" s="265">
        <f>VTR!AM13+PR!AM11</f>
        <v>155</v>
      </c>
      <c r="AP11" s="265">
        <f>VTR!AN13+PR!AN11</f>
        <v>169.2</v>
      </c>
      <c r="AQ11" s="265">
        <f>VTR!AO13+PR!AO11</f>
        <v>180.60000000000002</v>
      </c>
      <c r="AR11" s="265">
        <f>VTR!AP13+PR!AP11</f>
        <v>195.20000000000002</v>
      </c>
      <c r="AS11" s="265">
        <f>VTR!AQ13+PR!AQ11</f>
        <v>259.60000000000002</v>
      </c>
      <c r="AT11" s="265">
        <f>VTR!AR13+PR!AR11</f>
        <v>313.10000000000002</v>
      </c>
      <c r="AU11" s="265">
        <f>VTR!AS13+PR!AS11</f>
        <v>339.8</v>
      </c>
      <c r="AV11" s="265">
        <f>VTR!AT13+PR!AT11</f>
        <v>370.9</v>
      </c>
      <c r="AW11" s="265">
        <f>VTR!AU13+PR!AU11</f>
        <v>409.2</v>
      </c>
      <c r="AX11" s="265">
        <f>VTR!AV13+PR!AV11</f>
        <v>443.4</v>
      </c>
      <c r="AY11" s="265">
        <f>VTR!AW13+PR!AW11</f>
        <v>466.5</v>
      </c>
      <c r="AZ11" s="265">
        <f>VTR!AX13+PR!AX11</f>
        <v>492.2</v>
      </c>
      <c r="BA11" s="265">
        <f>VTR!AY13+PR!AY11</f>
        <v>526</v>
      </c>
      <c r="BB11" s="265">
        <f>VTR!AZ13+PR!AZ11</f>
        <v>562.29999999999995</v>
      </c>
      <c r="BC11" s="265">
        <f>VTR!BA13+PR!BA11</f>
        <v>578.29999999999995</v>
      </c>
      <c r="BD11" s="265">
        <f>VTR!BB13+PR!BB11</f>
        <v>600.70000000000005</v>
      </c>
      <c r="BE11" s="265">
        <f>VTR!BC13+PR!BC11</f>
        <v>628.1</v>
      </c>
      <c r="BF11" s="265">
        <f>VTR!BD13+PR!BD11</f>
        <v>646.90000000000009</v>
      </c>
      <c r="BG11" s="265">
        <f>VTR!BE13+PR!BE11</f>
        <v>657.40000000000009</v>
      </c>
      <c r="BH11" s="265">
        <f>VTR!BF13+PR!BF11</f>
        <v>678.7</v>
      </c>
      <c r="BI11" s="265">
        <f>VTR!BG13+PR!BG11</f>
        <v>703.19999999999993</v>
      </c>
      <c r="BJ11" s="265">
        <f>VTR!BH13+PR!BH11</f>
        <v>722.5</v>
      </c>
      <c r="BK11" s="265">
        <f>VTR!BI13+PR!BI11</f>
        <v>730.59999999999991</v>
      </c>
      <c r="BL11" s="265">
        <f>VTR!BJ13+PR!BJ11</f>
        <v>732.3</v>
      </c>
      <c r="BM11" s="265">
        <f>VTR!BK13+PR!BK11</f>
        <v>754.90000000000009</v>
      </c>
      <c r="BN11" s="265">
        <f>VTR!BL13+PR!BL11</f>
        <v>769.40000000000009</v>
      </c>
      <c r="BO11" s="265">
        <f>VTR!BM13+PR!BM11</f>
        <v>779.3</v>
      </c>
      <c r="BP11" s="265">
        <f>VTR!BN13+PR!BN11</f>
        <v>797.5</v>
      </c>
      <c r="BQ11" s="265">
        <f>VTR!BO13+PR!BO11</f>
        <v>827.2</v>
      </c>
      <c r="BR11" s="265">
        <f>VTR!BP13+PR!BP11</f>
        <v>845.59999999999991</v>
      </c>
      <c r="BS11" s="265">
        <f>VTR!BQ13+PR!BQ11</f>
        <v>852.5</v>
      </c>
      <c r="BT11" s="265">
        <f>VTR!BR13+PR!BR11</f>
        <v>869.6</v>
      </c>
      <c r="BU11" s="265">
        <f>VTR!BS13+PR!BS11</f>
        <v>894.30000000000007</v>
      </c>
      <c r="BV11" s="265">
        <f>VTR!BT13+PR!BT11</f>
        <v>910</v>
      </c>
      <c r="BW11" s="265">
        <f>VTR!BU13+PR!BU11</f>
        <v>1004.5</v>
      </c>
      <c r="BX11" s="265">
        <f>VTR!BV13+PR!BV11</f>
        <v>1030.4000000000001</v>
      </c>
      <c r="BY11" s="265">
        <f>VTR!BW13+PR!BW11</f>
        <v>1053.5999999999999</v>
      </c>
      <c r="BZ11" s="265">
        <f>VTR!BX13+PR!BX11</f>
        <v>1068.8</v>
      </c>
      <c r="CA11" s="265">
        <f>VTR!BY13+PR!BY11</f>
        <v>1077.9000000000001</v>
      </c>
      <c r="CB11" s="265">
        <f>VTR!BZ13+PR!BZ11</f>
        <v>1096.4000000000001</v>
      </c>
      <c r="CC11" s="265">
        <f>VTR!CA13+PR!CA11</f>
        <v>1120.4000000000001</v>
      </c>
      <c r="CD11" s="265">
        <f>VTR!CB13+PR!CB11</f>
        <v>1137.9000000000001</v>
      </c>
      <c r="CE11" s="265">
        <f>VTR!CC13+PR!CC11</f>
        <v>1142.3</v>
      </c>
      <c r="CF11" s="265">
        <f>VTR!CD13+PR!CD11</f>
        <v>1168.9000000000001</v>
      </c>
      <c r="CG11" s="91"/>
    </row>
    <row r="12" spans="1:85">
      <c r="A12" s="141" t="s">
        <v>565</v>
      </c>
      <c r="B12" s="265">
        <f>VTR!B14+PR!B12</f>
        <v>183.2</v>
      </c>
      <c r="C12" s="265">
        <f>VTR!C14+PR!C12</f>
        <v>228.1</v>
      </c>
      <c r="D12" s="265">
        <f>VTR!D14+PR!D12</f>
        <v>271.3</v>
      </c>
      <c r="E12" s="265">
        <f>VTR!E14+PR!E12</f>
        <v>310</v>
      </c>
      <c r="F12" s="265">
        <f>VTR!F14+PR!F12</f>
        <v>381.09999999999997</v>
      </c>
      <c r="G12" s="265">
        <f>VTR!G14+PR!G12</f>
        <v>485.3</v>
      </c>
      <c r="H12" s="265">
        <f>VTR!H14+PR!H12</f>
        <v>573.5</v>
      </c>
      <c r="I12" s="265">
        <f>VTR!I14+PR!I12</f>
        <v>625.80000000000007</v>
      </c>
      <c r="J12" s="265">
        <f>VTR!J14+PR!J12</f>
        <v>671</v>
      </c>
      <c r="K12" s="265">
        <f>VTR!K14+PR!K12</f>
        <v>670.6</v>
      </c>
      <c r="L12" s="265">
        <f>VTR!L14+PR!L12</f>
        <v>696.6</v>
      </c>
      <c r="M12" s="265">
        <f>VTR!M14+PR!M12</f>
        <v>772</v>
      </c>
      <c r="N12" s="265">
        <f>VTR!N14+PR!N12</f>
        <v>822.80000000000007</v>
      </c>
      <c r="O12" s="265">
        <f>VTR!O14+PR!O12</f>
        <v>854.5</v>
      </c>
      <c r="P12" s="265">
        <f>VTR!P14+PR!P12</f>
        <v>883.9</v>
      </c>
      <c r="Q12" s="265">
        <f>VTR!Q14+PR!Q12</f>
        <v>865.8</v>
      </c>
      <c r="R12" s="265">
        <f ca="1">VTR!R14+PR!R12</f>
        <v>847.90000000000009</v>
      </c>
      <c r="S12" s="265">
        <f ca="1">VTR!S14+PR!S12</f>
        <v>857.90000000000009</v>
      </c>
      <c r="T12" s="265">
        <f ca="1">VTR!T14+PR!T12</f>
        <v>867.90000000000009</v>
      </c>
      <c r="U12" s="265">
        <f ca="1">VTR!U14+PR!U12</f>
        <v>877.90000000000009</v>
      </c>
      <c r="V12" s="265">
        <f ca="1">VTR!V14+PR!V12</f>
        <v>887.90000000000009</v>
      </c>
      <c r="W12" s="265">
        <f ca="1">VTR!W14+PR!W12</f>
        <v>897.90000000000009</v>
      </c>
      <c r="X12" s="265">
        <f ca="1">VTR!X14+PR!X12</f>
        <v>907.90000000000009</v>
      </c>
      <c r="Y12" s="265">
        <f ca="1">VTR!Y14+PR!Y12</f>
        <v>917.90000000000009</v>
      </c>
      <c r="Z12" s="265">
        <f ca="1">VTR!Z14+PR!Z12</f>
        <v>927.90000000000009</v>
      </c>
      <c r="AA12" s="265"/>
      <c r="AB12" s="91"/>
      <c r="AC12" s="91"/>
      <c r="AD12" s="141" t="s">
        <v>565</v>
      </c>
      <c r="AE12" s="265">
        <f>VTR!AC14+PR!AC12</f>
        <v>183.2</v>
      </c>
      <c r="AF12" s="265">
        <f>VTR!AD14+PR!AD12</f>
        <v>194.1</v>
      </c>
      <c r="AG12" s="265">
        <f>VTR!AE14+PR!AE12</f>
        <v>208.9</v>
      </c>
      <c r="AH12" s="265">
        <f>VTR!AF14+PR!AF12</f>
        <v>217.9</v>
      </c>
      <c r="AI12" s="265">
        <f>VTR!AG14+PR!AG12</f>
        <v>228.1</v>
      </c>
      <c r="AJ12" s="265">
        <f>VTR!AH14+PR!AH12</f>
        <v>233.4</v>
      </c>
      <c r="AK12" s="265">
        <f>VTR!AI14+PR!AI12</f>
        <v>245</v>
      </c>
      <c r="AL12" s="265">
        <f>VTR!AJ14+PR!AJ12</f>
        <v>258.3</v>
      </c>
      <c r="AM12" s="265">
        <f>VTR!AK14+PR!AK12</f>
        <v>271.3</v>
      </c>
      <c r="AN12" s="265">
        <f>VTR!AL14+PR!AL12</f>
        <v>280.39999999999998</v>
      </c>
      <c r="AO12" s="265">
        <f>VTR!AM14+PR!AM12</f>
        <v>289</v>
      </c>
      <c r="AP12" s="265">
        <f>VTR!AN14+PR!AN12</f>
        <v>296.3</v>
      </c>
      <c r="AQ12" s="265">
        <f>VTR!AO14+PR!AO12</f>
        <v>310</v>
      </c>
      <c r="AR12" s="265">
        <f>VTR!AP14+PR!AP12</f>
        <v>316.8</v>
      </c>
      <c r="AS12" s="265">
        <f>VTR!AQ14+PR!AQ12</f>
        <v>337.6</v>
      </c>
      <c r="AT12" s="265">
        <f>VTR!AR14+PR!AR12</f>
        <v>358.4</v>
      </c>
      <c r="AU12" s="265">
        <f>VTR!AS14+PR!AS12</f>
        <v>381.09999999999997</v>
      </c>
      <c r="AV12" s="265">
        <f>VTR!AT14+PR!AT12</f>
        <v>405.6</v>
      </c>
      <c r="AW12" s="265">
        <f>VTR!AU14+PR!AU12</f>
        <v>438.3</v>
      </c>
      <c r="AX12" s="265">
        <f>VTR!AV14+PR!AV12</f>
        <v>466.59999999999997</v>
      </c>
      <c r="AY12" s="265">
        <f>VTR!AW14+PR!AW12</f>
        <v>485.3</v>
      </c>
      <c r="AZ12" s="265">
        <f>VTR!AX14+PR!AX12</f>
        <v>504.40000000000003</v>
      </c>
      <c r="BA12" s="265">
        <f>VTR!AY14+PR!AY12</f>
        <v>523.5</v>
      </c>
      <c r="BB12" s="265">
        <f>VTR!AZ14+PR!AZ12</f>
        <v>548.1</v>
      </c>
      <c r="BC12" s="265">
        <f>VTR!BA14+PR!BA12</f>
        <v>573.5</v>
      </c>
      <c r="BD12" s="265">
        <f>VTR!BB14+PR!BB12</f>
        <v>587.80000000000007</v>
      </c>
      <c r="BE12" s="265">
        <f>VTR!BC14+PR!BC12</f>
        <v>603</v>
      </c>
      <c r="BF12" s="265">
        <f>VTR!BD14+PR!BD12</f>
        <v>615.40000000000009</v>
      </c>
      <c r="BG12" s="265">
        <f>VTR!BE14+PR!BE12</f>
        <v>625.80000000000007</v>
      </c>
      <c r="BH12" s="265">
        <f>VTR!BF14+PR!BF12</f>
        <v>639.4</v>
      </c>
      <c r="BI12" s="265">
        <f>VTR!BG14+PR!BG12</f>
        <v>656.1</v>
      </c>
      <c r="BJ12" s="265">
        <f>VTR!BH14+PR!BH12</f>
        <v>667</v>
      </c>
      <c r="BK12" s="265">
        <f>VTR!BI14+PR!BI12</f>
        <v>671</v>
      </c>
      <c r="BL12" s="265">
        <f>VTR!BJ14+PR!BJ12</f>
        <v>670.1</v>
      </c>
      <c r="BM12" s="265">
        <f>VTR!BK14+PR!BK12</f>
        <v>669.2</v>
      </c>
      <c r="BN12" s="265">
        <f>VTR!BL14+PR!BL12</f>
        <v>665.8</v>
      </c>
      <c r="BO12" s="265">
        <f>VTR!BM14+PR!BM12</f>
        <v>670.6</v>
      </c>
      <c r="BP12" s="265">
        <f>VTR!BN14+PR!BN12</f>
        <v>674.5</v>
      </c>
      <c r="BQ12" s="265">
        <f>VTR!BO14+PR!BO12</f>
        <v>684.5</v>
      </c>
      <c r="BR12" s="265">
        <f>VTR!BP14+PR!BP12</f>
        <v>690.9</v>
      </c>
      <c r="BS12" s="265">
        <f>VTR!BQ14+PR!BQ12</f>
        <v>696.6</v>
      </c>
      <c r="BT12" s="265">
        <f>VTR!BR14+PR!BR12</f>
        <v>709.19999999999993</v>
      </c>
      <c r="BU12" s="265">
        <f>VTR!BS14+PR!BS12</f>
        <v>727.4</v>
      </c>
      <c r="BV12" s="265">
        <f>VTR!BT14+PR!BT12</f>
        <v>736</v>
      </c>
      <c r="BW12" s="265">
        <f>VTR!BU14+PR!BU12</f>
        <v>772</v>
      </c>
      <c r="BX12" s="265">
        <f>VTR!BV14+PR!BV12</f>
        <v>786.9</v>
      </c>
      <c r="BY12" s="265">
        <f>VTR!BW14+PR!BW12</f>
        <v>801.8</v>
      </c>
      <c r="BZ12" s="265">
        <f>VTR!BX14+PR!BX12</f>
        <v>814.7</v>
      </c>
      <c r="CA12" s="265">
        <f>VTR!BY14+PR!BY12</f>
        <v>822.80000000000007</v>
      </c>
      <c r="CB12" s="265">
        <f>VTR!BZ14+PR!BZ12</f>
        <v>840.2</v>
      </c>
      <c r="CC12" s="265">
        <f>VTR!CA14+PR!CA12</f>
        <v>856</v>
      </c>
      <c r="CD12" s="265">
        <f>VTR!CB14+PR!CB12</f>
        <v>859.59999999999991</v>
      </c>
      <c r="CE12" s="265">
        <f>VTR!CC14+PR!CC12</f>
        <v>854.5</v>
      </c>
      <c r="CF12" s="265">
        <f>VTR!CD14+PR!CD12</f>
        <v>868.1</v>
      </c>
      <c r="CG12" s="91"/>
    </row>
    <row r="13" spans="1:85">
      <c r="A13" s="141" t="s">
        <v>5</v>
      </c>
      <c r="B13" s="265">
        <f>VTR!B15+PR!B13</f>
        <v>0</v>
      </c>
      <c r="C13" s="265">
        <f>VTR!C15+PR!C13</f>
        <v>0</v>
      </c>
      <c r="D13" s="265">
        <f>VTR!D15+PR!D13</f>
        <v>0</v>
      </c>
      <c r="E13" s="265">
        <f>VTR!E15+PR!E13</f>
        <v>0</v>
      </c>
      <c r="F13" s="265">
        <f>VTR!F15+PR!F13</f>
        <v>0</v>
      </c>
      <c r="G13" s="265">
        <f>VTR!G15+PR!G13</f>
        <v>0</v>
      </c>
      <c r="H13" s="265">
        <f>VTR!H15+PR!H13</f>
        <v>0</v>
      </c>
      <c r="I13" s="265">
        <f>VTR!I15+PR!I13</f>
        <v>0</v>
      </c>
      <c r="J13" s="265">
        <f>VTR!J15+PR!J13</f>
        <v>0</v>
      </c>
      <c r="K13" s="265">
        <f>VTR!K15+PR!K13</f>
        <v>0</v>
      </c>
      <c r="L13" s="265">
        <f>VTR!L15+PR!L13</f>
        <v>0</v>
      </c>
      <c r="M13" s="265">
        <f>VTR!M15+PR!M13</f>
        <v>40</v>
      </c>
      <c r="N13" s="265">
        <f>VTR!N15+PR!N13</f>
        <v>71.3</v>
      </c>
      <c r="O13" s="265">
        <f>VTR!O15+PR!O13</f>
        <v>110.5</v>
      </c>
      <c r="P13" s="265">
        <f>VTR!P15+PR!P13</f>
        <v>132</v>
      </c>
      <c r="Q13" s="265">
        <f>VTR!Q15+PR!Q13</f>
        <v>166.2</v>
      </c>
      <c r="R13" s="265">
        <f>VTR!R15+PR!R13</f>
        <v>214.9</v>
      </c>
      <c r="S13" s="265">
        <f>VTR!S15+PR!S13</f>
        <v>244.9</v>
      </c>
      <c r="T13" s="265">
        <f>VTR!T15+PR!T13</f>
        <v>274.89999999999998</v>
      </c>
      <c r="U13" s="265">
        <f>VTR!U15+PR!U13</f>
        <v>304.89999999999998</v>
      </c>
      <c r="V13" s="265">
        <f>VTR!V15+PR!V13</f>
        <v>334.9</v>
      </c>
      <c r="W13" s="265">
        <f>VTR!W15+PR!W13</f>
        <v>364.9</v>
      </c>
      <c r="X13" s="265">
        <f>VTR!X15+PR!X13</f>
        <v>394.9</v>
      </c>
      <c r="Y13" s="265">
        <f>VTR!Y15+PR!Y13</f>
        <v>424.9</v>
      </c>
      <c r="Z13" s="265">
        <f>VTR!Z15+PR!Z13</f>
        <v>454.9</v>
      </c>
      <c r="AA13" s="265"/>
      <c r="AB13" s="91"/>
      <c r="AC13" s="91"/>
      <c r="AD13" s="141" t="s">
        <v>5</v>
      </c>
      <c r="AE13" s="265">
        <f>VTR!AC15+PR!AC13</f>
        <v>0</v>
      </c>
      <c r="AF13" s="265">
        <f>VTR!AD15+PR!AD13</f>
        <v>0</v>
      </c>
      <c r="AG13" s="265">
        <f>VTR!AE15+PR!AE13</f>
        <v>0</v>
      </c>
      <c r="AH13" s="265">
        <f>VTR!AF15+PR!AF13</f>
        <v>0</v>
      </c>
      <c r="AI13" s="265">
        <f>VTR!AG15+PR!AG13</f>
        <v>0</v>
      </c>
      <c r="AJ13" s="265">
        <f>VTR!AH15+PR!AH13</f>
        <v>0</v>
      </c>
      <c r="AK13" s="265">
        <f>VTR!AI15+PR!AI13</f>
        <v>0</v>
      </c>
      <c r="AL13" s="265">
        <f>VTR!AJ15+PR!AJ13</f>
        <v>0</v>
      </c>
      <c r="AM13" s="265">
        <f>VTR!AK15+PR!AK13</f>
        <v>0</v>
      </c>
      <c r="AN13" s="265">
        <f>VTR!AL15+PR!AL13</f>
        <v>0</v>
      </c>
      <c r="AO13" s="265">
        <f>VTR!AM15+PR!AM13</f>
        <v>0</v>
      </c>
      <c r="AP13" s="265">
        <f>VTR!AN15+PR!AN13</f>
        <v>0</v>
      </c>
      <c r="AQ13" s="265">
        <f>VTR!AO15+PR!AO13</f>
        <v>0</v>
      </c>
      <c r="AR13" s="265">
        <f>VTR!AP15+PR!AP13</f>
        <v>0</v>
      </c>
      <c r="AS13" s="265">
        <f>VTR!AQ15+PR!AQ13</f>
        <v>0</v>
      </c>
      <c r="AT13" s="265">
        <f>VTR!AR15+PR!AR13</f>
        <v>0</v>
      </c>
      <c r="AU13" s="265">
        <f>VTR!AS15+PR!AS13</f>
        <v>0</v>
      </c>
      <c r="AV13" s="265">
        <f>VTR!AT15+PR!AT13</f>
        <v>0</v>
      </c>
      <c r="AW13" s="265">
        <f>VTR!AU15+PR!AU13</f>
        <v>0</v>
      </c>
      <c r="AX13" s="265">
        <f>VTR!AV15+PR!AV13</f>
        <v>0</v>
      </c>
      <c r="AY13" s="265">
        <f>VTR!AW15+PR!AW13</f>
        <v>0</v>
      </c>
      <c r="AZ13" s="265">
        <f>VTR!AX15+PR!AX13</f>
        <v>0</v>
      </c>
      <c r="BA13" s="265">
        <f>VTR!AY15+PR!AY13</f>
        <v>0</v>
      </c>
      <c r="BB13" s="265">
        <f>VTR!AZ15+PR!AZ13</f>
        <v>0</v>
      </c>
      <c r="BC13" s="265">
        <f>VTR!BA15+PR!BA13</f>
        <v>0</v>
      </c>
      <c r="BD13" s="265">
        <f>VTR!BB15+PR!BB13</f>
        <v>0</v>
      </c>
      <c r="BE13" s="265">
        <f>VTR!BC15+PR!BC13</f>
        <v>0</v>
      </c>
      <c r="BF13" s="265">
        <f>VTR!BD15+PR!BD13</f>
        <v>0</v>
      </c>
      <c r="BG13" s="265">
        <f>VTR!BE15+PR!BE13</f>
        <v>0</v>
      </c>
      <c r="BH13" s="265">
        <f>VTR!BF15+PR!BF13</f>
        <v>0</v>
      </c>
      <c r="BI13" s="265">
        <f>VTR!BG15+PR!BG13</f>
        <v>0</v>
      </c>
      <c r="BJ13" s="265">
        <f>VTR!BH15+PR!BH13</f>
        <v>0</v>
      </c>
      <c r="BK13" s="265">
        <f>VTR!BI15+PR!BI13</f>
        <v>0</v>
      </c>
      <c r="BL13" s="265">
        <f>VTR!BJ15+PR!BJ13</f>
        <v>0</v>
      </c>
      <c r="BM13" s="265">
        <f>VTR!BK15+PR!BK13</f>
        <v>0</v>
      </c>
      <c r="BN13" s="265">
        <f>VTR!BL15+PR!BL13</f>
        <v>0</v>
      </c>
      <c r="BO13" s="265">
        <f>VTR!BM15+PR!BM13</f>
        <v>0</v>
      </c>
      <c r="BP13" s="265">
        <f>VTR!BN15+PR!BN13</f>
        <v>0</v>
      </c>
      <c r="BQ13" s="265">
        <f>VTR!BO15+PR!BO13</f>
        <v>0</v>
      </c>
      <c r="BR13" s="265">
        <f>VTR!BP15+PR!BP13</f>
        <v>0</v>
      </c>
      <c r="BS13" s="265">
        <f>VTR!BQ15+PR!BQ13</f>
        <v>0</v>
      </c>
      <c r="BT13" s="265">
        <f>VTR!BR15+PR!BR13</f>
        <v>0</v>
      </c>
      <c r="BU13" s="265">
        <f>VTR!BS15+PR!BS13</f>
        <v>0</v>
      </c>
      <c r="BV13" s="265">
        <f>VTR!BT15+PR!BT13</f>
        <v>0</v>
      </c>
      <c r="BW13" s="265">
        <f>VTR!BU15+PR!BU13</f>
        <v>0</v>
      </c>
      <c r="BX13" s="265">
        <f>VTR!BV15+PR!BV13</f>
        <v>47.5</v>
      </c>
      <c r="BY13" s="265">
        <f>VTR!BW15+PR!BW13</f>
        <v>140.1</v>
      </c>
      <c r="BZ13" s="265">
        <f>VTR!BX15+PR!BX13</f>
        <v>79.900000000000006</v>
      </c>
      <c r="CA13" s="265">
        <f>VTR!BY15+PR!BY13</f>
        <v>71.3</v>
      </c>
      <c r="CB13" s="265">
        <f>VTR!BZ15+PR!BZ13</f>
        <v>83</v>
      </c>
      <c r="CC13" s="265">
        <f>VTR!CA15+PR!CA13</f>
        <v>89.7</v>
      </c>
      <c r="CD13" s="265">
        <f>VTR!CB15+PR!CB13</f>
        <v>100.7</v>
      </c>
      <c r="CE13" s="265">
        <f>VTR!CC15+PR!CC13</f>
        <v>110.5</v>
      </c>
      <c r="CF13" s="265">
        <f>VTR!CD15+PR!CD13</f>
        <v>117.5</v>
      </c>
      <c r="CG13" s="91"/>
    </row>
    <row r="14" spans="1:85" hidden="1">
      <c r="A14" s="92" t="s">
        <v>566</v>
      </c>
      <c r="B14" s="246">
        <f>VTR!B16+PR!B14</f>
        <v>0</v>
      </c>
      <c r="C14" s="246">
        <f>VTR!C16+PR!C14</f>
        <v>0</v>
      </c>
      <c r="D14" s="246">
        <f>VTR!D16+PR!D14</f>
        <v>0</v>
      </c>
      <c r="E14" s="246">
        <f>VTR!E16+PR!E14</f>
        <v>0</v>
      </c>
      <c r="F14" s="246">
        <f>VTR!F16+PR!F14</f>
        <v>0</v>
      </c>
      <c r="G14" s="246">
        <f>VTR!G16+PR!G14</f>
        <v>0</v>
      </c>
      <c r="H14" s="246">
        <f>VTR!H16+PR!H14</f>
        <v>0</v>
      </c>
      <c r="I14" s="246">
        <f>VTR!I16+PR!I14</f>
        <v>0</v>
      </c>
      <c r="J14" s="246">
        <f>VTR!J16+PR!J14</f>
        <v>0</v>
      </c>
      <c r="K14" s="246">
        <f>VTR!K16+PR!K14</f>
        <v>0</v>
      </c>
      <c r="L14" s="246">
        <f>VTR!L16+PR!L14</f>
        <v>0</v>
      </c>
      <c r="M14" s="246">
        <f>VTR!M16+PR!M14</f>
        <v>0</v>
      </c>
      <c r="N14" s="246">
        <f>VTR!N16+PR!N14</f>
        <v>45.3</v>
      </c>
      <c r="O14" s="246">
        <f>VTR!O16+PR!O14</f>
        <v>90.7</v>
      </c>
      <c r="P14" s="246">
        <f>VTR!P16+PR!P14</f>
        <v>121.1</v>
      </c>
      <c r="Q14" s="246">
        <f>VTR!Q16+PR!Q14</f>
        <v>158.19999999999999</v>
      </c>
      <c r="R14" s="246">
        <f>VTR!R16+PR!R14</f>
        <v>0</v>
      </c>
      <c r="S14" s="246">
        <f>VTR!S16+PR!S14</f>
        <v>0</v>
      </c>
      <c r="T14" s="246">
        <f>VTR!T16+PR!T14</f>
        <v>0</v>
      </c>
      <c r="U14" s="246">
        <f>VTR!U16+PR!U14</f>
        <v>0</v>
      </c>
      <c r="V14" s="246">
        <f>VTR!V16+PR!V14</f>
        <v>0</v>
      </c>
      <c r="W14" s="246">
        <f>VTR!W16+PR!W14</f>
        <v>0</v>
      </c>
      <c r="X14" s="246">
        <f>VTR!X16+PR!X14</f>
        <v>0</v>
      </c>
      <c r="Y14" s="246">
        <f>VTR!Y16+PR!Y14</f>
        <v>0</v>
      </c>
      <c r="Z14" s="246">
        <f>VTR!Z16+PR!Z14</f>
        <v>0</v>
      </c>
      <c r="AA14" s="246"/>
      <c r="AB14" s="91"/>
      <c r="AC14" s="91"/>
      <c r="AD14" s="92" t="s">
        <v>566</v>
      </c>
      <c r="AE14" s="246">
        <f>VTR!AC16+PR!AC14</f>
        <v>0</v>
      </c>
      <c r="AF14" s="246">
        <f>VTR!AD16+PR!AD14</f>
        <v>0</v>
      </c>
      <c r="AG14" s="246">
        <f>VTR!AE16+PR!AE14</f>
        <v>0</v>
      </c>
      <c r="AH14" s="246">
        <f>VTR!AF16+PR!AF14</f>
        <v>0</v>
      </c>
      <c r="AI14" s="246">
        <f>VTR!AG16+PR!AG14</f>
        <v>0</v>
      </c>
      <c r="AJ14" s="246">
        <f>VTR!AH16+PR!AH14</f>
        <v>0</v>
      </c>
      <c r="AK14" s="246">
        <f>VTR!AI16+PR!AI14</f>
        <v>0</v>
      </c>
      <c r="AL14" s="246">
        <f>VTR!AJ16+PR!AJ14</f>
        <v>0</v>
      </c>
      <c r="AM14" s="246">
        <f>VTR!AK16+PR!AK14</f>
        <v>0</v>
      </c>
      <c r="AN14" s="246">
        <f>VTR!AL16+PR!AL14</f>
        <v>0</v>
      </c>
      <c r="AO14" s="246">
        <f>VTR!AM16+PR!AM14</f>
        <v>0</v>
      </c>
      <c r="AP14" s="246">
        <f>VTR!AN16+PR!AN14</f>
        <v>0</v>
      </c>
      <c r="AQ14" s="246">
        <f>VTR!AO16+PR!AO14</f>
        <v>0</v>
      </c>
      <c r="AR14" s="246">
        <f>VTR!AP16+PR!AP14</f>
        <v>0</v>
      </c>
      <c r="AS14" s="246">
        <f>VTR!AQ16+PR!AQ14</f>
        <v>0</v>
      </c>
      <c r="AT14" s="246">
        <f>VTR!AR16+PR!AR14</f>
        <v>0</v>
      </c>
      <c r="AU14" s="246">
        <f>VTR!AS16+PR!AS14</f>
        <v>0</v>
      </c>
      <c r="AV14" s="246">
        <f>VTR!AT16+PR!AT14</f>
        <v>0</v>
      </c>
      <c r="AW14" s="246">
        <f>VTR!AU16+PR!AU14</f>
        <v>0</v>
      </c>
      <c r="AX14" s="246">
        <f>VTR!AV16+PR!AV14</f>
        <v>0</v>
      </c>
      <c r="AY14" s="246">
        <f>VTR!AW16+PR!AW14</f>
        <v>0</v>
      </c>
      <c r="AZ14" s="246">
        <f>VTR!AX16+PR!AX14</f>
        <v>0</v>
      </c>
      <c r="BA14" s="246">
        <f>VTR!AY16+PR!AY14</f>
        <v>0</v>
      </c>
      <c r="BB14" s="246">
        <f>VTR!AZ16+PR!AZ14</f>
        <v>0</v>
      </c>
      <c r="BC14" s="246">
        <f>VTR!BA16+PR!BA14</f>
        <v>0</v>
      </c>
      <c r="BD14" s="246">
        <f>VTR!BB16+PR!BB14</f>
        <v>0</v>
      </c>
      <c r="BE14" s="246">
        <f>VTR!BC16+PR!BC14</f>
        <v>0</v>
      </c>
      <c r="BF14" s="246">
        <f>VTR!BD16+PR!BD14</f>
        <v>0</v>
      </c>
      <c r="BG14" s="246">
        <f>VTR!BE16+PR!BE14</f>
        <v>0</v>
      </c>
      <c r="BH14" s="246">
        <f>VTR!BF16+PR!BF14</f>
        <v>0</v>
      </c>
      <c r="BI14" s="246">
        <f>VTR!BG16+PR!BG14</f>
        <v>0</v>
      </c>
      <c r="BJ14" s="246">
        <f>VTR!BH16+PR!BH14</f>
        <v>0</v>
      </c>
      <c r="BK14" s="246">
        <f>VTR!BI16+PR!BI14</f>
        <v>0</v>
      </c>
      <c r="BL14" s="246">
        <f>VTR!BJ16+PR!BJ14</f>
        <v>0</v>
      </c>
      <c r="BM14" s="246">
        <f>VTR!BK16+PR!BK14</f>
        <v>0</v>
      </c>
      <c r="BN14" s="246">
        <f>VTR!BL16+PR!BL14</f>
        <v>0</v>
      </c>
      <c r="BO14" s="246">
        <f>VTR!BM16+PR!BM14</f>
        <v>0</v>
      </c>
      <c r="BP14" s="246">
        <f>VTR!BN16+PR!BN14</f>
        <v>0</v>
      </c>
      <c r="BQ14" s="246">
        <f>VTR!BO16+PR!BO14</f>
        <v>0</v>
      </c>
      <c r="BR14" s="246">
        <f>VTR!BP16+PR!BP14</f>
        <v>0</v>
      </c>
      <c r="BS14" s="246">
        <f>VTR!BQ16+PR!BQ14</f>
        <v>0</v>
      </c>
      <c r="BT14" s="246">
        <f>VTR!BR16+PR!BR14</f>
        <v>0</v>
      </c>
      <c r="BU14" s="246">
        <f>VTR!BS16+PR!BS14</f>
        <v>0</v>
      </c>
      <c r="BV14" s="246">
        <f>VTR!BT16+PR!BT14</f>
        <v>0</v>
      </c>
      <c r="BW14" s="246">
        <f>VTR!BU16+PR!BU14</f>
        <v>0</v>
      </c>
      <c r="BX14" s="246">
        <f>VTR!BV16+PR!BV14</f>
        <v>47.5</v>
      </c>
      <c r="BY14" s="246">
        <f>VTR!BW16+PR!BW14</f>
        <v>43.1</v>
      </c>
      <c r="BZ14" s="246">
        <f>VTR!BX16+PR!BX14</f>
        <v>43.6</v>
      </c>
      <c r="CA14" s="246">
        <f>VTR!BY16+PR!BY14</f>
        <v>45.3</v>
      </c>
      <c r="CB14" s="246">
        <f>VTR!BZ16+PR!BZ14</f>
        <v>53.8</v>
      </c>
      <c r="CC14" s="246">
        <f>VTR!CA16+PR!CA14</f>
        <v>65.2</v>
      </c>
      <c r="CD14" s="246">
        <f>VTR!CB16+PR!CB14</f>
        <v>78.5</v>
      </c>
      <c r="CE14" s="246">
        <f>VTR!CC16+PR!CC14</f>
        <v>90.7</v>
      </c>
      <c r="CF14" s="246">
        <f>VTR!CD16+PR!CD14</f>
        <v>104.7</v>
      </c>
      <c r="CG14" s="91"/>
    </row>
    <row r="15" spans="1:85" hidden="1">
      <c r="A15" s="92" t="s">
        <v>567</v>
      </c>
      <c r="B15" s="246">
        <f>VTR!B17+PR!B15</f>
        <v>0</v>
      </c>
      <c r="C15" s="246">
        <f>VTR!C17+PR!C15</f>
        <v>0</v>
      </c>
      <c r="D15" s="246">
        <f>VTR!D17+PR!D15</f>
        <v>0</v>
      </c>
      <c r="E15" s="246">
        <f>VTR!E17+PR!E15</f>
        <v>0</v>
      </c>
      <c r="F15" s="246">
        <f>VTR!F17+PR!F15</f>
        <v>0</v>
      </c>
      <c r="G15" s="246">
        <f>VTR!G17+PR!G15</f>
        <v>0</v>
      </c>
      <c r="H15" s="246">
        <f>VTR!H17+PR!H15</f>
        <v>0</v>
      </c>
      <c r="I15" s="246">
        <f>VTR!I17+PR!I15</f>
        <v>0</v>
      </c>
      <c r="J15" s="246">
        <f>VTR!J17+PR!J15</f>
        <v>0</v>
      </c>
      <c r="K15" s="246">
        <f>VTR!K17+PR!K15</f>
        <v>0</v>
      </c>
      <c r="L15" s="246">
        <f>VTR!L17+PR!L15</f>
        <v>0</v>
      </c>
      <c r="M15" s="246">
        <f>VTR!M17+PR!M15</f>
        <v>0</v>
      </c>
      <c r="N15" s="246">
        <f>VTR!N17+PR!N15</f>
        <v>26</v>
      </c>
      <c r="O15" s="246">
        <f>VTR!O17+PR!O15</f>
        <v>19.8</v>
      </c>
      <c r="P15" s="246">
        <f>VTR!P17+PR!P15</f>
        <v>10.9</v>
      </c>
      <c r="Q15" s="246">
        <f>VTR!Q17+PR!Q15</f>
        <v>8</v>
      </c>
      <c r="R15" s="246">
        <f>VTR!R17+PR!R15</f>
        <v>0</v>
      </c>
      <c r="S15" s="246">
        <f>VTR!S17+PR!S15</f>
        <v>0</v>
      </c>
      <c r="T15" s="246">
        <f>VTR!T17+PR!T15</f>
        <v>0</v>
      </c>
      <c r="U15" s="246">
        <f>VTR!U17+PR!U15</f>
        <v>0</v>
      </c>
      <c r="V15" s="246">
        <f>VTR!V17+PR!V15</f>
        <v>0</v>
      </c>
      <c r="W15" s="246">
        <f>VTR!W17+PR!W15</f>
        <v>0</v>
      </c>
      <c r="X15" s="246">
        <f>VTR!X17+PR!X15</f>
        <v>0</v>
      </c>
      <c r="Y15" s="246">
        <f>VTR!Y17+PR!Y15</f>
        <v>0</v>
      </c>
      <c r="Z15" s="246">
        <f>VTR!Z17+PR!Z15</f>
        <v>0</v>
      </c>
      <c r="AA15" s="246"/>
      <c r="AB15" s="91"/>
      <c r="AC15" s="91"/>
      <c r="AD15" s="92" t="s">
        <v>567</v>
      </c>
      <c r="AE15" s="246">
        <f>VTR!AC17+PR!AC15</f>
        <v>0</v>
      </c>
      <c r="AF15" s="246">
        <f>VTR!AD17+PR!AD15</f>
        <v>0</v>
      </c>
      <c r="AG15" s="246">
        <f>VTR!AE17+PR!AE15</f>
        <v>0</v>
      </c>
      <c r="AH15" s="246">
        <f>VTR!AF17+PR!AF15</f>
        <v>0</v>
      </c>
      <c r="AI15" s="246">
        <f>VTR!AG17+PR!AG15</f>
        <v>0</v>
      </c>
      <c r="AJ15" s="246">
        <f>VTR!AH17+PR!AH15</f>
        <v>0</v>
      </c>
      <c r="AK15" s="246">
        <f>VTR!AI17+PR!AI15</f>
        <v>0</v>
      </c>
      <c r="AL15" s="246">
        <f>VTR!AJ17+PR!AJ15</f>
        <v>0</v>
      </c>
      <c r="AM15" s="246">
        <f>VTR!AK17+PR!AK15</f>
        <v>0</v>
      </c>
      <c r="AN15" s="246">
        <f>VTR!AL17+PR!AL15</f>
        <v>0</v>
      </c>
      <c r="AO15" s="246">
        <f>VTR!AM17+PR!AM15</f>
        <v>0</v>
      </c>
      <c r="AP15" s="246">
        <f>VTR!AN17+PR!AN15</f>
        <v>0</v>
      </c>
      <c r="AQ15" s="246">
        <f>VTR!AO17+PR!AO15</f>
        <v>0</v>
      </c>
      <c r="AR15" s="246">
        <f>VTR!AP17+PR!AP15</f>
        <v>0</v>
      </c>
      <c r="AS15" s="246">
        <f>VTR!AQ17+PR!AQ15</f>
        <v>0</v>
      </c>
      <c r="AT15" s="246">
        <f>VTR!AR17+PR!AR15</f>
        <v>0</v>
      </c>
      <c r="AU15" s="246">
        <f>VTR!AS17+PR!AS15</f>
        <v>0</v>
      </c>
      <c r="AV15" s="246">
        <f>VTR!AT17+PR!AT15</f>
        <v>0</v>
      </c>
      <c r="AW15" s="246">
        <f>VTR!AU17+PR!AU15</f>
        <v>0</v>
      </c>
      <c r="AX15" s="246">
        <f>VTR!AV17+PR!AV15</f>
        <v>0</v>
      </c>
      <c r="AY15" s="246">
        <f>VTR!AW17+PR!AW15</f>
        <v>0</v>
      </c>
      <c r="AZ15" s="246">
        <f>VTR!AX17+PR!AX15</f>
        <v>0</v>
      </c>
      <c r="BA15" s="246">
        <f>VTR!AY17+PR!AY15</f>
        <v>0</v>
      </c>
      <c r="BB15" s="246">
        <f>VTR!AZ17+PR!AZ15</f>
        <v>0</v>
      </c>
      <c r="BC15" s="246">
        <f>VTR!BA17+PR!BA15</f>
        <v>0</v>
      </c>
      <c r="BD15" s="246">
        <f>VTR!BB17+PR!BB15</f>
        <v>0</v>
      </c>
      <c r="BE15" s="246">
        <f>VTR!BC17+PR!BC15</f>
        <v>0</v>
      </c>
      <c r="BF15" s="246">
        <f>VTR!BD17+PR!BD15</f>
        <v>0</v>
      </c>
      <c r="BG15" s="246">
        <f>VTR!BE17+PR!BE15</f>
        <v>0</v>
      </c>
      <c r="BH15" s="246">
        <f>VTR!BF17+PR!BF15</f>
        <v>0</v>
      </c>
      <c r="BI15" s="246">
        <f>VTR!BG17+PR!BG15</f>
        <v>0</v>
      </c>
      <c r="BJ15" s="246">
        <f>VTR!BH17+PR!BH15</f>
        <v>0</v>
      </c>
      <c r="BK15" s="246">
        <f>VTR!BI17+PR!BI15</f>
        <v>0</v>
      </c>
      <c r="BL15" s="246">
        <f>VTR!BJ17+PR!BJ15</f>
        <v>0</v>
      </c>
      <c r="BM15" s="246">
        <f>VTR!BK17+PR!BK15</f>
        <v>0</v>
      </c>
      <c r="BN15" s="246">
        <f>VTR!BL17+PR!BL15</f>
        <v>0</v>
      </c>
      <c r="BO15" s="246">
        <f>VTR!BM17+PR!BM15</f>
        <v>0</v>
      </c>
      <c r="BP15" s="246">
        <f>VTR!BN17+PR!BN15</f>
        <v>0</v>
      </c>
      <c r="BQ15" s="246">
        <f>VTR!BO17+PR!BO15</f>
        <v>0</v>
      </c>
      <c r="BR15" s="246">
        <f>VTR!BP17+PR!BP15</f>
        <v>0</v>
      </c>
      <c r="BS15" s="246">
        <f>VTR!BQ17+PR!BQ15</f>
        <v>0</v>
      </c>
      <c r="BT15" s="246">
        <f>VTR!BR17+PR!BR15</f>
        <v>0</v>
      </c>
      <c r="BU15" s="246">
        <f>VTR!BS17+PR!BS15</f>
        <v>0</v>
      </c>
      <c r="BV15" s="246">
        <f>VTR!BT17+PR!BT15</f>
        <v>0</v>
      </c>
      <c r="BW15" s="246">
        <f>VTR!BU17+PR!BU15</f>
        <v>0</v>
      </c>
      <c r="BX15" s="246">
        <f>VTR!BV17+PR!BV15</f>
        <v>93.1</v>
      </c>
      <c r="BY15" s="246">
        <f>VTR!BW17+PR!BW15</f>
        <v>97</v>
      </c>
      <c r="BZ15" s="246">
        <f>VTR!BX17+PR!BX15</f>
        <v>36.299999999999997</v>
      </c>
      <c r="CA15" s="246">
        <f>VTR!BY17+PR!BY15</f>
        <v>26</v>
      </c>
      <c r="CB15" s="246">
        <f>VTR!BZ17+PR!BZ15</f>
        <v>29.2</v>
      </c>
      <c r="CC15" s="246">
        <f>VTR!CA17+PR!CA15</f>
        <v>24.5</v>
      </c>
      <c r="CD15" s="246">
        <f>VTR!CB17+PR!CB15</f>
        <v>22.2</v>
      </c>
      <c r="CE15" s="246">
        <f>VTR!CC17+PR!CC15</f>
        <v>19.8</v>
      </c>
      <c r="CF15" s="246">
        <f>VTR!CD17+PR!CD15</f>
        <v>12.8</v>
      </c>
      <c r="CG15" s="91"/>
    </row>
    <row r="16" spans="1:85" hidden="1">
      <c r="A16" s="92" t="s">
        <v>568</v>
      </c>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91"/>
      <c r="AC16" s="91"/>
      <c r="AD16" s="92" t="s">
        <v>568</v>
      </c>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91"/>
    </row>
    <row r="17" spans="1:94" hidden="1">
      <c r="A17" s="92" t="s">
        <v>569</v>
      </c>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91"/>
      <c r="AC17" s="91"/>
      <c r="AD17" s="92" t="s">
        <v>569</v>
      </c>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91"/>
    </row>
    <row r="18" spans="1:94" hidden="1">
      <c r="A18" s="92" t="s">
        <v>570</v>
      </c>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91"/>
      <c r="AC18" s="91"/>
      <c r="AD18" s="92" t="s">
        <v>570</v>
      </c>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91"/>
    </row>
    <row r="19" spans="1:94">
      <c r="A19" s="141"/>
      <c r="B19" s="144"/>
      <c r="C19" s="91"/>
      <c r="D19" s="91"/>
      <c r="E19" s="91"/>
      <c r="F19" s="91"/>
      <c r="G19" s="91"/>
      <c r="H19" s="91"/>
      <c r="I19" s="91"/>
      <c r="J19" s="91"/>
      <c r="K19" s="91"/>
      <c r="L19" s="91"/>
      <c r="M19" s="91"/>
      <c r="N19" s="91"/>
      <c r="O19" s="97"/>
      <c r="P19" s="97"/>
      <c r="Q19" s="97"/>
      <c r="R19" s="97"/>
      <c r="S19" s="97"/>
      <c r="T19" s="97"/>
      <c r="U19" s="97"/>
      <c r="V19" s="97"/>
      <c r="W19" s="97"/>
      <c r="X19" s="97"/>
      <c r="Y19" s="97"/>
      <c r="Z19" s="97"/>
      <c r="AA19" s="97"/>
      <c r="AB19" s="91"/>
      <c r="AC19" s="91"/>
      <c r="AD19" s="14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row>
    <row r="20" spans="1:94">
      <c r="A20" s="141" t="s">
        <v>571</v>
      </c>
      <c r="B20" s="265">
        <f>VTR!B23+PR!B20</f>
        <v>682.69999999999993</v>
      </c>
      <c r="C20" s="265">
        <f>VTR!C23+PR!C20</f>
        <v>790.9</v>
      </c>
      <c r="D20" s="265">
        <f>VTR!D23+PR!D20</f>
        <v>919.2</v>
      </c>
      <c r="E20" s="265">
        <f>VTR!E23+PR!E20</f>
        <v>1012.1000000000001</v>
      </c>
      <c r="F20" s="265">
        <f>VTR!F23+PR!F20</f>
        <v>1602</v>
      </c>
      <c r="G20" s="265">
        <f>VTR!G23+PR!G20</f>
        <v>1889.7</v>
      </c>
      <c r="H20" s="265">
        <f>VTR!H23+PR!H20</f>
        <v>2104.6</v>
      </c>
      <c r="I20" s="265">
        <f>VTR!I23+PR!I20</f>
        <v>2259.1999999999998</v>
      </c>
      <c r="J20" s="265">
        <f>VTR!J23+PR!J20</f>
        <v>2406.2999999999997</v>
      </c>
      <c r="K20" s="265">
        <f>VTR!K23+PR!K20</f>
        <v>2428.9</v>
      </c>
      <c r="L20" s="265">
        <f>VTR!L23+PR!L20</f>
        <v>2545.5</v>
      </c>
      <c r="M20" s="265">
        <f>VTR!M23+PR!M20</f>
        <v>2914.8999999999996</v>
      </c>
      <c r="N20" s="265">
        <f>VTR!N23+PR!N20</f>
        <v>3100.6000000000004</v>
      </c>
      <c r="O20" s="265">
        <f>VTR!O23+PR!O20</f>
        <v>3230.2000000000003</v>
      </c>
      <c r="P20" s="265">
        <f>VTR!P23+PR!P20</f>
        <v>3495.9</v>
      </c>
      <c r="Q20" s="265">
        <f>VTR!Q23+PR!Q20</f>
        <v>3594.6</v>
      </c>
      <c r="R20" s="265">
        <f ca="1">VTR!R23+PR!R20</f>
        <v>3702.2</v>
      </c>
      <c r="S20" s="265">
        <f ca="1">VTR!S23+PR!S20</f>
        <v>3781.1610000000001</v>
      </c>
      <c r="T20" s="265">
        <f ca="1">VTR!T23+PR!T20</f>
        <v>3850.5750899999994</v>
      </c>
      <c r="U20" s="265">
        <f ca="1">VTR!U23+PR!U20</f>
        <v>3920.4510705000002</v>
      </c>
      <c r="V20" s="265">
        <f ca="1">VTR!V23+PR!V20</f>
        <v>3990.797915397</v>
      </c>
      <c r="W20" s="265">
        <f ca="1">VTR!W23+PR!W20</f>
        <v>4061.6247754268102</v>
      </c>
      <c r="X20" s="265">
        <f ca="1">VTR!X23+PR!X20</f>
        <v>4132.9409816744346</v>
      </c>
      <c r="Y20" s="265">
        <f ca="1">VTR!Y23+PR!Y20</f>
        <v>4204.7560491544027</v>
      </c>
      <c r="Z20" s="265">
        <f ca="1">VTR!Z23+PR!Z20</f>
        <v>4277.0796804624351</v>
      </c>
      <c r="AA20" s="265"/>
      <c r="AB20" s="97"/>
      <c r="AC20" s="97"/>
      <c r="AD20" s="228" t="str">
        <f>+A20</f>
        <v>Fixed RGUs</v>
      </c>
      <c r="AE20" s="265">
        <f t="shared" ref="AE20:CF20" si="2">+AE10+AE11+AE12</f>
        <v>682.7</v>
      </c>
      <c r="AF20" s="265">
        <f t="shared" si="2"/>
        <v>691</v>
      </c>
      <c r="AG20" s="265">
        <f t="shared" si="2"/>
        <v>730.3</v>
      </c>
      <c r="AH20" s="265">
        <f t="shared" si="2"/>
        <v>762.3</v>
      </c>
      <c r="AI20" s="265">
        <f t="shared" si="2"/>
        <v>790.9</v>
      </c>
      <c r="AJ20" s="265">
        <f t="shared" si="2"/>
        <v>811.3</v>
      </c>
      <c r="AK20" s="265">
        <f t="shared" si="2"/>
        <v>847.3</v>
      </c>
      <c r="AL20" s="265">
        <f t="shared" si="2"/>
        <v>884.8</v>
      </c>
      <c r="AM20" s="265">
        <f t="shared" si="2"/>
        <v>919.2</v>
      </c>
      <c r="AN20" s="265">
        <f t="shared" si="2"/>
        <v>939.8</v>
      </c>
      <c r="AO20" s="265">
        <f t="shared" si="2"/>
        <v>970.1</v>
      </c>
      <c r="AP20" s="265">
        <f t="shared" si="2"/>
        <v>999.19999999999982</v>
      </c>
      <c r="AQ20" s="265">
        <f t="shared" si="2"/>
        <v>1012.1</v>
      </c>
      <c r="AR20" s="265">
        <f t="shared" si="2"/>
        <v>1034.7</v>
      </c>
      <c r="AS20" s="265">
        <f t="shared" si="2"/>
        <v>1345</v>
      </c>
      <c r="AT20" s="265">
        <f t="shared" si="2"/>
        <v>1538.9</v>
      </c>
      <c r="AU20" s="265">
        <f t="shared" si="2"/>
        <v>1602</v>
      </c>
      <c r="AV20" s="265">
        <f t="shared" si="2"/>
        <v>1679.1</v>
      </c>
      <c r="AW20" s="265">
        <f t="shared" si="2"/>
        <v>1773.7</v>
      </c>
      <c r="AX20" s="265">
        <f t="shared" si="2"/>
        <v>1845.1</v>
      </c>
      <c r="AY20" s="265">
        <f t="shared" si="2"/>
        <v>1889.7</v>
      </c>
      <c r="AZ20" s="265">
        <f t="shared" si="2"/>
        <v>1933.3000000000002</v>
      </c>
      <c r="BA20" s="265">
        <f t="shared" si="2"/>
        <v>1995.9</v>
      </c>
      <c r="BB20" s="265">
        <f t="shared" si="2"/>
        <v>2065.6</v>
      </c>
      <c r="BC20" s="265">
        <f t="shared" si="2"/>
        <v>2104.6</v>
      </c>
      <c r="BD20" s="265">
        <f t="shared" si="2"/>
        <v>2133.6000000000004</v>
      </c>
      <c r="BE20" s="265">
        <f t="shared" si="2"/>
        <v>2186</v>
      </c>
      <c r="BF20" s="265">
        <f t="shared" si="2"/>
        <v>2222.5</v>
      </c>
      <c r="BG20" s="265">
        <f t="shared" si="2"/>
        <v>2259.2000000000003</v>
      </c>
      <c r="BH20" s="265">
        <f t="shared" si="2"/>
        <v>2302.6</v>
      </c>
      <c r="BI20" s="265">
        <f t="shared" si="2"/>
        <v>2340</v>
      </c>
      <c r="BJ20" s="265">
        <f t="shared" si="2"/>
        <v>2378.5</v>
      </c>
      <c r="BK20" s="265">
        <f t="shared" si="2"/>
        <v>2406.2999999999997</v>
      </c>
      <c r="BL20" s="265">
        <f t="shared" si="2"/>
        <v>2381.9</v>
      </c>
      <c r="BM20" s="265">
        <f t="shared" si="2"/>
        <v>2407.8000000000002</v>
      </c>
      <c r="BN20" s="265">
        <f t="shared" si="2"/>
        <v>2412.3000000000002</v>
      </c>
      <c r="BO20" s="265">
        <f t="shared" si="2"/>
        <v>2428.9</v>
      </c>
      <c r="BP20" s="265">
        <f t="shared" si="2"/>
        <v>2455.8000000000002</v>
      </c>
      <c r="BQ20" s="265">
        <f t="shared" si="2"/>
        <v>2506.6999999999998</v>
      </c>
      <c r="BR20" s="265">
        <f t="shared" si="2"/>
        <v>2536.2999999999997</v>
      </c>
      <c r="BS20" s="265">
        <f t="shared" si="2"/>
        <v>2545.5</v>
      </c>
      <c r="BT20" s="265">
        <f t="shared" si="2"/>
        <v>2578.7999999999997</v>
      </c>
      <c r="BU20" s="265">
        <f t="shared" si="2"/>
        <v>2624.6</v>
      </c>
      <c r="BV20" s="265">
        <f t="shared" si="2"/>
        <v>2643.7</v>
      </c>
      <c r="BW20" s="265">
        <f t="shared" si="2"/>
        <v>2914.9</v>
      </c>
      <c r="BX20" s="265">
        <f t="shared" si="2"/>
        <v>2977.6</v>
      </c>
      <c r="BY20" s="265">
        <f t="shared" si="2"/>
        <v>3035.3</v>
      </c>
      <c r="BZ20" s="265">
        <f t="shared" si="2"/>
        <v>3077.5999999999995</v>
      </c>
      <c r="CA20" s="265">
        <f t="shared" si="2"/>
        <v>3100.6000000000004</v>
      </c>
      <c r="CB20" s="265">
        <f t="shared" si="2"/>
        <v>3149.6000000000004</v>
      </c>
      <c r="CC20" s="265">
        <f t="shared" si="2"/>
        <v>3199.7</v>
      </c>
      <c r="CD20" s="265">
        <f t="shared" si="2"/>
        <v>3224.4</v>
      </c>
      <c r="CE20" s="265">
        <f t="shared" si="2"/>
        <v>3230.2</v>
      </c>
      <c r="CF20" s="265">
        <f t="shared" si="2"/>
        <v>3265.7999999999997</v>
      </c>
      <c r="CG20" s="91"/>
    </row>
    <row r="21" spans="1:94">
      <c r="A21" s="141" t="s">
        <v>572</v>
      </c>
      <c r="B21" s="97"/>
      <c r="C21" s="97"/>
      <c r="D21" s="97"/>
      <c r="E21" s="97">
        <f t="shared" ref="E21:Z21" si="3">+E20/E6</f>
        <v>1.5212686006312945</v>
      </c>
      <c r="F21" s="97">
        <f t="shared" si="3"/>
        <v>1.5371329879101898</v>
      </c>
      <c r="G21" s="97">
        <f t="shared" si="3"/>
        <v>1.724965769055226</v>
      </c>
      <c r="H21" s="97">
        <f t="shared" si="3"/>
        <v>1.9006592612661428</v>
      </c>
      <c r="I21" s="97">
        <f t="shared" si="3"/>
        <v>1.9650343567887276</v>
      </c>
      <c r="J21" s="97">
        <f t="shared" si="3"/>
        <v>2.0378556910569103</v>
      </c>
      <c r="K21" s="97">
        <f t="shared" si="3"/>
        <v>2.0422937862608257</v>
      </c>
      <c r="L21" s="97">
        <f t="shared" si="3"/>
        <v>2.0806768023540956</v>
      </c>
      <c r="M21" s="97">
        <f t="shared" si="3"/>
        <v>2.0597088750706609</v>
      </c>
      <c r="N21" s="97">
        <f t="shared" si="3"/>
        <v>2.1055276381909551</v>
      </c>
      <c r="O21" s="97">
        <f t="shared" si="3"/>
        <v>2.1436060787046256</v>
      </c>
      <c r="P21" s="97">
        <f t="shared" si="3"/>
        <v>2.1005227422940576</v>
      </c>
      <c r="Q21" s="97">
        <f t="shared" si="3"/>
        <v>2.0746854438416249</v>
      </c>
      <c r="R21" s="97">
        <f t="shared" ca="1" si="3"/>
        <v>2.0447365514194189</v>
      </c>
      <c r="S21" s="97">
        <f t="shared" ca="1" si="3"/>
        <v>2.0168203442156631</v>
      </c>
      <c r="T21" s="97">
        <f t="shared" ca="1" si="3"/>
        <v>2.0274432216528671</v>
      </c>
      <c r="U21" s="97">
        <f t="shared" ca="1" si="3"/>
        <v>2.0375473282110748</v>
      </c>
      <c r="V21" s="97">
        <f t="shared" ca="1" si="3"/>
        <v>2.0471405209629534</v>
      </c>
      <c r="W21" s="97">
        <f t="shared" ca="1" si="3"/>
        <v>2.0562307145788168</v>
      </c>
      <c r="X21" s="97">
        <f t="shared" ca="1" si="3"/>
        <v>2.0648258759465761</v>
      </c>
      <c r="Y21" s="97">
        <f t="shared" ca="1" si="3"/>
        <v>2.0729340188268672</v>
      </c>
      <c r="Z21" s="97">
        <f t="shared" ca="1" si="3"/>
        <v>2.0805631985494859</v>
      </c>
      <c r="AA21" s="97"/>
      <c r="AB21" s="97"/>
      <c r="AC21" s="97"/>
      <c r="AD21" s="228" t="str">
        <f>+A21</f>
        <v>Fixed RGUs per customer</v>
      </c>
      <c r="AE21" s="97" t="e">
        <f t="shared" ref="AE21:CF21" si="4">+AE20/AE6</f>
        <v>#DIV/0!</v>
      </c>
      <c r="AF21" s="97" t="e">
        <f t="shared" si="4"/>
        <v>#DIV/0!</v>
      </c>
      <c r="AG21" s="97" t="e">
        <f t="shared" si="4"/>
        <v>#DIV/0!</v>
      </c>
      <c r="AH21" s="97" t="e">
        <f t="shared" si="4"/>
        <v>#DIV/0!</v>
      </c>
      <c r="AI21" s="97" t="e">
        <f t="shared" si="4"/>
        <v>#DIV/0!</v>
      </c>
      <c r="AJ21" s="97" t="e">
        <f t="shared" si="4"/>
        <v>#DIV/0!</v>
      </c>
      <c r="AK21" s="97" t="e">
        <f t="shared" si="4"/>
        <v>#DIV/0!</v>
      </c>
      <c r="AL21" s="97" t="e">
        <f t="shared" si="4"/>
        <v>#DIV/0!</v>
      </c>
      <c r="AM21" s="97" t="e">
        <f t="shared" si="4"/>
        <v>#DIV/0!</v>
      </c>
      <c r="AN21" s="97" t="e">
        <f t="shared" si="4"/>
        <v>#DIV/0!</v>
      </c>
      <c r="AO21" s="97" t="e">
        <f t="shared" si="4"/>
        <v>#DIV/0!</v>
      </c>
      <c r="AP21" s="97" t="e">
        <f t="shared" si="4"/>
        <v>#DIV/0!</v>
      </c>
      <c r="AQ21" s="97">
        <f t="shared" si="4"/>
        <v>1.5212686006312943</v>
      </c>
      <c r="AR21" s="97">
        <f t="shared" si="4"/>
        <v>1.5265565063440545</v>
      </c>
      <c r="AS21" s="97">
        <f t="shared" si="4"/>
        <v>1.4791597932475529</v>
      </c>
      <c r="AT21" s="97">
        <f t="shared" si="4"/>
        <v>1.4790004805382029</v>
      </c>
      <c r="AU21" s="97">
        <f t="shared" si="4"/>
        <v>1.5371329879101898</v>
      </c>
      <c r="AV21" s="97">
        <f t="shared" si="4"/>
        <v>1.590960773166572</v>
      </c>
      <c r="AW21" s="97">
        <f t="shared" si="4"/>
        <v>1.6432277191032054</v>
      </c>
      <c r="AX21" s="97">
        <f t="shared" si="4"/>
        <v>1.696331709110968</v>
      </c>
      <c r="AY21" s="97">
        <f t="shared" si="4"/>
        <v>1.724965769055226</v>
      </c>
      <c r="AZ21" s="97">
        <f t="shared" si="4"/>
        <v>1.7567469332121763</v>
      </c>
      <c r="BA21" s="97">
        <f t="shared" si="4"/>
        <v>1.7921343270180479</v>
      </c>
      <c r="BB21" s="97">
        <f t="shared" si="4"/>
        <v>1.8347841534908509</v>
      </c>
      <c r="BC21" s="97">
        <f t="shared" si="4"/>
        <v>1.9006592612661428</v>
      </c>
      <c r="BD21" s="97">
        <f t="shared" si="4"/>
        <v>1.9063616869192284</v>
      </c>
      <c r="BE21" s="97">
        <f t="shared" si="4"/>
        <v>1.9276895943562611</v>
      </c>
      <c r="BF21" s="97">
        <f t="shared" si="4"/>
        <v>1.9374945514776394</v>
      </c>
      <c r="BG21" s="97">
        <f t="shared" si="4"/>
        <v>1.9650343567887281</v>
      </c>
      <c r="BH21" s="97">
        <f t="shared" si="4"/>
        <v>1.9904910096818811</v>
      </c>
      <c r="BI21" s="97">
        <f t="shared" si="4"/>
        <v>2.0044543429844102</v>
      </c>
      <c r="BJ21" s="97">
        <f t="shared" si="4"/>
        <v>2.0156779661016948</v>
      </c>
      <c r="BK21" s="97">
        <f t="shared" si="4"/>
        <v>2.0378556910569103</v>
      </c>
      <c r="BL21" s="97">
        <f t="shared" si="4"/>
        <v>2.0261143246002038</v>
      </c>
      <c r="BM21" s="97">
        <f t="shared" si="4"/>
        <v>2.0254037685060569</v>
      </c>
      <c r="BN21" s="97">
        <f t="shared" si="4"/>
        <v>2.027654030427839</v>
      </c>
      <c r="BO21" s="97">
        <f t="shared" si="4"/>
        <v>2.0422937862608257</v>
      </c>
      <c r="BP21" s="97">
        <f t="shared" si="4"/>
        <v>2.0524864187212706</v>
      </c>
      <c r="BQ21" s="97">
        <f t="shared" si="4"/>
        <v>2.0689171343677781</v>
      </c>
      <c r="BR21" s="97">
        <f t="shared" si="4"/>
        <v>2.0765514982806614</v>
      </c>
      <c r="BS21" s="97">
        <f t="shared" si="4"/>
        <v>2.0806768023540956</v>
      </c>
      <c r="BT21" s="97">
        <f t="shared" si="4"/>
        <v>2.0938616433907109</v>
      </c>
      <c r="BU21" s="97">
        <f t="shared" si="4"/>
        <v>2.1086205511368203</v>
      </c>
      <c r="BV21" s="97">
        <f t="shared" si="4"/>
        <v>2.1078775314941796</v>
      </c>
      <c r="BW21" s="97">
        <f t="shared" si="4"/>
        <v>2.0597088750706614</v>
      </c>
      <c r="BX21" s="97">
        <f t="shared" si="4"/>
        <v>2.0661994309902156</v>
      </c>
      <c r="BY21" s="97">
        <f t="shared" si="4"/>
        <v>2.0861168384879725</v>
      </c>
      <c r="BZ21" s="97">
        <f t="shared" si="4"/>
        <v>2.101037684325505</v>
      </c>
      <c r="CA21" s="97">
        <f t="shared" si="4"/>
        <v>2.1055276381909551</v>
      </c>
      <c r="CB21" s="97">
        <f t="shared" si="4"/>
        <v>2.1200861604738828</v>
      </c>
      <c r="CC21" s="97">
        <f t="shared" si="4"/>
        <v>2.1325646494268193</v>
      </c>
      <c r="CD21" s="97">
        <f t="shared" si="4"/>
        <v>2.137204215549811</v>
      </c>
      <c r="CE21" s="97">
        <f t="shared" si="4"/>
        <v>2.1436060787046252</v>
      </c>
      <c r="CF21" s="97">
        <f t="shared" si="4"/>
        <v>2.1469988823877455</v>
      </c>
      <c r="CG21" s="91"/>
    </row>
    <row r="22" spans="1:94">
      <c r="A22" s="141" t="s">
        <v>573</v>
      </c>
      <c r="B22" s="265">
        <f>VTR!B25+PR!B22</f>
        <v>682.69999999999993</v>
      </c>
      <c r="C22" s="265">
        <f>VTR!C25+PR!C22</f>
        <v>790.9</v>
      </c>
      <c r="D22" s="265">
        <f>VTR!D25+PR!D22</f>
        <v>919.2</v>
      </c>
      <c r="E22" s="265">
        <f>VTR!E25+PR!E22</f>
        <v>1012.1000000000001</v>
      </c>
      <c r="F22" s="265">
        <f>VTR!F25+PR!F22</f>
        <v>1602</v>
      </c>
      <c r="G22" s="265">
        <f>VTR!G25+PR!G22</f>
        <v>1889.7</v>
      </c>
      <c r="H22" s="265">
        <f>VTR!H25+PR!H22</f>
        <v>2104.6</v>
      </c>
      <c r="I22" s="265">
        <f>VTR!I25+PR!I22</f>
        <v>2259.1999999999998</v>
      </c>
      <c r="J22" s="265">
        <f>VTR!J25+PR!J22</f>
        <v>2406.2999999999997</v>
      </c>
      <c r="K22" s="265">
        <f>VTR!K25+PR!K22</f>
        <v>2428.9</v>
      </c>
      <c r="L22" s="265">
        <f>VTR!L25+PR!L22</f>
        <v>2545.5</v>
      </c>
      <c r="M22" s="265">
        <f>VTR!M25+PR!M22</f>
        <v>2954.8999999999996</v>
      </c>
      <c r="N22" s="265">
        <f>VTR!N25+PR!N22</f>
        <v>3171.9000000000005</v>
      </c>
      <c r="O22" s="265">
        <f>VTR!O25+PR!O22</f>
        <v>3340.7000000000003</v>
      </c>
      <c r="P22" s="265">
        <f>VTR!P25+PR!P22</f>
        <v>3627.9</v>
      </c>
      <c r="Q22" s="265">
        <f>VTR!Q25+PR!Q22</f>
        <v>3760.7999999999997</v>
      </c>
      <c r="R22" s="265">
        <f ca="1">VTR!R25+PR!R22</f>
        <v>3917.1</v>
      </c>
      <c r="S22" s="265">
        <f ca="1">VTR!S25+PR!S22</f>
        <v>4026.0609999999997</v>
      </c>
      <c r="T22" s="265">
        <f ca="1">VTR!T25+PR!T22</f>
        <v>4125.4750899999999</v>
      </c>
      <c r="U22" s="265">
        <f ca="1">VTR!U25+PR!U22</f>
        <v>4225.3510705000008</v>
      </c>
      <c r="V22" s="265">
        <f ca="1">VTR!V25+PR!V22</f>
        <v>4325.6979153969996</v>
      </c>
      <c r="W22" s="265">
        <f ca="1">VTR!W25+PR!W22</f>
        <v>4426.5247754268103</v>
      </c>
      <c r="X22" s="265">
        <f ca="1">VTR!X25+PR!X22</f>
        <v>4527.8409816744352</v>
      </c>
      <c r="Y22" s="265">
        <f ca="1">VTR!Y25+PR!Y22</f>
        <v>4629.6560491544033</v>
      </c>
      <c r="Z22" s="265">
        <f ca="1">VTR!Z25+PR!Z22</f>
        <v>4731.9796804624357</v>
      </c>
      <c r="AA22" s="265"/>
      <c r="AB22" s="97"/>
      <c r="AC22" s="97"/>
      <c r="AD22" s="228" t="str">
        <f>+A22</f>
        <v>Total RGUs</v>
      </c>
      <c r="AE22" s="265">
        <f t="shared" ref="AE22:CF22" si="5">+AE20+AE13</f>
        <v>682.7</v>
      </c>
      <c r="AF22" s="265">
        <f t="shared" si="5"/>
        <v>691</v>
      </c>
      <c r="AG22" s="265">
        <f t="shared" si="5"/>
        <v>730.3</v>
      </c>
      <c r="AH22" s="265">
        <f t="shared" si="5"/>
        <v>762.3</v>
      </c>
      <c r="AI22" s="265">
        <f t="shared" si="5"/>
        <v>790.9</v>
      </c>
      <c r="AJ22" s="265">
        <f t="shared" si="5"/>
        <v>811.3</v>
      </c>
      <c r="AK22" s="265">
        <f t="shared" si="5"/>
        <v>847.3</v>
      </c>
      <c r="AL22" s="265">
        <f t="shared" si="5"/>
        <v>884.8</v>
      </c>
      <c r="AM22" s="265">
        <f t="shared" si="5"/>
        <v>919.2</v>
      </c>
      <c r="AN22" s="265">
        <f t="shared" si="5"/>
        <v>939.8</v>
      </c>
      <c r="AO22" s="265">
        <f t="shared" si="5"/>
        <v>970.1</v>
      </c>
      <c r="AP22" s="265">
        <f t="shared" si="5"/>
        <v>999.19999999999982</v>
      </c>
      <c r="AQ22" s="265">
        <f t="shared" si="5"/>
        <v>1012.1</v>
      </c>
      <c r="AR22" s="265">
        <f t="shared" si="5"/>
        <v>1034.7</v>
      </c>
      <c r="AS22" s="265">
        <f t="shared" si="5"/>
        <v>1345</v>
      </c>
      <c r="AT22" s="265">
        <f t="shared" si="5"/>
        <v>1538.9</v>
      </c>
      <c r="AU22" s="265">
        <f t="shared" si="5"/>
        <v>1602</v>
      </c>
      <c r="AV22" s="265">
        <f t="shared" si="5"/>
        <v>1679.1</v>
      </c>
      <c r="AW22" s="265">
        <f t="shared" si="5"/>
        <v>1773.7</v>
      </c>
      <c r="AX22" s="265">
        <f t="shared" si="5"/>
        <v>1845.1</v>
      </c>
      <c r="AY22" s="265">
        <f t="shared" si="5"/>
        <v>1889.7</v>
      </c>
      <c r="AZ22" s="265">
        <f t="shared" si="5"/>
        <v>1933.3000000000002</v>
      </c>
      <c r="BA22" s="265">
        <f t="shared" si="5"/>
        <v>1995.9</v>
      </c>
      <c r="BB22" s="265">
        <f t="shared" si="5"/>
        <v>2065.6</v>
      </c>
      <c r="BC22" s="265">
        <f t="shared" si="5"/>
        <v>2104.6</v>
      </c>
      <c r="BD22" s="265">
        <f t="shared" si="5"/>
        <v>2133.6000000000004</v>
      </c>
      <c r="BE22" s="265">
        <f t="shared" si="5"/>
        <v>2186</v>
      </c>
      <c r="BF22" s="265">
        <f t="shared" si="5"/>
        <v>2222.5</v>
      </c>
      <c r="BG22" s="265">
        <f t="shared" si="5"/>
        <v>2259.2000000000003</v>
      </c>
      <c r="BH22" s="265">
        <f t="shared" si="5"/>
        <v>2302.6</v>
      </c>
      <c r="BI22" s="265">
        <f t="shared" si="5"/>
        <v>2340</v>
      </c>
      <c r="BJ22" s="265">
        <f t="shared" si="5"/>
        <v>2378.5</v>
      </c>
      <c r="BK22" s="265">
        <f t="shared" si="5"/>
        <v>2406.2999999999997</v>
      </c>
      <c r="BL22" s="265">
        <f t="shared" si="5"/>
        <v>2381.9</v>
      </c>
      <c r="BM22" s="265">
        <f t="shared" si="5"/>
        <v>2407.8000000000002</v>
      </c>
      <c r="BN22" s="265">
        <f t="shared" si="5"/>
        <v>2412.3000000000002</v>
      </c>
      <c r="BO22" s="265">
        <f t="shared" si="5"/>
        <v>2428.9</v>
      </c>
      <c r="BP22" s="265">
        <f t="shared" si="5"/>
        <v>2455.8000000000002</v>
      </c>
      <c r="BQ22" s="265">
        <f t="shared" si="5"/>
        <v>2506.6999999999998</v>
      </c>
      <c r="BR22" s="265">
        <f t="shared" si="5"/>
        <v>2536.2999999999997</v>
      </c>
      <c r="BS22" s="265">
        <f t="shared" si="5"/>
        <v>2545.5</v>
      </c>
      <c r="BT22" s="265">
        <f t="shared" si="5"/>
        <v>2578.7999999999997</v>
      </c>
      <c r="BU22" s="265">
        <f t="shared" si="5"/>
        <v>2624.6</v>
      </c>
      <c r="BV22" s="265">
        <f t="shared" si="5"/>
        <v>2643.7</v>
      </c>
      <c r="BW22" s="265">
        <f t="shared" si="5"/>
        <v>2914.9</v>
      </c>
      <c r="BX22" s="265">
        <f t="shared" si="5"/>
        <v>3025.1</v>
      </c>
      <c r="BY22" s="265">
        <f t="shared" si="5"/>
        <v>3175.4</v>
      </c>
      <c r="BZ22" s="265">
        <f t="shared" si="5"/>
        <v>3157.4999999999995</v>
      </c>
      <c r="CA22" s="265">
        <f t="shared" si="5"/>
        <v>3171.9000000000005</v>
      </c>
      <c r="CB22" s="265">
        <f t="shared" si="5"/>
        <v>3232.6000000000004</v>
      </c>
      <c r="CC22" s="265">
        <f t="shared" si="5"/>
        <v>3289.3999999999996</v>
      </c>
      <c r="CD22" s="265">
        <f t="shared" si="5"/>
        <v>3325.1</v>
      </c>
      <c r="CE22" s="265">
        <f t="shared" si="5"/>
        <v>3340.7</v>
      </c>
      <c r="CF22" s="265">
        <f t="shared" si="5"/>
        <v>3383.2999999999997</v>
      </c>
      <c r="CG22" s="91"/>
    </row>
    <row r="23" spans="1:94">
      <c r="A23" s="141" t="s">
        <v>574</v>
      </c>
      <c r="B23" s="97"/>
      <c r="C23" s="97"/>
      <c r="D23" s="97"/>
      <c r="E23" s="97">
        <f t="shared" ref="E23:Z23" si="6">+E22/E6</f>
        <v>1.5212686006312945</v>
      </c>
      <c r="F23" s="97">
        <f t="shared" si="6"/>
        <v>1.5371329879101898</v>
      </c>
      <c r="G23" s="97">
        <f t="shared" si="6"/>
        <v>1.724965769055226</v>
      </c>
      <c r="H23" s="97">
        <f t="shared" si="6"/>
        <v>1.9006592612661428</v>
      </c>
      <c r="I23" s="97">
        <f t="shared" si="6"/>
        <v>1.9650343567887276</v>
      </c>
      <c r="J23" s="97">
        <f t="shared" si="6"/>
        <v>2.0378556910569103</v>
      </c>
      <c r="K23" s="97">
        <f t="shared" si="6"/>
        <v>2.0422937862608257</v>
      </c>
      <c r="L23" s="97">
        <f t="shared" si="6"/>
        <v>2.0806768023540956</v>
      </c>
      <c r="M23" s="97">
        <f t="shared" si="6"/>
        <v>2.0879734313171281</v>
      </c>
      <c r="N23" s="97">
        <f t="shared" si="6"/>
        <v>2.1539454026891218</v>
      </c>
      <c r="O23" s="97">
        <f t="shared" si="6"/>
        <v>2.2169354303537063</v>
      </c>
      <c r="P23" s="97">
        <f t="shared" si="6"/>
        <v>2.1798353662200323</v>
      </c>
      <c r="Q23" s="97">
        <f t="shared" si="6"/>
        <v>2.1706106429643306</v>
      </c>
      <c r="R23" s="97">
        <f t="shared" ca="1" si="6"/>
        <v>2.163426488456865</v>
      </c>
      <c r="S23" s="97">
        <f t="shared" ca="1" si="6"/>
        <v>2.1474467053514132</v>
      </c>
      <c r="T23" s="97">
        <f t="shared" ca="1" si="6"/>
        <v>2.1721863129068995</v>
      </c>
      <c r="U23" s="97">
        <f t="shared" ca="1" si="6"/>
        <v>2.196010772646392</v>
      </c>
      <c r="V23" s="97">
        <f t="shared" ca="1" si="6"/>
        <v>2.2189325723282729</v>
      </c>
      <c r="W23" s="97">
        <f t="shared" ca="1" si="6"/>
        <v>2.2409643197826514</v>
      </c>
      <c r="X23" s="97">
        <f t="shared" ca="1" si="6"/>
        <v>2.2621187339928941</v>
      </c>
      <c r="Y23" s="97">
        <f t="shared" ca="1" si="6"/>
        <v>2.2824086362132121</v>
      </c>
      <c r="Z23" s="97">
        <f t="shared" ca="1" si="6"/>
        <v>2.3018469411328915</v>
      </c>
      <c r="AA23" s="97"/>
      <c r="AB23" s="97"/>
      <c r="AC23" s="97"/>
      <c r="AD23" s="228" t="str">
        <f>+A23</f>
        <v>Total RGUs per customer</v>
      </c>
      <c r="AE23" s="97" t="e">
        <f t="shared" ref="AE23:CF23" si="7">+AE22/AE6</f>
        <v>#DIV/0!</v>
      </c>
      <c r="AF23" s="97" t="e">
        <f t="shared" si="7"/>
        <v>#DIV/0!</v>
      </c>
      <c r="AG23" s="97" t="e">
        <f t="shared" si="7"/>
        <v>#DIV/0!</v>
      </c>
      <c r="AH23" s="97" t="e">
        <f t="shared" si="7"/>
        <v>#DIV/0!</v>
      </c>
      <c r="AI23" s="97" t="e">
        <f t="shared" si="7"/>
        <v>#DIV/0!</v>
      </c>
      <c r="AJ23" s="97" t="e">
        <f t="shared" si="7"/>
        <v>#DIV/0!</v>
      </c>
      <c r="AK23" s="97" t="e">
        <f t="shared" si="7"/>
        <v>#DIV/0!</v>
      </c>
      <c r="AL23" s="97" t="e">
        <f t="shared" si="7"/>
        <v>#DIV/0!</v>
      </c>
      <c r="AM23" s="97" t="e">
        <f t="shared" si="7"/>
        <v>#DIV/0!</v>
      </c>
      <c r="AN23" s="97" t="e">
        <f t="shared" si="7"/>
        <v>#DIV/0!</v>
      </c>
      <c r="AO23" s="97" t="e">
        <f t="shared" si="7"/>
        <v>#DIV/0!</v>
      </c>
      <c r="AP23" s="97" t="e">
        <f t="shared" si="7"/>
        <v>#DIV/0!</v>
      </c>
      <c r="AQ23" s="97">
        <f t="shared" si="7"/>
        <v>1.5212686006312943</v>
      </c>
      <c r="AR23" s="97">
        <f t="shared" si="7"/>
        <v>1.5265565063440545</v>
      </c>
      <c r="AS23" s="97">
        <f t="shared" si="7"/>
        <v>1.4791597932475529</v>
      </c>
      <c r="AT23" s="97">
        <f t="shared" si="7"/>
        <v>1.4790004805382029</v>
      </c>
      <c r="AU23" s="97">
        <f t="shared" si="7"/>
        <v>1.5371329879101898</v>
      </c>
      <c r="AV23" s="97">
        <f t="shared" si="7"/>
        <v>1.590960773166572</v>
      </c>
      <c r="AW23" s="97">
        <f t="shared" si="7"/>
        <v>1.6432277191032054</v>
      </c>
      <c r="AX23" s="97">
        <f t="shared" si="7"/>
        <v>1.696331709110968</v>
      </c>
      <c r="AY23" s="97">
        <f t="shared" si="7"/>
        <v>1.724965769055226</v>
      </c>
      <c r="AZ23" s="97">
        <f t="shared" si="7"/>
        <v>1.7567469332121763</v>
      </c>
      <c r="BA23" s="97">
        <f t="shared" si="7"/>
        <v>1.7921343270180479</v>
      </c>
      <c r="BB23" s="97">
        <f t="shared" si="7"/>
        <v>1.8347841534908509</v>
      </c>
      <c r="BC23" s="97">
        <f t="shared" si="7"/>
        <v>1.9006592612661428</v>
      </c>
      <c r="BD23" s="97">
        <f t="shared" si="7"/>
        <v>1.9063616869192284</v>
      </c>
      <c r="BE23" s="97">
        <f t="shared" si="7"/>
        <v>1.9276895943562611</v>
      </c>
      <c r="BF23" s="97">
        <f t="shared" si="7"/>
        <v>1.9374945514776394</v>
      </c>
      <c r="BG23" s="97">
        <f t="shared" si="7"/>
        <v>1.9650343567887281</v>
      </c>
      <c r="BH23" s="97">
        <f t="shared" si="7"/>
        <v>1.9904910096818811</v>
      </c>
      <c r="BI23" s="97">
        <f t="shared" si="7"/>
        <v>2.0044543429844102</v>
      </c>
      <c r="BJ23" s="97">
        <f t="shared" si="7"/>
        <v>2.0156779661016948</v>
      </c>
      <c r="BK23" s="97">
        <f t="shared" si="7"/>
        <v>2.0378556910569103</v>
      </c>
      <c r="BL23" s="97">
        <f t="shared" si="7"/>
        <v>2.0261143246002038</v>
      </c>
      <c r="BM23" s="97">
        <f t="shared" si="7"/>
        <v>2.0254037685060569</v>
      </c>
      <c r="BN23" s="97">
        <f t="shared" si="7"/>
        <v>2.027654030427839</v>
      </c>
      <c r="BO23" s="97">
        <f t="shared" si="7"/>
        <v>2.0422937862608257</v>
      </c>
      <c r="BP23" s="97">
        <f t="shared" si="7"/>
        <v>2.0524864187212706</v>
      </c>
      <c r="BQ23" s="97">
        <f t="shared" si="7"/>
        <v>2.0689171343677781</v>
      </c>
      <c r="BR23" s="97">
        <f t="shared" si="7"/>
        <v>2.0765514982806614</v>
      </c>
      <c r="BS23" s="97">
        <f t="shared" si="7"/>
        <v>2.0806768023540956</v>
      </c>
      <c r="BT23" s="97">
        <f t="shared" si="7"/>
        <v>2.0938616433907109</v>
      </c>
      <c r="BU23" s="97">
        <f t="shared" si="7"/>
        <v>2.1086205511368203</v>
      </c>
      <c r="BV23" s="97">
        <f t="shared" si="7"/>
        <v>2.1078775314941796</v>
      </c>
      <c r="BW23" s="97">
        <f t="shared" si="7"/>
        <v>2.0597088750706614</v>
      </c>
      <c r="BX23" s="97">
        <f t="shared" si="7"/>
        <v>2.09916036361113</v>
      </c>
      <c r="BY23" s="97">
        <f t="shared" si="7"/>
        <v>2.1824054982817871</v>
      </c>
      <c r="BZ23" s="97">
        <f t="shared" si="7"/>
        <v>2.1555843801201529</v>
      </c>
      <c r="CA23" s="97">
        <f t="shared" si="7"/>
        <v>2.1539454026891218</v>
      </c>
      <c r="CB23" s="97">
        <f t="shared" si="7"/>
        <v>2.1759558427571357</v>
      </c>
      <c r="CC23" s="97">
        <f t="shared" si="7"/>
        <v>2.1923487070114631</v>
      </c>
      <c r="CD23" s="97">
        <f t="shared" si="7"/>
        <v>2.2039504208921588</v>
      </c>
      <c r="CE23" s="97">
        <f t="shared" si="7"/>
        <v>2.2169354303537059</v>
      </c>
      <c r="CF23" s="97">
        <f t="shared" si="7"/>
        <v>2.224245611728354</v>
      </c>
      <c r="CG23" s="91"/>
    </row>
    <row r="24" spans="1:94">
      <c r="A24" s="14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14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row>
    <row r="25" spans="1:94">
      <c r="A25" s="14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14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row>
    <row r="26" spans="1:94">
      <c r="A26" s="93" t="str">
        <f>CONCATENATE(A$1," net adds")</f>
        <v>LatAm (VTR / Puerto Rico) net adds</v>
      </c>
      <c r="B26" s="94">
        <f>+B$1</f>
        <v>2001</v>
      </c>
      <c r="C26" s="94">
        <f t="shared" ref="C26:Z26" si="8">+C$1</f>
        <v>2002</v>
      </c>
      <c r="D26" s="94">
        <f t="shared" si="8"/>
        <v>2003</v>
      </c>
      <c r="E26" s="94">
        <f t="shared" si="8"/>
        <v>2004</v>
      </c>
      <c r="F26" s="94">
        <f t="shared" si="8"/>
        <v>2005</v>
      </c>
      <c r="G26" s="94">
        <f t="shared" si="8"/>
        <v>2006</v>
      </c>
      <c r="H26" s="94">
        <f t="shared" si="8"/>
        <v>2007</v>
      </c>
      <c r="I26" s="94">
        <f t="shared" si="8"/>
        <v>2008</v>
      </c>
      <c r="J26" s="94">
        <f t="shared" si="8"/>
        <v>2009</v>
      </c>
      <c r="K26" s="94">
        <f t="shared" si="8"/>
        <v>2010</v>
      </c>
      <c r="L26" s="94">
        <f t="shared" si="8"/>
        <v>2011</v>
      </c>
      <c r="M26" s="94">
        <f t="shared" si="8"/>
        <v>2012</v>
      </c>
      <c r="N26" s="94">
        <f t="shared" si="8"/>
        <v>2013</v>
      </c>
      <c r="O26" s="94">
        <f t="shared" si="8"/>
        <v>2014</v>
      </c>
      <c r="P26" s="94">
        <f t="shared" si="8"/>
        <v>2015</v>
      </c>
      <c r="Q26" s="94" t="str">
        <f t="shared" si="8"/>
        <v>2016E</v>
      </c>
      <c r="R26" s="94" t="str">
        <f t="shared" si="8"/>
        <v>2017E</v>
      </c>
      <c r="S26" s="94" t="str">
        <f t="shared" si="8"/>
        <v>2018E</v>
      </c>
      <c r="T26" s="94" t="str">
        <f t="shared" si="8"/>
        <v>2019E</v>
      </c>
      <c r="U26" s="94" t="str">
        <f t="shared" si="8"/>
        <v>2020E</v>
      </c>
      <c r="V26" s="94" t="str">
        <f t="shared" si="8"/>
        <v>2021E</v>
      </c>
      <c r="W26" s="94" t="str">
        <f t="shared" si="8"/>
        <v>2022E</v>
      </c>
      <c r="X26" s="94" t="str">
        <f t="shared" si="8"/>
        <v>2023E</v>
      </c>
      <c r="Y26" s="94" t="str">
        <f t="shared" si="8"/>
        <v>2024E</v>
      </c>
      <c r="Z26" s="94" t="str">
        <f t="shared" si="8"/>
        <v>2025E</v>
      </c>
      <c r="AA26" s="94"/>
      <c r="AB26" s="91"/>
      <c r="AC26" s="91"/>
      <c r="AD26" s="93" t="str">
        <f t="shared" ref="AD26:AD35" si="9">+A26</f>
        <v>LatAm (VTR / Puerto Rico) net adds</v>
      </c>
      <c r="AE26" s="94" t="str">
        <f>+AE$1</f>
        <v>Q4 01</v>
      </c>
      <c r="AF26" s="94" t="str">
        <f t="shared" ref="AF26:CF26" si="10">+AF$1</f>
        <v>Q1 02</v>
      </c>
      <c r="AG26" s="94" t="str">
        <f t="shared" si="10"/>
        <v>Q2 02</v>
      </c>
      <c r="AH26" s="94" t="str">
        <f t="shared" si="10"/>
        <v>Q3 02</v>
      </c>
      <c r="AI26" s="94" t="str">
        <f t="shared" si="10"/>
        <v>Q4 02</v>
      </c>
      <c r="AJ26" s="94" t="str">
        <f t="shared" si="10"/>
        <v>Q1 03</v>
      </c>
      <c r="AK26" s="94" t="str">
        <f t="shared" si="10"/>
        <v>Q2 03</v>
      </c>
      <c r="AL26" s="94" t="str">
        <f t="shared" si="10"/>
        <v>Q3 03</v>
      </c>
      <c r="AM26" s="94" t="str">
        <f t="shared" si="10"/>
        <v>Q4 03</v>
      </c>
      <c r="AN26" s="94" t="str">
        <f t="shared" si="10"/>
        <v>1Q04</v>
      </c>
      <c r="AO26" s="94" t="str">
        <f t="shared" si="10"/>
        <v>Q2 04</v>
      </c>
      <c r="AP26" s="94" t="str">
        <f t="shared" si="10"/>
        <v>Q3 04</v>
      </c>
      <c r="AQ26" s="94" t="str">
        <f t="shared" si="10"/>
        <v>Q4 04</v>
      </c>
      <c r="AR26" s="94" t="str">
        <f t="shared" si="10"/>
        <v>Q1 05</v>
      </c>
      <c r="AS26" s="94" t="str">
        <f t="shared" si="10"/>
        <v>Q2 05</v>
      </c>
      <c r="AT26" s="94" t="str">
        <f t="shared" si="10"/>
        <v>Q3 05</v>
      </c>
      <c r="AU26" s="94" t="str">
        <f t="shared" si="10"/>
        <v>Q4 05</v>
      </c>
      <c r="AV26" s="94" t="str">
        <f t="shared" si="10"/>
        <v>Q1 06</v>
      </c>
      <c r="AW26" s="94" t="str">
        <f t="shared" si="10"/>
        <v>Q2 06</v>
      </c>
      <c r="AX26" s="94" t="str">
        <f t="shared" si="10"/>
        <v>Q3 06</v>
      </c>
      <c r="AY26" s="94" t="str">
        <f t="shared" si="10"/>
        <v>Q4 06</v>
      </c>
      <c r="AZ26" s="94" t="str">
        <f t="shared" si="10"/>
        <v>Q1 07</v>
      </c>
      <c r="BA26" s="94" t="str">
        <f t="shared" si="10"/>
        <v>Q2 07</v>
      </c>
      <c r="BB26" s="94" t="str">
        <f t="shared" si="10"/>
        <v>Q3 07</v>
      </c>
      <c r="BC26" s="94" t="str">
        <f t="shared" si="10"/>
        <v>Q4 07</v>
      </c>
      <c r="BD26" s="94" t="str">
        <f t="shared" si="10"/>
        <v>Q1 08</v>
      </c>
      <c r="BE26" s="94" t="str">
        <f t="shared" si="10"/>
        <v>Q2 08</v>
      </c>
      <c r="BF26" s="94" t="str">
        <f t="shared" si="10"/>
        <v>Q3 08</v>
      </c>
      <c r="BG26" s="94" t="str">
        <f t="shared" si="10"/>
        <v>Q4 08</v>
      </c>
      <c r="BH26" s="94" t="str">
        <f t="shared" si="10"/>
        <v>Q1 09</v>
      </c>
      <c r="BI26" s="94" t="str">
        <f t="shared" si="10"/>
        <v>Q2 09</v>
      </c>
      <c r="BJ26" s="94" t="str">
        <f t="shared" si="10"/>
        <v>Q3 09</v>
      </c>
      <c r="BK26" s="94" t="str">
        <f t="shared" si="10"/>
        <v>Q4 09</v>
      </c>
      <c r="BL26" s="94" t="str">
        <f t="shared" si="10"/>
        <v>Q1 10</v>
      </c>
      <c r="BM26" s="94" t="str">
        <f t="shared" si="10"/>
        <v>Q2 10</v>
      </c>
      <c r="BN26" s="94" t="str">
        <f t="shared" si="10"/>
        <v>Q3 10</v>
      </c>
      <c r="BO26" s="94" t="str">
        <f t="shared" si="10"/>
        <v>Q4 10</v>
      </c>
      <c r="BP26" s="94" t="str">
        <f t="shared" si="10"/>
        <v>Q1 11</v>
      </c>
      <c r="BQ26" s="94" t="str">
        <f t="shared" si="10"/>
        <v>Q2 11</v>
      </c>
      <c r="BR26" s="94" t="str">
        <f t="shared" si="10"/>
        <v>Q3 11</v>
      </c>
      <c r="BS26" s="94" t="str">
        <f t="shared" si="10"/>
        <v>Q4 11</v>
      </c>
      <c r="BT26" s="94" t="str">
        <f t="shared" si="10"/>
        <v>Q1 12</v>
      </c>
      <c r="BU26" s="94" t="str">
        <f t="shared" si="10"/>
        <v>Q2 12</v>
      </c>
      <c r="BV26" s="94" t="str">
        <f t="shared" si="10"/>
        <v>Q3 12</v>
      </c>
      <c r="BW26" s="94" t="str">
        <f t="shared" si="10"/>
        <v>Q4 12</v>
      </c>
      <c r="BX26" s="94" t="str">
        <f t="shared" si="10"/>
        <v>Q1 13</v>
      </c>
      <c r="BY26" s="94" t="str">
        <f t="shared" si="10"/>
        <v>Q2 13</v>
      </c>
      <c r="BZ26" s="94" t="str">
        <f t="shared" si="10"/>
        <v>Q3 13</v>
      </c>
      <c r="CA26" s="94" t="str">
        <f t="shared" si="10"/>
        <v>Q4 13</v>
      </c>
      <c r="CB26" s="94" t="str">
        <f t="shared" si="10"/>
        <v>Q1 14</v>
      </c>
      <c r="CC26" s="94" t="str">
        <f t="shared" si="10"/>
        <v>Q2 14</v>
      </c>
      <c r="CD26" s="94" t="str">
        <f t="shared" si="10"/>
        <v>Q3 14</v>
      </c>
      <c r="CE26" s="94" t="str">
        <f t="shared" si="10"/>
        <v>Q4 14</v>
      </c>
      <c r="CF26" s="94" t="str">
        <f t="shared" si="10"/>
        <v>Q1 15</v>
      </c>
    </row>
    <row r="27" spans="1:94">
      <c r="A27" s="92" t="s">
        <v>575</v>
      </c>
      <c r="B27" s="97"/>
      <c r="C27" s="97">
        <f t="shared" ref="C27:Z27" si="11">+C4-B4</f>
        <v>101.10000000000036</v>
      </c>
      <c r="D27" s="97">
        <f t="shared" si="11"/>
        <v>60.099999999999454</v>
      </c>
      <c r="E27" s="97">
        <f t="shared" si="11"/>
        <v>-405.7999999999995</v>
      </c>
      <c r="F27" s="97">
        <f t="shared" si="11"/>
        <v>708.7</v>
      </c>
      <c r="G27" s="97">
        <f t="shared" si="11"/>
        <v>176.09999999999945</v>
      </c>
      <c r="H27" s="97">
        <f t="shared" si="11"/>
        <v>21.100000000000364</v>
      </c>
      <c r="I27" s="97">
        <f t="shared" si="11"/>
        <v>86.300000000000182</v>
      </c>
      <c r="J27" s="97">
        <f t="shared" si="11"/>
        <v>90.900000000000091</v>
      </c>
      <c r="K27" s="97">
        <f t="shared" si="11"/>
        <v>72.299999999999727</v>
      </c>
      <c r="L27" s="97">
        <f t="shared" si="11"/>
        <v>79.800000000000182</v>
      </c>
      <c r="M27" s="97">
        <f t="shared" si="11"/>
        <v>452.19999999999982</v>
      </c>
      <c r="N27" s="97">
        <f t="shared" si="11"/>
        <v>68.400000000000091</v>
      </c>
      <c r="O27" s="97">
        <f t="shared" si="11"/>
        <v>53.400000000000091</v>
      </c>
      <c r="P27" s="97">
        <f t="shared" si="11"/>
        <v>446.89999999999964</v>
      </c>
      <c r="Q27" s="97">
        <f t="shared" si="11"/>
        <v>176.69999999999982</v>
      </c>
      <c r="R27" s="97">
        <f t="shared" si="11"/>
        <v>208.10000000000036</v>
      </c>
      <c r="S27" s="97">
        <f t="shared" si="11"/>
        <v>126</v>
      </c>
      <c r="T27" s="97">
        <f t="shared" si="11"/>
        <v>43</v>
      </c>
      <c r="U27" s="97">
        <f t="shared" si="11"/>
        <v>43</v>
      </c>
      <c r="V27" s="97">
        <f t="shared" si="11"/>
        <v>43</v>
      </c>
      <c r="W27" s="97">
        <f t="shared" si="11"/>
        <v>43</v>
      </c>
      <c r="X27" s="97">
        <f t="shared" si="11"/>
        <v>43</v>
      </c>
      <c r="Y27" s="97">
        <f t="shared" si="11"/>
        <v>43</v>
      </c>
      <c r="Z27" s="97">
        <f t="shared" si="11"/>
        <v>43</v>
      </c>
      <c r="AA27" s="97"/>
      <c r="AB27" s="97"/>
      <c r="AC27" s="97"/>
      <c r="AD27" s="99" t="str">
        <f t="shared" si="9"/>
        <v>HP added</v>
      </c>
      <c r="AE27" s="97"/>
      <c r="AF27" s="97">
        <f t="shared" ref="AF27:CF27" si="12">+AF4-AE4</f>
        <v>21.700000000000273</v>
      </c>
      <c r="AG27" s="97">
        <f t="shared" si="12"/>
        <v>3.7999999999997272</v>
      </c>
      <c r="AH27" s="97">
        <f t="shared" si="12"/>
        <v>73.600000000000364</v>
      </c>
      <c r="AI27" s="97">
        <f t="shared" si="12"/>
        <v>2</v>
      </c>
      <c r="AJ27" s="97">
        <f t="shared" si="12"/>
        <v>25.300000000000182</v>
      </c>
      <c r="AK27" s="97">
        <f t="shared" si="12"/>
        <v>15.499999999999545</v>
      </c>
      <c r="AL27" s="97">
        <f t="shared" si="12"/>
        <v>13.700000000000273</v>
      </c>
      <c r="AM27" s="97">
        <f t="shared" si="12"/>
        <v>5.5999999999994543</v>
      </c>
      <c r="AN27" s="97">
        <f t="shared" si="12"/>
        <v>33.500000000000455</v>
      </c>
      <c r="AO27" s="97">
        <f t="shared" si="12"/>
        <v>25.400000000000091</v>
      </c>
      <c r="AP27" s="97">
        <f t="shared" si="12"/>
        <v>-475.70000000000005</v>
      </c>
      <c r="AQ27" s="97">
        <f t="shared" si="12"/>
        <v>11</v>
      </c>
      <c r="AR27" s="97">
        <f t="shared" si="12"/>
        <v>11.899999999999864</v>
      </c>
      <c r="AS27" s="97">
        <f t="shared" si="12"/>
        <v>295.79999999999973</v>
      </c>
      <c r="AT27" s="97">
        <f t="shared" si="12"/>
        <v>249.30000000000018</v>
      </c>
      <c r="AU27" s="97">
        <f t="shared" si="12"/>
        <v>151.70000000000027</v>
      </c>
      <c r="AV27" s="97">
        <f t="shared" si="12"/>
        <v>81.699999999999818</v>
      </c>
      <c r="AW27" s="97">
        <f t="shared" si="12"/>
        <v>31.5</v>
      </c>
      <c r="AX27" s="97">
        <f t="shared" si="12"/>
        <v>39</v>
      </c>
      <c r="AY27" s="97">
        <f t="shared" si="12"/>
        <v>23.899999999999636</v>
      </c>
      <c r="AZ27" s="97">
        <f t="shared" si="12"/>
        <v>29.700000000000273</v>
      </c>
      <c r="BA27" s="97">
        <f t="shared" si="12"/>
        <v>25.099999999999909</v>
      </c>
      <c r="BB27" s="97">
        <f t="shared" si="12"/>
        <v>17.900000000000091</v>
      </c>
      <c r="BC27" s="97">
        <f t="shared" si="12"/>
        <v>-51.599999999999909</v>
      </c>
      <c r="BD27" s="97">
        <f t="shared" si="12"/>
        <v>12.099999999999909</v>
      </c>
      <c r="BE27" s="97">
        <f t="shared" si="12"/>
        <v>12.400000000000091</v>
      </c>
      <c r="BF27" s="97">
        <f t="shared" si="12"/>
        <v>29.5</v>
      </c>
      <c r="BG27" s="97">
        <f t="shared" si="12"/>
        <v>32.300000000000182</v>
      </c>
      <c r="BH27" s="97">
        <f t="shared" si="12"/>
        <v>18.199999999999818</v>
      </c>
      <c r="BI27" s="97">
        <f t="shared" si="12"/>
        <v>25.300000000000182</v>
      </c>
      <c r="BJ27" s="97">
        <f t="shared" si="12"/>
        <v>32.899999999999636</v>
      </c>
      <c r="BK27" s="97">
        <f t="shared" si="12"/>
        <v>14.500000000000455</v>
      </c>
      <c r="BL27" s="97">
        <f t="shared" si="12"/>
        <v>-19.900000000000091</v>
      </c>
      <c r="BM27" s="97">
        <f t="shared" si="12"/>
        <v>38</v>
      </c>
      <c r="BN27" s="97">
        <f t="shared" si="12"/>
        <v>39.099999999999454</v>
      </c>
      <c r="BO27" s="97">
        <f t="shared" si="12"/>
        <v>15.100000000000364</v>
      </c>
      <c r="BP27" s="97">
        <f t="shared" si="12"/>
        <v>5.0999999999999091</v>
      </c>
      <c r="BQ27" s="97">
        <f t="shared" si="12"/>
        <v>27.699999999999818</v>
      </c>
      <c r="BR27" s="97">
        <f t="shared" si="12"/>
        <v>30.600000000000364</v>
      </c>
      <c r="BS27" s="97">
        <f t="shared" si="12"/>
        <v>16.400000000000091</v>
      </c>
      <c r="BT27" s="97">
        <f t="shared" si="12"/>
        <v>5.5</v>
      </c>
      <c r="BU27" s="97">
        <f t="shared" si="12"/>
        <v>27</v>
      </c>
      <c r="BV27" s="97">
        <f t="shared" si="12"/>
        <v>29.599999999999909</v>
      </c>
      <c r="BW27" s="97">
        <f t="shared" si="12"/>
        <v>390.09999999999991</v>
      </c>
      <c r="BX27" s="97">
        <f t="shared" si="12"/>
        <v>7.3000000000001819</v>
      </c>
      <c r="BY27" s="97">
        <f t="shared" si="12"/>
        <v>20.800000000000182</v>
      </c>
      <c r="BZ27" s="97">
        <f t="shared" si="12"/>
        <v>18.299999999999272</v>
      </c>
      <c r="CA27" s="97">
        <f t="shared" si="12"/>
        <v>22.000000000000455</v>
      </c>
      <c r="CB27" s="97">
        <f t="shared" si="12"/>
        <v>5.9999999999995453</v>
      </c>
      <c r="CC27" s="97">
        <f t="shared" si="12"/>
        <v>15.100000000000364</v>
      </c>
      <c r="CD27" s="97">
        <f t="shared" si="12"/>
        <v>21.5</v>
      </c>
      <c r="CE27" s="97">
        <f t="shared" si="12"/>
        <v>10.800000000000182</v>
      </c>
      <c r="CF27" s="97">
        <f t="shared" si="12"/>
        <v>7.4000000000000909</v>
      </c>
      <c r="CG27" s="99"/>
      <c r="CH27" s="99"/>
      <c r="CI27" s="99"/>
      <c r="CJ27" s="99"/>
      <c r="CK27" s="99"/>
      <c r="CL27" s="99"/>
      <c r="CM27" s="99"/>
      <c r="CN27" s="99"/>
      <c r="CO27" s="99"/>
      <c r="CP27" s="99"/>
    </row>
    <row r="28" spans="1:94">
      <c r="A28" s="92" t="s">
        <v>576</v>
      </c>
      <c r="B28" s="97"/>
      <c r="C28" s="97">
        <f t="shared" ref="C28:Z35" si="13">+C6-B6</f>
        <v>0</v>
      </c>
      <c r="D28" s="97">
        <f t="shared" si="13"/>
        <v>0</v>
      </c>
      <c r="E28" s="97">
        <f t="shared" si="13"/>
        <v>665.3</v>
      </c>
      <c r="F28" s="97">
        <f t="shared" si="13"/>
        <v>376.90000000000009</v>
      </c>
      <c r="G28" s="97">
        <f t="shared" si="13"/>
        <v>53.299999999999955</v>
      </c>
      <c r="H28" s="97">
        <f t="shared" si="13"/>
        <v>11.799999999999955</v>
      </c>
      <c r="I28" s="97">
        <f t="shared" si="13"/>
        <v>42.399999999999864</v>
      </c>
      <c r="J28" s="97">
        <f t="shared" si="13"/>
        <v>31.100000000000136</v>
      </c>
      <c r="K28" s="97">
        <f t="shared" si="13"/>
        <v>8.5</v>
      </c>
      <c r="L28" s="97">
        <f t="shared" si="13"/>
        <v>34.099999999999909</v>
      </c>
      <c r="M28" s="97">
        <f t="shared" si="13"/>
        <v>191.80000000000018</v>
      </c>
      <c r="N28" s="97">
        <f t="shared" si="13"/>
        <v>57.399999999999864</v>
      </c>
      <c r="O28" s="97">
        <f t="shared" si="13"/>
        <v>34.300000000000182</v>
      </c>
      <c r="P28" s="97">
        <f t="shared" si="13"/>
        <v>157.40000000000009</v>
      </c>
      <c r="Q28" s="97">
        <f t="shared" si="13"/>
        <v>68.299999999999955</v>
      </c>
      <c r="R28" s="97">
        <f t="shared" si="13"/>
        <v>78</v>
      </c>
      <c r="S28" s="97">
        <f t="shared" si="13"/>
        <v>64.212999999999965</v>
      </c>
      <c r="T28" s="97">
        <f t="shared" si="13"/>
        <v>24.41408999999976</v>
      </c>
      <c r="U28" s="97">
        <f t="shared" si="13"/>
        <v>24.875980500000196</v>
      </c>
      <c r="V28" s="97">
        <f t="shared" si="13"/>
        <v>25.346844896999983</v>
      </c>
      <c r="W28" s="97">
        <f t="shared" si="13"/>
        <v>25.82686002980995</v>
      </c>
      <c r="X28" s="97">
        <f t="shared" si="13"/>
        <v>26.316206247625132</v>
      </c>
      <c r="Y28" s="97">
        <f t="shared" si="13"/>
        <v>26.815067479968093</v>
      </c>
      <c r="Z28" s="97">
        <f t="shared" si="13"/>
        <v>27.323631308032418</v>
      </c>
      <c r="AA28" s="97"/>
      <c r="AB28" s="97"/>
      <c r="AC28" s="97"/>
      <c r="AD28" s="99" t="str">
        <f t="shared" si="9"/>
        <v>Customer adds</v>
      </c>
      <c r="AE28" s="97"/>
      <c r="AF28" s="97">
        <f t="shared" ref="AF28:CF32" si="14">+AF6-AE6</f>
        <v>0</v>
      </c>
      <c r="AG28" s="97">
        <f t="shared" si="14"/>
        <v>0</v>
      </c>
      <c r="AH28" s="97">
        <f t="shared" si="14"/>
        <v>0</v>
      </c>
      <c r="AI28" s="97">
        <f t="shared" si="14"/>
        <v>0</v>
      </c>
      <c r="AJ28" s="97">
        <f t="shared" si="14"/>
        <v>0</v>
      </c>
      <c r="AK28" s="97">
        <f t="shared" si="14"/>
        <v>0</v>
      </c>
      <c r="AL28" s="97">
        <f t="shared" si="14"/>
        <v>0</v>
      </c>
      <c r="AM28" s="97">
        <f t="shared" si="14"/>
        <v>0</v>
      </c>
      <c r="AN28" s="97">
        <f t="shared" si="14"/>
        <v>0</v>
      </c>
      <c r="AO28" s="97">
        <f t="shared" si="14"/>
        <v>0</v>
      </c>
      <c r="AP28" s="97">
        <f t="shared" si="14"/>
        <v>0</v>
      </c>
      <c r="AQ28" s="97">
        <f t="shared" si="14"/>
        <v>665.3</v>
      </c>
      <c r="AR28" s="97">
        <f t="shared" si="14"/>
        <v>12.5</v>
      </c>
      <c r="AS28" s="97">
        <f t="shared" si="14"/>
        <v>231.50000000000011</v>
      </c>
      <c r="AT28" s="97">
        <f t="shared" si="14"/>
        <v>131.19999999999993</v>
      </c>
      <c r="AU28" s="97">
        <f t="shared" si="14"/>
        <v>1.7000000000000455</v>
      </c>
      <c r="AV28" s="97">
        <f t="shared" si="14"/>
        <v>13.199999999999818</v>
      </c>
      <c r="AW28" s="97">
        <f t="shared" si="14"/>
        <v>24.000000000000227</v>
      </c>
      <c r="AX28" s="97">
        <f t="shared" si="14"/>
        <v>8.2999999999999545</v>
      </c>
      <c r="AY28" s="97">
        <f t="shared" si="14"/>
        <v>7.7999999999999545</v>
      </c>
      <c r="AZ28" s="97">
        <f t="shared" si="14"/>
        <v>5</v>
      </c>
      <c r="BA28" s="97">
        <f t="shared" si="14"/>
        <v>13.200000000000045</v>
      </c>
      <c r="BB28" s="97">
        <f t="shared" si="14"/>
        <v>12.099999999999909</v>
      </c>
      <c r="BC28" s="97">
        <f t="shared" si="14"/>
        <v>-18.5</v>
      </c>
      <c r="BD28" s="97">
        <f t="shared" si="14"/>
        <v>11.900000000000091</v>
      </c>
      <c r="BE28" s="97">
        <f t="shared" si="14"/>
        <v>14.799999999999955</v>
      </c>
      <c r="BF28" s="97">
        <f t="shared" si="14"/>
        <v>13.099999999999909</v>
      </c>
      <c r="BG28" s="97">
        <f t="shared" si="14"/>
        <v>2.5999999999999091</v>
      </c>
      <c r="BH28" s="97">
        <f t="shared" si="14"/>
        <v>7.1000000000001364</v>
      </c>
      <c r="BI28" s="97">
        <f t="shared" si="14"/>
        <v>10.599999999999909</v>
      </c>
      <c r="BJ28" s="97">
        <f t="shared" si="14"/>
        <v>12.600000000000136</v>
      </c>
      <c r="BK28" s="97">
        <f t="shared" si="14"/>
        <v>0.79999999999995453</v>
      </c>
      <c r="BL28" s="97">
        <f t="shared" si="14"/>
        <v>-5.1999999999998181</v>
      </c>
      <c r="BM28" s="97">
        <f t="shared" si="14"/>
        <v>13.199999999999818</v>
      </c>
      <c r="BN28" s="97">
        <f t="shared" si="14"/>
        <v>0.90000000000009095</v>
      </c>
      <c r="BO28" s="97">
        <f t="shared" si="14"/>
        <v>-0.40000000000009095</v>
      </c>
      <c r="BP28" s="97">
        <f t="shared" si="14"/>
        <v>7.2000000000000455</v>
      </c>
      <c r="BQ28" s="97">
        <f t="shared" si="14"/>
        <v>15.099999999999909</v>
      </c>
      <c r="BR28" s="97">
        <f t="shared" si="14"/>
        <v>9.7999999999999545</v>
      </c>
      <c r="BS28" s="97">
        <f t="shared" si="14"/>
        <v>2</v>
      </c>
      <c r="BT28" s="97">
        <f t="shared" si="14"/>
        <v>8.2000000000002728</v>
      </c>
      <c r="BU28" s="97">
        <f t="shared" si="14"/>
        <v>13.099999999999682</v>
      </c>
      <c r="BV28" s="97">
        <f t="shared" si="14"/>
        <v>9.5000000000002274</v>
      </c>
      <c r="BW28" s="97">
        <f t="shared" si="14"/>
        <v>161</v>
      </c>
      <c r="BX28" s="97">
        <f t="shared" si="14"/>
        <v>25.900000000000091</v>
      </c>
      <c r="BY28" s="97">
        <f t="shared" si="14"/>
        <v>13.899999999999864</v>
      </c>
      <c r="BZ28" s="97">
        <f t="shared" si="14"/>
        <v>9.7999999999999545</v>
      </c>
      <c r="CA28" s="97">
        <f t="shared" si="14"/>
        <v>7.7999999999999545</v>
      </c>
      <c r="CB28" s="97">
        <f t="shared" si="14"/>
        <v>13</v>
      </c>
      <c r="CC28" s="97">
        <f t="shared" si="14"/>
        <v>14.800000000000182</v>
      </c>
      <c r="CD28" s="97">
        <f t="shared" si="14"/>
        <v>8.2999999999999545</v>
      </c>
      <c r="CE28" s="97">
        <f t="shared" si="14"/>
        <v>-1.7999999999999545</v>
      </c>
      <c r="CF28" s="97">
        <f t="shared" si="14"/>
        <v>14.200000000000045</v>
      </c>
      <c r="CG28" s="99"/>
      <c r="CH28" s="99"/>
      <c r="CI28" s="99"/>
      <c r="CJ28" s="99"/>
      <c r="CK28" s="99"/>
      <c r="CL28" s="99"/>
      <c r="CM28" s="99"/>
      <c r="CN28" s="99"/>
      <c r="CO28" s="99"/>
      <c r="CP28" s="99"/>
    </row>
    <row r="29" spans="1:94">
      <c r="A29" s="92" t="s">
        <v>753</v>
      </c>
      <c r="B29" s="97"/>
      <c r="C29" s="97">
        <f t="shared" si="13"/>
        <v>15.800000000000011</v>
      </c>
      <c r="D29" s="97">
        <f t="shared" si="13"/>
        <v>28.699999999999989</v>
      </c>
      <c r="E29" s="97">
        <f t="shared" si="13"/>
        <v>14.199999999999989</v>
      </c>
      <c r="F29" s="97">
        <f t="shared" si="13"/>
        <v>301.70000000000005</v>
      </c>
      <c r="G29" s="97">
        <f t="shared" si="13"/>
        <v>-110.39999999999998</v>
      </c>
      <c r="H29" s="97">
        <f t="shared" si="13"/>
        <v>-39.000000000000114</v>
      </c>
      <c r="I29" s="97">
        <f t="shared" si="13"/>
        <v>-137.29999999999995</v>
      </c>
      <c r="J29" s="97">
        <f t="shared" si="13"/>
        <v>-161.60000000000002</v>
      </c>
      <c r="K29" s="97">
        <f t="shared" si="13"/>
        <v>-81.399999999999977</v>
      </c>
      <c r="L29" s="97">
        <f t="shared" si="13"/>
        <v>-74.400000000000006</v>
      </c>
      <c r="M29" s="97">
        <f t="shared" si="13"/>
        <v>-51.400000000000006</v>
      </c>
      <c r="N29" s="97">
        <f t="shared" si="13"/>
        <v>-28.399999999999977</v>
      </c>
      <c r="O29" s="97">
        <f t="shared" si="13"/>
        <v>-24.500000000000014</v>
      </c>
      <c r="P29" s="97">
        <f t="shared" si="13"/>
        <v>-16.5</v>
      </c>
      <c r="Q29" s="97">
        <f t="shared" si="13"/>
        <v>0</v>
      </c>
      <c r="R29" s="97">
        <f t="shared" si="13"/>
        <v>-26.299999999999997</v>
      </c>
      <c r="S29" s="97">
        <f t="shared" si="13"/>
        <v>-45.725039999999979</v>
      </c>
      <c r="T29" s="97">
        <f t="shared" si="13"/>
        <v>-21.774960000000021</v>
      </c>
      <c r="U29" s="97">
        <f t="shared" si="13"/>
        <v>0</v>
      </c>
      <c r="V29" s="97">
        <f t="shared" si="13"/>
        <v>0</v>
      </c>
      <c r="W29" s="97">
        <f t="shared" si="13"/>
        <v>0</v>
      </c>
      <c r="X29" s="97">
        <f t="shared" si="13"/>
        <v>0</v>
      </c>
      <c r="Y29" s="97">
        <f t="shared" si="13"/>
        <v>0</v>
      </c>
      <c r="Z29" s="97">
        <f t="shared" si="13"/>
        <v>0</v>
      </c>
      <c r="AA29" s="97"/>
      <c r="AB29" s="97"/>
      <c r="AC29" s="97"/>
      <c r="AD29" s="92" t="s">
        <v>753</v>
      </c>
      <c r="AE29" s="97"/>
      <c r="AF29" s="97">
        <f t="shared" si="14"/>
        <v>-9.8000000000000114</v>
      </c>
      <c r="AG29" s="97">
        <f t="shared" si="14"/>
        <v>11.199999999999989</v>
      </c>
      <c r="AH29" s="97">
        <f t="shared" si="14"/>
        <v>6.5</v>
      </c>
      <c r="AI29" s="97">
        <f t="shared" si="14"/>
        <v>7.9000000000000341</v>
      </c>
      <c r="AJ29" s="97">
        <f t="shared" si="14"/>
        <v>3.8999999999999773</v>
      </c>
      <c r="AK29" s="97">
        <f t="shared" si="14"/>
        <v>8.3999999999999773</v>
      </c>
      <c r="AL29" s="97">
        <f t="shared" si="14"/>
        <v>8.6999999999999886</v>
      </c>
      <c r="AM29" s="97">
        <f t="shared" si="14"/>
        <v>7.7000000000000455</v>
      </c>
      <c r="AN29" s="97">
        <f t="shared" si="14"/>
        <v>2.5999999999999659</v>
      </c>
      <c r="AO29" s="97">
        <f t="shared" si="14"/>
        <v>9.4000000000000909</v>
      </c>
      <c r="AP29" s="97">
        <f t="shared" si="14"/>
        <v>7.6999999999999318</v>
      </c>
      <c r="AQ29" s="97">
        <f t="shared" si="14"/>
        <v>-5.5</v>
      </c>
      <c r="AR29" s="97">
        <f t="shared" si="14"/>
        <v>5.6999999999999318</v>
      </c>
      <c r="AS29" s="97">
        <f t="shared" si="14"/>
        <v>224.10000000000002</v>
      </c>
      <c r="AT29" s="97">
        <f t="shared" si="14"/>
        <v>64.800000000000068</v>
      </c>
      <c r="AU29" s="97">
        <f t="shared" si="14"/>
        <v>7.1000000000000227</v>
      </c>
      <c r="AV29" s="97">
        <f t="shared" si="14"/>
        <v>-20.700000000000045</v>
      </c>
      <c r="AW29" s="97">
        <f t="shared" si="14"/>
        <v>-52.899999999999977</v>
      </c>
      <c r="AX29" s="97">
        <f t="shared" si="14"/>
        <v>-16.700000000000045</v>
      </c>
      <c r="AY29" s="97">
        <f t="shared" si="14"/>
        <v>-20.099999999999909</v>
      </c>
      <c r="AZ29" s="97">
        <f t="shared" si="14"/>
        <v>3.5</v>
      </c>
      <c r="BA29" s="97">
        <f t="shared" si="14"/>
        <v>-4.3000000000000682</v>
      </c>
      <c r="BB29" s="97">
        <f t="shared" si="14"/>
        <v>0.79999999999995453</v>
      </c>
      <c r="BC29" s="97">
        <f t="shared" si="14"/>
        <v>-39</v>
      </c>
      <c r="BD29" s="97">
        <f t="shared" si="14"/>
        <v>-30.599999999999909</v>
      </c>
      <c r="BE29" s="97">
        <f t="shared" si="14"/>
        <v>-35.800000000000068</v>
      </c>
      <c r="BF29" s="97">
        <f t="shared" si="14"/>
        <v>-31.199999999999932</v>
      </c>
      <c r="BG29" s="97">
        <f t="shared" si="14"/>
        <v>-39.700000000000045</v>
      </c>
      <c r="BH29" s="97">
        <f t="shared" si="14"/>
        <v>-71.899999999999977</v>
      </c>
      <c r="BI29" s="97">
        <f t="shared" si="14"/>
        <v>-42.600000000000023</v>
      </c>
      <c r="BJ29" s="97">
        <f t="shared" si="14"/>
        <v>-27.800000000000011</v>
      </c>
      <c r="BK29" s="97">
        <f t="shared" si="14"/>
        <v>-19.300000000000011</v>
      </c>
      <c r="BL29" s="97">
        <f t="shared" si="14"/>
        <v>-21.399999999999977</v>
      </c>
      <c r="BM29" s="97">
        <f t="shared" si="14"/>
        <v>-20.300000000000011</v>
      </c>
      <c r="BN29" s="97">
        <f t="shared" si="14"/>
        <v>-20.300000000000011</v>
      </c>
      <c r="BO29" s="97">
        <f t="shared" si="14"/>
        <v>-19.399999999999977</v>
      </c>
      <c r="BP29" s="97">
        <f t="shared" si="14"/>
        <v>-22.600000000000023</v>
      </c>
      <c r="BQ29" s="97">
        <f t="shared" si="14"/>
        <v>-19.999999999999972</v>
      </c>
      <c r="BR29" s="97">
        <f t="shared" si="14"/>
        <v>-16</v>
      </c>
      <c r="BS29" s="97">
        <f t="shared" si="14"/>
        <v>-15.800000000000011</v>
      </c>
      <c r="BT29" s="97">
        <f t="shared" si="14"/>
        <v>-15.199999999999989</v>
      </c>
      <c r="BU29" s="97">
        <f t="shared" si="14"/>
        <v>-14.5</v>
      </c>
      <c r="BV29" s="97">
        <f t="shared" si="14"/>
        <v>-12.300000000000011</v>
      </c>
      <c r="BW29" s="97">
        <f t="shared" si="14"/>
        <v>-9.4000000000000057</v>
      </c>
      <c r="BX29" s="97">
        <f t="shared" si="14"/>
        <v>-8.1999999999999886</v>
      </c>
      <c r="BY29" s="97">
        <f t="shared" si="14"/>
        <v>-7.3000000000000114</v>
      </c>
      <c r="BZ29" s="97">
        <f t="shared" si="14"/>
        <v>-7.0999999999999943</v>
      </c>
      <c r="CA29" s="97">
        <f t="shared" si="14"/>
        <v>-5.7999999999999829</v>
      </c>
      <c r="CB29" s="97">
        <f t="shared" si="14"/>
        <v>-6.9000000000000057</v>
      </c>
      <c r="CC29" s="97">
        <f t="shared" si="14"/>
        <v>-5.7000000000000028</v>
      </c>
      <c r="CD29" s="97">
        <f t="shared" si="14"/>
        <v>-6</v>
      </c>
      <c r="CE29" s="97">
        <f t="shared" si="14"/>
        <v>-5.9000000000000057</v>
      </c>
      <c r="CF29" s="97">
        <f t="shared" si="14"/>
        <v>-4.2000000000000028</v>
      </c>
      <c r="CG29" s="99"/>
      <c r="CH29" s="99"/>
      <c r="CI29" s="99"/>
      <c r="CJ29" s="99"/>
      <c r="CK29" s="99"/>
      <c r="CL29" s="99"/>
      <c r="CM29" s="99"/>
      <c r="CN29" s="99"/>
      <c r="CO29" s="99"/>
      <c r="CP29" s="99"/>
    </row>
    <row r="30" spans="1:94">
      <c r="A30" s="92" t="s">
        <v>754</v>
      </c>
      <c r="B30" s="97"/>
      <c r="C30" s="97">
        <f t="shared" si="13"/>
        <v>1.6000000000000005</v>
      </c>
      <c r="D30" s="97">
        <f t="shared" si="13"/>
        <v>-2.4000000000000004</v>
      </c>
      <c r="E30" s="97">
        <f t="shared" si="13"/>
        <v>-6.5</v>
      </c>
      <c r="F30" s="97">
        <f t="shared" si="13"/>
        <v>62.4</v>
      </c>
      <c r="G30" s="97">
        <f t="shared" si="13"/>
        <v>152.19999999999999</v>
      </c>
      <c r="H30" s="97">
        <f t="shared" si="13"/>
        <v>53.900000000000006</v>
      </c>
      <c r="I30" s="97">
        <f t="shared" si="13"/>
        <v>160.5</v>
      </c>
      <c r="J30" s="97">
        <f t="shared" si="13"/>
        <v>190.29999999999995</v>
      </c>
      <c r="K30" s="97">
        <f t="shared" si="13"/>
        <v>70.700000000000045</v>
      </c>
      <c r="L30" s="97">
        <f t="shared" si="13"/>
        <v>91.800000000000068</v>
      </c>
      <c r="M30" s="97">
        <f t="shared" si="13"/>
        <v>193.39999999999986</v>
      </c>
      <c r="N30" s="97">
        <f t="shared" si="13"/>
        <v>89.899999999999977</v>
      </c>
      <c r="O30" s="97">
        <f t="shared" si="13"/>
        <v>56.700000000000045</v>
      </c>
      <c r="P30" s="97">
        <f t="shared" si="13"/>
        <v>74.299999999999955</v>
      </c>
      <c r="Q30" s="97">
        <f t="shared" si="13"/>
        <v>18.700000000000045</v>
      </c>
      <c r="R30" s="97">
        <f t="shared" si="13"/>
        <v>46.400000000000091</v>
      </c>
      <c r="S30" s="97">
        <f t="shared" si="13"/>
        <v>69.686040000000048</v>
      </c>
      <c r="T30" s="97">
        <f t="shared" si="13"/>
        <v>46.189049999999952</v>
      </c>
      <c r="U30" s="97">
        <f t="shared" si="13"/>
        <v>24.875980500000196</v>
      </c>
      <c r="V30" s="97">
        <f t="shared" si="13"/>
        <v>25.346844896999755</v>
      </c>
      <c r="W30" s="97">
        <f t="shared" si="13"/>
        <v>25.826860029810177</v>
      </c>
      <c r="X30" s="97">
        <f t="shared" si="13"/>
        <v>26.316206247624905</v>
      </c>
      <c r="Y30" s="97">
        <f t="shared" si="13"/>
        <v>26.81506747996832</v>
      </c>
      <c r="Z30" s="97">
        <f t="shared" si="13"/>
        <v>27.323631308032418</v>
      </c>
      <c r="AA30" s="97"/>
      <c r="AB30" s="97"/>
      <c r="AC30" s="97"/>
      <c r="AD30" s="92" t="s">
        <v>754</v>
      </c>
      <c r="AE30" s="97"/>
      <c r="AF30" s="97">
        <f t="shared" si="14"/>
        <v>1.0000000000000009</v>
      </c>
      <c r="AG30" s="97">
        <f t="shared" si="14"/>
        <v>0.19999999999999929</v>
      </c>
      <c r="AH30" s="97">
        <f t="shared" si="14"/>
        <v>0.30000000000000071</v>
      </c>
      <c r="AI30" s="97">
        <f t="shared" si="14"/>
        <v>9.9999999999999645E-2</v>
      </c>
      <c r="AJ30" s="97">
        <f t="shared" si="14"/>
        <v>-0.90000000000000036</v>
      </c>
      <c r="AK30" s="97">
        <f t="shared" si="14"/>
        <v>-0.70000000000000018</v>
      </c>
      <c r="AL30" s="97">
        <f t="shared" si="14"/>
        <v>-0.39999999999999947</v>
      </c>
      <c r="AM30" s="97">
        <f t="shared" si="14"/>
        <v>-0.40000000000000036</v>
      </c>
      <c r="AN30" s="97">
        <f t="shared" si="14"/>
        <v>-9.9999999999999645E-2</v>
      </c>
      <c r="AO30" s="97">
        <f t="shared" si="14"/>
        <v>-0.10000000000000053</v>
      </c>
      <c r="AP30" s="97">
        <f t="shared" si="14"/>
        <v>0.10000000000000053</v>
      </c>
      <c r="AQ30" s="97">
        <f t="shared" si="14"/>
        <v>-6.4</v>
      </c>
      <c r="AR30" s="97">
        <f t="shared" si="14"/>
        <v>0</v>
      </c>
      <c r="AS30" s="97">
        <f t="shared" si="14"/>
        <v>0</v>
      </c>
      <c r="AT30" s="97">
        <f t="shared" si="14"/>
        <v>55.8</v>
      </c>
      <c r="AU30" s="97">
        <f t="shared" si="14"/>
        <v>6.6000000000000014</v>
      </c>
      <c r="AV30" s="97">
        <f t="shared" si="14"/>
        <v>27.1</v>
      </c>
      <c r="AW30" s="97">
        <f t="shared" si="14"/>
        <v>76.5</v>
      </c>
      <c r="AX30" s="97">
        <f t="shared" si="14"/>
        <v>25.600000000000023</v>
      </c>
      <c r="AY30" s="97">
        <f t="shared" si="14"/>
        <v>22.999999999999972</v>
      </c>
      <c r="AZ30" s="97">
        <f t="shared" si="14"/>
        <v>-4.4000000000000057</v>
      </c>
      <c r="BA30" s="97">
        <f t="shared" si="14"/>
        <v>14.200000000000017</v>
      </c>
      <c r="BB30" s="97">
        <f t="shared" si="14"/>
        <v>8.1999999999999886</v>
      </c>
      <c r="BC30" s="97">
        <f t="shared" si="14"/>
        <v>35.900000000000006</v>
      </c>
      <c r="BD30" s="97">
        <f t="shared" si="14"/>
        <v>37.899999999999977</v>
      </c>
      <c r="BE30" s="97">
        <f t="shared" si="14"/>
        <v>45.600000000000023</v>
      </c>
      <c r="BF30" s="97">
        <f t="shared" si="14"/>
        <v>36.5</v>
      </c>
      <c r="BG30" s="97">
        <f t="shared" si="14"/>
        <v>40.5</v>
      </c>
      <c r="BH30" s="97">
        <f t="shared" si="14"/>
        <v>80.399999999999977</v>
      </c>
      <c r="BI30" s="97">
        <f t="shared" si="14"/>
        <v>53.800000000000068</v>
      </c>
      <c r="BJ30" s="97">
        <f t="shared" si="14"/>
        <v>36.099999999999909</v>
      </c>
      <c r="BK30" s="97">
        <f t="shared" si="14"/>
        <v>20</v>
      </c>
      <c r="BL30" s="97">
        <f t="shared" si="14"/>
        <v>11.200000000000045</v>
      </c>
      <c r="BM30" s="97">
        <f t="shared" si="14"/>
        <v>24.5</v>
      </c>
      <c r="BN30" s="97">
        <f t="shared" si="14"/>
        <v>13.700000000000045</v>
      </c>
      <c r="BO30" s="97">
        <f t="shared" si="14"/>
        <v>21.299999999999955</v>
      </c>
      <c r="BP30" s="97">
        <f t="shared" si="14"/>
        <v>27.399999999999977</v>
      </c>
      <c r="BQ30" s="97">
        <f t="shared" si="14"/>
        <v>31.200000000000045</v>
      </c>
      <c r="BR30" s="97">
        <f t="shared" si="14"/>
        <v>20.799999999999955</v>
      </c>
      <c r="BS30" s="97">
        <f t="shared" si="14"/>
        <v>12.400000000000091</v>
      </c>
      <c r="BT30" s="97">
        <f t="shared" si="14"/>
        <v>18.799999999999841</v>
      </c>
      <c r="BU30" s="97">
        <f t="shared" si="14"/>
        <v>17.400000000000091</v>
      </c>
      <c r="BV30" s="97">
        <f t="shared" si="14"/>
        <v>7.1000000000000227</v>
      </c>
      <c r="BW30" s="97">
        <f t="shared" si="14"/>
        <v>150.09999999999991</v>
      </c>
      <c r="BX30" s="97">
        <f t="shared" si="14"/>
        <v>30.100000000000023</v>
      </c>
      <c r="BY30" s="97">
        <f t="shared" si="14"/>
        <v>26.900000000000091</v>
      </c>
      <c r="BZ30" s="97">
        <f t="shared" si="14"/>
        <v>21.299999999999955</v>
      </c>
      <c r="CA30" s="97">
        <f t="shared" si="14"/>
        <v>11.599999999999909</v>
      </c>
      <c r="CB30" s="97">
        <f t="shared" si="14"/>
        <v>20</v>
      </c>
      <c r="CC30" s="97">
        <f t="shared" si="14"/>
        <v>16.000000000000227</v>
      </c>
      <c r="CD30" s="97">
        <f t="shared" si="14"/>
        <v>9.5999999999999091</v>
      </c>
      <c r="CE30" s="97">
        <f t="shared" si="14"/>
        <v>11.099999999999909</v>
      </c>
      <c r="CF30" s="97">
        <f t="shared" si="14"/>
        <v>0.90000000000009095</v>
      </c>
      <c r="CG30" s="99"/>
      <c r="CH30" s="99"/>
      <c r="CI30" s="99"/>
      <c r="CJ30" s="99"/>
      <c r="CK30" s="99"/>
      <c r="CL30" s="99"/>
      <c r="CM30" s="99"/>
      <c r="CN30" s="99"/>
      <c r="CO30" s="99"/>
      <c r="CP30" s="99"/>
    </row>
    <row r="31" spans="1:94">
      <c r="A31" s="92" t="s">
        <v>579</v>
      </c>
      <c r="B31" s="97"/>
      <c r="C31" s="97">
        <f t="shared" si="13"/>
        <v>-1.5999999999999996</v>
      </c>
      <c r="D31" s="97">
        <f t="shared" si="13"/>
        <v>-1.4000000000000004</v>
      </c>
      <c r="E31" s="97">
        <f t="shared" si="13"/>
        <v>-1</v>
      </c>
      <c r="F31" s="97">
        <f t="shared" si="13"/>
        <v>-4.5</v>
      </c>
      <c r="G31" s="97">
        <f t="shared" si="13"/>
        <v>15</v>
      </c>
      <c r="H31" s="97">
        <f t="shared" si="13"/>
        <v>0</v>
      </c>
      <c r="I31" s="97">
        <f t="shared" si="13"/>
        <v>0</v>
      </c>
      <c r="J31" s="97">
        <f t="shared" si="13"/>
        <v>0</v>
      </c>
      <c r="K31" s="97">
        <f t="shared" si="13"/>
        <v>-15</v>
      </c>
      <c r="L31" s="97">
        <f t="shared" si="13"/>
        <v>0</v>
      </c>
      <c r="M31" s="97">
        <f t="shared" si="13"/>
        <v>0</v>
      </c>
      <c r="N31" s="97">
        <f t="shared" si="13"/>
        <v>0</v>
      </c>
      <c r="O31" s="97">
        <f t="shared" si="13"/>
        <v>0</v>
      </c>
      <c r="P31" s="97">
        <f t="shared" si="13"/>
        <v>0</v>
      </c>
      <c r="Q31" s="97">
        <f t="shared" si="13"/>
        <v>0</v>
      </c>
      <c r="R31" s="97">
        <f t="shared" si="13"/>
        <v>0</v>
      </c>
      <c r="S31" s="97">
        <f t="shared" si="13"/>
        <v>0</v>
      </c>
      <c r="T31" s="97">
        <f t="shared" si="13"/>
        <v>0</v>
      </c>
      <c r="U31" s="97">
        <f t="shared" si="13"/>
        <v>0</v>
      </c>
      <c r="V31" s="97">
        <f t="shared" si="13"/>
        <v>0</v>
      </c>
      <c r="W31" s="97">
        <f t="shared" si="13"/>
        <v>0</v>
      </c>
      <c r="X31" s="97">
        <f t="shared" si="13"/>
        <v>0</v>
      </c>
      <c r="Y31" s="97">
        <f t="shared" si="13"/>
        <v>0</v>
      </c>
      <c r="Z31" s="97">
        <f t="shared" si="13"/>
        <v>0</v>
      </c>
      <c r="AA31" s="97"/>
      <c r="AB31" s="97"/>
      <c r="AC31" s="97"/>
      <c r="AD31" s="99" t="str">
        <f t="shared" si="9"/>
        <v>DTH/MMDS adds</v>
      </c>
      <c r="AE31" s="97"/>
      <c r="AF31" s="97">
        <f t="shared" si="14"/>
        <v>-9.9999999999999645E-2</v>
      </c>
      <c r="AG31" s="97">
        <f t="shared" si="14"/>
        <v>9.9999999999999645E-2</v>
      </c>
      <c r="AH31" s="97">
        <f t="shared" si="14"/>
        <v>-0.40000000000000036</v>
      </c>
      <c r="AI31" s="97">
        <f t="shared" si="14"/>
        <v>-1.1999999999999993</v>
      </c>
      <c r="AJ31" s="97">
        <f t="shared" si="14"/>
        <v>-0.10000000000000053</v>
      </c>
      <c r="AK31" s="97">
        <f t="shared" si="14"/>
        <v>-0.5</v>
      </c>
      <c r="AL31" s="97">
        <f t="shared" si="14"/>
        <v>-0.39999999999999947</v>
      </c>
      <c r="AM31" s="97">
        <f t="shared" si="14"/>
        <v>-0.40000000000000036</v>
      </c>
      <c r="AN31" s="97">
        <f t="shared" si="14"/>
        <v>-0.29999999999999982</v>
      </c>
      <c r="AO31" s="97">
        <f t="shared" si="14"/>
        <v>-0.20000000000000018</v>
      </c>
      <c r="AP31" s="97">
        <f t="shared" si="14"/>
        <v>-0.20000000000000018</v>
      </c>
      <c r="AQ31" s="97">
        <f t="shared" si="14"/>
        <v>-0.29999999999999982</v>
      </c>
      <c r="AR31" s="97">
        <f t="shared" si="14"/>
        <v>-4.5</v>
      </c>
      <c r="AS31" s="97">
        <f t="shared" si="14"/>
        <v>1</v>
      </c>
      <c r="AT31" s="97">
        <f t="shared" si="14"/>
        <v>-1</v>
      </c>
      <c r="AU31" s="97">
        <f t="shared" si="14"/>
        <v>0</v>
      </c>
      <c r="AV31" s="97">
        <f t="shared" si="14"/>
        <v>15.1</v>
      </c>
      <c r="AW31" s="97">
        <f t="shared" si="14"/>
        <v>0</v>
      </c>
      <c r="AX31" s="97">
        <f t="shared" si="14"/>
        <v>0</v>
      </c>
      <c r="AY31" s="97">
        <f t="shared" si="14"/>
        <v>-9.9999999999999645E-2</v>
      </c>
      <c r="AZ31" s="97">
        <f t="shared" si="14"/>
        <v>-0.30000000000000071</v>
      </c>
      <c r="BA31" s="97">
        <f t="shared" si="14"/>
        <v>-0.19999999999999929</v>
      </c>
      <c r="BB31" s="97">
        <f t="shared" si="14"/>
        <v>-0.19999999999999929</v>
      </c>
      <c r="BC31" s="97">
        <f t="shared" si="14"/>
        <v>0.69999999999999929</v>
      </c>
      <c r="BD31" s="97">
        <f t="shared" si="14"/>
        <v>-15</v>
      </c>
      <c r="BE31" s="97">
        <f t="shared" si="14"/>
        <v>0</v>
      </c>
      <c r="BF31" s="97">
        <f t="shared" si="14"/>
        <v>0</v>
      </c>
      <c r="BG31" s="97">
        <f t="shared" si="14"/>
        <v>15</v>
      </c>
      <c r="BH31" s="97">
        <f t="shared" si="14"/>
        <v>0</v>
      </c>
      <c r="BI31" s="97">
        <f t="shared" si="14"/>
        <v>-15</v>
      </c>
      <c r="BJ31" s="97">
        <f t="shared" si="14"/>
        <v>0</v>
      </c>
      <c r="BK31" s="97">
        <f t="shared" si="14"/>
        <v>15</v>
      </c>
      <c r="BL31" s="97">
        <f t="shared" si="14"/>
        <v>-15</v>
      </c>
      <c r="BM31" s="97">
        <f t="shared" si="14"/>
        <v>0</v>
      </c>
      <c r="BN31" s="97">
        <f t="shared" si="14"/>
        <v>0</v>
      </c>
      <c r="BO31" s="97">
        <f t="shared" si="14"/>
        <v>0</v>
      </c>
      <c r="BP31" s="97">
        <f t="shared" si="14"/>
        <v>0</v>
      </c>
      <c r="BQ31" s="97">
        <f t="shared" si="14"/>
        <v>0</v>
      </c>
      <c r="BR31" s="97">
        <f t="shared" si="14"/>
        <v>0</v>
      </c>
      <c r="BS31" s="97">
        <f t="shared" si="14"/>
        <v>0</v>
      </c>
      <c r="BT31" s="97">
        <f t="shared" si="14"/>
        <v>0</v>
      </c>
      <c r="BU31" s="97">
        <f t="shared" si="14"/>
        <v>0</v>
      </c>
      <c r="BV31" s="97">
        <f t="shared" si="14"/>
        <v>0</v>
      </c>
      <c r="BW31" s="97">
        <f t="shared" si="14"/>
        <v>0</v>
      </c>
      <c r="BX31" s="97">
        <f t="shared" si="14"/>
        <v>0</v>
      </c>
      <c r="BY31" s="97">
        <f t="shared" si="14"/>
        <v>0</v>
      </c>
      <c r="BZ31" s="97">
        <f t="shared" si="14"/>
        <v>0</v>
      </c>
      <c r="CA31" s="97">
        <f t="shared" si="14"/>
        <v>0</v>
      </c>
      <c r="CB31" s="97">
        <f t="shared" si="14"/>
        <v>0</v>
      </c>
      <c r="CC31" s="97">
        <f t="shared" si="14"/>
        <v>0</v>
      </c>
      <c r="CD31" s="97">
        <f t="shared" si="14"/>
        <v>0</v>
      </c>
      <c r="CE31" s="97">
        <f t="shared" si="14"/>
        <v>0</v>
      </c>
      <c r="CF31" s="97">
        <f t="shared" si="14"/>
        <v>0</v>
      </c>
      <c r="CG31" s="99"/>
      <c r="CH31" s="99"/>
      <c r="CI31" s="99"/>
      <c r="CJ31" s="99"/>
      <c r="CK31" s="99"/>
      <c r="CL31" s="99"/>
      <c r="CM31" s="99"/>
      <c r="CN31" s="99"/>
      <c r="CO31" s="99"/>
      <c r="CP31" s="99"/>
    </row>
    <row r="32" spans="1:94">
      <c r="A32" s="92" t="s">
        <v>580</v>
      </c>
      <c r="B32" s="97"/>
      <c r="C32" s="97">
        <f t="shared" si="13"/>
        <v>15.799999999999955</v>
      </c>
      <c r="D32" s="97">
        <f t="shared" si="13"/>
        <v>24.899999999999977</v>
      </c>
      <c r="E32" s="97">
        <f t="shared" si="13"/>
        <v>6.7000000000000455</v>
      </c>
      <c r="F32" s="97">
        <f t="shared" si="13"/>
        <v>359.6</v>
      </c>
      <c r="G32" s="97">
        <f t="shared" si="13"/>
        <v>56.799999999999955</v>
      </c>
      <c r="H32" s="97">
        <f t="shared" si="13"/>
        <v>14.899999999999977</v>
      </c>
      <c r="I32" s="97">
        <f t="shared" si="13"/>
        <v>23.200000000000045</v>
      </c>
      <c r="J32" s="97">
        <f t="shared" si="13"/>
        <v>28.699999999999932</v>
      </c>
      <c r="K32" s="97">
        <f t="shared" si="13"/>
        <v>-25.699999999999932</v>
      </c>
      <c r="L32" s="97">
        <f t="shared" si="13"/>
        <v>17.400000000000091</v>
      </c>
      <c r="M32" s="97">
        <f t="shared" si="13"/>
        <v>142</v>
      </c>
      <c r="N32" s="97">
        <f t="shared" si="13"/>
        <v>61.5</v>
      </c>
      <c r="O32" s="97">
        <f t="shared" si="13"/>
        <v>33.5</v>
      </c>
      <c r="P32" s="97">
        <f t="shared" si="13"/>
        <v>56.5</v>
      </c>
      <c r="Q32" s="97">
        <f t="shared" si="13"/>
        <v>18.699999999999818</v>
      </c>
      <c r="R32" s="97">
        <f t="shared" si="13"/>
        <v>20.100000000000136</v>
      </c>
      <c r="S32" s="97">
        <f t="shared" si="13"/>
        <v>23.961000000000013</v>
      </c>
      <c r="T32" s="97">
        <f t="shared" si="13"/>
        <v>24.414089999999987</v>
      </c>
      <c r="U32" s="97">
        <f t="shared" si="13"/>
        <v>24.875980500000196</v>
      </c>
      <c r="V32" s="97">
        <f t="shared" si="13"/>
        <v>25.346844896999755</v>
      </c>
      <c r="W32" s="97">
        <f t="shared" si="13"/>
        <v>25.826860029810177</v>
      </c>
      <c r="X32" s="97">
        <f t="shared" si="13"/>
        <v>26.316206247624905</v>
      </c>
      <c r="Y32" s="97">
        <f t="shared" si="13"/>
        <v>26.81506747996832</v>
      </c>
      <c r="Z32" s="97">
        <f t="shared" si="13"/>
        <v>27.323631308032418</v>
      </c>
      <c r="AA32" s="97"/>
      <c r="AB32" s="97"/>
      <c r="AC32" s="97"/>
      <c r="AD32" s="99" t="str">
        <f t="shared" si="9"/>
        <v>Video adds</v>
      </c>
      <c r="AE32" s="97"/>
      <c r="AF32" s="97">
        <f t="shared" si="14"/>
        <v>-8.9000000000000341</v>
      </c>
      <c r="AG32" s="97">
        <f t="shared" si="14"/>
        <v>11.5</v>
      </c>
      <c r="AH32" s="97">
        <f t="shared" si="14"/>
        <v>6.4000000000000341</v>
      </c>
      <c r="AI32" s="97">
        <f t="shared" si="14"/>
        <v>6.7999999999999545</v>
      </c>
      <c r="AJ32" s="97">
        <f t="shared" si="14"/>
        <v>2.9000000000000341</v>
      </c>
      <c r="AK32" s="97">
        <f t="shared" si="14"/>
        <v>7.1999999999999886</v>
      </c>
      <c r="AL32" s="97">
        <f t="shared" si="14"/>
        <v>7.8999999999999773</v>
      </c>
      <c r="AM32" s="97">
        <f t="shared" si="14"/>
        <v>6.8999999999999773</v>
      </c>
      <c r="AN32" s="97">
        <f t="shared" si="14"/>
        <v>2.2000000000000455</v>
      </c>
      <c r="AO32" s="97">
        <f t="shared" si="14"/>
        <v>9.1000000000000227</v>
      </c>
      <c r="AP32" s="97">
        <f t="shared" si="14"/>
        <v>7.5999999999999091</v>
      </c>
      <c r="AQ32" s="97">
        <f t="shared" si="14"/>
        <v>-12.199999999999932</v>
      </c>
      <c r="AR32" s="97">
        <f t="shared" si="14"/>
        <v>1.1999999999999318</v>
      </c>
      <c r="AS32" s="97">
        <f t="shared" si="14"/>
        <v>225.10000000000002</v>
      </c>
      <c r="AT32" s="97">
        <f t="shared" si="14"/>
        <v>119.60000000000002</v>
      </c>
      <c r="AU32" s="97">
        <f t="shared" si="14"/>
        <v>13.700000000000045</v>
      </c>
      <c r="AV32" s="97">
        <f t="shared" si="14"/>
        <v>21.499999999999886</v>
      </c>
      <c r="AW32" s="97">
        <f t="shared" si="14"/>
        <v>23.600000000000136</v>
      </c>
      <c r="AX32" s="97">
        <f t="shared" si="14"/>
        <v>8.8999999999998636</v>
      </c>
      <c r="AY32" s="97">
        <f t="shared" si="14"/>
        <v>2.8000000000000682</v>
      </c>
      <c r="AZ32" s="97">
        <f t="shared" si="14"/>
        <v>-1.1999999999999318</v>
      </c>
      <c r="BA32" s="97">
        <f t="shared" si="14"/>
        <v>9.6999999999999318</v>
      </c>
      <c r="BB32" s="97">
        <f t="shared" si="14"/>
        <v>8.7999999999999545</v>
      </c>
      <c r="BC32" s="97">
        <f t="shared" si="14"/>
        <v>-2.3999999999999773</v>
      </c>
      <c r="BD32" s="97">
        <f t="shared" si="14"/>
        <v>-7.6999999999999318</v>
      </c>
      <c r="BE32" s="97">
        <f t="shared" si="14"/>
        <v>9.7999999999998408</v>
      </c>
      <c r="BF32" s="97">
        <f t="shared" si="14"/>
        <v>5.3000000000001819</v>
      </c>
      <c r="BG32" s="97">
        <f t="shared" si="14"/>
        <v>15.799999999999955</v>
      </c>
      <c r="BH32" s="97">
        <f t="shared" si="14"/>
        <v>8.5</v>
      </c>
      <c r="BI32" s="97">
        <f t="shared" si="14"/>
        <v>-3.7999999999999545</v>
      </c>
      <c r="BJ32" s="97">
        <f t="shared" si="14"/>
        <v>8.2999999999999545</v>
      </c>
      <c r="BK32" s="97">
        <f t="shared" si="14"/>
        <v>15.699999999999932</v>
      </c>
      <c r="BL32" s="97">
        <f t="shared" si="14"/>
        <v>-25.199999999999932</v>
      </c>
      <c r="BM32" s="97">
        <f t="shared" si="14"/>
        <v>4.2000000000000455</v>
      </c>
      <c r="BN32" s="97">
        <f t="shared" si="14"/>
        <v>-6.6000000000000227</v>
      </c>
      <c r="BO32" s="97">
        <f t="shared" si="14"/>
        <v>1.8999999999999773</v>
      </c>
      <c r="BP32" s="97">
        <f t="shared" si="14"/>
        <v>4.7999999999999545</v>
      </c>
      <c r="BQ32" s="97">
        <f t="shared" si="14"/>
        <v>11.200000000000045</v>
      </c>
      <c r="BR32" s="97">
        <f t="shared" si="14"/>
        <v>4.7999999999999545</v>
      </c>
      <c r="BS32" s="97">
        <f t="shared" si="14"/>
        <v>-3.3999999999998636</v>
      </c>
      <c r="BT32" s="97">
        <f t="shared" si="14"/>
        <v>3.5999999999997954</v>
      </c>
      <c r="BU32" s="97">
        <f t="shared" si="14"/>
        <v>2.9000000000000909</v>
      </c>
      <c r="BV32" s="97">
        <f t="shared" si="14"/>
        <v>-5.1999999999999318</v>
      </c>
      <c r="BW32" s="97">
        <f t="shared" ref="BW32:CF35" si="15">+BW10-BV10</f>
        <v>140.70000000000005</v>
      </c>
      <c r="BX32" s="97">
        <f t="shared" si="15"/>
        <v>21.899999999999864</v>
      </c>
      <c r="BY32" s="97">
        <f t="shared" si="15"/>
        <v>19.599999999999909</v>
      </c>
      <c r="BZ32" s="97">
        <f t="shared" si="15"/>
        <v>14.200000000000045</v>
      </c>
      <c r="CA32" s="97">
        <f t="shared" si="15"/>
        <v>5.8000000000001819</v>
      </c>
      <c r="CB32" s="97">
        <f t="shared" si="15"/>
        <v>13.099999999999909</v>
      </c>
      <c r="CC32" s="97">
        <f t="shared" si="15"/>
        <v>10.299999999999955</v>
      </c>
      <c r="CD32" s="97">
        <f t="shared" si="15"/>
        <v>3.6000000000001364</v>
      </c>
      <c r="CE32" s="97">
        <f t="shared" si="15"/>
        <v>6.5</v>
      </c>
      <c r="CF32" s="97">
        <f t="shared" si="15"/>
        <v>-4.6000000000001364</v>
      </c>
      <c r="CG32" s="99"/>
      <c r="CH32" s="99"/>
      <c r="CI32" s="99"/>
      <c r="CJ32" s="99"/>
      <c r="CK32" s="99"/>
      <c r="CL32" s="99"/>
      <c r="CM32" s="99"/>
      <c r="CN32" s="99"/>
      <c r="CO32" s="99"/>
      <c r="CP32" s="99"/>
    </row>
    <row r="33" spans="1:94">
      <c r="A33" s="92" t="s">
        <v>581</v>
      </c>
      <c r="B33" s="97"/>
      <c r="C33" s="97">
        <f t="shared" si="13"/>
        <v>47.499999999999986</v>
      </c>
      <c r="D33" s="97">
        <f t="shared" si="13"/>
        <v>60.2</v>
      </c>
      <c r="E33" s="97">
        <f t="shared" si="13"/>
        <v>47.500000000000028</v>
      </c>
      <c r="F33" s="97">
        <f t="shared" si="13"/>
        <v>159.19999999999999</v>
      </c>
      <c r="G33" s="97">
        <f t="shared" si="13"/>
        <v>126.69999999999999</v>
      </c>
      <c r="H33" s="97">
        <f t="shared" si="13"/>
        <v>111.79999999999995</v>
      </c>
      <c r="I33" s="97">
        <f t="shared" si="13"/>
        <v>79.100000000000136</v>
      </c>
      <c r="J33" s="97">
        <f t="shared" si="13"/>
        <v>73.199999999999818</v>
      </c>
      <c r="K33" s="97">
        <f t="shared" si="13"/>
        <v>48.700000000000045</v>
      </c>
      <c r="L33" s="97">
        <f t="shared" si="13"/>
        <v>73.200000000000045</v>
      </c>
      <c r="M33" s="97">
        <f t="shared" si="13"/>
        <v>152</v>
      </c>
      <c r="N33" s="97">
        <f t="shared" si="13"/>
        <v>73.400000000000091</v>
      </c>
      <c r="O33" s="97">
        <f t="shared" si="13"/>
        <v>64.399999999999864</v>
      </c>
      <c r="P33" s="97">
        <f t="shared" si="13"/>
        <v>179.79999999999995</v>
      </c>
      <c r="Q33" s="97">
        <f t="shared" si="13"/>
        <v>98.100000000000136</v>
      </c>
      <c r="R33" s="97">
        <f t="shared" si="13"/>
        <v>105.39999999999986</v>
      </c>
      <c r="S33" s="97">
        <f t="shared" si="13"/>
        <v>45</v>
      </c>
      <c r="T33" s="97">
        <f t="shared" si="13"/>
        <v>35</v>
      </c>
      <c r="U33" s="97">
        <f t="shared" si="13"/>
        <v>35</v>
      </c>
      <c r="V33" s="97">
        <f t="shared" si="13"/>
        <v>35</v>
      </c>
      <c r="W33" s="97">
        <f t="shared" si="13"/>
        <v>35</v>
      </c>
      <c r="X33" s="97">
        <f t="shared" si="13"/>
        <v>35</v>
      </c>
      <c r="Y33" s="97">
        <f t="shared" si="13"/>
        <v>35</v>
      </c>
      <c r="Z33" s="97">
        <f t="shared" si="13"/>
        <v>35</v>
      </c>
      <c r="AA33" s="97"/>
      <c r="AB33" s="97"/>
      <c r="AC33" s="97"/>
      <c r="AD33" s="99" t="str">
        <f t="shared" si="9"/>
        <v>Broadband adds</v>
      </c>
      <c r="AE33" s="97"/>
      <c r="AF33" s="97">
        <f t="shared" ref="AF33:CB35" si="16">+AF11-AE11</f>
        <v>6.2999999999999972</v>
      </c>
      <c r="AG33" s="97">
        <f t="shared" si="16"/>
        <v>13.000000000000004</v>
      </c>
      <c r="AH33" s="97">
        <f t="shared" si="16"/>
        <v>16.600000000000001</v>
      </c>
      <c r="AI33" s="97">
        <f t="shared" si="16"/>
        <v>11.599999999999987</v>
      </c>
      <c r="AJ33" s="97">
        <f t="shared" si="16"/>
        <v>12.200000000000003</v>
      </c>
      <c r="AK33" s="97">
        <f t="shared" si="16"/>
        <v>17.200000000000003</v>
      </c>
      <c r="AL33" s="97">
        <f t="shared" si="16"/>
        <v>16.299999999999997</v>
      </c>
      <c r="AM33" s="97">
        <f t="shared" si="16"/>
        <v>14.5</v>
      </c>
      <c r="AN33" s="97">
        <f t="shared" si="16"/>
        <v>9.3000000000000114</v>
      </c>
      <c r="AO33" s="97">
        <f t="shared" si="16"/>
        <v>12.599999999999994</v>
      </c>
      <c r="AP33" s="97">
        <f t="shared" si="16"/>
        <v>14.199999999999989</v>
      </c>
      <c r="AQ33" s="97">
        <f t="shared" si="16"/>
        <v>11.400000000000034</v>
      </c>
      <c r="AR33" s="97">
        <f t="shared" si="16"/>
        <v>14.599999999999994</v>
      </c>
      <c r="AS33" s="97">
        <f t="shared" si="16"/>
        <v>64.400000000000006</v>
      </c>
      <c r="AT33" s="97">
        <f t="shared" si="16"/>
        <v>53.5</v>
      </c>
      <c r="AU33" s="97">
        <f t="shared" si="16"/>
        <v>26.699999999999989</v>
      </c>
      <c r="AV33" s="97">
        <f t="shared" si="16"/>
        <v>31.099999999999966</v>
      </c>
      <c r="AW33" s="97">
        <f t="shared" si="16"/>
        <v>38.300000000000011</v>
      </c>
      <c r="AX33" s="97">
        <f t="shared" si="16"/>
        <v>34.199999999999989</v>
      </c>
      <c r="AY33" s="97">
        <f t="shared" si="16"/>
        <v>23.100000000000023</v>
      </c>
      <c r="AZ33" s="97">
        <f t="shared" si="16"/>
        <v>25.699999999999989</v>
      </c>
      <c r="BA33" s="97">
        <f t="shared" si="16"/>
        <v>33.800000000000011</v>
      </c>
      <c r="BB33" s="97">
        <f t="shared" si="16"/>
        <v>36.299999999999955</v>
      </c>
      <c r="BC33" s="97">
        <f t="shared" si="16"/>
        <v>16</v>
      </c>
      <c r="BD33" s="97">
        <f t="shared" si="16"/>
        <v>22.400000000000091</v>
      </c>
      <c r="BE33" s="97">
        <f t="shared" si="16"/>
        <v>27.399999999999977</v>
      </c>
      <c r="BF33" s="97">
        <f t="shared" si="16"/>
        <v>18.800000000000068</v>
      </c>
      <c r="BG33" s="97">
        <f t="shared" si="16"/>
        <v>10.5</v>
      </c>
      <c r="BH33" s="97">
        <f t="shared" si="16"/>
        <v>21.299999999999955</v>
      </c>
      <c r="BI33" s="97">
        <f t="shared" si="16"/>
        <v>24.499999999999886</v>
      </c>
      <c r="BJ33" s="97">
        <f t="shared" si="16"/>
        <v>19.300000000000068</v>
      </c>
      <c r="BK33" s="97">
        <f t="shared" si="16"/>
        <v>8.0999999999999091</v>
      </c>
      <c r="BL33" s="97">
        <f t="shared" si="16"/>
        <v>1.7000000000000455</v>
      </c>
      <c r="BM33" s="97">
        <f t="shared" si="16"/>
        <v>22.600000000000136</v>
      </c>
      <c r="BN33" s="97">
        <f t="shared" si="16"/>
        <v>14.5</v>
      </c>
      <c r="BO33" s="97">
        <f t="shared" si="16"/>
        <v>9.8999999999998636</v>
      </c>
      <c r="BP33" s="97">
        <f t="shared" si="16"/>
        <v>18.200000000000045</v>
      </c>
      <c r="BQ33" s="97">
        <f t="shared" si="16"/>
        <v>29.700000000000045</v>
      </c>
      <c r="BR33" s="97">
        <f t="shared" si="16"/>
        <v>18.399999999999864</v>
      </c>
      <c r="BS33" s="97">
        <f t="shared" si="16"/>
        <v>6.9000000000000909</v>
      </c>
      <c r="BT33" s="97">
        <f t="shared" si="16"/>
        <v>17.100000000000023</v>
      </c>
      <c r="BU33" s="97">
        <f t="shared" si="16"/>
        <v>24.700000000000045</v>
      </c>
      <c r="BV33" s="97">
        <f t="shared" si="16"/>
        <v>15.699999999999932</v>
      </c>
      <c r="BW33" s="97">
        <f t="shared" si="16"/>
        <v>94.5</v>
      </c>
      <c r="BX33" s="97">
        <f t="shared" si="16"/>
        <v>25.900000000000091</v>
      </c>
      <c r="BY33" s="97">
        <f t="shared" si="16"/>
        <v>23.199999999999818</v>
      </c>
      <c r="BZ33" s="97">
        <f t="shared" si="16"/>
        <v>15.200000000000045</v>
      </c>
      <c r="CA33" s="97">
        <f t="shared" si="16"/>
        <v>9.1000000000001364</v>
      </c>
      <c r="CB33" s="97">
        <f t="shared" si="16"/>
        <v>18.5</v>
      </c>
      <c r="CC33" s="97">
        <f t="shared" si="15"/>
        <v>24</v>
      </c>
      <c r="CD33" s="97">
        <f t="shared" si="15"/>
        <v>17.5</v>
      </c>
      <c r="CE33" s="97">
        <f t="shared" si="15"/>
        <v>4.3999999999998636</v>
      </c>
      <c r="CF33" s="97">
        <f t="shared" si="15"/>
        <v>26.600000000000136</v>
      </c>
      <c r="CG33" s="99"/>
      <c r="CH33" s="99"/>
      <c r="CI33" s="99"/>
      <c r="CJ33" s="99"/>
      <c r="CK33" s="99"/>
      <c r="CL33" s="99"/>
      <c r="CM33" s="99"/>
      <c r="CN33" s="99"/>
      <c r="CO33" s="99"/>
      <c r="CP33" s="99"/>
    </row>
    <row r="34" spans="1:94">
      <c r="A34" s="92" t="s">
        <v>582</v>
      </c>
      <c r="B34" s="97"/>
      <c r="C34" s="97">
        <f t="shared" si="13"/>
        <v>44.900000000000006</v>
      </c>
      <c r="D34" s="97">
        <f t="shared" si="13"/>
        <v>43.200000000000017</v>
      </c>
      <c r="E34" s="97">
        <f t="shared" si="13"/>
        <v>38.699999999999989</v>
      </c>
      <c r="F34" s="97">
        <f t="shared" si="13"/>
        <v>71.099999999999966</v>
      </c>
      <c r="G34" s="97">
        <f t="shared" si="13"/>
        <v>104.20000000000005</v>
      </c>
      <c r="H34" s="97">
        <f t="shared" si="13"/>
        <v>88.199999999999989</v>
      </c>
      <c r="I34" s="97">
        <f t="shared" si="13"/>
        <v>52.300000000000068</v>
      </c>
      <c r="J34" s="97">
        <f t="shared" si="13"/>
        <v>45.199999999999932</v>
      </c>
      <c r="K34" s="97">
        <f t="shared" si="13"/>
        <v>-0.39999999999997726</v>
      </c>
      <c r="L34" s="97">
        <f t="shared" si="13"/>
        <v>26</v>
      </c>
      <c r="M34" s="97">
        <f t="shared" si="13"/>
        <v>75.399999999999977</v>
      </c>
      <c r="N34" s="97">
        <f t="shared" si="13"/>
        <v>50.800000000000068</v>
      </c>
      <c r="O34" s="97">
        <f t="shared" si="13"/>
        <v>31.699999999999932</v>
      </c>
      <c r="P34" s="97">
        <f t="shared" si="13"/>
        <v>29.399999999999977</v>
      </c>
      <c r="Q34" s="97">
        <f t="shared" si="13"/>
        <v>-18.100000000000023</v>
      </c>
      <c r="R34" s="97">
        <f t="shared" ca="1" si="13"/>
        <v>-17.899999999999864</v>
      </c>
      <c r="S34" s="97">
        <f t="shared" ca="1" si="13"/>
        <v>10</v>
      </c>
      <c r="T34" s="97">
        <f t="shared" ca="1" si="13"/>
        <v>10</v>
      </c>
      <c r="U34" s="97">
        <f t="shared" ca="1" si="13"/>
        <v>10</v>
      </c>
      <c r="V34" s="97">
        <f t="shared" ca="1" si="13"/>
        <v>10</v>
      </c>
      <c r="W34" s="97">
        <f t="shared" ca="1" si="13"/>
        <v>10</v>
      </c>
      <c r="X34" s="97">
        <f t="shared" ca="1" si="13"/>
        <v>10</v>
      </c>
      <c r="Y34" s="97">
        <f t="shared" ca="1" si="13"/>
        <v>10</v>
      </c>
      <c r="Z34" s="97">
        <f t="shared" ca="1" si="13"/>
        <v>10</v>
      </c>
      <c r="AA34" s="97"/>
      <c r="AB34" s="97"/>
      <c r="AC34" s="97"/>
      <c r="AD34" s="99" t="str">
        <f t="shared" si="9"/>
        <v>Telephony adds</v>
      </c>
      <c r="AE34" s="97"/>
      <c r="AF34" s="97">
        <f t="shared" si="16"/>
        <v>10.900000000000006</v>
      </c>
      <c r="AG34" s="97">
        <f t="shared" si="16"/>
        <v>14.800000000000011</v>
      </c>
      <c r="AH34" s="97">
        <f t="shared" si="16"/>
        <v>9</v>
      </c>
      <c r="AI34" s="97">
        <f t="shared" si="16"/>
        <v>10.199999999999989</v>
      </c>
      <c r="AJ34" s="97">
        <f t="shared" si="16"/>
        <v>5.3000000000000114</v>
      </c>
      <c r="AK34" s="97">
        <f t="shared" si="16"/>
        <v>11.599999999999994</v>
      </c>
      <c r="AL34" s="97">
        <f t="shared" si="16"/>
        <v>13.300000000000011</v>
      </c>
      <c r="AM34" s="97">
        <f t="shared" si="16"/>
        <v>13</v>
      </c>
      <c r="AN34" s="97">
        <f t="shared" si="16"/>
        <v>9.0999999999999659</v>
      </c>
      <c r="AO34" s="97">
        <f t="shared" si="16"/>
        <v>8.6000000000000227</v>
      </c>
      <c r="AP34" s="97">
        <f t="shared" si="16"/>
        <v>7.3000000000000114</v>
      </c>
      <c r="AQ34" s="97">
        <f t="shared" si="16"/>
        <v>13.699999999999989</v>
      </c>
      <c r="AR34" s="97">
        <f t="shared" si="16"/>
        <v>6.8000000000000114</v>
      </c>
      <c r="AS34" s="97">
        <f t="shared" si="16"/>
        <v>20.800000000000011</v>
      </c>
      <c r="AT34" s="97">
        <f t="shared" si="16"/>
        <v>20.799999999999955</v>
      </c>
      <c r="AU34" s="97">
        <f t="shared" si="16"/>
        <v>22.699999999999989</v>
      </c>
      <c r="AV34" s="97">
        <f t="shared" si="16"/>
        <v>24.500000000000057</v>
      </c>
      <c r="AW34" s="97">
        <f t="shared" si="16"/>
        <v>32.699999999999989</v>
      </c>
      <c r="AX34" s="97">
        <f t="shared" si="16"/>
        <v>28.299999999999955</v>
      </c>
      <c r="AY34" s="97">
        <f t="shared" si="16"/>
        <v>18.700000000000045</v>
      </c>
      <c r="AZ34" s="97">
        <f t="shared" si="16"/>
        <v>19.100000000000023</v>
      </c>
      <c r="BA34" s="97">
        <f t="shared" si="16"/>
        <v>19.099999999999966</v>
      </c>
      <c r="BB34" s="97">
        <f t="shared" si="16"/>
        <v>24.600000000000023</v>
      </c>
      <c r="BC34" s="97">
        <f t="shared" si="16"/>
        <v>25.399999999999977</v>
      </c>
      <c r="BD34" s="97">
        <f t="shared" si="16"/>
        <v>14.300000000000068</v>
      </c>
      <c r="BE34" s="97">
        <f t="shared" si="16"/>
        <v>15.199999999999932</v>
      </c>
      <c r="BF34" s="97">
        <f t="shared" si="16"/>
        <v>12.400000000000091</v>
      </c>
      <c r="BG34" s="97">
        <f t="shared" si="16"/>
        <v>10.399999999999977</v>
      </c>
      <c r="BH34" s="97">
        <f t="shared" si="16"/>
        <v>13.599999999999909</v>
      </c>
      <c r="BI34" s="97">
        <f t="shared" si="16"/>
        <v>16.700000000000045</v>
      </c>
      <c r="BJ34" s="97">
        <f t="shared" si="16"/>
        <v>10.899999999999977</v>
      </c>
      <c r="BK34" s="97">
        <f t="shared" si="16"/>
        <v>4</v>
      </c>
      <c r="BL34" s="97">
        <f t="shared" si="16"/>
        <v>-0.89999999999997726</v>
      </c>
      <c r="BM34" s="97">
        <f t="shared" si="16"/>
        <v>-0.89999999999997726</v>
      </c>
      <c r="BN34" s="97">
        <f t="shared" si="16"/>
        <v>-3.4000000000000909</v>
      </c>
      <c r="BO34" s="97">
        <f t="shared" si="16"/>
        <v>4.8000000000000682</v>
      </c>
      <c r="BP34" s="97">
        <f t="shared" si="16"/>
        <v>3.8999999999999773</v>
      </c>
      <c r="BQ34" s="97">
        <f t="shared" si="16"/>
        <v>10</v>
      </c>
      <c r="BR34" s="97">
        <f t="shared" si="16"/>
        <v>6.3999999999999773</v>
      </c>
      <c r="BS34" s="97">
        <f t="shared" si="16"/>
        <v>5.7000000000000455</v>
      </c>
      <c r="BT34" s="97">
        <f t="shared" si="16"/>
        <v>12.599999999999909</v>
      </c>
      <c r="BU34" s="97">
        <f t="shared" si="16"/>
        <v>18.200000000000045</v>
      </c>
      <c r="BV34" s="97">
        <f t="shared" si="16"/>
        <v>8.6000000000000227</v>
      </c>
      <c r="BW34" s="97">
        <f t="shared" si="16"/>
        <v>36</v>
      </c>
      <c r="BX34" s="97">
        <f t="shared" si="16"/>
        <v>14.899999999999977</v>
      </c>
      <c r="BY34" s="97">
        <f t="shared" si="16"/>
        <v>14.899999999999977</v>
      </c>
      <c r="BZ34" s="97">
        <f t="shared" si="16"/>
        <v>12.900000000000091</v>
      </c>
      <c r="CA34" s="97">
        <f t="shared" si="16"/>
        <v>8.1000000000000227</v>
      </c>
      <c r="CB34" s="97">
        <f t="shared" si="16"/>
        <v>17.399999999999977</v>
      </c>
      <c r="CC34" s="97">
        <f t="shared" si="15"/>
        <v>15.799999999999955</v>
      </c>
      <c r="CD34" s="97">
        <f t="shared" si="15"/>
        <v>3.5999999999999091</v>
      </c>
      <c r="CE34" s="97">
        <f t="shared" si="15"/>
        <v>-5.0999999999999091</v>
      </c>
      <c r="CF34" s="97">
        <f t="shared" si="15"/>
        <v>13.600000000000023</v>
      </c>
      <c r="CG34" s="99"/>
      <c r="CH34" s="99"/>
      <c r="CI34" s="99"/>
      <c r="CJ34" s="99"/>
      <c r="CK34" s="99"/>
      <c r="CL34" s="99"/>
      <c r="CM34" s="99"/>
      <c r="CN34" s="99"/>
      <c r="CO34" s="99"/>
      <c r="CP34" s="99"/>
    </row>
    <row r="35" spans="1:94">
      <c r="A35" s="92" t="s">
        <v>583</v>
      </c>
      <c r="B35" s="97"/>
      <c r="C35" s="97">
        <f t="shared" si="13"/>
        <v>0</v>
      </c>
      <c r="D35" s="97">
        <f t="shared" si="13"/>
        <v>0</v>
      </c>
      <c r="E35" s="97">
        <f t="shared" si="13"/>
        <v>0</v>
      </c>
      <c r="F35" s="97">
        <f t="shared" si="13"/>
        <v>0</v>
      </c>
      <c r="G35" s="97">
        <f t="shared" si="13"/>
        <v>0</v>
      </c>
      <c r="H35" s="97">
        <f t="shared" si="13"/>
        <v>0</v>
      </c>
      <c r="I35" s="97">
        <f t="shared" si="13"/>
        <v>0</v>
      </c>
      <c r="J35" s="97">
        <f t="shared" si="13"/>
        <v>0</v>
      </c>
      <c r="K35" s="97">
        <f t="shared" si="13"/>
        <v>0</v>
      </c>
      <c r="L35" s="97">
        <f t="shared" si="13"/>
        <v>0</v>
      </c>
      <c r="M35" s="97">
        <f t="shared" si="13"/>
        <v>40</v>
      </c>
      <c r="N35" s="97">
        <f t="shared" si="13"/>
        <v>31.299999999999997</v>
      </c>
      <c r="O35" s="97">
        <f t="shared" si="13"/>
        <v>39.200000000000003</v>
      </c>
      <c r="P35" s="97">
        <f t="shared" si="13"/>
        <v>21.5</v>
      </c>
      <c r="Q35" s="97">
        <f t="shared" si="13"/>
        <v>34.199999999999989</v>
      </c>
      <c r="R35" s="97">
        <f t="shared" si="13"/>
        <v>48.700000000000017</v>
      </c>
      <c r="S35" s="97">
        <f t="shared" si="13"/>
        <v>30</v>
      </c>
      <c r="T35" s="97">
        <f t="shared" si="13"/>
        <v>29.999999999999972</v>
      </c>
      <c r="U35" s="97">
        <f t="shared" si="13"/>
        <v>30</v>
      </c>
      <c r="V35" s="97">
        <f t="shared" si="13"/>
        <v>30</v>
      </c>
      <c r="W35" s="97">
        <f t="shared" si="13"/>
        <v>30</v>
      </c>
      <c r="X35" s="97">
        <f t="shared" si="13"/>
        <v>30</v>
      </c>
      <c r="Y35" s="97">
        <f t="shared" si="13"/>
        <v>30</v>
      </c>
      <c r="Z35" s="97">
        <f t="shared" si="13"/>
        <v>30</v>
      </c>
      <c r="AA35" s="97"/>
      <c r="AB35" s="97"/>
      <c r="AC35" s="97"/>
      <c r="AD35" s="99" t="str">
        <f t="shared" si="9"/>
        <v>Mobile adds</v>
      </c>
      <c r="AE35" s="97"/>
      <c r="AF35" s="97">
        <f t="shared" si="16"/>
        <v>0</v>
      </c>
      <c r="AG35" s="97">
        <f t="shared" si="16"/>
        <v>0</v>
      </c>
      <c r="AH35" s="97">
        <f t="shared" si="16"/>
        <v>0</v>
      </c>
      <c r="AI35" s="97">
        <f t="shared" si="16"/>
        <v>0</v>
      </c>
      <c r="AJ35" s="97">
        <f t="shared" si="16"/>
        <v>0</v>
      </c>
      <c r="AK35" s="97">
        <f t="shared" si="16"/>
        <v>0</v>
      </c>
      <c r="AL35" s="97">
        <f t="shared" si="16"/>
        <v>0</v>
      </c>
      <c r="AM35" s="97">
        <f t="shared" si="16"/>
        <v>0</v>
      </c>
      <c r="AN35" s="97">
        <f t="shared" si="16"/>
        <v>0</v>
      </c>
      <c r="AO35" s="97">
        <f t="shared" si="16"/>
        <v>0</v>
      </c>
      <c r="AP35" s="97">
        <f t="shared" si="16"/>
        <v>0</v>
      </c>
      <c r="AQ35" s="97">
        <f t="shared" si="16"/>
        <v>0</v>
      </c>
      <c r="AR35" s="97">
        <f t="shared" si="16"/>
        <v>0</v>
      </c>
      <c r="AS35" s="97">
        <f t="shared" si="16"/>
        <v>0</v>
      </c>
      <c r="AT35" s="97">
        <f t="shared" si="16"/>
        <v>0</v>
      </c>
      <c r="AU35" s="97">
        <f t="shared" si="16"/>
        <v>0</v>
      </c>
      <c r="AV35" s="97">
        <f t="shared" si="16"/>
        <v>0</v>
      </c>
      <c r="AW35" s="97">
        <f t="shared" si="16"/>
        <v>0</v>
      </c>
      <c r="AX35" s="97">
        <f t="shared" si="16"/>
        <v>0</v>
      </c>
      <c r="AY35" s="97">
        <f t="shared" si="16"/>
        <v>0</v>
      </c>
      <c r="AZ35" s="97">
        <f t="shared" si="16"/>
        <v>0</v>
      </c>
      <c r="BA35" s="97">
        <f t="shared" si="16"/>
        <v>0</v>
      </c>
      <c r="BB35" s="97">
        <f t="shared" si="16"/>
        <v>0</v>
      </c>
      <c r="BC35" s="97">
        <f t="shared" si="16"/>
        <v>0</v>
      </c>
      <c r="BD35" s="97">
        <f t="shared" si="16"/>
        <v>0</v>
      </c>
      <c r="BE35" s="97">
        <f t="shared" si="16"/>
        <v>0</v>
      </c>
      <c r="BF35" s="97">
        <f t="shared" si="16"/>
        <v>0</v>
      </c>
      <c r="BG35" s="97">
        <f t="shared" si="16"/>
        <v>0</v>
      </c>
      <c r="BH35" s="97">
        <f t="shared" si="16"/>
        <v>0</v>
      </c>
      <c r="BI35" s="97">
        <f t="shared" si="16"/>
        <v>0</v>
      </c>
      <c r="BJ35" s="97">
        <f t="shared" si="16"/>
        <v>0</v>
      </c>
      <c r="BK35" s="97">
        <f t="shared" si="16"/>
        <v>0</v>
      </c>
      <c r="BL35" s="97">
        <f t="shared" si="16"/>
        <v>0</v>
      </c>
      <c r="BM35" s="97">
        <f t="shared" si="16"/>
        <v>0</v>
      </c>
      <c r="BN35" s="97">
        <f t="shared" si="16"/>
        <v>0</v>
      </c>
      <c r="BO35" s="97">
        <f t="shared" si="16"/>
        <v>0</v>
      </c>
      <c r="BP35" s="97">
        <f t="shared" si="16"/>
        <v>0</v>
      </c>
      <c r="BQ35" s="97">
        <f t="shared" si="16"/>
        <v>0</v>
      </c>
      <c r="BR35" s="97">
        <f t="shared" si="16"/>
        <v>0</v>
      </c>
      <c r="BS35" s="97">
        <f t="shared" si="16"/>
        <v>0</v>
      </c>
      <c r="BT35" s="97">
        <f t="shared" si="16"/>
        <v>0</v>
      </c>
      <c r="BU35" s="97">
        <f t="shared" si="16"/>
        <v>0</v>
      </c>
      <c r="BV35" s="97">
        <f t="shared" si="16"/>
        <v>0</v>
      </c>
      <c r="BW35" s="97">
        <f t="shared" si="16"/>
        <v>0</v>
      </c>
      <c r="BX35" s="97">
        <f t="shared" si="16"/>
        <v>47.5</v>
      </c>
      <c r="BY35" s="97">
        <f t="shared" si="16"/>
        <v>92.6</v>
      </c>
      <c r="BZ35" s="97">
        <f t="shared" si="16"/>
        <v>-60.199999999999989</v>
      </c>
      <c r="CA35" s="97">
        <f t="shared" si="16"/>
        <v>-8.6000000000000085</v>
      </c>
      <c r="CB35" s="97">
        <f t="shared" si="16"/>
        <v>11.700000000000003</v>
      </c>
      <c r="CC35" s="97">
        <f t="shared" si="15"/>
        <v>6.7000000000000028</v>
      </c>
      <c r="CD35" s="97">
        <f t="shared" si="15"/>
        <v>11</v>
      </c>
      <c r="CE35" s="97">
        <f t="shared" si="15"/>
        <v>9.7999999999999972</v>
      </c>
      <c r="CF35" s="97">
        <f t="shared" si="15"/>
        <v>7</v>
      </c>
      <c r="CG35" s="99"/>
      <c r="CH35" s="99"/>
      <c r="CI35" s="99"/>
      <c r="CJ35" s="99"/>
      <c r="CK35" s="99"/>
      <c r="CL35" s="99"/>
      <c r="CM35" s="99"/>
      <c r="CN35" s="99"/>
      <c r="CO35" s="99"/>
      <c r="CP35" s="99"/>
    </row>
    <row r="36" spans="1:94">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9"/>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row>
    <row r="37" spans="1:94">
      <c r="A37" s="92" t="s">
        <v>584</v>
      </c>
      <c r="B37" s="101">
        <f t="shared" ref="B37:Z37" si="17">+B5/B4</f>
        <v>0.41179799122931116</v>
      </c>
      <c r="C37" s="101">
        <f t="shared" si="17"/>
        <v>0.66144567467818882</v>
      </c>
      <c r="D37" s="101">
        <f t="shared" si="17"/>
        <v>0.671370349270345</v>
      </c>
      <c r="E37" s="101">
        <f t="shared" si="17"/>
        <v>0.5950642289856618</v>
      </c>
      <c r="F37" s="101">
        <f t="shared" si="17"/>
        <v>0.64279634787991324</v>
      </c>
      <c r="G37" s="101">
        <f t="shared" si="17"/>
        <v>0.6881089499800791</v>
      </c>
      <c r="H37" s="101">
        <f t="shared" si="17"/>
        <v>0.71646297627606037</v>
      </c>
      <c r="I37" s="101">
        <f t="shared" si="17"/>
        <v>0.74068263431300763</v>
      </c>
      <c r="J37" s="101">
        <f t="shared" si="17"/>
        <v>0.77774398486077312</v>
      </c>
      <c r="K37" s="101">
        <f t="shared" si="17"/>
        <v>0.78525482434438398</v>
      </c>
      <c r="L37" s="101">
        <f t="shared" si="17"/>
        <v>0.79799440748240291</v>
      </c>
      <c r="M37" s="101">
        <f t="shared" si="17"/>
        <v>0.85107338291006041</v>
      </c>
      <c r="N37" s="101">
        <f t="shared" si="17"/>
        <v>0.85649384619620572</v>
      </c>
      <c r="O37" s="101">
        <f t="shared" si="17"/>
        <v>0.85914308197433031</v>
      </c>
      <c r="P37" s="101">
        <f t="shared" si="17"/>
        <v>0.87503025022990188</v>
      </c>
      <c r="Q37" s="101">
        <f t="shared" si="17"/>
        <v>0.88254542922787726</v>
      </c>
      <c r="R37" s="101">
        <f t="shared" si="17"/>
        <v>0.89331414655744967</v>
      </c>
      <c r="S37" s="101">
        <f t="shared" si="17"/>
        <v>0.90200301529183713</v>
      </c>
      <c r="T37" s="101">
        <f t="shared" si="17"/>
        <v>0.89222387485319721</v>
      </c>
      <c r="U37" s="101">
        <f t="shared" si="17"/>
        <v>0.89200313266803399</v>
      </c>
      <c r="V37" s="101">
        <f t="shared" si="17"/>
        <v>0.89178636865301419</v>
      </c>
      <c r="W37" s="101">
        <f t="shared" si="17"/>
        <v>0.89157347622787841</v>
      </c>
      <c r="X37" s="101">
        <f t="shared" si="17"/>
        <v>0.89136435258589664</v>
      </c>
      <c r="Y37" s="101">
        <f t="shared" si="17"/>
        <v>0.89115889852832819</v>
      </c>
      <c r="Z37" s="101">
        <f t="shared" si="17"/>
        <v>0.89095701830752172</v>
      </c>
      <c r="AA37" s="101"/>
      <c r="AB37" s="91"/>
      <c r="AC37" s="91"/>
      <c r="AD37" s="99" t="str">
        <f t="shared" ref="AD37:AD48" si="18">+A37</f>
        <v>HU % HP</v>
      </c>
      <c r="AE37" s="101">
        <f t="shared" ref="AE37:CF37" si="19">+AE5/AE4</f>
        <v>0.41179799122931116</v>
      </c>
      <c r="AF37" s="101">
        <f t="shared" si="19"/>
        <v>0.43166542195668411</v>
      </c>
      <c r="AG37" s="101">
        <f t="shared" si="19"/>
        <v>0.44236324666853044</v>
      </c>
      <c r="AH37" s="101">
        <f t="shared" si="19"/>
        <v>0.65307685377060998</v>
      </c>
      <c r="AI37" s="101">
        <f t="shared" si="19"/>
        <v>0.66144567467818882</v>
      </c>
      <c r="AJ37" s="101">
        <f t="shared" si="19"/>
        <v>0.65947220862444922</v>
      </c>
      <c r="AK37" s="101">
        <f t="shared" si="19"/>
        <v>0.66626889419252189</v>
      </c>
      <c r="AL37" s="101">
        <f t="shared" si="19"/>
        <v>0.66726705618767301</v>
      </c>
      <c r="AM37" s="101">
        <f t="shared" si="19"/>
        <v>0.671370349270345</v>
      </c>
      <c r="AN37" s="101">
        <f t="shared" si="19"/>
        <v>0.67275632720048362</v>
      </c>
      <c r="AO37" s="101">
        <f t="shared" si="19"/>
        <v>0.66938653451811347</v>
      </c>
      <c r="AP37" s="101">
        <f t="shared" si="19"/>
        <v>0.5925687630690043</v>
      </c>
      <c r="AQ37" s="101">
        <f t="shared" si="19"/>
        <v>0.5950642289856618</v>
      </c>
      <c r="AR37" s="101">
        <f t="shared" si="19"/>
        <v>0.59713983050847463</v>
      </c>
      <c r="AS37" s="101">
        <f t="shared" si="19"/>
        <v>0.64479347925634234</v>
      </c>
      <c r="AT37" s="101">
        <f t="shared" si="19"/>
        <v>0.66322798076527878</v>
      </c>
      <c r="AU37" s="101">
        <f t="shared" si="19"/>
        <v>0.64279634787991324</v>
      </c>
      <c r="AV37" s="101">
        <f t="shared" si="19"/>
        <v>0.65130320645040318</v>
      </c>
      <c r="AW37" s="101">
        <f t="shared" si="19"/>
        <v>0.66093402520385469</v>
      </c>
      <c r="AX37" s="101">
        <f t="shared" si="19"/>
        <v>0.67314578005115089</v>
      </c>
      <c r="AY37" s="101">
        <f t="shared" si="19"/>
        <v>0.6881089499800791</v>
      </c>
      <c r="AZ37" s="101">
        <f t="shared" si="19"/>
        <v>0.69232423134809717</v>
      </c>
      <c r="BA37" s="101">
        <f t="shared" si="19"/>
        <v>0.70575700536278729</v>
      </c>
      <c r="BB37" s="101">
        <f t="shared" si="19"/>
        <v>0.71368577075098816</v>
      </c>
      <c r="BC37" s="101">
        <f t="shared" si="19"/>
        <v>0.71646297627606037</v>
      </c>
      <c r="BD37" s="101">
        <f t="shared" si="19"/>
        <v>0.71718979277763861</v>
      </c>
      <c r="BE37" s="101">
        <f t="shared" si="19"/>
        <v>0.72417601995367897</v>
      </c>
      <c r="BF37" s="101">
        <f t="shared" si="19"/>
        <v>0.73466149506346967</v>
      </c>
      <c r="BG37" s="101">
        <f t="shared" si="19"/>
        <v>0.74068263431300763</v>
      </c>
      <c r="BH37" s="101">
        <f t="shared" si="19"/>
        <v>0.75423523298111894</v>
      </c>
      <c r="BI37" s="101">
        <f t="shared" si="19"/>
        <v>0.76176248368706634</v>
      </c>
      <c r="BJ37" s="101">
        <f t="shared" si="19"/>
        <v>0.77464597412300062</v>
      </c>
      <c r="BK37" s="101">
        <f t="shared" si="19"/>
        <v>0.77774398486077312</v>
      </c>
      <c r="BL37" s="101">
        <f t="shared" si="19"/>
        <v>0.77964141122035846</v>
      </c>
      <c r="BM37" s="101">
        <f t="shared" si="19"/>
        <v>0.78191650152823022</v>
      </c>
      <c r="BN37" s="101">
        <f t="shared" si="19"/>
        <v>0.78427927330592762</v>
      </c>
      <c r="BO37" s="101">
        <f t="shared" si="19"/>
        <v>0.78525482434438398</v>
      </c>
      <c r="BP37" s="101">
        <f t="shared" si="19"/>
        <v>0.78548376473687676</v>
      </c>
      <c r="BQ37" s="101">
        <f t="shared" si="19"/>
        <v>0.79257905557549846</v>
      </c>
      <c r="BR37" s="101">
        <f t="shared" si="19"/>
        <v>0.79504992083750681</v>
      </c>
      <c r="BS37" s="101">
        <f t="shared" si="19"/>
        <v>0.79799440748240291</v>
      </c>
      <c r="BT37" s="101">
        <f t="shared" si="19"/>
        <v>0.79953798767967144</v>
      </c>
      <c r="BU37" s="101">
        <f t="shared" si="19"/>
        <v>0.81624149118900691</v>
      </c>
      <c r="BV37" s="101">
        <f t="shared" si="19"/>
        <v>0.8294573643410853</v>
      </c>
      <c r="BW37" s="101">
        <f t="shared" si="19"/>
        <v>0.85107338291006041</v>
      </c>
      <c r="BX37" s="101">
        <f t="shared" si="19"/>
        <v>0.85146185728688251</v>
      </c>
      <c r="BY37" s="101">
        <f t="shared" si="19"/>
        <v>0.85351932286446142</v>
      </c>
      <c r="BZ37" s="101">
        <f t="shared" si="19"/>
        <v>0.85542535804315922</v>
      </c>
      <c r="CA37" s="101">
        <f t="shared" si="19"/>
        <v>0.85649384619620572</v>
      </c>
      <c r="CB37" s="101">
        <f t="shared" si="19"/>
        <v>0.85681299650897502</v>
      </c>
      <c r="CC37" s="101">
        <f t="shared" si="19"/>
        <v>0.85751437174924716</v>
      </c>
      <c r="CD37" s="101">
        <f t="shared" si="19"/>
        <v>0.85856579126411747</v>
      </c>
      <c r="CE37" s="101">
        <f t="shared" si="19"/>
        <v>0.85914308197433031</v>
      </c>
      <c r="CF37" s="101">
        <f t="shared" si="19"/>
        <v>0.85950659409104446</v>
      </c>
    </row>
    <row r="38" spans="1:94">
      <c r="A38" s="92" t="s">
        <v>585</v>
      </c>
      <c r="B38" s="101">
        <f t="shared" ref="B38:Z38" si="20">+(B8+B9)/B10</f>
        <v>3.3326302467833788E-2</v>
      </c>
      <c r="C38" s="101">
        <f t="shared" si="20"/>
        <v>3.2251479893855892E-2</v>
      </c>
      <c r="D38" s="101">
        <f t="shared" si="20"/>
        <v>2.3310023310023312E-2</v>
      </c>
      <c r="E38" s="101">
        <f t="shared" si="20"/>
        <v>8.6289549376797701E-3</v>
      </c>
      <c r="F38" s="101">
        <f t="shared" si="20"/>
        <v>7.0820565202587671E-2</v>
      </c>
      <c r="G38" s="101">
        <f t="shared" si="20"/>
        <v>0.24480221772043928</v>
      </c>
      <c r="H38" s="101">
        <f t="shared" si="20"/>
        <v>0.29754408060453402</v>
      </c>
      <c r="I38" s="101">
        <f t="shared" si="20"/>
        <v>0.45491803278688525</v>
      </c>
      <c r="J38" s="101">
        <f t="shared" si="20"/>
        <v>0.63133273614014129</v>
      </c>
      <c r="K38" s="101">
        <f t="shared" si="20"/>
        <v>0.70480081716036769</v>
      </c>
      <c r="L38" s="101">
        <f t="shared" si="20"/>
        <v>0.78462464873544757</v>
      </c>
      <c r="M38" s="101">
        <f t="shared" si="20"/>
        <v>0.85664089950808142</v>
      </c>
      <c r="N38" s="101">
        <f t="shared" si="20"/>
        <v>0.88765730477539784</v>
      </c>
      <c r="O38" s="101">
        <f t="shared" si="20"/>
        <v>0.9095184044105723</v>
      </c>
      <c r="P38" s="101">
        <f t="shared" si="20"/>
        <v>0.92728118458795239</v>
      </c>
      <c r="Q38" s="101">
        <f t="shared" si="20"/>
        <v>0.92832034235060368</v>
      </c>
      <c r="R38" s="101">
        <f t="shared" si="20"/>
        <v>0.94919846466470992</v>
      </c>
      <c r="S38" s="101">
        <f t="shared" si="20"/>
        <v>0.98390213068906407</v>
      </c>
      <c r="T38" s="101">
        <f t="shared" si="20"/>
        <v>1</v>
      </c>
      <c r="U38" s="101">
        <f t="shared" si="20"/>
        <v>1</v>
      </c>
      <c r="V38" s="101">
        <f t="shared" si="20"/>
        <v>1</v>
      </c>
      <c r="W38" s="101">
        <f t="shared" si="20"/>
        <v>1</v>
      </c>
      <c r="X38" s="101">
        <f t="shared" si="20"/>
        <v>1</v>
      </c>
      <c r="Y38" s="101">
        <f t="shared" si="20"/>
        <v>1</v>
      </c>
      <c r="Z38" s="101">
        <f t="shared" si="20"/>
        <v>1</v>
      </c>
      <c r="AA38" s="101"/>
      <c r="AB38" s="91"/>
      <c r="AC38" s="91"/>
      <c r="AD38" s="99" t="str">
        <f t="shared" si="18"/>
        <v>Digital % video</v>
      </c>
      <c r="AE38" s="101">
        <f t="shared" ref="AE38:CF38" si="21">+(AE8+AE9)/AE10</f>
        <v>3.3326302467833788E-2</v>
      </c>
      <c r="AF38" s="101">
        <f t="shared" si="21"/>
        <v>3.5898538263112643E-2</v>
      </c>
      <c r="AG38" s="101">
        <f t="shared" si="21"/>
        <v>3.5661841829242709E-2</v>
      </c>
      <c r="AH38" s="101">
        <f t="shared" si="21"/>
        <v>3.4982405299109912E-2</v>
      </c>
      <c r="AI38" s="101">
        <f t="shared" si="21"/>
        <v>3.2251479893855892E-2</v>
      </c>
      <c r="AJ38" s="101">
        <f t="shared" si="21"/>
        <v>3.0032467532467532E-2</v>
      </c>
      <c r="AK38" s="101">
        <f t="shared" si="21"/>
        <v>2.7199999999999998E-2</v>
      </c>
      <c r="AL38" s="101">
        <f t="shared" si="21"/>
        <v>2.5201811380192955E-2</v>
      </c>
      <c r="AM38" s="101">
        <f t="shared" si="21"/>
        <v>2.3310023310023312E-2</v>
      </c>
      <c r="AN38" s="101">
        <f t="shared" si="21"/>
        <v>2.2437137330754354E-2</v>
      </c>
      <c r="AO38" s="101">
        <f t="shared" si="21"/>
        <v>2.147880631058734E-2</v>
      </c>
      <c r="AP38" s="101">
        <f t="shared" si="21"/>
        <v>2.0985572418961963E-2</v>
      </c>
      <c r="AQ38" s="101">
        <f t="shared" si="21"/>
        <v>8.6289549376797701E-3</v>
      </c>
      <c r="AR38" s="101">
        <f t="shared" si="21"/>
        <v>0</v>
      </c>
      <c r="AS38" s="101">
        <f t="shared" si="21"/>
        <v>1.3372559507889811E-3</v>
      </c>
      <c r="AT38" s="101">
        <f t="shared" si="21"/>
        <v>6.4330182153562371E-2</v>
      </c>
      <c r="AU38" s="101">
        <f t="shared" si="21"/>
        <v>7.0820565202587671E-2</v>
      </c>
      <c r="AV38" s="101">
        <f t="shared" si="21"/>
        <v>0.11588743629514736</v>
      </c>
      <c r="AW38" s="101">
        <f t="shared" si="21"/>
        <v>0.19553012308356724</v>
      </c>
      <c r="AX38" s="101">
        <f t="shared" si="21"/>
        <v>0.22104587744626247</v>
      </c>
      <c r="AY38" s="101">
        <f t="shared" si="21"/>
        <v>0.24480221772043928</v>
      </c>
      <c r="AZ38" s="101">
        <f t="shared" si="21"/>
        <v>0.24009821714529728</v>
      </c>
      <c r="BA38" s="101">
        <f t="shared" si="21"/>
        <v>0.25243026204564667</v>
      </c>
      <c r="BB38" s="101">
        <f t="shared" si="21"/>
        <v>0.25847989949748745</v>
      </c>
      <c r="BC38" s="101">
        <f t="shared" si="21"/>
        <v>0.29754408060453402</v>
      </c>
      <c r="BD38" s="101">
        <f t="shared" si="21"/>
        <v>0.32419849751349061</v>
      </c>
      <c r="BE38" s="101">
        <f t="shared" si="21"/>
        <v>0.36862498690962409</v>
      </c>
      <c r="BF38" s="101">
        <f t="shared" si="21"/>
        <v>0.40460320766506974</v>
      </c>
      <c r="BG38" s="101">
        <f t="shared" si="21"/>
        <v>0.45491803278688525</v>
      </c>
      <c r="BH38" s="101">
        <f t="shared" si="21"/>
        <v>0.53265617064499748</v>
      </c>
      <c r="BI38" s="101">
        <f t="shared" si="21"/>
        <v>0.57428367492607324</v>
      </c>
      <c r="BJ38" s="101">
        <f t="shared" si="21"/>
        <v>0.60596562184024261</v>
      </c>
      <c r="BK38" s="101">
        <f t="shared" si="21"/>
        <v>0.63133273614014129</v>
      </c>
      <c r="BL38" s="101">
        <f t="shared" si="21"/>
        <v>0.64369576314446142</v>
      </c>
      <c r="BM38" s="101">
        <f t="shared" si="21"/>
        <v>0.66585341059266034</v>
      </c>
      <c r="BN38" s="101">
        <f t="shared" si="21"/>
        <v>0.68437212158428007</v>
      </c>
      <c r="BO38" s="101">
        <f t="shared" si="21"/>
        <v>0.70480081716036769</v>
      </c>
      <c r="BP38" s="101">
        <f t="shared" si="21"/>
        <v>0.7292132547265705</v>
      </c>
      <c r="BQ38" s="101">
        <f t="shared" si="21"/>
        <v>0.7523618090452262</v>
      </c>
      <c r="BR38" s="101">
        <f t="shared" si="21"/>
        <v>0.7695539107821564</v>
      </c>
      <c r="BS38" s="101">
        <f t="shared" si="21"/>
        <v>0.78462464873544757</v>
      </c>
      <c r="BT38" s="101">
        <f t="shared" si="21"/>
        <v>0.80059999999999998</v>
      </c>
      <c r="BU38" s="101">
        <f t="shared" si="21"/>
        <v>0.81563465948748626</v>
      </c>
      <c r="BV38" s="101">
        <f t="shared" si="21"/>
        <v>0.82700210484113457</v>
      </c>
      <c r="BW38" s="101">
        <f t="shared" si="21"/>
        <v>0.85664089950808142</v>
      </c>
      <c r="BX38" s="101">
        <f t="shared" si="21"/>
        <v>0.86641385848487462</v>
      </c>
      <c r="BY38" s="101">
        <f t="shared" si="21"/>
        <v>0.87481989999152487</v>
      </c>
      <c r="BZ38" s="101">
        <f t="shared" si="21"/>
        <v>0.88225441755296885</v>
      </c>
      <c r="CA38" s="101">
        <f t="shared" si="21"/>
        <v>0.88765730477539784</v>
      </c>
      <c r="CB38" s="101">
        <f t="shared" si="21"/>
        <v>0.89455894476504527</v>
      </c>
      <c r="CC38" s="101">
        <f t="shared" si="21"/>
        <v>0.90010626992561116</v>
      </c>
      <c r="CD38" s="101">
        <f t="shared" si="21"/>
        <v>0.90528975466623196</v>
      </c>
      <c r="CE38" s="101">
        <f t="shared" si="21"/>
        <v>0.9095184044105723</v>
      </c>
      <c r="CF38" s="101">
        <f t="shared" si="21"/>
        <v>0.91365559895833337</v>
      </c>
    </row>
    <row r="39" spans="1:94">
      <c r="A39" s="92" t="s">
        <v>586</v>
      </c>
      <c r="B39" s="101">
        <f t="shared" ref="B39:Z39" si="22">+B11/B5</f>
        <v>2.9085079583190197E-2</v>
      </c>
      <c r="C39" s="101">
        <f t="shared" si="22"/>
        <v>4.9605334784975495E-2</v>
      </c>
      <c r="D39" s="101">
        <f t="shared" si="22"/>
        <v>8.6879895561357695E-2</v>
      </c>
      <c r="E39" s="101">
        <f t="shared" si="22"/>
        <v>0.16176997491938375</v>
      </c>
      <c r="F39" s="101">
        <f t="shared" si="22"/>
        <v>0.20451399337947637</v>
      </c>
      <c r="G39" s="101">
        <f t="shared" si="22"/>
        <v>0.24555216338561953</v>
      </c>
      <c r="H39" s="101">
        <f t="shared" si="22"/>
        <v>0.29013646397752357</v>
      </c>
      <c r="I39" s="101">
        <f t="shared" si="22"/>
        <v>0.30943751470934344</v>
      </c>
      <c r="J39" s="101">
        <f t="shared" si="22"/>
        <v>0.31744514447099714</v>
      </c>
      <c r="K39" s="101">
        <f t="shared" si="22"/>
        <v>0.32736819995799199</v>
      </c>
      <c r="L39" s="101">
        <f t="shared" si="22"/>
        <v>0.34336233285000806</v>
      </c>
      <c r="M39" s="101">
        <f t="shared" si="22"/>
        <v>0.33121208124505408</v>
      </c>
      <c r="N39" s="101">
        <f t="shared" si="22"/>
        <v>0.34651364644613758</v>
      </c>
      <c r="O39" s="101">
        <f t="shared" si="22"/>
        <v>0.36077948329227466</v>
      </c>
      <c r="P39" s="101">
        <f t="shared" si="22"/>
        <v>0.3656452237402511</v>
      </c>
      <c r="Q39" s="101">
        <f t="shared" si="22"/>
        <v>0.37346165982959922</v>
      </c>
      <c r="R39" s="101">
        <f t="shared" si="22"/>
        <v>0.37808232757552473</v>
      </c>
      <c r="S39" s="101">
        <f t="shared" si="22"/>
        <v>0.37502387774594076</v>
      </c>
      <c r="T39" s="101">
        <f t="shared" si="22"/>
        <v>0.38402653605573028</v>
      </c>
      <c r="U39" s="101">
        <f t="shared" si="22"/>
        <v>0.38892603274594806</v>
      </c>
      <c r="V39" s="101">
        <f t="shared" si="22"/>
        <v>0.39373959206870274</v>
      </c>
      <c r="W39" s="101">
        <f t="shared" si="22"/>
        <v>0.39846945538450002</v>
      </c>
      <c r="X39" s="101">
        <f t="shared" si="22"/>
        <v>0.40311778678208965</v>
      </c>
      <c r="Y39" s="101">
        <f t="shared" si="22"/>
        <v>0.4076866763799773</v>
      </c>
      <c r="Z39" s="101">
        <f t="shared" si="22"/>
        <v>0.41217814346009685</v>
      </c>
      <c r="AA39" s="101"/>
      <c r="AB39" s="91"/>
      <c r="AC39" s="91"/>
      <c r="AD39" s="99" t="str">
        <f t="shared" si="18"/>
        <v>Broadband % HU</v>
      </c>
      <c r="AE39" s="101">
        <f t="shared" ref="AE39:CF39" si="23">+AE11/AE5</f>
        <v>2.9085079583190197E-2</v>
      </c>
      <c r="AF39" s="101">
        <f t="shared" si="23"/>
        <v>3.4277681660899652E-2</v>
      </c>
      <c r="AG39" s="101">
        <f t="shared" si="23"/>
        <v>4.7082367811249214E-2</v>
      </c>
      <c r="AH39" s="101">
        <f t="shared" si="23"/>
        <v>4.2284610609091534E-2</v>
      </c>
      <c r="AI39" s="101">
        <f t="shared" si="23"/>
        <v>4.9605334784975495E-2</v>
      </c>
      <c r="AJ39" s="101">
        <f t="shared" si="23"/>
        <v>5.7426277076725818E-2</v>
      </c>
      <c r="AK39" s="101">
        <f t="shared" si="23"/>
        <v>6.786069651741293E-2</v>
      </c>
      <c r="AL39" s="101">
        <f t="shared" si="23"/>
        <v>7.8082823095661322E-2</v>
      </c>
      <c r="AM39" s="101">
        <f t="shared" si="23"/>
        <v>8.6879895561357695E-2</v>
      </c>
      <c r="AN39" s="101">
        <f t="shared" si="23"/>
        <v>9.1416832509469109E-2</v>
      </c>
      <c r="AO39" s="101">
        <f t="shared" si="23"/>
        <v>9.8921437232752568E-2</v>
      </c>
      <c r="AP39" s="101">
        <f t="shared" si="23"/>
        <v>0.1530944625407166</v>
      </c>
      <c r="AQ39" s="101">
        <f t="shared" si="23"/>
        <v>0.16176997491938375</v>
      </c>
      <c r="AR39" s="101">
        <f t="shared" si="23"/>
        <v>0.17314174206138017</v>
      </c>
      <c r="AS39" s="101">
        <f t="shared" si="23"/>
        <v>0.18436190611462253</v>
      </c>
      <c r="AT39" s="101">
        <f t="shared" si="23"/>
        <v>0.19402615108136584</v>
      </c>
      <c r="AU39" s="101">
        <f t="shared" si="23"/>
        <v>0.20451399337947637</v>
      </c>
      <c r="AV39" s="101">
        <f t="shared" si="23"/>
        <v>0.21356595842690157</v>
      </c>
      <c r="AW39" s="101">
        <f t="shared" si="23"/>
        <v>0.2294751009421265</v>
      </c>
      <c r="AX39" s="101">
        <f t="shared" si="23"/>
        <v>0.24066435084672166</v>
      </c>
      <c r="AY39" s="101">
        <f t="shared" si="23"/>
        <v>0.24555216338561953</v>
      </c>
      <c r="AZ39" s="101">
        <f t="shared" si="23"/>
        <v>0.25476190476190474</v>
      </c>
      <c r="BA39" s="101">
        <f t="shared" si="23"/>
        <v>0.26469404186795492</v>
      </c>
      <c r="BB39" s="101">
        <f t="shared" si="23"/>
        <v>0.27804974533946497</v>
      </c>
      <c r="BC39" s="101">
        <f t="shared" si="23"/>
        <v>0.29013646397752357</v>
      </c>
      <c r="BD39" s="101">
        <f t="shared" si="23"/>
        <v>0.29976545735815163</v>
      </c>
      <c r="BE39" s="101">
        <f t="shared" si="23"/>
        <v>0.3090434953749262</v>
      </c>
      <c r="BF39" s="101">
        <f t="shared" si="23"/>
        <v>0.31048716102711788</v>
      </c>
      <c r="BG39" s="101">
        <f t="shared" si="23"/>
        <v>0.30943751470934344</v>
      </c>
      <c r="BH39" s="101">
        <f t="shared" si="23"/>
        <v>0.31174498185659827</v>
      </c>
      <c r="BI39" s="101">
        <f t="shared" si="23"/>
        <v>0.31702808710157337</v>
      </c>
      <c r="BJ39" s="101">
        <f t="shared" si="23"/>
        <v>0.31673315505677085</v>
      </c>
      <c r="BK39" s="101">
        <f t="shared" si="23"/>
        <v>0.31744514447099714</v>
      </c>
      <c r="BL39" s="101">
        <f t="shared" si="23"/>
        <v>0.31955838715308083</v>
      </c>
      <c r="BM39" s="101">
        <f t="shared" si="23"/>
        <v>0.32426975945017184</v>
      </c>
      <c r="BN39" s="101">
        <f t="shared" si="23"/>
        <v>0.32523143255695997</v>
      </c>
      <c r="BO39" s="101">
        <f t="shared" si="23"/>
        <v>0.32736819995799199</v>
      </c>
      <c r="BP39" s="101">
        <f t="shared" si="23"/>
        <v>0.33435351333221536</v>
      </c>
      <c r="BQ39" s="101">
        <f t="shared" si="23"/>
        <v>0.3405937332729444</v>
      </c>
      <c r="BR39" s="101">
        <f t="shared" si="23"/>
        <v>0.34365601885718927</v>
      </c>
      <c r="BS39" s="101">
        <f t="shared" si="23"/>
        <v>0.34336233285000806</v>
      </c>
      <c r="BT39" s="101">
        <f t="shared" si="23"/>
        <v>0.34895666131621189</v>
      </c>
      <c r="BU39" s="101">
        <f t="shared" si="23"/>
        <v>0.34850551420443476</v>
      </c>
      <c r="BV39" s="101">
        <f t="shared" si="23"/>
        <v>0.34571841045513257</v>
      </c>
      <c r="BW39" s="101">
        <f t="shared" si="23"/>
        <v>0.33121208124505408</v>
      </c>
      <c r="BX39" s="101">
        <f t="shared" si="23"/>
        <v>0.33890277595053286</v>
      </c>
      <c r="BY39" s="101">
        <f t="shared" si="23"/>
        <v>0.34369597129342683</v>
      </c>
      <c r="BZ39" s="101">
        <f t="shared" si="23"/>
        <v>0.34611398963730566</v>
      </c>
      <c r="CA39" s="101">
        <f t="shared" si="23"/>
        <v>0.34651364644613758</v>
      </c>
      <c r="CB39" s="101">
        <f t="shared" si="23"/>
        <v>0.35174847609881299</v>
      </c>
      <c r="CC39" s="101">
        <f t="shared" si="23"/>
        <v>0.35766959297685558</v>
      </c>
      <c r="CD39" s="101">
        <f t="shared" si="23"/>
        <v>0.36068847470521115</v>
      </c>
      <c r="CE39" s="101">
        <f t="shared" si="23"/>
        <v>0.36077948329227466</v>
      </c>
      <c r="CF39" s="101">
        <f t="shared" si="23"/>
        <v>0.36828507514414444</v>
      </c>
    </row>
    <row r="40" spans="1:94">
      <c r="A40" s="92" t="s">
        <v>587</v>
      </c>
      <c r="B40" s="101"/>
      <c r="C40" s="101"/>
      <c r="D40" s="101"/>
      <c r="E40" s="101">
        <f t="shared" ref="E40:Z40" si="24">+E11/E6</f>
        <v>0.27145648579588161</v>
      </c>
      <c r="F40" s="101">
        <f t="shared" si="24"/>
        <v>0.32604106697370944</v>
      </c>
      <c r="G40" s="101">
        <f t="shared" si="24"/>
        <v>0.42583295298950252</v>
      </c>
      <c r="H40" s="101">
        <f t="shared" si="24"/>
        <v>0.5222613564526325</v>
      </c>
      <c r="I40" s="101">
        <f t="shared" si="24"/>
        <v>0.57180133947986445</v>
      </c>
      <c r="J40" s="101">
        <f t="shared" si="24"/>
        <v>0.61873306233062331</v>
      </c>
      <c r="K40" s="101">
        <f t="shared" si="24"/>
        <v>0.65525939628352814</v>
      </c>
      <c r="L40" s="101">
        <f t="shared" si="24"/>
        <v>0.69682851070786345</v>
      </c>
      <c r="M40" s="101">
        <f t="shared" si="24"/>
        <v>0.70979366873940075</v>
      </c>
      <c r="N40" s="101">
        <f t="shared" si="24"/>
        <v>0.73197066413146827</v>
      </c>
      <c r="O40" s="101">
        <f t="shared" si="24"/>
        <v>0.75804632026013663</v>
      </c>
      <c r="P40" s="101">
        <f t="shared" si="24"/>
        <v>0.79438803100402555</v>
      </c>
      <c r="Q40" s="101">
        <f t="shared" si="24"/>
        <v>0.81969294701604523</v>
      </c>
      <c r="R40" s="101">
        <f t="shared" si="24"/>
        <v>0.84259361537611832</v>
      </c>
      <c r="S40" s="101">
        <f t="shared" si="24"/>
        <v>0.8377368836251935</v>
      </c>
      <c r="T40" s="101">
        <f t="shared" si="24"/>
        <v>0.84539653443970197</v>
      </c>
      <c r="U40" s="101">
        <f t="shared" si="24"/>
        <v>0.85265702505930274</v>
      </c>
      <c r="V40" s="101">
        <f t="shared" si="24"/>
        <v>0.85952451856593026</v>
      </c>
      <c r="W40" s="101">
        <f t="shared" si="24"/>
        <v>0.86600522077741748</v>
      </c>
      <c r="X40" s="101">
        <f t="shared" si="24"/>
        <v>0.87210537605888083</v>
      </c>
      <c r="Y40" s="101">
        <f t="shared" si="24"/>
        <v>0.87783126316339122</v>
      </c>
      <c r="Z40" s="101">
        <f t="shared" si="24"/>
        <v>0.88318919110668259</v>
      </c>
      <c r="AA40" s="101"/>
      <c r="AB40" s="91"/>
      <c r="AC40" s="91"/>
      <c r="AD40" s="99" t="str">
        <f t="shared" si="18"/>
        <v>Broadband % customers</v>
      </c>
      <c r="AE40" s="101" t="e">
        <f>+AE11/AE6</f>
        <v>#DIV/0!</v>
      </c>
      <c r="AF40" s="101" t="e">
        <f>+AF11/AF6</f>
        <v>#DIV/0!</v>
      </c>
      <c r="AG40" s="101" t="e">
        <f t="shared" ref="AG40:CF40" si="25">+AG11/AG6</f>
        <v>#DIV/0!</v>
      </c>
      <c r="AH40" s="101" t="e">
        <f t="shared" si="25"/>
        <v>#DIV/0!</v>
      </c>
      <c r="AI40" s="101" t="e">
        <f t="shared" si="25"/>
        <v>#DIV/0!</v>
      </c>
      <c r="AJ40" s="101" t="e">
        <f t="shared" si="25"/>
        <v>#DIV/0!</v>
      </c>
      <c r="AK40" s="101" t="e">
        <f t="shared" si="25"/>
        <v>#DIV/0!</v>
      </c>
      <c r="AL40" s="101" t="e">
        <f t="shared" si="25"/>
        <v>#DIV/0!</v>
      </c>
      <c r="AM40" s="101" t="e">
        <f t="shared" si="25"/>
        <v>#DIV/0!</v>
      </c>
      <c r="AN40" s="101" t="e">
        <f t="shared" si="25"/>
        <v>#DIV/0!</v>
      </c>
      <c r="AO40" s="101" t="e">
        <f t="shared" si="25"/>
        <v>#DIV/0!</v>
      </c>
      <c r="AP40" s="101" t="e">
        <f>+AP11/AP6</f>
        <v>#DIV/0!</v>
      </c>
      <c r="AQ40" s="101">
        <f t="shared" si="25"/>
        <v>0.27145648579588161</v>
      </c>
      <c r="AR40" s="101">
        <f t="shared" si="25"/>
        <v>0.28799055768663329</v>
      </c>
      <c r="AS40" s="101">
        <f t="shared" si="25"/>
        <v>0.28549433630265042</v>
      </c>
      <c r="AT40" s="101">
        <f t="shared" si="25"/>
        <v>0.30091302258529556</v>
      </c>
      <c r="AU40" s="101">
        <f t="shared" si="25"/>
        <v>0.32604106697370944</v>
      </c>
      <c r="AV40" s="101">
        <f t="shared" si="25"/>
        <v>0.35143073716126588</v>
      </c>
      <c r="AW40" s="101">
        <f t="shared" si="25"/>
        <v>0.37909949972206775</v>
      </c>
      <c r="AX40" s="101">
        <f t="shared" si="25"/>
        <v>0.40764916796910911</v>
      </c>
      <c r="AY40" s="101">
        <f t="shared" si="25"/>
        <v>0.42583295298950252</v>
      </c>
      <c r="AZ40" s="101">
        <f t="shared" si="25"/>
        <v>0.44725124943207634</v>
      </c>
      <c r="BA40" s="101">
        <f t="shared" si="25"/>
        <v>0.47229954206698394</v>
      </c>
      <c r="BB40" s="101">
        <f t="shared" si="25"/>
        <v>0.49946704565642208</v>
      </c>
      <c r="BC40" s="101">
        <f t="shared" si="25"/>
        <v>0.5222613564526325</v>
      </c>
      <c r="BD40" s="101">
        <f t="shared" si="25"/>
        <v>0.53672265904217298</v>
      </c>
      <c r="BE40" s="101">
        <f t="shared" si="25"/>
        <v>0.55388007054673727</v>
      </c>
      <c r="BF40" s="101">
        <f t="shared" si="25"/>
        <v>0.56394385842559513</v>
      </c>
      <c r="BG40" s="101">
        <f t="shared" si="25"/>
        <v>0.57180133947986445</v>
      </c>
      <c r="BH40" s="101">
        <f t="shared" si="25"/>
        <v>0.58670470262793917</v>
      </c>
      <c r="BI40" s="101">
        <f t="shared" si="25"/>
        <v>0.60236422819941748</v>
      </c>
      <c r="BJ40" s="101">
        <f t="shared" si="25"/>
        <v>0.61228813559322037</v>
      </c>
      <c r="BK40" s="101">
        <f t="shared" si="25"/>
        <v>0.61873306233062331</v>
      </c>
      <c r="BL40" s="101">
        <f t="shared" si="25"/>
        <v>0.6229159578087784</v>
      </c>
      <c r="BM40" s="101">
        <f t="shared" si="25"/>
        <v>0.63501009421265153</v>
      </c>
      <c r="BN40" s="101">
        <f t="shared" si="25"/>
        <v>0.64671765991426411</v>
      </c>
      <c r="BO40" s="101">
        <f t="shared" si="25"/>
        <v>0.65525939628352814</v>
      </c>
      <c r="BP40" s="101">
        <f t="shared" si="25"/>
        <v>0.66652737150020891</v>
      </c>
      <c r="BQ40" s="101">
        <f t="shared" si="25"/>
        <v>0.68273357543743818</v>
      </c>
      <c r="BR40" s="101">
        <f t="shared" si="25"/>
        <v>0.69232028819387592</v>
      </c>
      <c r="BS40" s="101">
        <f t="shared" si="25"/>
        <v>0.69682851070786345</v>
      </c>
      <c r="BT40" s="101">
        <f t="shared" si="25"/>
        <v>0.70607340045469302</v>
      </c>
      <c r="BU40" s="101">
        <f t="shared" si="25"/>
        <v>0.71848638226078587</v>
      </c>
      <c r="BV40" s="101">
        <f t="shared" si="25"/>
        <v>0.72556211130601178</v>
      </c>
      <c r="BW40" s="101">
        <f t="shared" si="25"/>
        <v>0.70979366873940075</v>
      </c>
      <c r="BX40" s="101">
        <f t="shared" si="25"/>
        <v>0.71500936784400804</v>
      </c>
      <c r="BY40" s="101">
        <f t="shared" si="25"/>
        <v>0.72412371134020614</v>
      </c>
      <c r="BZ40" s="101">
        <f t="shared" si="25"/>
        <v>0.72965592572364824</v>
      </c>
      <c r="CA40" s="101">
        <f t="shared" si="25"/>
        <v>0.73197066413146827</v>
      </c>
      <c r="CB40" s="101">
        <f t="shared" si="25"/>
        <v>0.73801830910070021</v>
      </c>
      <c r="CC40" s="101">
        <f t="shared" si="25"/>
        <v>0.74673420421221004</v>
      </c>
      <c r="CD40" s="101">
        <f t="shared" si="25"/>
        <v>0.75422549214555579</v>
      </c>
      <c r="CE40" s="101">
        <f t="shared" si="25"/>
        <v>0.75804632026013663</v>
      </c>
      <c r="CF40" s="101">
        <f t="shared" si="25"/>
        <v>0.7684570376701072</v>
      </c>
    </row>
    <row r="41" spans="1:94">
      <c r="A41" s="92" t="s">
        <v>588</v>
      </c>
      <c r="B41" s="101">
        <f t="shared" ref="B41:Z41" si="26">+B12/B5</f>
        <v>0.20977899919844267</v>
      </c>
      <c r="C41" s="101">
        <f t="shared" si="26"/>
        <v>0.15521230266739247</v>
      </c>
      <c r="D41" s="101">
        <f t="shared" si="26"/>
        <v>0.17708877284595301</v>
      </c>
      <c r="E41" s="101">
        <f t="shared" si="26"/>
        <v>0.27767825152275166</v>
      </c>
      <c r="F41" s="101">
        <f t="shared" si="26"/>
        <v>0.22937105025579294</v>
      </c>
      <c r="G41" s="101">
        <f t="shared" si="26"/>
        <v>0.25544794188861986</v>
      </c>
      <c r="H41" s="101">
        <f t="shared" si="26"/>
        <v>0.28772827613887214</v>
      </c>
      <c r="I41" s="101">
        <f t="shared" si="26"/>
        <v>0.29456342668863267</v>
      </c>
      <c r="J41" s="101">
        <f t="shared" si="26"/>
        <v>0.29154898978926785</v>
      </c>
      <c r="K41" s="101">
        <f t="shared" si="26"/>
        <v>0.28170552404956944</v>
      </c>
      <c r="L41" s="101">
        <f t="shared" si="26"/>
        <v>0.28057032382793617</v>
      </c>
      <c r="M41" s="101">
        <f t="shared" si="26"/>
        <v>0.25455025059351094</v>
      </c>
      <c r="N41" s="101">
        <f t="shared" si="26"/>
        <v>0.26450638120037295</v>
      </c>
      <c r="O41" s="101">
        <f t="shared" si="26"/>
        <v>0.26988187732929064</v>
      </c>
      <c r="P41" s="101">
        <f t="shared" si="26"/>
        <v>0.24445489241661594</v>
      </c>
      <c r="Q41" s="101">
        <f t="shared" si="26"/>
        <v>0.22767434521931207</v>
      </c>
      <c r="R41" s="101">
        <f t="shared" ca="1" si="26"/>
        <v>0.21013109960100121</v>
      </c>
      <c r="S41" s="101">
        <f t="shared" ca="1" si="26"/>
        <v>0.20484718242597902</v>
      </c>
      <c r="T41" s="101">
        <f t="shared" ca="1" si="26"/>
        <v>0.20758385067436994</v>
      </c>
      <c r="U41" s="101">
        <f t="shared" ca="1" si="26"/>
        <v>0.20811786184790187</v>
      </c>
      <c r="V41" s="101">
        <f t="shared" ca="1" si="26"/>
        <v>0.20864250644414012</v>
      </c>
      <c r="W41" s="101">
        <f t="shared" ca="1" si="26"/>
        <v>0.20915802875584158</v>
      </c>
      <c r="X41" s="101">
        <f t="shared" ca="1" si="26"/>
        <v>0.20966466465367739</v>
      </c>
      <c r="Y41" s="101">
        <f t="shared" ca="1" si="26"/>
        <v>0.21016264194607506</v>
      </c>
      <c r="Z41" s="101">
        <f t="shared" ca="1" si="26"/>
        <v>0.21065218072076666</v>
      </c>
      <c r="AA41" s="101"/>
      <c r="AB41" s="91"/>
      <c r="AC41" s="91"/>
      <c r="AD41" s="99" t="str">
        <f t="shared" si="18"/>
        <v>Telephony % HU</v>
      </c>
      <c r="AE41" s="101">
        <f t="shared" ref="AE41:CF41" si="27">+AE12/AE5</f>
        <v>0.20977899919844267</v>
      </c>
      <c r="AF41" s="101">
        <f t="shared" si="27"/>
        <v>0.20988321799307957</v>
      </c>
      <c r="AG41" s="101">
        <f t="shared" si="27"/>
        <v>0.22003370549820941</v>
      </c>
      <c r="AH41" s="101">
        <f t="shared" si="27"/>
        <v>0.15030696006070221</v>
      </c>
      <c r="AI41" s="101">
        <f t="shared" si="27"/>
        <v>0.15521230266739247</v>
      </c>
      <c r="AJ41" s="101">
        <f t="shared" si="27"/>
        <v>0.15750050610702476</v>
      </c>
      <c r="AK41" s="101">
        <f t="shared" si="27"/>
        <v>0.1625207296849088</v>
      </c>
      <c r="AL41" s="101">
        <f t="shared" si="27"/>
        <v>0.17005727829350187</v>
      </c>
      <c r="AM41" s="101">
        <f t="shared" si="27"/>
        <v>0.17708877284595301</v>
      </c>
      <c r="AN41" s="101">
        <f t="shared" si="27"/>
        <v>0.18000898760993775</v>
      </c>
      <c r="AO41" s="101">
        <f t="shared" si="27"/>
        <v>0.18444061522751928</v>
      </c>
      <c r="AP41" s="101">
        <f t="shared" si="27"/>
        <v>0.26809627216793341</v>
      </c>
      <c r="AQ41" s="101">
        <f t="shared" si="27"/>
        <v>0.27767825152275166</v>
      </c>
      <c r="AR41" s="101">
        <f t="shared" si="27"/>
        <v>0.28100053219797766</v>
      </c>
      <c r="AS41" s="101">
        <f t="shared" si="27"/>
        <v>0.23975569916909309</v>
      </c>
      <c r="AT41" s="101">
        <f t="shared" si="27"/>
        <v>0.22209828344797672</v>
      </c>
      <c r="AU41" s="101">
        <f t="shared" si="27"/>
        <v>0.22937105025579294</v>
      </c>
      <c r="AV41" s="101">
        <f t="shared" si="27"/>
        <v>0.23354638106754189</v>
      </c>
      <c r="AW41" s="101">
        <f t="shared" si="27"/>
        <v>0.24579407806191117</v>
      </c>
      <c r="AX41" s="101">
        <f t="shared" si="27"/>
        <v>0.25325662179765523</v>
      </c>
      <c r="AY41" s="101">
        <f t="shared" si="27"/>
        <v>0.25544794188861986</v>
      </c>
      <c r="AZ41" s="101">
        <f t="shared" si="27"/>
        <v>0.26107660455486542</v>
      </c>
      <c r="BA41" s="101">
        <f t="shared" si="27"/>
        <v>0.26343599033816423</v>
      </c>
      <c r="BB41" s="101">
        <f t="shared" si="27"/>
        <v>0.2710280373831776</v>
      </c>
      <c r="BC41" s="101">
        <f t="shared" si="27"/>
        <v>0.28772827613887214</v>
      </c>
      <c r="BD41" s="101">
        <f t="shared" si="27"/>
        <v>0.29332801037975947</v>
      </c>
      <c r="BE41" s="101">
        <f t="shared" si="27"/>
        <v>0.29669356425900412</v>
      </c>
      <c r="BF41" s="101">
        <f t="shared" si="27"/>
        <v>0.29536837053035764</v>
      </c>
      <c r="BG41" s="101">
        <f t="shared" si="27"/>
        <v>0.29456342668863267</v>
      </c>
      <c r="BH41" s="101">
        <f t="shared" si="27"/>
        <v>0.29369344540903036</v>
      </c>
      <c r="BI41" s="101">
        <f t="shared" si="27"/>
        <v>0.2957936973085073</v>
      </c>
      <c r="BJ41" s="101">
        <f t="shared" si="27"/>
        <v>0.29240278812853449</v>
      </c>
      <c r="BK41" s="101">
        <f t="shared" si="27"/>
        <v>0.29154898978926785</v>
      </c>
      <c r="BL41" s="101">
        <f t="shared" si="27"/>
        <v>0.29241577936812707</v>
      </c>
      <c r="BM41" s="101">
        <f t="shared" si="27"/>
        <v>0.28745704467353955</v>
      </c>
      <c r="BN41" s="101">
        <f t="shared" si="27"/>
        <v>0.28143889757788393</v>
      </c>
      <c r="BO41" s="101">
        <f t="shared" si="27"/>
        <v>0.28170552404956944</v>
      </c>
      <c r="BP41" s="101">
        <f t="shared" si="27"/>
        <v>0.2827855106490022</v>
      </c>
      <c r="BQ41" s="101">
        <f t="shared" si="27"/>
        <v>0.28183802034009964</v>
      </c>
      <c r="BR41" s="101">
        <f t="shared" si="27"/>
        <v>0.28078517434772005</v>
      </c>
      <c r="BS41" s="101">
        <f t="shared" si="27"/>
        <v>0.28057032382793617</v>
      </c>
      <c r="BT41" s="101">
        <f t="shared" si="27"/>
        <v>0.28459069020866773</v>
      </c>
      <c r="BU41" s="101">
        <f t="shared" si="27"/>
        <v>0.28346518062429366</v>
      </c>
      <c r="BV41" s="101">
        <f t="shared" si="27"/>
        <v>0.27961401109338191</v>
      </c>
      <c r="BW41" s="101">
        <f t="shared" si="27"/>
        <v>0.25455025059351094</v>
      </c>
      <c r="BX41" s="101">
        <f t="shared" si="27"/>
        <v>0.25881462965399288</v>
      </c>
      <c r="BY41" s="101">
        <f t="shared" si="27"/>
        <v>0.26155602674930678</v>
      </c>
      <c r="BZ41" s="101">
        <f t="shared" si="27"/>
        <v>0.26382772020725392</v>
      </c>
      <c r="CA41" s="101">
        <f t="shared" si="27"/>
        <v>0.26450638120037295</v>
      </c>
      <c r="CB41" s="101">
        <f t="shared" si="27"/>
        <v>0.2695540583894771</v>
      </c>
      <c r="CC41" s="101">
        <f t="shared" si="27"/>
        <v>0.27326416600159614</v>
      </c>
      <c r="CD41" s="101">
        <f t="shared" si="27"/>
        <v>0.27247369088373274</v>
      </c>
      <c r="CE41" s="101">
        <f t="shared" si="27"/>
        <v>0.26988187732929064</v>
      </c>
      <c r="CF41" s="101">
        <f t="shared" si="27"/>
        <v>0.27351208292636819</v>
      </c>
    </row>
    <row r="42" spans="1:94">
      <c r="A42" s="92" t="s">
        <v>589</v>
      </c>
      <c r="B42" s="101"/>
      <c r="C42" s="101"/>
      <c r="D42" s="101"/>
      <c r="E42" s="101">
        <f t="shared" ref="E42:Z42" si="28">+E12/E6</f>
        <v>0.46595520817676239</v>
      </c>
      <c r="F42" s="101">
        <f t="shared" si="28"/>
        <v>0.36566877758587596</v>
      </c>
      <c r="G42" s="101">
        <f t="shared" si="28"/>
        <v>0.44299406663623919</v>
      </c>
      <c r="H42" s="101">
        <f t="shared" si="28"/>
        <v>0.51792648785333695</v>
      </c>
      <c r="I42" s="101">
        <f t="shared" si="28"/>
        <v>0.54431590849786915</v>
      </c>
      <c r="J42" s="101">
        <f t="shared" si="28"/>
        <v>0.5682588075880759</v>
      </c>
      <c r="K42" s="101">
        <f t="shared" si="28"/>
        <v>0.56386109476162449</v>
      </c>
      <c r="L42" s="101">
        <f t="shared" si="28"/>
        <v>0.5693967631191762</v>
      </c>
      <c r="M42" s="101">
        <f t="shared" si="28"/>
        <v>0.54550593555681171</v>
      </c>
      <c r="N42" s="101">
        <f t="shared" si="28"/>
        <v>0.5587396441667799</v>
      </c>
      <c r="O42" s="101">
        <f t="shared" si="28"/>
        <v>0.56705819895148979</v>
      </c>
      <c r="P42" s="101">
        <f t="shared" si="28"/>
        <v>0.53109415369825141</v>
      </c>
      <c r="Q42" s="101">
        <f t="shared" si="28"/>
        <v>0.4997114163684635</v>
      </c>
      <c r="R42" s="101">
        <f t="shared" ca="1" si="28"/>
        <v>0.46829780183364633</v>
      </c>
      <c r="S42" s="101">
        <f t="shared" ca="1" si="28"/>
        <v>0.45759230387243954</v>
      </c>
      <c r="T42" s="101">
        <f t="shared" ca="1" si="28"/>
        <v>0.45697536885912898</v>
      </c>
      <c r="U42" s="101">
        <f t="shared" ca="1" si="28"/>
        <v>0.45626453876603801</v>
      </c>
      <c r="V42" s="101">
        <f t="shared" ca="1" si="28"/>
        <v>0.45546181668339075</v>
      </c>
      <c r="W42" s="101">
        <f t="shared" ca="1" si="28"/>
        <v>0.45456920831055964</v>
      </c>
      <c r="X42" s="101">
        <f t="shared" ca="1" si="28"/>
        <v>0.45358872074006534</v>
      </c>
      <c r="Y42" s="101">
        <f t="shared" ca="1" si="28"/>
        <v>0.45252236125894468</v>
      </c>
      <c r="Z42" s="101">
        <f t="shared" ca="1" si="28"/>
        <v>0.45137213616869959</v>
      </c>
      <c r="AA42" s="101"/>
      <c r="AB42" s="91"/>
      <c r="AC42" s="91"/>
      <c r="AD42" s="99" t="str">
        <f t="shared" si="18"/>
        <v>Telephony % customers</v>
      </c>
      <c r="AE42" s="101" t="e">
        <f t="shared" ref="AE42:CF42" si="29">+AE12/AE6</f>
        <v>#DIV/0!</v>
      </c>
      <c r="AF42" s="101" t="e">
        <f t="shared" si="29"/>
        <v>#DIV/0!</v>
      </c>
      <c r="AG42" s="101" t="e">
        <f t="shared" si="29"/>
        <v>#DIV/0!</v>
      </c>
      <c r="AH42" s="101" t="e">
        <f t="shared" si="29"/>
        <v>#DIV/0!</v>
      </c>
      <c r="AI42" s="101" t="e">
        <f t="shared" si="29"/>
        <v>#DIV/0!</v>
      </c>
      <c r="AJ42" s="101" t="e">
        <f t="shared" si="29"/>
        <v>#DIV/0!</v>
      </c>
      <c r="AK42" s="101" t="e">
        <f t="shared" si="29"/>
        <v>#DIV/0!</v>
      </c>
      <c r="AL42" s="101" t="e">
        <f t="shared" si="29"/>
        <v>#DIV/0!</v>
      </c>
      <c r="AM42" s="101" t="e">
        <f t="shared" si="29"/>
        <v>#DIV/0!</v>
      </c>
      <c r="AN42" s="101" t="e">
        <f t="shared" si="29"/>
        <v>#DIV/0!</v>
      </c>
      <c r="AO42" s="101" t="e">
        <f t="shared" si="29"/>
        <v>#DIV/0!</v>
      </c>
      <c r="AP42" s="101" t="e">
        <f t="shared" si="29"/>
        <v>#DIV/0!</v>
      </c>
      <c r="AQ42" s="101">
        <f t="shared" si="29"/>
        <v>0.46595520817676239</v>
      </c>
      <c r="AR42" s="101">
        <f t="shared" si="29"/>
        <v>0.46739451165535562</v>
      </c>
      <c r="AS42" s="101">
        <f t="shared" si="29"/>
        <v>0.37127460684042668</v>
      </c>
      <c r="AT42" s="101">
        <f t="shared" si="29"/>
        <v>0.34444978375780871</v>
      </c>
      <c r="AU42" s="101">
        <f t="shared" si="29"/>
        <v>0.36566877758587596</v>
      </c>
      <c r="AV42" s="101">
        <f t="shared" si="29"/>
        <v>0.38430926662876641</v>
      </c>
      <c r="AW42" s="101">
        <f t="shared" si="29"/>
        <v>0.40605892162312396</v>
      </c>
      <c r="AX42" s="101">
        <f t="shared" si="29"/>
        <v>0.42897857865220185</v>
      </c>
      <c r="AY42" s="101">
        <f t="shared" si="29"/>
        <v>0.44299406663623919</v>
      </c>
      <c r="AZ42" s="101">
        <f t="shared" si="29"/>
        <v>0.45833711949114042</v>
      </c>
      <c r="BA42" s="101">
        <f t="shared" si="29"/>
        <v>0.47005477238035376</v>
      </c>
      <c r="BB42" s="101">
        <f t="shared" si="29"/>
        <v>0.48685379285841185</v>
      </c>
      <c r="BC42" s="101">
        <f t="shared" si="29"/>
        <v>0.51792648785333695</v>
      </c>
      <c r="BD42" s="101">
        <f t="shared" si="29"/>
        <v>0.52519656897784139</v>
      </c>
      <c r="BE42" s="101">
        <f t="shared" si="29"/>
        <v>0.53174603174603174</v>
      </c>
      <c r="BF42" s="101">
        <f t="shared" si="29"/>
        <v>0.53648330572748681</v>
      </c>
      <c r="BG42" s="101">
        <f t="shared" si="29"/>
        <v>0.54431590849786915</v>
      </c>
      <c r="BH42" s="101">
        <f t="shared" si="29"/>
        <v>0.55273167358229602</v>
      </c>
      <c r="BI42" s="101">
        <f t="shared" si="29"/>
        <v>0.56201816001370575</v>
      </c>
      <c r="BJ42" s="101">
        <f t="shared" si="29"/>
        <v>0.56525423728813562</v>
      </c>
      <c r="BK42" s="101">
        <f t="shared" si="29"/>
        <v>0.5682588075880759</v>
      </c>
      <c r="BL42" s="101">
        <f t="shared" si="29"/>
        <v>0.57000680503572643</v>
      </c>
      <c r="BM42" s="101">
        <f t="shared" si="29"/>
        <v>0.56292059219380897</v>
      </c>
      <c r="BN42" s="101">
        <f t="shared" si="29"/>
        <v>0.55963688324787753</v>
      </c>
      <c r="BO42" s="101">
        <f t="shared" si="29"/>
        <v>0.56386109476162449</v>
      </c>
      <c r="BP42" s="101">
        <f t="shared" si="29"/>
        <v>0.56372753865440872</v>
      </c>
      <c r="BQ42" s="101">
        <f t="shared" si="29"/>
        <v>0.56495543083525923</v>
      </c>
      <c r="BR42" s="101">
        <f t="shared" si="29"/>
        <v>0.56566235467496317</v>
      </c>
      <c r="BS42" s="101">
        <f t="shared" si="29"/>
        <v>0.5693967631191762</v>
      </c>
      <c r="BT42" s="101">
        <f t="shared" si="29"/>
        <v>0.57583631049041883</v>
      </c>
      <c r="BU42" s="101">
        <f t="shared" si="29"/>
        <v>0.58439784687073193</v>
      </c>
      <c r="BV42" s="101">
        <f t="shared" si="29"/>
        <v>0.58682825705629083</v>
      </c>
      <c r="BW42" s="101">
        <f t="shared" si="29"/>
        <v>0.54550593555681171</v>
      </c>
      <c r="BX42" s="101">
        <f t="shared" si="29"/>
        <v>0.5460412185136353</v>
      </c>
      <c r="BY42" s="101">
        <f t="shared" si="29"/>
        <v>0.55106529209621991</v>
      </c>
      <c r="BZ42" s="101">
        <f t="shared" si="29"/>
        <v>0.55618514472965597</v>
      </c>
      <c r="CA42" s="101">
        <f t="shared" si="29"/>
        <v>0.5587396441667799</v>
      </c>
      <c r="CB42" s="101">
        <f t="shared" si="29"/>
        <v>0.56556273559504588</v>
      </c>
      <c r="CC42" s="101">
        <f t="shared" si="29"/>
        <v>0.57051452945881098</v>
      </c>
      <c r="CD42" s="101">
        <f t="shared" si="29"/>
        <v>0.56976204679525411</v>
      </c>
      <c r="CE42" s="101">
        <f t="shared" si="29"/>
        <v>0.56705819895148979</v>
      </c>
      <c r="CF42" s="101">
        <f t="shared" si="29"/>
        <v>0.57070541055814872</v>
      </c>
    </row>
    <row r="43" spans="1:94">
      <c r="A43" s="92" t="s">
        <v>590</v>
      </c>
      <c r="B43" s="103"/>
      <c r="C43" s="103">
        <f t="shared" ref="C43:Z45" si="30">+C10/B10-1</f>
        <v>3.3326302467833635E-2</v>
      </c>
      <c r="D43" s="103">
        <f t="shared" si="30"/>
        <v>5.0826699326393054E-2</v>
      </c>
      <c r="E43" s="103">
        <f t="shared" si="30"/>
        <v>1.3014763014763009E-2</v>
      </c>
      <c r="F43" s="103">
        <f t="shared" si="30"/>
        <v>0.68954937679769901</v>
      </c>
      <c r="G43" s="103">
        <f t="shared" si="30"/>
        <v>6.4464873453637495E-2</v>
      </c>
      <c r="H43" s="103">
        <f t="shared" si="30"/>
        <v>1.5886555069836827E-2</v>
      </c>
      <c r="I43" s="103">
        <f t="shared" si="30"/>
        <v>2.4349286314021779E-2</v>
      </c>
      <c r="J43" s="103">
        <f t="shared" si="30"/>
        <v>2.9405737704917945E-2</v>
      </c>
      <c r="K43" s="103">
        <f t="shared" si="30"/>
        <v>-2.5579775057230969E-2</v>
      </c>
      <c r="L43" s="103">
        <f t="shared" si="30"/>
        <v>1.7773237997957159E-2</v>
      </c>
      <c r="M43" s="103">
        <f t="shared" si="30"/>
        <v>0.14251304696908873</v>
      </c>
      <c r="N43" s="103">
        <f t="shared" si="30"/>
        <v>5.4023190442726632E-2</v>
      </c>
      <c r="O43" s="103">
        <f t="shared" si="30"/>
        <v>2.7918993249437474E-2</v>
      </c>
      <c r="P43" s="103">
        <f t="shared" si="30"/>
        <v>4.5808334684611651E-2</v>
      </c>
      <c r="Q43" s="103">
        <f t="shared" si="30"/>
        <v>1.4497247848670236E-2</v>
      </c>
      <c r="R43" s="103">
        <f t="shared" si="30"/>
        <v>1.5359926639156418E-2</v>
      </c>
      <c r="S43" s="103">
        <f t="shared" si="30"/>
        <v>1.8033416121020496E-2</v>
      </c>
      <c r="T43" s="103">
        <f t="shared" si="30"/>
        <v>1.8048934655467974E-2</v>
      </c>
      <c r="U43" s="103">
        <f t="shared" si="30"/>
        <v>1.806436023761071E-2</v>
      </c>
      <c r="V43" s="103">
        <f t="shared" si="30"/>
        <v>1.8079692958157256E-2</v>
      </c>
      <c r="W43" s="103">
        <f t="shared" si="30"/>
        <v>1.8094932915688089E-2</v>
      </c>
      <c r="X43" s="103">
        <f t="shared" si="30"/>
        <v>1.811008021654259E-2</v>
      </c>
      <c r="Y43" s="103">
        <f t="shared" si="30"/>
        <v>1.8125134974711132E-2</v>
      </c>
      <c r="Z43" s="103">
        <f t="shared" si="30"/>
        <v>1.8140097311723169E-2</v>
      </c>
      <c r="AA43" s="103"/>
      <c r="AB43" s="91"/>
      <c r="AC43" s="91"/>
      <c r="AD43" s="99" t="str">
        <f t="shared" si="18"/>
        <v>Video RGU growth</v>
      </c>
      <c r="AE43" s="103"/>
      <c r="AF43" s="103"/>
      <c r="AG43" s="103"/>
      <c r="AH43" s="103"/>
      <c r="AI43" s="103">
        <f t="shared" ref="AI43:CF45" si="31">+AI10/AE10-1</f>
        <v>3.3326302467833635E-2</v>
      </c>
      <c r="AJ43" s="103">
        <f t="shared" si="31"/>
        <v>5.932932072227004E-2</v>
      </c>
      <c r="AK43" s="103">
        <f t="shared" si="31"/>
        <v>4.8877700860079809E-2</v>
      </c>
      <c r="AL43" s="103">
        <f t="shared" si="31"/>
        <v>5.1335127302835737E-2</v>
      </c>
      <c r="AM43" s="103">
        <f t="shared" si="31"/>
        <v>5.0826699326393054E-2</v>
      </c>
      <c r="AN43" s="103">
        <f t="shared" si="31"/>
        <v>4.9107142857142794E-2</v>
      </c>
      <c r="AO43" s="103">
        <f t="shared" si="31"/>
        <v>5.2200000000000024E-2</v>
      </c>
      <c r="AP43" s="103">
        <f t="shared" si="31"/>
        <v>5.0797401063201297E-2</v>
      </c>
      <c r="AQ43" s="103">
        <f t="shared" si="31"/>
        <v>1.3014763014763009E-2</v>
      </c>
      <c r="AR43" s="103">
        <f t="shared" si="31"/>
        <v>1.1025145067698139E-2</v>
      </c>
      <c r="AS43" s="103">
        <f t="shared" si="31"/>
        <v>0.42140277513780644</v>
      </c>
      <c r="AT43" s="103">
        <f t="shared" si="31"/>
        <v>0.62525763537567935</v>
      </c>
      <c r="AU43" s="103">
        <f t="shared" si="31"/>
        <v>0.68954937679769901</v>
      </c>
      <c r="AV43" s="103">
        <f t="shared" si="31"/>
        <v>0.72680313755500303</v>
      </c>
      <c r="AW43" s="103">
        <f t="shared" si="31"/>
        <v>0.23856646162075434</v>
      </c>
      <c r="AX43" s="103">
        <f t="shared" si="31"/>
        <v>7.8049342863730553E-2</v>
      </c>
      <c r="AY43" s="103">
        <f t="shared" si="31"/>
        <v>6.4464873453637495E-2</v>
      </c>
      <c r="AZ43" s="103">
        <f t="shared" si="31"/>
        <v>3.7779747396410546E-2</v>
      </c>
      <c r="BA43" s="103">
        <f t="shared" si="31"/>
        <v>2.1809544374864931E-2</v>
      </c>
      <c r="BB43" s="103">
        <f t="shared" si="31"/>
        <v>2.1495027269810674E-2</v>
      </c>
      <c r="BC43" s="103">
        <f t="shared" si="31"/>
        <v>1.5886555069836827E-2</v>
      </c>
      <c r="BD43" s="103">
        <f t="shared" si="31"/>
        <v>8.9676523967119337E-3</v>
      </c>
      <c r="BE43" s="103">
        <f t="shared" si="31"/>
        <v>8.9814032121722231E-3</v>
      </c>
      <c r="BF43" s="103">
        <f t="shared" si="31"/>
        <v>5.2345058626466212E-3</v>
      </c>
      <c r="BG43" s="103">
        <f t="shared" si="31"/>
        <v>2.4349286314021779E-2</v>
      </c>
      <c r="BH43" s="103">
        <f t="shared" si="31"/>
        <v>4.1688710189397904E-2</v>
      </c>
      <c r="BI43" s="103">
        <f t="shared" si="31"/>
        <v>2.7018535972353375E-2</v>
      </c>
      <c r="BJ43" s="103">
        <f t="shared" si="31"/>
        <v>2.9993751301812033E-2</v>
      </c>
      <c r="BK43" s="103">
        <f t="shared" si="31"/>
        <v>2.9405737704917945E-2</v>
      </c>
      <c r="BL43" s="103">
        <f t="shared" si="31"/>
        <v>-5.0787201625190903E-3</v>
      </c>
      <c r="BM43" s="103">
        <f t="shared" si="31"/>
        <v>3.0590394616090144E-3</v>
      </c>
      <c r="BN43" s="103">
        <f t="shared" si="31"/>
        <v>-1.2032355915065684E-2</v>
      </c>
      <c r="BO43" s="103">
        <f t="shared" si="31"/>
        <v>-2.5579775057230969E-2</v>
      </c>
      <c r="BP43" s="103">
        <f t="shared" si="31"/>
        <v>4.389994895354743E-3</v>
      </c>
      <c r="BQ43" s="103">
        <f t="shared" si="31"/>
        <v>1.1487242045338908E-2</v>
      </c>
      <c r="BR43" s="103">
        <f t="shared" si="31"/>
        <v>2.3232013099989679E-2</v>
      </c>
      <c r="BS43" s="103">
        <f t="shared" si="31"/>
        <v>1.7773237997957159E-2</v>
      </c>
      <c r="BT43" s="103">
        <f t="shared" si="31"/>
        <v>1.6466761536897634E-2</v>
      </c>
      <c r="BU43" s="103">
        <f t="shared" si="31"/>
        <v>7.9396984924622327E-3</v>
      </c>
      <c r="BV43" s="103">
        <f t="shared" si="31"/>
        <v>-2.1004200840166742E-3</v>
      </c>
      <c r="BW43" s="103">
        <f t="shared" si="31"/>
        <v>0.14251304696908873</v>
      </c>
      <c r="BX43" s="103">
        <f t="shared" si="31"/>
        <v>0.16030000000000011</v>
      </c>
      <c r="BY43" s="103">
        <f t="shared" si="31"/>
        <v>0.17648818426562962</v>
      </c>
      <c r="BZ43" s="103">
        <f t="shared" si="31"/>
        <v>0.1968527613511073</v>
      </c>
      <c r="CA43" s="103">
        <f t="shared" si="31"/>
        <v>5.4023190442726632E-2</v>
      </c>
      <c r="CB43" s="103">
        <f t="shared" si="31"/>
        <v>4.5419288115142731E-2</v>
      </c>
      <c r="CC43" s="103">
        <f t="shared" si="31"/>
        <v>3.6782778201542632E-2</v>
      </c>
      <c r="CD43" s="103">
        <f t="shared" si="31"/>
        <v>2.7468386232309072E-2</v>
      </c>
      <c r="CE43" s="103">
        <f t="shared" si="31"/>
        <v>2.7918993249437474E-2</v>
      </c>
      <c r="CF43" s="103">
        <f t="shared" si="31"/>
        <v>1.3025556471558009E-2</v>
      </c>
    </row>
    <row r="44" spans="1:94">
      <c r="A44" s="92" t="s">
        <v>591</v>
      </c>
      <c r="B44" s="103"/>
      <c r="C44" s="103">
        <f t="shared" si="30"/>
        <v>1.8700787401574797</v>
      </c>
      <c r="D44" s="103">
        <f t="shared" si="30"/>
        <v>0.8257887517146778</v>
      </c>
      <c r="E44" s="103">
        <f t="shared" si="30"/>
        <v>0.35687453042824968</v>
      </c>
      <c r="F44" s="103">
        <f t="shared" si="30"/>
        <v>0.88150609080841624</v>
      </c>
      <c r="G44" s="103">
        <f t="shared" si="30"/>
        <v>0.37286639199529126</v>
      </c>
      <c r="H44" s="103">
        <f t="shared" si="30"/>
        <v>0.23965702036441572</v>
      </c>
      <c r="I44" s="103">
        <f t="shared" si="30"/>
        <v>0.13678021787999328</v>
      </c>
      <c r="J44" s="103">
        <f t="shared" si="30"/>
        <v>0.11134773349558835</v>
      </c>
      <c r="K44" s="103">
        <f t="shared" si="30"/>
        <v>6.6657541746509841E-2</v>
      </c>
      <c r="L44" s="103">
        <f t="shared" si="30"/>
        <v>9.3930450404208887E-2</v>
      </c>
      <c r="M44" s="103">
        <f t="shared" si="30"/>
        <v>0.17829912023460404</v>
      </c>
      <c r="N44" s="103">
        <f t="shared" si="30"/>
        <v>7.3071179691388766E-2</v>
      </c>
      <c r="O44" s="103">
        <f t="shared" si="30"/>
        <v>5.9745802022450833E-2</v>
      </c>
      <c r="P44" s="103">
        <f t="shared" si="30"/>
        <v>0.15740173334500573</v>
      </c>
      <c r="Q44" s="103">
        <f t="shared" si="30"/>
        <v>7.420013614703902E-2</v>
      </c>
      <c r="R44" s="103">
        <f t="shared" si="30"/>
        <v>7.4214899309956284E-2</v>
      </c>
      <c r="S44" s="103">
        <f t="shared" si="30"/>
        <v>2.9496591504981629E-2</v>
      </c>
      <c r="T44" s="103">
        <f t="shared" si="30"/>
        <v>2.2284477269833181E-2</v>
      </c>
      <c r="U44" s="103">
        <f t="shared" si="30"/>
        <v>2.1798704534130575E-2</v>
      </c>
      <c r="V44" s="103">
        <f t="shared" si="30"/>
        <v>2.1333658417652002E-2</v>
      </c>
      <c r="W44" s="103">
        <f t="shared" si="30"/>
        <v>2.0888040105037087E-2</v>
      </c>
      <c r="X44" s="103">
        <f t="shared" si="30"/>
        <v>2.0460657079387268E-2</v>
      </c>
      <c r="Y44" s="103">
        <f t="shared" si="30"/>
        <v>2.0050412465627776E-2</v>
      </c>
      <c r="Z44" s="103">
        <f t="shared" si="30"/>
        <v>1.9656295630686271E-2</v>
      </c>
      <c r="AA44" s="103"/>
      <c r="AB44" s="91"/>
      <c r="AC44" s="91"/>
      <c r="AD44" s="99" t="str">
        <f t="shared" si="18"/>
        <v>BB RGU growth</v>
      </c>
      <c r="AE44" s="103"/>
      <c r="AF44" s="103"/>
      <c r="AG44" s="103"/>
      <c r="AH44" s="103"/>
      <c r="AI44" s="103">
        <f t="shared" si="31"/>
        <v>1.8700787401574797</v>
      </c>
      <c r="AJ44" s="103">
        <f t="shared" si="31"/>
        <v>1.6845425867507884</v>
      </c>
      <c r="AK44" s="103">
        <f t="shared" si="31"/>
        <v>1.2885906040268456</v>
      </c>
      <c r="AL44" s="103">
        <f t="shared" si="31"/>
        <v>0.93474714518760171</v>
      </c>
      <c r="AM44" s="103">
        <f t="shared" si="31"/>
        <v>0.8257887517146778</v>
      </c>
      <c r="AN44" s="103">
        <f t="shared" si="31"/>
        <v>0.67332549941245601</v>
      </c>
      <c r="AO44" s="103">
        <f t="shared" si="31"/>
        <v>0.51515151515151514</v>
      </c>
      <c r="AP44" s="103">
        <f t="shared" si="31"/>
        <v>0.42664418212478927</v>
      </c>
      <c r="AQ44" s="103">
        <f t="shared" si="31"/>
        <v>0.35687453042824968</v>
      </c>
      <c r="AR44" s="103">
        <f t="shared" si="31"/>
        <v>0.3707865168539326</v>
      </c>
      <c r="AS44" s="103">
        <f t="shared" si="31"/>
        <v>0.67483870967741955</v>
      </c>
      <c r="AT44" s="103">
        <f t="shared" si="31"/>
        <v>0.85047281323877089</v>
      </c>
      <c r="AU44" s="103">
        <f t="shared" si="31"/>
        <v>0.88150609080841624</v>
      </c>
      <c r="AV44" s="103">
        <f t="shared" si="31"/>
        <v>0.90010245901639307</v>
      </c>
      <c r="AW44" s="103">
        <f t="shared" si="31"/>
        <v>0.57627118644067776</v>
      </c>
      <c r="AX44" s="103">
        <f t="shared" si="31"/>
        <v>0.41616097093580318</v>
      </c>
      <c r="AY44" s="103">
        <f t="shared" si="31"/>
        <v>0.37286639199529126</v>
      </c>
      <c r="AZ44" s="103">
        <f t="shared" si="31"/>
        <v>0.32704232946885958</v>
      </c>
      <c r="BA44" s="103">
        <f t="shared" si="31"/>
        <v>0.28543499511241444</v>
      </c>
      <c r="BB44" s="103">
        <f t="shared" si="31"/>
        <v>0.2681551646368967</v>
      </c>
      <c r="BC44" s="103">
        <f t="shared" si="31"/>
        <v>0.23965702036441572</v>
      </c>
      <c r="BD44" s="103">
        <f t="shared" si="31"/>
        <v>0.22043884599756214</v>
      </c>
      <c r="BE44" s="103">
        <f t="shared" si="31"/>
        <v>0.19410646387832697</v>
      </c>
      <c r="BF44" s="103">
        <f t="shared" si="31"/>
        <v>0.15045349457584956</v>
      </c>
      <c r="BG44" s="103">
        <f t="shared" si="31"/>
        <v>0.13678021787999328</v>
      </c>
      <c r="BH44" s="103">
        <f t="shared" si="31"/>
        <v>0.12984851007158316</v>
      </c>
      <c r="BI44" s="103">
        <f t="shared" si="31"/>
        <v>0.1195669479382262</v>
      </c>
      <c r="BJ44" s="103">
        <f t="shared" si="31"/>
        <v>0.11686504869377012</v>
      </c>
      <c r="BK44" s="103">
        <f t="shared" si="31"/>
        <v>0.11134773349558835</v>
      </c>
      <c r="BL44" s="103">
        <f t="shared" si="31"/>
        <v>7.8974510092824302E-2</v>
      </c>
      <c r="BM44" s="103">
        <f t="shared" si="31"/>
        <v>7.352104664391379E-2</v>
      </c>
      <c r="BN44" s="103">
        <f t="shared" si="31"/>
        <v>6.4913494809688776E-2</v>
      </c>
      <c r="BO44" s="103">
        <f t="shared" si="31"/>
        <v>6.6657541746509841E-2</v>
      </c>
      <c r="BP44" s="103">
        <f t="shared" si="31"/>
        <v>8.9034548682234149E-2</v>
      </c>
      <c r="BQ44" s="103">
        <f t="shared" si="31"/>
        <v>9.5774274738375853E-2</v>
      </c>
      <c r="BR44" s="103">
        <f t="shared" si="31"/>
        <v>9.9038211593449166E-2</v>
      </c>
      <c r="BS44" s="103">
        <f t="shared" si="31"/>
        <v>9.3930450404208887E-2</v>
      </c>
      <c r="BT44" s="103">
        <f t="shared" si="31"/>
        <v>9.040752351097181E-2</v>
      </c>
      <c r="BU44" s="103">
        <f t="shared" si="31"/>
        <v>8.1117021276595702E-2</v>
      </c>
      <c r="BV44" s="103">
        <f t="shared" si="31"/>
        <v>7.6158940397351049E-2</v>
      </c>
      <c r="BW44" s="103">
        <f t="shared" si="31"/>
        <v>0.17829912023460404</v>
      </c>
      <c r="BX44" s="103">
        <f t="shared" si="31"/>
        <v>0.18491260349586014</v>
      </c>
      <c r="BY44" s="103">
        <f t="shared" si="31"/>
        <v>0.1781281449178127</v>
      </c>
      <c r="BZ44" s="103">
        <f t="shared" si="31"/>
        <v>0.17450549450549446</v>
      </c>
      <c r="CA44" s="103">
        <f t="shared" si="31"/>
        <v>7.3071179691388766E-2</v>
      </c>
      <c r="CB44" s="103">
        <f t="shared" si="31"/>
        <v>6.4052795031055876E-2</v>
      </c>
      <c r="CC44" s="103">
        <f t="shared" si="31"/>
        <v>6.3401670463174131E-2</v>
      </c>
      <c r="CD44" s="103">
        <f t="shared" si="31"/>
        <v>6.4651946107784575E-2</v>
      </c>
      <c r="CE44" s="103">
        <f t="shared" si="31"/>
        <v>5.9745802022450833E-2</v>
      </c>
      <c r="CF44" s="103">
        <f t="shared" si="31"/>
        <v>6.6125501641736584E-2</v>
      </c>
    </row>
    <row r="45" spans="1:94">
      <c r="A45" s="92" t="s">
        <v>592</v>
      </c>
      <c r="B45" s="103"/>
      <c r="C45" s="103">
        <f t="shared" si="30"/>
        <v>0.2450873362445416</v>
      </c>
      <c r="D45" s="103">
        <f t="shared" si="30"/>
        <v>0.1893906181499343</v>
      </c>
      <c r="E45" s="103">
        <f t="shared" si="30"/>
        <v>0.14264651677110196</v>
      </c>
      <c r="F45" s="103">
        <f t="shared" si="30"/>
        <v>0.22935483870967732</v>
      </c>
      <c r="G45" s="103">
        <f t="shared" si="30"/>
        <v>0.27341905011807932</v>
      </c>
      <c r="H45" s="103">
        <f t="shared" si="30"/>
        <v>0.18174325159695037</v>
      </c>
      <c r="I45" s="103">
        <f t="shared" si="30"/>
        <v>9.1194420226678341E-2</v>
      </c>
      <c r="J45" s="103">
        <f t="shared" si="30"/>
        <v>7.2227548737615832E-2</v>
      </c>
      <c r="K45" s="103">
        <f t="shared" si="30"/>
        <v>-5.9612518628904265E-4</v>
      </c>
      <c r="L45" s="103">
        <f t="shared" si="30"/>
        <v>3.8771249627199467E-2</v>
      </c>
      <c r="M45" s="103">
        <f t="shared" si="30"/>
        <v>0.10824002296870505</v>
      </c>
      <c r="N45" s="103">
        <f t="shared" si="30"/>
        <v>6.5803108808290212E-2</v>
      </c>
      <c r="O45" s="103">
        <f t="shared" si="30"/>
        <v>3.8526981040349906E-2</v>
      </c>
      <c r="P45" s="103">
        <f t="shared" si="30"/>
        <v>3.4406085430076061E-2</v>
      </c>
      <c r="Q45" s="103">
        <f t="shared" si="30"/>
        <v>-2.0477429573481198E-2</v>
      </c>
      <c r="R45" s="103">
        <f t="shared" ca="1" si="30"/>
        <v>-2.0674520674520469E-2</v>
      </c>
      <c r="S45" s="103">
        <f t="shared" ca="1" si="30"/>
        <v>1.1793843613633781E-2</v>
      </c>
      <c r="T45" s="103">
        <f t="shared" ca="1" si="30"/>
        <v>1.1656370206317712E-2</v>
      </c>
      <c r="U45" s="103">
        <f t="shared" ca="1" si="30"/>
        <v>1.1522064754003969E-2</v>
      </c>
      <c r="V45" s="103">
        <f t="shared" ca="1" si="30"/>
        <v>1.1390818999886143E-2</v>
      </c>
      <c r="W45" s="103">
        <f t="shared" ca="1" si="30"/>
        <v>1.12625295641402E-2</v>
      </c>
      <c r="X45" s="103">
        <f t="shared" ca="1" si="30"/>
        <v>1.1137097672346608E-2</v>
      </c>
      <c r="Y45" s="103">
        <f t="shared" ca="1" si="30"/>
        <v>1.1014428901861439E-2</v>
      </c>
      <c r="Z45" s="103">
        <f t="shared" ca="1" si="30"/>
        <v>1.0894432944765331E-2</v>
      </c>
      <c r="AA45" s="103"/>
      <c r="AB45" s="91"/>
      <c r="AC45" s="91"/>
      <c r="AD45" s="99" t="str">
        <f t="shared" si="18"/>
        <v>Tel RGU growth</v>
      </c>
      <c r="AE45" s="103"/>
      <c r="AF45" s="103"/>
      <c r="AG45" s="103"/>
      <c r="AH45" s="103"/>
      <c r="AI45" s="103">
        <f t="shared" si="31"/>
        <v>0.2450873362445416</v>
      </c>
      <c r="AJ45" s="103">
        <f t="shared" si="31"/>
        <v>0.20247295208655336</v>
      </c>
      <c r="AK45" s="103">
        <f t="shared" si="31"/>
        <v>0.17280995691718526</v>
      </c>
      <c r="AL45" s="103">
        <f t="shared" si="31"/>
        <v>0.18540614960991286</v>
      </c>
      <c r="AM45" s="103">
        <f t="shared" si="31"/>
        <v>0.1893906181499343</v>
      </c>
      <c r="AN45" s="103">
        <f t="shared" si="31"/>
        <v>0.20137103684661506</v>
      </c>
      <c r="AO45" s="103">
        <f t="shared" si="31"/>
        <v>0.17959183673469381</v>
      </c>
      <c r="AP45" s="103">
        <f t="shared" si="31"/>
        <v>0.14711575687185441</v>
      </c>
      <c r="AQ45" s="103">
        <f t="shared" si="31"/>
        <v>0.14264651677110196</v>
      </c>
      <c r="AR45" s="103">
        <f t="shared" si="31"/>
        <v>0.12981455064194014</v>
      </c>
      <c r="AS45" s="103">
        <f t="shared" si="31"/>
        <v>0.16816608996539806</v>
      </c>
      <c r="AT45" s="103">
        <f t="shared" si="31"/>
        <v>0.20958488018899746</v>
      </c>
      <c r="AU45" s="103">
        <f t="shared" si="31"/>
        <v>0.22935483870967732</v>
      </c>
      <c r="AV45" s="103">
        <f t="shared" si="31"/>
        <v>0.28030303030303028</v>
      </c>
      <c r="AW45" s="103">
        <f t="shared" si="31"/>
        <v>0.29828199052132698</v>
      </c>
      <c r="AX45" s="103">
        <f t="shared" si="31"/>
        <v>0.3018973214285714</v>
      </c>
      <c r="AY45" s="103">
        <f t="shared" si="31"/>
        <v>0.27341905011807932</v>
      </c>
      <c r="AZ45" s="103">
        <f t="shared" si="31"/>
        <v>0.24358974358974361</v>
      </c>
      <c r="BA45" s="103">
        <f t="shared" si="31"/>
        <v>0.19438740588637926</v>
      </c>
      <c r="BB45" s="103">
        <f t="shared" si="31"/>
        <v>0.17466780968709839</v>
      </c>
      <c r="BC45" s="103">
        <f t="shared" si="31"/>
        <v>0.18174325159695037</v>
      </c>
      <c r="BD45" s="103">
        <f t="shared" si="31"/>
        <v>0.16534496431403656</v>
      </c>
      <c r="BE45" s="103">
        <f t="shared" si="31"/>
        <v>0.15186246418338101</v>
      </c>
      <c r="BF45" s="103">
        <f t="shared" si="31"/>
        <v>0.12278781244298487</v>
      </c>
      <c r="BG45" s="103">
        <f t="shared" si="31"/>
        <v>9.1194420226678341E-2</v>
      </c>
      <c r="BH45" s="103">
        <f t="shared" si="31"/>
        <v>8.7784960871044371E-2</v>
      </c>
      <c r="BI45" s="103">
        <f t="shared" si="31"/>
        <v>8.8059701492537279E-2</v>
      </c>
      <c r="BJ45" s="103">
        <f t="shared" si="31"/>
        <v>8.38479038024047E-2</v>
      </c>
      <c r="BK45" s="103">
        <f t="shared" si="31"/>
        <v>7.2227548737615832E-2</v>
      </c>
      <c r="BL45" s="103">
        <f t="shared" si="31"/>
        <v>4.8013762902721302E-2</v>
      </c>
      <c r="BM45" s="103">
        <f t="shared" si="31"/>
        <v>1.9966468526139369E-2</v>
      </c>
      <c r="BN45" s="103">
        <f t="shared" si="31"/>
        <v>-1.7991004497751595E-3</v>
      </c>
      <c r="BO45" s="103">
        <f t="shared" si="31"/>
        <v>-5.9612518628904265E-4</v>
      </c>
      <c r="BP45" s="103">
        <f t="shared" si="31"/>
        <v>6.5661841516191366E-3</v>
      </c>
      <c r="BQ45" s="103">
        <f t="shared" si="31"/>
        <v>2.2863120143454818E-2</v>
      </c>
      <c r="BR45" s="103">
        <f t="shared" si="31"/>
        <v>3.76990087113247E-2</v>
      </c>
      <c r="BS45" s="103">
        <f t="shared" si="31"/>
        <v>3.8771249627199467E-2</v>
      </c>
      <c r="BT45" s="103">
        <f t="shared" si="31"/>
        <v>5.1445515196441693E-2</v>
      </c>
      <c r="BU45" s="103">
        <f t="shared" si="31"/>
        <v>6.2673484295105775E-2</v>
      </c>
      <c r="BV45" s="103">
        <f t="shared" si="31"/>
        <v>6.5277174699667206E-2</v>
      </c>
      <c r="BW45" s="103">
        <f t="shared" si="31"/>
        <v>0.10824002296870505</v>
      </c>
      <c r="BX45" s="103">
        <f t="shared" si="31"/>
        <v>0.10956006768189508</v>
      </c>
      <c r="BY45" s="103">
        <f t="shared" si="31"/>
        <v>0.10228210063238929</v>
      </c>
      <c r="BZ45" s="103">
        <f t="shared" si="31"/>
        <v>0.1069293478260871</v>
      </c>
      <c r="CA45" s="103">
        <f t="shared" si="31"/>
        <v>6.5803108808290212E-2</v>
      </c>
      <c r="CB45" s="103">
        <f t="shared" si="31"/>
        <v>6.7734146651416971E-2</v>
      </c>
      <c r="CC45" s="103">
        <f t="shared" si="31"/>
        <v>6.7597904714392643E-2</v>
      </c>
      <c r="CD45" s="103">
        <f t="shared" si="31"/>
        <v>5.5112311280225645E-2</v>
      </c>
      <c r="CE45" s="103">
        <f t="shared" si="31"/>
        <v>3.8526981040349906E-2</v>
      </c>
      <c r="CF45" s="103">
        <f t="shared" si="31"/>
        <v>3.3206379433468269E-2</v>
      </c>
    </row>
    <row r="46" spans="1:94">
      <c r="A46" s="92" t="s">
        <v>593</v>
      </c>
      <c r="B46" s="103"/>
      <c r="C46" s="103"/>
      <c r="D46" s="103"/>
      <c r="E46" s="103"/>
      <c r="F46" s="103">
        <f t="shared" ref="F46:Z46" si="32">+F6/E6-1</f>
        <v>0.56651134826394123</v>
      </c>
      <c r="G46" s="103">
        <f t="shared" si="32"/>
        <v>5.1141815390520096E-2</v>
      </c>
      <c r="H46" s="103">
        <f t="shared" si="32"/>
        <v>1.0771337288909111E-2</v>
      </c>
      <c r="I46" s="103">
        <f t="shared" si="32"/>
        <v>3.8291339293777593E-2</v>
      </c>
      <c r="J46" s="103">
        <f t="shared" si="32"/>
        <v>2.7050534922153702E-2</v>
      </c>
      <c r="K46" s="103">
        <f t="shared" si="32"/>
        <v>7.1985094850948173E-3</v>
      </c>
      <c r="L46" s="103">
        <f t="shared" si="32"/>
        <v>2.8672328260321178E-2</v>
      </c>
      <c r="M46" s="103">
        <f t="shared" si="32"/>
        <v>0.15677619748242622</v>
      </c>
      <c r="N46" s="103">
        <f t="shared" si="32"/>
        <v>4.0559638213679916E-2</v>
      </c>
      <c r="O46" s="103">
        <f t="shared" si="32"/>
        <v>2.3292136357463189E-2</v>
      </c>
      <c r="P46" s="103">
        <f t="shared" si="32"/>
        <v>0.10445285022231077</v>
      </c>
      <c r="Q46" s="103">
        <f t="shared" si="32"/>
        <v>4.1038274349576298E-2</v>
      </c>
      <c r="R46" s="103">
        <f t="shared" si="32"/>
        <v>4.5019046519681361E-2</v>
      </c>
      <c r="S46" s="103">
        <f t="shared" si="32"/>
        <v>3.5465039213520289E-2</v>
      </c>
      <c r="T46" s="103">
        <f t="shared" si="32"/>
        <v>1.302214674210167E-2</v>
      </c>
      <c r="U46" s="103">
        <f t="shared" si="32"/>
        <v>1.3097949492706595E-2</v>
      </c>
      <c r="V46" s="103">
        <f t="shared" si="32"/>
        <v>1.3173330101496683E-2</v>
      </c>
      <c r="W46" s="103">
        <f t="shared" si="32"/>
        <v>1.3248280874428309E-2</v>
      </c>
      <c r="X46" s="103">
        <f t="shared" si="32"/>
        <v>1.3322794342042865E-2</v>
      </c>
      <c r="Y46" s="103">
        <f t="shared" si="32"/>
        <v>1.3396863261149194E-2</v>
      </c>
      <c r="Z46" s="103">
        <f t="shared" si="32"/>
        <v>1.3470480616275982E-2</v>
      </c>
      <c r="AA46" s="103"/>
      <c r="AB46" s="91"/>
      <c r="AC46" s="91"/>
      <c r="AD46" s="99" t="str">
        <f t="shared" si="18"/>
        <v>Customer growth</v>
      </c>
      <c r="AE46" s="103"/>
      <c r="AF46" s="103" t="e">
        <f t="shared" ref="AF46:CF46" si="33">+AF6/AE6-1</f>
        <v>#DIV/0!</v>
      </c>
      <c r="AG46" s="103" t="e">
        <f t="shared" si="33"/>
        <v>#DIV/0!</v>
      </c>
      <c r="AH46" s="103" t="e">
        <f t="shared" si="33"/>
        <v>#DIV/0!</v>
      </c>
      <c r="AI46" s="103" t="e">
        <f t="shared" si="33"/>
        <v>#DIV/0!</v>
      </c>
      <c r="AJ46" s="103" t="e">
        <f t="shared" si="33"/>
        <v>#DIV/0!</v>
      </c>
      <c r="AK46" s="103" t="e">
        <f t="shared" si="33"/>
        <v>#DIV/0!</v>
      </c>
      <c r="AL46" s="103" t="e">
        <f t="shared" si="33"/>
        <v>#DIV/0!</v>
      </c>
      <c r="AM46" s="103" t="e">
        <f t="shared" si="33"/>
        <v>#DIV/0!</v>
      </c>
      <c r="AN46" s="103" t="e">
        <f t="shared" si="33"/>
        <v>#DIV/0!</v>
      </c>
      <c r="AO46" s="103" t="e">
        <f t="shared" si="33"/>
        <v>#DIV/0!</v>
      </c>
      <c r="AP46" s="103" t="e">
        <f t="shared" si="33"/>
        <v>#DIV/0!</v>
      </c>
      <c r="AQ46" s="103" t="e">
        <f t="shared" si="33"/>
        <v>#DIV/0!</v>
      </c>
      <c r="AR46" s="103">
        <f t="shared" si="33"/>
        <v>1.8788516458740467E-2</v>
      </c>
      <c r="AS46" s="103">
        <f t="shared" si="33"/>
        <v>0.34154617881380966</v>
      </c>
      <c r="AT46" s="103">
        <f t="shared" si="33"/>
        <v>0.14428681403277244</v>
      </c>
      <c r="AU46" s="103">
        <f t="shared" si="33"/>
        <v>1.633829889476246E-3</v>
      </c>
      <c r="AV46" s="103">
        <f t="shared" si="33"/>
        <v>1.2665515256188753E-2</v>
      </c>
      <c r="AW46" s="103">
        <f t="shared" si="33"/>
        <v>2.2740193291643118E-2</v>
      </c>
      <c r="AX46" s="103">
        <f t="shared" si="33"/>
        <v>7.6894571057994909E-3</v>
      </c>
      <c r="AY46" s="103">
        <f t="shared" si="33"/>
        <v>7.1710949710397376E-3</v>
      </c>
      <c r="AZ46" s="103">
        <f t="shared" si="33"/>
        <v>4.5641259698767644E-3</v>
      </c>
      <c r="BA46" s="103">
        <f t="shared" si="33"/>
        <v>1.1994547932757893E-2</v>
      </c>
      <c r="BB46" s="103">
        <f t="shared" si="33"/>
        <v>1.0864685283289877E-2</v>
      </c>
      <c r="BC46" s="103">
        <f t="shared" si="33"/>
        <v>-1.6432758926985258E-2</v>
      </c>
      <c r="BD46" s="103">
        <f t="shared" si="33"/>
        <v>1.0746861735753788E-2</v>
      </c>
      <c r="BE46" s="103">
        <f t="shared" si="33"/>
        <v>1.322373123659748E-2</v>
      </c>
      <c r="BF46" s="103">
        <f t="shared" si="33"/>
        <v>1.1552028218694721E-2</v>
      </c>
      <c r="BG46" s="103">
        <f t="shared" si="33"/>
        <v>2.2665853020660265E-3</v>
      </c>
      <c r="BH46" s="103">
        <f t="shared" si="33"/>
        <v>6.1755240497523012E-3</v>
      </c>
      <c r="BI46" s="103">
        <f t="shared" si="33"/>
        <v>9.1632088520054999E-3</v>
      </c>
      <c r="BJ46" s="103">
        <f t="shared" si="33"/>
        <v>1.0793215692993074E-2</v>
      </c>
      <c r="BK46" s="103">
        <f t="shared" si="33"/>
        <v>6.7796610169490457E-4</v>
      </c>
      <c r="BL46" s="103">
        <f t="shared" si="33"/>
        <v>-4.4037940379402229E-3</v>
      </c>
      <c r="BM46" s="103">
        <f t="shared" si="33"/>
        <v>1.1228308948621812E-2</v>
      </c>
      <c r="BN46" s="103">
        <f t="shared" si="33"/>
        <v>7.570659488560505E-4</v>
      </c>
      <c r="BO46" s="103">
        <f t="shared" si="33"/>
        <v>-3.3621921492821283E-4</v>
      </c>
      <c r="BP46" s="103">
        <f t="shared" si="33"/>
        <v>6.053981333557612E-3</v>
      </c>
      <c r="BQ46" s="103">
        <f t="shared" si="33"/>
        <v>1.2620142081069652E-2</v>
      </c>
      <c r="BR46" s="103">
        <f t="shared" si="33"/>
        <v>8.0884780455594552E-3</v>
      </c>
      <c r="BS46" s="103">
        <f t="shared" si="33"/>
        <v>1.63746520386443E-3</v>
      </c>
      <c r="BT46" s="103">
        <f t="shared" si="33"/>
        <v>6.7026320091549962E-3</v>
      </c>
      <c r="BU46" s="103">
        <f t="shared" si="33"/>
        <v>1.0636570315037064E-2</v>
      </c>
      <c r="BV46" s="103">
        <f t="shared" si="33"/>
        <v>7.6323612115372086E-3</v>
      </c>
      <c r="BW46" s="103">
        <f t="shared" si="33"/>
        <v>0.1283686812310636</v>
      </c>
      <c r="BX46" s="103">
        <f t="shared" si="33"/>
        <v>1.8301300169587309E-2</v>
      </c>
      <c r="BY46" s="103">
        <f t="shared" si="33"/>
        <v>9.6454097564360186E-3</v>
      </c>
      <c r="BZ46" s="103">
        <f t="shared" si="33"/>
        <v>6.7353951890034569E-3</v>
      </c>
      <c r="CA46" s="103">
        <f t="shared" si="33"/>
        <v>5.3249590387765E-3</v>
      </c>
      <c r="CB46" s="103">
        <f t="shared" si="33"/>
        <v>8.8279234007877516E-3</v>
      </c>
      <c r="CC46" s="103">
        <f t="shared" si="33"/>
        <v>9.9623047926764574E-3</v>
      </c>
      <c r="CD46" s="103">
        <f t="shared" si="33"/>
        <v>5.5318581711543136E-3</v>
      </c>
      <c r="CE46" s="103">
        <f t="shared" si="33"/>
        <v>-1.193080135215685E-3</v>
      </c>
      <c r="CF46" s="103">
        <f t="shared" si="33"/>
        <v>9.4233193974384566E-3</v>
      </c>
    </row>
    <row r="47" spans="1:94">
      <c r="A47" s="92" t="s">
        <v>594</v>
      </c>
      <c r="B47" s="103"/>
      <c r="C47" s="103"/>
      <c r="D47" s="103"/>
      <c r="E47" s="103">
        <f t="shared" ref="E47:Z47" si="34">+E13/E6</f>
        <v>0</v>
      </c>
      <c r="F47" s="103">
        <f t="shared" si="34"/>
        <v>0</v>
      </c>
      <c r="G47" s="103">
        <f t="shared" si="34"/>
        <v>0</v>
      </c>
      <c r="H47" s="103">
        <f t="shared" si="34"/>
        <v>0</v>
      </c>
      <c r="I47" s="103">
        <f t="shared" si="34"/>
        <v>0</v>
      </c>
      <c r="J47" s="103">
        <f t="shared" si="34"/>
        <v>0</v>
      </c>
      <c r="K47" s="103">
        <f t="shared" si="34"/>
        <v>0</v>
      </c>
      <c r="L47" s="103">
        <f t="shared" si="34"/>
        <v>0</v>
      </c>
      <c r="M47" s="103">
        <f t="shared" si="34"/>
        <v>2.826455624646693E-2</v>
      </c>
      <c r="N47" s="103">
        <f t="shared" si="34"/>
        <v>4.841776449816651E-2</v>
      </c>
      <c r="O47" s="103">
        <f t="shared" si="34"/>
        <v>7.3329351649080887E-2</v>
      </c>
      <c r="P47" s="103">
        <f t="shared" si="34"/>
        <v>7.9312623925974879E-2</v>
      </c>
      <c r="Q47" s="103">
        <f t="shared" si="34"/>
        <v>9.5925199122705751E-2</v>
      </c>
      <c r="R47" s="103">
        <f t="shared" si="34"/>
        <v>0.11868993703744614</v>
      </c>
      <c r="S47" s="103">
        <f t="shared" si="34"/>
        <v>0.1306263611357506</v>
      </c>
      <c r="T47" s="103">
        <f t="shared" si="34"/>
        <v>0.14474309125403217</v>
      </c>
      <c r="U47" s="103">
        <f t="shared" si="34"/>
        <v>0.15846344443531721</v>
      </c>
      <c r="V47" s="103">
        <f t="shared" si="34"/>
        <v>0.17179205136531991</v>
      </c>
      <c r="W47" s="103">
        <f t="shared" si="34"/>
        <v>0.18473360520383469</v>
      </c>
      <c r="X47" s="103">
        <f t="shared" si="34"/>
        <v>0.19729285804631763</v>
      </c>
      <c r="Y47" s="103">
        <f t="shared" si="34"/>
        <v>0.20947461738634446</v>
      </c>
      <c r="Z47" s="103">
        <f t="shared" si="34"/>
        <v>0.22128374258340489</v>
      </c>
      <c r="AA47" s="103"/>
      <c r="AB47" s="91"/>
      <c r="AC47" s="91"/>
      <c r="AD47" s="99" t="str">
        <f t="shared" si="18"/>
        <v>Mobile SIM % customers</v>
      </c>
      <c r="AE47" s="103" t="e">
        <f t="shared" ref="AE47:CF47" si="35">+AE13/AE6</f>
        <v>#DIV/0!</v>
      </c>
      <c r="AF47" s="103" t="e">
        <f t="shared" si="35"/>
        <v>#DIV/0!</v>
      </c>
      <c r="AG47" s="103" t="e">
        <f t="shared" si="35"/>
        <v>#DIV/0!</v>
      </c>
      <c r="AH47" s="103" t="e">
        <f t="shared" si="35"/>
        <v>#DIV/0!</v>
      </c>
      <c r="AI47" s="103" t="e">
        <f t="shared" si="35"/>
        <v>#DIV/0!</v>
      </c>
      <c r="AJ47" s="103" t="e">
        <f t="shared" si="35"/>
        <v>#DIV/0!</v>
      </c>
      <c r="AK47" s="103" t="e">
        <f t="shared" si="35"/>
        <v>#DIV/0!</v>
      </c>
      <c r="AL47" s="103" t="e">
        <f t="shared" si="35"/>
        <v>#DIV/0!</v>
      </c>
      <c r="AM47" s="103" t="e">
        <f t="shared" si="35"/>
        <v>#DIV/0!</v>
      </c>
      <c r="AN47" s="103" t="e">
        <f t="shared" si="35"/>
        <v>#DIV/0!</v>
      </c>
      <c r="AO47" s="103" t="e">
        <f t="shared" si="35"/>
        <v>#DIV/0!</v>
      </c>
      <c r="AP47" s="103" t="e">
        <f t="shared" si="35"/>
        <v>#DIV/0!</v>
      </c>
      <c r="AQ47" s="103">
        <f t="shared" si="35"/>
        <v>0</v>
      </c>
      <c r="AR47" s="103">
        <f t="shared" si="35"/>
        <v>0</v>
      </c>
      <c r="AS47" s="103">
        <f t="shared" si="35"/>
        <v>0</v>
      </c>
      <c r="AT47" s="103">
        <f t="shared" si="35"/>
        <v>0</v>
      </c>
      <c r="AU47" s="103">
        <f t="shared" si="35"/>
        <v>0</v>
      </c>
      <c r="AV47" s="103">
        <f t="shared" si="35"/>
        <v>0</v>
      </c>
      <c r="AW47" s="103">
        <f t="shared" si="35"/>
        <v>0</v>
      </c>
      <c r="AX47" s="103">
        <f t="shared" si="35"/>
        <v>0</v>
      </c>
      <c r="AY47" s="103">
        <f t="shared" si="35"/>
        <v>0</v>
      </c>
      <c r="AZ47" s="103">
        <f t="shared" si="35"/>
        <v>0</v>
      </c>
      <c r="BA47" s="103">
        <f t="shared" si="35"/>
        <v>0</v>
      </c>
      <c r="BB47" s="103">
        <f t="shared" si="35"/>
        <v>0</v>
      </c>
      <c r="BC47" s="103">
        <f t="shared" si="35"/>
        <v>0</v>
      </c>
      <c r="BD47" s="103">
        <f t="shared" si="35"/>
        <v>0</v>
      </c>
      <c r="BE47" s="103">
        <f t="shared" si="35"/>
        <v>0</v>
      </c>
      <c r="BF47" s="103">
        <f t="shared" si="35"/>
        <v>0</v>
      </c>
      <c r="BG47" s="103">
        <f t="shared" si="35"/>
        <v>0</v>
      </c>
      <c r="BH47" s="103">
        <f t="shared" si="35"/>
        <v>0</v>
      </c>
      <c r="BI47" s="103">
        <f t="shared" si="35"/>
        <v>0</v>
      </c>
      <c r="BJ47" s="103">
        <f t="shared" si="35"/>
        <v>0</v>
      </c>
      <c r="BK47" s="103">
        <f t="shared" si="35"/>
        <v>0</v>
      </c>
      <c r="BL47" s="103">
        <f t="shared" si="35"/>
        <v>0</v>
      </c>
      <c r="BM47" s="103">
        <f t="shared" si="35"/>
        <v>0</v>
      </c>
      <c r="BN47" s="103">
        <f t="shared" si="35"/>
        <v>0</v>
      </c>
      <c r="BO47" s="103">
        <f t="shared" si="35"/>
        <v>0</v>
      </c>
      <c r="BP47" s="103">
        <f t="shared" si="35"/>
        <v>0</v>
      </c>
      <c r="BQ47" s="103">
        <f t="shared" si="35"/>
        <v>0</v>
      </c>
      <c r="BR47" s="103">
        <f t="shared" si="35"/>
        <v>0</v>
      </c>
      <c r="BS47" s="103">
        <f t="shared" si="35"/>
        <v>0</v>
      </c>
      <c r="BT47" s="103">
        <f t="shared" si="35"/>
        <v>0</v>
      </c>
      <c r="BU47" s="103">
        <f t="shared" si="35"/>
        <v>0</v>
      </c>
      <c r="BV47" s="103">
        <f t="shared" si="35"/>
        <v>0</v>
      </c>
      <c r="BW47" s="103">
        <f t="shared" si="35"/>
        <v>0</v>
      </c>
      <c r="BX47" s="103">
        <f t="shared" si="35"/>
        <v>3.2960932620914575E-2</v>
      </c>
      <c r="BY47" s="103">
        <f t="shared" si="35"/>
        <v>9.628865979381443E-2</v>
      </c>
      <c r="BZ47" s="103">
        <f t="shared" si="35"/>
        <v>5.4546695794647736E-2</v>
      </c>
      <c r="CA47" s="103">
        <f t="shared" si="35"/>
        <v>4.841776449816651E-2</v>
      </c>
      <c r="CB47" s="103">
        <f t="shared" si="35"/>
        <v>5.5869682283252564E-2</v>
      </c>
      <c r="CC47" s="103">
        <f t="shared" si="35"/>
        <v>5.9784057584644092E-2</v>
      </c>
      <c r="CD47" s="103">
        <f t="shared" si="35"/>
        <v>6.6746205342347723E-2</v>
      </c>
      <c r="CE47" s="103">
        <f t="shared" si="35"/>
        <v>7.3329351649080887E-2</v>
      </c>
      <c r="CF47" s="103">
        <f t="shared" si="35"/>
        <v>7.7246729340608764E-2</v>
      </c>
    </row>
    <row r="48" spans="1:94">
      <c r="A48" s="92" t="s">
        <v>595</v>
      </c>
      <c r="B48" s="103">
        <f t="shared" ref="B48:Z48" si="36">+B13/B11</f>
        <v>0</v>
      </c>
      <c r="C48" s="103">
        <f t="shared" si="36"/>
        <v>0</v>
      </c>
      <c r="D48" s="103">
        <f t="shared" si="36"/>
        <v>0</v>
      </c>
      <c r="E48" s="103">
        <f t="shared" si="36"/>
        <v>0</v>
      </c>
      <c r="F48" s="103">
        <f t="shared" si="36"/>
        <v>0</v>
      </c>
      <c r="G48" s="103">
        <f t="shared" si="36"/>
        <v>0</v>
      </c>
      <c r="H48" s="103">
        <f t="shared" si="36"/>
        <v>0</v>
      </c>
      <c r="I48" s="103">
        <f t="shared" si="36"/>
        <v>0</v>
      </c>
      <c r="J48" s="103">
        <f t="shared" si="36"/>
        <v>0</v>
      </c>
      <c r="K48" s="103">
        <f t="shared" si="36"/>
        <v>0</v>
      </c>
      <c r="L48" s="103">
        <f t="shared" si="36"/>
        <v>0</v>
      </c>
      <c r="M48" s="103">
        <f t="shared" si="36"/>
        <v>3.9820806371329016E-2</v>
      </c>
      <c r="N48" s="103">
        <f t="shared" si="36"/>
        <v>6.6147137953427956E-2</v>
      </c>
      <c r="O48" s="103">
        <f t="shared" si="36"/>
        <v>9.67346581458461E-2</v>
      </c>
      <c r="P48" s="103">
        <f t="shared" si="36"/>
        <v>9.9841161788064445E-2</v>
      </c>
      <c r="Q48" s="103">
        <f t="shared" si="36"/>
        <v>0.11702577101816644</v>
      </c>
      <c r="R48" s="103">
        <f t="shared" si="36"/>
        <v>0.14086261143156792</v>
      </c>
      <c r="S48" s="103">
        <f t="shared" si="36"/>
        <v>0.15592767095377563</v>
      </c>
      <c r="T48" s="103">
        <f t="shared" si="36"/>
        <v>0.17121325361235676</v>
      </c>
      <c r="U48" s="103">
        <f t="shared" si="36"/>
        <v>0.18584664147263197</v>
      </c>
      <c r="V48" s="103">
        <f t="shared" si="36"/>
        <v>0.19986870374791119</v>
      </c>
      <c r="W48" s="103">
        <f t="shared" si="36"/>
        <v>0.21331696480766982</v>
      </c>
      <c r="X48" s="103">
        <f t="shared" si="36"/>
        <v>0.22622593950504125</v>
      </c>
      <c r="Y48" s="103">
        <f t="shared" si="36"/>
        <v>0.2386274289565315</v>
      </c>
      <c r="Z48" s="103">
        <f t="shared" si="36"/>
        <v>0.25055078211059706</v>
      </c>
      <c r="AA48" s="103"/>
      <c r="AB48" s="91"/>
      <c r="AC48" s="91"/>
      <c r="AD48" s="99" t="str">
        <f t="shared" si="18"/>
        <v>Mobile SIM % broadband</v>
      </c>
      <c r="AE48" s="103">
        <f t="shared" ref="AE48:CF48" si="37">+AE13/AE11</f>
        <v>0</v>
      </c>
      <c r="AF48" s="103">
        <f t="shared" si="37"/>
        <v>0</v>
      </c>
      <c r="AG48" s="103">
        <f t="shared" si="37"/>
        <v>0</v>
      </c>
      <c r="AH48" s="103">
        <f t="shared" si="37"/>
        <v>0</v>
      </c>
      <c r="AI48" s="103">
        <f t="shared" si="37"/>
        <v>0</v>
      </c>
      <c r="AJ48" s="103">
        <f t="shared" si="37"/>
        <v>0</v>
      </c>
      <c r="AK48" s="103">
        <f t="shared" si="37"/>
        <v>0</v>
      </c>
      <c r="AL48" s="103">
        <f t="shared" si="37"/>
        <v>0</v>
      </c>
      <c r="AM48" s="103">
        <f t="shared" si="37"/>
        <v>0</v>
      </c>
      <c r="AN48" s="103">
        <f t="shared" si="37"/>
        <v>0</v>
      </c>
      <c r="AO48" s="103">
        <f t="shared" si="37"/>
        <v>0</v>
      </c>
      <c r="AP48" s="103">
        <f t="shared" si="37"/>
        <v>0</v>
      </c>
      <c r="AQ48" s="103">
        <f t="shared" si="37"/>
        <v>0</v>
      </c>
      <c r="AR48" s="103">
        <f t="shared" si="37"/>
        <v>0</v>
      </c>
      <c r="AS48" s="103">
        <f t="shared" si="37"/>
        <v>0</v>
      </c>
      <c r="AT48" s="103">
        <f t="shared" si="37"/>
        <v>0</v>
      </c>
      <c r="AU48" s="103">
        <f t="shared" si="37"/>
        <v>0</v>
      </c>
      <c r="AV48" s="103">
        <f t="shared" si="37"/>
        <v>0</v>
      </c>
      <c r="AW48" s="103">
        <f t="shared" si="37"/>
        <v>0</v>
      </c>
      <c r="AX48" s="103">
        <f t="shared" si="37"/>
        <v>0</v>
      </c>
      <c r="AY48" s="103">
        <f t="shared" si="37"/>
        <v>0</v>
      </c>
      <c r="AZ48" s="103">
        <f t="shared" si="37"/>
        <v>0</v>
      </c>
      <c r="BA48" s="103">
        <f t="shared" si="37"/>
        <v>0</v>
      </c>
      <c r="BB48" s="103">
        <f t="shared" si="37"/>
        <v>0</v>
      </c>
      <c r="BC48" s="103">
        <f t="shared" si="37"/>
        <v>0</v>
      </c>
      <c r="BD48" s="103">
        <f t="shared" si="37"/>
        <v>0</v>
      </c>
      <c r="BE48" s="103">
        <f t="shared" si="37"/>
        <v>0</v>
      </c>
      <c r="BF48" s="103">
        <f t="shared" si="37"/>
        <v>0</v>
      </c>
      <c r="BG48" s="103">
        <f t="shared" si="37"/>
        <v>0</v>
      </c>
      <c r="BH48" s="103">
        <f t="shared" si="37"/>
        <v>0</v>
      </c>
      <c r="BI48" s="103">
        <f t="shared" si="37"/>
        <v>0</v>
      </c>
      <c r="BJ48" s="103">
        <f t="shared" si="37"/>
        <v>0</v>
      </c>
      <c r="BK48" s="103">
        <f t="shared" si="37"/>
        <v>0</v>
      </c>
      <c r="BL48" s="103">
        <f t="shared" si="37"/>
        <v>0</v>
      </c>
      <c r="BM48" s="103">
        <f t="shared" si="37"/>
        <v>0</v>
      </c>
      <c r="BN48" s="103">
        <f t="shared" si="37"/>
        <v>0</v>
      </c>
      <c r="BO48" s="103">
        <f t="shared" si="37"/>
        <v>0</v>
      </c>
      <c r="BP48" s="103">
        <f t="shared" si="37"/>
        <v>0</v>
      </c>
      <c r="BQ48" s="103">
        <f t="shared" si="37"/>
        <v>0</v>
      </c>
      <c r="BR48" s="103">
        <f t="shared" si="37"/>
        <v>0</v>
      </c>
      <c r="BS48" s="103">
        <f t="shared" si="37"/>
        <v>0</v>
      </c>
      <c r="BT48" s="103">
        <f t="shared" si="37"/>
        <v>0</v>
      </c>
      <c r="BU48" s="103">
        <f t="shared" si="37"/>
        <v>0</v>
      </c>
      <c r="BV48" s="103">
        <f t="shared" si="37"/>
        <v>0</v>
      </c>
      <c r="BW48" s="103">
        <f t="shared" si="37"/>
        <v>0</v>
      </c>
      <c r="BX48" s="103">
        <f t="shared" si="37"/>
        <v>4.6098602484472048E-2</v>
      </c>
      <c r="BY48" s="103">
        <f t="shared" si="37"/>
        <v>0.1329726651480638</v>
      </c>
      <c r="BZ48" s="103">
        <f t="shared" si="37"/>
        <v>7.4756736526946116E-2</v>
      </c>
      <c r="CA48" s="103">
        <f t="shared" si="37"/>
        <v>6.6147137953427956E-2</v>
      </c>
      <c r="CB48" s="103">
        <f t="shared" si="37"/>
        <v>7.570229843122947E-2</v>
      </c>
      <c r="CC48" s="103">
        <f t="shared" si="37"/>
        <v>8.0060692609782214E-2</v>
      </c>
      <c r="CD48" s="103">
        <f t="shared" si="37"/>
        <v>8.8496352930837505E-2</v>
      </c>
      <c r="CE48" s="103">
        <f t="shared" si="37"/>
        <v>9.67346581458461E-2</v>
      </c>
      <c r="CF48" s="103">
        <f t="shared" si="37"/>
        <v>0.10052185815724185</v>
      </c>
    </row>
    <row r="49" spans="1:84">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row>
    <row r="50" spans="1:84">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row>
    <row r="51" spans="1:84">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row>
    <row r="52" spans="1:84">
      <c r="A52" s="93" t="str">
        <f>CONCATENATE(A$1," revenues")</f>
        <v>LatAm (VTR / Puerto Rico) revenues</v>
      </c>
      <c r="B52" s="94">
        <f t="shared" ref="B52:Z52" si="38">+B$1</f>
        <v>2001</v>
      </c>
      <c r="C52" s="94">
        <f t="shared" si="38"/>
        <v>2002</v>
      </c>
      <c r="D52" s="94">
        <f t="shared" si="38"/>
        <v>2003</v>
      </c>
      <c r="E52" s="94">
        <f t="shared" si="38"/>
        <v>2004</v>
      </c>
      <c r="F52" s="94">
        <f t="shared" si="38"/>
        <v>2005</v>
      </c>
      <c r="G52" s="94">
        <f t="shared" si="38"/>
        <v>2006</v>
      </c>
      <c r="H52" s="94">
        <f t="shared" si="38"/>
        <v>2007</v>
      </c>
      <c r="I52" s="94">
        <f t="shared" si="38"/>
        <v>2008</v>
      </c>
      <c r="J52" s="94">
        <f t="shared" si="38"/>
        <v>2009</v>
      </c>
      <c r="K52" s="94">
        <f t="shared" si="38"/>
        <v>2010</v>
      </c>
      <c r="L52" s="94">
        <f t="shared" si="38"/>
        <v>2011</v>
      </c>
      <c r="M52" s="94">
        <f t="shared" si="38"/>
        <v>2012</v>
      </c>
      <c r="N52" s="94">
        <f t="shared" si="38"/>
        <v>2013</v>
      </c>
      <c r="O52" s="94">
        <f t="shared" si="38"/>
        <v>2014</v>
      </c>
      <c r="P52" s="94">
        <f t="shared" si="38"/>
        <v>2015</v>
      </c>
      <c r="Q52" s="94" t="str">
        <f t="shared" si="38"/>
        <v>2016E</v>
      </c>
      <c r="R52" s="94" t="str">
        <f t="shared" si="38"/>
        <v>2017E</v>
      </c>
      <c r="S52" s="94" t="str">
        <f t="shared" si="38"/>
        <v>2018E</v>
      </c>
      <c r="T52" s="94" t="str">
        <f t="shared" si="38"/>
        <v>2019E</v>
      </c>
      <c r="U52" s="94" t="str">
        <f t="shared" si="38"/>
        <v>2020E</v>
      </c>
      <c r="V52" s="94" t="str">
        <f t="shared" si="38"/>
        <v>2021E</v>
      </c>
      <c r="W52" s="94" t="str">
        <f t="shared" si="38"/>
        <v>2022E</v>
      </c>
      <c r="X52" s="94" t="str">
        <f t="shared" si="38"/>
        <v>2023E</v>
      </c>
      <c r="Y52" s="94" t="str">
        <f t="shared" si="38"/>
        <v>2024E</v>
      </c>
      <c r="Z52" s="94" t="str">
        <f t="shared" si="38"/>
        <v>2025E</v>
      </c>
      <c r="AA52" s="94"/>
      <c r="AB52" s="91"/>
      <c r="AC52" s="91"/>
      <c r="AD52" s="93" t="str">
        <f>+A52</f>
        <v>LatAm (VTR / Puerto Rico) revenues</v>
      </c>
      <c r="AE52" s="94" t="str">
        <f t="shared" ref="AE52:CF52" si="39">+AE$1</f>
        <v>Q4 01</v>
      </c>
      <c r="AF52" s="94" t="str">
        <f t="shared" si="39"/>
        <v>Q1 02</v>
      </c>
      <c r="AG52" s="94" t="str">
        <f t="shared" si="39"/>
        <v>Q2 02</v>
      </c>
      <c r="AH52" s="94" t="str">
        <f t="shared" si="39"/>
        <v>Q3 02</v>
      </c>
      <c r="AI52" s="94" t="str">
        <f t="shared" si="39"/>
        <v>Q4 02</v>
      </c>
      <c r="AJ52" s="94" t="str">
        <f t="shared" si="39"/>
        <v>Q1 03</v>
      </c>
      <c r="AK52" s="94" t="str">
        <f t="shared" si="39"/>
        <v>Q2 03</v>
      </c>
      <c r="AL52" s="94" t="str">
        <f t="shared" si="39"/>
        <v>Q3 03</v>
      </c>
      <c r="AM52" s="94" t="str">
        <f t="shared" si="39"/>
        <v>Q4 03</v>
      </c>
      <c r="AN52" s="94" t="str">
        <f t="shared" si="39"/>
        <v>1Q04</v>
      </c>
      <c r="AO52" s="94" t="str">
        <f t="shared" si="39"/>
        <v>Q2 04</v>
      </c>
      <c r="AP52" s="94" t="str">
        <f t="shared" si="39"/>
        <v>Q3 04</v>
      </c>
      <c r="AQ52" s="94" t="str">
        <f t="shared" si="39"/>
        <v>Q4 04</v>
      </c>
      <c r="AR52" s="94" t="str">
        <f t="shared" si="39"/>
        <v>Q1 05</v>
      </c>
      <c r="AS52" s="94" t="str">
        <f t="shared" si="39"/>
        <v>Q2 05</v>
      </c>
      <c r="AT52" s="94" t="str">
        <f t="shared" si="39"/>
        <v>Q3 05</v>
      </c>
      <c r="AU52" s="94" t="str">
        <f t="shared" si="39"/>
        <v>Q4 05</v>
      </c>
      <c r="AV52" s="94" t="str">
        <f t="shared" si="39"/>
        <v>Q1 06</v>
      </c>
      <c r="AW52" s="94" t="str">
        <f t="shared" si="39"/>
        <v>Q2 06</v>
      </c>
      <c r="AX52" s="94" t="str">
        <f t="shared" si="39"/>
        <v>Q3 06</v>
      </c>
      <c r="AY52" s="94" t="str">
        <f t="shared" si="39"/>
        <v>Q4 06</v>
      </c>
      <c r="AZ52" s="94" t="str">
        <f t="shared" si="39"/>
        <v>Q1 07</v>
      </c>
      <c r="BA52" s="94" t="str">
        <f t="shared" si="39"/>
        <v>Q2 07</v>
      </c>
      <c r="BB52" s="94" t="str">
        <f t="shared" si="39"/>
        <v>Q3 07</v>
      </c>
      <c r="BC52" s="94" t="str">
        <f t="shared" si="39"/>
        <v>Q4 07</v>
      </c>
      <c r="BD52" s="94" t="str">
        <f t="shared" si="39"/>
        <v>Q1 08</v>
      </c>
      <c r="BE52" s="94" t="str">
        <f t="shared" si="39"/>
        <v>Q2 08</v>
      </c>
      <c r="BF52" s="94" t="str">
        <f t="shared" si="39"/>
        <v>Q3 08</v>
      </c>
      <c r="BG52" s="94" t="str">
        <f t="shared" si="39"/>
        <v>Q4 08</v>
      </c>
      <c r="BH52" s="94" t="str">
        <f t="shared" si="39"/>
        <v>Q1 09</v>
      </c>
      <c r="BI52" s="94" t="str">
        <f t="shared" si="39"/>
        <v>Q2 09</v>
      </c>
      <c r="BJ52" s="94" t="str">
        <f t="shared" si="39"/>
        <v>Q3 09</v>
      </c>
      <c r="BK52" s="94" t="str">
        <f t="shared" si="39"/>
        <v>Q4 09</v>
      </c>
      <c r="BL52" s="94" t="str">
        <f t="shared" si="39"/>
        <v>Q1 10</v>
      </c>
      <c r="BM52" s="94" t="str">
        <f t="shared" si="39"/>
        <v>Q2 10</v>
      </c>
      <c r="BN52" s="94" t="str">
        <f t="shared" si="39"/>
        <v>Q3 10</v>
      </c>
      <c r="BO52" s="94" t="str">
        <f t="shared" si="39"/>
        <v>Q4 10</v>
      </c>
      <c r="BP52" s="94" t="str">
        <f t="shared" si="39"/>
        <v>Q1 11</v>
      </c>
      <c r="BQ52" s="94" t="str">
        <f t="shared" si="39"/>
        <v>Q2 11</v>
      </c>
      <c r="BR52" s="94" t="str">
        <f t="shared" si="39"/>
        <v>Q3 11</v>
      </c>
      <c r="BS52" s="94" t="str">
        <f t="shared" si="39"/>
        <v>Q4 11</v>
      </c>
      <c r="BT52" s="94" t="str">
        <f t="shared" si="39"/>
        <v>Q1 12</v>
      </c>
      <c r="BU52" s="94" t="str">
        <f t="shared" si="39"/>
        <v>Q2 12</v>
      </c>
      <c r="BV52" s="94" t="str">
        <f t="shared" si="39"/>
        <v>Q3 12</v>
      </c>
      <c r="BW52" s="94" t="str">
        <f t="shared" si="39"/>
        <v>Q4 12</v>
      </c>
      <c r="BX52" s="94" t="str">
        <f t="shared" si="39"/>
        <v>Q1 13</v>
      </c>
      <c r="BY52" s="94" t="str">
        <f t="shared" si="39"/>
        <v>Q2 13</v>
      </c>
      <c r="BZ52" s="94" t="str">
        <f t="shared" si="39"/>
        <v>Q3 13</v>
      </c>
      <c r="CA52" s="94" t="str">
        <f t="shared" si="39"/>
        <v>Q4 13</v>
      </c>
      <c r="CB52" s="94" t="str">
        <f t="shared" si="39"/>
        <v>Q1 14</v>
      </c>
      <c r="CC52" s="94" t="str">
        <f t="shared" si="39"/>
        <v>Q2 14</v>
      </c>
      <c r="CD52" s="94" t="str">
        <f t="shared" si="39"/>
        <v>Q3 14</v>
      </c>
      <c r="CE52" s="94" t="str">
        <f t="shared" si="39"/>
        <v>Q4 14</v>
      </c>
      <c r="CF52" s="94" t="str">
        <f t="shared" si="39"/>
        <v>Q1 15</v>
      </c>
    </row>
    <row r="53" spans="1:84">
      <c r="A53" s="92" t="s">
        <v>768</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1"/>
      <c r="AC53" s="91"/>
      <c r="AD53" s="92" t="s">
        <v>769</v>
      </c>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row>
    <row r="54" spans="1:84">
      <c r="A54" s="92" t="s">
        <v>770</v>
      </c>
      <c r="B54" s="97"/>
      <c r="C54" s="97"/>
      <c r="D54" s="97"/>
      <c r="E54" s="97"/>
      <c r="F54" s="97"/>
      <c r="G54" s="97"/>
      <c r="H54" s="97"/>
      <c r="I54" s="97"/>
      <c r="J54" s="97"/>
      <c r="K54" s="97"/>
      <c r="L54" s="265">
        <f>+VTR!L58+PR!L54</f>
        <v>1004.4905391994707</v>
      </c>
      <c r="M54" s="265">
        <f>+VTR!M58+PR!M54</f>
        <v>1085.532081602435</v>
      </c>
      <c r="N54" s="265">
        <f>+VTR!N58+PR!N54</f>
        <v>1288.218266222626</v>
      </c>
      <c r="O54" s="265">
        <f>+VTR!O58+PR!O54</f>
        <v>1203.8503679304786</v>
      </c>
      <c r="P54" s="265">
        <f>+VTR!P58+PR!P54</f>
        <v>1212.5333333333333</v>
      </c>
      <c r="Q54" s="265">
        <f>+VTR!Q58+PR!Q54</f>
        <v>1279.4090119933155</v>
      </c>
      <c r="R54" s="265">
        <f>+VTR!R58+PR!R54</f>
        <v>1272.9112207151666</v>
      </c>
      <c r="S54" s="265">
        <f>+VTR!S58+PR!S54</f>
        <v>1335.7165766952999</v>
      </c>
      <c r="T54" s="265">
        <f ca="1">+VTR!T58+PR!T54</f>
        <v>1359.4065288314603</v>
      </c>
      <c r="U54" s="265">
        <f ca="1">+VTR!U58+PR!U54</f>
        <v>1296.7399477283195</v>
      </c>
      <c r="V54" s="265">
        <f ca="1">+VTR!V58+PR!V54</f>
        <v>1382.1592910461954</v>
      </c>
      <c r="W54" s="265">
        <f ca="1">+VTR!W58+PR!W54</f>
        <v>1301.0411611961185</v>
      </c>
      <c r="X54" s="265">
        <f ca="1">+VTR!X58+PR!X54</f>
        <v>1432.2297683022516</v>
      </c>
      <c r="Y54" s="265">
        <f ca="1">+VTR!Y58+PR!Y54</f>
        <v>1466.5088123647542</v>
      </c>
      <c r="Z54" s="265">
        <f ca="1">+VTR!Z58+PR!Z54</f>
        <v>1516.9878285164214</v>
      </c>
      <c r="AA54" s="265"/>
      <c r="AB54" s="91"/>
      <c r="AC54" s="91"/>
      <c r="AD54" s="92" t="s">
        <v>770</v>
      </c>
      <c r="AE54" s="265">
        <f>+VTR!AC58+PR!AC54</f>
        <v>0</v>
      </c>
      <c r="AF54" s="265">
        <f>+VTR!AD58+PR!AD54</f>
        <v>0</v>
      </c>
      <c r="AG54" s="265">
        <f>+VTR!AE58+PR!AE54</f>
        <v>0</v>
      </c>
      <c r="AH54" s="265">
        <f>+VTR!AF58+PR!AF54</f>
        <v>0</v>
      </c>
      <c r="AI54" s="265">
        <f>+VTR!AG58+PR!AG54</f>
        <v>0</v>
      </c>
      <c r="AJ54" s="265">
        <f>+VTR!AH58+PR!AH54</f>
        <v>0</v>
      </c>
      <c r="AK54" s="265">
        <f>+VTR!AI58+PR!AI54</f>
        <v>0</v>
      </c>
      <c r="AL54" s="265">
        <f>+VTR!AJ58+PR!AJ54</f>
        <v>0</v>
      </c>
      <c r="AM54" s="265">
        <f>+VTR!AK58+PR!AK54</f>
        <v>0</v>
      </c>
      <c r="AN54" s="265">
        <f>+VTR!AL58+PR!AL54</f>
        <v>0</v>
      </c>
      <c r="AO54" s="265">
        <f>+VTR!AM58+PR!AM54</f>
        <v>0</v>
      </c>
      <c r="AP54" s="265">
        <f>+VTR!AN58+PR!AN54</f>
        <v>0</v>
      </c>
      <c r="AQ54" s="265">
        <f>+VTR!AO58+PR!AO54</f>
        <v>0</v>
      </c>
      <c r="AR54" s="265">
        <f>+VTR!AP58+PR!AP54</f>
        <v>0</v>
      </c>
      <c r="AS54" s="265">
        <f>+VTR!AQ58+PR!AQ54</f>
        <v>0</v>
      </c>
      <c r="AT54" s="265">
        <f>+VTR!AR58+PR!AR54</f>
        <v>0</v>
      </c>
      <c r="AU54" s="265">
        <f>+VTR!AS58+PR!AS54</f>
        <v>0</v>
      </c>
      <c r="AV54" s="265">
        <f>+VTR!AT58+PR!AT54</f>
        <v>0</v>
      </c>
      <c r="AW54" s="265">
        <f>+VTR!AU58+PR!AU54</f>
        <v>0</v>
      </c>
      <c r="AX54" s="265">
        <f>+VTR!AV58+PR!AV54</f>
        <v>0</v>
      </c>
      <c r="AY54" s="265">
        <f>+VTR!AW58+PR!AW54</f>
        <v>0</v>
      </c>
      <c r="AZ54" s="265">
        <f>+VTR!AX58+PR!AX54</f>
        <v>0</v>
      </c>
      <c r="BA54" s="265">
        <f>+VTR!AY58+PR!AY54</f>
        <v>0</v>
      </c>
      <c r="BB54" s="265">
        <f>+VTR!AZ58+PR!AZ54</f>
        <v>0</v>
      </c>
      <c r="BC54" s="265">
        <f>+VTR!BA58+PR!BA54</f>
        <v>0</v>
      </c>
      <c r="BD54" s="265">
        <f>+VTR!BB58+PR!BB54</f>
        <v>186.48804000000001</v>
      </c>
      <c r="BE54" s="265">
        <f>+VTR!BC58+PR!BC54</f>
        <v>194.69995999999998</v>
      </c>
      <c r="BF54" s="265">
        <f>+VTR!BD58+PR!BD54</f>
        <v>180.10732000000002</v>
      </c>
      <c r="BG54" s="265">
        <f>+VTR!BE58+PR!BE54</f>
        <v>153.41886</v>
      </c>
      <c r="BH54" s="265">
        <f>+VTR!BF58+PR!BF54</f>
        <v>155.82893999999999</v>
      </c>
      <c r="BI54" s="265">
        <f>+VTR!BG58+PR!BG54</f>
        <v>172.72696000000002</v>
      </c>
      <c r="BJ54" s="265">
        <f>+VTR!BH58+PR!BH54</f>
        <v>179.77614</v>
      </c>
      <c r="BK54" s="265">
        <f>+VTR!BI58+PR!BI54</f>
        <v>192.48344000000006</v>
      </c>
      <c r="BL54" s="265">
        <f>+VTR!BJ58+PR!BJ54</f>
        <v>181.98173263216162</v>
      </c>
      <c r="BM54" s="265">
        <f>+VTR!BK58+PR!BK54</f>
        <v>191.40823589222165</v>
      </c>
      <c r="BN54" s="265">
        <f>+VTR!BL58+PR!BL54</f>
        <v>205.79783999999998</v>
      </c>
      <c r="BO54" s="265">
        <f>+VTR!BM58+PR!BM54</f>
        <v>218.92675891612683</v>
      </c>
      <c r="BP54" s="265">
        <f>+VTR!BN58+PR!BN54</f>
        <v>213.73941546025677</v>
      </c>
      <c r="BQ54" s="265">
        <f>+VTR!BO58+PR!BO54</f>
        <v>228.58787966028504</v>
      </c>
      <c r="BR54" s="265">
        <f>+VTR!BP58+PR!BP54</f>
        <v>231.88815139104648</v>
      </c>
      <c r="BS54" s="265">
        <f>+VTR!BQ58+PR!BQ54</f>
        <v>222.39221140472878</v>
      </c>
      <c r="BT54" s="265">
        <f>+VTR!BR58+PR!BR54</f>
        <v>253.7</v>
      </c>
      <c r="BU54" s="265">
        <f>+VTR!BS58+PR!BS54</f>
        <v>257.40000000000003</v>
      </c>
      <c r="BV54" s="265">
        <f>+VTR!BT58+PR!BT54</f>
        <v>271.2</v>
      </c>
      <c r="BW54" s="265">
        <f>+VTR!BU58+PR!BU54</f>
        <v>303.8</v>
      </c>
      <c r="BX54" s="265">
        <f>+VTR!BV58+PR!BV54</f>
        <v>323.60000000000002</v>
      </c>
      <c r="BY54" s="265">
        <f>+VTR!BW58+PR!BW54</f>
        <v>326.79999999999995</v>
      </c>
      <c r="BZ54" s="265">
        <f>+VTR!BX58+PR!BX54</f>
        <v>319.5</v>
      </c>
      <c r="CA54" s="265">
        <f>+VTR!BY58+PR!BY54</f>
        <v>318.89999999999998</v>
      </c>
      <c r="CB54" s="265">
        <f>+VTR!BZ58+PR!BZ54</f>
        <v>300</v>
      </c>
      <c r="CC54" s="265">
        <f>+VTR!CA58+PR!CA54</f>
        <v>306.45811894932302</v>
      </c>
      <c r="CD54" s="265">
        <f>+VTR!CB58+PR!CB54</f>
        <v>299.87969785591912</v>
      </c>
      <c r="CE54" s="265">
        <f>+VTR!CC58+PR!CC54</f>
        <v>297.88666187699448</v>
      </c>
      <c r="CF54" s="265">
        <f>+VTR!CD58+PR!CD54</f>
        <v>287.61017274779465</v>
      </c>
    </row>
    <row r="55" spans="1:84">
      <c r="A55" s="92" t="s">
        <v>598</v>
      </c>
      <c r="B55" s="97"/>
      <c r="C55" s="97"/>
      <c r="D55" s="97"/>
      <c r="E55" s="97"/>
      <c r="F55" s="97"/>
      <c r="G55" s="144"/>
      <c r="H55" s="144"/>
      <c r="I55" s="144"/>
      <c r="J55" s="144"/>
      <c r="K55" s="144"/>
      <c r="L55" s="144">
        <f>+L54*Forex!G31</f>
        <v>722.22869768441944</v>
      </c>
      <c r="M55" s="144">
        <f>+M54*Forex!H31</f>
        <v>844.43540627853429</v>
      </c>
      <c r="N55" s="144">
        <f>+N54*Forex!I31</f>
        <v>970.02835446563734</v>
      </c>
      <c r="O55" s="144">
        <f>+O54*Forex!J31</f>
        <v>907.34202230920175</v>
      </c>
      <c r="P55" s="144">
        <f>+P54*Forex!K31</f>
        <v>1091.28</v>
      </c>
      <c r="Q55" s="144">
        <f>+Q54*Forex!L31</f>
        <v>1153.2931976836098</v>
      </c>
      <c r="R55" s="144">
        <f>+R54*Forex!M31</f>
        <v>1120.1618742293465</v>
      </c>
      <c r="S55" s="144">
        <f>+S54*Forex!N31</f>
        <v>1130.9887778618686</v>
      </c>
      <c r="T55" s="144">
        <f ca="1">+T54*Forex!O31</f>
        <v>1201.0356682225952</v>
      </c>
      <c r="U55" s="144">
        <f ca="1">+U54*Forex!P31</f>
        <v>1145.6697438179701</v>
      </c>
      <c r="V55" s="144">
        <f ca="1">+V54*Forex!Q31</f>
        <v>1221.1377336393136</v>
      </c>
      <c r="W55" s="144">
        <f ca="1">+W54*Forex!R31</f>
        <v>1149.4698659167707</v>
      </c>
      <c r="X55" s="144">
        <f ca="1">+X54*Forex!S31</f>
        <v>1265.3750002950392</v>
      </c>
      <c r="Y55" s="144">
        <f ca="1">+Y54*Forex!T31</f>
        <v>1295.6605357242604</v>
      </c>
      <c r="Z55" s="144">
        <f ca="1">+Z54*Forex!U31</f>
        <v>1340.2587464942583</v>
      </c>
      <c r="AA55" s="144"/>
      <c r="AB55" s="91"/>
      <c r="AC55" s="91"/>
      <c r="AD55" s="92" t="s">
        <v>598</v>
      </c>
      <c r="AE55" s="97"/>
      <c r="AF55" s="97"/>
      <c r="AG55" s="97"/>
      <c r="AH55" s="97"/>
      <c r="AI55" s="97"/>
      <c r="AJ55" s="97"/>
      <c r="AK55" s="97"/>
      <c r="AL55" s="97"/>
      <c r="AM55" s="97"/>
      <c r="AN55" s="97"/>
      <c r="AO55" s="97"/>
      <c r="AP55" s="97"/>
      <c r="AQ55" s="97"/>
      <c r="AR55" s="97"/>
      <c r="AS55" s="97"/>
      <c r="AT55" s="97"/>
      <c r="AU55" s="97"/>
      <c r="AV55" s="97"/>
      <c r="AW55" s="97"/>
      <c r="AX55" s="97"/>
      <c r="AY55" s="97"/>
      <c r="AZ55" s="97">
        <v>0</v>
      </c>
      <c r="BA55" s="97">
        <v>0</v>
      </c>
      <c r="BB55" s="97">
        <v>0</v>
      </c>
      <c r="BC55" s="97">
        <v>0</v>
      </c>
      <c r="BD55" s="97">
        <v>124.4</v>
      </c>
      <c r="BE55" s="97">
        <v>124.59999999999998</v>
      </c>
      <c r="BF55" s="97">
        <v>119.80000000000001</v>
      </c>
      <c r="BG55" s="97">
        <v>116.19999999999999</v>
      </c>
      <c r="BH55" s="97">
        <v>119.39999999999999</v>
      </c>
      <c r="BI55" s="97">
        <v>126.80000000000001</v>
      </c>
      <c r="BJ55" s="97">
        <v>125.7</v>
      </c>
      <c r="BK55" s="97">
        <v>130.40000000000003</v>
      </c>
      <c r="BL55" s="97">
        <v>131.5</v>
      </c>
      <c r="BM55" s="97">
        <v>150.6</v>
      </c>
      <c r="BN55" s="97">
        <v>159.19999999999999</v>
      </c>
      <c r="BO55" s="97">
        <v>161.2601347349196</v>
      </c>
      <c r="BP55" s="97">
        <v>156.5</v>
      </c>
      <c r="BQ55" s="97">
        <v>158.80000000000001</v>
      </c>
      <c r="BR55" s="97">
        <v>164.2</v>
      </c>
      <c r="BS55" s="97">
        <v>159.89999999999998</v>
      </c>
      <c r="BT55" s="97">
        <v>193.42087999999998</v>
      </c>
      <c r="BU55" s="97">
        <v>200.64330000000001</v>
      </c>
      <c r="BV55" s="97">
        <v>216.66168000000002</v>
      </c>
      <c r="BW55" s="97">
        <v>234.07042145003467</v>
      </c>
      <c r="BX55" s="97">
        <v>245.12700000000001</v>
      </c>
      <c r="BY55" s="97">
        <v>250.10003999999944</v>
      </c>
      <c r="BZ55" s="97">
        <v>241.12664999999933</v>
      </c>
      <c r="CA55" s="97">
        <v>234.44287945243434</v>
      </c>
      <c r="CB55" s="97">
        <v>218.88000000000002</v>
      </c>
      <c r="CC55" s="97">
        <v>223.49990614974126</v>
      </c>
      <c r="CD55" s="97">
        <v>226.40917188121892</v>
      </c>
      <c r="CE55" s="97">
        <v>238.51922642084594</v>
      </c>
      <c r="CF55" s="97">
        <v>255.31306946098059</v>
      </c>
    </row>
    <row r="56" spans="1:84">
      <c r="B56" s="97"/>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1"/>
      <c r="AC56" s="91"/>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row>
    <row r="57" spans="1:84">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1"/>
      <c r="A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row>
    <row r="58" spans="1:84">
      <c r="A58" s="92" t="s">
        <v>602</v>
      </c>
      <c r="B58" s="91"/>
      <c r="C58" s="91"/>
      <c r="D58" s="91"/>
      <c r="E58" s="91"/>
      <c r="F58" s="91"/>
      <c r="G58" s="97"/>
      <c r="H58" s="97"/>
      <c r="I58" s="97"/>
      <c r="J58" s="97"/>
      <c r="K58" s="97"/>
      <c r="L58" s="97">
        <f t="shared" ref="L58:Z58" si="40">AVERAGE(K13:L13)</f>
        <v>0</v>
      </c>
      <c r="M58" s="97">
        <f t="shared" si="40"/>
        <v>20</v>
      </c>
      <c r="N58" s="97">
        <f t="shared" si="40"/>
        <v>55.65</v>
      </c>
      <c r="O58" s="97">
        <f t="shared" si="40"/>
        <v>90.9</v>
      </c>
      <c r="P58" s="97">
        <f t="shared" si="40"/>
        <v>121.25</v>
      </c>
      <c r="Q58" s="97">
        <f t="shared" si="40"/>
        <v>149.1</v>
      </c>
      <c r="R58" s="97">
        <f t="shared" si="40"/>
        <v>190.55</v>
      </c>
      <c r="S58" s="97">
        <f t="shared" si="40"/>
        <v>229.9</v>
      </c>
      <c r="T58" s="97">
        <f t="shared" si="40"/>
        <v>259.89999999999998</v>
      </c>
      <c r="U58" s="97">
        <f t="shared" si="40"/>
        <v>289.89999999999998</v>
      </c>
      <c r="V58" s="97">
        <f t="shared" si="40"/>
        <v>319.89999999999998</v>
      </c>
      <c r="W58" s="97">
        <f t="shared" si="40"/>
        <v>349.9</v>
      </c>
      <c r="X58" s="97">
        <f t="shared" si="40"/>
        <v>379.9</v>
      </c>
      <c r="Y58" s="97">
        <f t="shared" si="40"/>
        <v>409.9</v>
      </c>
      <c r="Z58" s="97">
        <f t="shared" si="40"/>
        <v>439.9</v>
      </c>
      <c r="AA58" s="97"/>
      <c r="AB58" s="91"/>
      <c r="AC58" s="91"/>
      <c r="AD58" s="92" t="s">
        <v>602</v>
      </c>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f t="shared" ref="BU58:CF58" si="41">AVERAGE(BT13:BU13)</f>
        <v>0</v>
      </c>
      <c r="BV58" s="97">
        <f t="shared" si="41"/>
        <v>0</v>
      </c>
      <c r="BW58" s="97">
        <f t="shared" si="41"/>
        <v>0</v>
      </c>
      <c r="BX58" s="97">
        <f t="shared" si="41"/>
        <v>23.75</v>
      </c>
      <c r="BY58" s="97">
        <f t="shared" si="41"/>
        <v>93.8</v>
      </c>
      <c r="BZ58" s="97">
        <f t="shared" si="41"/>
        <v>110</v>
      </c>
      <c r="CA58" s="97">
        <f t="shared" si="41"/>
        <v>75.599999999999994</v>
      </c>
      <c r="CB58" s="97">
        <f t="shared" si="41"/>
        <v>77.150000000000006</v>
      </c>
      <c r="CC58" s="97">
        <f t="shared" si="41"/>
        <v>86.35</v>
      </c>
      <c r="CD58" s="97">
        <f t="shared" si="41"/>
        <v>95.2</v>
      </c>
      <c r="CE58" s="97">
        <f t="shared" si="41"/>
        <v>105.6</v>
      </c>
      <c r="CF58" s="97">
        <f t="shared" si="41"/>
        <v>114</v>
      </c>
    </row>
    <row r="59" spans="1:84">
      <c r="A59" s="92" t="s">
        <v>603</v>
      </c>
      <c r="B59" s="91"/>
      <c r="C59" s="91"/>
      <c r="D59" s="91"/>
      <c r="E59" s="91"/>
      <c r="F59" s="91"/>
      <c r="G59" s="91"/>
      <c r="H59" s="91"/>
      <c r="I59" s="91"/>
      <c r="J59" s="91"/>
      <c r="K59" s="91"/>
      <c r="L59" s="97"/>
      <c r="M59" s="97">
        <f t="shared" ref="M59:Z59" si="42">1000*M60/AVERAGE(L13:M13)/12</f>
        <v>45.414661566514489</v>
      </c>
      <c r="N59" s="97">
        <f t="shared" si="42"/>
        <v>30.828608622381012</v>
      </c>
      <c r="O59" s="97">
        <f t="shared" si="42"/>
        <v>22.486889051462668</v>
      </c>
      <c r="P59" s="97">
        <f t="shared" si="42"/>
        <v>24.374042168139052</v>
      </c>
      <c r="Q59" s="97">
        <f t="shared" si="42"/>
        <v>24.795951388469629</v>
      </c>
      <c r="R59" s="97">
        <f t="shared" si="42"/>
        <v>23.592121924517503</v>
      </c>
      <c r="S59" s="97">
        <f t="shared" si="42"/>
        <v>23.358981781357613</v>
      </c>
      <c r="T59" s="97">
        <f t="shared" si="42"/>
        <v>20.910993718241436</v>
      </c>
      <c r="U59" s="97">
        <f t="shared" si="42"/>
        <v>18.189924257885423</v>
      </c>
      <c r="V59" s="97">
        <f t="shared" si="42"/>
        <v>18.552288583443296</v>
      </c>
      <c r="W59" s="97">
        <f t="shared" si="42"/>
        <v>15.848712233402454</v>
      </c>
      <c r="X59" s="97">
        <f t="shared" si="42"/>
        <v>16.97022185752833</v>
      </c>
      <c r="Y59" s="97">
        <f t="shared" si="42"/>
        <v>16.384738740914713</v>
      </c>
      <c r="Z59" s="97">
        <f t="shared" si="42"/>
        <v>16.057043966096419</v>
      </c>
      <c r="AA59" s="97"/>
      <c r="AB59" s="91"/>
      <c r="AC59" s="91"/>
      <c r="AD59" s="92" t="s">
        <v>603</v>
      </c>
      <c r="BD59" s="266"/>
      <c r="BE59" s="266"/>
      <c r="BF59" s="266"/>
      <c r="BG59" s="266"/>
      <c r="BH59" s="266"/>
      <c r="BI59" s="266"/>
      <c r="BJ59" s="266"/>
      <c r="BK59" s="266"/>
      <c r="BL59" s="266"/>
      <c r="BM59" s="266"/>
      <c r="BN59" s="115"/>
      <c r="BO59" s="115"/>
      <c r="BP59" s="115"/>
      <c r="BQ59" s="115"/>
      <c r="BR59" s="115"/>
      <c r="BS59" s="115"/>
      <c r="BT59" s="115"/>
      <c r="BU59" s="97" t="e">
        <f t="shared" ref="BU59:CF59" si="43">1000*BU60/AVERAGE(BT13:BU13)/3</f>
        <v>#DIV/0!</v>
      </c>
      <c r="BV59" s="97" t="e">
        <f t="shared" si="43"/>
        <v>#DIV/0!</v>
      </c>
      <c r="BW59" s="97" t="e">
        <f t="shared" si="43"/>
        <v>#DIV/0!</v>
      </c>
      <c r="BX59" s="97">
        <f t="shared" si="43"/>
        <v>83.179692272272391</v>
      </c>
      <c r="BY59" s="97">
        <f t="shared" si="43"/>
        <v>18.300479288088518</v>
      </c>
      <c r="BZ59" s="97">
        <f t="shared" si="43"/>
        <v>14.946744748461235</v>
      </c>
      <c r="CA59" s="97">
        <f t="shared" si="43"/>
        <v>20.466522091154619</v>
      </c>
      <c r="CB59" s="97">
        <f t="shared" si="43"/>
        <v>20.345802183861277</v>
      </c>
      <c r="CC59" s="97">
        <f t="shared" si="43"/>
        <v>22.269786077722411</v>
      </c>
      <c r="CD59" s="97">
        <f t="shared" si="43"/>
        <v>23.024767039042587</v>
      </c>
      <c r="CE59" s="97">
        <f t="shared" si="43"/>
        <v>23.205775824779689</v>
      </c>
      <c r="CF59" s="97">
        <f t="shared" si="43"/>
        <v>23.406418470622743</v>
      </c>
    </row>
    <row r="60" spans="1:84">
      <c r="A60" s="92" t="s">
        <v>771</v>
      </c>
      <c r="B60" s="91"/>
      <c r="C60" s="91"/>
      <c r="D60" s="91"/>
      <c r="E60" s="91"/>
      <c r="F60" s="91"/>
      <c r="G60" s="97"/>
      <c r="H60" s="97"/>
      <c r="I60" s="97"/>
      <c r="J60" s="97"/>
      <c r="K60" s="97"/>
      <c r="L60" s="265">
        <f>VTR!L68*1/Forex!G38+PR!L64</f>
        <v>0</v>
      </c>
      <c r="M60" s="265">
        <f>VTR!M68*1/Forex!H38+PR!M64</f>
        <v>10.899518775963477</v>
      </c>
      <c r="N60" s="265">
        <f>VTR!N68*1/Forex!I38+PR!N64</f>
        <v>20.587344838026038</v>
      </c>
      <c r="O60" s="265">
        <f>VTR!O68*1/Forex!J38+PR!O64</f>
        <v>24.528698577335483</v>
      </c>
      <c r="P60" s="265">
        <f>VTR!P68*1/Forex!K38+PR!P64</f>
        <v>35.464231354642315</v>
      </c>
      <c r="Q60" s="265">
        <f>VTR!Q68*1/Forex!L38+PR!Q64</f>
        <v>44.36491622424986</v>
      </c>
      <c r="R60" s="265">
        <f>VTR!R68*1/Forex!M38+PR!R64</f>
        <v>53.945745992601729</v>
      </c>
      <c r="S60" s="265">
        <f>VTR!S68*1/Forex!N38+PR!S64</f>
        <v>64.442758938409384</v>
      </c>
      <c r="T60" s="265">
        <f>VTR!T68*1/Forex!O38+PR!T64</f>
        <v>65.217207208451384</v>
      </c>
      <c r="U60" s="265">
        <f>VTR!U68*1/Forex!P38+PR!U64</f>
        <v>63.279108508331802</v>
      </c>
      <c r="V60" s="265">
        <f>VTR!V68*1/Forex!Q38+PR!V64</f>
        <v>71.218525414122126</v>
      </c>
      <c r="W60" s="265">
        <f>VTR!W68*1/Forex!R38+PR!W64</f>
        <v>66.545572925610216</v>
      </c>
      <c r="X60" s="265">
        <f>VTR!X68*1/Forex!S38+PR!X64</f>
        <v>77.363847404100142</v>
      </c>
      <c r="Y60" s="265">
        <f>VTR!Y68*1/Forex!T38+PR!Y64</f>
        <v>80.593252918811288</v>
      </c>
      <c r="Z60" s="265">
        <f>VTR!Z68*1/Forex!U38+PR!Z64</f>
        <v>84.761923688229786</v>
      </c>
      <c r="AA60" s="265"/>
      <c r="AB60" s="91"/>
      <c r="AC60" s="91"/>
      <c r="AD60" s="92" t="s">
        <v>771</v>
      </c>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5">
        <v>0</v>
      </c>
      <c r="BA60" s="265">
        <v>0</v>
      </c>
      <c r="BB60" s="265">
        <v>0</v>
      </c>
      <c r="BC60" s="265">
        <v>0</v>
      </c>
      <c r="BD60" s="265">
        <v>0</v>
      </c>
      <c r="BE60" s="265">
        <v>0</v>
      </c>
      <c r="BF60" s="265">
        <v>0</v>
      </c>
      <c r="BG60" s="265">
        <v>0</v>
      </c>
      <c r="BH60" s="265">
        <v>0</v>
      </c>
      <c r="BI60" s="265">
        <v>0</v>
      </c>
      <c r="BJ60" s="265">
        <v>0</v>
      </c>
      <c r="BK60" s="265">
        <v>0</v>
      </c>
      <c r="BL60" s="265">
        <v>0</v>
      </c>
      <c r="BM60" s="265">
        <v>0</v>
      </c>
      <c r="BN60" s="265">
        <v>0</v>
      </c>
      <c r="BO60" s="265">
        <v>0</v>
      </c>
      <c r="BP60" s="265">
        <v>0</v>
      </c>
      <c r="BQ60" s="265">
        <v>0</v>
      </c>
      <c r="BR60" s="265">
        <v>0</v>
      </c>
      <c r="BS60" s="265">
        <v>0</v>
      </c>
      <c r="BT60" s="265">
        <v>0</v>
      </c>
      <c r="BU60" s="265">
        <v>2.0405388069274997</v>
      </c>
      <c r="BV60" s="265">
        <v>6.9281512079109211</v>
      </c>
      <c r="BW60" s="265">
        <v>8.5778699999999457</v>
      </c>
      <c r="BX60" s="265">
        <v>5.9265530743994077</v>
      </c>
      <c r="BY60" s="265">
        <v>5.149754871668109</v>
      </c>
      <c r="BZ60" s="265">
        <v>4.9324257669922069</v>
      </c>
      <c r="CA60" s="265">
        <v>4.6418072102738668</v>
      </c>
      <c r="CB60" s="265">
        <v>4.7090359154546935</v>
      </c>
      <c r="CC60" s="265">
        <v>5.7689880834339897</v>
      </c>
      <c r="CD60" s="265">
        <v>6.5758734663505631</v>
      </c>
      <c r="CE60" s="265">
        <v>7.3515897812902038</v>
      </c>
      <c r="CF60" s="265">
        <v>8.0049951169529781</v>
      </c>
    </row>
    <row r="61" spans="1:84">
      <c r="A61" s="92" t="s">
        <v>772</v>
      </c>
      <c r="B61" s="97"/>
      <c r="C61" s="97"/>
      <c r="D61" s="97"/>
      <c r="E61" s="97"/>
      <c r="F61" s="97"/>
      <c r="G61" s="97"/>
      <c r="H61" s="97"/>
      <c r="I61" s="97"/>
      <c r="J61" s="97"/>
      <c r="K61" s="97"/>
      <c r="L61" s="265">
        <f>+VTR!L69/Forex!G38+PR!L65</f>
        <v>10.466999999999999</v>
      </c>
      <c r="M61" s="265">
        <f>+VTR!M69/Forex!H38+PR!M65</f>
        <v>13.094999999999999</v>
      </c>
      <c r="N61" s="265">
        <f>+VTR!N69/Forex!I38+PR!N65</f>
        <v>25.559199999999997</v>
      </c>
      <c r="O61" s="265">
        <f>+VTR!O69/Forex!J38+PR!O65</f>
        <v>26.5</v>
      </c>
      <c r="P61" s="265">
        <f>+VTR!P69/Forex!K38+PR!P65</f>
        <v>34.128</v>
      </c>
      <c r="Q61" s="265">
        <f>+VTR!Q69/Forex!L38+PR!Q65</f>
        <v>39.134399999999999</v>
      </c>
      <c r="R61" s="265">
        <f>+VTR!R69/Forex!M38+PR!R65</f>
        <v>40.699776</v>
      </c>
      <c r="S61" s="265">
        <f>+VTR!S69/Forex!N38+PR!S65</f>
        <v>42.327767040000005</v>
      </c>
      <c r="T61" s="265">
        <f>+VTR!T69/Forex!O38+PR!T65</f>
        <v>44.020877721600009</v>
      </c>
      <c r="U61" s="265">
        <f>+VTR!U69/Forex!P38+PR!U65</f>
        <v>45.781712830464009</v>
      </c>
      <c r="V61" s="265">
        <f>+VTR!V69/Forex!Q38+PR!V65</f>
        <v>47.61298134368257</v>
      </c>
      <c r="W61" s="265">
        <f>+VTR!W69/Forex!R38+PR!W65</f>
        <v>49.517500597429873</v>
      </c>
      <c r="X61" s="265">
        <f>+VTR!X69/Forex!S38+PR!X65</f>
        <v>51.498200621327072</v>
      </c>
      <c r="Y61" s="265">
        <f>+VTR!Y69/Forex!T38+PR!Y65</f>
        <v>53.558128646180158</v>
      </c>
      <c r="Z61" s="265">
        <f>+VTR!Z69/Forex!U38+PR!Z65</f>
        <v>55.700453792027368</v>
      </c>
      <c r="AA61" s="265"/>
      <c r="AB61" s="91"/>
      <c r="AC61" s="91"/>
      <c r="AD61" s="92" t="s">
        <v>773</v>
      </c>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v>0</v>
      </c>
      <c r="BA61" s="265">
        <v>0</v>
      </c>
      <c r="BB61" s="265">
        <v>0</v>
      </c>
      <c r="BC61" s="265">
        <v>0</v>
      </c>
      <c r="BD61" s="265">
        <v>0</v>
      </c>
      <c r="BE61" s="265">
        <v>0</v>
      </c>
      <c r="BF61" s="265">
        <v>0</v>
      </c>
      <c r="BG61" s="265">
        <v>0</v>
      </c>
      <c r="BH61" s="265">
        <v>0</v>
      </c>
      <c r="BI61" s="265">
        <v>0</v>
      </c>
      <c r="BJ61" s="265">
        <v>0</v>
      </c>
      <c r="BK61" s="265">
        <v>0</v>
      </c>
      <c r="BL61" s="265">
        <v>0</v>
      </c>
      <c r="BM61" s="265">
        <v>0</v>
      </c>
      <c r="BN61" s="265">
        <v>0</v>
      </c>
      <c r="BO61" s="265">
        <v>0</v>
      </c>
      <c r="BP61" s="265">
        <v>0</v>
      </c>
      <c r="BQ61" s="265">
        <v>0</v>
      </c>
      <c r="BR61" s="265">
        <v>0</v>
      </c>
      <c r="BS61" s="265">
        <v>0</v>
      </c>
      <c r="BT61" s="265">
        <v>2.4</v>
      </c>
      <c r="BU61" s="265">
        <v>2.7</v>
      </c>
      <c r="BV61" s="265">
        <v>2.7</v>
      </c>
      <c r="BW61" s="265">
        <v>5.2999999999999989</v>
      </c>
      <c r="BX61" s="265">
        <v>5.8</v>
      </c>
      <c r="BY61" s="265">
        <v>6.2</v>
      </c>
      <c r="BZ61" s="265">
        <v>6.6</v>
      </c>
      <c r="CA61" s="265">
        <v>7.0000000000000009</v>
      </c>
      <c r="CB61" s="265">
        <v>6.1</v>
      </c>
      <c r="CC61" s="265">
        <v>6.4999999999999991</v>
      </c>
      <c r="CD61" s="265">
        <v>6.4000000000000012</v>
      </c>
      <c r="CE61" s="265">
        <v>6.7959817053250573</v>
      </c>
      <c r="CF61" s="265">
        <v>6.8392682130022866</v>
      </c>
    </row>
    <row r="62" spans="1:84">
      <c r="A62" s="92" t="s">
        <v>774</v>
      </c>
      <c r="B62" s="97"/>
      <c r="C62" s="97"/>
      <c r="D62" s="97"/>
      <c r="E62" s="97"/>
      <c r="F62" s="97"/>
      <c r="G62" s="97"/>
      <c r="H62" s="97"/>
      <c r="I62" s="97"/>
      <c r="J62" s="97"/>
      <c r="K62" s="97"/>
      <c r="L62" s="265">
        <f>+VTR!L70/Forex!G38+PR!L66</f>
        <v>74.842871319880913</v>
      </c>
      <c r="M62" s="265">
        <f>+VTR!M70/Forex!H38+PR!M66</f>
        <v>78.764447003660592</v>
      </c>
      <c r="N62" s="265">
        <f>+VTR!N70/Forex!I38+PR!N66</f>
        <v>78.110808356039968</v>
      </c>
      <c r="O62" s="265">
        <f>+VTR!O70/Forex!J38+PR!O66</f>
        <v>55.014366809166724</v>
      </c>
      <c r="P62" s="265">
        <f>+VTR!P70/Forex!K38+PR!P66</f>
        <v>49.315068493150683</v>
      </c>
      <c r="Q62" s="265">
        <f>+VTR!Q70/Forex!L38+PR!Q66</f>
        <v>48.801407846674849</v>
      </c>
      <c r="R62" s="265">
        <f>+VTR!R70/Forex!M38+PR!R66</f>
        <v>53.945745992601729</v>
      </c>
      <c r="S62" s="265">
        <f>+VTR!S70/Forex!N38+PR!S66</f>
        <v>55.592755812323844</v>
      </c>
      <c r="T62" s="265">
        <f>+VTR!T70/Forex!O38+PR!T66</f>
        <v>51.798008534850638</v>
      </c>
      <c r="U62" s="265">
        <f>+VTR!U70/Forex!P38+PR!U66</f>
        <v>46.896818181818183</v>
      </c>
      <c r="V62" s="265">
        <f>+VTR!V70/Forex!Q38+PR!V66</f>
        <v>49.78334507227332</v>
      </c>
      <c r="W62" s="265">
        <f>+VTR!W70/Forex!R38+PR!W66</f>
        <v>44.264407917525773</v>
      </c>
      <c r="X62" s="265">
        <f>+VTR!X70/Forex!S38+PR!X66</f>
        <v>49.33126993021277</v>
      </c>
      <c r="Y62" s="265">
        <f>+VTR!Y70/Forex!T38+PR!Y66</f>
        <v>49.573364201880153</v>
      </c>
      <c r="Z62" s="265">
        <f>+VTR!Z70/Forex!U38+PR!Z66</f>
        <v>50.564831485917757</v>
      </c>
      <c r="AA62" s="265"/>
      <c r="AB62" s="91"/>
      <c r="AC62" s="91"/>
      <c r="AD62" s="92" t="s">
        <v>775</v>
      </c>
      <c r="AE62" s="265"/>
      <c r="AF62" s="265"/>
      <c r="AG62" s="265"/>
      <c r="AH62" s="265"/>
      <c r="AI62" s="265"/>
      <c r="AJ62" s="265"/>
      <c r="AK62" s="265"/>
      <c r="AL62" s="265"/>
      <c r="AM62" s="265"/>
      <c r="AN62" s="265"/>
      <c r="AO62" s="265"/>
      <c r="AP62" s="265"/>
      <c r="AQ62" s="265"/>
      <c r="AR62" s="265"/>
      <c r="AS62" s="265"/>
      <c r="AT62" s="265"/>
      <c r="AU62" s="265"/>
      <c r="AV62" s="265"/>
      <c r="AW62" s="265"/>
      <c r="AX62" s="265"/>
      <c r="AY62" s="265"/>
      <c r="AZ62" s="265">
        <v>0</v>
      </c>
      <c r="BA62" s="265">
        <v>0</v>
      </c>
      <c r="BB62" s="265">
        <v>0</v>
      </c>
      <c r="BC62" s="265">
        <v>0</v>
      </c>
      <c r="BD62" s="265">
        <v>13.054162800000004</v>
      </c>
      <c r="BE62" s="265">
        <v>13.628997200000002</v>
      </c>
      <c r="BF62" s="265">
        <v>12.607512400000003</v>
      </c>
      <c r="BG62" s="265">
        <v>10.7393202</v>
      </c>
      <c r="BH62" s="265">
        <v>10.908025800000001</v>
      </c>
      <c r="BI62" s="265">
        <v>12.090887200000001</v>
      </c>
      <c r="BJ62" s="265">
        <v>12.584329800000001</v>
      </c>
      <c r="BK62" s="265">
        <v>13.473840800000005</v>
      </c>
      <c r="BL62" s="265">
        <v>12.738721284251316</v>
      </c>
      <c r="BM62" s="265">
        <v>13.398576512455518</v>
      </c>
      <c r="BN62" s="265">
        <v>14.405848799999999</v>
      </c>
      <c r="BO62" s="265">
        <v>15.324873124128882</v>
      </c>
      <c r="BP62" s="265">
        <v>14.961759082217975</v>
      </c>
      <c r="BQ62" s="265">
        <v>16.001151576219954</v>
      </c>
      <c r="BR62" s="265">
        <v>16.232170597373255</v>
      </c>
      <c r="BS62" s="265">
        <v>15.567454798331017</v>
      </c>
      <c r="BT62" s="265">
        <v>15.715000000000002</v>
      </c>
      <c r="BU62" s="265">
        <v>15.876000000000001</v>
      </c>
      <c r="BV62" s="265">
        <v>16.87</v>
      </c>
      <c r="BW62" s="265">
        <v>17.381000000000004</v>
      </c>
      <c r="BX62" s="265">
        <v>18.837972272198115</v>
      </c>
      <c r="BY62" s="265">
        <v>20.393029291805711</v>
      </c>
      <c r="BZ62" s="265">
        <v>19.137811975929761</v>
      </c>
      <c r="CA62" s="265">
        <v>19.727680643663934</v>
      </c>
      <c r="CB62" s="265">
        <v>13.040407150489921</v>
      </c>
      <c r="CC62" s="265">
        <v>15.323874596621534</v>
      </c>
      <c r="CD62" s="265">
        <v>13.151746932701126</v>
      </c>
      <c r="CE62" s="265">
        <v>13.533608461011513</v>
      </c>
      <c r="CF62" s="265">
        <v>10.086293847360754</v>
      </c>
    </row>
    <row r="63" spans="1:84">
      <c r="B63" s="97"/>
      <c r="C63" s="97"/>
      <c r="D63" s="97"/>
      <c r="E63" s="97"/>
      <c r="F63" s="97"/>
      <c r="G63" s="97"/>
      <c r="H63" s="97"/>
      <c r="I63" s="97"/>
      <c r="J63" s="97"/>
      <c r="K63" s="97"/>
      <c r="L63" s="246"/>
      <c r="M63" s="246"/>
      <c r="N63" s="246"/>
      <c r="O63" s="246"/>
      <c r="P63" s="246"/>
      <c r="Q63" s="246"/>
      <c r="R63" s="246"/>
      <c r="S63" s="246"/>
      <c r="T63" s="246"/>
      <c r="U63" s="246"/>
      <c r="V63" s="246"/>
      <c r="W63" s="246"/>
      <c r="X63" s="246"/>
      <c r="Y63" s="246"/>
      <c r="Z63" s="246"/>
      <c r="AA63" s="246"/>
      <c r="AB63" s="91"/>
      <c r="AC63" s="91"/>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row>
    <row r="64" spans="1:84">
      <c r="A64" s="92" t="s">
        <v>610</v>
      </c>
      <c r="B64" s="97"/>
      <c r="C64" s="97"/>
      <c r="D64" s="97"/>
      <c r="E64" s="97"/>
      <c r="F64" s="97"/>
      <c r="G64" s="97"/>
      <c r="H64" s="97"/>
      <c r="I64" s="97"/>
      <c r="J64" s="97"/>
      <c r="K64" s="97"/>
      <c r="L64" s="103">
        <f t="shared" ref="L64:Y64" si="44">L60/L54</f>
        <v>0</v>
      </c>
      <c r="M64" s="103">
        <f t="shared" si="44"/>
        <v>1.0040715480167E-2</v>
      </c>
      <c r="N64" s="103">
        <f t="shared" si="44"/>
        <v>1.5981255178435884E-2</v>
      </c>
      <c r="O64" s="103">
        <f t="shared" si="44"/>
        <v>2.0375205449745724E-2</v>
      </c>
      <c r="P64" s="103">
        <f t="shared" si="44"/>
        <v>2.9248046531759112E-2</v>
      </c>
      <c r="Q64" s="103">
        <f t="shared" si="44"/>
        <v>3.4676101081333989E-2</v>
      </c>
      <c r="R64" s="103">
        <f t="shared" si="44"/>
        <v>4.2379818100977303E-2</v>
      </c>
      <c r="S64" s="103">
        <f t="shared" si="44"/>
        <v>4.8245833032818528E-2</v>
      </c>
      <c r="T64" s="103">
        <f t="shared" ca="1" si="44"/>
        <v>4.797476385854333E-2</v>
      </c>
      <c r="U64" s="103">
        <f t="shared" ca="1" si="44"/>
        <v>4.8798611178121454E-2</v>
      </c>
      <c r="V64" s="103">
        <f t="shared" ca="1" si="44"/>
        <v>5.1527002622262744E-2</v>
      </c>
      <c r="W64" s="103">
        <f t="shared" ca="1" si="44"/>
        <v>5.1147938213139406E-2</v>
      </c>
      <c r="X64" s="103">
        <f t="shared" ca="1" si="44"/>
        <v>5.4016366030295783E-2</v>
      </c>
      <c r="Y64" s="103">
        <f t="shared" ca="1" si="44"/>
        <v>5.4955859957536962E-2</v>
      </c>
      <c r="Z64" s="103">
        <f ca="1">Z60/Z54</f>
        <v>5.5875150805346253E-2</v>
      </c>
      <c r="AA64" s="103"/>
      <c r="AB64" s="91"/>
      <c r="AC64" s="91"/>
      <c r="AD64" s="92" t="s">
        <v>610</v>
      </c>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122" t="e">
        <f t="shared" ref="AZ64:CE64" si="45">AZ60/AZ54</f>
        <v>#DIV/0!</v>
      </c>
      <c r="BA64" s="122" t="e">
        <f t="shared" si="45"/>
        <v>#DIV/0!</v>
      </c>
      <c r="BB64" s="122" t="e">
        <f t="shared" si="45"/>
        <v>#DIV/0!</v>
      </c>
      <c r="BC64" s="122" t="e">
        <f t="shared" si="45"/>
        <v>#DIV/0!</v>
      </c>
      <c r="BD64" s="122">
        <f t="shared" si="45"/>
        <v>0</v>
      </c>
      <c r="BE64" s="122">
        <f t="shared" si="45"/>
        <v>0</v>
      </c>
      <c r="BF64" s="122">
        <f t="shared" si="45"/>
        <v>0</v>
      </c>
      <c r="BG64" s="122">
        <f t="shared" si="45"/>
        <v>0</v>
      </c>
      <c r="BH64" s="122">
        <f t="shared" si="45"/>
        <v>0</v>
      </c>
      <c r="BI64" s="122">
        <f t="shared" si="45"/>
        <v>0</v>
      </c>
      <c r="BJ64" s="122">
        <f t="shared" si="45"/>
        <v>0</v>
      </c>
      <c r="BK64" s="122">
        <f t="shared" si="45"/>
        <v>0</v>
      </c>
      <c r="BL64" s="122">
        <f t="shared" si="45"/>
        <v>0</v>
      </c>
      <c r="BM64" s="122">
        <f t="shared" si="45"/>
        <v>0</v>
      </c>
      <c r="BN64" s="122">
        <f t="shared" si="45"/>
        <v>0</v>
      </c>
      <c r="BO64" s="122">
        <f t="shared" si="45"/>
        <v>0</v>
      </c>
      <c r="BP64" s="122">
        <f t="shared" si="45"/>
        <v>0</v>
      </c>
      <c r="BQ64" s="122">
        <f t="shared" si="45"/>
        <v>0</v>
      </c>
      <c r="BR64" s="122">
        <f t="shared" si="45"/>
        <v>0</v>
      </c>
      <c r="BS64" s="122">
        <f t="shared" si="45"/>
        <v>0</v>
      </c>
      <c r="BT64" s="122">
        <f t="shared" si="45"/>
        <v>0</v>
      </c>
      <c r="BU64" s="122">
        <f t="shared" si="45"/>
        <v>7.927501192414527E-3</v>
      </c>
      <c r="BV64" s="122">
        <f t="shared" si="45"/>
        <v>2.5546280265158264E-2</v>
      </c>
      <c r="BW64" s="122">
        <f t="shared" si="45"/>
        <v>2.8235253456221018E-2</v>
      </c>
      <c r="BX64" s="122">
        <f t="shared" si="45"/>
        <v>1.8314440897402372E-2</v>
      </c>
      <c r="BY64" s="122">
        <f t="shared" si="45"/>
        <v>1.5758123842313676E-2</v>
      </c>
      <c r="BZ64" s="122">
        <f t="shared" si="45"/>
        <v>1.5437952322354325E-2</v>
      </c>
      <c r="CA64" s="122">
        <f t="shared" si="45"/>
        <v>1.4555682691357376E-2</v>
      </c>
      <c r="CB64" s="122">
        <f t="shared" si="45"/>
        <v>1.569678638484898E-2</v>
      </c>
      <c r="CC64" s="122">
        <f t="shared" si="45"/>
        <v>1.8824719355495258E-2</v>
      </c>
      <c r="CD64" s="122">
        <f t="shared" si="45"/>
        <v>2.1928371654922844E-2</v>
      </c>
      <c r="CE64" s="122">
        <f t="shared" si="45"/>
        <v>2.4679150570111379E-2</v>
      </c>
      <c r="CF64" s="122">
        <f>CF60/CF54</f>
        <v>2.7832795483115815E-2</v>
      </c>
    </row>
    <row r="65" spans="1:84">
      <c r="A65" s="92" t="s">
        <v>611</v>
      </c>
      <c r="B65" s="103"/>
      <c r="C65" s="103"/>
      <c r="D65" s="103"/>
      <c r="E65" s="103"/>
      <c r="F65" s="103"/>
      <c r="G65" s="103"/>
      <c r="H65" s="103"/>
      <c r="I65" s="103"/>
      <c r="J65" s="103"/>
      <c r="K65" s="103"/>
      <c r="L65" s="103">
        <f>L61/L54</f>
        <v>1.0420207649085158E-2</v>
      </c>
      <c r="M65" s="103">
        <f t="shared" ref="M65:Z65" si="46">M61/M54</f>
        <v>1.2063208653096177E-2</v>
      </c>
      <c r="N65" s="103">
        <f t="shared" si="46"/>
        <v>1.9840737140722188E-2</v>
      </c>
      <c r="O65" s="103">
        <f t="shared" si="46"/>
        <v>2.2012702496869076E-2</v>
      </c>
      <c r="P65" s="103">
        <f t="shared" si="46"/>
        <v>2.8146030349681109E-2</v>
      </c>
      <c r="Q65" s="103">
        <f t="shared" si="46"/>
        <v>3.0587872707750211E-2</v>
      </c>
      <c r="R65" s="103">
        <f t="shared" si="46"/>
        <v>3.1973774241013782E-2</v>
      </c>
      <c r="S65" s="103">
        <f t="shared" si="46"/>
        <v>3.1689183003720187E-2</v>
      </c>
      <c r="T65" s="103">
        <f t="shared" ca="1" si="46"/>
        <v>3.2382423350166015E-2</v>
      </c>
      <c r="U65" s="103">
        <f t="shared" ca="1" si="46"/>
        <v>3.530523827130199E-2</v>
      </c>
      <c r="V65" s="103">
        <f t="shared" ca="1" si="46"/>
        <v>3.4448259077029364E-2</v>
      </c>
      <c r="W65" s="103">
        <f t="shared" ca="1" si="46"/>
        <v>3.8059903156258117E-2</v>
      </c>
      <c r="X65" s="103">
        <f t="shared" ca="1" si="46"/>
        <v>3.5956661257203468E-2</v>
      </c>
      <c r="Y65" s="103">
        <f t="shared" ca="1" si="46"/>
        <v>3.6520836557277385E-2</v>
      </c>
      <c r="Z65" s="103">
        <f t="shared" ca="1" si="46"/>
        <v>3.6717798748920158E-2</v>
      </c>
      <c r="AA65" s="103"/>
      <c r="AB65" s="91"/>
      <c r="AC65" s="91"/>
      <c r="AD65" s="92" t="s">
        <v>611</v>
      </c>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t="e">
        <f t="shared" ref="AZ65:CD65" si="47">AZ61/AZ54</f>
        <v>#DIV/0!</v>
      </c>
      <c r="BA65" s="122" t="e">
        <f t="shared" si="47"/>
        <v>#DIV/0!</v>
      </c>
      <c r="BB65" s="122" t="e">
        <f t="shared" si="47"/>
        <v>#DIV/0!</v>
      </c>
      <c r="BC65" s="122" t="e">
        <f t="shared" si="47"/>
        <v>#DIV/0!</v>
      </c>
      <c r="BD65" s="122">
        <f t="shared" si="47"/>
        <v>0</v>
      </c>
      <c r="BE65" s="122">
        <f t="shared" si="47"/>
        <v>0</v>
      </c>
      <c r="BF65" s="122">
        <f t="shared" si="47"/>
        <v>0</v>
      </c>
      <c r="BG65" s="122">
        <f t="shared" si="47"/>
        <v>0</v>
      </c>
      <c r="BH65" s="122">
        <f t="shared" si="47"/>
        <v>0</v>
      </c>
      <c r="BI65" s="122">
        <f t="shared" si="47"/>
        <v>0</v>
      </c>
      <c r="BJ65" s="122">
        <f t="shared" si="47"/>
        <v>0</v>
      </c>
      <c r="BK65" s="122">
        <f t="shared" si="47"/>
        <v>0</v>
      </c>
      <c r="BL65" s="122">
        <f t="shared" si="47"/>
        <v>0</v>
      </c>
      <c r="BM65" s="122">
        <f t="shared" si="47"/>
        <v>0</v>
      </c>
      <c r="BN65" s="122">
        <f t="shared" si="47"/>
        <v>0</v>
      </c>
      <c r="BO65" s="122">
        <f t="shared" si="47"/>
        <v>0</v>
      </c>
      <c r="BP65" s="122">
        <f t="shared" si="47"/>
        <v>0</v>
      </c>
      <c r="BQ65" s="122">
        <f t="shared" si="47"/>
        <v>0</v>
      </c>
      <c r="BR65" s="122">
        <f t="shared" si="47"/>
        <v>0</v>
      </c>
      <c r="BS65" s="122">
        <f t="shared" si="47"/>
        <v>0</v>
      </c>
      <c r="BT65" s="122">
        <f t="shared" si="47"/>
        <v>9.4599921166732357E-3</v>
      </c>
      <c r="BU65" s="122">
        <f t="shared" si="47"/>
        <v>1.0489510489510488E-2</v>
      </c>
      <c r="BV65" s="122">
        <f t="shared" si="47"/>
        <v>9.9557522123893821E-3</v>
      </c>
      <c r="BW65" s="122">
        <f t="shared" si="47"/>
        <v>1.7445687952600392E-2</v>
      </c>
      <c r="BX65" s="122">
        <f t="shared" si="47"/>
        <v>1.7923362175525339E-2</v>
      </c>
      <c r="BY65" s="122">
        <f t="shared" si="47"/>
        <v>1.8971848225214201E-2</v>
      </c>
      <c r="BZ65" s="122">
        <f t="shared" si="47"/>
        <v>2.0657276995305163E-2</v>
      </c>
      <c r="CA65" s="122">
        <f t="shared" si="47"/>
        <v>2.1950454687989968E-2</v>
      </c>
      <c r="CB65" s="122">
        <f t="shared" si="47"/>
        <v>2.0333333333333332E-2</v>
      </c>
      <c r="CC65" s="122">
        <f t="shared" si="47"/>
        <v>2.1210076020452443E-2</v>
      </c>
      <c r="CD65" s="122">
        <f t="shared" si="47"/>
        <v>2.1341891584387818E-2</v>
      </c>
      <c r="CE65" s="122">
        <f>CE61/CE54</f>
        <v>2.2813984562126192E-2</v>
      </c>
      <c r="CF65" s="122">
        <f>CF61/CF54</f>
        <v>2.3779646413966172E-2</v>
      </c>
    </row>
    <row r="66" spans="1:84">
      <c r="A66" s="92" t="s">
        <v>612</v>
      </c>
      <c r="B66" s="103"/>
      <c r="C66" s="103"/>
      <c r="D66" s="103"/>
      <c r="E66" s="103"/>
      <c r="F66" s="103"/>
      <c r="G66" s="103"/>
      <c r="H66" s="103"/>
      <c r="I66" s="103"/>
      <c r="J66" s="103"/>
      <c r="K66" s="103"/>
      <c r="L66" s="103">
        <f>L62/L54</f>
        <v>7.4508288927765287E-2</v>
      </c>
      <c r="M66" s="103">
        <f t="shared" ref="M66:Z66" si="48">M62/M54</f>
        <v>7.2558377903848323E-2</v>
      </c>
      <c r="N66" s="103">
        <f t="shared" si="48"/>
        <v>6.0634762294653796E-2</v>
      </c>
      <c r="O66" s="103">
        <f t="shared" si="48"/>
        <v>4.5698675080143983E-2</v>
      </c>
      <c r="P66" s="103">
        <f t="shared" si="48"/>
        <v>4.0671103331716529E-2</v>
      </c>
      <c r="Q66" s="103">
        <f t="shared" si="48"/>
        <v>3.814371118946739E-2</v>
      </c>
      <c r="R66" s="103">
        <f t="shared" si="48"/>
        <v>4.2379818100977303E-2</v>
      </c>
      <c r="S66" s="103">
        <f t="shared" si="48"/>
        <v>4.1620173607387609E-2</v>
      </c>
      <c r="T66" s="103">
        <f t="shared" ca="1" si="48"/>
        <v>3.8103398384717171E-2</v>
      </c>
      <c r="U66" s="103">
        <f t="shared" ca="1" si="48"/>
        <v>3.6165168092472118E-2</v>
      </c>
      <c r="V66" s="103">
        <f t="shared" ca="1" si="48"/>
        <v>3.6018529408857712E-2</v>
      </c>
      <c r="W66" s="103">
        <f t="shared" ca="1" si="48"/>
        <v>3.4022296325222391E-2</v>
      </c>
      <c r="X66" s="103">
        <f t="shared" ca="1" si="48"/>
        <v>3.4443684262120508E-2</v>
      </c>
      <c r="Y66" s="103">
        <f t="shared" ca="1" si="48"/>
        <v>3.380365926471509E-2</v>
      </c>
      <c r="Z66" s="103">
        <f t="shared" ca="1" si="48"/>
        <v>3.333239102871971E-2</v>
      </c>
      <c r="AA66" s="103"/>
      <c r="AB66" s="91"/>
      <c r="AC66" s="91"/>
      <c r="AD66" s="92" t="s">
        <v>612</v>
      </c>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t="e">
        <f t="shared" ref="AZ66:CD66" si="49">AZ62/AZ54</f>
        <v>#DIV/0!</v>
      </c>
      <c r="BA66" s="122" t="e">
        <f t="shared" si="49"/>
        <v>#DIV/0!</v>
      </c>
      <c r="BB66" s="122" t="e">
        <f t="shared" si="49"/>
        <v>#DIV/0!</v>
      </c>
      <c r="BC66" s="122" t="e">
        <f t="shared" si="49"/>
        <v>#DIV/0!</v>
      </c>
      <c r="BD66" s="122">
        <f t="shared" si="49"/>
        <v>7.0000000000000021E-2</v>
      </c>
      <c r="BE66" s="122">
        <f t="shared" si="49"/>
        <v>7.0000000000000021E-2</v>
      </c>
      <c r="BF66" s="122">
        <f t="shared" si="49"/>
        <v>7.0000000000000007E-2</v>
      </c>
      <c r="BG66" s="122">
        <f t="shared" si="49"/>
        <v>7.0000000000000007E-2</v>
      </c>
      <c r="BH66" s="122">
        <f t="shared" si="49"/>
        <v>7.0000000000000007E-2</v>
      </c>
      <c r="BI66" s="122">
        <f t="shared" si="49"/>
        <v>6.9999999999999993E-2</v>
      </c>
      <c r="BJ66" s="122">
        <f t="shared" si="49"/>
        <v>7.0000000000000007E-2</v>
      </c>
      <c r="BK66" s="122">
        <f t="shared" si="49"/>
        <v>7.0000000000000007E-2</v>
      </c>
      <c r="BL66" s="122">
        <f t="shared" si="49"/>
        <v>7.0000000000000007E-2</v>
      </c>
      <c r="BM66" s="122">
        <f t="shared" si="49"/>
        <v>7.0000000000000007E-2</v>
      </c>
      <c r="BN66" s="122">
        <f t="shared" si="49"/>
        <v>7.0000000000000007E-2</v>
      </c>
      <c r="BO66" s="122">
        <f t="shared" si="49"/>
        <v>7.0000000000000021E-2</v>
      </c>
      <c r="BP66" s="122">
        <f t="shared" si="49"/>
        <v>7.0000000000000007E-2</v>
      </c>
      <c r="BQ66" s="122">
        <f t="shared" si="49"/>
        <v>7.0000000000000007E-2</v>
      </c>
      <c r="BR66" s="122">
        <f t="shared" si="49"/>
        <v>7.0000000000000007E-2</v>
      </c>
      <c r="BS66" s="122">
        <f t="shared" si="49"/>
        <v>7.0000000000000007E-2</v>
      </c>
      <c r="BT66" s="122">
        <f t="shared" si="49"/>
        <v>6.1943240047299973E-2</v>
      </c>
      <c r="BU66" s="122">
        <f t="shared" si="49"/>
        <v>6.1678321678321678E-2</v>
      </c>
      <c r="BV66" s="122">
        <f t="shared" si="49"/>
        <v>6.2205014749262544E-2</v>
      </c>
      <c r="BW66" s="122">
        <f t="shared" si="49"/>
        <v>5.7211981566820287E-2</v>
      </c>
      <c r="BX66" s="122">
        <f t="shared" si="49"/>
        <v>5.8213758566743247E-2</v>
      </c>
      <c r="BY66" s="122">
        <f t="shared" si="49"/>
        <v>6.2402170415562161E-2</v>
      </c>
      <c r="BZ66" s="122">
        <f t="shared" si="49"/>
        <v>5.989925501073478E-2</v>
      </c>
      <c r="CA66" s="122">
        <f t="shared" si="49"/>
        <v>6.1861651438268848E-2</v>
      </c>
      <c r="CB66" s="122">
        <f t="shared" si="49"/>
        <v>4.3468023834966403E-2</v>
      </c>
      <c r="CC66" s="122">
        <f t="shared" si="49"/>
        <v>5.0003160788034282E-2</v>
      </c>
      <c r="CD66" s="122">
        <f t="shared" si="49"/>
        <v>4.3856743309845687E-2</v>
      </c>
      <c r="CE66" s="122">
        <f>CE62/CE54</f>
        <v>4.5432072640432315E-2</v>
      </c>
      <c r="CF66" s="122">
        <f>CF62/CF54</f>
        <v>3.5069322308725934E-2</v>
      </c>
    </row>
    <row r="67" spans="1:84">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91"/>
      <c r="AC67" s="91"/>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row>
    <row r="68" spans="1:84">
      <c r="A68" s="92" t="s">
        <v>607</v>
      </c>
      <c r="B68" s="103"/>
      <c r="C68" s="103"/>
      <c r="D68" s="103"/>
      <c r="E68" s="103"/>
      <c r="F68" s="103"/>
      <c r="G68" s="103"/>
      <c r="H68" s="103"/>
      <c r="I68" s="103"/>
      <c r="J68" s="103"/>
      <c r="K68" s="103"/>
      <c r="L68" s="103"/>
      <c r="M68" s="122"/>
      <c r="N68" s="122">
        <f t="shared" ref="N68:Y68" si="50">+N60/M60-1</f>
        <v>0.88883062281859249</v>
      </c>
      <c r="O68" s="122">
        <f t="shared" si="50"/>
        <v>0.19144546177851618</v>
      </c>
      <c r="P68" s="122">
        <f t="shared" si="50"/>
        <v>0.44582604914111768</v>
      </c>
      <c r="Q68" s="122">
        <f t="shared" si="50"/>
        <v>0.25097639310438447</v>
      </c>
      <c r="R68" s="122">
        <f t="shared" si="50"/>
        <v>0.21595509658857392</v>
      </c>
      <c r="S68" s="122">
        <f t="shared" si="50"/>
        <v>0.19458462854971437</v>
      </c>
      <c r="T68" s="122">
        <f t="shared" si="50"/>
        <v>1.2017615055590181E-2</v>
      </c>
      <c r="U68" s="122">
        <f t="shared" si="50"/>
        <v>-2.9717597288778541E-2</v>
      </c>
      <c r="V68" s="122">
        <f t="shared" si="50"/>
        <v>0.12546663650839762</v>
      </c>
      <c r="W68" s="122">
        <f t="shared" si="50"/>
        <v>-6.5614283100353221E-2</v>
      </c>
      <c r="X68" s="122">
        <f t="shared" si="50"/>
        <v>0.16256940924655394</v>
      </c>
      <c r="Y68" s="122">
        <f t="shared" si="50"/>
        <v>4.1743083146353444E-2</v>
      </c>
      <c r="Z68" s="122">
        <f>+Z60/Y60-1</f>
        <v>5.1724810929495213E-2</v>
      </c>
      <c r="AA68" s="122"/>
      <c r="AB68" s="91"/>
      <c r="AC68" s="91"/>
      <c r="AD68" s="92" t="s">
        <v>607</v>
      </c>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t="e">
        <f t="shared" ref="AZ68:CE70" si="51">AZ60/AV60-1</f>
        <v>#DIV/0!</v>
      </c>
      <c r="BA68" s="122" t="e">
        <f t="shared" si="51"/>
        <v>#DIV/0!</v>
      </c>
      <c r="BB68" s="122" t="e">
        <f t="shared" si="51"/>
        <v>#DIV/0!</v>
      </c>
      <c r="BC68" s="122" t="e">
        <f t="shared" si="51"/>
        <v>#DIV/0!</v>
      </c>
      <c r="BD68" s="122" t="e">
        <f t="shared" si="51"/>
        <v>#DIV/0!</v>
      </c>
      <c r="BE68" s="122" t="e">
        <f t="shared" si="51"/>
        <v>#DIV/0!</v>
      </c>
      <c r="BF68" s="122" t="e">
        <f t="shared" si="51"/>
        <v>#DIV/0!</v>
      </c>
      <c r="BG68" s="122" t="e">
        <f t="shared" si="51"/>
        <v>#DIV/0!</v>
      </c>
      <c r="BH68" s="122" t="e">
        <f t="shared" si="51"/>
        <v>#DIV/0!</v>
      </c>
      <c r="BI68" s="122" t="e">
        <f t="shared" si="51"/>
        <v>#DIV/0!</v>
      </c>
      <c r="BJ68" s="122" t="e">
        <f t="shared" si="51"/>
        <v>#DIV/0!</v>
      </c>
      <c r="BK68" s="122" t="e">
        <f t="shared" si="51"/>
        <v>#DIV/0!</v>
      </c>
      <c r="BL68" s="122" t="e">
        <f t="shared" si="51"/>
        <v>#DIV/0!</v>
      </c>
      <c r="BM68" s="122" t="e">
        <f t="shared" si="51"/>
        <v>#DIV/0!</v>
      </c>
      <c r="BN68" s="122" t="e">
        <f t="shared" si="51"/>
        <v>#DIV/0!</v>
      </c>
      <c r="BO68" s="122" t="e">
        <f t="shared" si="51"/>
        <v>#DIV/0!</v>
      </c>
      <c r="BP68" s="122" t="e">
        <f t="shared" si="51"/>
        <v>#DIV/0!</v>
      </c>
      <c r="BQ68" s="122" t="e">
        <f t="shared" si="51"/>
        <v>#DIV/0!</v>
      </c>
      <c r="BR68" s="122" t="e">
        <f t="shared" si="51"/>
        <v>#DIV/0!</v>
      </c>
      <c r="BS68" s="122" t="e">
        <f t="shared" si="51"/>
        <v>#DIV/0!</v>
      </c>
      <c r="BT68" s="122" t="e">
        <f t="shared" si="51"/>
        <v>#DIV/0!</v>
      </c>
      <c r="BU68" s="122" t="e">
        <f t="shared" si="51"/>
        <v>#DIV/0!</v>
      </c>
      <c r="BV68" s="122" t="e">
        <f t="shared" si="51"/>
        <v>#DIV/0!</v>
      </c>
      <c r="BW68" s="122" t="e">
        <f t="shared" si="51"/>
        <v>#DIV/0!</v>
      </c>
      <c r="BX68" s="122" t="e">
        <f t="shared" si="51"/>
        <v>#DIV/0!</v>
      </c>
      <c r="BY68" s="122">
        <f t="shared" si="51"/>
        <v>1.5237230746041281</v>
      </c>
      <c r="BZ68" s="122">
        <f t="shared" si="51"/>
        <v>-0.2880603181177529</v>
      </c>
      <c r="CA68" s="122">
        <f t="shared" si="51"/>
        <v>-0.45886249030658011</v>
      </c>
      <c r="CB68" s="122">
        <f t="shared" si="51"/>
        <v>-0.20543427919408219</v>
      </c>
      <c r="CC68" s="122">
        <f t="shared" si="51"/>
        <v>0.12024518199354572</v>
      </c>
      <c r="CD68" s="122">
        <f t="shared" si="51"/>
        <v>0.33319258656791306</v>
      </c>
      <c r="CE68" s="122">
        <f t="shared" si="51"/>
        <v>0.58377749188261951</v>
      </c>
      <c r="CF68" s="122">
        <f>CF60/CB60-1</f>
        <v>0.69992228997048</v>
      </c>
    </row>
    <row r="69" spans="1:84">
      <c r="A69" s="92" t="s">
        <v>608</v>
      </c>
      <c r="B69" s="91"/>
      <c r="C69" s="91"/>
      <c r="D69" s="91"/>
      <c r="E69" s="91"/>
      <c r="F69" s="91"/>
      <c r="G69" s="122"/>
      <c r="H69" s="122"/>
      <c r="I69" s="122"/>
      <c r="J69" s="122"/>
      <c r="K69" s="122"/>
      <c r="L69" s="122"/>
      <c r="M69" s="122">
        <f t="shared" ref="M69:Y70" si="52">+M61/L61-1</f>
        <v>0.25107480653482384</v>
      </c>
      <c r="N69" s="122">
        <f t="shared" si="52"/>
        <v>0.95182894234440618</v>
      </c>
      <c r="O69" s="122">
        <f t="shared" si="52"/>
        <v>3.680866380794412E-2</v>
      </c>
      <c r="P69" s="122">
        <f t="shared" si="52"/>
        <v>0.28784905660377369</v>
      </c>
      <c r="Q69" s="122">
        <f t="shared" si="52"/>
        <v>0.14669479606188474</v>
      </c>
      <c r="R69" s="122">
        <f t="shared" si="52"/>
        <v>4.0000000000000036E-2</v>
      </c>
      <c r="S69" s="122">
        <f t="shared" si="52"/>
        <v>4.0000000000000036E-2</v>
      </c>
      <c r="T69" s="122">
        <f t="shared" si="52"/>
        <v>4.0000000000000036E-2</v>
      </c>
      <c r="U69" s="122">
        <f t="shared" si="52"/>
        <v>4.0000000000000036E-2</v>
      </c>
      <c r="V69" s="122">
        <f t="shared" si="52"/>
        <v>4.0000000000000036E-2</v>
      </c>
      <c r="W69" s="122">
        <f t="shared" si="52"/>
        <v>4.0000000000000036E-2</v>
      </c>
      <c r="X69" s="122">
        <f t="shared" si="52"/>
        <v>4.0000000000000036E-2</v>
      </c>
      <c r="Y69" s="122">
        <f t="shared" si="52"/>
        <v>4.0000000000000036E-2</v>
      </c>
      <c r="Z69" s="122">
        <f>+Z61/Y61-1</f>
        <v>4.0000000000000036E-2</v>
      </c>
      <c r="AA69" s="122"/>
      <c r="AB69" s="91"/>
      <c r="AC69" s="91"/>
      <c r="AD69" s="92" t="s">
        <v>608</v>
      </c>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t="e">
        <f t="shared" si="51"/>
        <v>#DIV/0!</v>
      </c>
      <c r="BA69" s="122" t="e">
        <f t="shared" si="51"/>
        <v>#DIV/0!</v>
      </c>
      <c r="BB69" s="122" t="e">
        <f t="shared" si="51"/>
        <v>#DIV/0!</v>
      </c>
      <c r="BC69" s="122" t="e">
        <f t="shared" si="51"/>
        <v>#DIV/0!</v>
      </c>
      <c r="BD69" s="122" t="e">
        <f t="shared" si="51"/>
        <v>#DIV/0!</v>
      </c>
      <c r="BE69" s="122" t="e">
        <f t="shared" si="51"/>
        <v>#DIV/0!</v>
      </c>
      <c r="BF69" s="122" t="e">
        <f t="shared" si="51"/>
        <v>#DIV/0!</v>
      </c>
      <c r="BG69" s="122" t="e">
        <f t="shared" si="51"/>
        <v>#DIV/0!</v>
      </c>
      <c r="BH69" s="122" t="e">
        <f t="shared" si="51"/>
        <v>#DIV/0!</v>
      </c>
      <c r="BI69" s="122" t="e">
        <f t="shared" si="51"/>
        <v>#DIV/0!</v>
      </c>
      <c r="BJ69" s="122" t="e">
        <f t="shared" si="51"/>
        <v>#DIV/0!</v>
      </c>
      <c r="BK69" s="122" t="e">
        <f t="shared" si="51"/>
        <v>#DIV/0!</v>
      </c>
      <c r="BL69" s="122" t="e">
        <f t="shared" si="51"/>
        <v>#DIV/0!</v>
      </c>
      <c r="BM69" s="122" t="e">
        <f t="shared" si="51"/>
        <v>#DIV/0!</v>
      </c>
      <c r="BN69" s="122" t="e">
        <f t="shared" si="51"/>
        <v>#DIV/0!</v>
      </c>
      <c r="BO69" s="122" t="e">
        <f t="shared" si="51"/>
        <v>#DIV/0!</v>
      </c>
      <c r="BP69" s="122" t="e">
        <f t="shared" si="51"/>
        <v>#DIV/0!</v>
      </c>
      <c r="BQ69" s="122" t="e">
        <f t="shared" si="51"/>
        <v>#DIV/0!</v>
      </c>
      <c r="BR69" s="122" t="e">
        <f t="shared" si="51"/>
        <v>#DIV/0!</v>
      </c>
      <c r="BS69" s="122" t="e">
        <f t="shared" si="51"/>
        <v>#DIV/0!</v>
      </c>
      <c r="BT69" s="122" t="e">
        <f t="shared" si="51"/>
        <v>#DIV/0!</v>
      </c>
      <c r="BU69" s="122" t="e">
        <f t="shared" si="51"/>
        <v>#DIV/0!</v>
      </c>
      <c r="BV69" s="122" t="e">
        <f t="shared" si="51"/>
        <v>#DIV/0!</v>
      </c>
      <c r="BW69" s="122" t="e">
        <f t="shared" si="51"/>
        <v>#DIV/0!</v>
      </c>
      <c r="BX69" s="122">
        <f t="shared" si="51"/>
        <v>1.4166666666666665</v>
      </c>
      <c r="BY69" s="122">
        <f t="shared" si="51"/>
        <v>1.2962962962962963</v>
      </c>
      <c r="BZ69" s="122">
        <f t="shared" si="51"/>
        <v>1.4444444444444442</v>
      </c>
      <c r="CA69" s="122">
        <f t="shared" si="51"/>
        <v>0.32075471698113245</v>
      </c>
      <c r="CB69" s="122">
        <f t="shared" si="51"/>
        <v>5.1724137931034475E-2</v>
      </c>
      <c r="CC69" s="122">
        <f t="shared" si="51"/>
        <v>4.8387096774193283E-2</v>
      </c>
      <c r="CD69" s="122">
        <f t="shared" si="51"/>
        <v>-3.0303030303030054E-2</v>
      </c>
      <c r="CE69" s="122">
        <f t="shared" si="51"/>
        <v>-2.9145470667849116E-2</v>
      </c>
      <c r="CF69" s="122">
        <f>CF61/CB61-1</f>
        <v>0.12119151032824371</v>
      </c>
    </row>
    <row r="70" spans="1:84">
      <c r="A70" s="92" t="s">
        <v>609</v>
      </c>
      <c r="B70" s="91"/>
      <c r="C70" s="91"/>
      <c r="D70" s="91"/>
      <c r="E70" s="91"/>
      <c r="F70" s="91"/>
      <c r="G70" s="122"/>
      <c r="H70" s="122"/>
      <c r="I70" s="122"/>
      <c r="J70" s="122"/>
      <c r="K70" s="122"/>
      <c r="L70" s="122"/>
      <c r="M70" s="122">
        <f t="shared" si="52"/>
        <v>5.2397451014656315E-2</v>
      </c>
      <c r="N70" s="122">
        <f t="shared" si="52"/>
        <v>-8.2986508822977534E-3</v>
      </c>
      <c r="O70" s="122">
        <f t="shared" si="52"/>
        <v>-0.29568816445473767</v>
      </c>
      <c r="P70" s="122">
        <f t="shared" si="52"/>
        <v>-0.10359654480411828</v>
      </c>
      <c r="Q70" s="122">
        <f t="shared" si="52"/>
        <v>-1.0415896442426686E-2</v>
      </c>
      <c r="R70" s="122">
        <f t="shared" si="52"/>
        <v>0.1054137241714308</v>
      </c>
      <c r="S70" s="122">
        <f t="shared" si="52"/>
        <v>3.0530856315305943E-2</v>
      </c>
      <c r="T70" s="122">
        <f t="shared" si="52"/>
        <v>-6.8259743954480867E-2</v>
      </c>
      <c r="U70" s="122">
        <f t="shared" si="52"/>
        <v>-9.4621212121212106E-2</v>
      </c>
      <c r="V70" s="122">
        <f t="shared" si="52"/>
        <v>6.1550591327200976E-2</v>
      </c>
      <c r="W70" s="122">
        <f t="shared" si="52"/>
        <v>-0.11085910652920961</v>
      </c>
      <c r="X70" s="122">
        <f t="shared" si="52"/>
        <v>0.11446808510638307</v>
      </c>
      <c r="Y70" s="122">
        <f t="shared" si="52"/>
        <v>4.9075215782983239E-3</v>
      </c>
      <c r="Z70" s="122">
        <f>+Z62/Y62-1</f>
        <v>2.0000000000000018E-2</v>
      </c>
      <c r="AA70" s="122"/>
      <c r="AB70" s="91"/>
      <c r="AC70" s="91"/>
      <c r="AD70" s="92" t="s">
        <v>609</v>
      </c>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t="e">
        <f t="shared" si="51"/>
        <v>#DIV/0!</v>
      </c>
      <c r="BA70" s="122" t="e">
        <f t="shared" si="51"/>
        <v>#DIV/0!</v>
      </c>
      <c r="BB70" s="122" t="e">
        <f t="shared" si="51"/>
        <v>#DIV/0!</v>
      </c>
      <c r="BC70" s="122" t="e">
        <f t="shared" si="51"/>
        <v>#DIV/0!</v>
      </c>
      <c r="BD70" s="122" t="e">
        <f t="shared" si="51"/>
        <v>#DIV/0!</v>
      </c>
      <c r="BE70" s="122" t="e">
        <f t="shared" si="51"/>
        <v>#DIV/0!</v>
      </c>
      <c r="BF70" s="122" t="e">
        <f t="shared" si="51"/>
        <v>#DIV/0!</v>
      </c>
      <c r="BG70" s="122" t="e">
        <f t="shared" si="51"/>
        <v>#DIV/0!</v>
      </c>
      <c r="BH70" s="122">
        <f t="shared" si="51"/>
        <v>-0.16440250002091306</v>
      </c>
      <c r="BI70" s="122">
        <f t="shared" si="51"/>
        <v>-0.11285569858360534</v>
      </c>
      <c r="BJ70" s="122">
        <f t="shared" si="51"/>
        <v>-1.8387925599028243E-3</v>
      </c>
      <c r="BK70" s="122">
        <f t="shared" si="51"/>
        <v>0.25462697350247598</v>
      </c>
      <c r="BL70" s="122">
        <f t="shared" si="51"/>
        <v>0.16783013881864073</v>
      </c>
      <c r="BM70" s="122">
        <f t="shared" si="51"/>
        <v>0.10815495098287875</v>
      </c>
      <c r="BN70" s="122">
        <f t="shared" si="51"/>
        <v>0.14474501454976152</v>
      </c>
      <c r="BO70" s="122">
        <f t="shared" si="51"/>
        <v>0.13737970869663796</v>
      </c>
      <c r="BP70" s="122">
        <f t="shared" si="51"/>
        <v>0.17451027841506872</v>
      </c>
      <c r="BQ70" s="122">
        <f t="shared" si="51"/>
        <v>0.19424265416143593</v>
      </c>
      <c r="BR70" s="122">
        <f t="shared" si="51"/>
        <v>0.12677641024340436</v>
      </c>
      <c r="BS70" s="122">
        <f t="shared" si="51"/>
        <v>1.5829277817654086E-2</v>
      </c>
      <c r="BT70" s="122">
        <f t="shared" si="51"/>
        <v>5.0344408945686814E-2</v>
      </c>
      <c r="BU70" s="122">
        <f t="shared" si="51"/>
        <v>-7.821410579345156E-3</v>
      </c>
      <c r="BV70" s="122">
        <f t="shared" si="51"/>
        <v>3.9294153471376214E-2</v>
      </c>
      <c r="BW70" s="122">
        <f t="shared" si="51"/>
        <v>0.11649593495934973</v>
      </c>
      <c r="BX70" s="122">
        <f t="shared" si="51"/>
        <v>0.19872556615959991</v>
      </c>
      <c r="BY70" s="122">
        <f t="shared" si="51"/>
        <v>0.28451935574487952</v>
      </c>
      <c r="BZ70" s="122">
        <f t="shared" si="51"/>
        <v>0.13442868855540957</v>
      </c>
      <c r="CA70" s="122">
        <f t="shared" si="51"/>
        <v>0.13501413288440989</v>
      </c>
      <c r="CB70" s="122">
        <f t="shared" si="51"/>
        <v>-0.3077595103091052</v>
      </c>
      <c r="CC70" s="122">
        <f t="shared" si="51"/>
        <v>-0.24857291296203132</v>
      </c>
      <c r="CD70" s="122">
        <f t="shared" si="51"/>
        <v>-0.31278732651138497</v>
      </c>
      <c r="CE70" s="122">
        <f t="shared" si="51"/>
        <v>-0.31397873346260863</v>
      </c>
      <c r="CF70" s="122">
        <f>CF62/CB62-1</f>
        <v>-0.22653535806343161</v>
      </c>
    </row>
    <row r="71" spans="1:84">
      <c r="B71" s="91"/>
      <c r="C71" s="91"/>
      <c r="D71" s="91"/>
      <c r="E71" s="91"/>
      <c r="F71" s="91"/>
      <c r="G71" s="122"/>
      <c r="H71" s="122"/>
      <c r="I71" s="122"/>
      <c r="J71" s="122"/>
      <c r="K71" s="122"/>
      <c r="L71" s="122"/>
      <c r="M71" s="122"/>
      <c r="N71" s="122"/>
      <c r="O71" s="122"/>
      <c r="P71" s="122"/>
      <c r="Q71" s="122"/>
      <c r="R71" s="122"/>
      <c r="S71" s="122"/>
      <c r="T71" s="122"/>
      <c r="U71" s="122"/>
      <c r="V71" s="122"/>
      <c r="W71" s="122"/>
      <c r="X71" s="122"/>
      <c r="Y71" s="122"/>
      <c r="Z71" s="122"/>
      <c r="AA71" s="122"/>
      <c r="AB71" s="91"/>
      <c r="AC71" s="91"/>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row>
    <row r="72" spans="1:84">
      <c r="A72" s="92" t="s">
        <v>613</v>
      </c>
      <c r="B72" s="91"/>
      <c r="C72" s="91"/>
      <c r="D72" s="91"/>
      <c r="E72" s="91"/>
      <c r="F72" s="91"/>
      <c r="G72" s="144"/>
      <c r="H72" s="144"/>
      <c r="I72" s="144"/>
      <c r="J72" s="144"/>
      <c r="K72" s="144"/>
      <c r="L72" s="127">
        <f t="shared" ref="L72:Z72" si="53">+L54-L60-L61-L62</f>
        <v>919.18066787958981</v>
      </c>
      <c r="M72" s="127">
        <f t="shared" si="53"/>
        <v>982.77311582281084</v>
      </c>
      <c r="N72" s="127">
        <f t="shared" si="53"/>
        <v>1163.9609130285601</v>
      </c>
      <c r="O72" s="127">
        <f t="shared" si="53"/>
        <v>1097.8073025439764</v>
      </c>
      <c r="P72" s="127">
        <f t="shared" si="53"/>
        <v>1093.6260334855403</v>
      </c>
      <c r="Q72" s="127">
        <f t="shared" si="53"/>
        <v>1147.1082879223909</v>
      </c>
      <c r="R72" s="127">
        <f t="shared" si="53"/>
        <v>1124.319952729963</v>
      </c>
      <c r="S72" s="127">
        <f t="shared" si="53"/>
        <v>1173.3532949045666</v>
      </c>
      <c r="T72" s="127">
        <f t="shared" ca="1" si="53"/>
        <v>1198.3704353665582</v>
      </c>
      <c r="U72" s="127">
        <f t="shared" ca="1" si="53"/>
        <v>1140.7823082077057</v>
      </c>
      <c r="V72" s="127">
        <f t="shared" ca="1" si="53"/>
        <v>1213.5444392161176</v>
      </c>
      <c r="W72" s="127">
        <f t="shared" ca="1" si="53"/>
        <v>1140.7136797555527</v>
      </c>
      <c r="X72" s="127">
        <f t="shared" ca="1" si="53"/>
        <v>1254.0364503466117</v>
      </c>
      <c r="Y72" s="127">
        <f t="shared" ca="1" si="53"/>
        <v>1282.7840665978827</v>
      </c>
      <c r="Z72" s="127">
        <f t="shared" ca="1" si="53"/>
        <v>1325.9606195502465</v>
      </c>
      <c r="AA72" s="127"/>
      <c r="AB72" s="91"/>
      <c r="AC72" s="91"/>
      <c r="AD72" s="92" t="s">
        <v>776</v>
      </c>
      <c r="AE72" s="91"/>
      <c r="AF72" s="91"/>
      <c r="AG72" s="91"/>
      <c r="AH72" s="91"/>
      <c r="AI72" s="91"/>
      <c r="AJ72" s="91"/>
      <c r="AK72" s="91"/>
      <c r="AL72" s="91"/>
      <c r="AM72" s="91"/>
      <c r="AN72" s="91"/>
      <c r="AO72" s="91"/>
      <c r="AP72" s="91"/>
      <c r="AQ72" s="91"/>
      <c r="AR72" s="91"/>
      <c r="AS72" s="91"/>
      <c r="AT72" s="91"/>
      <c r="AU72" s="91"/>
      <c r="AV72" s="91"/>
      <c r="AW72" s="91"/>
      <c r="AX72" s="91"/>
      <c r="AY72" s="91"/>
      <c r="AZ72" s="107">
        <f t="shared" ref="AZ72:CF72" si="54">AZ54-AZ60-AZ61-AZ62</f>
        <v>0</v>
      </c>
      <c r="BA72" s="107">
        <f t="shared" si="54"/>
        <v>0</v>
      </c>
      <c r="BB72" s="107">
        <f t="shared" si="54"/>
        <v>0</v>
      </c>
      <c r="BC72" s="107">
        <f t="shared" si="54"/>
        <v>0</v>
      </c>
      <c r="BD72" s="107">
        <f t="shared" si="54"/>
        <v>173.43387720000001</v>
      </c>
      <c r="BE72" s="107">
        <f t="shared" si="54"/>
        <v>181.07096279999996</v>
      </c>
      <c r="BF72" s="107">
        <f t="shared" si="54"/>
        <v>167.49980760000003</v>
      </c>
      <c r="BG72" s="107">
        <f t="shared" si="54"/>
        <v>142.67953979999999</v>
      </c>
      <c r="BH72" s="107">
        <f t="shared" si="54"/>
        <v>144.9209142</v>
      </c>
      <c r="BI72" s="107">
        <f t="shared" si="54"/>
        <v>160.63607280000002</v>
      </c>
      <c r="BJ72" s="107">
        <f t="shared" si="54"/>
        <v>167.19181019999999</v>
      </c>
      <c r="BK72" s="107">
        <f t="shared" si="54"/>
        <v>179.00959920000005</v>
      </c>
      <c r="BL72" s="107">
        <f t="shared" si="54"/>
        <v>169.24301134791031</v>
      </c>
      <c r="BM72" s="107">
        <f t="shared" si="54"/>
        <v>178.00965937976613</v>
      </c>
      <c r="BN72" s="107">
        <f t="shared" si="54"/>
        <v>191.39199119999998</v>
      </c>
      <c r="BO72" s="107">
        <f t="shared" si="54"/>
        <v>203.60188579199794</v>
      </c>
      <c r="BP72" s="107">
        <f t="shared" si="54"/>
        <v>198.77765637803878</v>
      </c>
      <c r="BQ72" s="107">
        <f t="shared" si="54"/>
        <v>212.5867280840651</v>
      </c>
      <c r="BR72" s="107">
        <f t="shared" si="54"/>
        <v>215.65598079367322</v>
      </c>
      <c r="BS72" s="107">
        <f t="shared" si="54"/>
        <v>206.82475660639776</v>
      </c>
      <c r="BT72" s="107">
        <f t="shared" si="54"/>
        <v>235.58499999999998</v>
      </c>
      <c r="BU72" s="107">
        <f t="shared" si="54"/>
        <v>236.78346119307255</v>
      </c>
      <c r="BV72" s="107">
        <f t="shared" si="54"/>
        <v>244.70184879208909</v>
      </c>
      <c r="BW72" s="107">
        <f t="shared" si="54"/>
        <v>272.54113000000001</v>
      </c>
      <c r="BX72" s="107">
        <f t="shared" si="54"/>
        <v>293.0354746534025</v>
      </c>
      <c r="BY72" s="107">
        <f t="shared" si="54"/>
        <v>295.05721583652615</v>
      </c>
      <c r="BZ72" s="107">
        <f t="shared" si="54"/>
        <v>288.82976225707802</v>
      </c>
      <c r="CA72" s="107">
        <f t="shared" si="54"/>
        <v>287.53051214606222</v>
      </c>
      <c r="CB72" s="107">
        <f t="shared" si="54"/>
        <v>276.15055693405537</v>
      </c>
      <c r="CC72" s="107">
        <f t="shared" si="54"/>
        <v>278.86525626926749</v>
      </c>
      <c r="CD72" s="107">
        <f t="shared" si="54"/>
        <v>273.75207745686743</v>
      </c>
      <c r="CE72" s="107">
        <f t="shared" si="54"/>
        <v>270.20548192936769</v>
      </c>
      <c r="CF72" s="107">
        <f t="shared" si="54"/>
        <v>262.67961557047863</v>
      </c>
    </row>
    <row r="73" spans="1:84">
      <c r="A73" s="92" t="s">
        <v>614</v>
      </c>
      <c r="B73" s="91"/>
      <c r="C73" s="91"/>
      <c r="D73" s="91"/>
      <c r="E73" s="91"/>
      <c r="F73" s="91"/>
      <c r="G73" s="144"/>
      <c r="H73" s="144"/>
      <c r="I73" s="144"/>
      <c r="J73" s="144"/>
      <c r="K73" s="144"/>
      <c r="L73" s="127"/>
      <c r="M73" s="103">
        <f t="shared" ref="M73:Y73" si="55">M72/L72-1</f>
        <v>6.9183839657897872E-2</v>
      </c>
      <c r="N73" s="103">
        <f t="shared" si="55"/>
        <v>0.1843638112282433</v>
      </c>
      <c r="O73" s="103">
        <f t="shared" si="55"/>
        <v>-5.6834907207026109E-2</v>
      </c>
      <c r="P73" s="103">
        <f t="shared" si="55"/>
        <v>-3.8087458962485776E-3</v>
      </c>
      <c r="Q73" s="103">
        <f t="shared" si="55"/>
        <v>4.8903603973649901E-2</v>
      </c>
      <c r="R73" s="103">
        <f t="shared" si="55"/>
        <v>-1.9865897084312301E-2</v>
      </c>
      <c r="S73" s="103">
        <f t="shared" si="55"/>
        <v>4.3611555639073707E-2</v>
      </c>
      <c r="T73" s="103">
        <f t="shared" ca="1" si="55"/>
        <v>2.1321063801185591E-2</v>
      </c>
      <c r="U73" s="103">
        <f t="shared" ca="1" si="55"/>
        <v>-4.8055363733366385E-2</v>
      </c>
      <c r="V73" s="103">
        <f t="shared" ca="1" si="55"/>
        <v>6.3782660797684576E-2</v>
      </c>
      <c r="W73" s="103">
        <f t="shared" ca="1" si="55"/>
        <v>-6.0014909307820274E-2</v>
      </c>
      <c r="X73" s="103">
        <f t="shared" ca="1" si="55"/>
        <v>9.9343746465233362E-2</v>
      </c>
      <c r="Y73" s="103">
        <f t="shared" ca="1" si="55"/>
        <v>2.292406751281062E-2</v>
      </c>
      <c r="Z73" s="103">
        <f ca="1">Z72/Y72-1</f>
        <v>3.3658473063883587E-2</v>
      </c>
      <c r="AA73" s="103"/>
      <c r="AB73" s="91"/>
      <c r="AC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row>
    <row r="74" spans="1:84">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row>
    <row r="75" spans="1:84">
      <c r="A75" s="92" t="s">
        <v>616</v>
      </c>
      <c r="B75" s="97"/>
      <c r="C75" s="97"/>
      <c r="D75" s="97"/>
      <c r="E75" s="97"/>
      <c r="F75" s="97"/>
      <c r="G75" s="97"/>
      <c r="H75" s="97"/>
      <c r="I75" s="97"/>
      <c r="J75" s="97"/>
      <c r="K75" s="97"/>
      <c r="L75" s="97">
        <f t="shared" ref="L75:Z75" si="56">1000*L72/AVERAGE(K6:L6)/12</f>
        <v>63.495991204845872</v>
      </c>
      <c r="M75" s="97">
        <f t="shared" si="56"/>
        <v>62.076676761844084</v>
      </c>
      <c r="N75" s="97">
        <f t="shared" si="56"/>
        <v>67.176911664505852</v>
      </c>
      <c r="O75" s="97">
        <f t="shared" si="56"/>
        <v>61.408922220952974</v>
      </c>
      <c r="P75" s="97">
        <f t="shared" si="56"/>
        <v>57.476982082783614</v>
      </c>
      <c r="Q75" s="97">
        <f t="shared" si="56"/>
        <v>56.28211447311719</v>
      </c>
      <c r="R75" s="97">
        <f t="shared" si="56"/>
        <v>52.8862775988731</v>
      </c>
      <c r="S75" s="97">
        <f t="shared" si="56"/>
        <v>53.062949114276854</v>
      </c>
      <c r="T75" s="97">
        <f t="shared" ca="1" si="56"/>
        <v>52.921643949581458</v>
      </c>
      <c r="U75" s="97">
        <f t="shared" ca="1" si="56"/>
        <v>49.728999777623123</v>
      </c>
      <c r="V75" s="97">
        <f t="shared" ca="1" si="56"/>
        <v>52.214958017202072</v>
      </c>
      <c r="W75" s="97">
        <f t="shared" ca="1" si="56"/>
        <v>48.441321295169985</v>
      </c>
      <c r="X75" s="97">
        <f t="shared" ca="1" si="56"/>
        <v>52.555423693360751</v>
      </c>
      <c r="Y75" s="97">
        <f t="shared" ca="1" si="56"/>
        <v>53.051436661545807</v>
      </c>
      <c r="Z75" s="97">
        <f t="shared" ca="1" si="56"/>
        <v>54.110155680800041</v>
      </c>
      <c r="AA75" s="97"/>
      <c r="AB75" s="91"/>
      <c r="AC75" s="91"/>
      <c r="AD75" s="92" t="s">
        <v>777</v>
      </c>
      <c r="AE75" s="97"/>
      <c r="AF75" s="97"/>
      <c r="AG75" s="97"/>
      <c r="AH75" s="97"/>
      <c r="AI75" s="97"/>
      <c r="AJ75" s="97"/>
      <c r="AK75" s="97"/>
      <c r="AL75" s="97"/>
      <c r="AM75" s="97"/>
      <c r="AN75" s="97"/>
      <c r="AO75" s="97"/>
      <c r="AP75" s="97"/>
      <c r="AQ75" s="97"/>
      <c r="AR75" s="97"/>
      <c r="AS75" s="97"/>
      <c r="AT75" s="97"/>
      <c r="AU75" s="97"/>
      <c r="AV75" s="97"/>
      <c r="AW75" s="97"/>
      <c r="AX75" s="97"/>
      <c r="AY75" s="97"/>
      <c r="AZ75" s="97">
        <f t="shared" ref="AZ75:CF75" si="57">1000*AZ72/AVERAGE(AY6:AZ6)/3</f>
        <v>0</v>
      </c>
      <c r="BA75" s="97">
        <f t="shared" si="57"/>
        <v>0</v>
      </c>
      <c r="BB75" s="97">
        <f t="shared" si="57"/>
        <v>0</v>
      </c>
      <c r="BC75" s="97">
        <f t="shared" si="57"/>
        <v>0</v>
      </c>
      <c r="BD75" s="97">
        <f t="shared" si="57"/>
        <v>51.930197529755226</v>
      </c>
      <c r="BE75" s="97">
        <f t="shared" si="57"/>
        <v>53.574460855671923</v>
      </c>
      <c r="BF75" s="97">
        <f t="shared" si="57"/>
        <v>48.952934286090056</v>
      </c>
      <c r="BG75" s="97">
        <f t="shared" si="57"/>
        <v>41.414007836990599</v>
      </c>
      <c r="BH75" s="97">
        <f t="shared" si="57"/>
        <v>41.887683849989159</v>
      </c>
      <c r="BI75" s="97">
        <f t="shared" si="57"/>
        <v>46.076376903880913</v>
      </c>
      <c r="BJ75" s="97">
        <f t="shared" si="57"/>
        <v>47.482834966345742</v>
      </c>
      <c r="BK75" s="97">
        <f t="shared" si="57"/>
        <v>50.550547610979343</v>
      </c>
      <c r="BL75" s="97">
        <f t="shared" si="57"/>
        <v>47.881800302130451</v>
      </c>
      <c r="BM75" s="97">
        <f t="shared" si="57"/>
        <v>50.19163688596575</v>
      </c>
      <c r="BN75" s="97">
        <f t="shared" si="57"/>
        <v>53.645011898255198</v>
      </c>
      <c r="BO75" s="97">
        <f t="shared" si="57"/>
        <v>57.055313378729984</v>
      </c>
      <c r="BP75" s="97">
        <f t="shared" si="57"/>
        <v>55.544654868538508</v>
      </c>
      <c r="BQ75" s="97">
        <f t="shared" si="57"/>
        <v>58.853239229839602</v>
      </c>
      <c r="BR75" s="97">
        <f t="shared" si="57"/>
        <v>59.091925138696602</v>
      </c>
      <c r="BS75" s="97">
        <f t="shared" si="57"/>
        <v>56.398548376526442</v>
      </c>
      <c r="BT75" s="97">
        <f t="shared" si="57"/>
        <v>63.974202308214522</v>
      </c>
      <c r="BU75" s="97">
        <f t="shared" si="57"/>
        <v>63.746573838138225</v>
      </c>
      <c r="BV75" s="97">
        <f t="shared" si="57"/>
        <v>65.282550666850511</v>
      </c>
      <c r="BW75" s="97">
        <f t="shared" si="57"/>
        <v>68.065515346769558</v>
      </c>
      <c r="BX75" s="97">
        <f t="shared" si="57"/>
        <v>68.395120646384598</v>
      </c>
      <c r="BY75" s="97">
        <f t="shared" si="57"/>
        <v>67.920586498285303</v>
      </c>
      <c r="BZ75" s="97">
        <f t="shared" si="57"/>
        <v>65.947385039404068</v>
      </c>
      <c r="CA75" s="97">
        <f t="shared" si="57"/>
        <v>65.257373220322336</v>
      </c>
      <c r="CB75" s="97">
        <f t="shared" si="57"/>
        <v>62.233916330663995</v>
      </c>
      <c r="CC75" s="97">
        <f t="shared" si="57"/>
        <v>62.260606445471637</v>
      </c>
      <c r="CD75" s="97">
        <f t="shared" si="57"/>
        <v>60.649823858045572</v>
      </c>
      <c r="CE75" s="97">
        <f t="shared" si="57"/>
        <v>59.735040440679057</v>
      </c>
      <c r="CF75" s="97">
        <f t="shared" si="57"/>
        <v>57.833468861840288</v>
      </c>
    </row>
    <row r="76" spans="1:84">
      <c r="A76" s="92" t="s">
        <v>618</v>
      </c>
      <c r="B76" s="97"/>
      <c r="C76" s="97"/>
      <c r="D76" s="97"/>
      <c r="E76" s="97"/>
      <c r="F76" s="97"/>
      <c r="G76" s="97"/>
      <c r="H76" s="103"/>
      <c r="I76" s="103"/>
      <c r="J76" s="103"/>
      <c r="K76" s="103"/>
      <c r="L76" s="103"/>
      <c r="M76" s="103">
        <f t="shared" ref="M76:Z76" si="58">+M75/L75-1</f>
        <v>-2.2352819698851611E-2</v>
      </c>
      <c r="N76" s="103">
        <f t="shared" si="58"/>
        <v>8.2160243890450513E-2</v>
      </c>
      <c r="O76" s="103">
        <f t="shared" si="58"/>
        <v>-8.5862676634485768E-2</v>
      </c>
      <c r="P76" s="103">
        <f t="shared" si="58"/>
        <v>-6.4028808778340163E-2</v>
      </c>
      <c r="Q76" s="103">
        <f t="shared" si="58"/>
        <v>-2.0788628184156721E-2</v>
      </c>
      <c r="R76" s="103">
        <f t="shared" si="58"/>
        <v>-6.0335986059409485E-2</v>
      </c>
      <c r="S76" s="103">
        <f t="shared" si="58"/>
        <v>3.3405927477776487E-3</v>
      </c>
      <c r="T76" s="103">
        <f t="shared" ca="1" si="58"/>
        <v>-2.6629723197457711E-3</v>
      </c>
      <c r="U76" s="103">
        <f t="shared" ca="1" si="58"/>
        <v>-6.0327758808852772E-2</v>
      </c>
      <c r="V76" s="103">
        <f t="shared" ca="1" si="58"/>
        <v>4.9990111417796301E-2</v>
      </c>
      <c r="W76" s="103">
        <f t="shared" ca="1" si="58"/>
        <v>-7.2271181771110027E-2</v>
      </c>
      <c r="X76" s="103">
        <f t="shared" ca="1" si="58"/>
        <v>8.4929607372228766E-2</v>
      </c>
      <c r="Y76" s="103">
        <f t="shared" ca="1" si="58"/>
        <v>9.4379025669946159E-3</v>
      </c>
      <c r="Z76" s="103">
        <f t="shared" ca="1" si="58"/>
        <v>1.9956462744045611E-2</v>
      </c>
      <c r="AA76" s="103"/>
      <c r="AB76" s="91"/>
      <c r="AC76" s="91"/>
      <c r="AD76" s="92" t="s">
        <v>778</v>
      </c>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t="e">
        <f t="shared" ref="AZ76:CF76" si="59">+AZ75/AV75-1</f>
        <v>#DIV/0!</v>
      </c>
      <c r="BA76" s="103" t="e">
        <f t="shared" si="59"/>
        <v>#DIV/0!</v>
      </c>
      <c r="BB76" s="103" t="e">
        <f t="shared" si="59"/>
        <v>#DIV/0!</v>
      </c>
      <c r="BC76" s="103" t="e">
        <f t="shared" si="59"/>
        <v>#DIV/0!</v>
      </c>
      <c r="BD76" s="103" t="e">
        <f t="shared" si="59"/>
        <v>#DIV/0!</v>
      </c>
      <c r="BE76" s="103" t="e">
        <f t="shared" si="59"/>
        <v>#DIV/0!</v>
      </c>
      <c r="BF76" s="103" t="e">
        <f t="shared" si="59"/>
        <v>#DIV/0!</v>
      </c>
      <c r="BG76" s="103" t="e">
        <f t="shared" si="59"/>
        <v>#DIV/0!</v>
      </c>
      <c r="BH76" s="103">
        <f t="shared" si="59"/>
        <v>-0.19338485423653273</v>
      </c>
      <c r="BI76" s="103">
        <f t="shared" si="59"/>
        <v>-0.13995631187013968</v>
      </c>
      <c r="BJ76" s="103">
        <f t="shared" si="59"/>
        <v>-3.00308723304058E-2</v>
      </c>
      <c r="BK76" s="103">
        <f t="shared" si="59"/>
        <v>0.22061472074741029</v>
      </c>
      <c r="BL76" s="103">
        <f t="shared" si="59"/>
        <v>0.1430997348434877</v>
      </c>
      <c r="BM76" s="103">
        <f t="shared" si="59"/>
        <v>8.9313879662665352E-2</v>
      </c>
      <c r="BN76" s="103">
        <f t="shared" si="59"/>
        <v>0.12977693805091883</v>
      </c>
      <c r="BO76" s="103">
        <f t="shared" si="59"/>
        <v>0.12867844316562538</v>
      </c>
      <c r="BP76" s="103">
        <f t="shared" si="59"/>
        <v>0.16003689330927484</v>
      </c>
      <c r="BQ76" s="103">
        <f t="shared" si="59"/>
        <v>0.17257062891877406</v>
      </c>
      <c r="BR76" s="103">
        <f t="shared" si="59"/>
        <v>0.10153624815616014</v>
      </c>
      <c r="BS76" s="103">
        <f t="shared" si="59"/>
        <v>-1.1511022607902821E-2</v>
      </c>
      <c r="BT76" s="103">
        <f t="shared" si="59"/>
        <v>0.15176163142298438</v>
      </c>
      <c r="BU76" s="103">
        <f t="shared" si="59"/>
        <v>8.314469470726471E-2</v>
      </c>
      <c r="BV76" s="103">
        <f t="shared" si="59"/>
        <v>0.10476263065763525</v>
      </c>
      <c r="BW76" s="103">
        <f t="shared" si="59"/>
        <v>0.20686644082312955</v>
      </c>
      <c r="BX76" s="103">
        <f t="shared" si="59"/>
        <v>6.9104704375538839E-2</v>
      </c>
      <c r="BY76" s="103">
        <f t="shared" si="59"/>
        <v>6.5478227437689496E-2</v>
      </c>
      <c r="BZ76" s="103">
        <f t="shared" si="59"/>
        <v>1.0183952155091713E-2</v>
      </c>
      <c r="CA76" s="103">
        <f t="shared" si="59"/>
        <v>-4.1256458753610281E-2</v>
      </c>
      <c r="CB76" s="103">
        <f t="shared" si="59"/>
        <v>-9.0082512575351159E-2</v>
      </c>
      <c r="CC76" s="103">
        <f t="shared" si="59"/>
        <v>-8.3332320061113685E-2</v>
      </c>
      <c r="CD76" s="103">
        <f t="shared" si="59"/>
        <v>-8.0330117383625832E-2</v>
      </c>
      <c r="CE76" s="103">
        <f t="shared" si="59"/>
        <v>-8.4623890100490984E-2</v>
      </c>
      <c r="CF76" s="103">
        <f t="shared" si="59"/>
        <v>-7.0708188207906697E-2</v>
      </c>
    </row>
    <row r="77" spans="1:84">
      <c r="A77" s="92" t="s">
        <v>620</v>
      </c>
      <c r="B77" s="97"/>
      <c r="C77" s="97"/>
      <c r="D77" s="97"/>
      <c r="E77" s="97"/>
      <c r="F77" s="97"/>
      <c r="G77" s="97"/>
      <c r="H77" s="97"/>
      <c r="I77" s="97"/>
      <c r="J77" s="97"/>
      <c r="K77" s="97"/>
      <c r="L77" s="97">
        <f t="shared" ref="L77:Z77" si="60">1000*L72/AVERAGE(K20:L20)/12</f>
        <v>30.797036422469375</v>
      </c>
      <c r="M77" s="97">
        <f t="shared" si="60"/>
        <v>29.99698177858798</v>
      </c>
      <c r="N77" s="97">
        <f t="shared" si="60"/>
        <v>32.248937828070822</v>
      </c>
      <c r="O77" s="97">
        <f t="shared" si="60"/>
        <v>28.901226346959209</v>
      </c>
      <c r="P77" s="97">
        <f t="shared" si="60"/>
        <v>27.099062693228376</v>
      </c>
      <c r="Q77" s="97">
        <f t="shared" si="60"/>
        <v>26.963502525030933</v>
      </c>
      <c r="R77" s="97">
        <f t="shared" ca="1" si="60"/>
        <v>25.680662590221356</v>
      </c>
      <c r="S77" s="97">
        <f t="shared" ca="1" si="60"/>
        <v>26.132493472397556</v>
      </c>
      <c r="T77" s="97">
        <f t="shared" ca="1" si="60"/>
        <v>26.170769473558455</v>
      </c>
      <c r="U77" s="97">
        <f t="shared" ca="1" si="60"/>
        <v>24.466573754147674</v>
      </c>
      <c r="V77" s="97">
        <f t="shared" ca="1" si="60"/>
        <v>25.565799647637693</v>
      </c>
      <c r="W77" s="97">
        <f t="shared" ca="1" si="60"/>
        <v>23.610154847258169</v>
      </c>
      <c r="X77" s="97">
        <f t="shared" ca="1" si="60"/>
        <v>25.505448519544572</v>
      </c>
      <c r="Y77" s="97">
        <f t="shared" ca="1" si="60"/>
        <v>25.642253927248689</v>
      </c>
      <c r="Z77" s="97">
        <f t="shared" ca="1" si="60"/>
        <v>26.054906465594922</v>
      </c>
      <c r="AA77" s="97"/>
      <c r="AB77" s="91"/>
      <c r="AC77" s="91"/>
      <c r="AD77" s="92" t="s">
        <v>779</v>
      </c>
      <c r="AE77" s="97"/>
      <c r="AF77" s="97"/>
      <c r="AG77" s="97"/>
      <c r="AH77" s="97"/>
      <c r="AI77" s="97"/>
      <c r="AJ77" s="97"/>
      <c r="AK77" s="97"/>
      <c r="AL77" s="97"/>
      <c r="AM77" s="97"/>
      <c r="AN77" s="97"/>
      <c r="AO77" s="97"/>
      <c r="AP77" s="97"/>
      <c r="AQ77" s="97"/>
      <c r="AR77" s="97"/>
      <c r="AS77" s="97"/>
      <c r="AT77" s="97"/>
      <c r="AU77" s="97"/>
      <c r="AV77" s="97"/>
      <c r="AW77" s="97"/>
      <c r="AX77" s="97"/>
      <c r="AY77" s="97"/>
      <c r="AZ77" s="97">
        <f t="shared" ref="AZ77:CF77" si="61">1000*AZ72/AVERAGE(AY20:AZ20)/3</f>
        <v>0</v>
      </c>
      <c r="BA77" s="97">
        <f t="shared" si="61"/>
        <v>0</v>
      </c>
      <c r="BB77" s="97">
        <f t="shared" si="61"/>
        <v>0</v>
      </c>
      <c r="BC77" s="97">
        <f t="shared" si="61"/>
        <v>0</v>
      </c>
      <c r="BD77" s="97">
        <f t="shared" si="61"/>
        <v>27.281059128875466</v>
      </c>
      <c r="BE77" s="97">
        <f t="shared" si="61"/>
        <v>27.945637373830902</v>
      </c>
      <c r="BF77" s="97">
        <f t="shared" si="61"/>
        <v>25.329826108653744</v>
      </c>
      <c r="BG77" s="97">
        <f t="shared" si="61"/>
        <v>21.224020617176514</v>
      </c>
      <c r="BH77" s="97">
        <f t="shared" si="61"/>
        <v>21.178908062606865</v>
      </c>
      <c r="BI77" s="97">
        <f t="shared" si="61"/>
        <v>23.066970059880244</v>
      </c>
      <c r="BJ77" s="97">
        <f t="shared" si="61"/>
        <v>23.622169503020022</v>
      </c>
      <c r="BK77" s="97">
        <f t="shared" si="61"/>
        <v>24.941425514128085</v>
      </c>
      <c r="BL77" s="97">
        <f t="shared" si="61"/>
        <v>23.563901723390881</v>
      </c>
      <c r="BM77" s="97">
        <f t="shared" si="61"/>
        <v>24.776730537022658</v>
      </c>
      <c r="BN77" s="97">
        <f t="shared" si="61"/>
        <v>26.471372129208934</v>
      </c>
      <c r="BO77" s="97">
        <f t="shared" si="61"/>
        <v>28.03738546806548</v>
      </c>
      <c r="BP77" s="97">
        <f t="shared" si="61"/>
        <v>27.129288919556814</v>
      </c>
      <c r="BQ77" s="97">
        <f t="shared" si="61"/>
        <v>28.559090254786245</v>
      </c>
      <c r="BR77" s="97">
        <f t="shared" si="61"/>
        <v>28.508953770067183</v>
      </c>
      <c r="BS77" s="97">
        <f t="shared" si="61"/>
        <v>27.132742546131656</v>
      </c>
      <c r="BT77" s="97">
        <f t="shared" si="61"/>
        <v>30.649389510111948</v>
      </c>
      <c r="BU77" s="97">
        <f t="shared" si="61"/>
        <v>30.337018256405756</v>
      </c>
      <c r="BV77" s="97">
        <f t="shared" si="61"/>
        <v>30.965314401494364</v>
      </c>
      <c r="BW77" s="97">
        <f t="shared" si="61"/>
        <v>32.687023111334987</v>
      </c>
      <c r="BX77" s="97">
        <f t="shared" si="61"/>
        <v>33.153497344466416</v>
      </c>
      <c r="BY77" s="97">
        <f t="shared" si="61"/>
        <v>32.713800422039959</v>
      </c>
      <c r="BZ77" s="97">
        <f t="shared" si="61"/>
        <v>31.499480580093248</v>
      </c>
      <c r="CA77" s="97">
        <f t="shared" si="61"/>
        <v>31.026352027673891</v>
      </c>
      <c r="CB77" s="97">
        <f t="shared" si="61"/>
        <v>29.455116842560273</v>
      </c>
      <c r="CC77" s="97">
        <f t="shared" si="61"/>
        <v>29.28042002207776</v>
      </c>
      <c r="CD77" s="97">
        <f t="shared" si="61"/>
        <v>28.408864272231899</v>
      </c>
      <c r="CE77" s="97">
        <f t="shared" si="61"/>
        <v>27.90831158443773</v>
      </c>
      <c r="CF77" s="97">
        <f t="shared" si="61"/>
        <v>26.958088625870136</v>
      </c>
    </row>
    <row r="78" spans="1:84">
      <c r="A78" s="92" t="s">
        <v>622</v>
      </c>
      <c r="B78" s="97"/>
      <c r="C78" s="97"/>
      <c r="D78" s="97"/>
      <c r="E78" s="97"/>
      <c r="F78" s="97"/>
      <c r="G78" s="97"/>
      <c r="H78" s="103"/>
      <c r="I78" s="103"/>
      <c r="J78" s="103"/>
      <c r="K78" s="103"/>
      <c r="L78" s="103"/>
      <c r="M78" s="103">
        <f t="shared" ref="M78:Z78" si="62">+M77/L77-1</f>
        <v>-2.5978299759313206E-2</v>
      </c>
      <c r="N78" s="103">
        <f t="shared" si="62"/>
        <v>7.5072754522599983E-2</v>
      </c>
      <c r="O78" s="103">
        <f t="shared" si="62"/>
        <v>-0.1038084261552833</v>
      </c>
      <c r="P78" s="103">
        <f t="shared" si="62"/>
        <v>-6.2355957913199256E-2</v>
      </c>
      <c r="Q78" s="103">
        <f t="shared" si="62"/>
        <v>-5.0023932462918141E-3</v>
      </c>
      <c r="R78" s="103">
        <f t="shared" ca="1" si="62"/>
        <v>-4.7576902652712971E-2</v>
      </c>
      <c r="S78" s="103">
        <f t="shared" ca="1" si="62"/>
        <v>1.7594206558683156E-2</v>
      </c>
      <c r="T78" s="103">
        <f t="shared" ca="1" si="62"/>
        <v>1.4646899730914598E-3</v>
      </c>
      <c r="U78" s="103">
        <f t="shared" ca="1" si="62"/>
        <v>-6.5118288597995067E-2</v>
      </c>
      <c r="V78" s="103">
        <f t="shared" ca="1" si="62"/>
        <v>4.4927659448175561E-2</v>
      </c>
      <c r="W78" s="103">
        <f t="shared" ca="1" si="62"/>
        <v>-7.6494568029685239E-2</v>
      </c>
      <c r="X78" s="103">
        <f t="shared" ca="1" si="62"/>
        <v>8.0274512579340485E-2</v>
      </c>
      <c r="Y78" s="103">
        <f t="shared" ca="1" si="62"/>
        <v>5.3637718858103867E-3</v>
      </c>
      <c r="Z78" s="103">
        <f t="shared" ca="1" si="62"/>
        <v>1.6092678105325442E-2</v>
      </c>
      <c r="AA78" s="103"/>
      <c r="AB78" s="91"/>
      <c r="AC78" s="91"/>
      <c r="AD78" s="92" t="s">
        <v>780</v>
      </c>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t="e">
        <f t="shared" ref="AZ78:CF78" si="63">+AZ77/AV77-1</f>
        <v>#DIV/0!</v>
      </c>
      <c r="BA78" s="103" t="e">
        <f t="shared" si="63"/>
        <v>#DIV/0!</v>
      </c>
      <c r="BB78" s="103" t="e">
        <f t="shared" si="63"/>
        <v>#DIV/0!</v>
      </c>
      <c r="BC78" s="103" t="e">
        <f t="shared" si="63"/>
        <v>#DIV/0!</v>
      </c>
      <c r="BD78" s="103" t="e">
        <f t="shared" si="63"/>
        <v>#DIV/0!</v>
      </c>
      <c r="BE78" s="103" t="e">
        <f t="shared" si="63"/>
        <v>#DIV/0!</v>
      </c>
      <c r="BF78" s="103" t="e">
        <f t="shared" si="63"/>
        <v>#DIV/0!</v>
      </c>
      <c r="BG78" s="103" t="e">
        <f t="shared" si="63"/>
        <v>#DIV/0!</v>
      </c>
      <c r="BH78" s="103">
        <f t="shared" si="63"/>
        <v>-0.22367720539888492</v>
      </c>
      <c r="BI78" s="103">
        <f t="shared" si="63"/>
        <v>-0.174577063628514</v>
      </c>
      <c r="BJ78" s="103">
        <f t="shared" si="63"/>
        <v>-6.7416830984493581E-2</v>
      </c>
      <c r="BK78" s="103">
        <f t="shared" si="63"/>
        <v>0.17515083329419179</v>
      </c>
      <c r="BL78" s="103">
        <f t="shared" si="63"/>
        <v>0.11261173870407992</v>
      </c>
      <c r="BM78" s="103">
        <f t="shared" si="63"/>
        <v>7.4121589125229592E-2</v>
      </c>
      <c r="BN78" s="103">
        <f t="shared" si="63"/>
        <v>0.12061562024710093</v>
      </c>
      <c r="BO78" s="103">
        <f t="shared" si="63"/>
        <v>0.12412923039157042</v>
      </c>
      <c r="BP78" s="103">
        <f t="shared" si="63"/>
        <v>0.15130716627572438</v>
      </c>
      <c r="BQ78" s="103">
        <f t="shared" si="63"/>
        <v>0.15265774118630349</v>
      </c>
      <c r="BR78" s="103">
        <f t="shared" si="63"/>
        <v>7.6973026970897029E-2</v>
      </c>
      <c r="BS78" s="103">
        <f t="shared" si="63"/>
        <v>-3.2265594913056694E-2</v>
      </c>
      <c r="BT78" s="103">
        <f t="shared" si="63"/>
        <v>0.12975277756054937</v>
      </c>
      <c r="BU78" s="103">
        <f t="shared" si="63"/>
        <v>6.2254364048642818E-2</v>
      </c>
      <c r="BV78" s="103">
        <f t="shared" si="63"/>
        <v>8.61610233486092E-2</v>
      </c>
      <c r="BW78" s="103">
        <f t="shared" si="63"/>
        <v>0.20470767213302632</v>
      </c>
      <c r="BX78" s="103">
        <f t="shared" si="63"/>
        <v>8.1701719818213725E-2</v>
      </c>
      <c r="BY78" s="103">
        <f t="shared" si="63"/>
        <v>7.8345938468502574E-2</v>
      </c>
      <c r="BZ78" s="103">
        <f t="shared" si="63"/>
        <v>1.7250468432934873E-2</v>
      </c>
      <c r="CA78" s="103">
        <f t="shared" si="63"/>
        <v>-5.0805210312505289E-2</v>
      </c>
      <c r="CB78" s="103">
        <f t="shared" si="63"/>
        <v>-0.11155325374815794</v>
      </c>
      <c r="CC78" s="103">
        <f t="shared" si="63"/>
        <v>-0.10495204946133563</v>
      </c>
      <c r="CD78" s="103">
        <f t="shared" si="63"/>
        <v>-9.8116421316944757E-2</v>
      </c>
      <c r="CE78" s="103">
        <f t="shared" si="63"/>
        <v>-0.10049652116546059</v>
      </c>
      <c r="CF78" s="103">
        <f t="shared" si="63"/>
        <v>-8.4774004803203851E-2</v>
      </c>
    </row>
    <row r="79" spans="1:84">
      <c r="B79" s="97"/>
      <c r="C79" s="97"/>
      <c r="D79" s="97"/>
      <c r="E79" s="97"/>
      <c r="F79" s="97"/>
      <c r="G79" s="97"/>
      <c r="H79" s="97"/>
      <c r="I79" s="97"/>
      <c r="J79" s="97"/>
      <c r="K79" s="97"/>
      <c r="L79" s="91"/>
      <c r="M79" s="97"/>
      <c r="N79" s="97"/>
      <c r="O79" s="97"/>
      <c r="P79" s="97"/>
      <c r="Q79" s="97"/>
      <c r="R79" s="97"/>
      <c r="S79" s="97"/>
      <c r="T79" s="97"/>
      <c r="U79" s="97"/>
      <c r="V79" s="97"/>
      <c r="W79" s="97"/>
      <c r="X79" s="97"/>
      <c r="Y79" s="97"/>
      <c r="Z79" s="97"/>
      <c r="AA79" s="97"/>
      <c r="AB79" s="91"/>
      <c r="AC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row>
    <row r="80" spans="1:84">
      <c r="A80" s="92" t="s">
        <v>599</v>
      </c>
      <c r="B80" s="97"/>
      <c r="C80" s="97"/>
      <c r="D80" s="97"/>
      <c r="E80" s="97"/>
      <c r="F80" s="97"/>
      <c r="G80" s="97"/>
      <c r="H80" s="103"/>
      <c r="I80" s="103"/>
      <c r="J80" s="103"/>
      <c r="K80" s="103"/>
      <c r="L80" s="103"/>
      <c r="M80" s="103">
        <f t="shared" ref="M80:Z80" si="64">+M54/L54-1</f>
        <v>8.0679249072420633E-2</v>
      </c>
      <c r="N80" s="103">
        <f t="shared" si="64"/>
        <v>0.18671597832556985</v>
      </c>
      <c r="O80" s="103">
        <f t="shared" si="64"/>
        <v>-6.5491928273564204E-2</v>
      </c>
      <c r="P80" s="103">
        <f t="shared" si="64"/>
        <v>7.2126616680621147E-3</v>
      </c>
      <c r="Q80" s="103">
        <f t="shared" si="64"/>
        <v>5.5153682642386848E-2</v>
      </c>
      <c r="R80" s="103">
        <f t="shared" si="64"/>
        <v>-5.0787443399553656E-3</v>
      </c>
      <c r="S80" s="103">
        <f t="shared" si="64"/>
        <v>4.933993428453487E-2</v>
      </c>
      <c r="T80" s="103">
        <f t="shared" ca="1" si="64"/>
        <v>1.7735762623214413E-2</v>
      </c>
      <c r="U80" s="103">
        <f t="shared" ca="1" si="64"/>
        <v>-4.6098484724071964E-2</v>
      </c>
      <c r="V80" s="103">
        <f t="shared" ca="1" si="64"/>
        <v>6.5872377470530541E-2</v>
      </c>
      <c r="W80" s="103">
        <f t="shared" ca="1" si="64"/>
        <v>-5.8689421961398036E-2</v>
      </c>
      <c r="X80" s="103">
        <f t="shared" ca="1" si="64"/>
        <v>0.10083355624623302</v>
      </c>
      <c r="Y80" s="103">
        <f t="shared" ca="1" si="64"/>
        <v>2.3934039650032268E-2</v>
      </c>
      <c r="Z80" s="103">
        <f t="shared" ca="1" si="64"/>
        <v>3.4421215696801344E-2</v>
      </c>
      <c r="AA80" s="103"/>
      <c r="AB80" s="91"/>
      <c r="AC80" s="91"/>
      <c r="AD80" s="92" t="s">
        <v>599</v>
      </c>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t="e">
        <f t="shared" ref="AZ80:CF82" si="65">+AZ53/AV53-1</f>
        <v>#DIV/0!</v>
      </c>
      <c r="BA80" s="103" t="e">
        <f t="shared" si="65"/>
        <v>#DIV/0!</v>
      </c>
      <c r="BB80" s="103" t="e">
        <f t="shared" si="65"/>
        <v>#DIV/0!</v>
      </c>
      <c r="BC80" s="103" t="e">
        <f t="shared" si="65"/>
        <v>#DIV/0!</v>
      </c>
      <c r="BD80" s="103" t="e">
        <f t="shared" si="65"/>
        <v>#DIV/0!</v>
      </c>
      <c r="BE80" s="103" t="e">
        <f t="shared" si="65"/>
        <v>#DIV/0!</v>
      </c>
      <c r="BF80" s="103" t="e">
        <f t="shared" si="65"/>
        <v>#DIV/0!</v>
      </c>
      <c r="BG80" s="103" t="e">
        <f t="shared" si="65"/>
        <v>#DIV/0!</v>
      </c>
      <c r="BH80" s="103" t="e">
        <f t="shared" si="65"/>
        <v>#DIV/0!</v>
      </c>
      <c r="BI80" s="103" t="e">
        <f t="shared" si="65"/>
        <v>#DIV/0!</v>
      </c>
      <c r="BJ80" s="103" t="e">
        <f t="shared" si="65"/>
        <v>#DIV/0!</v>
      </c>
      <c r="BK80" s="103" t="e">
        <f t="shared" si="65"/>
        <v>#DIV/0!</v>
      </c>
      <c r="BL80" s="103" t="e">
        <f t="shared" si="65"/>
        <v>#DIV/0!</v>
      </c>
      <c r="BM80" s="103" t="e">
        <f t="shared" si="65"/>
        <v>#DIV/0!</v>
      </c>
      <c r="BN80" s="103" t="e">
        <f t="shared" si="65"/>
        <v>#DIV/0!</v>
      </c>
      <c r="BO80" s="103" t="e">
        <f t="shared" si="65"/>
        <v>#DIV/0!</v>
      </c>
      <c r="BP80" s="103" t="e">
        <f t="shared" si="65"/>
        <v>#DIV/0!</v>
      </c>
      <c r="BQ80" s="103" t="e">
        <f t="shared" si="65"/>
        <v>#DIV/0!</v>
      </c>
      <c r="BR80" s="103" t="e">
        <f t="shared" si="65"/>
        <v>#DIV/0!</v>
      </c>
      <c r="BS80" s="103" t="e">
        <f t="shared" si="65"/>
        <v>#DIV/0!</v>
      </c>
      <c r="BT80" s="103" t="e">
        <f t="shared" si="65"/>
        <v>#DIV/0!</v>
      </c>
      <c r="BU80" s="103" t="e">
        <f t="shared" si="65"/>
        <v>#DIV/0!</v>
      </c>
      <c r="BV80" s="103" t="e">
        <f t="shared" si="65"/>
        <v>#DIV/0!</v>
      </c>
      <c r="BW80" s="103" t="e">
        <f t="shared" si="65"/>
        <v>#DIV/0!</v>
      </c>
      <c r="BX80" s="103" t="e">
        <f t="shared" si="65"/>
        <v>#DIV/0!</v>
      </c>
      <c r="BY80" s="103" t="e">
        <f t="shared" si="65"/>
        <v>#DIV/0!</v>
      </c>
      <c r="BZ80" s="103" t="e">
        <f t="shared" si="65"/>
        <v>#DIV/0!</v>
      </c>
      <c r="CA80" s="103" t="e">
        <f t="shared" si="65"/>
        <v>#DIV/0!</v>
      </c>
      <c r="CB80" s="103" t="e">
        <f t="shared" si="65"/>
        <v>#DIV/0!</v>
      </c>
      <c r="CC80" s="103" t="e">
        <f t="shared" si="65"/>
        <v>#DIV/0!</v>
      </c>
      <c r="CD80" s="103" t="e">
        <f t="shared" si="65"/>
        <v>#DIV/0!</v>
      </c>
      <c r="CE80" s="103" t="e">
        <f t="shared" si="65"/>
        <v>#DIV/0!</v>
      </c>
      <c r="CF80" s="103" t="e">
        <f t="shared" si="65"/>
        <v>#DIV/0!</v>
      </c>
    </row>
    <row r="81" spans="1:84">
      <c r="A81" s="92" t="s">
        <v>600</v>
      </c>
      <c r="B81" s="97"/>
      <c r="C81" s="97"/>
      <c r="D81" s="97"/>
      <c r="E81" s="97"/>
      <c r="F81" s="97"/>
      <c r="G81" s="97"/>
      <c r="H81" s="103"/>
      <c r="I81" s="103"/>
      <c r="J81" s="103"/>
      <c r="K81" s="103"/>
      <c r="L81" s="103"/>
      <c r="M81" s="103"/>
      <c r="N81" s="103"/>
      <c r="O81" s="103"/>
      <c r="P81" s="103"/>
      <c r="Q81" s="103"/>
      <c r="R81" s="103"/>
      <c r="S81" s="103"/>
      <c r="T81" s="103"/>
      <c r="U81" s="103"/>
      <c r="V81" s="103"/>
      <c r="W81" s="103"/>
      <c r="X81" s="103"/>
      <c r="Y81" s="103"/>
      <c r="Z81" s="103"/>
      <c r="AA81" s="103"/>
      <c r="AB81" s="91"/>
      <c r="AC81" s="91"/>
      <c r="AD81" s="92" t="s">
        <v>600</v>
      </c>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t="e">
        <f t="shared" si="65"/>
        <v>#DIV/0!</v>
      </c>
      <c r="BA81" s="103" t="e">
        <f t="shared" si="65"/>
        <v>#DIV/0!</v>
      </c>
      <c r="BB81" s="103" t="e">
        <f t="shared" si="65"/>
        <v>#DIV/0!</v>
      </c>
      <c r="BC81" s="103" t="e">
        <f t="shared" si="65"/>
        <v>#DIV/0!</v>
      </c>
      <c r="BD81" s="103" t="e">
        <f t="shared" si="65"/>
        <v>#DIV/0!</v>
      </c>
      <c r="BE81" s="103" t="e">
        <f t="shared" si="65"/>
        <v>#DIV/0!</v>
      </c>
      <c r="BF81" s="103" t="e">
        <f t="shared" si="65"/>
        <v>#DIV/0!</v>
      </c>
      <c r="BG81" s="103" t="e">
        <f t="shared" si="65"/>
        <v>#DIV/0!</v>
      </c>
      <c r="BH81" s="103">
        <f t="shared" si="65"/>
        <v>-0.16440250002091295</v>
      </c>
      <c r="BI81" s="103">
        <f t="shared" si="65"/>
        <v>-0.112855698583605</v>
      </c>
      <c r="BJ81" s="103">
        <f t="shared" si="65"/>
        <v>-1.8387925599027133E-3</v>
      </c>
      <c r="BK81" s="103">
        <f t="shared" si="65"/>
        <v>0.25462697350247598</v>
      </c>
      <c r="BL81" s="103">
        <f t="shared" si="65"/>
        <v>0.16783013881864073</v>
      </c>
      <c r="BM81" s="103">
        <f t="shared" si="65"/>
        <v>0.10815495098287853</v>
      </c>
      <c r="BN81" s="103">
        <f t="shared" si="65"/>
        <v>0.14474501454976152</v>
      </c>
      <c r="BO81" s="103">
        <f t="shared" si="65"/>
        <v>0.13737970869663774</v>
      </c>
      <c r="BP81" s="103">
        <f t="shared" si="65"/>
        <v>0.17451027841506894</v>
      </c>
      <c r="BQ81" s="103">
        <f t="shared" si="65"/>
        <v>0.19424265416143616</v>
      </c>
      <c r="BR81" s="103">
        <f t="shared" si="65"/>
        <v>0.12677641024340436</v>
      </c>
      <c r="BS81" s="103">
        <f t="shared" si="65"/>
        <v>1.5829277817654086E-2</v>
      </c>
      <c r="BT81" s="103">
        <f t="shared" si="65"/>
        <v>0.1869593610223641</v>
      </c>
      <c r="BU81" s="103">
        <f t="shared" si="65"/>
        <v>0.12604395465994966</v>
      </c>
      <c r="BV81" s="103">
        <f t="shared" si="65"/>
        <v>0.16952935444579764</v>
      </c>
      <c r="BW81" s="103">
        <f t="shared" si="65"/>
        <v>0.36605503439649789</v>
      </c>
      <c r="BX81" s="103">
        <f t="shared" si="65"/>
        <v>0.27552227039810817</v>
      </c>
      <c r="BY81" s="103">
        <f t="shared" si="65"/>
        <v>0.26961926961926919</v>
      </c>
      <c r="BZ81" s="103">
        <f t="shared" si="65"/>
        <v>0.17809734513274345</v>
      </c>
      <c r="CA81" s="103">
        <f t="shared" si="65"/>
        <v>4.9703752468729379E-2</v>
      </c>
      <c r="CB81" s="103">
        <f t="shared" si="65"/>
        <v>-7.2929542645241097E-2</v>
      </c>
      <c r="CC81" s="103">
        <f t="shared" si="65"/>
        <v>-6.2245658049806973E-2</v>
      </c>
      <c r="CD81" s="103">
        <f t="shared" si="65"/>
        <v>-6.1409396382099746E-2</v>
      </c>
      <c r="CE81" s="103">
        <f t="shared" si="65"/>
        <v>-6.5893189473206326E-2</v>
      </c>
      <c r="CF81" s="103">
        <f t="shared" si="65"/>
        <v>-4.1299424174017885E-2</v>
      </c>
    </row>
    <row r="82" spans="1:84">
      <c r="A82" s="92" t="s">
        <v>601</v>
      </c>
      <c r="B82" s="97"/>
      <c r="C82" s="97"/>
      <c r="D82" s="97"/>
      <c r="E82" s="97"/>
      <c r="F82" s="97"/>
      <c r="G82" s="97"/>
      <c r="H82" s="103"/>
      <c r="I82" s="103"/>
      <c r="J82" s="103"/>
      <c r="K82" s="103"/>
      <c r="L82" s="103"/>
      <c r="M82" s="103">
        <f t="shared" ref="M82:Z82" si="66">+M55/L55-1</f>
        <v>0.1692077717015803</v>
      </c>
      <c r="N82" s="103">
        <f t="shared" si="66"/>
        <v>0.14873008314584646</v>
      </c>
      <c r="O82" s="103">
        <f t="shared" si="66"/>
        <v>-6.4623195670365563E-2</v>
      </c>
      <c r="P82" s="103">
        <f t="shared" si="66"/>
        <v>0.20272176661968411</v>
      </c>
      <c r="Q82" s="103">
        <f t="shared" si="66"/>
        <v>5.6826110332462765E-2</v>
      </c>
      <c r="R82" s="103">
        <f t="shared" si="66"/>
        <v>-2.8727580740793068E-2</v>
      </c>
      <c r="S82" s="103">
        <f t="shared" si="66"/>
        <v>9.6654812858818495E-3</v>
      </c>
      <c r="T82" s="103">
        <f t="shared" ca="1" si="66"/>
        <v>6.1934204593214526E-2</v>
      </c>
      <c r="U82" s="103">
        <f t="shared" ca="1" si="66"/>
        <v>-4.6098484724072075E-2</v>
      </c>
      <c r="V82" s="103">
        <f t="shared" ca="1" si="66"/>
        <v>6.5872377470530763E-2</v>
      </c>
      <c r="W82" s="103">
        <f t="shared" ca="1" si="66"/>
        <v>-5.8689421961398036E-2</v>
      </c>
      <c r="X82" s="103">
        <f t="shared" ca="1" si="66"/>
        <v>0.1008335562462328</v>
      </c>
      <c r="Y82" s="103">
        <f t="shared" ca="1" si="66"/>
        <v>2.393403965003249E-2</v>
      </c>
      <c r="Z82" s="103">
        <f t="shared" ca="1" si="66"/>
        <v>3.4421215696801344E-2</v>
      </c>
      <c r="AA82" s="103"/>
      <c r="AB82" s="91"/>
      <c r="AC82" s="91"/>
      <c r="AD82" s="92" t="s">
        <v>601</v>
      </c>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03" t="e">
        <f t="shared" si="65"/>
        <v>#DIV/0!</v>
      </c>
      <c r="BA82" s="103" t="e">
        <f t="shared" si="65"/>
        <v>#DIV/0!</v>
      </c>
      <c r="BB82" s="103" t="e">
        <f t="shared" si="65"/>
        <v>#DIV/0!</v>
      </c>
      <c r="BC82" s="103" t="e">
        <f t="shared" si="65"/>
        <v>#DIV/0!</v>
      </c>
      <c r="BD82" s="103" t="e">
        <f t="shared" si="65"/>
        <v>#DIV/0!</v>
      </c>
      <c r="BE82" s="103" t="e">
        <f t="shared" si="65"/>
        <v>#DIV/0!</v>
      </c>
      <c r="BF82" s="103" t="e">
        <f t="shared" si="65"/>
        <v>#DIV/0!</v>
      </c>
      <c r="BG82" s="103" t="e">
        <f t="shared" si="65"/>
        <v>#DIV/0!</v>
      </c>
      <c r="BH82" s="103">
        <f t="shared" si="65"/>
        <v>-4.0192926045016231E-2</v>
      </c>
      <c r="BI82" s="103">
        <f t="shared" si="65"/>
        <v>1.765650080256842E-2</v>
      </c>
      <c r="BJ82" s="103">
        <f t="shared" si="65"/>
        <v>4.9248747913188673E-2</v>
      </c>
      <c r="BK82" s="103">
        <f t="shared" si="65"/>
        <v>0.12220309810671304</v>
      </c>
      <c r="BL82" s="103">
        <f t="shared" si="65"/>
        <v>0.10134003350083765</v>
      </c>
      <c r="BM82" s="103">
        <f t="shared" si="65"/>
        <v>0.1876971608832807</v>
      </c>
      <c r="BN82" s="103">
        <f t="shared" si="65"/>
        <v>0.26650755767700862</v>
      </c>
      <c r="BO82" s="103">
        <f t="shared" si="65"/>
        <v>0.2366574749610395</v>
      </c>
      <c r="BP82" s="103">
        <f t="shared" si="65"/>
        <v>0.19011406844106471</v>
      </c>
      <c r="BQ82" s="103">
        <f t="shared" si="65"/>
        <v>5.4448871181939085E-2</v>
      </c>
      <c r="BR82" s="103">
        <f t="shared" si="65"/>
        <v>3.1407035175879505E-2</v>
      </c>
      <c r="BS82" s="103">
        <f t="shared" si="65"/>
        <v>-8.4344139805875296E-3</v>
      </c>
      <c r="BT82" s="103">
        <f t="shared" si="65"/>
        <v>0.23591616613418509</v>
      </c>
      <c r="BU82" s="103">
        <f t="shared" si="65"/>
        <v>0.26349685138539036</v>
      </c>
      <c r="BV82" s="103">
        <f t="shared" si="65"/>
        <v>0.31949866017052386</v>
      </c>
      <c r="BW82" s="103">
        <f t="shared" si="65"/>
        <v>0.46385504346488249</v>
      </c>
      <c r="BX82" s="103">
        <f t="shared" si="65"/>
        <v>0.26732439641469963</v>
      </c>
      <c r="BY82" s="103">
        <f t="shared" si="65"/>
        <v>0.24649086214191773</v>
      </c>
      <c r="BZ82" s="103">
        <f t="shared" si="65"/>
        <v>0.11291784500147561</v>
      </c>
      <c r="CA82" s="103">
        <f t="shared" si="65"/>
        <v>1.5912219924769655E-3</v>
      </c>
      <c r="CB82" s="103">
        <f t="shared" si="65"/>
        <v>-0.10707510800523801</v>
      </c>
      <c r="CC82" s="103">
        <f t="shared" si="65"/>
        <v>-0.1063579751936794</v>
      </c>
      <c r="CD82" s="103">
        <f t="shared" si="65"/>
        <v>-6.1036298222450491E-2</v>
      </c>
      <c r="CE82" s="103">
        <f t="shared" si="65"/>
        <v>1.7387378016906929E-2</v>
      </c>
      <c r="CF82" s="103">
        <f t="shared" si="65"/>
        <v>0.166452254481819</v>
      </c>
    </row>
    <row r="84" spans="1:84" hidden="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row>
    <row r="85" spans="1:84" hidden="1">
      <c r="A85" s="92" t="s">
        <v>625</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2" t="s">
        <v>625</v>
      </c>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row>
    <row r="86" spans="1:84" hidden="1">
      <c r="A86" s="92" t="s">
        <v>626</v>
      </c>
      <c r="B86" s="91"/>
      <c r="C86" s="91"/>
      <c r="D86" s="91"/>
      <c r="E86" s="91"/>
      <c r="F86" s="91"/>
      <c r="G86" s="91"/>
      <c r="H86" s="91"/>
      <c r="I86" s="91"/>
      <c r="J86" s="91"/>
      <c r="K86" s="91"/>
      <c r="L86" s="91"/>
      <c r="M86" s="268">
        <f>VTR!M91/Forex!H$38+PR!M87</f>
        <v>468.09570188787893</v>
      </c>
      <c r="N86" s="268">
        <f>VTR!N91/Forex!I$38+PR!N87</f>
        <v>561.04506004642246</v>
      </c>
      <c r="O86" s="268">
        <f>VTR!O91/Forex!J$38+PR!O87</f>
        <v>529.59400798934757</v>
      </c>
      <c r="P86" s="268">
        <f>VTR!P91/Forex!K$38+PR!P87</f>
        <v>536.10704333583999</v>
      </c>
      <c r="Q86" s="268">
        <f>VTR!Q91/Forex!L$38+PR!Q87</f>
        <v>564.04703493862746</v>
      </c>
      <c r="R86" s="268">
        <f>VTR!R91/Forex!M$38+PR!R87</f>
        <v>546.6301060761059</v>
      </c>
      <c r="S86" s="268">
        <f ca="1">VTR!S91/Forex!N$38+PR!S87</f>
        <v>568.47979600885753</v>
      </c>
      <c r="T86" s="268">
        <f ca="1">VTR!T91/Forex!O$38+PR!T87</f>
        <v>584.64409749932474</v>
      </c>
      <c r="U86" s="268">
        <f ca="1">VTR!U91/Forex!P$38+PR!U87</f>
        <v>558.49797602264516</v>
      </c>
      <c r="V86" s="268">
        <f ca="1">VTR!V91/Forex!Q$38+PR!V87</f>
        <v>592.62712449609614</v>
      </c>
      <c r="W86" s="268">
        <f ca="1">VTR!W91/Forex!R$38+PR!W87</f>
        <v>559.36787925897261</v>
      </c>
      <c r="X86" s="268">
        <f ca="1">VTR!X91/Forex!S$38+PR!X87</f>
        <v>612.20324994295572</v>
      </c>
      <c r="Y86" s="268">
        <f ca="1">VTR!Y91/Forex!T$38+PR!Y87</f>
        <v>625.88198017276943</v>
      </c>
      <c r="Z86" s="268">
        <f ca="1">VTR!Z91/Forex!U$38+PR!Z87</f>
        <v>646.20912111394318</v>
      </c>
      <c r="AA86" s="268"/>
      <c r="AB86" s="91"/>
      <c r="AC86" s="91"/>
      <c r="AD86" s="92" t="s">
        <v>626</v>
      </c>
      <c r="AE86" s="91"/>
      <c r="AF86" s="91"/>
      <c r="AG86" s="91"/>
      <c r="AH86" s="91"/>
      <c r="AI86" s="91"/>
      <c r="AJ86" s="91"/>
      <c r="AK86" s="91"/>
      <c r="AL86" s="91"/>
      <c r="AM86" s="91"/>
      <c r="AN86" s="91"/>
      <c r="AO86" s="91"/>
      <c r="AP86" s="91"/>
      <c r="AQ86" s="91"/>
      <c r="AR86" s="91"/>
      <c r="AS86" s="246"/>
      <c r="AT86" s="246"/>
      <c r="AU86" s="246"/>
      <c r="AV86" s="246"/>
      <c r="AW86" s="246"/>
      <c r="AX86" s="246"/>
      <c r="AY86" s="246"/>
      <c r="AZ86" s="246">
        <v>0</v>
      </c>
      <c r="BA86" s="246">
        <v>0</v>
      </c>
      <c r="BB86" s="246">
        <v>0</v>
      </c>
      <c r="BC86" s="246">
        <v>0</v>
      </c>
      <c r="BD86" s="246">
        <v>0</v>
      </c>
      <c r="BE86" s="246">
        <v>0</v>
      </c>
      <c r="BF86" s="246">
        <v>0</v>
      </c>
      <c r="BG86" s="246">
        <v>0</v>
      </c>
      <c r="BH86" s="246">
        <v>0</v>
      </c>
      <c r="BI86" s="246">
        <v>0</v>
      </c>
      <c r="BJ86" s="246">
        <v>0</v>
      </c>
      <c r="BK86" s="246">
        <v>0</v>
      </c>
      <c r="BL86" s="246">
        <v>0</v>
      </c>
      <c r="BM86" s="246">
        <v>0</v>
      </c>
      <c r="BN86" s="246">
        <v>0</v>
      </c>
      <c r="BO86" s="246">
        <v>0</v>
      </c>
      <c r="BP86" s="246">
        <v>0</v>
      </c>
      <c r="BQ86" s="246">
        <v>0</v>
      </c>
      <c r="BR86" s="246">
        <v>0</v>
      </c>
      <c r="BS86" s="246">
        <v>0</v>
      </c>
      <c r="BT86" s="246">
        <v>0</v>
      </c>
      <c r="BU86" s="246">
        <v>0</v>
      </c>
      <c r="BV86" s="246">
        <v>0</v>
      </c>
      <c r="BW86" s="246">
        <v>0</v>
      </c>
      <c r="BX86" s="246">
        <v>141.8380040215896</v>
      </c>
      <c r="BY86" s="246">
        <v>142.14301899229596</v>
      </c>
      <c r="BZ86" s="246">
        <v>138.90797080003944</v>
      </c>
      <c r="CA86" s="246">
        <v>138.34612409097943</v>
      </c>
      <c r="CB86" s="246">
        <v>133.15411950084217</v>
      </c>
      <c r="CC86" s="246">
        <v>134.99111215273393</v>
      </c>
      <c r="CD86" s="246">
        <v>131.81186945160675</v>
      </c>
      <c r="CE86" s="246">
        <v>129.86195385206597</v>
      </c>
      <c r="CF86" s="246">
        <v>127.2958454075343</v>
      </c>
    </row>
    <row r="87" spans="1:84" hidden="1">
      <c r="A87" s="92" t="s">
        <v>627</v>
      </c>
      <c r="B87" s="91"/>
      <c r="C87" s="91"/>
      <c r="D87" s="91"/>
      <c r="E87" s="91"/>
      <c r="F87" s="91"/>
      <c r="G87" s="91"/>
      <c r="H87" s="91"/>
      <c r="I87" s="91"/>
      <c r="J87" s="91"/>
      <c r="K87" s="91"/>
      <c r="L87" s="91"/>
      <c r="M87" s="268">
        <f>VTR!M92/Forex!H$38+PR!M88</f>
        <v>309.75061489737999</v>
      </c>
      <c r="N87" s="268">
        <f>VTR!N92/Forex!I$38+PR!N88</f>
        <v>384.86139872842875</v>
      </c>
      <c r="O87" s="268">
        <f>VTR!O92/Forex!J$38+PR!O88</f>
        <v>379.87757376130071</v>
      </c>
      <c r="P87" s="268">
        <f>VTR!P92/Forex!K$38+PR!P88</f>
        <v>377.49491946363185</v>
      </c>
      <c r="Q87" s="268">
        <f>VTR!Q92/Forex!L$38+PR!Q88</f>
        <v>396.0947137526706</v>
      </c>
      <c r="R87" s="268">
        <f>VTR!R92/Forex!M$38+PR!R88</f>
        <v>388.82545640335826</v>
      </c>
      <c r="S87" s="268">
        <f ca="1">VTR!S92/Forex!N$38+PR!S88</f>
        <v>405.11532940168672</v>
      </c>
      <c r="T87" s="268">
        <f ca="1">VTR!T92/Forex!O$38+PR!T88</f>
        <v>413.42367542781972</v>
      </c>
      <c r="U87" s="268">
        <f ca="1">VTR!U92/Forex!P$38+PR!U88</f>
        <v>393.71367146861326</v>
      </c>
      <c r="V87" s="268">
        <f ca="1">VTR!V92/Forex!Q$38+PR!V88</f>
        <v>418.70532309683659</v>
      </c>
      <c r="W87" s="268">
        <f ca="1">VTR!W92/Forex!R$38+PR!W88</f>
        <v>393.76286322800388</v>
      </c>
      <c r="X87" s="268">
        <f ca="1">VTR!X92/Forex!S$38+PR!X88</f>
        <v>432.66018792932437</v>
      </c>
      <c r="Y87" s="268">
        <f ca="1">VTR!Y92/Forex!T$38+PR!Y88</f>
        <v>442.5498477156209</v>
      </c>
      <c r="Z87" s="268">
        <f ca="1">VTR!Z92/Forex!U$38+PR!Z88</f>
        <v>457.38578416035932</v>
      </c>
      <c r="AA87" s="268"/>
      <c r="AB87" s="91"/>
      <c r="AC87" s="91"/>
      <c r="AD87" s="92" t="s">
        <v>627</v>
      </c>
      <c r="AE87" s="91"/>
      <c r="AF87" s="91"/>
      <c r="AG87" s="91"/>
      <c r="AH87" s="91"/>
      <c r="AI87" s="91"/>
      <c r="AJ87" s="91"/>
      <c r="AK87" s="91"/>
      <c r="AL87" s="91"/>
      <c r="AM87" s="91"/>
      <c r="AN87" s="91"/>
      <c r="AO87" s="91"/>
      <c r="AP87" s="91"/>
      <c r="AQ87" s="91"/>
      <c r="AR87" s="91"/>
      <c r="AS87" s="246"/>
      <c r="AT87" s="246"/>
      <c r="AU87" s="246"/>
      <c r="AV87" s="246"/>
      <c r="AW87" s="246"/>
      <c r="AX87" s="246"/>
      <c r="AY87" s="246"/>
      <c r="AZ87" s="246">
        <v>0</v>
      </c>
      <c r="BA87" s="246">
        <v>0</v>
      </c>
      <c r="BB87" s="246">
        <v>0</v>
      </c>
      <c r="BC87" s="246">
        <v>0</v>
      </c>
      <c r="BD87" s="246">
        <v>0</v>
      </c>
      <c r="BE87" s="246">
        <v>0</v>
      </c>
      <c r="BF87" s="246">
        <v>0</v>
      </c>
      <c r="BG87" s="246">
        <v>0</v>
      </c>
      <c r="BH87" s="246">
        <v>0</v>
      </c>
      <c r="BI87" s="246">
        <v>0</v>
      </c>
      <c r="BJ87" s="246">
        <v>0</v>
      </c>
      <c r="BK87" s="246">
        <v>0</v>
      </c>
      <c r="BL87" s="246">
        <v>0</v>
      </c>
      <c r="BM87" s="246">
        <v>0</v>
      </c>
      <c r="BN87" s="246">
        <v>0</v>
      </c>
      <c r="BO87" s="246">
        <v>0</v>
      </c>
      <c r="BP87" s="246">
        <v>0</v>
      </c>
      <c r="BQ87" s="246">
        <v>0</v>
      </c>
      <c r="BR87" s="246">
        <v>0</v>
      </c>
      <c r="BS87" s="246">
        <v>0</v>
      </c>
      <c r="BT87" s="246">
        <v>0</v>
      </c>
      <c r="BU87" s="246">
        <v>0</v>
      </c>
      <c r="BV87" s="246">
        <v>0</v>
      </c>
      <c r="BW87" s="246">
        <v>0</v>
      </c>
      <c r="BX87" s="246">
        <v>95.200275161392739</v>
      </c>
      <c r="BY87" s="246">
        <v>97.050479957154039</v>
      </c>
      <c r="BZ87" s="246">
        <v>96.199901351484655</v>
      </c>
      <c r="CA87" s="246">
        <v>96.415054928052001</v>
      </c>
      <c r="CB87" s="246">
        <v>94.129954901925259</v>
      </c>
      <c r="CC87" s="246">
        <v>96.271508410102939</v>
      </c>
      <c r="CD87" s="246">
        <v>95.011917905411252</v>
      </c>
      <c r="CE87" s="246">
        <v>94.537613406626463</v>
      </c>
      <c r="CF87" s="246">
        <v>93.321759177726904</v>
      </c>
    </row>
    <row r="88" spans="1:84" hidden="1">
      <c r="A88" s="92" t="s">
        <v>628</v>
      </c>
      <c r="B88" s="91"/>
      <c r="C88" s="91"/>
      <c r="D88" s="91"/>
      <c r="E88" s="91"/>
      <c r="F88" s="91"/>
      <c r="G88" s="91"/>
      <c r="H88" s="91"/>
      <c r="I88" s="91"/>
      <c r="J88" s="91"/>
      <c r="K88" s="91"/>
      <c r="L88" s="91"/>
      <c r="M88" s="269">
        <f>VTR!M93/Forex!H$38+PR!M89</f>
        <v>204.92179903755195</v>
      </c>
      <c r="N88" s="269">
        <f>VTR!N93/Forex!I$38+PR!N89</f>
        <v>218.01365425370875</v>
      </c>
      <c r="O88" s="269">
        <f>VTR!O93/Forex!J$38+PR!O89</f>
        <v>188.33572079332819</v>
      </c>
      <c r="P88" s="269">
        <f>VTR!P93/Forex!K$38+PR!P89</f>
        <v>180.02407068606854</v>
      </c>
      <c r="Q88" s="269">
        <f>VTR!Q93/Forex!L$38+PR!Q89</f>
        <v>186.96653923109298</v>
      </c>
      <c r="R88" s="269">
        <f>VTR!R93/Forex!M$38+PR!R89</f>
        <v>192.46525098552422</v>
      </c>
      <c r="S88" s="269">
        <f ca="1">VTR!S93/Forex!N$38+PR!S89</f>
        <v>201.85750061680221</v>
      </c>
      <c r="T88" s="269">
        <f ca="1">VTR!T93/Forex!O$38+PR!T89</f>
        <v>200.30266243941378</v>
      </c>
      <c r="U88" s="269">
        <f ca="1">VTR!U93/Forex!P$38+PR!U89</f>
        <v>188.57066071644724</v>
      </c>
      <c r="V88" s="269">
        <f ca="1">VTR!V93/Forex!Q$38+PR!V89</f>
        <v>202.21199162318456</v>
      </c>
      <c r="W88" s="269">
        <f ca="1">VTR!W93/Forex!R$38+PR!W89</f>
        <v>187.58293726857593</v>
      </c>
      <c r="X88" s="269">
        <f ca="1">VTR!X93/Forex!S$38+PR!X89</f>
        <v>209.17301247433176</v>
      </c>
      <c r="Y88" s="269">
        <f ca="1">VTR!Y93/Forex!T$38+PR!Y89</f>
        <v>214.35223870949216</v>
      </c>
      <c r="Z88" s="269">
        <f ca="1">VTR!Z93/Forex!U$38+PR!Z89</f>
        <v>222.36571427594373</v>
      </c>
      <c r="AA88" s="269"/>
      <c r="AB88" s="91"/>
      <c r="AC88" s="91"/>
      <c r="AD88" s="92" t="s">
        <v>628</v>
      </c>
      <c r="AE88" s="91"/>
      <c r="AF88" s="91"/>
      <c r="AG88" s="91"/>
      <c r="AH88" s="91"/>
      <c r="AI88" s="91"/>
      <c r="AJ88" s="91"/>
      <c r="AK88" s="91"/>
      <c r="AL88" s="91"/>
      <c r="AM88" s="91"/>
      <c r="AN88" s="91"/>
      <c r="AO88" s="91"/>
      <c r="AP88" s="91"/>
      <c r="AQ88" s="91"/>
      <c r="AR88" s="91"/>
      <c r="AS88" s="246"/>
      <c r="AT88" s="246"/>
      <c r="AU88" s="246"/>
      <c r="AV88" s="246"/>
      <c r="AW88" s="246"/>
      <c r="AX88" s="246"/>
      <c r="AY88" s="246"/>
      <c r="AZ88" s="246">
        <v>0</v>
      </c>
      <c r="BA88" s="246">
        <v>0</v>
      </c>
      <c r="BB88" s="246">
        <v>0</v>
      </c>
      <c r="BC88" s="246">
        <v>0</v>
      </c>
      <c r="BD88" s="246">
        <v>0</v>
      </c>
      <c r="BE88" s="246">
        <v>0</v>
      </c>
      <c r="BF88" s="246">
        <v>0</v>
      </c>
      <c r="BG88" s="246">
        <v>0</v>
      </c>
      <c r="BH88" s="246">
        <v>0</v>
      </c>
      <c r="BI88" s="246">
        <v>0</v>
      </c>
      <c r="BJ88" s="246">
        <v>0</v>
      </c>
      <c r="BK88" s="246">
        <v>0</v>
      </c>
      <c r="BL88" s="246">
        <v>0</v>
      </c>
      <c r="BM88" s="246">
        <v>0</v>
      </c>
      <c r="BN88" s="246">
        <v>0</v>
      </c>
      <c r="BO88" s="246">
        <v>0</v>
      </c>
      <c r="BP88" s="246">
        <v>0</v>
      </c>
      <c r="BQ88" s="246">
        <v>0</v>
      </c>
      <c r="BR88" s="246">
        <v>0</v>
      </c>
      <c r="BS88" s="246">
        <v>0</v>
      </c>
      <c r="BT88" s="246">
        <v>0</v>
      </c>
      <c r="BU88" s="246">
        <v>0</v>
      </c>
      <c r="BV88" s="246">
        <v>0</v>
      </c>
      <c r="BW88" s="246">
        <v>0</v>
      </c>
      <c r="BX88" s="246">
        <v>55.994062863795115</v>
      </c>
      <c r="BY88" s="246">
        <v>56.013685988546946</v>
      </c>
      <c r="BZ88" s="246">
        <v>53.570208148367364</v>
      </c>
      <c r="CA88" s="246">
        <v>52.664211666408796</v>
      </c>
      <c r="CB88" s="246">
        <v>48.694622643218082</v>
      </c>
      <c r="CC88" s="246">
        <v>47.602635706430611</v>
      </c>
      <c r="CD88" s="246">
        <v>46.928290099849441</v>
      </c>
      <c r="CE88" s="246">
        <v>45.260438422081506</v>
      </c>
      <c r="CF88" s="246">
        <v>41.601279198219686</v>
      </c>
    </row>
    <row r="89" spans="1:84" hidden="1">
      <c r="A89" s="92" t="s">
        <v>629</v>
      </c>
      <c r="B89" s="91"/>
      <c r="C89" s="91"/>
      <c r="D89" s="91"/>
      <c r="E89" s="91"/>
      <c r="F89" s="91"/>
      <c r="G89" s="91"/>
      <c r="H89" s="91"/>
      <c r="I89" s="91"/>
      <c r="J89" s="91"/>
      <c r="K89" s="91"/>
      <c r="L89" s="91"/>
      <c r="M89" s="116">
        <f>VTR!M94/Forex!H$38+PR!M90</f>
        <v>982.76811582281084</v>
      </c>
      <c r="N89" s="116">
        <f>VTR!N94/Forex!I$38+PR!N90</f>
        <v>1163.9201130285601</v>
      </c>
      <c r="O89" s="116">
        <f>VTR!O94/Forex!J$38+PR!O90</f>
        <v>1097.8073025439764</v>
      </c>
      <c r="P89" s="116">
        <f>VTR!P94/Forex!K$38+PR!P90</f>
        <v>1093.6260334855403</v>
      </c>
      <c r="Q89" s="116">
        <f>VTR!Q94/Forex!L$38+PR!Q90</f>
        <v>1147.1082879223909</v>
      </c>
      <c r="R89" s="116">
        <f>VTR!R94/Forex!M$38+PR!R90</f>
        <v>1127.9208134649884</v>
      </c>
      <c r="S89" s="116">
        <f ca="1">VTR!S94/Forex!N$38+PR!S90</f>
        <v>1175.4526260273465</v>
      </c>
      <c r="T89" s="116">
        <f ca="1">VTR!T94/Forex!O$38+PR!T90</f>
        <v>1198.3704353665582</v>
      </c>
      <c r="U89" s="116">
        <f ca="1">VTR!U94/Forex!P$38+PR!U90</f>
        <v>1140.7823082077057</v>
      </c>
      <c r="V89" s="116">
        <f ca="1">VTR!V94/Forex!Q$38+PR!V90</f>
        <v>1213.5444392161171</v>
      </c>
      <c r="W89" s="116">
        <f ca="1">VTR!W94/Forex!R$38+PR!W90</f>
        <v>1140.7136797555524</v>
      </c>
      <c r="X89" s="116">
        <f ca="1">VTR!X94/Forex!S$38+PR!X90</f>
        <v>1254.0364503466119</v>
      </c>
      <c r="Y89" s="116">
        <f ca="1">VTR!Y94/Forex!T$38+PR!Y90</f>
        <v>1282.7840665978824</v>
      </c>
      <c r="Z89" s="116">
        <f ca="1">VTR!Z94/Forex!U$38+PR!Z90</f>
        <v>1325.9606195502463</v>
      </c>
      <c r="AA89" s="116"/>
      <c r="AB89" s="91"/>
      <c r="AC89" s="91"/>
      <c r="AD89" s="92" t="s">
        <v>629</v>
      </c>
      <c r="AE89" s="91"/>
      <c r="AF89" s="91"/>
      <c r="AG89" s="91"/>
      <c r="AH89" s="91"/>
      <c r="AI89" s="91"/>
      <c r="AJ89" s="91"/>
      <c r="AK89" s="91"/>
      <c r="AL89" s="91"/>
      <c r="AM89" s="91"/>
      <c r="AN89" s="91"/>
      <c r="AO89" s="91"/>
      <c r="AP89" s="91"/>
      <c r="AQ89" s="91"/>
      <c r="AR89" s="91"/>
      <c r="AS89" s="246"/>
      <c r="AT89" s="246"/>
      <c r="AU89" s="246"/>
      <c r="AV89" s="246"/>
      <c r="AW89" s="246"/>
      <c r="AX89" s="246"/>
      <c r="AY89" s="246"/>
      <c r="AZ89" s="246">
        <v>0</v>
      </c>
      <c r="BA89" s="246">
        <v>0</v>
      </c>
      <c r="BB89" s="246">
        <v>0</v>
      </c>
      <c r="BC89" s="246">
        <v>0</v>
      </c>
      <c r="BD89" s="246">
        <v>0</v>
      </c>
      <c r="BE89" s="246">
        <v>0</v>
      </c>
      <c r="BF89" s="246">
        <v>0</v>
      </c>
      <c r="BG89" s="246">
        <v>0</v>
      </c>
      <c r="BH89" s="246">
        <v>0</v>
      </c>
      <c r="BI89" s="246">
        <v>0</v>
      </c>
      <c r="BJ89" s="246">
        <v>0</v>
      </c>
      <c r="BK89" s="246">
        <v>0</v>
      </c>
      <c r="BL89" s="246">
        <v>0</v>
      </c>
      <c r="BM89" s="246">
        <v>0</v>
      </c>
      <c r="BN89" s="246">
        <v>0</v>
      </c>
      <c r="BO89" s="246">
        <v>0</v>
      </c>
      <c r="BP89" s="246">
        <v>0</v>
      </c>
      <c r="BQ89" s="246">
        <v>0</v>
      </c>
      <c r="BR89" s="246">
        <v>0</v>
      </c>
      <c r="BS89" s="246">
        <v>0</v>
      </c>
      <c r="BT89" s="246">
        <v>0</v>
      </c>
      <c r="BU89" s="246">
        <v>0</v>
      </c>
      <c r="BV89" s="246">
        <v>0</v>
      </c>
      <c r="BW89" s="246">
        <v>0</v>
      </c>
      <c r="BX89" s="246">
        <v>293.03234204677744</v>
      </c>
      <c r="BY89" s="246">
        <v>295.207184937997</v>
      </c>
      <c r="BZ89" s="246">
        <v>288.67808029989146</v>
      </c>
      <c r="CA89" s="246">
        <v>287.42539068544022</v>
      </c>
      <c r="CB89" s="246">
        <v>275.97869704598554</v>
      </c>
      <c r="CC89" s="246">
        <v>278.86525626926749</v>
      </c>
      <c r="CD89" s="246">
        <v>273.75207745686748</v>
      </c>
      <c r="CE89" s="246">
        <v>269.66000568077391</v>
      </c>
      <c r="CF89" s="246">
        <v>262.21888378348086</v>
      </c>
    </row>
    <row r="90" spans="1:84" hidden="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row>
    <row r="91" spans="1:84" hidden="1">
      <c r="A91" s="92" t="s">
        <v>630</v>
      </c>
      <c r="B91" s="91"/>
      <c r="C91" s="91"/>
      <c r="D91" s="91"/>
      <c r="E91" s="91"/>
      <c r="F91" s="91"/>
      <c r="G91" s="91"/>
      <c r="H91" s="91"/>
      <c r="I91" s="91"/>
      <c r="J91" s="91"/>
      <c r="K91" s="91"/>
      <c r="L91" s="91"/>
      <c r="M91" s="103"/>
      <c r="N91" s="103">
        <f t="shared" ref="N91:Z94" si="67">N86/M86-1</f>
        <v>0.1985691340118465</v>
      </c>
      <c r="O91" s="103">
        <f t="shared" si="67"/>
        <v>-5.605797875570373E-2</v>
      </c>
      <c r="P91" s="103">
        <f t="shared" si="67"/>
        <v>1.2298166611098393E-2</v>
      </c>
      <c r="Q91" s="103">
        <f t="shared" si="67"/>
        <v>5.2116441949606518E-2</v>
      </c>
      <c r="R91" s="103">
        <f t="shared" si="67"/>
        <v>-3.0878504421916975E-2</v>
      </c>
      <c r="S91" s="103">
        <f t="shared" ca="1" si="67"/>
        <v>3.9971618265953301E-2</v>
      </c>
      <c r="T91" s="103">
        <f t="shared" ca="1" si="67"/>
        <v>2.8434258532937129E-2</v>
      </c>
      <c r="U91" s="103">
        <f t="shared" ca="1" si="67"/>
        <v>-4.4721432386837345E-2</v>
      </c>
      <c r="V91" s="103">
        <f t="shared" ca="1" si="67"/>
        <v>6.1108813171539822E-2</v>
      </c>
      <c r="W91" s="103">
        <f t="shared" ca="1" si="67"/>
        <v>-5.6121705980642478E-2</v>
      </c>
      <c r="X91" s="103">
        <f t="shared" ca="1" si="67"/>
        <v>9.4455496361316227E-2</v>
      </c>
      <c r="Y91" s="103">
        <f t="shared" ca="1" si="67"/>
        <v>2.2343445957021979E-2</v>
      </c>
      <c r="Z91" s="103">
        <f t="shared" ca="1" si="67"/>
        <v>3.2477594155311262E-2</v>
      </c>
      <c r="AA91" s="103"/>
      <c r="AB91" s="91"/>
      <c r="AC91" s="91"/>
      <c r="AD91" s="92" t="s">
        <v>630</v>
      </c>
      <c r="AE91" s="91"/>
      <c r="AF91" s="91"/>
      <c r="AG91" s="91"/>
      <c r="AH91" s="91"/>
      <c r="AI91" s="91"/>
      <c r="AJ91" s="91"/>
      <c r="AK91" s="91"/>
      <c r="AL91" s="91"/>
      <c r="AM91" s="91"/>
      <c r="AN91" s="91"/>
      <c r="AO91" s="91"/>
      <c r="AP91" s="91"/>
      <c r="AQ91" s="91"/>
      <c r="AR91" s="91"/>
      <c r="AS91" s="103"/>
      <c r="AT91" s="103"/>
      <c r="AU91" s="103"/>
      <c r="AV91" s="103"/>
      <c r="AW91" s="103"/>
      <c r="AX91" s="103"/>
      <c r="AY91" s="103"/>
      <c r="AZ91" s="103" t="e">
        <f t="shared" ref="AZ91:CD94" si="68">AZ86/AV86-1</f>
        <v>#DIV/0!</v>
      </c>
      <c r="BA91" s="103" t="e">
        <f t="shared" si="68"/>
        <v>#DIV/0!</v>
      </c>
      <c r="BB91" s="103" t="e">
        <f t="shared" si="68"/>
        <v>#DIV/0!</v>
      </c>
      <c r="BC91" s="103" t="e">
        <f t="shared" si="68"/>
        <v>#DIV/0!</v>
      </c>
      <c r="BD91" s="103" t="e">
        <f t="shared" si="68"/>
        <v>#DIV/0!</v>
      </c>
      <c r="BE91" s="103" t="e">
        <f t="shared" si="68"/>
        <v>#DIV/0!</v>
      </c>
      <c r="BF91" s="103" t="e">
        <f t="shared" si="68"/>
        <v>#DIV/0!</v>
      </c>
      <c r="BG91" s="103" t="e">
        <f t="shared" si="68"/>
        <v>#DIV/0!</v>
      </c>
      <c r="BH91" s="103" t="e">
        <f t="shared" si="68"/>
        <v>#DIV/0!</v>
      </c>
      <c r="BI91" s="103" t="e">
        <f t="shared" si="68"/>
        <v>#DIV/0!</v>
      </c>
      <c r="BJ91" s="103" t="e">
        <f t="shared" si="68"/>
        <v>#DIV/0!</v>
      </c>
      <c r="BK91" s="103" t="e">
        <f t="shared" si="68"/>
        <v>#DIV/0!</v>
      </c>
      <c r="BL91" s="103" t="e">
        <f t="shared" si="68"/>
        <v>#DIV/0!</v>
      </c>
      <c r="BM91" s="103" t="e">
        <f t="shared" si="68"/>
        <v>#DIV/0!</v>
      </c>
      <c r="BN91" s="103" t="e">
        <f t="shared" si="68"/>
        <v>#DIV/0!</v>
      </c>
      <c r="BO91" s="103" t="e">
        <f t="shared" si="68"/>
        <v>#DIV/0!</v>
      </c>
      <c r="BP91" s="103" t="e">
        <f t="shared" si="68"/>
        <v>#DIV/0!</v>
      </c>
      <c r="BQ91" s="103" t="e">
        <f t="shared" si="68"/>
        <v>#DIV/0!</v>
      </c>
      <c r="BR91" s="103" t="e">
        <f t="shared" si="68"/>
        <v>#DIV/0!</v>
      </c>
      <c r="BS91" s="103" t="e">
        <f t="shared" si="68"/>
        <v>#DIV/0!</v>
      </c>
      <c r="BT91" s="103" t="e">
        <f t="shared" si="68"/>
        <v>#DIV/0!</v>
      </c>
      <c r="BU91" s="103" t="e">
        <f t="shared" si="68"/>
        <v>#DIV/0!</v>
      </c>
      <c r="BV91" s="103" t="e">
        <f t="shared" si="68"/>
        <v>#DIV/0!</v>
      </c>
      <c r="BW91" s="103" t="e">
        <f t="shared" si="68"/>
        <v>#DIV/0!</v>
      </c>
      <c r="BX91" s="103" t="e">
        <f t="shared" si="68"/>
        <v>#DIV/0!</v>
      </c>
      <c r="BY91" s="103" t="e">
        <f t="shared" si="68"/>
        <v>#DIV/0!</v>
      </c>
      <c r="BZ91" s="103" t="e">
        <f t="shared" si="68"/>
        <v>#DIV/0!</v>
      </c>
      <c r="CA91" s="103" t="e">
        <f t="shared" si="68"/>
        <v>#DIV/0!</v>
      </c>
      <c r="CB91" s="103">
        <f t="shared" si="68"/>
        <v>-6.122396166422106E-2</v>
      </c>
      <c r="CC91" s="103">
        <f t="shared" si="68"/>
        <v>-5.0314865198899827E-2</v>
      </c>
      <c r="CD91" s="103">
        <f t="shared" si="68"/>
        <v>-5.1084911165016234E-2</v>
      </c>
      <c r="CE91" s="103">
        <f>CE86/CA86-1</f>
        <v>-6.1325680749350742E-2</v>
      </c>
      <c r="CF91" s="103">
        <f>CF86/CB86-1</f>
        <v>-4.3996191145034835E-2</v>
      </c>
    </row>
    <row r="92" spans="1:84" hidden="1">
      <c r="A92" s="92" t="s">
        <v>631</v>
      </c>
      <c r="B92" s="91"/>
      <c r="C92" s="91"/>
      <c r="D92" s="91"/>
      <c r="E92" s="91"/>
      <c r="F92" s="91"/>
      <c r="G92" s="91"/>
      <c r="H92" s="91"/>
      <c r="I92" s="91"/>
      <c r="J92" s="91"/>
      <c r="K92" s="91"/>
      <c r="L92" s="91"/>
      <c r="M92" s="103"/>
      <c r="N92" s="103">
        <f t="shared" si="67"/>
        <v>0.24248792486153059</v>
      </c>
      <c r="O92" s="103">
        <f t="shared" si="67"/>
        <v>-1.2949661835649051E-2</v>
      </c>
      <c r="P92" s="103">
        <f t="shared" si="67"/>
        <v>-6.272163618603166E-3</v>
      </c>
      <c r="Q92" s="103">
        <f t="shared" si="67"/>
        <v>4.9271641365310259E-2</v>
      </c>
      <c r="R92" s="103">
        <f t="shared" si="67"/>
        <v>-1.8352321040697839E-2</v>
      </c>
      <c r="S92" s="103">
        <f t="shared" ca="1" si="67"/>
        <v>4.1895078447306444E-2</v>
      </c>
      <c r="T92" s="103">
        <f t="shared" ca="1" si="67"/>
        <v>2.050859452394338E-2</v>
      </c>
      <c r="U92" s="103">
        <f t="shared" ca="1" si="67"/>
        <v>-4.7675073128819023E-2</v>
      </c>
      <c r="V92" s="103">
        <f t="shared" ca="1" si="67"/>
        <v>6.3476717826436158E-2</v>
      </c>
      <c r="W92" s="103">
        <f t="shared" ca="1" si="67"/>
        <v>-5.9570438905225287E-2</v>
      </c>
      <c r="X92" s="103">
        <f t="shared" ca="1" si="67"/>
        <v>9.8783629269775686E-2</v>
      </c>
      <c r="Y92" s="103">
        <f t="shared" ca="1" si="67"/>
        <v>2.2857799405181289E-2</v>
      </c>
      <c r="Z92" s="103">
        <f t="shared" ca="1" si="67"/>
        <v>3.3523763529282435E-2</v>
      </c>
      <c r="AA92" s="103"/>
      <c r="AB92" s="91"/>
      <c r="AC92" s="91"/>
      <c r="AD92" s="92" t="s">
        <v>631</v>
      </c>
      <c r="AE92" s="91"/>
      <c r="AF92" s="91"/>
      <c r="AG92" s="91"/>
      <c r="AH92" s="91"/>
      <c r="AI92" s="91"/>
      <c r="AJ92" s="91"/>
      <c r="AK92" s="91"/>
      <c r="AL92" s="91"/>
      <c r="AM92" s="91"/>
      <c r="AN92" s="91"/>
      <c r="AO92" s="91"/>
      <c r="AP92" s="91"/>
      <c r="AQ92" s="91"/>
      <c r="AR92" s="91"/>
      <c r="AS92" s="103"/>
      <c r="AT92" s="103"/>
      <c r="AU92" s="103"/>
      <c r="AV92" s="103"/>
      <c r="AW92" s="103"/>
      <c r="AX92" s="103"/>
      <c r="AY92" s="103"/>
      <c r="AZ92" s="103" t="e">
        <f t="shared" si="68"/>
        <v>#DIV/0!</v>
      </c>
      <c r="BA92" s="103" t="e">
        <f t="shared" si="68"/>
        <v>#DIV/0!</v>
      </c>
      <c r="BB92" s="103" t="e">
        <f t="shared" si="68"/>
        <v>#DIV/0!</v>
      </c>
      <c r="BC92" s="103" t="e">
        <f t="shared" si="68"/>
        <v>#DIV/0!</v>
      </c>
      <c r="BD92" s="103" t="e">
        <f t="shared" si="68"/>
        <v>#DIV/0!</v>
      </c>
      <c r="BE92" s="103" t="e">
        <f t="shared" si="68"/>
        <v>#DIV/0!</v>
      </c>
      <c r="BF92" s="103" t="e">
        <f t="shared" si="68"/>
        <v>#DIV/0!</v>
      </c>
      <c r="BG92" s="103" t="e">
        <f t="shared" si="68"/>
        <v>#DIV/0!</v>
      </c>
      <c r="BH92" s="103" t="e">
        <f t="shared" si="68"/>
        <v>#DIV/0!</v>
      </c>
      <c r="BI92" s="103" t="e">
        <f t="shared" si="68"/>
        <v>#DIV/0!</v>
      </c>
      <c r="BJ92" s="103" t="e">
        <f t="shared" si="68"/>
        <v>#DIV/0!</v>
      </c>
      <c r="BK92" s="103" t="e">
        <f t="shared" si="68"/>
        <v>#DIV/0!</v>
      </c>
      <c r="BL92" s="103" t="e">
        <f t="shared" si="68"/>
        <v>#DIV/0!</v>
      </c>
      <c r="BM92" s="103" t="e">
        <f t="shared" si="68"/>
        <v>#DIV/0!</v>
      </c>
      <c r="BN92" s="103" t="e">
        <f t="shared" si="68"/>
        <v>#DIV/0!</v>
      </c>
      <c r="BO92" s="103" t="e">
        <f t="shared" si="68"/>
        <v>#DIV/0!</v>
      </c>
      <c r="BP92" s="103" t="e">
        <f t="shared" si="68"/>
        <v>#DIV/0!</v>
      </c>
      <c r="BQ92" s="103" t="e">
        <f t="shared" si="68"/>
        <v>#DIV/0!</v>
      </c>
      <c r="BR92" s="103" t="e">
        <f t="shared" si="68"/>
        <v>#DIV/0!</v>
      </c>
      <c r="BS92" s="103" t="e">
        <f t="shared" si="68"/>
        <v>#DIV/0!</v>
      </c>
      <c r="BT92" s="103" t="e">
        <f t="shared" si="68"/>
        <v>#DIV/0!</v>
      </c>
      <c r="BU92" s="103" t="e">
        <f t="shared" si="68"/>
        <v>#DIV/0!</v>
      </c>
      <c r="BV92" s="103" t="e">
        <f t="shared" si="68"/>
        <v>#DIV/0!</v>
      </c>
      <c r="BW92" s="103" t="e">
        <f t="shared" si="68"/>
        <v>#DIV/0!</v>
      </c>
      <c r="BX92" s="103" t="e">
        <f t="shared" si="68"/>
        <v>#DIV/0!</v>
      </c>
      <c r="BY92" s="103" t="e">
        <f t="shared" si="68"/>
        <v>#DIV/0!</v>
      </c>
      <c r="BZ92" s="103" t="e">
        <f t="shared" si="68"/>
        <v>#DIV/0!</v>
      </c>
      <c r="CA92" s="103" t="e">
        <f t="shared" si="68"/>
        <v>#DIV/0!</v>
      </c>
      <c r="CB92" s="103">
        <f t="shared" si="68"/>
        <v>-1.1242827372641151E-2</v>
      </c>
      <c r="CC92" s="103">
        <f t="shared" si="68"/>
        <v>-8.0264574414778966E-3</v>
      </c>
      <c r="CD92" s="103">
        <f t="shared" si="68"/>
        <v>-1.234911293446006E-2</v>
      </c>
      <c r="CE92" s="103">
        <f t="shared" ref="CE92:CF94" si="69">CE87/CA87-1</f>
        <v>-1.9472493407036384E-2</v>
      </c>
      <c r="CF92" s="103">
        <f t="shared" si="69"/>
        <v>-8.5859567768881151E-3</v>
      </c>
    </row>
    <row r="93" spans="1:84" hidden="1">
      <c r="A93" s="92" t="s">
        <v>632</v>
      </c>
      <c r="B93" s="91"/>
      <c r="C93" s="91"/>
      <c r="D93" s="91"/>
      <c r="E93" s="91"/>
      <c r="F93" s="91"/>
      <c r="G93" s="91"/>
      <c r="H93" s="91"/>
      <c r="I93" s="91"/>
      <c r="J93" s="91"/>
      <c r="K93" s="91"/>
      <c r="L93" s="91"/>
      <c r="M93" s="136"/>
      <c r="N93" s="136">
        <f t="shared" si="67"/>
        <v>6.3887079254841606E-2</v>
      </c>
      <c r="O93" s="136">
        <f t="shared" si="67"/>
        <v>-0.13612878313503929</v>
      </c>
      <c r="P93" s="136">
        <f t="shared" si="67"/>
        <v>-4.4132095983961062E-2</v>
      </c>
      <c r="Q93" s="136">
        <f t="shared" si="67"/>
        <v>3.8564112668749262E-2</v>
      </c>
      <c r="R93" s="136">
        <f t="shared" si="67"/>
        <v>2.9410138183254109E-2</v>
      </c>
      <c r="S93" s="136">
        <f t="shared" ca="1" si="67"/>
        <v>4.8799716225057299E-2</v>
      </c>
      <c r="T93" s="136">
        <f t="shared" ca="1" si="67"/>
        <v>-7.7026524782949357E-3</v>
      </c>
      <c r="U93" s="136">
        <f t="shared" ca="1" si="67"/>
        <v>-5.8571371843422981E-2</v>
      </c>
      <c r="V93" s="136">
        <f t="shared" ca="1" si="67"/>
        <v>7.2340685740342803E-2</v>
      </c>
      <c r="W93" s="136">
        <f t="shared" ca="1" si="67"/>
        <v>-7.2345137581501073E-2</v>
      </c>
      <c r="X93" s="136">
        <f t="shared" ca="1" si="67"/>
        <v>0.11509615703929277</v>
      </c>
      <c r="Y93" s="136">
        <f t="shared" ca="1" si="67"/>
        <v>2.4760489768229421E-2</v>
      </c>
      <c r="Z93" s="136">
        <f t="shared" ca="1" si="67"/>
        <v>3.7384613357419161E-2</v>
      </c>
      <c r="AA93" s="136"/>
      <c r="AB93" s="91"/>
      <c r="AC93" s="91"/>
      <c r="AD93" s="92" t="s">
        <v>632</v>
      </c>
      <c r="AE93" s="91"/>
      <c r="AF93" s="91"/>
      <c r="AG93" s="91"/>
      <c r="AH93" s="91"/>
      <c r="AI93" s="91"/>
      <c r="AJ93" s="91"/>
      <c r="AK93" s="91"/>
      <c r="AL93" s="91"/>
      <c r="AM93" s="91"/>
      <c r="AN93" s="91"/>
      <c r="AO93" s="91"/>
      <c r="AP93" s="91"/>
      <c r="AQ93" s="91"/>
      <c r="AR93" s="91"/>
      <c r="AS93" s="103"/>
      <c r="AT93" s="103"/>
      <c r="AU93" s="103"/>
      <c r="AV93" s="103"/>
      <c r="AW93" s="103"/>
      <c r="AX93" s="103"/>
      <c r="AY93" s="103"/>
      <c r="AZ93" s="103" t="e">
        <f t="shared" si="68"/>
        <v>#DIV/0!</v>
      </c>
      <c r="BA93" s="103" t="e">
        <f t="shared" si="68"/>
        <v>#DIV/0!</v>
      </c>
      <c r="BB93" s="103" t="e">
        <f t="shared" si="68"/>
        <v>#DIV/0!</v>
      </c>
      <c r="BC93" s="103" t="e">
        <f t="shared" si="68"/>
        <v>#DIV/0!</v>
      </c>
      <c r="BD93" s="103" t="e">
        <f t="shared" si="68"/>
        <v>#DIV/0!</v>
      </c>
      <c r="BE93" s="103" t="e">
        <f t="shared" si="68"/>
        <v>#DIV/0!</v>
      </c>
      <c r="BF93" s="103" t="e">
        <f t="shared" si="68"/>
        <v>#DIV/0!</v>
      </c>
      <c r="BG93" s="103" t="e">
        <f t="shared" si="68"/>
        <v>#DIV/0!</v>
      </c>
      <c r="BH93" s="103" t="e">
        <f t="shared" si="68"/>
        <v>#DIV/0!</v>
      </c>
      <c r="BI93" s="103" t="e">
        <f t="shared" si="68"/>
        <v>#DIV/0!</v>
      </c>
      <c r="BJ93" s="103" t="e">
        <f t="shared" si="68"/>
        <v>#DIV/0!</v>
      </c>
      <c r="BK93" s="103" t="e">
        <f t="shared" si="68"/>
        <v>#DIV/0!</v>
      </c>
      <c r="BL93" s="103" t="e">
        <f t="shared" si="68"/>
        <v>#DIV/0!</v>
      </c>
      <c r="BM93" s="103" t="e">
        <f t="shared" si="68"/>
        <v>#DIV/0!</v>
      </c>
      <c r="BN93" s="103" t="e">
        <f t="shared" si="68"/>
        <v>#DIV/0!</v>
      </c>
      <c r="BO93" s="103" t="e">
        <f t="shared" si="68"/>
        <v>#DIV/0!</v>
      </c>
      <c r="BP93" s="103" t="e">
        <f t="shared" si="68"/>
        <v>#DIV/0!</v>
      </c>
      <c r="BQ93" s="103" t="e">
        <f t="shared" si="68"/>
        <v>#DIV/0!</v>
      </c>
      <c r="BR93" s="103" t="e">
        <f t="shared" si="68"/>
        <v>#DIV/0!</v>
      </c>
      <c r="BS93" s="103" t="e">
        <f t="shared" si="68"/>
        <v>#DIV/0!</v>
      </c>
      <c r="BT93" s="103" t="e">
        <f t="shared" si="68"/>
        <v>#DIV/0!</v>
      </c>
      <c r="BU93" s="103" t="e">
        <f t="shared" si="68"/>
        <v>#DIV/0!</v>
      </c>
      <c r="BV93" s="103" t="e">
        <f t="shared" si="68"/>
        <v>#DIV/0!</v>
      </c>
      <c r="BW93" s="103" t="e">
        <f t="shared" si="68"/>
        <v>#DIV/0!</v>
      </c>
      <c r="BX93" s="103" t="e">
        <f t="shared" si="68"/>
        <v>#DIV/0!</v>
      </c>
      <c r="BY93" s="103" t="e">
        <f t="shared" si="68"/>
        <v>#DIV/0!</v>
      </c>
      <c r="BZ93" s="103" t="e">
        <f t="shared" si="68"/>
        <v>#DIV/0!</v>
      </c>
      <c r="CA93" s="103" t="e">
        <f t="shared" si="68"/>
        <v>#DIV/0!</v>
      </c>
      <c r="CB93" s="103">
        <f t="shared" si="68"/>
        <v>-0.13036096770353733</v>
      </c>
      <c r="CC93" s="103">
        <f t="shared" si="68"/>
        <v>-0.15016062831209021</v>
      </c>
      <c r="CD93" s="103">
        <f t="shared" si="68"/>
        <v>-0.12398529477657716</v>
      </c>
      <c r="CE93" s="103">
        <f t="shared" si="69"/>
        <v>-0.14058452619067108</v>
      </c>
      <c r="CF93" s="103">
        <f t="shared" si="69"/>
        <v>-0.14566995409268912</v>
      </c>
    </row>
    <row r="94" spans="1:84" hidden="1">
      <c r="A94" s="92" t="s">
        <v>633</v>
      </c>
      <c r="B94" s="91"/>
      <c r="C94" s="91"/>
      <c r="D94" s="91"/>
      <c r="E94" s="91"/>
      <c r="F94" s="91"/>
      <c r="G94" s="91"/>
      <c r="H94" s="91"/>
      <c r="I94" s="91"/>
      <c r="J94" s="91"/>
      <c r="K94" s="91"/>
      <c r="L94" s="91"/>
      <c r="M94" s="103"/>
      <c r="N94" s="103">
        <f t="shared" si="67"/>
        <v>0.18432832149227996</v>
      </c>
      <c r="O94" s="103">
        <f t="shared" si="67"/>
        <v>-5.680184554295209E-2</v>
      </c>
      <c r="P94" s="103">
        <f t="shared" si="67"/>
        <v>-3.8087458962485776E-3</v>
      </c>
      <c r="Q94" s="103">
        <f t="shared" si="67"/>
        <v>4.8903603973649901E-2</v>
      </c>
      <c r="R94" s="103">
        <f t="shared" si="67"/>
        <v>-1.6726820527253161E-2</v>
      </c>
      <c r="S94" s="103">
        <f t="shared" ca="1" si="67"/>
        <v>4.2141090043670282E-2</v>
      </c>
      <c r="T94" s="103">
        <f t="shared" ca="1" si="67"/>
        <v>1.9497008073108502E-2</v>
      </c>
      <c r="U94" s="103">
        <f t="shared" ca="1" si="67"/>
        <v>-4.8055363733366385E-2</v>
      </c>
      <c r="V94" s="103">
        <f t="shared" ca="1" si="67"/>
        <v>6.3782660797684354E-2</v>
      </c>
      <c r="W94" s="103">
        <f t="shared" ca="1" si="67"/>
        <v>-6.0014909307820052E-2</v>
      </c>
      <c r="X94" s="103">
        <f t="shared" ca="1" si="67"/>
        <v>9.9343746465233806E-2</v>
      </c>
      <c r="Y94" s="103">
        <f t="shared" ca="1" si="67"/>
        <v>2.2924067512810176E-2</v>
      </c>
      <c r="Z94" s="103">
        <f t="shared" ca="1" si="67"/>
        <v>3.3658473063883587E-2</v>
      </c>
      <c r="AA94" s="103"/>
      <c r="AB94" s="91"/>
      <c r="AC94" s="91"/>
      <c r="AD94" s="92" t="s">
        <v>633</v>
      </c>
      <c r="AE94" s="91"/>
      <c r="AF94" s="91"/>
      <c r="AG94" s="91"/>
      <c r="AH94" s="91"/>
      <c r="AI94" s="91"/>
      <c r="AJ94" s="91"/>
      <c r="AK94" s="91"/>
      <c r="AL94" s="91"/>
      <c r="AM94" s="91"/>
      <c r="AN94" s="91"/>
      <c r="AO94" s="91"/>
      <c r="AP94" s="91"/>
      <c r="AQ94" s="91"/>
      <c r="AR94" s="91"/>
      <c r="AS94" s="103"/>
      <c r="AT94" s="103"/>
      <c r="AU94" s="103"/>
      <c r="AV94" s="103"/>
      <c r="AW94" s="103"/>
      <c r="AX94" s="103"/>
      <c r="AY94" s="103"/>
      <c r="AZ94" s="103" t="e">
        <f t="shared" si="68"/>
        <v>#DIV/0!</v>
      </c>
      <c r="BA94" s="103" t="e">
        <f t="shared" si="68"/>
        <v>#DIV/0!</v>
      </c>
      <c r="BB94" s="103" t="e">
        <f t="shared" si="68"/>
        <v>#DIV/0!</v>
      </c>
      <c r="BC94" s="103" t="e">
        <f t="shared" si="68"/>
        <v>#DIV/0!</v>
      </c>
      <c r="BD94" s="103" t="e">
        <f t="shared" si="68"/>
        <v>#DIV/0!</v>
      </c>
      <c r="BE94" s="103" t="e">
        <f t="shared" si="68"/>
        <v>#DIV/0!</v>
      </c>
      <c r="BF94" s="103" t="e">
        <f t="shared" si="68"/>
        <v>#DIV/0!</v>
      </c>
      <c r="BG94" s="103" t="e">
        <f t="shared" si="68"/>
        <v>#DIV/0!</v>
      </c>
      <c r="BH94" s="103" t="e">
        <f t="shared" si="68"/>
        <v>#DIV/0!</v>
      </c>
      <c r="BI94" s="103" t="e">
        <f t="shared" si="68"/>
        <v>#DIV/0!</v>
      </c>
      <c r="BJ94" s="103" t="e">
        <f t="shared" si="68"/>
        <v>#DIV/0!</v>
      </c>
      <c r="BK94" s="103" t="e">
        <f t="shared" si="68"/>
        <v>#DIV/0!</v>
      </c>
      <c r="BL94" s="103" t="e">
        <f t="shared" si="68"/>
        <v>#DIV/0!</v>
      </c>
      <c r="BM94" s="103" t="e">
        <f t="shared" si="68"/>
        <v>#DIV/0!</v>
      </c>
      <c r="BN94" s="103" t="e">
        <f t="shared" si="68"/>
        <v>#DIV/0!</v>
      </c>
      <c r="BO94" s="103" t="e">
        <f t="shared" si="68"/>
        <v>#DIV/0!</v>
      </c>
      <c r="BP94" s="103" t="e">
        <f t="shared" si="68"/>
        <v>#DIV/0!</v>
      </c>
      <c r="BQ94" s="103" t="e">
        <f t="shared" si="68"/>
        <v>#DIV/0!</v>
      </c>
      <c r="BR94" s="103" t="e">
        <f t="shared" si="68"/>
        <v>#DIV/0!</v>
      </c>
      <c r="BS94" s="103" t="e">
        <f t="shared" si="68"/>
        <v>#DIV/0!</v>
      </c>
      <c r="BT94" s="103" t="e">
        <f t="shared" si="68"/>
        <v>#DIV/0!</v>
      </c>
      <c r="BU94" s="103" t="e">
        <f t="shared" si="68"/>
        <v>#DIV/0!</v>
      </c>
      <c r="BV94" s="103" t="e">
        <f t="shared" si="68"/>
        <v>#DIV/0!</v>
      </c>
      <c r="BW94" s="103" t="e">
        <f t="shared" si="68"/>
        <v>#DIV/0!</v>
      </c>
      <c r="BX94" s="103" t="e">
        <f t="shared" si="68"/>
        <v>#DIV/0!</v>
      </c>
      <c r="BY94" s="103" t="e">
        <f t="shared" si="68"/>
        <v>#DIV/0!</v>
      </c>
      <c r="BZ94" s="103" t="e">
        <f t="shared" si="68"/>
        <v>#DIV/0!</v>
      </c>
      <c r="CA94" s="103" t="e">
        <f t="shared" si="68"/>
        <v>#DIV/0!</v>
      </c>
      <c r="CB94" s="103">
        <f t="shared" si="68"/>
        <v>-5.819714261461828E-2</v>
      </c>
      <c r="CC94" s="103">
        <f t="shared" si="68"/>
        <v>-5.5357489595525444E-2</v>
      </c>
      <c r="CD94" s="103">
        <f t="shared" si="68"/>
        <v>-5.1704662950225355E-2</v>
      </c>
      <c r="CE94" s="103">
        <f t="shared" si="69"/>
        <v>-6.1808683506701212E-2</v>
      </c>
      <c r="CF94" s="103">
        <f t="shared" si="69"/>
        <v>-4.9858244168070387E-2</v>
      </c>
    </row>
    <row r="95" spans="1:84" hidden="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row>
    <row r="96" spans="1:84" hidden="1">
      <c r="A96" s="92" t="s">
        <v>634</v>
      </c>
      <c r="B96" s="91"/>
      <c r="C96" s="91"/>
      <c r="D96" s="91"/>
      <c r="E96" s="91"/>
      <c r="F96" s="91"/>
      <c r="G96" s="91"/>
      <c r="H96" s="91"/>
      <c r="I96" s="91"/>
      <c r="J96" s="91"/>
      <c r="K96" s="91"/>
      <c r="L96" s="91"/>
      <c r="M96" s="101">
        <f>M86/M$89</f>
        <v>0.47630330527763554</v>
      </c>
      <c r="N96" s="101">
        <f t="shared" ref="N96:Z96" si="70">N86/N$89</f>
        <v>0.48203055670767986</v>
      </c>
      <c r="O96" s="101">
        <f t="shared" si="70"/>
        <v>0.48241071703759492</v>
      </c>
      <c r="P96" s="101">
        <f t="shared" si="70"/>
        <v>0.49021057191478085</v>
      </c>
      <c r="Q96" s="101">
        <f t="shared" si="70"/>
        <v>0.49171210850565206</v>
      </c>
      <c r="R96" s="101">
        <f t="shared" si="70"/>
        <v>0.48463517966021979</v>
      </c>
      <c r="S96" s="101">
        <f t="shared" ca="1" si="70"/>
        <v>0.4836262929031323</v>
      </c>
      <c r="T96" s="101">
        <f t="shared" ca="1" si="70"/>
        <v>0.48786592212656971</v>
      </c>
      <c r="U96" s="101">
        <f t="shared" ca="1" si="70"/>
        <v>0.48957454196507205</v>
      </c>
      <c r="V96" s="101">
        <f t="shared" ca="1" si="70"/>
        <v>0.48834398258946382</v>
      </c>
      <c r="W96" s="101">
        <f t="shared" ca="1" si="70"/>
        <v>0.49036659171023661</v>
      </c>
      <c r="X96" s="101">
        <f t="shared" ca="1" si="70"/>
        <v>0.48818616857089331</v>
      </c>
      <c r="Y96" s="101">
        <f t="shared" ca="1" si="70"/>
        <v>0.48790906939832318</v>
      </c>
      <c r="Z96" s="101">
        <f t="shared" ca="1" si="70"/>
        <v>0.48735166911150907</v>
      </c>
      <c r="AA96" s="101"/>
      <c r="AB96" s="91"/>
      <c r="AC96" s="91"/>
      <c r="AD96" s="92" t="s">
        <v>634</v>
      </c>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row>
    <row r="97" spans="1:84" hidden="1">
      <c r="A97" s="92" t="s">
        <v>635</v>
      </c>
      <c r="B97" s="91"/>
      <c r="C97" s="91"/>
      <c r="D97" s="91"/>
      <c r="E97" s="91"/>
      <c r="F97" s="91"/>
      <c r="G97" s="91"/>
      <c r="H97" s="91"/>
      <c r="I97" s="91"/>
      <c r="J97" s="91"/>
      <c r="K97" s="91"/>
      <c r="L97" s="91"/>
      <c r="M97" s="101">
        <f t="shared" ref="M97:Z99" si="71">M87/M$89</f>
        <v>0.3151817910149079</v>
      </c>
      <c r="N97" s="101">
        <f t="shared" si="71"/>
        <v>0.33065963412815869</v>
      </c>
      <c r="O97" s="101">
        <f t="shared" si="71"/>
        <v>0.34603301770811767</v>
      </c>
      <c r="P97" s="101">
        <f t="shared" si="71"/>
        <v>0.34517733476086182</v>
      </c>
      <c r="Q97" s="101">
        <f t="shared" si="71"/>
        <v>0.34529844995721004</v>
      </c>
      <c r="R97" s="101">
        <f t="shared" si="71"/>
        <v>0.34472761896190307</v>
      </c>
      <c r="S97" s="101">
        <f t="shared" ca="1" si="71"/>
        <v>0.34464624131288629</v>
      </c>
      <c r="T97" s="101">
        <f t="shared" ca="1" si="71"/>
        <v>0.34498821334937341</v>
      </c>
      <c r="U97" s="101">
        <f t="shared" ca="1" si="71"/>
        <v>0.34512603205354814</v>
      </c>
      <c r="V97" s="101">
        <f t="shared" ca="1" si="71"/>
        <v>0.34502677410585575</v>
      </c>
      <c r="W97" s="101">
        <f t="shared" ca="1" si="71"/>
        <v>0.34518991944795885</v>
      </c>
      <c r="X97" s="101">
        <f t="shared" ca="1" si="71"/>
        <v>0.34501404469522268</v>
      </c>
      <c r="Y97" s="101">
        <f t="shared" ca="1" si="71"/>
        <v>0.34499169364437399</v>
      </c>
      <c r="Z97" s="101">
        <f t="shared" ca="1" si="71"/>
        <v>0.34494673327138509</v>
      </c>
      <c r="AA97" s="101"/>
      <c r="AB97" s="91"/>
      <c r="AC97" s="91"/>
      <c r="AD97" s="92" t="s">
        <v>635</v>
      </c>
      <c r="AE97" s="91"/>
      <c r="AF97" s="91"/>
      <c r="AG97" s="91"/>
      <c r="AH97" s="91"/>
      <c r="AI97" s="91"/>
      <c r="AJ97" s="91"/>
      <c r="AK97" s="91"/>
      <c r="AL97" s="91"/>
      <c r="AM97" s="91"/>
      <c r="AN97" s="91"/>
      <c r="AO97" s="91"/>
      <c r="AP97" s="91"/>
      <c r="AQ97" s="91"/>
      <c r="AR97" s="91"/>
      <c r="AS97" s="103"/>
      <c r="AT97" s="103"/>
      <c r="AU97" s="103"/>
      <c r="AV97" s="103"/>
      <c r="AW97" s="103"/>
      <c r="AX97" s="103"/>
      <c r="AY97" s="103"/>
      <c r="AZ97" s="103" t="e">
        <f t="shared" ref="AZ97:CF99" si="72">AZ86/AZ$89</f>
        <v>#DIV/0!</v>
      </c>
      <c r="BA97" s="103" t="e">
        <f t="shared" si="72"/>
        <v>#DIV/0!</v>
      </c>
      <c r="BB97" s="103" t="e">
        <f t="shared" si="72"/>
        <v>#DIV/0!</v>
      </c>
      <c r="BC97" s="103" t="e">
        <f t="shared" si="72"/>
        <v>#DIV/0!</v>
      </c>
      <c r="BD97" s="103" t="e">
        <f t="shared" si="72"/>
        <v>#DIV/0!</v>
      </c>
      <c r="BE97" s="103" t="e">
        <f t="shared" si="72"/>
        <v>#DIV/0!</v>
      </c>
      <c r="BF97" s="103" t="e">
        <f t="shared" si="72"/>
        <v>#DIV/0!</v>
      </c>
      <c r="BG97" s="103" t="e">
        <f t="shared" si="72"/>
        <v>#DIV/0!</v>
      </c>
      <c r="BH97" s="103" t="e">
        <f t="shared" si="72"/>
        <v>#DIV/0!</v>
      </c>
      <c r="BI97" s="103" t="e">
        <f t="shared" si="72"/>
        <v>#DIV/0!</v>
      </c>
      <c r="BJ97" s="103" t="e">
        <f t="shared" si="72"/>
        <v>#DIV/0!</v>
      </c>
      <c r="BK97" s="103" t="e">
        <f t="shared" si="72"/>
        <v>#DIV/0!</v>
      </c>
      <c r="BL97" s="103" t="e">
        <f t="shared" si="72"/>
        <v>#DIV/0!</v>
      </c>
      <c r="BM97" s="103" t="e">
        <f t="shared" si="72"/>
        <v>#DIV/0!</v>
      </c>
      <c r="BN97" s="103" t="e">
        <f t="shared" si="72"/>
        <v>#DIV/0!</v>
      </c>
      <c r="BO97" s="103" t="e">
        <f t="shared" si="72"/>
        <v>#DIV/0!</v>
      </c>
      <c r="BP97" s="103" t="e">
        <f t="shared" si="72"/>
        <v>#DIV/0!</v>
      </c>
      <c r="BQ97" s="103" t="e">
        <f t="shared" si="72"/>
        <v>#DIV/0!</v>
      </c>
      <c r="BR97" s="103" t="e">
        <f t="shared" si="72"/>
        <v>#DIV/0!</v>
      </c>
      <c r="BS97" s="103" t="e">
        <f t="shared" si="72"/>
        <v>#DIV/0!</v>
      </c>
      <c r="BT97" s="103" t="e">
        <f t="shared" si="72"/>
        <v>#DIV/0!</v>
      </c>
      <c r="BU97" s="103" t="e">
        <f t="shared" si="72"/>
        <v>#DIV/0!</v>
      </c>
      <c r="BV97" s="103" t="e">
        <f t="shared" si="72"/>
        <v>#DIV/0!</v>
      </c>
      <c r="BW97" s="103" t="e">
        <f t="shared" si="72"/>
        <v>#DIV/0!</v>
      </c>
      <c r="BX97" s="103">
        <f t="shared" si="72"/>
        <v>0.48403532194049648</v>
      </c>
      <c r="BY97" s="103">
        <f t="shared" si="72"/>
        <v>0.48150257258186507</v>
      </c>
      <c r="BZ97" s="103">
        <f t="shared" si="72"/>
        <v>0.48118641587104827</v>
      </c>
      <c r="CA97" s="103">
        <f t="shared" si="72"/>
        <v>0.48132881984106307</v>
      </c>
      <c r="CB97" s="103">
        <f t="shared" si="72"/>
        <v>0.48247970197009477</v>
      </c>
      <c r="CC97" s="103">
        <f t="shared" si="72"/>
        <v>0.48407289584468294</v>
      </c>
      <c r="CD97" s="103">
        <f t="shared" si="72"/>
        <v>0.48150089188775236</v>
      </c>
      <c r="CE97" s="103">
        <f t="shared" si="72"/>
        <v>0.48157661913646099</v>
      </c>
      <c r="CF97" s="103">
        <f t="shared" si="72"/>
        <v>0.48545643841823732</v>
      </c>
    </row>
    <row r="98" spans="1:84" hidden="1">
      <c r="A98" s="92" t="s">
        <v>636</v>
      </c>
      <c r="B98" s="91"/>
      <c r="C98" s="91"/>
      <c r="D98" s="91"/>
      <c r="E98" s="91"/>
      <c r="F98" s="91"/>
      <c r="G98" s="91"/>
      <c r="H98" s="91"/>
      <c r="I98" s="91"/>
      <c r="J98" s="91"/>
      <c r="K98" s="91"/>
      <c r="L98" s="91"/>
      <c r="M98" s="137">
        <f t="shared" si="71"/>
        <v>0.20851490370745659</v>
      </c>
      <c r="N98" s="137">
        <f t="shared" si="71"/>
        <v>0.1873098091641614</v>
      </c>
      <c r="O98" s="137">
        <f t="shared" si="71"/>
        <v>0.17155626525428744</v>
      </c>
      <c r="P98" s="137">
        <f t="shared" si="71"/>
        <v>0.16461209332435736</v>
      </c>
      <c r="Q98" s="137">
        <f t="shared" si="71"/>
        <v>0.16298944153713799</v>
      </c>
      <c r="R98" s="137">
        <f t="shared" si="71"/>
        <v>0.17063720137787713</v>
      </c>
      <c r="S98" s="137">
        <f t="shared" ca="1" si="71"/>
        <v>0.1717274657839814</v>
      </c>
      <c r="T98" s="137">
        <f t="shared" ca="1" si="71"/>
        <v>0.16714586452405686</v>
      </c>
      <c r="U98" s="137">
        <f t="shared" ca="1" si="71"/>
        <v>0.16529942598137978</v>
      </c>
      <c r="V98" s="137">
        <f t="shared" ca="1" si="71"/>
        <v>0.1666292433046806</v>
      </c>
      <c r="W98" s="137">
        <f t="shared" ca="1" si="71"/>
        <v>0.16444348884180449</v>
      </c>
      <c r="X98" s="137">
        <f t="shared" ca="1" si="71"/>
        <v>0.16679978673388399</v>
      </c>
      <c r="Y98" s="137">
        <f t="shared" ca="1" si="71"/>
        <v>0.16709923695730289</v>
      </c>
      <c r="Z98" s="137">
        <f t="shared" ca="1" si="71"/>
        <v>0.16770159761710582</v>
      </c>
      <c r="AA98" s="137"/>
      <c r="AB98" s="91"/>
      <c r="AC98" s="91"/>
      <c r="AD98" s="92" t="s">
        <v>636</v>
      </c>
      <c r="AE98" s="91"/>
      <c r="AF98" s="91"/>
      <c r="AG98" s="91"/>
      <c r="AH98" s="91"/>
      <c r="AI98" s="91"/>
      <c r="AJ98" s="91"/>
      <c r="AK98" s="91"/>
      <c r="AL98" s="91"/>
      <c r="AM98" s="91"/>
      <c r="AN98" s="91"/>
      <c r="AO98" s="91"/>
      <c r="AP98" s="91"/>
      <c r="AQ98" s="91"/>
      <c r="AR98" s="91"/>
      <c r="AS98" s="103"/>
      <c r="AT98" s="103"/>
      <c r="AU98" s="103"/>
      <c r="AV98" s="103"/>
      <c r="AW98" s="103"/>
      <c r="AX98" s="103"/>
      <c r="AY98" s="103"/>
      <c r="AZ98" s="103" t="e">
        <f t="shared" si="72"/>
        <v>#DIV/0!</v>
      </c>
      <c r="BA98" s="103" t="e">
        <f t="shared" si="72"/>
        <v>#DIV/0!</v>
      </c>
      <c r="BB98" s="103" t="e">
        <f t="shared" si="72"/>
        <v>#DIV/0!</v>
      </c>
      <c r="BC98" s="103" t="e">
        <f t="shared" si="72"/>
        <v>#DIV/0!</v>
      </c>
      <c r="BD98" s="103" t="e">
        <f t="shared" si="72"/>
        <v>#DIV/0!</v>
      </c>
      <c r="BE98" s="103" t="e">
        <f t="shared" si="72"/>
        <v>#DIV/0!</v>
      </c>
      <c r="BF98" s="103" t="e">
        <f t="shared" si="72"/>
        <v>#DIV/0!</v>
      </c>
      <c r="BG98" s="103" t="e">
        <f t="shared" si="72"/>
        <v>#DIV/0!</v>
      </c>
      <c r="BH98" s="103" t="e">
        <f t="shared" si="72"/>
        <v>#DIV/0!</v>
      </c>
      <c r="BI98" s="103" t="e">
        <f t="shared" si="72"/>
        <v>#DIV/0!</v>
      </c>
      <c r="BJ98" s="103" t="e">
        <f t="shared" si="72"/>
        <v>#DIV/0!</v>
      </c>
      <c r="BK98" s="103" t="e">
        <f t="shared" si="72"/>
        <v>#DIV/0!</v>
      </c>
      <c r="BL98" s="103" t="e">
        <f t="shared" si="72"/>
        <v>#DIV/0!</v>
      </c>
      <c r="BM98" s="103" t="e">
        <f t="shared" si="72"/>
        <v>#DIV/0!</v>
      </c>
      <c r="BN98" s="103" t="e">
        <f t="shared" si="72"/>
        <v>#DIV/0!</v>
      </c>
      <c r="BO98" s="103" t="e">
        <f t="shared" si="72"/>
        <v>#DIV/0!</v>
      </c>
      <c r="BP98" s="103" t="e">
        <f t="shared" si="72"/>
        <v>#DIV/0!</v>
      </c>
      <c r="BQ98" s="103" t="e">
        <f t="shared" si="72"/>
        <v>#DIV/0!</v>
      </c>
      <c r="BR98" s="103" t="e">
        <f t="shared" si="72"/>
        <v>#DIV/0!</v>
      </c>
      <c r="BS98" s="103" t="e">
        <f t="shared" si="72"/>
        <v>#DIV/0!</v>
      </c>
      <c r="BT98" s="103" t="e">
        <f t="shared" si="72"/>
        <v>#DIV/0!</v>
      </c>
      <c r="BU98" s="103" t="e">
        <f t="shared" si="72"/>
        <v>#DIV/0!</v>
      </c>
      <c r="BV98" s="103" t="e">
        <f t="shared" si="72"/>
        <v>#DIV/0!</v>
      </c>
      <c r="BW98" s="103" t="e">
        <f t="shared" si="72"/>
        <v>#DIV/0!</v>
      </c>
      <c r="BX98" s="103">
        <f t="shared" si="72"/>
        <v>0.32487975387438872</v>
      </c>
      <c r="BY98" s="103">
        <f t="shared" si="72"/>
        <v>0.32875378686171802</v>
      </c>
      <c r="BZ98" s="103">
        <f t="shared" si="72"/>
        <v>0.33324283316401432</v>
      </c>
      <c r="CA98" s="103">
        <f t="shared" si="72"/>
        <v>0.33544376402559756</v>
      </c>
      <c r="CB98" s="103">
        <f t="shared" si="72"/>
        <v>0.34107688712741713</v>
      </c>
      <c r="CC98" s="103">
        <f t="shared" si="72"/>
        <v>0.34522589761825628</v>
      </c>
      <c r="CD98" s="103">
        <f t="shared" si="72"/>
        <v>0.3470728653022967</v>
      </c>
      <c r="CE98" s="103">
        <f t="shared" si="72"/>
        <v>0.35058077362254819</v>
      </c>
      <c r="CF98" s="103">
        <f t="shared" si="72"/>
        <v>0.35589259564839143</v>
      </c>
    </row>
    <row r="99" spans="1:84" hidden="1">
      <c r="A99" s="92" t="s">
        <v>637</v>
      </c>
      <c r="B99" s="91"/>
      <c r="C99" s="91"/>
      <c r="D99" s="91"/>
      <c r="E99" s="91"/>
      <c r="F99" s="91"/>
      <c r="G99" s="91"/>
      <c r="H99" s="91"/>
      <c r="I99" s="91"/>
      <c r="J99" s="91"/>
      <c r="K99" s="91"/>
      <c r="L99" s="91"/>
      <c r="M99" s="101">
        <f t="shared" si="71"/>
        <v>1</v>
      </c>
      <c r="N99" s="101">
        <f t="shared" si="71"/>
        <v>1</v>
      </c>
      <c r="O99" s="101">
        <f t="shared" si="71"/>
        <v>1</v>
      </c>
      <c r="P99" s="101">
        <f t="shared" si="71"/>
        <v>1</v>
      </c>
      <c r="Q99" s="101">
        <f t="shared" si="71"/>
        <v>1</v>
      </c>
      <c r="R99" s="101">
        <f t="shared" si="71"/>
        <v>1</v>
      </c>
      <c r="S99" s="101">
        <f t="shared" ca="1" si="71"/>
        <v>1</v>
      </c>
      <c r="T99" s="101">
        <f t="shared" ca="1" si="71"/>
        <v>1</v>
      </c>
      <c r="U99" s="101">
        <f t="shared" ca="1" si="71"/>
        <v>1</v>
      </c>
      <c r="V99" s="101">
        <f t="shared" ca="1" si="71"/>
        <v>1</v>
      </c>
      <c r="W99" s="101">
        <f t="shared" ca="1" si="71"/>
        <v>1</v>
      </c>
      <c r="X99" s="101">
        <f t="shared" ca="1" si="71"/>
        <v>1</v>
      </c>
      <c r="Y99" s="101">
        <f t="shared" ca="1" si="71"/>
        <v>1</v>
      </c>
      <c r="Z99" s="101">
        <f t="shared" ca="1" si="71"/>
        <v>1</v>
      </c>
      <c r="AA99" s="101"/>
      <c r="AB99" s="91"/>
      <c r="AC99" s="91"/>
      <c r="AD99" s="92" t="s">
        <v>637</v>
      </c>
      <c r="AE99" s="91"/>
      <c r="AF99" s="91"/>
      <c r="AG99" s="91"/>
      <c r="AH99" s="91"/>
      <c r="AI99" s="91"/>
      <c r="AJ99" s="91"/>
      <c r="AK99" s="91"/>
      <c r="AL99" s="91"/>
      <c r="AM99" s="91"/>
      <c r="AN99" s="91"/>
      <c r="AO99" s="91"/>
      <c r="AP99" s="91"/>
      <c r="AQ99" s="91"/>
      <c r="AR99" s="91"/>
      <c r="AS99" s="103"/>
      <c r="AT99" s="103"/>
      <c r="AU99" s="103"/>
      <c r="AV99" s="103"/>
      <c r="AW99" s="103"/>
      <c r="AX99" s="103"/>
      <c r="AY99" s="103"/>
      <c r="AZ99" s="103" t="e">
        <f t="shared" si="72"/>
        <v>#DIV/0!</v>
      </c>
      <c r="BA99" s="103" t="e">
        <f t="shared" si="72"/>
        <v>#DIV/0!</v>
      </c>
      <c r="BB99" s="103" t="e">
        <f t="shared" si="72"/>
        <v>#DIV/0!</v>
      </c>
      <c r="BC99" s="103" t="e">
        <f t="shared" si="72"/>
        <v>#DIV/0!</v>
      </c>
      <c r="BD99" s="103" t="e">
        <f t="shared" si="72"/>
        <v>#DIV/0!</v>
      </c>
      <c r="BE99" s="103" t="e">
        <f t="shared" si="72"/>
        <v>#DIV/0!</v>
      </c>
      <c r="BF99" s="103" t="e">
        <f t="shared" si="72"/>
        <v>#DIV/0!</v>
      </c>
      <c r="BG99" s="103" t="e">
        <f t="shared" si="72"/>
        <v>#DIV/0!</v>
      </c>
      <c r="BH99" s="103" t="e">
        <f t="shared" si="72"/>
        <v>#DIV/0!</v>
      </c>
      <c r="BI99" s="103" t="e">
        <f t="shared" si="72"/>
        <v>#DIV/0!</v>
      </c>
      <c r="BJ99" s="103" t="e">
        <f t="shared" si="72"/>
        <v>#DIV/0!</v>
      </c>
      <c r="BK99" s="103" t="e">
        <f t="shared" si="72"/>
        <v>#DIV/0!</v>
      </c>
      <c r="BL99" s="103" t="e">
        <f t="shared" si="72"/>
        <v>#DIV/0!</v>
      </c>
      <c r="BM99" s="103" t="e">
        <f t="shared" si="72"/>
        <v>#DIV/0!</v>
      </c>
      <c r="BN99" s="103" t="e">
        <f t="shared" si="72"/>
        <v>#DIV/0!</v>
      </c>
      <c r="BO99" s="103" t="e">
        <f t="shared" si="72"/>
        <v>#DIV/0!</v>
      </c>
      <c r="BP99" s="103" t="e">
        <f t="shared" si="72"/>
        <v>#DIV/0!</v>
      </c>
      <c r="BQ99" s="103" t="e">
        <f t="shared" si="72"/>
        <v>#DIV/0!</v>
      </c>
      <c r="BR99" s="103" t="e">
        <f t="shared" si="72"/>
        <v>#DIV/0!</v>
      </c>
      <c r="BS99" s="103" t="e">
        <f t="shared" si="72"/>
        <v>#DIV/0!</v>
      </c>
      <c r="BT99" s="103" t="e">
        <f t="shared" si="72"/>
        <v>#DIV/0!</v>
      </c>
      <c r="BU99" s="103" t="e">
        <f t="shared" si="72"/>
        <v>#DIV/0!</v>
      </c>
      <c r="BV99" s="103" t="e">
        <f t="shared" si="72"/>
        <v>#DIV/0!</v>
      </c>
      <c r="BW99" s="103" t="e">
        <f t="shared" si="72"/>
        <v>#DIV/0!</v>
      </c>
      <c r="BX99" s="103">
        <f t="shared" si="72"/>
        <v>0.19108492418511486</v>
      </c>
      <c r="BY99" s="103">
        <f t="shared" si="72"/>
        <v>0.18974364055641674</v>
      </c>
      <c r="BZ99" s="103">
        <f t="shared" si="72"/>
        <v>0.18557075096493741</v>
      </c>
      <c r="CA99" s="103">
        <f t="shared" si="72"/>
        <v>0.18322741613333934</v>
      </c>
      <c r="CB99" s="103">
        <f t="shared" si="72"/>
        <v>0.17644341090248802</v>
      </c>
      <c r="CC99" s="103">
        <f t="shared" si="72"/>
        <v>0.17070120653706078</v>
      </c>
      <c r="CD99" s="103">
        <f t="shared" si="72"/>
        <v>0.17142624280995086</v>
      </c>
      <c r="CE99" s="103">
        <f t="shared" si="72"/>
        <v>0.1678426072409909</v>
      </c>
      <c r="CF99" s="103">
        <f t="shared" si="72"/>
        <v>0.15865096593337136</v>
      </c>
    </row>
    <row r="100" spans="1:84" hidden="1">
      <c r="B100" s="91"/>
      <c r="C100" s="91"/>
      <c r="D100" s="91"/>
      <c r="E100" s="91"/>
      <c r="F100" s="91"/>
      <c r="G100" s="91"/>
      <c r="H100" s="91"/>
      <c r="I100" s="91"/>
      <c r="J100" s="91"/>
      <c r="K100" s="91"/>
      <c r="L100" s="91"/>
      <c r="M100" s="101"/>
      <c r="N100" s="101"/>
      <c r="O100" s="101"/>
      <c r="P100" s="101"/>
      <c r="Q100" s="101"/>
      <c r="R100" s="101"/>
      <c r="S100" s="101"/>
      <c r="T100" s="101"/>
      <c r="U100" s="101"/>
      <c r="V100" s="101"/>
      <c r="W100" s="101"/>
      <c r="X100" s="101"/>
      <c r="Y100" s="101"/>
      <c r="Z100" s="101"/>
      <c r="AA100" s="101"/>
      <c r="AB100" s="91"/>
      <c r="AC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row>
    <row r="101" spans="1:84" hidden="1">
      <c r="A101" s="92" t="s">
        <v>638</v>
      </c>
      <c r="B101" s="91"/>
      <c r="C101" s="91"/>
      <c r="D101" s="91"/>
      <c r="E101" s="91"/>
      <c r="F101" s="91"/>
      <c r="G101" s="91"/>
      <c r="H101" s="91"/>
      <c r="I101" s="91"/>
      <c r="J101" s="91"/>
      <c r="K101" s="91"/>
      <c r="L101" s="91"/>
      <c r="M101" s="116">
        <f t="shared" ref="M101:Z103" si="73">M86*1000/AVERAGE(L10:M10)/12</f>
        <v>36.544852124155184</v>
      </c>
      <c r="N101" s="116">
        <f t="shared" si="73"/>
        <v>39.989526582447532</v>
      </c>
      <c r="O101" s="116">
        <f t="shared" si="73"/>
        <v>36.274059095970323</v>
      </c>
      <c r="P101" s="116">
        <f t="shared" si="73"/>
        <v>35.410444215632964</v>
      </c>
      <c r="Q101" s="116">
        <f t="shared" si="73"/>
        <v>36.177732983043263</v>
      </c>
      <c r="R101" s="116">
        <f t="shared" si="73"/>
        <v>34.544806309237089</v>
      </c>
      <c r="S101" s="116">
        <f t="shared" ca="1" si="73"/>
        <v>35.335276625617709</v>
      </c>
      <c r="T101" s="116">
        <f t="shared" ca="1" si="73"/>
        <v>35.696008589809907</v>
      </c>
      <c r="U101" s="116">
        <f t="shared" ca="1" si="73"/>
        <v>33.494825391289858</v>
      </c>
      <c r="V101" s="116">
        <f t="shared" ca="1" si="73"/>
        <v>34.910744126219448</v>
      </c>
      <c r="W101" s="116">
        <f t="shared" ca="1" si="73"/>
        <v>32.366076053175355</v>
      </c>
      <c r="X101" s="116">
        <f t="shared" ca="1" si="73"/>
        <v>34.79338007797994</v>
      </c>
      <c r="Y101" s="116">
        <f t="shared" ca="1" si="73"/>
        <v>34.937792510437824</v>
      </c>
      <c r="Z101" s="116">
        <f t="shared" ca="1" si="73"/>
        <v>35.430046148984701</v>
      </c>
      <c r="AA101" s="116"/>
      <c r="AB101" s="91"/>
      <c r="AC101" s="91"/>
      <c r="AD101" s="92" t="s">
        <v>638</v>
      </c>
      <c r="AE101" s="91"/>
      <c r="AF101" s="91"/>
      <c r="AG101" s="91"/>
      <c r="AH101" s="91"/>
      <c r="AI101" s="91"/>
      <c r="AJ101" s="91"/>
      <c r="AK101" s="91"/>
      <c r="AL101" s="91"/>
      <c r="AM101" s="91"/>
      <c r="AN101" s="91"/>
      <c r="AO101" s="91"/>
      <c r="AP101" s="91"/>
      <c r="AQ101" s="91"/>
      <c r="AR101" s="91"/>
      <c r="AS101" s="107"/>
      <c r="AT101" s="107"/>
      <c r="AU101" s="107"/>
      <c r="AV101" s="107"/>
      <c r="AW101" s="107"/>
      <c r="AX101" s="107"/>
      <c r="AY101" s="107"/>
      <c r="AZ101" s="107">
        <f t="shared" ref="AZ101:CF103" si="74">AZ86/(AVERAGE(AY10:AZ10)/1000)/3</f>
        <v>0</v>
      </c>
      <c r="BA101" s="107">
        <f t="shared" si="74"/>
        <v>0</v>
      </c>
      <c r="BB101" s="107">
        <f t="shared" si="74"/>
        <v>0</v>
      </c>
      <c r="BC101" s="107">
        <f t="shared" si="74"/>
        <v>0</v>
      </c>
      <c r="BD101" s="107">
        <f t="shared" si="74"/>
        <v>0</v>
      </c>
      <c r="BE101" s="107">
        <f t="shared" si="74"/>
        <v>0</v>
      </c>
      <c r="BF101" s="107">
        <f t="shared" si="74"/>
        <v>0</v>
      </c>
      <c r="BG101" s="107">
        <f t="shared" si="74"/>
        <v>0</v>
      </c>
      <c r="BH101" s="107">
        <f t="shared" si="74"/>
        <v>0</v>
      </c>
      <c r="BI101" s="107">
        <f t="shared" si="74"/>
        <v>0</v>
      </c>
      <c r="BJ101" s="107">
        <f t="shared" si="74"/>
        <v>0</v>
      </c>
      <c r="BK101" s="107">
        <f t="shared" si="74"/>
        <v>0</v>
      </c>
      <c r="BL101" s="107">
        <f t="shared" si="74"/>
        <v>0</v>
      </c>
      <c r="BM101" s="107">
        <f t="shared" si="74"/>
        <v>0</v>
      </c>
      <c r="BN101" s="107">
        <f t="shared" si="74"/>
        <v>0</v>
      </c>
      <c r="BO101" s="107">
        <f t="shared" si="74"/>
        <v>0</v>
      </c>
      <c r="BP101" s="107">
        <f t="shared" si="74"/>
        <v>0</v>
      </c>
      <c r="BQ101" s="107">
        <f t="shared" si="74"/>
        <v>0</v>
      </c>
      <c r="BR101" s="107">
        <f t="shared" si="74"/>
        <v>0</v>
      </c>
      <c r="BS101" s="107">
        <f t="shared" si="74"/>
        <v>0</v>
      </c>
      <c r="BT101" s="107">
        <f t="shared" si="74"/>
        <v>0</v>
      </c>
      <c r="BU101" s="107">
        <f t="shared" si="74"/>
        <v>0</v>
      </c>
      <c r="BV101" s="107">
        <f t="shared" si="74"/>
        <v>0</v>
      </c>
      <c r="BW101" s="107">
        <f t="shared" si="74"/>
        <v>0</v>
      </c>
      <c r="BX101" s="107">
        <f t="shared" si="74"/>
        <v>41.135715555629879</v>
      </c>
      <c r="BY101" s="107">
        <f t="shared" si="74"/>
        <v>40.493125656580908</v>
      </c>
      <c r="BZ101" s="107">
        <f t="shared" si="74"/>
        <v>39.008135579904362</v>
      </c>
      <c r="CA101" s="107">
        <f t="shared" si="74"/>
        <v>38.525793397655086</v>
      </c>
      <c r="CB101" s="107">
        <f t="shared" si="74"/>
        <v>36.789511791023848</v>
      </c>
      <c r="CC101" s="107">
        <f t="shared" si="74"/>
        <v>36.938831329675857</v>
      </c>
      <c r="CD101" s="107">
        <f t="shared" si="74"/>
        <v>35.864247667294308</v>
      </c>
      <c r="CE101" s="107">
        <f t="shared" si="74"/>
        <v>35.188650124528429</v>
      </c>
      <c r="CF101" s="107">
        <f t="shared" si="74"/>
        <v>34.466695206870362</v>
      </c>
    </row>
    <row r="102" spans="1:84" hidden="1">
      <c r="A102" s="92" t="s">
        <v>640</v>
      </c>
      <c r="B102" s="91"/>
      <c r="C102" s="91"/>
      <c r="D102" s="91"/>
      <c r="E102" s="91"/>
      <c r="F102" s="91"/>
      <c r="G102" s="91"/>
      <c r="H102" s="91"/>
      <c r="I102" s="91"/>
      <c r="J102" s="91"/>
      <c r="K102" s="91"/>
      <c r="L102" s="91"/>
      <c r="M102" s="116">
        <f t="shared" si="73"/>
        <v>27.800270588528093</v>
      </c>
      <c r="N102" s="116">
        <f t="shared" si="73"/>
        <v>30.802711513032136</v>
      </c>
      <c r="O102" s="116">
        <f t="shared" si="73"/>
        <v>28.516768291242585</v>
      </c>
      <c r="P102" s="116">
        <f t="shared" si="73"/>
        <v>25.529873360901362</v>
      </c>
      <c r="Q102" s="116">
        <f t="shared" si="73"/>
        <v>24.073145033528462</v>
      </c>
      <c r="R102" s="116">
        <f t="shared" si="73"/>
        <v>21.998860321098864</v>
      </c>
      <c r="S102" s="116">
        <f t="shared" ca="1" si="73"/>
        <v>21.807125368822359</v>
      </c>
      <c r="T102" s="116">
        <f t="shared" ca="1" si="73"/>
        <v>21.693830962986155</v>
      </c>
      <c r="U102" s="116">
        <f t="shared" ca="1" si="73"/>
        <v>20.214079614555136</v>
      </c>
      <c r="V102" s="116">
        <f t="shared" ca="1" si="73"/>
        <v>21.043429381864613</v>
      </c>
      <c r="W102" s="116">
        <f t="shared" ca="1" si="73"/>
        <v>19.380764240545151</v>
      </c>
      <c r="X102" s="116">
        <f t="shared" ca="1" si="73"/>
        <v>20.863963694680304</v>
      </c>
      <c r="Y102" s="116">
        <f t="shared" ca="1" si="73"/>
        <v>20.917221925189576</v>
      </c>
      <c r="Z102" s="116">
        <f t="shared" ca="1" si="73"/>
        <v>21.197643075114442</v>
      </c>
      <c r="AA102" s="116"/>
      <c r="AB102" s="91"/>
      <c r="AC102" s="91"/>
      <c r="AD102" s="92" t="s">
        <v>640</v>
      </c>
      <c r="AE102" s="91"/>
      <c r="AF102" s="91"/>
      <c r="AG102" s="91"/>
      <c r="AH102" s="91"/>
      <c r="AI102" s="91"/>
      <c r="AJ102" s="91"/>
      <c r="AK102" s="91"/>
      <c r="AL102" s="91"/>
      <c r="AM102" s="91"/>
      <c r="AN102" s="91"/>
      <c r="AO102" s="91"/>
      <c r="AP102" s="91"/>
      <c r="AQ102" s="91"/>
      <c r="AR102" s="91"/>
      <c r="AS102" s="107"/>
      <c r="AT102" s="107"/>
      <c r="AU102" s="107"/>
      <c r="AV102" s="107"/>
      <c r="AW102" s="107"/>
      <c r="AX102" s="107"/>
      <c r="AY102" s="107"/>
      <c r="AZ102" s="107">
        <f t="shared" si="74"/>
        <v>0</v>
      </c>
      <c r="BA102" s="107">
        <f t="shared" si="74"/>
        <v>0</v>
      </c>
      <c r="BB102" s="107">
        <f t="shared" si="74"/>
        <v>0</v>
      </c>
      <c r="BC102" s="107">
        <f t="shared" si="74"/>
        <v>0</v>
      </c>
      <c r="BD102" s="107">
        <f t="shared" si="74"/>
        <v>0</v>
      </c>
      <c r="BE102" s="107">
        <f t="shared" si="74"/>
        <v>0</v>
      </c>
      <c r="BF102" s="107">
        <f t="shared" si="74"/>
        <v>0</v>
      </c>
      <c r="BG102" s="107">
        <f t="shared" si="74"/>
        <v>0</v>
      </c>
      <c r="BH102" s="107">
        <f t="shared" si="74"/>
        <v>0</v>
      </c>
      <c r="BI102" s="107">
        <f t="shared" si="74"/>
        <v>0</v>
      </c>
      <c r="BJ102" s="107">
        <f t="shared" si="74"/>
        <v>0</v>
      </c>
      <c r="BK102" s="107">
        <f t="shared" si="74"/>
        <v>0</v>
      </c>
      <c r="BL102" s="107">
        <f t="shared" si="74"/>
        <v>0</v>
      </c>
      <c r="BM102" s="107">
        <f t="shared" si="74"/>
        <v>0</v>
      </c>
      <c r="BN102" s="107">
        <f t="shared" si="74"/>
        <v>0</v>
      </c>
      <c r="BO102" s="107">
        <f t="shared" si="74"/>
        <v>0</v>
      </c>
      <c r="BP102" s="107">
        <f t="shared" si="74"/>
        <v>0</v>
      </c>
      <c r="BQ102" s="107">
        <f t="shared" si="74"/>
        <v>0</v>
      </c>
      <c r="BR102" s="107">
        <f t="shared" si="74"/>
        <v>0</v>
      </c>
      <c r="BS102" s="107">
        <f t="shared" si="74"/>
        <v>0</v>
      </c>
      <c r="BT102" s="107">
        <f t="shared" si="74"/>
        <v>0</v>
      </c>
      <c r="BU102" s="107">
        <f t="shared" si="74"/>
        <v>0</v>
      </c>
      <c r="BV102" s="107">
        <f t="shared" si="74"/>
        <v>0</v>
      </c>
      <c r="BW102" s="107">
        <f t="shared" si="74"/>
        <v>0</v>
      </c>
      <c r="BX102" s="107">
        <f t="shared" si="74"/>
        <v>31.18917396805502</v>
      </c>
      <c r="BY102" s="107">
        <f t="shared" si="74"/>
        <v>31.046218796274484</v>
      </c>
      <c r="BZ102" s="107">
        <f t="shared" si="74"/>
        <v>30.217333003984379</v>
      </c>
      <c r="CA102" s="107">
        <f t="shared" si="74"/>
        <v>29.942098702831331</v>
      </c>
      <c r="CB102" s="107">
        <f t="shared" si="74"/>
        <v>28.86138217722953</v>
      </c>
      <c r="CC102" s="107">
        <f t="shared" si="74"/>
        <v>28.952095636383657</v>
      </c>
      <c r="CD102" s="107">
        <f t="shared" si="74"/>
        <v>28.048212639422349</v>
      </c>
      <c r="CE102" s="107">
        <f t="shared" si="74"/>
        <v>27.640152444705574</v>
      </c>
      <c r="CF102" s="107">
        <f t="shared" si="74"/>
        <v>26.918702889617776</v>
      </c>
    </row>
    <row r="103" spans="1:84" hidden="1">
      <c r="A103" s="92" t="s">
        <v>642</v>
      </c>
      <c r="B103" s="91"/>
      <c r="C103" s="91"/>
      <c r="D103" s="91"/>
      <c r="E103" s="91"/>
      <c r="F103" s="91"/>
      <c r="G103" s="91"/>
      <c r="H103" s="91"/>
      <c r="I103" s="91"/>
      <c r="J103" s="91"/>
      <c r="K103" s="91"/>
      <c r="L103" s="91"/>
      <c r="M103" s="116">
        <f t="shared" si="73"/>
        <v>23.255912551358659</v>
      </c>
      <c r="N103" s="116">
        <f t="shared" si="73"/>
        <v>22.783803011214442</v>
      </c>
      <c r="O103" s="116">
        <f t="shared" si="73"/>
        <v>18.714175638757542</v>
      </c>
      <c r="P103" s="116">
        <f t="shared" si="73"/>
        <v>17.259555787512323</v>
      </c>
      <c r="Q103" s="116">
        <f t="shared" si="73"/>
        <v>17.809390107932121</v>
      </c>
      <c r="R103" s="116">
        <f t="shared" ca="1" si="73"/>
        <v>18.718294818766822</v>
      </c>
      <c r="S103" s="116">
        <f t="shared" ca="1" si="73"/>
        <v>19.722661958885585</v>
      </c>
      <c r="T103" s="116">
        <f t="shared" ca="1" si="73"/>
        <v>19.343943141288459</v>
      </c>
      <c r="U103" s="116">
        <f t="shared" ca="1" si="73"/>
        <v>18.002316103070914</v>
      </c>
      <c r="V103" s="116">
        <f t="shared" ca="1" si="73"/>
        <v>19.085965909992122</v>
      </c>
      <c r="W103" s="116">
        <f t="shared" ca="1" si="73"/>
        <v>17.506900480510691</v>
      </c>
      <c r="X103" s="116">
        <f t="shared" ca="1" si="73"/>
        <v>19.305664384606242</v>
      </c>
      <c r="Y103" s="116">
        <f t="shared" ca="1" si="73"/>
        <v>19.566969612360985</v>
      </c>
      <c r="Z103" s="116">
        <f t="shared" ca="1" si="73"/>
        <v>20.07853092389422</v>
      </c>
      <c r="AA103" s="116"/>
      <c r="AB103" s="91"/>
      <c r="AC103" s="91"/>
      <c r="AD103" s="92" t="s">
        <v>642</v>
      </c>
      <c r="AE103" s="91"/>
      <c r="AF103" s="91"/>
      <c r="AG103" s="91"/>
      <c r="AH103" s="91"/>
      <c r="AI103" s="91"/>
      <c r="AJ103" s="91"/>
      <c r="AK103" s="91"/>
      <c r="AL103" s="91"/>
      <c r="AM103" s="91"/>
      <c r="AN103" s="91"/>
      <c r="AO103" s="91"/>
      <c r="AP103" s="91"/>
      <c r="AQ103" s="91"/>
      <c r="AR103" s="91"/>
      <c r="AS103" s="107"/>
      <c r="AT103" s="107"/>
      <c r="AU103" s="107"/>
      <c r="AV103" s="107"/>
      <c r="AW103" s="107"/>
      <c r="AX103" s="107"/>
      <c r="AY103" s="107"/>
      <c r="AZ103" s="107">
        <f t="shared" si="74"/>
        <v>0</v>
      </c>
      <c r="BA103" s="107">
        <f t="shared" si="74"/>
        <v>0</v>
      </c>
      <c r="BB103" s="107">
        <f t="shared" si="74"/>
        <v>0</v>
      </c>
      <c r="BC103" s="107">
        <f t="shared" si="74"/>
        <v>0</v>
      </c>
      <c r="BD103" s="107">
        <f t="shared" si="74"/>
        <v>0</v>
      </c>
      <c r="BE103" s="107">
        <f t="shared" si="74"/>
        <v>0</v>
      </c>
      <c r="BF103" s="107">
        <f t="shared" si="74"/>
        <v>0</v>
      </c>
      <c r="BG103" s="107">
        <f t="shared" si="74"/>
        <v>0</v>
      </c>
      <c r="BH103" s="107">
        <f t="shared" si="74"/>
        <v>0</v>
      </c>
      <c r="BI103" s="107">
        <f t="shared" si="74"/>
        <v>0</v>
      </c>
      <c r="BJ103" s="107">
        <f t="shared" si="74"/>
        <v>0</v>
      </c>
      <c r="BK103" s="107">
        <f t="shared" si="74"/>
        <v>0</v>
      </c>
      <c r="BL103" s="107">
        <f t="shared" si="74"/>
        <v>0</v>
      </c>
      <c r="BM103" s="107">
        <f t="shared" si="74"/>
        <v>0</v>
      </c>
      <c r="BN103" s="107">
        <f t="shared" si="74"/>
        <v>0</v>
      </c>
      <c r="BO103" s="107">
        <f t="shared" si="74"/>
        <v>0</v>
      </c>
      <c r="BP103" s="107">
        <f t="shared" si="74"/>
        <v>0</v>
      </c>
      <c r="BQ103" s="107">
        <f t="shared" si="74"/>
        <v>0</v>
      </c>
      <c r="BR103" s="107">
        <f t="shared" si="74"/>
        <v>0</v>
      </c>
      <c r="BS103" s="107">
        <f t="shared" si="74"/>
        <v>0</v>
      </c>
      <c r="BT103" s="107">
        <f t="shared" si="74"/>
        <v>0</v>
      </c>
      <c r="BU103" s="107">
        <f t="shared" si="74"/>
        <v>0</v>
      </c>
      <c r="BV103" s="107">
        <f t="shared" si="74"/>
        <v>0</v>
      </c>
      <c r="BW103" s="107">
        <f t="shared" si="74"/>
        <v>0</v>
      </c>
      <c r="BX103" s="107">
        <f t="shared" si="74"/>
        <v>23.945971673956041</v>
      </c>
      <c r="BY103" s="107">
        <f t="shared" si="74"/>
        <v>23.505040174795724</v>
      </c>
      <c r="BZ103" s="107">
        <f t="shared" si="74"/>
        <v>22.09308512150422</v>
      </c>
      <c r="CA103" s="107">
        <f t="shared" si="74"/>
        <v>21.440900423983226</v>
      </c>
      <c r="CB103" s="107">
        <f t="shared" si="74"/>
        <v>19.520794805860124</v>
      </c>
      <c r="CC103" s="107">
        <f t="shared" si="74"/>
        <v>18.709521560519832</v>
      </c>
      <c r="CD103" s="107">
        <f t="shared" si="74"/>
        <v>18.235909730259362</v>
      </c>
      <c r="CE103" s="107">
        <f t="shared" si="74"/>
        <v>17.603188620687828</v>
      </c>
      <c r="CF103" s="107">
        <f t="shared" si="74"/>
        <v>16.100189325523313</v>
      </c>
    </row>
    <row r="104" spans="1:84" hidden="1">
      <c r="A104" s="92" t="s">
        <v>644</v>
      </c>
      <c r="B104" s="91"/>
      <c r="C104" s="91"/>
      <c r="D104" s="91"/>
      <c r="E104" s="91"/>
      <c r="F104" s="91"/>
      <c r="G104" s="91"/>
      <c r="H104" s="91"/>
      <c r="I104" s="91"/>
      <c r="J104" s="91"/>
      <c r="K104" s="91"/>
      <c r="L104" s="91"/>
      <c r="M104" s="116">
        <f t="shared" ref="M104:Z104" si="75">M89*1000/AVERAGE(L20:M20)/12</f>
        <v>29.996829164615864</v>
      </c>
      <c r="N104" s="116">
        <f t="shared" si="75"/>
        <v>32.247807414971327</v>
      </c>
      <c r="O104" s="116">
        <f t="shared" si="75"/>
        <v>28.901226346959209</v>
      </c>
      <c r="P104" s="116">
        <f t="shared" si="75"/>
        <v>27.099062693228376</v>
      </c>
      <c r="Q104" s="116">
        <f t="shared" si="75"/>
        <v>26.963502525030933</v>
      </c>
      <c r="R104" s="116">
        <f t="shared" ca="1" si="75"/>
        <v>25.762910076220365</v>
      </c>
      <c r="S104" s="116">
        <f t="shared" ca="1" si="75"/>
        <v>26.179249003831</v>
      </c>
      <c r="T104" s="116">
        <f t="shared" ca="1" si="75"/>
        <v>26.170769473558455</v>
      </c>
      <c r="U104" s="116">
        <f t="shared" ca="1" si="75"/>
        <v>24.466573754147674</v>
      </c>
      <c r="V104" s="116">
        <f t="shared" ca="1" si="75"/>
        <v>25.565799647637686</v>
      </c>
      <c r="W104" s="116">
        <f t="shared" ca="1" si="75"/>
        <v>23.610154847258162</v>
      </c>
      <c r="X104" s="116">
        <f t="shared" ca="1" si="75"/>
        <v>25.505448519544576</v>
      </c>
      <c r="Y104" s="116">
        <f t="shared" ca="1" si="75"/>
        <v>25.642253927248685</v>
      </c>
      <c r="Z104" s="116">
        <f t="shared" ca="1" si="75"/>
        <v>26.054906465594915</v>
      </c>
      <c r="AA104" s="116"/>
      <c r="AB104" s="91"/>
      <c r="AC104" s="91"/>
      <c r="AD104" s="92" t="s">
        <v>644</v>
      </c>
      <c r="AE104" s="91"/>
      <c r="AF104" s="91"/>
      <c r="AG104" s="91"/>
      <c r="AH104" s="91"/>
      <c r="AI104" s="91"/>
      <c r="AJ104" s="91"/>
      <c r="AK104" s="91"/>
      <c r="AL104" s="91"/>
      <c r="AM104" s="91"/>
      <c r="AN104" s="91"/>
      <c r="AO104" s="91"/>
      <c r="AP104" s="91"/>
      <c r="AQ104" s="91"/>
      <c r="AR104" s="91"/>
      <c r="AS104" s="107"/>
      <c r="AT104" s="107"/>
      <c r="AU104" s="107"/>
      <c r="AV104" s="107"/>
      <c r="AW104" s="107"/>
      <c r="AX104" s="107"/>
      <c r="AY104" s="107"/>
      <c r="AZ104" s="107">
        <f t="shared" ref="AZ104:CF104" si="76">AZ89/(AVERAGE(AY20:AZ20)/1000)/3</f>
        <v>0</v>
      </c>
      <c r="BA104" s="107">
        <f t="shared" si="76"/>
        <v>0</v>
      </c>
      <c r="BB104" s="107">
        <f t="shared" si="76"/>
        <v>0</v>
      </c>
      <c r="BC104" s="107">
        <f t="shared" si="76"/>
        <v>0</v>
      </c>
      <c r="BD104" s="107">
        <f t="shared" si="76"/>
        <v>0</v>
      </c>
      <c r="BE104" s="107">
        <f t="shared" si="76"/>
        <v>0</v>
      </c>
      <c r="BF104" s="107">
        <f t="shared" si="76"/>
        <v>0</v>
      </c>
      <c r="BG104" s="107">
        <f t="shared" si="76"/>
        <v>0</v>
      </c>
      <c r="BH104" s="107">
        <f t="shared" si="76"/>
        <v>0</v>
      </c>
      <c r="BI104" s="107">
        <f t="shared" si="76"/>
        <v>0</v>
      </c>
      <c r="BJ104" s="107">
        <f t="shared" si="76"/>
        <v>0</v>
      </c>
      <c r="BK104" s="107">
        <f t="shared" si="76"/>
        <v>0</v>
      </c>
      <c r="BL104" s="107">
        <f t="shared" si="76"/>
        <v>0</v>
      </c>
      <c r="BM104" s="107">
        <f t="shared" si="76"/>
        <v>0</v>
      </c>
      <c r="BN104" s="107">
        <f t="shared" si="76"/>
        <v>0</v>
      </c>
      <c r="BO104" s="107">
        <f t="shared" si="76"/>
        <v>0</v>
      </c>
      <c r="BP104" s="107">
        <f t="shared" si="76"/>
        <v>0</v>
      </c>
      <c r="BQ104" s="107">
        <f t="shared" si="76"/>
        <v>0</v>
      </c>
      <c r="BR104" s="107">
        <f t="shared" si="76"/>
        <v>0</v>
      </c>
      <c r="BS104" s="107">
        <f t="shared" si="76"/>
        <v>0</v>
      </c>
      <c r="BT104" s="107">
        <f t="shared" si="76"/>
        <v>0</v>
      </c>
      <c r="BU104" s="107">
        <f t="shared" si="76"/>
        <v>0</v>
      </c>
      <c r="BV104" s="107">
        <f t="shared" si="76"/>
        <v>0</v>
      </c>
      <c r="BW104" s="107">
        <f t="shared" si="76"/>
        <v>0</v>
      </c>
      <c r="BX104" s="107">
        <f t="shared" si="76"/>
        <v>33.153142927085554</v>
      </c>
      <c r="BY104" s="107">
        <f t="shared" si="76"/>
        <v>32.730427906445257</v>
      </c>
      <c r="BZ104" s="107">
        <f t="shared" si="76"/>
        <v>31.482938299867655</v>
      </c>
      <c r="CA104" s="107">
        <f t="shared" si="76"/>
        <v>31.015008760419999</v>
      </c>
      <c r="CB104" s="107">
        <f t="shared" si="76"/>
        <v>29.436785707762471</v>
      </c>
      <c r="CC104" s="107">
        <f t="shared" si="76"/>
        <v>29.28042002207776</v>
      </c>
      <c r="CD104" s="107">
        <f t="shared" si="76"/>
        <v>28.408864272231906</v>
      </c>
      <c r="CE104" s="107">
        <f t="shared" si="76"/>
        <v>27.851971790740858</v>
      </c>
      <c r="CF104" s="107">
        <f t="shared" si="76"/>
        <v>26.910804985989415</v>
      </c>
    </row>
    <row r="105" spans="1:84" hidden="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row>
    <row r="106" spans="1:84">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row>
    <row r="107" spans="1:84">
      <c r="A107" s="93" t="str">
        <f>CONCATENATE(A$1," financials")</f>
        <v>LatAm (VTR / Puerto Rico) financials</v>
      </c>
      <c r="B107" s="94">
        <f t="shared" ref="B107:Z107" si="77">+B$1</f>
        <v>2001</v>
      </c>
      <c r="C107" s="94">
        <f t="shared" si="77"/>
        <v>2002</v>
      </c>
      <c r="D107" s="94">
        <f t="shared" si="77"/>
        <v>2003</v>
      </c>
      <c r="E107" s="94">
        <f t="shared" si="77"/>
        <v>2004</v>
      </c>
      <c r="F107" s="94">
        <f t="shared" si="77"/>
        <v>2005</v>
      </c>
      <c r="G107" s="94">
        <f t="shared" si="77"/>
        <v>2006</v>
      </c>
      <c r="H107" s="94">
        <f t="shared" si="77"/>
        <v>2007</v>
      </c>
      <c r="I107" s="94">
        <f t="shared" si="77"/>
        <v>2008</v>
      </c>
      <c r="J107" s="94">
        <f t="shared" si="77"/>
        <v>2009</v>
      </c>
      <c r="K107" s="94">
        <f t="shared" si="77"/>
        <v>2010</v>
      </c>
      <c r="L107" s="94">
        <f t="shared" si="77"/>
        <v>2011</v>
      </c>
      <c r="M107" s="94">
        <f t="shared" si="77"/>
        <v>2012</v>
      </c>
      <c r="N107" s="94">
        <f t="shared" si="77"/>
        <v>2013</v>
      </c>
      <c r="O107" s="94">
        <f t="shared" si="77"/>
        <v>2014</v>
      </c>
      <c r="P107" s="94">
        <f t="shared" si="77"/>
        <v>2015</v>
      </c>
      <c r="Q107" s="94" t="str">
        <f t="shared" si="77"/>
        <v>2016E</v>
      </c>
      <c r="R107" s="94" t="str">
        <f t="shared" si="77"/>
        <v>2017E</v>
      </c>
      <c r="S107" s="94" t="str">
        <f t="shared" si="77"/>
        <v>2018E</v>
      </c>
      <c r="T107" s="94" t="str">
        <f t="shared" si="77"/>
        <v>2019E</v>
      </c>
      <c r="U107" s="94" t="str">
        <f t="shared" si="77"/>
        <v>2020E</v>
      </c>
      <c r="V107" s="94" t="str">
        <f t="shared" si="77"/>
        <v>2021E</v>
      </c>
      <c r="W107" s="94" t="str">
        <f t="shared" si="77"/>
        <v>2022E</v>
      </c>
      <c r="X107" s="94" t="str">
        <f t="shared" si="77"/>
        <v>2023E</v>
      </c>
      <c r="Y107" s="94" t="str">
        <f t="shared" si="77"/>
        <v>2024E</v>
      </c>
      <c r="Z107" s="94" t="str">
        <f t="shared" si="77"/>
        <v>2025E</v>
      </c>
      <c r="AA107" s="94"/>
      <c r="AB107" s="91"/>
      <c r="AC107" s="91"/>
      <c r="AD107" s="93" t="str">
        <f>+A107</f>
        <v>LatAm (VTR / Puerto Rico) financials</v>
      </c>
      <c r="AE107" s="94" t="str">
        <f t="shared" ref="AE107:CF107" si="78">+AE$1</f>
        <v>Q4 01</v>
      </c>
      <c r="AF107" s="94" t="str">
        <f t="shared" si="78"/>
        <v>Q1 02</v>
      </c>
      <c r="AG107" s="94" t="str">
        <f t="shared" si="78"/>
        <v>Q2 02</v>
      </c>
      <c r="AH107" s="94" t="str">
        <f t="shared" si="78"/>
        <v>Q3 02</v>
      </c>
      <c r="AI107" s="94" t="str">
        <f t="shared" si="78"/>
        <v>Q4 02</v>
      </c>
      <c r="AJ107" s="94" t="str">
        <f t="shared" si="78"/>
        <v>Q1 03</v>
      </c>
      <c r="AK107" s="94" t="str">
        <f t="shared" si="78"/>
        <v>Q2 03</v>
      </c>
      <c r="AL107" s="94" t="str">
        <f t="shared" si="78"/>
        <v>Q3 03</v>
      </c>
      <c r="AM107" s="94" t="str">
        <f t="shared" si="78"/>
        <v>Q4 03</v>
      </c>
      <c r="AN107" s="94" t="str">
        <f t="shared" si="78"/>
        <v>1Q04</v>
      </c>
      <c r="AO107" s="94" t="str">
        <f t="shared" si="78"/>
        <v>Q2 04</v>
      </c>
      <c r="AP107" s="94" t="str">
        <f t="shared" si="78"/>
        <v>Q3 04</v>
      </c>
      <c r="AQ107" s="94" t="str">
        <f t="shared" si="78"/>
        <v>Q4 04</v>
      </c>
      <c r="AR107" s="94" t="str">
        <f t="shared" si="78"/>
        <v>Q1 05</v>
      </c>
      <c r="AS107" s="94" t="str">
        <f t="shared" si="78"/>
        <v>Q2 05</v>
      </c>
      <c r="AT107" s="94" t="str">
        <f t="shared" si="78"/>
        <v>Q3 05</v>
      </c>
      <c r="AU107" s="94" t="str">
        <f t="shared" si="78"/>
        <v>Q4 05</v>
      </c>
      <c r="AV107" s="94" t="str">
        <f t="shared" si="78"/>
        <v>Q1 06</v>
      </c>
      <c r="AW107" s="94" t="str">
        <f t="shared" si="78"/>
        <v>Q2 06</v>
      </c>
      <c r="AX107" s="94" t="str">
        <f t="shared" si="78"/>
        <v>Q3 06</v>
      </c>
      <c r="AY107" s="94" t="str">
        <f t="shared" si="78"/>
        <v>Q4 06</v>
      </c>
      <c r="AZ107" s="94" t="str">
        <f t="shared" si="78"/>
        <v>Q1 07</v>
      </c>
      <c r="BA107" s="94" t="str">
        <f t="shared" si="78"/>
        <v>Q2 07</v>
      </c>
      <c r="BB107" s="94" t="str">
        <f t="shared" si="78"/>
        <v>Q3 07</v>
      </c>
      <c r="BC107" s="94" t="str">
        <f t="shared" si="78"/>
        <v>Q4 07</v>
      </c>
      <c r="BD107" s="94" t="str">
        <f t="shared" si="78"/>
        <v>Q1 08</v>
      </c>
      <c r="BE107" s="94" t="str">
        <f t="shared" si="78"/>
        <v>Q2 08</v>
      </c>
      <c r="BF107" s="94" t="str">
        <f t="shared" si="78"/>
        <v>Q3 08</v>
      </c>
      <c r="BG107" s="94" t="str">
        <f t="shared" si="78"/>
        <v>Q4 08</v>
      </c>
      <c r="BH107" s="94" t="str">
        <f t="shared" si="78"/>
        <v>Q1 09</v>
      </c>
      <c r="BI107" s="94" t="str">
        <f t="shared" si="78"/>
        <v>Q2 09</v>
      </c>
      <c r="BJ107" s="94" t="str">
        <f t="shared" si="78"/>
        <v>Q3 09</v>
      </c>
      <c r="BK107" s="94" t="str">
        <f t="shared" si="78"/>
        <v>Q4 09</v>
      </c>
      <c r="BL107" s="94" t="str">
        <f t="shared" si="78"/>
        <v>Q1 10</v>
      </c>
      <c r="BM107" s="94" t="str">
        <f t="shared" si="78"/>
        <v>Q2 10</v>
      </c>
      <c r="BN107" s="94" t="str">
        <f t="shared" si="78"/>
        <v>Q3 10</v>
      </c>
      <c r="BO107" s="94" t="str">
        <f t="shared" si="78"/>
        <v>Q4 10</v>
      </c>
      <c r="BP107" s="94" t="str">
        <f t="shared" si="78"/>
        <v>Q1 11</v>
      </c>
      <c r="BQ107" s="94" t="str">
        <f t="shared" si="78"/>
        <v>Q2 11</v>
      </c>
      <c r="BR107" s="94" t="str">
        <f t="shared" si="78"/>
        <v>Q3 11</v>
      </c>
      <c r="BS107" s="94" t="str">
        <f t="shared" si="78"/>
        <v>Q4 11</v>
      </c>
      <c r="BT107" s="94" t="str">
        <f t="shared" si="78"/>
        <v>Q1 12</v>
      </c>
      <c r="BU107" s="94" t="str">
        <f t="shared" si="78"/>
        <v>Q2 12</v>
      </c>
      <c r="BV107" s="94" t="str">
        <f t="shared" si="78"/>
        <v>Q3 12</v>
      </c>
      <c r="BW107" s="94" t="str">
        <f t="shared" si="78"/>
        <v>Q4 12</v>
      </c>
      <c r="BX107" s="94" t="str">
        <f t="shared" si="78"/>
        <v>Q1 13</v>
      </c>
      <c r="BY107" s="94" t="str">
        <f t="shared" si="78"/>
        <v>Q2 13</v>
      </c>
      <c r="BZ107" s="94" t="str">
        <f t="shared" si="78"/>
        <v>Q3 13</v>
      </c>
      <c r="CA107" s="94" t="str">
        <f t="shared" si="78"/>
        <v>Q4 13</v>
      </c>
      <c r="CB107" s="94" t="str">
        <f t="shared" si="78"/>
        <v>Q1 14</v>
      </c>
      <c r="CC107" s="94" t="str">
        <f t="shared" si="78"/>
        <v>Q2 14</v>
      </c>
      <c r="CD107" s="94" t="str">
        <f t="shared" si="78"/>
        <v>Q3 14</v>
      </c>
      <c r="CE107" s="94" t="str">
        <f t="shared" si="78"/>
        <v>Q4 14</v>
      </c>
      <c r="CF107" s="94" t="str">
        <f t="shared" si="78"/>
        <v>Q1 15</v>
      </c>
    </row>
    <row r="108" spans="1:84">
      <c r="A108" s="92" t="s">
        <v>781</v>
      </c>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1"/>
      <c r="AC108" s="91"/>
      <c r="AD108" s="92" t="s">
        <v>781</v>
      </c>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row>
    <row r="109" spans="1:84">
      <c r="A109" s="92" t="s">
        <v>647</v>
      </c>
      <c r="B109" s="97"/>
      <c r="C109" s="97"/>
      <c r="D109" s="97"/>
      <c r="E109" s="97"/>
      <c r="F109" s="97"/>
      <c r="G109" s="97"/>
      <c r="H109" s="97"/>
      <c r="I109" s="97"/>
      <c r="J109" s="97"/>
      <c r="K109" s="97"/>
      <c r="L109" s="97">
        <f t="shared" ref="L109:Z109" si="79">+L54</f>
        <v>1004.4905391994707</v>
      </c>
      <c r="M109" s="97">
        <f t="shared" si="79"/>
        <v>1085.532081602435</v>
      </c>
      <c r="N109" s="97">
        <f t="shared" si="79"/>
        <v>1288.218266222626</v>
      </c>
      <c r="O109" s="97">
        <f t="shared" si="79"/>
        <v>1203.8503679304786</v>
      </c>
      <c r="P109" s="97">
        <f t="shared" si="79"/>
        <v>1212.5333333333333</v>
      </c>
      <c r="Q109" s="97">
        <f t="shared" si="79"/>
        <v>1279.4090119933155</v>
      </c>
      <c r="R109" s="97">
        <f t="shared" si="79"/>
        <v>1272.9112207151666</v>
      </c>
      <c r="S109" s="97">
        <f t="shared" si="79"/>
        <v>1335.7165766952999</v>
      </c>
      <c r="T109" s="97">
        <f t="shared" ca="1" si="79"/>
        <v>1359.4065288314603</v>
      </c>
      <c r="U109" s="97">
        <f t="shared" ca="1" si="79"/>
        <v>1296.7399477283195</v>
      </c>
      <c r="V109" s="97">
        <f t="shared" ca="1" si="79"/>
        <v>1382.1592910461954</v>
      </c>
      <c r="W109" s="97">
        <f t="shared" ca="1" si="79"/>
        <v>1301.0411611961185</v>
      </c>
      <c r="X109" s="97">
        <f t="shared" ca="1" si="79"/>
        <v>1432.2297683022516</v>
      </c>
      <c r="Y109" s="97">
        <f t="shared" ca="1" si="79"/>
        <v>1466.5088123647542</v>
      </c>
      <c r="Z109" s="97">
        <f t="shared" ca="1" si="79"/>
        <v>1516.9878285164214</v>
      </c>
      <c r="AA109" s="97"/>
      <c r="AB109" s="91"/>
      <c r="AC109" s="91"/>
      <c r="AD109" s="92" t="s">
        <v>647</v>
      </c>
      <c r="AE109" s="91"/>
      <c r="AF109" s="91"/>
      <c r="AG109" s="91"/>
      <c r="AH109" s="91"/>
      <c r="AI109" s="91"/>
      <c r="AJ109" s="91"/>
      <c r="AK109" s="91"/>
      <c r="AL109" s="91"/>
      <c r="AM109" s="91"/>
      <c r="AN109" s="91"/>
      <c r="AO109" s="91"/>
      <c r="AP109" s="91"/>
      <c r="AQ109" s="91"/>
      <c r="AR109" s="91"/>
      <c r="AS109" s="91"/>
      <c r="AT109" s="91"/>
      <c r="AU109" s="91"/>
      <c r="AV109" s="91"/>
      <c r="AW109" s="246"/>
      <c r="AX109" s="246"/>
      <c r="AY109" s="246"/>
      <c r="AZ109" s="265">
        <v>0</v>
      </c>
      <c r="BA109" s="265">
        <v>0</v>
      </c>
      <c r="BB109" s="265">
        <v>0</v>
      </c>
      <c r="BC109" s="265">
        <v>0</v>
      </c>
      <c r="BD109" s="265">
        <v>186.48804000000001</v>
      </c>
      <c r="BE109" s="265">
        <v>194.69996</v>
      </c>
      <c r="BF109" s="265">
        <v>180.10731999999999</v>
      </c>
      <c r="BG109" s="265">
        <v>153.41886</v>
      </c>
      <c r="BH109" s="265">
        <v>155.82893999999999</v>
      </c>
      <c r="BI109" s="265">
        <v>172.72695999999999</v>
      </c>
      <c r="BJ109" s="265">
        <v>179.77614</v>
      </c>
      <c r="BK109" s="265">
        <v>192.48344000000009</v>
      </c>
      <c r="BL109" s="265">
        <v>181.98173263216162</v>
      </c>
      <c r="BM109" s="265">
        <v>191.40823589222165</v>
      </c>
      <c r="BN109" s="265">
        <v>205.79783999999998</v>
      </c>
      <c r="BO109" s="265">
        <v>218.92675891612686</v>
      </c>
      <c r="BP109" s="265">
        <v>213.73941546025677</v>
      </c>
      <c r="BQ109" s="265">
        <v>228.58787966028504</v>
      </c>
      <c r="BR109" s="265">
        <v>231.88815139104648</v>
      </c>
      <c r="BS109" s="265">
        <v>222.39221140472878</v>
      </c>
      <c r="BT109" s="265">
        <v>253.69999999999996</v>
      </c>
      <c r="BU109" s="265">
        <v>257.40000000000003</v>
      </c>
      <c r="BV109" s="265">
        <v>271.20000000000005</v>
      </c>
      <c r="BW109" s="265">
        <v>303.8</v>
      </c>
      <c r="BX109" s="265">
        <v>323.60000000000002</v>
      </c>
      <c r="BY109" s="265">
        <v>326.79999999999995</v>
      </c>
      <c r="BZ109" s="265">
        <v>319.5</v>
      </c>
      <c r="CA109" s="265">
        <v>318.89999999999998</v>
      </c>
      <c r="CB109" s="265">
        <v>300</v>
      </c>
      <c r="CC109" s="265">
        <v>306.45811894932297</v>
      </c>
      <c r="CD109" s="265">
        <v>299.87969785591912</v>
      </c>
      <c r="CE109" s="265">
        <v>297.88666187699448</v>
      </c>
      <c r="CF109" s="265">
        <v>287.61017274779465</v>
      </c>
    </row>
    <row r="110" spans="1:84">
      <c r="A110" s="92" t="s">
        <v>648</v>
      </c>
      <c r="B110" s="97"/>
      <c r="C110" s="97"/>
      <c r="D110" s="97"/>
      <c r="E110" s="97"/>
      <c r="F110" s="97"/>
      <c r="G110" s="97"/>
      <c r="H110" s="147"/>
      <c r="I110" s="147"/>
      <c r="J110" s="147"/>
      <c r="K110" s="147"/>
      <c r="L110" s="103"/>
      <c r="M110" s="103">
        <f t="shared" ref="M110:Z110" si="80">+M109/L109-1</f>
        <v>8.0679249072420633E-2</v>
      </c>
      <c r="N110" s="103">
        <f t="shared" si="80"/>
        <v>0.18671597832556985</v>
      </c>
      <c r="O110" s="103">
        <f t="shared" si="80"/>
        <v>-6.5491928273564204E-2</v>
      </c>
      <c r="P110" s="103">
        <f t="shared" si="80"/>
        <v>7.2126616680621147E-3</v>
      </c>
      <c r="Q110" s="103">
        <f t="shared" si="80"/>
        <v>5.5153682642386848E-2</v>
      </c>
      <c r="R110" s="103">
        <f t="shared" si="80"/>
        <v>-5.0787443399553656E-3</v>
      </c>
      <c r="S110" s="103">
        <f t="shared" si="80"/>
        <v>4.933993428453487E-2</v>
      </c>
      <c r="T110" s="103">
        <f t="shared" ca="1" si="80"/>
        <v>1.7735762623214413E-2</v>
      </c>
      <c r="U110" s="103">
        <f t="shared" ca="1" si="80"/>
        <v>-4.6098484724071964E-2</v>
      </c>
      <c r="V110" s="103">
        <f t="shared" ca="1" si="80"/>
        <v>6.5872377470530541E-2</v>
      </c>
      <c r="W110" s="103">
        <f t="shared" ca="1" si="80"/>
        <v>-5.8689421961398036E-2</v>
      </c>
      <c r="X110" s="103">
        <f t="shared" ca="1" si="80"/>
        <v>0.10083355624623302</v>
      </c>
      <c r="Y110" s="103">
        <f t="shared" ca="1" si="80"/>
        <v>2.3934039650032268E-2</v>
      </c>
      <c r="Z110" s="103">
        <f t="shared" ca="1" si="80"/>
        <v>3.4421215696801344E-2</v>
      </c>
      <c r="AA110" s="103"/>
      <c r="AB110" s="91"/>
      <c r="AC110" s="91"/>
      <c r="AD110" s="92" t="s">
        <v>648</v>
      </c>
      <c r="AE110" s="91"/>
      <c r="AF110" s="91"/>
      <c r="AG110" s="91"/>
      <c r="AH110" s="91"/>
      <c r="AI110" s="91"/>
      <c r="AJ110" s="91"/>
      <c r="AK110" s="91"/>
      <c r="AL110" s="91"/>
      <c r="AM110" s="91"/>
      <c r="AN110" s="91"/>
      <c r="AO110" s="91"/>
      <c r="AP110" s="91"/>
      <c r="AQ110" s="91"/>
      <c r="AR110" s="91"/>
      <c r="AS110" s="91"/>
      <c r="AT110" s="91"/>
      <c r="AU110" s="91"/>
      <c r="AV110" s="91"/>
      <c r="AW110" s="147"/>
      <c r="AX110" s="147"/>
      <c r="AY110" s="147"/>
      <c r="AZ110" s="147" t="e">
        <f t="shared" ref="AZ110:CF110" si="81">+AZ109/AV109-1</f>
        <v>#DIV/0!</v>
      </c>
      <c r="BA110" s="147" t="e">
        <f t="shared" si="81"/>
        <v>#DIV/0!</v>
      </c>
      <c r="BB110" s="147" t="e">
        <f t="shared" si="81"/>
        <v>#DIV/0!</v>
      </c>
      <c r="BC110" s="147" t="e">
        <f t="shared" si="81"/>
        <v>#DIV/0!</v>
      </c>
      <c r="BD110" s="147" t="e">
        <f t="shared" si="81"/>
        <v>#DIV/0!</v>
      </c>
      <c r="BE110" s="147" t="e">
        <f t="shared" si="81"/>
        <v>#DIV/0!</v>
      </c>
      <c r="BF110" s="147" t="e">
        <f t="shared" si="81"/>
        <v>#DIV/0!</v>
      </c>
      <c r="BG110" s="147" t="e">
        <f t="shared" si="81"/>
        <v>#DIV/0!</v>
      </c>
      <c r="BH110" s="147">
        <f t="shared" si="81"/>
        <v>-0.16440250002091295</v>
      </c>
      <c r="BI110" s="147">
        <f t="shared" si="81"/>
        <v>-0.11285569858360534</v>
      </c>
      <c r="BJ110" s="147">
        <f t="shared" si="81"/>
        <v>-1.8387925599026023E-3</v>
      </c>
      <c r="BK110" s="147">
        <f t="shared" si="81"/>
        <v>0.25462697350247621</v>
      </c>
      <c r="BL110" s="147">
        <f t="shared" si="81"/>
        <v>0.16783013881864073</v>
      </c>
      <c r="BM110" s="147">
        <f t="shared" si="81"/>
        <v>0.10815495098287875</v>
      </c>
      <c r="BN110" s="147">
        <f t="shared" si="81"/>
        <v>0.14474501454976152</v>
      </c>
      <c r="BO110" s="147">
        <f t="shared" si="81"/>
        <v>0.13737970869663774</v>
      </c>
      <c r="BP110" s="147">
        <f t="shared" si="81"/>
        <v>0.17451027841506894</v>
      </c>
      <c r="BQ110" s="147">
        <f t="shared" si="81"/>
        <v>0.19424265416143616</v>
      </c>
      <c r="BR110" s="147">
        <f t="shared" si="81"/>
        <v>0.12677641024340436</v>
      </c>
      <c r="BS110" s="147">
        <f t="shared" si="81"/>
        <v>1.5829277817653864E-2</v>
      </c>
      <c r="BT110" s="147">
        <f t="shared" si="81"/>
        <v>0.1869593610223641</v>
      </c>
      <c r="BU110" s="147">
        <f t="shared" si="81"/>
        <v>0.12604395465994966</v>
      </c>
      <c r="BV110" s="147">
        <f t="shared" si="81"/>
        <v>0.16952935444579786</v>
      </c>
      <c r="BW110" s="147">
        <f t="shared" si="81"/>
        <v>0.36605503439649789</v>
      </c>
      <c r="BX110" s="147">
        <f t="shared" si="81"/>
        <v>0.27552227039810839</v>
      </c>
      <c r="BY110" s="147">
        <f t="shared" si="81"/>
        <v>0.26961926961926919</v>
      </c>
      <c r="BZ110" s="147">
        <f t="shared" si="81"/>
        <v>0.17809734513274322</v>
      </c>
      <c r="CA110" s="147">
        <f t="shared" si="81"/>
        <v>4.9703752468729379E-2</v>
      </c>
      <c r="CB110" s="147">
        <f t="shared" si="81"/>
        <v>-7.2929542645241097E-2</v>
      </c>
      <c r="CC110" s="147">
        <f t="shared" si="81"/>
        <v>-6.2245658049807195E-2</v>
      </c>
      <c r="CD110" s="147">
        <f t="shared" si="81"/>
        <v>-6.1409396382099746E-2</v>
      </c>
      <c r="CE110" s="147">
        <f t="shared" si="81"/>
        <v>-6.5893189473206326E-2</v>
      </c>
      <c r="CF110" s="147">
        <f t="shared" si="81"/>
        <v>-4.1299424174017885E-2</v>
      </c>
    </row>
    <row r="111" spans="1:84">
      <c r="A111" s="92" t="s">
        <v>649</v>
      </c>
      <c r="B111" s="91"/>
      <c r="C111" s="91"/>
      <c r="D111" s="91"/>
      <c r="E111" s="91"/>
      <c r="F111" s="91"/>
      <c r="G111" s="144"/>
      <c r="H111" s="144"/>
      <c r="I111" s="144"/>
      <c r="J111" s="144"/>
      <c r="K111" s="144"/>
      <c r="L111" s="265">
        <f>VTR!L115/Forex!G$38*1000+PR!L111</f>
        <v>438.87753886867353</v>
      </c>
      <c r="M111" s="265">
        <f>VTR!M115/Forex!H$38*1000+PR!M111</f>
        <v>510.86159256364908</v>
      </c>
      <c r="N111" s="265">
        <f>VTR!N115/Forex!I$38*1000+PR!N111</f>
        <v>610.25566656574836</v>
      </c>
      <c r="O111" s="265">
        <f>VTR!O115/Forex!J$38*1000+PR!O111</f>
        <v>530.03684210526319</v>
      </c>
      <c r="P111" s="265">
        <f>VTR!P115/Forex!K$38*1000+PR!P111</f>
        <v>532.5710806697108</v>
      </c>
      <c r="Q111" s="265">
        <f>VTR!Q115/Forex!L$38*1000+PR!Q111</f>
        <v>550.59459936841597</v>
      </c>
      <c r="R111" s="265">
        <f>VTR!R115/Forex!M$38*1000+PR!R111</f>
        <v>564.16599876695443</v>
      </c>
      <c r="S111" s="265">
        <f>VTR!S115/Forex!N$38*1000+PR!S111</f>
        <v>552.384206237581</v>
      </c>
      <c r="T111" s="265">
        <f ca="1">VTR!T115/Forex!O$38*1000+PR!T111</f>
        <v>566.91614839987301</v>
      </c>
      <c r="U111" s="265">
        <f ca="1">VTR!U115/Forex!P$38*1000+PR!U111</f>
        <v>541.08872226652215</v>
      </c>
      <c r="V111" s="265">
        <f ca="1">VTR!V115/Forex!Q$38*1000+PR!V111</f>
        <v>574.13112866229392</v>
      </c>
      <c r="W111" s="265">
        <f ca="1">VTR!W115/Forex!R$38*1000+PR!W111</f>
        <v>536.08932942984222</v>
      </c>
      <c r="X111" s="265">
        <f ca="1">VTR!X115/Forex!S$38*1000+PR!X111</f>
        <v>592.75301324047996</v>
      </c>
      <c r="Y111" s="265">
        <f ca="1">VTR!Y115/Forex!T$38*1000+PR!Y111</f>
        <v>608.10061395623825</v>
      </c>
      <c r="Z111" s="265">
        <f ca="1">VTR!Z115/Forex!U$38*1000+PR!Z111</f>
        <v>630.46272087367242</v>
      </c>
      <c r="AA111" s="265"/>
      <c r="AB111" s="91"/>
      <c r="AC111" s="91"/>
      <c r="AD111" s="92" t="s">
        <v>649</v>
      </c>
      <c r="AE111" s="91"/>
      <c r="AF111" s="91"/>
      <c r="AG111" s="91"/>
      <c r="AH111" s="91"/>
      <c r="AI111" s="91"/>
      <c r="AJ111" s="91"/>
      <c r="AK111" s="91"/>
      <c r="AL111" s="91"/>
      <c r="AM111" s="91"/>
      <c r="AN111" s="91"/>
      <c r="AO111" s="91"/>
      <c r="AP111" s="91"/>
      <c r="AQ111" s="91"/>
      <c r="AR111" s="91"/>
      <c r="AS111" s="91"/>
      <c r="AT111" s="91"/>
      <c r="AU111" s="91"/>
      <c r="AV111" s="91"/>
      <c r="AW111" s="246"/>
      <c r="AX111" s="246"/>
      <c r="AY111" s="246"/>
      <c r="AZ111" s="265">
        <v>0</v>
      </c>
      <c r="BA111" s="265">
        <v>0</v>
      </c>
      <c r="BB111" s="265">
        <v>0</v>
      </c>
      <c r="BC111" s="265">
        <v>0</v>
      </c>
      <c r="BD111" s="265">
        <v>77.953199999999995</v>
      </c>
      <c r="BE111" s="265">
        <v>76.098619999999997</v>
      </c>
      <c r="BF111" s="265">
        <v>77.274760000000001</v>
      </c>
      <c r="BG111" s="265">
        <v>66.27906000000003</v>
      </c>
      <c r="BH111" s="265">
        <v>70.08386999999999</v>
      </c>
      <c r="BI111" s="265">
        <v>73.286360000000002</v>
      </c>
      <c r="BJ111" s="265">
        <v>77.373820000000009</v>
      </c>
      <c r="BK111" s="265">
        <v>78.676130000000043</v>
      </c>
      <c r="BL111" s="265">
        <v>80.265707168557981</v>
      </c>
      <c r="BM111" s="265">
        <v>79.562785968479901</v>
      </c>
      <c r="BN111" s="265">
        <v>84.284040000000005</v>
      </c>
      <c r="BO111" s="265">
        <v>89.465839999999957</v>
      </c>
      <c r="BP111" s="265">
        <v>88.227260311390324</v>
      </c>
      <c r="BQ111" s="265">
        <v>95.148985173456182</v>
      </c>
      <c r="BR111" s="265">
        <v>96.172856941110027</v>
      </c>
      <c r="BS111" s="265">
        <v>89.290681502086258</v>
      </c>
      <c r="BT111" s="270">
        <v>115.03999999999999</v>
      </c>
      <c r="BU111" s="270">
        <v>119.77000000000001</v>
      </c>
      <c r="BV111" s="270">
        <v>129.99000000000004</v>
      </c>
      <c r="BW111" s="270">
        <v>143.07499999999999</v>
      </c>
      <c r="BX111" s="270">
        <v>157.84768758598796</v>
      </c>
      <c r="BY111" s="270">
        <v>156.89622477650062</v>
      </c>
      <c r="BZ111" s="270">
        <v>154.82610949985201</v>
      </c>
      <c r="CA111" s="270">
        <v>143.43779173758313</v>
      </c>
      <c r="CB111" s="265">
        <v>136.18762248021301</v>
      </c>
      <c r="CC111" s="270">
        <v>136.43701935856063</v>
      </c>
      <c r="CD111" s="270">
        <v>133.747096409227</v>
      </c>
      <c r="CE111" s="270">
        <v>125.58938275049707</v>
      </c>
      <c r="CF111" s="265">
        <v>128.77814316133268</v>
      </c>
    </row>
    <row r="112" spans="1:84">
      <c r="A112" s="92" t="s">
        <v>650</v>
      </c>
      <c r="B112" s="91"/>
      <c r="C112" s="91"/>
      <c r="D112" s="91"/>
      <c r="E112" s="91"/>
      <c r="F112" s="91"/>
      <c r="G112" s="97"/>
      <c r="H112" s="97"/>
      <c r="I112" s="97"/>
      <c r="J112" s="97"/>
      <c r="K112" s="97"/>
      <c r="L112" s="97">
        <f>L109-L111</f>
        <v>565.61300033079715</v>
      </c>
      <c r="M112" s="97">
        <f t="shared" ref="M112:Z112" si="82">M109-M111</f>
        <v>574.67048903878595</v>
      </c>
      <c r="N112" s="97">
        <f t="shared" si="82"/>
        <v>677.96259965687761</v>
      </c>
      <c r="O112" s="97">
        <f t="shared" si="82"/>
        <v>673.81352582521538</v>
      </c>
      <c r="P112" s="97">
        <f t="shared" si="82"/>
        <v>679.96225266362251</v>
      </c>
      <c r="Q112" s="97">
        <f t="shared" si="82"/>
        <v>728.81441262489955</v>
      </c>
      <c r="R112" s="97">
        <f t="shared" si="82"/>
        <v>708.74522194821213</v>
      </c>
      <c r="S112" s="97">
        <f t="shared" si="82"/>
        <v>783.33237045771887</v>
      </c>
      <c r="T112" s="97">
        <f t="shared" ca="1" si="82"/>
        <v>792.49038043158725</v>
      </c>
      <c r="U112" s="97">
        <f t="shared" ca="1" si="82"/>
        <v>755.65122546179737</v>
      </c>
      <c r="V112" s="97">
        <f t="shared" ca="1" si="82"/>
        <v>808.02816238390153</v>
      </c>
      <c r="W112" s="97">
        <f t="shared" ca="1" si="82"/>
        <v>764.95183176627631</v>
      </c>
      <c r="X112" s="97">
        <f t="shared" ca="1" si="82"/>
        <v>839.47675506177166</v>
      </c>
      <c r="Y112" s="97">
        <f t="shared" ca="1" si="82"/>
        <v>858.408198408516</v>
      </c>
      <c r="Z112" s="97">
        <f t="shared" ca="1" si="82"/>
        <v>886.52510764274894</v>
      </c>
      <c r="AA112" s="97"/>
      <c r="AB112" s="91"/>
      <c r="AC112" s="91"/>
      <c r="AD112" s="92" t="s">
        <v>650</v>
      </c>
      <c r="AE112" s="91"/>
      <c r="AF112" s="91"/>
      <c r="AG112" s="91"/>
      <c r="AH112" s="91"/>
      <c r="AI112" s="91"/>
      <c r="AJ112" s="91"/>
      <c r="AK112" s="91"/>
      <c r="AL112" s="91"/>
      <c r="AM112" s="91"/>
      <c r="AN112" s="91"/>
      <c r="AO112" s="91"/>
      <c r="AP112" s="91"/>
      <c r="AQ112" s="91"/>
      <c r="AR112" s="91"/>
      <c r="AS112" s="91"/>
      <c r="AT112" s="91"/>
      <c r="AU112" s="91"/>
      <c r="AV112" s="91"/>
      <c r="AW112" s="144"/>
      <c r="AX112" s="144"/>
      <c r="AY112" s="144"/>
      <c r="AZ112" s="144">
        <f t="shared" ref="AZ112:CD112" si="83">AZ109-AZ111</f>
        <v>0</v>
      </c>
      <c r="BA112" s="144">
        <f t="shared" si="83"/>
        <v>0</v>
      </c>
      <c r="BB112" s="144">
        <f t="shared" si="83"/>
        <v>0</v>
      </c>
      <c r="BC112" s="144">
        <f t="shared" si="83"/>
        <v>0</v>
      </c>
      <c r="BD112" s="144">
        <f t="shared" si="83"/>
        <v>108.53484000000002</v>
      </c>
      <c r="BE112" s="144">
        <f t="shared" si="83"/>
        <v>118.60134000000001</v>
      </c>
      <c r="BF112" s="144">
        <f t="shared" si="83"/>
        <v>102.83255999999999</v>
      </c>
      <c r="BG112" s="144">
        <f t="shared" si="83"/>
        <v>87.139799999999966</v>
      </c>
      <c r="BH112" s="144">
        <f t="shared" si="83"/>
        <v>85.745069999999998</v>
      </c>
      <c r="BI112" s="144">
        <f t="shared" si="83"/>
        <v>99.440599999999989</v>
      </c>
      <c r="BJ112" s="144">
        <f t="shared" si="83"/>
        <v>102.40231999999999</v>
      </c>
      <c r="BK112" s="144">
        <f t="shared" si="83"/>
        <v>113.80731000000004</v>
      </c>
      <c r="BL112" s="144">
        <f t="shared" si="83"/>
        <v>101.71602546360364</v>
      </c>
      <c r="BM112" s="144">
        <f t="shared" si="83"/>
        <v>111.84544992374175</v>
      </c>
      <c r="BN112" s="144">
        <f t="shared" si="83"/>
        <v>121.51379999999997</v>
      </c>
      <c r="BO112" s="144">
        <f t="shared" si="83"/>
        <v>129.4609189161269</v>
      </c>
      <c r="BP112" s="144">
        <f t="shared" si="83"/>
        <v>125.51215514886644</v>
      </c>
      <c r="BQ112" s="144">
        <f t="shared" si="83"/>
        <v>133.43889448682887</v>
      </c>
      <c r="BR112" s="144">
        <f t="shared" si="83"/>
        <v>135.71529444993644</v>
      </c>
      <c r="BS112" s="144">
        <f t="shared" si="83"/>
        <v>133.10152990264254</v>
      </c>
      <c r="BT112" s="144">
        <f t="shared" si="83"/>
        <v>138.65999999999997</v>
      </c>
      <c r="BU112" s="144">
        <f t="shared" si="83"/>
        <v>137.63000000000002</v>
      </c>
      <c r="BV112" s="144">
        <f t="shared" si="83"/>
        <v>141.21</v>
      </c>
      <c r="BW112" s="144">
        <f t="shared" si="83"/>
        <v>160.72500000000002</v>
      </c>
      <c r="BX112" s="144">
        <f t="shared" si="83"/>
        <v>165.75231241401207</v>
      </c>
      <c r="BY112" s="144">
        <f t="shared" si="83"/>
        <v>169.90377522349934</v>
      </c>
      <c r="BZ112" s="144">
        <f t="shared" si="83"/>
        <v>164.67389050014799</v>
      </c>
      <c r="CA112" s="144">
        <f t="shared" si="83"/>
        <v>175.46220826241685</v>
      </c>
      <c r="CB112" s="144">
        <f t="shared" si="83"/>
        <v>163.81237751978699</v>
      </c>
      <c r="CC112" s="144">
        <f t="shared" si="83"/>
        <v>170.02109959076233</v>
      </c>
      <c r="CD112" s="144">
        <f t="shared" si="83"/>
        <v>166.13260144669212</v>
      </c>
      <c r="CE112" s="144">
        <f>CE109-CE111</f>
        <v>172.29727912649741</v>
      </c>
      <c r="CF112" s="144">
        <f>CF109-CF111</f>
        <v>158.83202958646197</v>
      </c>
    </row>
    <row r="113" spans="1:84">
      <c r="A113" s="92" t="s">
        <v>651</v>
      </c>
      <c r="B113" s="91"/>
      <c r="C113" s="91"/>
      <c r="D113" s="91"/>
      <c r="E113" s="91"/>
      <c r="F113" s="91"/>
      <c r="G113" s="147"/>
      <c r="H113" s="147"/>
      <c r="I113" s="147"/>
      <c r="J113" s="147"/>
      <c r="K113" s="147"/>
      <c r="L113" s="147">
        <f>L112/L109</f>
        <v>0.56308444754647735</v>
      </c>
      <c r="M113" s="147">
        <f t="shared" ref="M113:Z113" si="84">M112/M109</f>
        <v>0.52939060832773532</v>
      </c>
      <c r="N113" s="147">
        <f t="shared" si="84"/>
        <v>0.52627929399326978</v>
      </c>
      <c r="O113" s="147">
        <f t="shared" si="84"/>
        <v>0.55971534650403298</v>
      </c>
      <c r="P113" s="147">
        <f t="shared" si="84"/>
        <v>0.56077819386157568</v>
      </c>
      <c r="Q113" s="147">
        <f t="shared" si="84"/>
        <v>0.56964927227564921</v>
      </c>
      <c r="R113" s="147">
        <f t="shared" si="84"/>
        <v>0.55679077253322817</v>
      </c>
      <c r="S113" s="147">
        <f t="shared" si="84"/>
        <v>0.58645103618895233</v>
      </c>
      <c r="T113" s="147">
        <f t="shared" ca="1" si="84"/>
        <v>0.58296790814504063</v>
      </c>
      <c r="U113" s="147">
        <f t="shared" ca="1" si="84"/>
        <v>0.58273150818371655</v>
      </c>
      <c r="V113" s="147">
        <f t="shared" ca="1" si="84"/>
        <v>0.58461290794658127</v>
      </c>
      <c r="W113" s="147">
        <f t="shared" ca="1" si="84"/>
        <v>0.58795359791923429</v>
      </c>
      <c r="X113" s="147">
        <f t="shared" ca="1" si="84"/>
        <v>0.58613273766602236</v>
      </c>
      <c r="Y113" s="147">
        <f t="shared" ca="1" si="84"/>
        <v>0.5853413161727461</v>
      </c>
      <c r="Z113" s="147">
        <f t="shared" ca="1" si="84"/>
        <v>0.58439829969482993</v>
      </c>
      <c r="AA113" s="147"/>
      <c r="AB113" s="91"/>
      <c r="AC113" s="91"/>
      <c r="AD113" s="92" t="s">
        <v>651</v>
      </c>
      <c r="AE113" s="91"/>
      <c r="AF113" s="91"/>
      <c r="AG113" s="91"/>
      <c r="AH113" s="91"/>
      <c r="AI113" s="91"/>
      <c r="AJ113" s="91"/>
      <c r="AK113" s="91"/>
      <c r="AL113" s="91"/>
      <c r="AM113" s="91"/>
      <c r="AN113" s="91"/>
      <c r="AO113" s="91"/>
      <c r="AP113" s="91"/>
      <c r="AQ113" s="91"/>
      <c r="AR113" s="91"/>
      <c r="AS113" s="91"/>
      <c r="AT113" s="91"/>
      <c r="AU113" s="91"/>
      <c r="AV113" s="91"/>
      <c r="AW113" s="245"/>
      <c r="AX113" s="245"/>
      <c r="AY113" s="245"/>
      <c r="AZ113" s="245" t="e">
        <f t="shared" ref="AZ113:CD113" si="85">AZ112/AZ109</f>
        <v>#DIV/0!</v>
      </c>
      <c r="BA113" s="245" t="e">
        <f t="shared" si="85"/>
        <v>#DIV/0!</v>
      </c>
      <c r="BB113" s="245" t="e">
        <f t="shared" si="85"/>
        <v>#DIV/0!</v>
      </c>
      <c r="BC113" s="245" t="e">
        <f t="shared" si="85"/>
        <v>#DIV/0!</v>
      </c>
      <c r="BD113" s="245">
        <f t="shared" si="85"/>
        <v>0.58199356913183287</v>
      </c>
      <c r="BE113" s="245">
        <f t="shared" si="85"/>
        <v>0.60914927768860361</v>
      </c>
      <c r="BF113" s="245">
        <f t="shared" si="85"/>
        <v>0.57095158597662765</v>
      </c>
      <c r="BG113" s="245">
        <f t="shared" si="85"/>
        <v>0.56798623063683285</v>
      </c>
      <c r="BH113" s="245">
        <f t="shared" si="85"/>
        <v>0.55025125628140703</v>
      </c>
      <c r="BI113" s="245">
        <f t="shared" si="85"/>
        <v>0.5757097791798107</v>
      </c>
      <c r="BJ113" s="245">
        <f t="shared" si="85"/>
        <v>0.56961018297533805</v>
      </c>
      <c r="BK113" s="245">
        <f t="shared" si="85"/>
        <v>0.59125766871165641</v>
      </c>
      <c r="BL113" s="245">
        <f t="shared" si="85"/>
        <v>0.55893536121673004</v>
      </c>
      <c r="BM113" s="245">
        <f t="shared" si="85"/>
        <v>0.58432934926958835</v>
      </c>
      <c r="BN113" s="245">
        <f t="shared" si="85"/>
        <v>0.59045226130653261</v>
      </c>
      <c r="BO113" s="245">
        <f t="shared" si="85"/>
        <v>0.59134351395447615</v>
      </c>
      <c r="BP113" s="245">
        <f t="shared" si="85"/>
        <v>0.58722044728434508</v>
      </c>
      <c r="BQ113" s="245">
        <f t="shared" si="85"/>
        <v>0.58375314861460958</v>
      </c>
      <c r="BR113" s="245">
        <f t="shared" si="85"/>
        <v>0.58526187576126665</v>
      </c>
      <c r="BS113" s="245">
        <f t="shared" si="85"/>
        <v>0.59849906191369595</v>
      </c>
      <c r="BT113" s="245">
        <f t="shared" si="85"/>
        <v>0.54655104454079617</v>
      </c>
      <c r="BU113" s="245">
        <f t="shared" si="85"/>
        <v>0.53469308469308474</v>
      </c>
      <c r="BV113" s="245">
        <f t="shared" si="85"/>
        <v>0.52068584070796453</v>
      </c>
      <c r="BW113" s="245">
        <f t="shared" si="85"/>
        <v>0.52904871626069794</v>
      </c>
      <c r="BX113" s="245">
        <f t="shared" si="85"/>
        <v>0.51221357359089015</v>
      </c>
      <c r="BY113" s="245">
        <f t="shared" si="85"/>
        <v>0.51990139297276428</v>
      </c>
      <c r="BZ113" s="245">
        <f t="shared" si="85"/>
        <v>0.51541123787213772</v>
      </c>
      <c r="CA113" s="245">
        <f t="shared" si="85"/>
        <v>0.55021075027412003</v>
      </c>
      <c r="CB113" s="245">
        <f t="shared" si="85"/>
        <v>0.54604125839928996</v>
      </c>
      <c r="CC113" s="245">
        <f t="shared" si="85"/>
        <v>0.55479391498476716</v>
      </c>
      <c r="CD113" s="245">
        <f t="shared" si="85"/>
        <v>0.55399749511056451</v>
      </c>
      <c r="CE113" s="245">
        <f>CE112/CE109</f>
        <v>0.57839877099849357</v>
      </c>
      <c r="CF113" s="245">
        <f>CF112/CF109</f>
        <v>0.55224760678316398</v>
      </c>
    </row>
    <row r="114" spans="1:84">
      <c r="A114" s="92" t="s">
        <v>652</v>
      </c>
      <c r="B114" s="91"/>
      <c r="C114" s="91"/>
      <c r="D114" s="91"/>
      <c r="E114" s="91"/>
      <c r="F114" s="91"/>
      <c r="G114" s="97"/>
      <c r="H114" s="97"/>
      <c r="I114" s="97"/>
      <c r="J114" s="97"/>
      <c r="K114" s="97"/>
      <c r="L114" s="265">
        <f>VTR!L118/Forex!G$38*1000+PR!L114</f>
        <v>184.19861065167055</v>
      </c>
      <c r="M114" s="265">
        <f>VTR!M118/Forex!H$38*1000+PR!M114</f>
        <v>208.75791140542094</v>
      </c>
      <c r="N114" s="265">
        <f>VTR!N118/Forex!I$38*1000+PR!N114</f>
        <v>218.05018669896054</v>
      </c>
      <c r="O114" s="265">
        <f>VTR!O118/Forex!J$38*1000+PR!O114</f>
        <v>196.73080103721355</v>
      </c>
      <c r="P114" s="265">
        <f>VTR!P118/Forex!K$38*1000+PR!P114</f>
        <v>187.78264840182649</v>
      </c>
      <c r="Q114" s="265">
        <f>VTR!Q118/Forex!L$38*1000+PR!Q114</f>
        <v>181.21433572571163</v>
      </c>
      <c r="R114" s="265">
        <f>VTR!R118/Forex!M$38*1000+PR!R114</f>
        <v>202.92881750924789</v>
      </c>
      <c r="S114" s="265">
        <f>VTR!S118/Forex!N$38*1000+PR!S114</f>
        <v>243.10420414808317</v>
      </c>
      <c r="T114" s="265">
        <f ca="1">VTR!T118/Forex!O$38*1000+PR!T114</f>
        <v>226.317996151816</v>
      </c>
      <c r="U114" s="265">
        <f ca="1">VTR!U118/Forex!P$38*1000+PR!U114</f>
        <v>212.86753037937459</v>
      </c>
      <c r="V114" s="265">
        <f ca="1">VTR!V118/Forex!Q$38*1000+PR!V114</f>
        <v>224.4238675184248</v>
      </c>
      <c r="W114" s="265">
        <f ca="1">VTR!W118/Forex!R$38*1000+PR!W114</f>
        <v>208.63026719179609</v>
      </c>
      <c r="X114" s="265">
        <f ca="1">VTR!X118/Forex!S$38*1000+PR!X114</f>
        <v>227.40295356783759</v>
      </c>
      <c r="Y114" s="265">
        <f ca="1">VTR!Y118/Forex!T$38*1000+PR!Y114</f>
        <v>230.40487696105657</v>
      </c>
      <c r="Z114" s="265">
        <f ca="1">VTR!Z118/Forex!U$38*1000+PR!Z114</f>
        <v>235.911448135949</v>
      </c>
      <c r="AA114" s="265"/>
      <c r="AB114" s="91"/>
      <c r="AC114" s="91"/>
      <c r="AD114" s="92" t="s">
        <v>652</v>
      </c>
      <c r="AE114" s="91"/>
      <c r="AF114" s="91"/>
      <c r="AG114" s="91"/>
      <c r="AH114" s="91"/>
      <c r="AI114" s="91"/>
      <c r="AJ114" s="91"/>
      <c r="AK114" s="91"/>
      <c r="AL114" s="91"/>
      <c r="AM114" s="91"/>
      <c r="AN114" s="91"/>
      <c r="AO114" s="91"/>
      <c r="AP114" s="91"/>
      <c r="AQ114" s="91"/>
      <c r="AR114" s="91"/>
      <c r="AS114" s="91"/>
      <c r="AT114" s="91"/>
      <c r="AU114" s="91"/>
      <c r="AV114" s="91"/>
      <c r="AW114" s="246"/>
      <c r="AX114" s="246"/>
      <c r="AY114" s="246"/>
      <c r="AZ114" s="265">
        <v>0</v>
      </c>
      <c r="BA114" s="265">
        <v>0</v>
      </c>
      <c r="BB114" s="265">
        <v>0</v>
      </c>
      <c r="BC114" s="265">
        <v>0</v>
      </c>
      <c r="BD114" s="265">
        <v>32.980200000000011</v>
      </c>
      <c r="BE114" s="265">
        <v>36.564840000000004</v>
      </c>
      <c r="BF114" s="265">
        <v>30.669359999999994</v>
      </c>
      <c r="BG114" s="265">
        <v>21.1248</v>
      </c>
      <c r="BH114" s="265">
        <v>24.405370000000001</v>
      </c>
      <c r="BI114" s="265">
        <v>29.287299999999984</v>
      </c>
      <c r="BJ114" s="265">
        <v>27.74588</v>
      </c>
      <c r="BK114" s="265">
        <v>31.588539999999977</v>
      </c>
      <c r="BL114" s="265">
        <v>31.552726266260731</v>
      </c>
      <c r="BM114" s="265">
        <v>31.901372648703617</v>
      </c>
      <c r="BN114" s="265">
        <v>32.18822999999999</v>
      </c>
      <c r="BO114" s="265">
        <v>35.840640000000008</v>
      </c>
      <c r="BP114" s="265">
        <v>35.645998361103523</v>
      </c>
      <c r="BQ114" s="265">
        <v>39.585432560817608</v>
      </c>
      <c r="BR114" s="265">
        <v>40.248552464341202</v>
      </c>
      <c r="BS114" s="265">
        <v>32.406119610570272</v>
      </c>
      <c r="BT114" s="270">
        <v>52.45999999999998</v>
      </c>
      <c r="BU114" s="270">
        <v>50.83</v>
      </c>
      <c r="BV114" s="270">
        <v>48.70999999999998</v>
      </c>
      <c r="BW114" s="270">
        <v>59.125000000000014</v>
      </c>
      <c r="BX114" s="270">
        <v>57.37247327759551</v>
      </c>
      <c r="BY114" s="270">
        <v>59.949842870679355</v>
      </c>
      <c r="BZ114" s="270">
        <v>53.965564565453292</v>
      </c>
      <c r="CA114" s="270">
        <v>47.113221723657738</v>
      </c>
      <c r="CB114" s="265">
        <v>53.300206473113221</v>
      </c>
      <c r="CC114" s="270">
        <v>52.169367992932983</v>
      </c>
      <c r="CD114" s="270">
        <v>48.192344987626974</v>
      </c>
      <c r="CE114" s="270">
        <v>42.248501328298573</v>
      </c>
      <c r="CF114" s="265">
        <v>49.804775780086779</v>
      </c>
    </row>
    <row r="115" spans="1:84">
      <c r="A115" s="92" t="s">
        <v>653</v>
      </c>
      <c r="B115" s="91"/>
      <c r="C115" s="91"/>
      <c r="D115" s="91"/>
      <c r="E115" s="91"/>
      <c r="F115" s="91"/>
      <c r="G115" s="97"/>
      <c r="H115" s="97"/>
      <c r="I115" s="97"/>
      <c r="J115" s="97"/>
      <c r="K115" s="97"/>
      <c r="L115" s="265">
        <f>VTR!L119/Forex!G$38*1000+PR!L115</f>
        <v>381.91438967912671</v>
      </c>
      <c r="M115" s="265">
        <f>VTR!M119/Forex!H$38*1000+PR!M115</f>
        <v>366.31257763336492</v>
      </c>
      <c r="N115" s="265">
        <f>VTR!N119/Forex!I$38*1000+PR!N115</f>
        <v>460.3124129579171</v>
      </c>
      <c r="O115" s="265">
        <f>VTR!O119/Forex!J$38*1000+PR!O115</f>
        <v>477.08272478800194</v>
      </c>
      <c r="P115" s="265">
        <f>VTR!P119/Forex!K$38*1000+PR!P115</f>
        <v>492.17960426179599</v>
      </c>
      <c r="Q115" s="265">
        <f>VTR!Q119/Forex!L$38*1000+PR!Q115</f>
        <v>537.60007689918814</v>
      </c>
      <c r="R115" s="265">
        <f>VTR!R119/Forex!M$38*1000+PR!R115</f>
        <v>515.55240443896423</v>
      </c>
      <c r="S115" s="265">
        <f>VTR!S119/Forex!N$38*1000+PR!S115</f>
        <v>540.22816630963553</v>
      </c>
      <c r="T115" s="265">
        <f ca="1">VTR!T119/Forex!O$38*1000+PR!T115</f>
        <v>566.17238427977122</v>
      </c>
      <c r="U115" s="265">
        <f ca="1">VTR!U119/Forex!P$38*1000+PR!U115</f>
        <v>542.78369508242281</v>
      </c>
      <c r="V115" s="265">
        <f ca="1">VTR!V119/Forex!Q$38*1000+PR!V115</f>
        <v>583.60429486547662</v>
      </c>
      <c r="W115" s="265">
        <f ca="1">VTR!W119/Forex!R$38*1000+PR!W115</f>
        <v>556.32156457448002</v>
      </c>
      <c r="X115" s="265">
        <f ca="1">VTR!X119/Forex!S$38*1000+PR!X115</f>
        <v>612.0738014939343</v>
      </c>
      <c r="Y115" s="265">
        <f ca="1">VTR!Y119/Forex!T$38*1000+PR!Y115</f>
        <v>628.00332144745948</v>
      </c>
      <c r="Z115" s="265">
        <f ca="1">VTR!Z119/Forex!U$38*1000+PR!Z115</f>
        <v>650.61365950679999</v>
      </c>
      <c r="AA115" s="265"/>
      <c r="AB115" s="91"/>
      <c r="AC115" s="91"/>
      <c r="AD115" s="92" t="s">
        <v>653</v>
      </c>
      <c r="AE115" s="91"/>
      <c r="AF115" s="91"/>
      <c r="AG115" s="91"/>
      <c r="AH115" s="91"/>
      <c r="AI115" s="91"/>
      <c r="AJ115" s="91"/>
      <c r="AK115" s="91"/>
      <c r="AL115" s="91"/>
      <c r="AM115" s="91"/>
      <c r="AN115" s="91"/>
      <c r="AO115" s="91"/>
      <c r="AP115" s="91"/>
      <c r="AQ115" s="91"/>
      <c r="AR115" s="91"/>
      <c r="AS115" s="91"/>
      <c r="AT115" s="91"/>
      <c r="AU115" s="91"/>
      <c r="AV115" s="91"/>
      <c r="AW115" s="246"/>
      <c r="AX115" s="246"/>
      <c r="AY115" s="246"/>
      <c r="AZ115" s="265">
        <v>0</v>
      </c>
      <c r="BA115" s="265">
        <v>0</v>
      </c>
      <c r="BB115" s="265">
        <v>0</v>
      </c>
      <c r="BC115" s="265">
        <v>0</v>
      </c>
      <c r="BD115" s="265">
        <v>75.55464000000002</v>
      </c>
      <c r="BE115" s="265">
        <v>82.036500000000004</v>
      </c>
      <c r="BF115" s="265">
        <v>72.163200000000018</v>
      </c>
      <c r="BG115" s="265">
        <v>66.014999999999958</v>
      </c>
      <c r="BH115" s="265">
        <v>61.339699999999993</v>
      </c>
      <c r="BI115" s="265">
        <v>70.153299999999987</v>
      </c>
      <c r="BJ115" s="265">
        <v>74.656439999999989</v>
      </c>
      <c r="BK115" s="265">
        <v>82.218770000000049</v>
      </c>
      <c r="BL115" s="265">
        <v>70.163299197342923</v>
      </c>
      <c r="BM115" s="265">
        <v>79.944077275038154</v>
      </c>
      <c r="BN115" s="265">
        <v>89.325569999999999</v>
      </c>
      <c r="BO115" s="265">
        <v>93.620278916126892</v>
      </c>
      <c r="BP115" s="265">
        <v>89.866156787762932</v>
      </c>
      <c r="BQ115" s="265">
        <v>93.853461926011249</v>
      </c>
      <c r="BR115" s="265">
        <v>95.466741985595249</v>
      </c>
      <c r="BS115" s="265">
        <v>100.69541029207227</v>
      </c>
      <c r="BT115" s="265">
        <v>86.2</v>
      </c>
      <c r="BU115" s="265">
        <v>86.800000000000011</v>
      </c>
      <c r="BV115" s="265">
        <v>92.5</v>
      </c>
      <c r="BW115" s="265">
        <v>101.6</v>
      </c>
      <c r="BX115" s="265">
        <v>108.80003174939147</v>
      </c>
      <c r="BY115" s="265">
        <v>110.62187203889096</v>
      </c>
      <c r="BZ115" s="265">
        <v>111.54312913090656</v>
      </c>
      <c r="CA115" s="265">
        <v>129.90000000000003</v>
      </c>
      <c r="CB115" s="265">
        <v>111.9703620524152</v>
      </c>
      <c r="CC115" s="265">
        <v>118.93341686347328</v>
      </c>
      <c r="CD115" s="265">
        <v>119.49770017477979</v>
      </c>
      <c r="CE115" s="265">
        <v>126.19736178175803</v>
      </c>
      <c r="CF115" s="265">
        <v>109.18735370871423</v>
      </c>
    </row>
    <row r="116" spans="1:84">
      <c r="A116" s="92" t="s">
        <v>651</v>
      </c>
      <c r="B116" s="91"/>
      <c r="C116" s="91"/>
      <c r="D116" s="91"/>
      <c r="E116" s="91"/>
      <c r="F116" s="91"/>
      <c r="G116" s="147"/>
      <c r="H116" s="147"/>
      <c r="I116" s="147"/>
      <c r="J116" s="147"/>
      <c r="K116" s="147"/>
      <c r="L116" s="103">
        <f>+L115/L109</f>
        <v>0.38020705499475743</v>
      </c>
      <c r="M116" s="103">
        <f t="shared" ref="M116:Z116" si="86">+M115/M109</f>
        <v>0.33744979429131522</v>
      </c>
      <c r="N116" s="103">
        <f t="shared" si="86"/>
        <v>0.35732486103280209</v>
      </c>
      <c r="O116" s="103">
        <f t="shared" si="86"/>
        <v>0.3962973617793944</v>
      </c>
      <c r="P116" s="103">
        <f t="shared" si="86"/>
        <v>0.40591016406020125</v>
      </c>
      <c r="Q116" s="103">
        <f t="shared" si="86"/>
        <v>0.42019406762002465</v>
      </c>
      <c r="R116" s="103">
        <f t="shared" si="86"/>
        <v>0.4050183516720896</v>
      </c>
      <c r="S116" s="103">
        <f t="shared" si="86"/>
        <v>0.40444820086474897</v>
      </c>
      <c r="T116" s="103">
        <f t="shared" ca="1" si="86"/>
        <v>0.41648496772076743</v>
      </c>
      <c r="U116" s="103">
        <f t="shared" ca="1" si="86"/>
        <v>0.4185755949242505</v>
      </c>
      <c r="V116" s="103">
        <f t="shared" ca="1" si="86"/>
        <v>0.42224098093912898</v>
      </c>
      <c r="W116" s="103">
        <f t="shared" ca="1" si="86"/>
        <v>0.4275972053513073</v>
      </c>
      <c r="X116" s="103">
        <f t="shared" ca="1" si="86"/>
        <v>0.42735726839379928</v>
      </c>
      <c r="Y116" s="103">
        <f t="shared" ca="1" si="86"/>
        <v>0.4282301723334348</v>
      </c>
      <c r="Z116" s="103">
        <f t="shared" ca="1" si="86"/>
        <v>0.42888522061715217</v>
      </c>
      <c r="AA116" s="103"/>
      <c r="AB116" s="91"/>
      <c r="AC116" s="91"/>
      <c r="AD116" s="92" t="s">
        <v>651</v>
      </c>
      <c r="AE116" s="91"/>
      <c r="AF116" s="91"/>
      <c r="AG116" s="91"/>
      <c r="AH116" s="91"/>
      <c r="AI116" s="91"/>
      <c r="AJ116" s="91"/>
      <c r="AK116" s="91"/>
      <c r="AL116" s="91"/>
      <c r="AM116" s="91"/>
      <c r="AN116" s="91"/>
      <c r="AO116" s="91"/>
      <c r="AP116" s="91"/>
      <c r="AQ116" s="91"/>
      <c r="AR116" s="91"/>
      <c r="AS116" s="91"/>
      <c r="AT116" s="91"/>
      <c r="AU116" s="91"/>
      <c r="AV116" s="91"/>
      <c r="AW116" s="147"/>
      <c r="AX116" s="147"/>
      <c r="AY116" s="147"/>
      <c r="AZ116" s="147" t="e">
        <f t="shared" ref="AZ116:CD116" si="87">AZ115/AZ109</f>
        <v>#DIV/0!</v>
      </c>
      <c r="BA116" s="147" t="e">
        <f t="shared" si="87"/>
        <v>#DIV/0!</v>
      </c>
      <c r="BB116" s="147" t="e">
        <f t="shared" si="87"/>
        <v>#DIV/0!</v>
      </c>
      <c r="BC116" s="147" t="e">
        <f t="shared" si="87"/>
        <v>#DIV/0!</v>
      </c>
      <c r="BD116" s="147">
        <f t="shared" si="87"/>
        <v>0.40514469453376212</v>
      </c>
      <c r="BE116" s="147">
        <f t="shared" si="87"/>
        <v>0.4213483146067416</v>
      </c>
      <c r="BF116" s="147">
        <f t="shared" si="87"/>
        <v>0.40066777963272132</v>
      </c>
      <c r="BG116" s="147">
        <f t="shared" si="87"/>
        <v>0.43029259896729749</v>
      </c>
      <c r="BH116" s="147">
        <f t="shared" si="87"/>
        <v>0.39363484087102174</v>
      </c>
      <c r="BI116" s="147">
        <f t="shared" si="87"/>
        <v>0.40615141955835959</v>
      </c>
      <c r="BJ116" s="147">
        <f t="shared" si="87"/>
        <v>0.41527446300715987</v>
      </c>
      <c r="BK116" s="147">
        <f t="shared" si="87"/>
        <v>0.42714723926380377</v>
      </c>
      <c r="BL116" s="147">
        <f t="shared" si="87"/>
        <v>0.38555133079847909</v>
      </c>
      <c r="BM116" s="147">
        <f t="shared" si="87"/>
        <v>0.41766268260292178</v>
      </c>
      <c r="BN116" s="147">
        <f t="shared" si="87"/>
        <v>0.43404522613065333</v>
      </c>
      <c r="BO116" s="147">
        <f t="shared" si="87"/>
        <v>0.42763287311074571</v>
      </c>
      <c r="BP116" s="147">
        <f t="shared" si="87"/>
        <v>0.42044728434504802</v>
      </c>
      <c r="BQ116" s="147">
        <f t="shared" si="87"/>
        <v>0.41057934508816124</v>
      </c>
      <c r="BR116" s="147">
        <f t="shared" si="87"/>
        <v>0.41169305724725941</v>
      </c>
      <c r="BS116" s="147">
        <f t="shared" si="87"/>
        <v>0.45278298936835498</v>
      </c>
      <c r="BT116" s="147">
        <f t="shared" si="87"/>
        <v>0.33977138352384711</v>
      </c>
      <c r="BU116" s="147">
        <f t="shared" si="87"/>
        <v>0.33721833721833722</v>
      </c>
      <c r="BV116" s="147">
        <f t="shared" si="87"/>
        <v>0.34107669616519171</v>
      </c>
      <c r="BW116" s="147">
        <f t="shared" si="87"/>
        <v>0.33443054641211323</v>
      </c>
      <c r="BX116" s="147">
        <f t="shared" si="87"/>
        <v>0.33621765064706877</v>
      </c>
      <c r="BY116" s="147">
        <f t="shared" si="87"/>
        <v>0.33850022043724287</v>
      </c>
      <c r="BZ116" s="147">
        <f t="shared" si="87"/>
        <v>0.34911777505761055</v>
      </c>
      <c r="CA116" s="147">
        <f t="shared" si="87"/>
        <v>0.40733772342427105</v>
      </c>
      <c r="CB116" s="147">
        <f t="shared" si="87"/>
        <v>0.3732345401747173</v>
      </c>
      <c r="CC116" s="147">
        <f t="shared" si="87"/>
        <v>0.38809027893021997</v>
      </c>
      <c r="CD116" s="147">
        <f t="shared" si="87"/>
        <v>0.39848546276778607</v>
      </c>
      <c r="CE116" s="147">
        <f>CE115/CE109</f>
        <v>0.42364220333526836</v>
      </c>
      <c r="CF116" s="147">
        <f>CF115/CF109</f>
        <v>0.37963661947541966</v>
      </c>
    </row>
    <row r="117" spans="1:84">
      <c r="A117" s="92" t="s">
        <v>648</v>
      </c>
      <c r="B117" s="91"/>
      <c r="C117" s="91"/>
      <c r="D117" s="91"/>
      <c r="E117" s="91"/>
      <c r="F117" s="91"/>
      <c r="G117" s="97"/>
      <c r="H117" s="147"/>
      <c r="I117" s="147"/>
      <c r="J117" s="147"/>
      <c r="K117" s="147"/>
      <c r="L117" s="103"/>
      <c r="M117" s="103">
        <f>+M115/L115-1</f>
        <v>-4.0851595193545753E-2</v>
      </c>
      <c r="N117" s="103">
        <f>+N115/M115-1</f>
        <v>0.25661099581089131</v>
      </c>
      <c r="O117" s="103">
        <f>+O115/N115-1</f>
        <v>3.6432456214510189E-2</v>
      </c>
      <c r="P117" s="103">
        <f>+P115/O115-1</f>
        <v>3.1644154544691494E-2</v>
      </c>
      <c r="Q117" s="103">
        <f>+Q115/P115-1</f>
        <v>9.2284345478957475E-2</v>
      </c>
      <c r="R117" s="103">
        <f t="shared" ref="R117:Z117" si="88">+R115/Q115-1</f>
        <v>-4.1011289632606029E-2</v>
      </c>
      <c r="S117" s="103">
        <f t="shared" si="88"/>
        <v>4.7862761686707778E-2</v>
      </c>
      <c r="T117" s="103">
        <f t="shared" ca="1" si="88"/>
        <v>4.8024556267333818E-2</v>
      </c>
      <c r="U117" s="103">
        <f t="shared" ca="1" si="88"/>
        <v>-4.1310190759482612E-2</v>
      </c>
      <c r="V117" s="103">
        <f t="shared" ca="1" si="88"/>
        <v>7.5206016969347367E-2</v>
      </c>
      <c r="W117" s="103">
        <f t="shared" ca="1" si="88"/>
        <v>-4.6748679766459578E-2</v>
      </c>
      <c r="X117" s="103">
        <f t="shared" ca="1" si="88"/>
        <v>0.10021584721796306</v>
      </c>
      <c r="Y117" s="103">
        <f t="shared" ca="1" si="88"/>
        <v>2.6025488943726804E-2</v>
      </c>
      <c r="Z117" s="103">
        <f t="shared" ca="1" si="88"/>
        <v>3.6003532604297117E-2</v>
      </c>
      <c r="AA117" s="103"/>
      <c r="AB117" s="91"/>
      <c r="AC117" s="91"/>
      <c r="AD117" s="92" t="s">
        <v>648</v>
      </c>
      <c r="AE117" s="91"/>
      <c r="AF117" s="91"/>
      <c r="AG117" s="91"/>
      <c r="AH117" s="91"/>
      <c r="AI117" s="91"/>
      <c r="AJ117" s="91"/>
      <c r="AK117" s="91"/>
      <c r="AL117" s="91"/>
      <c r="AM117" s="91"/>
      <c r="AN117" s="91"/>
      <c r="AO117" s="91"/>
      <c r="AP117" s="91"/>
      <c r="AQ117" s="91"/>
      <c r="AR117" s="91"/>
      <c r="AS117" s="91"/>
      <c r="AT117" s="91"/>
      <c r="AU117" s="91"/>
      <c r="AV117" s="91"/>
      <c r="AW117" s="147"/>
      <c r="AX117" s="147"/>
      <c r="AY117" s="147"/>
      <c r="AZ117" s="147" t="e">
        <f t="shared" ref="AZ117:CD117" si="89">AZ115/AV115-1</f>
        <v>#DIV/0!</v>
      </c>
      <c r="BA117" s="147" t="e">
        <f t="shared" si="89"/>
        <v>#DIV/0!</v>
      </c>
      <c r="BB117" s="147" t="e">
        <f t="shared" si="89"/>
        <v>#DIV/0!</v>
      </c>
      <c r="BC117" s="147" t="e">
        <f t="shared" si="89"/>
        <v>#DIV/0!</v>
      </c>
      <c r="BD117" s="147" t="e">
        <f t="shared" si="89"/>
        <v>#DIV/0!</v>
      </c>
      <c r="BE117" s="147" t="e">
        <f t="shared" si="89"/>
        <v>#DIV/0!</v>
      </c>
      <c r="BF117" s="147" t="e">
        <f t="shared" si="89"/>
        <v>#DIV/0!</v>
      </c>
      <c r="BG117" s="147" t="e">
        <f t="shared" si="89"/>
        <v>#DIV/0!</v>
      </c>
      <c r="BH117" s="147">
        <f t="shared" si="89"/>
        <v>-0.18814119159326315</v>
      </c>
      <c r="BI117" s="147">
        <f t="shared" si="89"/>
        <v>-0.14485259610051637</v>
      </c>
      <c r="BJ117" s="147">
        <f t="shared" si="89"/>
        <v>3.4550019954768807E-2</v>
      </c>
      <c r="BK117" s="147">
        <f t="shared" si="89"/>
        <v>0.24545588123911388</v>
      </c>
      <c r="BL117" s="147">
        <f t="shared" si="89"/>
        <v>0.14384809833342738</v>
      </c>
      <c r="BM117" s="147">
        <f t="shared" si="89"/>
        <v>0.13956260468200599</v>
      </c>
      <c r="BN117" s="147">
        <f t="shared" si="89"/>
        <v>0.196488474403548</v>
      </c>
      <c r="BO117" s="147">
        <f t="shared" si="89"/>
        <v>0.13867282271586934</v>
      </c>
      <c r="BP117" s="147">
        <f t="shared" si="89"/>
        <v>0.28081429772855038</v>
      </c>
      <c r="BQ117" s="147">
        <f t="shared" si="89"/>
        <v>0.17398893232727541</v>
      </c>
      <c r="BR117" s="147">
        <f t="shared" si="89"/>
        <v>6.8750437143533016E-2</v>
      </c>
      <c r="BS117" s="147">
        <f t="shared" si="89"/>
        <v>7.5572637230485906E-2</v>
      </c>
      <c r="BT117" s="147">
        <f t="shared" si="89"/>
        <v>-4.0795744680851342E-2</v>
      </c>
      <c r="BU117" s="147">
        <f t="shared" si="89"/>
        <v>-7.5153987730061433E-2</v>
      </c>
      <c r="BV117" s="147">
        <f t="shared" si="89"/>
        <v>-3.107618343195262E-2</v>
      </c>
      <c r="BW117" s="147">
        <f t="shared" si="89"/>
        <v>8.9834254143650316E-3</v>
      </c>
      <c r="BX117" s="147">
        <f t="shared" si="89"/>
        <v>0.26218134280036498</v>
      </c>
      <c r="BY117" s="147">
        <f t="shared" si="89"/>
        <v>0.27444553040196928</v>
      </c>
      <c r="BZ117" s="147">
        <f t="shared" si="89"/>
        <v>0.20587166628007103</v>
      </c>
      <c r="CA117" s="147">
        <f t="shared" si="89"/>
        <v>0.27854330708661457</v>
      </c>
      <c r="CB117" s="147">
        <f t="shared" si="89"/>
        <v>2.9139056781952277E-2</v>
      </c>
      <c r="CC117" s="147">
        <f t="shared" si="89"/>
        <v>7.5134733045018942E-2</v>
      </c>
      <c r="CD117" s="147">
        <f t="shared" si="89"/>
        <v>7.1313859543403968E-2</v>
      </c>
      <c r="CE117" s="147">
        <f>CE115/CA115-1</f>
        <v>-2.8503758416027702E-2</v>
      </c>
      <c r="CF117" s="147">
        <f>CF115/CB115-1</f>
        <v>-2.4854865990325159E-2</v>
      </c>
    </row>
    <row r="118" spans="1:84">
      <c r="A118" s="92" t="s">
        <v>19</v>
      </c>
      <c r="B118" s="91"/>
      <c r="C118" s="91"/>
      <c r="D118" s="91"/>
      <c r="E118" s="91"/>
      <c r="F118" s="91"/>
      <c r="G118" s="97"/>
      <c r="H118" s="97"/>
      <c r="I118" s="97"/>
      <c r="J118" s="97"/>
      <c r="K118" s="97"/>
      <c r="L118" s="246"/>
      <c r="M118" s="265">
        <f>VTR!M122/Forex!H$38*1000+PR!M118</f>
        <v>269.19678772673058</v>
      </c>
      <c r="N118" s="265">
        <f>VTR!N122/Forex!I$38*1000+PR!N118</f>
        <v>253.30630739731555</v>
      </c>
      <c r="O118" s="265">
        <f>VTR!O122/Forex!J$38*1000+PR!O118</f>
        <v>256.10397364916952</v>
      </c>
      <c r="P118" s="265">
        <f>VTR!P122/Forex!K$38*1000+PR!P118</f>
        <v>224.8275494672755</v>
      </c>
      <c r="Q118" s="265">
        <f>VTR!Q122/Forex!L$38*1000+PR!Q118</f>
        <v>286.20563138669939</v>
      </c>
      <c r="R118" s="265">
        <f>VTR!R122/Forex!M$38*1000+PR!R118</f>
        <v>344.54623921085084</v>
      </c>
      <c r="S118" s="265">
        <f>VTR!S122/Forex!N$38*1000+PR!S118</f>
        <v>368.14695681374383</v>
      </c>
      <c r="T118" s="265">
        <f ca="1">VTR!T122/Forex!O$38*1000+PR!T118</f>
        <v>289.3751385858975</v>
      </c>
      <c r="U118" s="265">
        <f ca="1">VTR!U122/Forex!P$38*1000+PR!U118</f>
        <v>255.37372365336742</v>
      </c>
      <c r="V118" s="265">
        <f ca="1">VTR!V122/Forex!Q$38*1000+PR!V118</f>
        <v>262.61026529877711</v>
      </c>
      <c r="W118" s="265">
        <f ca="1">VTR!W122/Forex!R$38*1000+PR!W118</f>
        <v>242.1934187857367</v>
      </c>
      <c r="X118" s="265">
        <f ca="1">VTR!X122/Forex!S$38*1000+PR!X118</f>
        <v>265.91422245926196</v>
      </c>
      <c r="Y118" s="265">
        <f ca="1">VTR!Y122/Forex!T$38*1000+PR!Y118</f>
        <v>271.26552969551733</v>
      </c>
      <c r="Z118" s="265">
        <f ca="1">VTR!Z122/Forex!U$38*1000+PR!Z118</f>
        <v>279.57563209749225</v>
      </c>
      <c r="AA118" s="265"/>
      <c r="AB118" s="91"/>
      <c r="AC118" s="91"/>
      <c r="AD118" s="92" t="s">
        <v>19</v>
      </c>
      <c r="AE118" s="91"/>
      <c r="AF118" s="91"/>
      <c r="AG118" s="91"/>
      <c r="AH118" s="91"/>
      <c r="AI118" s="91"/>
      <c r="AJ118" s="91"/>
      <c r="AK118" s="91"/>
      <c r="AL118" s="91"/>
      <c r="AM118" s="91"/>
      <c r="AN118" s="91"/>
      <c r="AO118" s="91"/>
      <c r="AP118" s="91"/>
      <c r="AQ118" s="91"/>
      <c r="AR118" s="91"/>
      <c r="AS118" s="91"/>
      <c r="AT118" s="91"/>
      <c r="AU118" s="91"/>
      <c r="AV118" s="91"/>
      <c r="AW118" s="246"/>
      <c r="AX118" s="246"/>
      <c r="AY118" s="246"/>
      <c r="AZ118" s="265">
        <v>0</v>
      </c>
      <c r="BA118" s="265">
        <v>0</v>
      </c>
      <c r="BB118" s="265">
        <v>0</v>
      </c>
      <c r="BC118" s="265">
        <v>0</v>
      </c>
      <c r="BD118" s="265">
        <v>46.771920000000009</v>
      </c>
      <c r="BE118" s="265">
        <v>45.159140000000001</v>
      </c>
      <c r="BF118" s="265">
        <v>54.122399999999999</v>
      </c>
      <c r="BG118" s="265">
        <v>35.91216</v>
      </c>
      <c r="BH118" s="265">
        <v>43.590339999999991</v>
      </c>
      <c r="BI118" s="265">
        <v>44.952599999999997</v>
      </c>
      <c r="BJ118" s="265">
        <v>35.468960000000003</v>
      </c>
      <c r="BK118" s="265">
        <v>31.588539999999984</v>
      </c>
      <c r="BL118" s="265">
        <v>41.793523387766392</v>
      </c>
      <c r="BM118" s="265">
        <v>60.244026436197252</v>
      </c>
      <c r="BN118" s="265">
        <v>50.673840000000006</v>
      </c>
      <c r="BO118" s="265">
        <v>27.016239999999989</v>
      </c>
      <c r="BP118" s="265">
        <v>47.391423108440328</v>
      </c>
      <c r="BQ118" s="265">
        <v>50.381459622858792</v>
      </c>
      <c r="BR118" s="265">
        <v>49.004377912724209</v>
      </c>
      <c r="BS118" s="265">
        <v>38.525730180806661</v>
      </c>
      <c r="BT118" s="265">
        <v>87.679013641133253</v>
      </c>
      <c r="BU118" s="265">
        <v>74.96837716484923</v>
      </c>
      <c r="BV118" s="265">
        <v>68.170484416072114</v>
      </c>
      <c r="BW118" s="265">
        <v>48.492139999999957</v>
      </c>
      <c r="BX118" s="265">
        <v>74.532278547994508</v>
      </c>
      <c r="BY118" s="265">
        <v>73.041313393482469</v>
      </c>
      <c r="BZ118" s="265">
        <v>55.478326921179836</v>
      </c>
      <c r="CA118" s="265">
        <v>51.368544019805064</v>
      </c>
      <c r="CB118" s="265">
        <v>58.979191494756662</v>
      </c>
      <c r="CC118" s="265">
        <v>75.567352935874098</v>
      </c>
      <c r="CD118" s="265">
        <v>63.750262169692149</v>
      </c>
      <c r="CE118" s="265">
        <v>57.952415164324762</v>
      </c>
      <c r="CF118" s="265">
        <v>56.205275291782073</v>
      </c>
    </row>
    <row r="119" spans="1:84">
      <c r="A119" s="92" t="s">
        <v>654</v>
      </c>
      <c r="B119" s="91"/>
      <c r="C119" s="91"/>
      <c r="D119" s="91"/>
      <c r="E119" s="91"/>
      <c r="F119" s="91"/>
      <c r="G119" s="147"/>
      <c r="H119" s="147"/>
      <c r="I119" s="147"/>
      <c r="J119" s="147"/>
      <c r="K119" s="147"/>
      <c r="L119" s="103"/>
      <c r="M119" s="103">
        <f>+M118/M109</f>
        <v>0.24798602665832692</v>
      </c>
      <c r="N119" s="103">
        <f>+N118/N109</f>
        <v>0.19663306602542766</v>
      </c>
      <c r="O119" s="103">
        <f t="shared" ref="O119:Z119" si="90">+O118/O109</f>
        <v>0.21273738038510059</v>
      </c>
      <c r="P119" s="103">
        <f t="shared" si="90"/>
        <v>0.18541968561739239</v>
      </c>
      <c r="Q119" s="103">
        <f t="shared" si="90"/>
        <v>0.22370143457156977</v>
      </c>
      <c r="R119" s="103">
        <f t="shared" si="90"/>
        <v>0.27067578131432651</v>
      </c>
      <c r="S119" s="103">
        <f t="shared" si="90"/>
        <v>0.27561756980255292</v>
      </c>
      <c r="T119" s="103">
        <f t="shared" ca="1" si="90"/>
        <v>0.21286872796958176</v>
      </c>
      <c r="U119" s="103">
        <f t="shared" ca="1" si="90"/>
        <v>0.19693518665846707</v>
      </c>
      <c r="V119" s="103">
        <f t="shared" ca="1" si="90"/>
        <v>0.18999999999999997</v>
      </c>
      <c r="W119" s="103">
        <f t="shared" ca="1" si="90"/>
        <v>0.18615354072508744</v>
      </c>
      <c r="X119" s="103">
        <f t="shared" ca="1" si="90"/>
        <v>0.18566449905204357</v>
      </c>
      <c r="Y119" s="103">
        <f t="shared" ca="1" si="90"/>
        <v>0.18497367858165137</v>
      </c>
      <c r="Z119" s="103">
        <f t="shared" ca="1" si="90"/>
        <v>0.18429655587343155</v>
      </c>
      <c r="AA119" s="103"/>
      <c r="AB119" s="91"/>
      <c r="AC119" s="91"/>
      <c r="AD119" s="92" t="s">
        <v>654</v>
      </c>
      <c r="AE119" s="91"/>
      <c r="AF119" s="91"/>
      <c r="AG119" s="91"/>
      <c r="AH119" s="91"/>
      <c r="AI119" s="91"/>
      <c r="AJ119" s="91"/>
      <c r="AK119" s="91"/>
      <c r="AL119" s="91"/>
      <c r="AM119" s="91"/>
      <c r="AN119" s="91"/>
      <c r="AO119" s="91"/>
      <c r="AP119" s="91"/>
      <c r="AQ119" s="91"/>
      <c r="AR119" s="91"/>
      <c r="AS119" s="91"/>
      <c r="AT119" s="91"/>
      <c r="AU119" s="91"/>
      <c r="AV119" s="91"/>
      <c r="AW119" s="245"/>
      <c r="AX119" s="245"/>
      <c r="AY119" s="245"/>
      <c r="AZ119" s="245" t="e">
        <f t="shared" ref="AZ119:CF119" si="91">+AZ118/AZ109</f>
        <v>#DIV/0!</v>
      </c>
      <c r="BA119" s="245" t="e">
        <f t="shared" si="91"/>
        <v>#DIV/0!</v>
      </c>
      <c r="BB119" s="245" t="e">
        <f t="shared" si="91"/>
        <v>#DIV/0!</v>
      </c>
      <c r="BC119" s="245" t="e">
        <f t="shared" si="91"/>
        <v>#DIV/0!</v>
      </c>
      <c r="BD119" s="245">
        <f t="shared" si="91"/>
        <v>0.25080385852090037</v>
      </c>
      <c r="BE119" s="245">
        <f t="shared" si="91"/>
        <v>0.2319422150882825</v>
      </c>
      <c r="BF119" s="245">
        <f t="shared" si="91"/>
        <v>0.30050083472454092</v>
      </c>
      <c r="BG119" s="245">
        <f t="shared" si="91"/>
        <v>0.23407917383821</v>
      </c>
      <c r="BH119" s="245">
        <f t="shared" si="91"/>
        <v>0.27973199329983245</v>
      </c>
      <c r="BI119" s="245">
        <f t="shared" si="91"/>
        <v>0.26025236593059936</v>
      </c>
      <c r="BJ119" s="245">
        <f t="shared" si="91"/>
        <v>0.19729514717581545</v>
      </c>
      <c r="BK119" s="245">
        <f t="shared" si="91"/>
        <v>0.16411042944785259</v>
      </c>
      <c r="BL119" s="245">
        <f t="shared" si="91"/>
        <v>0.22965779467680605</v>
      </c>
      <c r="BM119" s="245">
        <f t="shared" si="91"/>
        <v>0.3147410358565737</v>
      </c>
      <c r="BN119" s="245">
        <f t="shared" si="91"/>
        <v>0.24623115577889451</v>
      </c>
      <c r="BO119" s="245">
        <f t="shared" si="91"/>
        <v>0.12340309669659977</v>
      </c>
      <c r="BP119" s="245">
        <f t="shared" si="91"/>
        <v>0.22172523961661347</v>
      </c>
      <c r="BQ119" s="245">
        <f t="shared" si="91"/>
        <v>0.22040302267002518</v>
      </c>
      <c r="BR119" s="245">
        <f t="shared" si="91"/>
        <v>0.21132764920828265</v>
      </c>
      <c r="BS119" s="245">
        <f t="shared" si="91"/>
        <v>0.17323327079424633</v>
      </c>
      <c r="BT119" s="245">
        <f t="shared" si="91"/>
        <v>0.34560115743450243</v>
      </c>
      <c r="BU119" s="245">
        <f t="shared" si="91"/>
        <v>0.29125243653787575</v>
      </c>
      <c r="BV119" s="245">
        <f t="shared" si="91"/>
        <v>0.25136609297961687</v>
      </c>
      <c r="BW119" s="245">
        <f t="shared" si="91"/>
        <v>0.15961863067807752</v>
      </c>
      <c r="BX119" s="245">
        <f t="shared" si="91"/>
        <v>0.23032224520393851</v>
      </c>
      <c r="BY119" s="245">
        <f t="shared" si="91"/>
        <v>0.22350463094700881</v>
      </c>
      <c r="BZ119" s="245">
        <f t="shared" si="91"/>
        <v>0.173641085825289</v>
      </c>
      <c r="CA119" s="245">
        <f t="shared" si="91"/>
        <v>0.16108041398496414</v>
      </c>
      <c r="CB119" s="245">
        <f t="shared" si="91"/>
        <v>0.1965973049825222</v>
      </c>
      <c r="CC119" s="245">
        <f t="shared" si="91"/>
        <v>0.24658296929757698</v>
      </c>
      <c r="CD119" s="245">
        <f t="shared" si="91"/>
        <v>0.21258612245341713</v>
      </c>
      <c r="CE119" s="245">
        <f t="shared" si="91"/>
        <v>0.19454518305440238</v>
      </c>
      <c r="CF119" s="245">
        <f t="shared" si="91"/>
        <v>0.1954217222388322</v>
      </c>
    </row>
    <row r="120" spans="1:84">
      <c r="A120" s="92" t="s">
        <v>27</v>
      </c>
      <c r="B120" s="91"/>
      <c r="C120" s="91"/>
      <c r="D120" s="91"/>
      <c r="E120" s="91"/>
      <c r="F120" s="91"/>
      <c r="G120" s="147"/>
      <c r="H120" s="147"/>
      <c r="I120" s="147"/>
      <c r="J120" s="147"/>
      <c r="K120" s="147"/>
      <c r="L120" s="144">
        <f t="shared" ref="L120:Y120" si="92">L115-L118</f>
        <v>381.91438967912671</v>
      </c>
      <c r="M120" s="144">
        <f t="shared" si="92"/>
        <v>97.115789906634348</v>
      </c>
      <c r="N120" s="144">
        <f t="shared" si="92"/>
        <v>207.00610556060155</v>
      </c>
      <c r="O120" s="144">
        <f t="shared" si="92"/>
        <v>220.97875113883242</v>
      </c>
      <c r="P120" s="144">
        <f t="shared" si="92"/>
        <v>267.35205479452048</v>
      </c>
      <c r="Q120" s="144">
        <f t="shared" si="92"/>
        <v>251.39444551248874</v>
      </c>
      <c r="R120" s="144">
        <f t="shared" si="92"/>
        <v>171.00616522811339</v>
      </c>
      <c r="S120" s="144">
        <f t="shared" si="92"/>
        <v>172.0812094958917</v>
      </c>
      <c r="T120" s="144">
        <f t="shared" ca="1" si="92"/>
        <v>276.79724569387372</v>
      </c>
      <c r="U120" s="144">
        <f t="shared" ca="1" si="92"/>
        <v>287.40997142905542</v>
      </c>
      <c r="V120" s="144">
        <f t="shared" ca="1" si="92"/>
        <v>320.99402956669951</v>
      </c>
      <c r="W120" s="144">
        <f t="shared" ca="1" si="92"/>
        <v>314.12814578874332</v>
      </c>
      <c r="X120" s="144">
        <f t="shared" ca="1" si="92"/>
        <v>346.15957903467233</v>
      </c>
      <c r="Y120" s="144">
        <f t="shared" ca="1" si="92"/>
        <v>356.73779175194215</v>
      </c>
      <c r="Z120" s="144">
        <f ca="1">Z115-Z118</f>
        <v>371.03802740930774</v>
      </c>
      <c r="AA120" s="144"/>
      <c r="AB120" s="91"/>
      <c r="AC120" s="91"/>
      <c r="AD120" s="92" t="s">
        <v>27</v>
      </c>
      <c r="AE120" s="91"/>
      <c r="AF120" s="91"/>
      <c r="AG120" s="91"/>
      <c r="AH120" s="91"/>
      <c r="AI120" s="91"/>
      <c r="AJ120" s="91"/>
      <c r="AK120" s="91"/>
      <c r="AL120" s="91"/>
      <c r="AM120" s="91"/>
      <c r="AN120" s="91"/>
      <c r="AO120" s="91"/>
      <c r="AP120" s="91"/>
      <c r="AQ120" s="91"/>
      <c r="AR120" s="91"/>
      <c r="AS120" s="91"/>
      <c r="AT120" s="91"/>
      <c r="AU120" s="91"/>
      <c r="AV120" s="91"/>
      <c r="AW120" s="245"/>
      <c r="AX120" s="245"/>
      <c r="AY120" s="245"/>
      <c r="AZ120" s="144">
        <f t="shared" ref="AZ120:CE120" si="93">AZ115-AZ118</f>
        <v>0</v>
      </c>
      <c r="BA120" s="144">
        <f t="shared" si="93"/>
        <v>0</v>
      </c>
      <c r="BB120" s="144">
        <f t="shared" si="93"/>
        <v>0</v>
      </c>
      <c r="BC120" s="144">
        <f t="shared" si="93"/>
        <v>0</v>
      </c>
      <c r="BD120" s="144">
        <f t="shared" si="93"/>
        <v>28.782720000000012</v>
      </c>
      <c r="BE120" s="144">
        <f t="shared" si="93"/>
        <v>36.877360000000003</v>
      </c>
      <c r="BF120" s="144">
        <f t="shared" si="93"/>
        <v>18.040800000000019</v>
      </c>
      <c r="BG120" s="144">
        <f t="shared" si="93"/>
        <v>30.102839999999958</v>
      </c>
      <c r="BH120" s="144">
        <f t="shared" si="93"/>
        <v>17.749360000000003</v>
      </c>
      <c r="BI120" s="144">
        <f t="shared" si="93"/>
        <v>25.200699999999991</v>
      </c>
      <c r="BJ120" s="144">
        <f t="shared" si="93"/>
        <v>39.187479999999987</v>
      </c>
      <c r="BK120" s="144">
        <f t="shared" si="93"/>
        <v>50.630230000000068</v>
      </c>
      <c r="BL120" s="144">
        <f t="shared" si="93"/>
        <v>28.369775809576531</v>
      </c>
      <c r="BM120" s="144">
        <f t="shared" si="93"/>
        <v>19.700050838840902</v>
      </c>
      <c r="BN120" s="144">
        <f t="shared" si="93"/>
        <v>38.651729999999993</v>
      </c>
      <c r="BO120" s="144">
        <f t="shared" si="93"/>
        <v>66.60403891612691</v>
      </c>
      <c r="BP120" s="144">
        <f t="shared" si="93"/>
        <v>42.474733679322604</v>
      </c>
      <c r="BQ120" s="144">
        <f t="shared" si="93"/>
        <v>43.472002303152458</v>
      </c>
      <c r="BR120" s="144">
        <f t="shared" si="93"/>
        <v>46.46236407287104</v>
      </c>
      <c r="BS120" s="144">
        <f t="shared" si="93"/>
        <v>62.169680111265606</v>
      </c>
      <c r="BT120" s="144">
        <f t="shared" si="93"/>
        <v>-1.4790136411332497</v>
      </c>
      <c r="BU120" s="144">
        <f t="shared" si="93"/>
        <v>11.831622835150782</v>
      </c>
      <c r="BV120" s="144">
        <f t="shared" si="93"/>
        <v>24.329515583927886</v>
      </c>
      <c r="BW120" s="144">
        <f t="shared" si="93"/>
        <v>53.107860000000038</v>
      </c>
      <c r="BX120" s="144">
        <f t="shared" si="93"/>
        <v>34.267753201396957</v>
      </c>
      <c r="BY120" s="144">
        <f t="shared" si="93"/>
        <v>37.580558645408487</v>
      </c>
      <c r="BZ120" s="144">
        <f t="shared" si="93"/>
        <v>56.064802209726729</v>
      </c>
      <c r="CA120" s="144">
        <f t="shared" si="93"/>
        <v>78.531455980194977</v>
      </c>
      <c r="CB120" s="144">
        <f t="shared" si="93"/>
        <v>52.991170557658535</v>
      </c>
      <c r="CC120" s="144">
        <f t="shared" si="93"/>
        <v>43.366063927599185</v>
      </c>
      <c r="CD120" s="144">
        <f t="shared" si="93"/>
        <v>55.747438005087645</v>
      </c>
      <c r="CE120" s="144">
        <f t="shared" si="93"/>
        <v>68.244946617433271</v>
      </c>
      <c r="CF120" s="144">
        <f>CF115-CF118</f>
        <v>52.982078416932154</v>
      </c>
    </row>
    <row r="121" spans="1:84">
      <c r="A121" s="92" t="s">
        <v>651</v>
      </c>
      <c r="B121" s="91"/>
      <c r="C121" s="91"/>
      <c r="D121" s="91"/>
      <c r="E121" s="91"/>
      <c r="F121" s="91"/>
      <c r="G121" s="147"/>
      <c r="H121" s="147"/>
      <c r="I121" s="147"/>
      <c r="J121" s="147"/>
      <c r="K121" s="147"/>
      <c r="L121" s="103">
        <f t="shared" ref="L121:Y121" si="94">L120/L109</f>
        <v>0.38020705499475743</v>
      </c>
      <c r="M121" s="103">
        <f t="shared" si="94"/>
        <v>8.94637676329883E-2</v>
      </c>
      <c r="N121" s="103">
        <f t="shared" si="94"/>
        <v>0.16069179500737446</v>
      </c>
      <c r="O121" s="103">
        <f t="shared" si="94"/>
        <v>0.18355998139429383</v>
      </c>
      <c r="P121" s="103">
        <f t="shared" si="94"/>
        <v>0.22049047844280886</v>
      </c>
      <c r="Q121" s="103">
        <f t="shared" si="94"/>
        <v>0.19649263304845488</v>
      </c>
      <c r="R121" s="103">
        <f t="shared" si="94"/>
        <v>0.13434257035776312</v>
      </c>
      <c r="S121" s="103">
        <f t="shared" si="94"/>
        <v>0.12883063106219608</v>
      </c>
      <c r="T121" s="103">
        <f t="shared" ca="1" si="94"/>
        <v>0.20361623975118567</v>
      </c>
      <c r="U121" s="103">
        <f t="shared" ca="1" si="94"/>
        <v>0.22164040826578343</v>
      </c>
      <c r="V121" s="103">
        <f t="shared" ca="1" si="94"/>
        <v>0.23224098093912898</v>
      </c>
      <c r="W121" s="103">
        <f t="shared" ca="1" si="94"/>
        <v>0.24144366462621988</v>
      </c>
      <c r="X121" s="103">
        <f t="shared" ca="1" si="94"/>
        <v>0.24169276934175571</v>
      </c>
      <c r="Y121" s="103">
        <f t="shared" ca="1" si="94"/>
        <v>0.2432564937517834</v>
      </c>
      <c r="Z121" s="103">
        <f ca="1">Z120/Z109</f>
        <v>0.24458866474372062</v>
      </c>
      <c r="AA121" s="103"/>
      <c r="AB121" s="91"/>
      <c r="AC121" s="91"/>
      <c r="AD121" s="92" t="s">
        <v>651</v>
      </c>
      <c r="AE121" s="91"/>
      <c r="AF121" s="91"/>
      <c r="AG121" s="91"/>
      <c r="AH121" s="91"/>
      <c r="AI121" s="91"/>
      <c r="AJ121" s="91"/>
      <c r="AK121" s="91"/>
      <c r="AL121" s="91"/>
      <c r="AM121" s="91"/>
      <c r="AN121" s="91"/>
      <c r="AO121" s="91"/>
      <c r="AP121" s="91"/>
      <c r="AQ121" s="91"/>
      <c r="AR121" s="91"/>
      <c r="AS121" s="91"/>
      <c r="AT121" s="91"/>
      <c r="AU121" s="91"/>
      <c r="AV121" s="91"/>
      <c r="AW121" s="245"/>
      <c r="AX121" s="245"/>
      <c r="AY121" s="245"/>
      <c r="AZ121" s="147" t="e">
        <f t="shared" ref="AZ121:CE121" si="95">AZ120/AZ109</f>
        <v>#DIV/0!</v>
      </c>
      <c r="BA121" s="147" t="e">
        <f t="shared" si="95"/>
        <v>#DIV/0!</v>
      </c>
      <c r="BB121" s="147" t="e">
        <f t="shared" si="95"/>
        <v>#DIV/0!</v>
      </c>
      <c r="BC121" s="147" t="e">
        <f t="shared" si="95"/>
        <v>#DIV/0!</v>
      </c>
      <c r="BD121" s="147">
        <f t="shared" si="95"/>
        <v>0.15434083601286178</v>
      </c>
      <c r="BE121" s="147">
        <f t="shared" si="95"/>
        <v>0.18940609951845908</v>
      </c>
      <c r="BF121" s="147">
        <f t="shared" si="95"/>
        <v>0.10016694490818041</v>
      </c>
      <c r="BG121" s="147">
        <f t="shared" si="95"/>
        <v>0.19621342512908752</v>
      </c>
      <c r="BH121" s="147">
        <f t="shared" si="95"/>
        <v>0.11390284757118931</v>
      </c>
      <c r="BI121" s="147">
        <f t="shared" si="95"/>
        <v>0.14589905362776021</v>
      </c>
      <c r="BJ121" s="147">
        <f t="shared" si="95"/>
        <v>0.21797931583134439</v>
      </c>
      <c r="BK121" s="147">
        <f t="shared" si="95"/>
        <v>0.26303680981595118</v>
      </c>
      <c r="BL121" s="147">
        <f t="shared" si="95"/>
        <v>0.15589353612167303</v>
      </c>
      <c r="BM121" s="147">
        <f t="shared" si="95"/>
        <v>0.10292164674634809</v>
      </c>
      <c r="BN121" s="147">
        <f t="shared" si="95"/>
        <v>0.18781407035175879</v>
      </c>
      <c r="BO121" s="147">
        <f t="shared" si="95"/>
        <v>0.30422977641414595</v>
      </c>
      <c r="BP121" s="147">
        <f t="shared" si="95"/>
        <v>0.19872204472843458</v>
      </c>
      <c r="BQ121" s="147">
        <f t="shared" si="95"/>
        <v>0.19017632241813609</v>
      </c>
      <c r="BR121" s="147">
        <f t="shared" si="95"/>
        <v>0.20036540803897673</v>
      </c>
      <c r="BS121" s="147">
        <f t="shared" si="95"/>
        <v>0.27954971857410865</v>
      </c>
      <c r="BT121" s="147">
        <f t="shared" si="95"/>
        <v>-5.8297739106553011E-3</v>
      </c>
      <c r="BU121" s="147">
        <f t="shared" si="95"/>
        <v>4.5965900680461462E-2</v>
      </c>
      <c r="BV121" s="147">
        <f t="shared" si="95"/>
        <v>8.9710603185574792E-2</v>
      </c>
      <c r="BW121" s="147">
        <f t="shared" si="95"/>
        <v>0.17481191573403568</v>
      </c>
      <c r="BX121" s="147">
        <f t="shared" si="95"/>
        <v>0.10589540544313027</v>
      </c>
      <c r="BY121" s="147">
        <f t="shared" si="95"/>
        <v>0.11499558949023407</v>
      </c>
      <c r="BZ121" s="147">
        <f t="shared" si="95"/>
        <v>0.17547668923232154</v>
      </c>
      <c r="CA121" s="147">
        <f t="shared" si="95"/>
        <v>0.24625730943930693</v>
      </c>
      <c r="CB121" s="147">
        <f t="shared" si="95"/>
        <v>0.17663723519219512</v>
      </c>
      <c r="CC121" s="147">
        <f t="shared" si="95"/>
        <v>0.14150730963264299</v>
      </c>
      <c r="CD121" s="147">
        <f t="shared" si="95"/>
        <v>0.18589934031436894</v>
      </c>
      <c r="CE121" s="147">
        <f t="shared" si="95"/>
        <v>0.22909702028086598</v>
      </c>
      <c r="CF121" s="147">
        <f>CF120/CF109</f>
        <v>0.18421489723658743</v>
      </c>
    </row>
    <row r="122" spans="1:84">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row>
    <row r="123" spans="1:84">
      <c r="A123" s="92" t="s">
        <v>655</v>
      </c>
      <c r="B123" s="91"/>
      <c r="C123" s="91"/>
      <c r="D123" s="91"/>
      <c r="E123" s="91"/>
      <c r="F123" s="91"/>
      <c r="G123" s="97"/>
      <c r="H123" s="97"/>
      <c r="I123" s="97"/>
      <c r="J123" s="97"/>
      <c r="K123" s="97"/>
      <c r="L123" s="265">
        <f>VTR!L127/Forex!G$38*1000+PR!L123</f>
        <v>1004.4905391994707</v>
      </c>
      <c r="M123" s="265">
        <f>VTR!M127/Forex!H$38*1000+PR!M123</f>
        <v>1074.6325628264715</v>
      </c>
      <c r="N123" s="265">
        <f>VTR!N127/Forex!I$38*1000+PR!N123</f>
        <v>1267.6309213845998</v>
      </c>
      <c r="O123" s="265">
        <f>VTR!O127/Forex!J$38*1000+PR!O123</f>
        <v>1179.3216693531431</v>
      </c>
      <c r="P123" s="265">
        <f>VTR!P127/Forex!K$38*1000+PR!P123</f>
        <v>1177.0691019786912</v>
      </c>
      <c r="Q123" s="265">
        <f>VTR!Q127/Forex!L$38*1000+PR!Q123</f>
        <v>1235.044095769066</v>
      </c>
      <c r="R123" s="265">
        <f>VTR!R127/Forex!M$38*1000+PR!R123</f>
        <v>1218.965474722565</v>
      </c>
      <c r="S123" s="265">
        <f>VTR!S127/Forex!N$38*1000+PR!S123</f>
        <v>1271.2738177568904</v>
      </c>
      <c r="T123" s="265">
        <f ca="1">VTR!T127/Forex!O$38*1000+PR!T123</f>
        <v>1294.1893216230089</v>
      </c>
      <c r="U123" s="265">
        <f ca="1">VTR!U127/Forex!P$38*1000+PR!U123</f>
        <v>1233.460839219988</v>
      </c>
      <c r="V123" s="265">
        <f ca="1">VTR!V127/Forex!Q$38*1000+PR!V123</f>
        <v>1310.9407656320732</v>
      </c>
      <c r="W123" s="265">
        <f ca="1">VTR!W127/Forex!R$38*1000+PR!W123</f>
        <v>1234.4955882705081</v>
      </c>
      <c r="X123" s="265">
        <f ca="1">VTR!X127/Forex!S$38*1000+PR!X123</f>
        <v>1354.8659208981517</v>
      </c>
      <c r="Y123" s="265">
        <f ca="1">VTR!Y127/Forex!T$38*1000+PR!Y123</f>
        <v>1385.9155594459428</v>
      </c>
      <c r="Z123" s="265">
        <f ca="1">VTR!Z127/Forex!U$38*1000+PR!Z123</f>
        <v>1432.2259048281915</v>
      </c>
      <c r="AA123" s="265"/>
      <c r="AB123" s="91"/>
      <c r="AC123" s="91"/>
      <c r="AD123" s="92" t="s">
        <v>655</v>
      </c>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265">
        <v>79</v>
      </c>
    </row>
    <row r="124" spans="1:84">
      <c r="A124" s="92" t="s">
        <v>656</v>
      </c>
      <c r="B124" s="91"/>
      <c r="C124" s="91"/>
      <c r="D124" s="91"/>
      <c r="E124" s="91"/>
      <c r="F124" s="91"/>
      <c r="G124" s="97"/>
      <c r="H124" s="97"/>
      <c r="I124" s="97"/>
      <c r="J124" s="97"/>
      <c r="K124" s="97"/>
      <c r="L124" s="265">
        <f>VTR!L128/Forex!G$38*1000+PR!L124</f>
        <v>565.61300033079726</v>
      </c>
      <c r="M124" s="265">
        <f>VTR!M128/Forex!H$38*1000+PR!M124</f>
        <v>569.76570558960236</v>
      </c>
      <c r="N124" s="265">
        <f>VTR!N128/Forex!I$38*1000+PR!N124</f>
        <v>668.69829447976588</v>
      </c>
      <c r="O124" s="265">
        <f>VTR!O128/Forex!J$38*1000+PR!O124</f>
        <v>661.54917653654775</v>
      </c>
      <c r="P124" s="265">
        <f>VTR!P128/Forex!K$38*1000+PR!P124</f>
        <v>660.4569254185692</v>
      </c>
      <c r="Q124" s="265">
        <f>VTR!Q128/Forex!L$38*1000+PR!Q124</f>
        <v>704.41370870156231</v>
      </c>
      <c r="R124" s="265">
        <f>VTR!R128/Forex!M$38*1000+PR!R124</f>
        <v>679.07506165228119</v>
      </c>
      <c r="S124" s="265">
        <f>VTR!S128/Forex!N$38*1000+PR!S124</f>
        <v>747.88885304159362</v>
      </c>
      <c r="T124" s="265">
        <f ca="1">VTR!T128/Forex!O$38*1000+PR!T124</f>
        <v>756.62091646693898</v>
      </c>
      <c r="U124" s="265">
        <f ca="1">VTR!U128/Forex!P$38*1000+PR!U124</f>
        <v>720.84771578221489</v>
      </c>
      <c r="V124" s="265">
        <f ca="1">VTR!V128/Forex!Q$38*1000+PR!V124</f>
        <v>768.85797340613431</v>
      </c>
      <c r="W124" s="265">
        <f ca="1">VTR!W128/Forex!R$38*1000+PR!W124</f>
        <v>728.35176665719052</v>
      </c>
      <c r="X124" s="265">
        <f ca="1">VTR!X128/Forex!S$38*1000+PR!X124</f>
        <v>796.92663898951696</v>
      </c>
      <c r="Y124" s="265">
        <f ca="1">VTR!Y128/Forex!T$38*1000+PR!Y124</f>
        <v>814.08190930316971</v>
      </c>
      <c r="Z124" s="265">
        <f ca="1">VTR!Z128/Forex!U$38*1000+PR!Z124</f>
        <v>839.90604961422264</v>
      </c>
      <c r="AA124" s="265"/>
      <c r="AB124" s="91"/>
      <c r="AC124" s="91"/>
      <c r="AD124" s="92" t="s">
        <v>656</v>
      </c>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row>
    <row r="125" spans="1:84">
      <c r="A125" s="92" t="s">
        <v>654</v>
      </c>
      <c r="B125" s="91"/>
      <c r="C125" s="91"/>
      <c r="D125" s="91"/>
      <c r="E125" s="91"/>
      <c r="F125" s="91"/>
      <c r="G125" s="97"/>
      <c r="H125" s="97"/>
      <c r="I125" s="97"/>
      <c r="J125" s="97"/>
      <c r="K125" s="97"/>
      <c r="L125" s="103">
        <f>L124/L123</f>
        <v>0.56308444754647746</v>
      </c>
      <c r="M125" s="103">
        <f t="shared" ref="M125:Z125" si="96">M124/M123</f>
        <v>0.53019583185811803</v>
      </c>
      <c r="N125" s="103">
        <f t="shared" si="96"/>
        <v>0.52751813102615419</v>
      </c>
      <c r="O125" s="103">
        <f t="shared" si="96"/>
        <v>0.5609573653466462</v>
      </c>
      <c r="P125" s="103">
        <f t="shared" si="96"/>
        <v>0.56110293296147162</v>
      </c>
      <c r="Q125" s="103">
        <f t="shared" si="96"/>
        <v>0.57035510806026857</v>
      </c>
      <c r="R125" s="103">
        <f t="shared" si="96"/>
        <v>0.55709130056110723</v>
      </c>
      <c r="S125" s="103">
        <f t="shared" si="96"/>
        <v>0.58829879337970814</v>
      </c>
      <c r="T125" s="103">
        <f t="shared" ca="1" si="96"/>
        <v>0.58462923764359331</v>
      </c>
      <c r="U125" s="103">
        <f t="shared" ca="1" si="96"/>
        <v>0.58441070268437734</v>
      </c>
      <c r="V125" s="103">
        <f t="shared" ca="1" si="96"/>
        <v>0.58649329821963969</v>
      </c>
      <c r="W125" s="103">
        <f t="shared" ca="1" si="96"/>
        <v>0.58999948932793667</v>
      </c>
      <c r="X125" s="103">
        <f t="shared" ca="1" si="96"/>
        <v>0.58819594374418083</v>
      </c>
      <c r="Y125" s="103">
        <f t="shared" ca="1" si="96"/>
        <v>0.58739647141895213</v>
      </c>
      <c r="Z125" s="103">
        <f t="shared" ca="1" si="96"/>
        <v>0.58643405819068539</v>
      </c>
      <c r="AA125" s="103"/>
      <c r="AB125" s="91"/>
      <c r="AC125" s="91"/>
      <c r="AD125" s="92" t="s">
        <v>654</v>
      </c>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row>
    <row r="126" spans="1:84">
      <c r="A126" s="92" t="s">
        <v>657</v>
      </c>
      <c r="B126" s="91"/>
      <c r="C126" s="91"/>
      <c r="D126" s="91"/>
      <c r="E126" s="91"/>
      <c r="F126" s="91"/>
      <c r="G126" s="97"/>
      <c r="H126" s="97"/>
      <c r="I126" s="97"/>
      <c r="J126" s="97"/>
      <c r="K126" s="97"/>
      <c r="L126" s="265">
        <f>VTR!L130/Forex!G$38*1000+PR!L126</f>
        <v>438.87753886867353</v>
      </c>
      <c r="M126" s="265">
        <f>VTR!M130/Forex!H$38*1000+PR!M126</f>
        <v>504.86685723686918</v>
      </c>
      <c r="N126" s="265">
        <f>VTR!N130/Forex!I$38*1000+PR!N126</f>
        <v>598.93262690483391</v>
      </c>
      <c r="O126" s="265">
        <f>VTR!O130/Forex!J$38*1000+PR!O126</f>
        <v>517.77249281659545</v>
      </c>
      <c r="P126" s="265">
        <f>VTR!P130/Forex!K$38*1000+PR!P126</f>
        <v>516.61217656012184</v>
      </c>
      <c r="Q126" s="265">
        <f>VTR!Q130/Forex!L$38*1000+PR!Q126</f>
        <v>530.63038706750353</v>
      </c>
      <c r="R126" s="265">
        <f>VTR!R130/Forex!M$38*1000+PR!R126</f>
        <v>539.89041307028367</v>
      </c>
      <c r="S126" s="265">
        <f>VTR!S130/Forex!N$38*1000+PR!S126</f>
        <v>523.38496471529663</v>
      </c>
      <c r="T126" s="265">
        <f ca="1">VTR!T130/Forex!O$38*1000+PR!T126</f>
        <v>537.56840515606996</v>
      </c>
      <c r="U126" s="265">
        <f ca="1">VTR!U130/Forex!P$38*1000+PR!U126</f>
        <v>512.61312343777286</v>
      </c>
      <c r="V126" s="265">
        <f ca="1">VTR!V130/Forex!Q$38*1000+PR!V126</f>
        <v>542.08279222593887</v>
      </c>
      <c r="W126" s="265">
        <f ca="1">VTR!W130/Forex!R$38*1000+PR!W126</f>
        <v>506.14382161331764</v>
      </c>
      <c r="X126" s="265">
        <f ca="1">VTR!X130/Forex!S$38*1000+PR!X126</f>
        <v>557.93928190863494</v>
      </c>
      <c r="Y126" s="265">
        <f ca="1">VTR!Y130/Forex!T$38*1000+PR!Y126</f>
        <v>571.83365014277319</v>
      </c>
      <c r="Z126" s="265">
        <f ca="1">VTR!Z130/Forex!U$38*1000+PR!Z126</f>
        <v>592.31985521396905</v>
      </c>
      <c r="AA126" s="265"/>
      <c r="AB126" s="91"/>
      <c r="AC126" s="91"/>
      <c r="AD126" s="92" t="s">
        <v>657</v>
      </c>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row>
    <row r="127" spans="1:84">
      <c r="A127" s="92" t="s">
        <v>658</v>
      </c>
      <c r="B127" s="91"/>
      <c r="C127" s="91"/>
      <c r="D127" s="91"/>
      <c r="E127" s="91"/>
      <c r="F127" s="91"/>
      <c r="G127" s="97"/>
      <c r="H127" s="97"/>
      <c r="I127" s="97"/>
      <c r="J127" s="97"/>
      <c r="K127" s="97"/>
      <c r="L127" s="265">
        <f>VTR!L131/Forex!G$38*1000+PR!L127</f>
        <v>148.84465762487596</v>
      </c>
      <c r="M127" s="265">
        <f>VTR!M131/Forex!H$38*1000+PR!M127</f>
        <v>104.93485378192737</v>
      </c>
      <c r="N127" s="265">
        <f>VTR!N131/Forex!I$38*1000+PR!N127</f>
        <v>120.17956403269757</v>
      </c>
      <c r="O127" s="265">
        <f>VTR!O131/Forex!J$38*1000+PR!O127</f>
        <v>131.90495479711262</v>
      </c>
      <c r="P127" s="265">
        <f>VTR!P131/Forex!K$38*1000+PR!P127</f>
        <v>140.5080479452055</v>
      </c>
      <c r="Q127" s="265">
        <f>VTR!Q131/Forex!L$38*1000+PR!Q127</f>
        <v>142.18051197113323</v>
      </c>
      <c r="R127" s="265">
        <f>VTR!R131/Forex!M$38*1000+PR!R127</f>
        <v>151.72659802712701</v>
      </c>
      <c r="S127" s="265">
        <f>VTR!S131/Forex!N$38*1000+PR!S127</f>
        <v>192.72204288237469</v>
      </c>
      <c r="T127" s="265">
        <f ca="1">VTR!T131/Forex!O$38*1000+PR!T127</f>
        <v>179.66099714754858</v>
      </c>
      <c r="U127" s="265">
        <f ca="1">VTR!U131/Forex!P$38*1000+PR!U127</f>
        <v>170.80654363316245</v>
      </c>
      <c r="V127" s="265">
        <f ca="1">VTR!V131/Forex!Q$38*1000+PR!V127</f>
        <v>180.32681821746553</v>
      </c>
      <c r="W127" s="265">
        <f ca="1">VTR!W131/Forex!R$38*1000+PR!W127</f>
        <v>169.53712794413255</v>
      </c>
      <c r="X127" s="265">
        <f ca="1">VTR!X131/Forex!S$38*1000+PR!X127</f>
        <v>184.49500467066309</v>
      </c>
      <c r="Y127" s="265">
        <f ca="1">VTR!Y131/Forex!T$38*1000+PR!Y127</f>
        <v>187.69796181860181</v>
      </c>
      <c r="Z127" s="265">
        <f ca="1">VTR!Z131/Forex!U$38*1000+PR!Z127</f>
        <v>192.79996384206967</v>
      </c>
      <c r="AA127" s="265"/>
      <c r="AB127" s="91"/>
      <c r="AC127" s="91"/>
      <c r="AD127" s="92" t="s">
        <v>658</v>
      </c>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row>
    <row r="128" spans="1:84">
      <c r="A128" s="92" t="s">
        <v>654</v>
      </c>
      <c r="B128" s="91"/>
      <c r="C128" s="91"/>
      <c r="D128" s="91"/>
      <c r="E128" s="91"/>
      <c r="F128" s="91"/>
      <c r="G128" s="97"/>
      <c r="H128" s="97"/>
      <c r="I128" s="97"/>
      <c r="J128" s="97"/>
      <c r="K128" s="97"/>
      <c r="L128" s="103">
        <f>L127/L123</f>
        <v>0.14817925288126435</v>
      </c>
      <c r="M128" s="103">
        <f t="shared" ref="M128:Z128" si="97">M127/M123</f>
        <v>9.764719347972331E-2</v>
      </c>
      <c r="N128" s="103">
        <f t="shared" si="97"/>
        <v>9.4806431434654975E-2</v>
      </c>
      <c r="O128" s="103">
        <f t="shared" si="97"/>
        <v>0.11184815663521419</v>
      </c>
      <c r="P128" s="103">
        <f t="shared" si="97"/>
        <v>0.11937111228984512</v>
      </c>
      <c r="Q128" s="103">
        <f t="shared" si="97"/>
        <v>0.11512181019139804</v>
      </c>
      <c r="R128" s="103">
        <f t="shared" si="97"/>
        <v>0.12447161234132557</v>
      </c>
      <c r="S128" s="103">
        <f t="shared" si="97"/>
        <v>0.1515975867594164</v>
      </c>
      <c r="T128" s="103">
        <f t="shared" ca="1" si="97"/>
        <v>0.13882126374079523</v>
      </c>
      <c r="U128" s="103">
        <f t="shared" ca="1" si="97"/>
        <v>0.13847747589714851</v>
      </c>
      <c r="V128" s="103">
        <f t="shared" ca="1" si="97"/>
        <v>0.13755527552804458</v>
      </c>
      <c r="W128" s="103">
        <f t="shared" ca="1" si="97"/>
        <v>0.13733311771623993</v>
      </c>
      <c r="X128" s="103">
        <f t="shared" ca="1" si="97"/>
        <v>0.13617214945399161</v>
      </c>
      <c r="Y128" s="103">
        <f t="shared" ca="1" si="97"/>
        <v>0.13543246595314878</v>
      </c>
      <c r="Z128" s="103">
        <f t="shared" ca="1" si="97"/>
        <v>0.13461561000406411</v>
      </c>
      <c r="AA128" s="103"/>
      <c r="AB128" s="91"/>
      <c r="AC128" s="91"/>
      <c r="AD128" s="92" t="s">
        <v>654</v>
      </c>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row>
    <row r="129" spans="1:84">
      <c r="A129" s="92" t="s">
        <v>659</v>
      </c>
      <c r="B129" s="91"/>
      <c r="C129" s="91"/>
      <c r="D129" s="91"/>
      <c r="E129" s="91"/>
      <c r="F129" s="91"/>
      <c r="G129" s="97"/>
      <c r="H129" s="97"/>
      <c r="I129" s="97"/>
      <c r="J129" s="97"/>
      <c r="K129" s="97"/>
      <c r="L129" s="265">
        <f>VTR!L133/Forex!G$38*1000+PR!L129</f>
        <v>417.26834270592127</v>
      </c>
      <c r="M129" s="265">
        <f>VTR!M133/Forex!H$38*1000+PR!M129</f>
        <v>465.23085180767504</v>
      </c>
      <c r="N129" s="265">
        <f>VTR!N133/Forex!I$38*1000+PR!N129</f>
        <v>548.91873044706836</v>
      </c>
      <c r="O129" s="265">
        <f>VTR!O133/Forex!J$38*1000+PR!O129</f>
        <v>529.64422173943512</v>
      </c>
      <c r="P129" s="265">
        <f>VTR!P133/Forex!K$38*1000+PR!P129</f>
        <v>519.94887747336372</v>
      </c>
      <c r="Q129" s="265">
        <f>VTR!Q133/Forex!L$38*1000+PR!Q129</f>
        <v>552.2331967304292</v>
      </c>
      <c r="R129" s="265">
        <f>VTR!R133/Forex!M$38*1000+PR!R129</f>
        <v>537.08446362515429</v>
      </c>
      <c r="S129" s="265">
        <f>VTR!S133/Forex!N$38*1000+PR!S129</f>
        <v>555.16681015921893</v>
      </c>
      <c r="T129" s="265">
        <f ca="1">VTR!T133/Forex!O$38*1000+PR!T129</f>
        <v>576.95991931939045</v>
      </c>
      <c r="U129" s="265">
        <f ca="1">VTR!U133/Forex!P$38*1000+PR!U129</f>
        <v>550.04117214905239</v>
      </c>
      <c r="V129" s="265">
        <f ca="1">VTR!V133/Forex!Q$38*1000+PR!V129</f>
        <v>588.53115518866878</v>
      </c>
      <c r="W129" s="265">
        <f ca="1">VTR!W133/Forex!R$38*1000+PR!W129</f>
        <v>558.814638713058</v>
      </c>
      <c r="X129" s="265">
        <f ca="1">VTR!X133/Forex!S$38*1000+PR!X129</f>
        <v>612.43163431885364</v>
      </c>
      <c r="Y129" s="265">
        <f ca="1">VTR!Y133/Forex!T$38*1000+PR!Y129</f>
        <v>626.3839474845679</v>
      </c>
      <c r="Z129" s="265">
        <f ca="1">VTR!Z133/Forex!U$38*1000+PR!Z129</f>
        <v>647.10608577215282</v>
      </c>
      <c r="AA129" s="265"/>
      <c r="AB129" s="91"/>
      <c r="AC129" s="91"/>
      <c r="AD129" s="92" t="s">
        <v>759</v>
      </c>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row>
    <row r="130" spans="1:84">
      <c r="A130" s="92" t="s">
        <v>654</v>
      </c>
      <c r="B130" s="91"/>
      <c r="C130" s="91"/>
      <c r="D130" s="91"/>
      <c r="E130" s="91"/>
      <c r="F130" s="91"/>
      <c r="G130" s="97"/>
      <c r="H130" s="97"/>
      <c r="I130" s="97"/>
      <c r="J130" s="97"/>
      <c r="K130" s="97"/>
      <c r="L130" s="103">
        <f>L129/L123</f>
        <v>0.4154029594330112</v>
      </c>
      <c r="M130" s="103">
        <f t="shared" ref="M130:Z130" si="98">M129/M123</f>
        <v>0.43292085862728424</v>
      </c>
      <c r="N130" s="103">
        <f t="shared" si="98"/>
        <v>0.43302724885213351</v>
      </c>
      <c r="O130" s="103">
        <f t="shared" si="98"/>
        <v>0.44910920871143201</v>
      </c>
      <c r="P130" s="103">
        <f t="shared" si="98"/>
        <v>0.44173182067162658</v>
      </c>
      <c r="Q130" s="103">
        <f t="shared" si="98"/>
        <v>0.44713642097657397</v>
      </c>
      <c r="R130" s="103">
        <f t="shared" si="98"/>
        <v>0.44060678892270844</v>
      </c>
      <c r="S130" s="103">
        <f t="shared" si="98"/>
        <v>0.43670120662029177</v>
      </c>
      <c r="T130" s="103">
        <f t="shared" ca="1" si="98"/>
        <v>0.44580797390279819</v>
      </c>
      <c r="U130" s="103">
        <f t="shared" ca="1" si="98"/>
        <v>0.44593322678722874</v>
      </c>
      <c r="V130" s="103">
        <f t="shared" ca="1" si="98"/>
        <v>0.44893802269159516</v>
      </c>
      <c r="W130" s="103">
        <f t="shared" ca="1" si="98"/>
        <v>0.45266637161169676</v>
      </c>
      <c r="X130" s="103">
        <f t="shared" ca="1" si="98"/>
        <v>0.45202379429018902</v>
      </c>
      <c r="Y130" s="103">
        <f t="shared" ca="1" si="98"/>
        <v>0.45196400546580329</v>
      </c>
      <c r="Z130" s="103">
        <f t="shared" ca="1" si="98"/>
        <v>0.45181844818662115</v>
      </c>
      <c r="AA130" s="103"/>
      <c r="AB130" s="91"/>
      <c r="AC130" s="91"/>
      <c r="AD130" s="92" t="s">
        <v>654</v>
      </c>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row>
    <row r="131" spans="1:84">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row>
    <row r="132" spans="1:84">
      <c r="A132" s="92" t="s">
        <v>660</v>
      </c>
      <c r="B132" s="91"/>
      <c r="C132" s="91"/>
      <c r="D132" s="91"/>
      <c r="E132" s="91"/>
      <c r="F132" s="91"/>
      <c r="G132" s="91"/>
      <c r="H132" s="91"/>
      <c r="I132" s="91"/>
      <c r="J132" s="91"/>
      <c r="K132" s="91"/>
      <c r="L132" s="265">
        <f>VTR!L136/Forex!G$38*1000+PR!L132</f>
        <v>0</v>
      </c>
      <c r="M132" s="265">
        <f>VTR!M136/Forex!H$38*1000+PR!M132</f>
        <v>10.899518775963475</v>
      </c>
      <c r="N132" s="265">
        <f>VTR!N136/Forex!I$38*1000+PR!N132</f>
        <v>20.587344838026034</v>
      </c>
      <c r="O132" s="265">
        <f>VTR!O136/Forex!J$38*1000+PR!O132</f>
        <v>24.528698577335483</v>
      </c>
      <c r="P132" s="265">
        <f>VTR!P136/Forex!K$38*1000+PR!P132</f>
        <v>35.464231354642315</v>
      </c>
      <c r="Q132" s="265">
        <f>VTR!Q136/Forex!L$38*1000+PR!Q132</f>
        <v>44.36491622424986</v>
      </c>
      <c r="R132" s="265">
        <f>VTR!R136/Forex!M$38*1000+PR!R132</f>
        <v>53.945745992601736</v>
      </c>
      <c r="S132" s="265">
        <f>VTR!S136/Forex!N$38*1000+PR!S132</f>
        <v>64.442758938409398</v>
      </c>
      <c r="T132" s="265">
        <f>VTR!T136/Forex!O$38*1000+PR!T132</f>
        <v>65.217207208451384</v>
      </c>
      <c r="U132" s="265">
        <f>VTR!U136/Forex!P$38*1000+PR!U132</f>
        <v>63.279108508331809</v>
      </c>
      <c r="V132" s="265">
        <f>VTR!V136/Forex!Q$38*1000+PR!V132</f>
        <v>71.218525414122126</v>
      </c>
      <c r="W132" s="265">
        <f>VTR!W136/Forex!R$38*1000+PR!W132</f>
        <v>66.545572925610216</v>
      </c>
      <c r="X132" s="265">
        <f>VTR!X136/Forex!S$38*1000+PR!X132</f>
        <v>77.363847404100142</v>
      </c>
      <c r="Y132" s="265">
        <f>VTR!Y136/Forex!T$38*1000+PR!Y132</f>
        <v>80.593252918811288</v>
      </c>
      <c r="Z132" s="265">
        <f>VTR!Z136/Forex!U$38*1000+PR!Z132</f>
        <v>84.761923688229786</v>
      </c>
      <c r="AA132" s="265"/>
      <c r="AB132" s="91"/>
      <c r="AC132" s="91"/>
      <c r="AD132" s="92" t="s">
        <v>660</v>
      </c>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265"/>
    </row>
    <row r="133" spans="1:84">
      <c r="A133" s="92" t="s">
        <v>661</v>
      </c>
      <c r="B133" s="91"/>
      <c r="C133" s="91"/>
      <c r="D133" s="91"/>
      <c r="E133" s="91"/>
      <c r="F133" s="91"/>
      <c r="G133" s="91"/>
      <c r="H133" s="91"/>
      <c r="I133" s="91"/>
      <c r="J133" s="91"/>
      <c r="K133" s="91"/>
      <c r="L133" s="265">
        <f>VTR!L137/Forex!G$38*1000+PR!L133</f>
        <v>0</v>
      </c>
      <c r="M133" s="265">
        <f>VTR!M137/Forex!H$38*1000+PR!M133</f>
        <v>4.9047834491835642</v>
      </c>
      <c r="N133" s="265">
        <f>VTR!N137/Forex!I$38*1000+PR!N133</f>
        <v>9.2643051771117158</v>
      </c>
      <c r="O133" s="265">
        <f>VTR!O137/Forex!J$38*1000+PR!O133</f>
        <v>12.264349288667741</v>
      </c>
      <c r="P133" s="265">
        <f>VTR!P137/Forex!K$38*1000+PR!P133</f>
        <v>19.505327245053277</v>
      </c>
      <c r="Q133" s="265">
        <f>VTR!Q137/Forex!L$38*1000+PR!Q133</f>
        <v>24.400703923337424</v>
      </c>
      <c r="R133" s="265">
        <f>VTR!R137/Forex!M$38*1000+PR!R133</f>
        <v>29.670160295930952</v>
      </c>
      <c r="S133" s="265">
        <f>VTR!S137/Forex!N$38*1000+PR!S133</f>
        <v>35.443517416125161</v>
      </c>
      <c r="T133" s="265">
        <f>VTR!T137/Forex!O$38*1000+PR!T133</f>
        <v>35.869463964648261</v>
      </c>
      <c r="U133" s="265">
        <f>VTR!U137/Forex!P$38*1000+PR!U133</f>
        <v>34.80350967958249</v>
      </c>
      <c r="V133" s="265">
        <f>VTR!V137/Forex!Q$38*1000+PR!V133</f>
        <v>39.170188977767175</v>
      </c>
      <c r="W133" s="265">
        <f>VTR!W137/Forex!R$38*1000+PR!W133</f>
        <v>36.600065109085619</v>
      </c>
      <c r="X133" s="265">
        <f>VTR!X137/Forex!S$38*1000+PR!X133</f>
        <v>42.550116072255079</v>
      </c>
      <c r="Y133" s="265">
        <f>VTR!Y137/Forex!T$38*1000+PR!Y133</f>
        <v>44.326289105346206</v>
      </c>
      <c r="Z133" s="265">
        <f>VTR!Z137/Forex!U$38*1000+PR!Z133</f>
        <v>46.619058028526389</v>
      </c>
      <c r="AA133" s="265"/>
      <c r="AB133" s="91"/>
      <c r="AC133" s="91"/>
      <c r="AD133" s="92" t="s">
        <v>661</v>
      </c>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265"/>
    </row>
    <row r="134" spans="1:84">
      <c r="A134" s="92" t="s">
        <v>662</v>
      </c>
      <c r="B134" s="91"/>
      <c r="C134" s="91"/>
      <c r="D134" s="91"/>
      <c r="E134" s="91"/>
      <c r="F134" s="91"/>
      <c r="G134" s="91"/>
      <c r="H134" s="91"/>
      <c r="I134" s="91"/>
      <c r="J134" s="91"/>
      <c r="K134" s="91"/>
      <c r="L134" s="103" t="e">
        <f t="shared" ref="L134:Y134" si="99">L133/L132</f>
        <v>#DIV/0!</v>
      </c>
      <c r="M134" s="103">
        <f t="shared" si="99"/>
        <v>0.45</v>
      </c>
      <c r="N134" s="103">
        <f t="shared" si="99"/>
        <v>0.45</v>
      </c>
      <c r="O134" s="103">
        <f t="shared" si="99"/>
        <v>0.5</v>
      </c>
      <c r="P134" s="103">
        <f t="shared" si="99"/>
        <v>0.55000000000000004</v>
      </c>
      <c r="Q134" s="103">
        <f t="shared" si="99"/>
        <v>0.55000000000000004</v>
      </c>
      <c r="R134" s="103">
        <f t="shared" si="99"/>
        <v>0.54999999999999993</v>
      </c>
      <c r="S134" s="103">
        <f t="shared" si="99"/>
        <v>0.54999999999999993</v>
      </c>
      <c r="T134" s="103">
        <f t="shared" si="99"/>
        <v>0.55000000000000004</v>
      </c>
      <c r="U134" s="103">
        <f t="shared" si="99"/>
        <v>0.54999999999999993</v>
      </c>
      <c r="V134" s="103">
        <f t="shared" si="99"/>
        <v>0.55000000000000004</v>
      </c>
      <c r="W134" s="103">
        <f t="shared" si="99"/>
        <v>0.55000000000000004</v>
      </c>
      <c r="X134" s="103">
        <f t="shared" si="99"/>
        <v>0.55000000000000004</v>
      </c>
      <c r="Y134" s="103">
        <f t="shared" si="99"/>
        <v>0.54999999999999993</v>
      </c>
      <c r="Z134" s="103">
        <f>Z133/Z132</f>
        <v>0.55000000000000004</v>
      </c>
      <c r="AA134" s="103"/>
      <c r="AB134" s="91"/>
      <c r="AC134" s="91"/>
      <c r="AD134" s="92" t="s">
        <v>662</v>
      </c>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103" t="e">
        <f>CF133/CF132</f>
        <v>#DIV/0!</v>
      </c>
    </row>
    <row r="135" spans="1:84">
      <c r="A135" s="92" t="s">
        <v>663</v>
      </c>
      <c r="B135" s="91"/>
      <c r="C135" s="91"/>
      <c r="D135" s="91"/>
      <c r="E135" s="91"/>
      <c r="F135" s="91"/>
      <c r="G135" s="91"/>
      <c r="H135" s="91"/>
      <c r="I135" s="91"/>
      <c r="J135" s="91"/>
      <c r="K135" s="91"/>
      <c r="L135" s="265">
        <f>VTR!L139/Forex!G$38*1000+PR!L135</f>
        <v>0</v>
      </c>
      <c r="M135" s="265">
        <f>VTR!M139/Forex!H$38*1000+PR!M135</f>
        <v>5.9947353267799119</v>
      </c>
      <c r="N135" s="265">
        <f>VTR!N139/Forex!I$38*1000+PR!N135</f>
        <v>11.32303966091432</v>
      </c>
      <c r="O135" s="265">
        <f>VTR!O139/Forex!J$38*1000+PR!O135</f>
        <v>12.264349288667741</v>
      </c>
      <c r="P135" s="265">
        <f>VTR!P139/Forex!K$38*1000+PR!P135</f>
        <v>15.958904109589039</v>
      </c>
      <c r="Q135" s="265">
        <f>VTR!Q139/Forex!L$38*1000+PR!Q135</f>
        <v>19.964212300912436</v>
      </c>
      <c r="R135" s="265">
        <f>VTR!R139/Forex!M$38*1000+PR!R135</f>
        <v>24.275585696670777</v>
      </c>
      <c r="S135" s="265">
        <f>VTR!S139/Forex!N$38*1000+PR!S135</f>
        <v>28.999241522284226</v>
      </c>
      <c r="T135" s="265">
        <f>VTR!T139/Forex!O$38*1000+PR!T135</f>
        <v>29.347743243803119</v>
      </c>
      <c r="U135" s="265">
        <f>VTR!U139/Forex!P$38*1000+PR!U135</f>
        <v>28.475598828749305</v>
      </c>
      <c r="V135" s="265">
        <f>VTR!V139/Forex!Q$38*1000+PR!V135</f>
        <v>32.048336436354958</v>
      </c>
      <c r="W135" s="265">
        <f>VTR!W139/Forex!R$38*1000+PR!W135</f>
        <v>29.945507816524593</v>
      </c>
      <c r="X135" s="265">
        <f>VTR!X139/Forex!S$38*1000+PR!X135</f>
        <v>34.813731331845062</v>
      </c>
      <c r="Y135" s="265">
        <f>VTR!Y139/Forex!T$38*1000+PR!Y135</f>
        <v>36.266963813465082</v>
      </c>
      <c r="Z135" s="265">
        <f>VTR!Z139/Forex!U$38*1000+PR!Z135</f>
        <v>38.142865659703403</v>
      </c>
      <c r="AA135" s="265"/>
      <c r="AB135" s="91"/>
      <c r="AC135" s="91"/>
      <c r="AD135" s="92" t="s">
        <v>663</v>
      </c>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265"/>
    </row>
    <row r="136" spans="1:84">
      <c r="A136" s="92" t="s">
        <v>664</v>
      </c>
      <c r="B136" s="91"/>
      <c r="C136" s="91"/>
      <c r="D136" s="91"/>
      <c r="E136" s="91"/>
      <c r="F136" s="91"/>
      <c r="G136" s="91"/>
      <c r="H136" s="91"/>
      <c r="I136" s="91"/>
      <c r="J136" s="91"/>
      <c r="K136" s="91"/>
      <c r="L136" s="265">
        <f>VTR!L140/Forex!G$38*1000+PR!L136</f>
        <v>35.353953026794557</v>
      </c>
      <c r="M136" s="265">
        <f>VTR!M140/Forex!H$38*1000+PR!M136</f>
        <v>100.8230576234936</v>
      </c>
      <c r="N136" s="265">
        <f>VTR!N140/Forex!I$38*1000+PR!N136</f>
        <v>95.523122666263021</v>
      </c>
      <c r="O136" s="265">
        <f>VTR!O140/Forex!J$38*1000+PR!O136</f>
        <v>61.885846240100918</v>
      </c>
      <c r="P136" s="265">
        <f>VTR!P140/Forex!K$38*1000+PR!P136</f>
        <v>45.662100456621005</v>
      </c>
      <c r="Q136" s="265">
        <f>VTR!Q140/Forex!L$38*1000+PR!Q136</f>
        <v>44.808565386492361</v>
      </c>
      <c r="R136" s="265">
        <f>VTR!R140/Forex!M$38*1000+PR!R136</f>
        <v>47.168618988902594</v>
      </c>
      <c r="S136" s="265">
        <f>VTR!S140/Forex!N$38*1000+PR!S136</f>
        <v>48.132161265708461</v>
      </c>
      <c r="T136" s="265">
        <f>VTR!T140/Forex!O$38*1000+PR!T136</f>
        <v>44.406999004267426</v>
      </c>
      <c r="U136" s="265">
        <f>VTR!U140/Forex!P$38*1000+PR!U136</f>
        <v>39.810986746212123</v>
      </c>
      <c r="V136" s="265">
        <f>VTR!V140/Forex!Q$38*1000+PR!V136</f>
        <v>41.84704930095927</v>
      </c>
      <c r="W136" s="265">
        <f>VTR!W140/Forex!R$38*1000+PR!W136</f>
        <v>36.843139247663579</v>
      </c>
      <c r="X136" s="265">
        <f>VTR!X140/Forex!S$38*1000+PR!X136</f>
        <v>40.657948897174478</v>
      </c>
      <c r="Y136" s="265">
        <f>VTR!Y140/Forex!T$38*1000+PR!Y136</f>
        <v>40.45691514245479</v>
      </c>
      <c r="Z136" s="265">
        <f>VTR!Z140/Forex!U$38*1000+PR!Z136</f>
        <v>40.861484293879343</v>
      </c>
      <c r="AA136" s="265"/>
      <c r="AB136" s="91"/>
      <c r="AC136" s="91"/>
      <c r="AD136" s="92" t="s">
        <v>664</v>
      </c>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265"/>
    </row>
    <row r="137" spans="1:84">
      <c r="A137" s="92" t="s">
        <v>665</v>
      </c>
      <c r="B137" s="91"/>
      <c r="C137" s="91"/>
      <c r="D137" s="91"/>
      <c r="E137" s="91"/>
      <c r="F137" s="91"/>
      <c r="G137" s="91"/>
      <c r="H137" s="91"/>
      <c r="I137" s="91"/>
      <c r="J137" s="91"/>
      <c r="K137" s="91"/>
      <c r="L137" s="265">
        <f>VTR!L141/Forex!G$38*1000+PR!L137</f>
        <v>0</v>
      </c>
      <c r="M137" s="265">
        <f>VTR!M141/Forex!H$38*1000+PR!M137</f>
        <v>3</v>
      </c>
      <c r="N137" s="265">
        <f>VTR!N141/Forex!I$38*1000+PR!N137</f>
        <v>2.3475000000000001</v>
      </c>
      <c r="O137" s="265">
        <f>VTR!O141/Forex!J$38*1000+PR!O137</f>
        <v>2.94</v>
      </c>
      <c r="P137" s="265">
        <f>VTR!P141/Forex!K$38*1000+PR!P137</f>
        <v>1.6125000000000003</v>
      </c>
      <c r="Q137" s="265">
        <f>VTR!Q141/Forex!L$38*1000+PR!Q137</f>
        <v>2.5649999999999986</v>
      </c>
      <c r="R137" s="265">
        <f>VTR!R141/Forex!M$38*1000+PR!R137</f>
        <v>3.6525000000000016</v>
      </c>
      <c r="S137" s="265">
        <f>VTR!S141/Forex!N$38*1000+PR!S137</f>
        <v>2.2500000000000004</v>
      </c>
      <c r="T137" s="265">
        <f>VTR!T141/Forex!O$38*1000+PR!T137</f>
        <v>2.25</v>
      </c>
      <c r="U137" s="265">
        <f>VTR!U141/Forex!P$38*1000+PR!U137</f>
        <v>2.25</v>
      </c>
      <c r="V137" s="265">
        <f>VTR!V141/Forex!Q$38*1000+PR!V137</f>
        <v>2.2500000000000004</v>
      </c>
      <c r="W137" s="265">
        <f>VTR!W141/Forex!R$38*1000+PR!W137</f>
        <v>2.2500000000000004</v>
      </c>
      <c r="X137" s="265">
        <f>VTR!X141/Forex!S$38*1000+PR!X137</f>
        <v>2.25</v>
      </c>
      <c r="Y137" s="265">
        <f>VTR!Y141/Forex!T$38*1000+PR!Y137</f>
        <v>2.2500000000000004</v>
      </c>
      <c r="Z137" s="265">
        <f>VTR!Z141/Forex!U$38*1000+PR!Z137</f>
        <v>2.2500000000000004</v>
      </c>
      <c r="AA137" s="265"/>
      <c r="AB137" s="91"/>
      <c r="AC137" s="91"/>
      <c r="AD137" s="92" t="s">
        <v>665</v>
      </c>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265"/>
    </row>
    <row r="138" spans="1:84">
      <c r="A138" s="92" t="s">
        <v>666</v>
      </c>
      <c r="B138" s="91"/>
      <c r="C138" s="91"/>
      <c r="D138" s="91"/>
      <c r="E138" s="91"/>
      <c r="F138" s="91"/>
      <c r="G138" s="91"/>
      <c r="H138" s="91"/>
      <c r="I138" s="91"/>
      <c r="J138" s="91"/>
      <c r="K138" s="91"/>
      <c r="L138" s="107">
        <f t="shared" ref="L138:Z138" si="100">+L133-L136-L137</f>
        <v>-35.353953026794557</v>
      </c>
      <c r="M138" s="107">
        <f t="shared" si="100"/>
        <v>-98.918274174310028</v>
      </c>
      <c r="N138" s="107">
        <f t="shared" si="100"/>
        <v>-88.606317489151309</v>
      </c>
      <c r="O138" s="107">
        <f t="shared" si="100"/>
        <v>-52.56149695143317</v>
      </c>
      <c r="P138" s="107">
        <f t="shared" si="100"/>
        <v>-27.769273211567729</v>
      </c>
      <c r="Q138" s="107">
        <f t="shared" si="100"/>
        <v>-22.972861463154935</v>
      </c>
      <c r="R138" s="107">
        <f t="shared" si="100"/>
        <v>-21.150958692971642</v>
      </c>
      <c r="S138" s="107">
        <f t="shared" si="100"/>
        <v>-14.9386438495833</v>
      </c>
      <c r="T138" s="107">
        <f t="shared" si="100"/>
        <v>-10.787535039619165</v>
      </c>
      <c r="U138" s="107">
        <f t="shared" si="100"/>
        <v>-7.2574770666296331</v>
      </c>
      <c r="V138" s="107">
        <f t="shared" si="100"/>
        <v>-4.9268603231920949</v>
      </c>
      <c r="W138" s="107">
        <f t="shared" si="100"/>
        <v>-2.4930741385779602</v>
      </c>
      <c r="X138" s="107">
        <f t="shared" si="100"/>
        <v>-0.35783282491939872</v>
      </c>
      <c r="Y138" s="107">
        <f t="shared" si="100"/>
        <v>1.6193739628914154</v>
      </c>
      <c r="Z138" s="107">
        <f t="shared" si="100"/>
        <v>3.5075737346470457</v>
      </c>
      <c r="AA138" s="107"/>
      <c r="AB138" s="91"/>
      <c r="AC138" s="91"/>
      <c r="AD138" s="92" t="s">
        <v>666</v>
      </c>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107">
        <f>+CF133-CF136-CF137</f>
        <v>0</v>
      </c>
    </row>
    <row r="139" spans="1:84">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row>
    <row r="140" spans="1:84">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row>
    <row r="141" spans="1:84">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row>
    <row r="142" spans="1:84">
      <c r="A142" s="93" t="str">
        <f>CONCATENATE(A$1," Income statement")</f>
        <v>LatAm (VTR / Puerto Rico) Income statement</v>
      </c>
      <c r="B142" s="94">
        <f t="shared" ref="B142:Z142" si="101">+B$1</f>
        <v>2001</v>
      </c>
      <c r="C142" s="94">
        <f t="shared" si="101"/>
        <v>2002</v>
      </c>
      <c r="D142" s="94">
        <f t="shared" si="101"/>
        <v>2003</v>
      </c>
      <c r="E142" s="94">
        <f t="shared" si="101"/>
        <v>2004</v>
      </c>
      <c r="F142" s="94">
        <f t="shared" si="101"/>
        <v>2005</v>
      </c>
      <c r="G142" s="94">
        <f t="shared" si="101"/>
        <v>2006</v>
      </c>
      <c r="H142" s="94">
        <f t="shared" si="101"/>
        <v>2007</v>
      </c>
      <c r="I142" s="94">
        <f t="shared" si="101"/>
        <v>2008</v>
      </c>
      <c r="J142" s="94">
        <f t="shared" si="101"/>
        <v>2009</v>
      </c>
      <c r="K142" s="94">
        <f t="shared" si="101"/>
        <v>2010</v>
      </c>
      <c r="L142" s="94">
        <f t="shared" si="101"/>
        <v>2011</v>
      </c>
      <c r="M142" s="94">
        <f t="shared" si="101"/>
        <v>2012</v>
      </c>
      <c r="N142" s="94">
        <f t="shared" si="101"/>
        <v>2013</v>
      </c>
      <c r="O142" s="94">
        <f t="shared" si="101"/>
        <v>2014</v>
      </c>
      <c r="P142" s="94">
        <f t="shared" si="101"/>
        <v>2015</v>
      </c>
      <c r="Q142" s="94" t="str">
        <f t="shared" si="101"/>
        <v>2016E</v>
      </c>
      <c r="R142" s="94" t="str">
        <f t="shared" si="101"/>
        <v>2017E</v>
      </c>
      <c r="S142" s="94" t="str">
        <f t="shared" si="101"/>
        <v>2018E</v>
      </c>
      <c r="T142" s="94" t="str">
        <f t="shared" si="101"/>
        <v>2019E</v>
      </c>
      <c r="U142" s="94" t="str">
        <f t="shared" si="101"/>
        <v>2020E</v>
      </c>
      <c r="V142" s="94" t="str">
        <f t="shared" si="101"/>
        <v>2021E</v>
      </c>
      <c r="W142" s="94" t="str">
        <f t="shared" si="101"/>
        <v>2022E</v>
      </c>
      <c r="X142" s="94" t="str">
        <f t="shared" si="101"/>
        <v>2023E</v>
      </c>
      <c r="Y142" s="94" t="str">
        <f t="shared" si="101"/>
        <v>2024E</v>
      </c>
      <c r="Z142" s="94" t="str">
        <f t="shared" si="101"/>
        <v>2025E</v>
      </c>
      <c r="AA142" s="94"/>
      <c r="AB142" s="91"/>
      <c r="AC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row>
    <row r="143" spans="1:84">
      <c r="A143" s="92" t="s">
        <v>15</v>
      </c>
      <c r="B143" s="97"/>
      <c r="C143" s="97"/>
      <c r="D143" s="97"/>
      <c r="E143" s="97"/>
      <c r="F143" s="97"/>
      <c r="G143" s="97"/>
      <c r="H143" s="97"/>
      <c r="I143" s="97"/>
      <c r="J143" s="97"/>
      <c r="K143" s="97"/>
      <c r="L143" s="97"/>
      <c r="M143" s="265">
        <f>VTR!M149/Forex!H$38*1000+PR!M143</f>
        <v>1085.532081602435</v>
      </c>
      <c r="N143" s="265">
        <f>VTR!N149/Forex!I$38*1000+PR!N143</f>
        <v>1288.218266222626</v>
      </c>
      <c r="O143" s="265">
        <f>VTR!O149/Forex!J$38*1000+PR!O143</f>
        <v>1203.8503679304786</v>
      </c>
      <c r="P143" s="265">
        <f>VTR!P149/Forex!K$38*1000+PR!P143</f>
        <v>1212.5333333333333</v>
      </c>
      <c r="Q143" s="265">
        <f>VTR!Q149/Forex!L$38*1000+PR!Q143</f>
        <v>1279.4090119933157</v>
      </c>
      <c r="R143" s="265">
        <f>VTR!R149/Forex!M$38*1000+PR!R143</f>
        <v>1272.9112207151666</v>
      </c>
      <c r="S143" s="265">
        <f>VTR!S149/Forex!N$38*1000+PR!S143</f>
        <v>1335.7165766952996</v>
      </c>
      <c r="T143" s="265">
        <f ca="1">VTR!T149/Forex!O$38*1000+PR!T143</f>
        <v>1359.4065288314603</v>
      </c>
      <c r="U143" s="265">
        <f ca="1">VTR!U149/Forex!P$38*1000+PR!U143</f>
        <v>1296.7399477283197</v>
      </c>
      <c r="V143" s="265">
        <f ca="1">VTR!V149/Forex!Q$38*1000+PR!V143</f>
        <v>1382.1592910461954</v>
      </c>
      <c r="W143" s="265">
        <f ca="1">VTR!W149/Forex!R$38*1000+PR!W143</f>
        <v>1301.0411611961185</v>
      </c>
      <c r="X143" s="265">
        <f ca="1">VTR!X149/Forex!S$38*1000+PR!X143</f>
        <v>1432.2297683022516</v>
      </c>
      <c r="Y143" s="265">
        <f ca="1">VTR!Y149/Forex!T$38*1000+PR!Y143</f>
        <v>1466.5088123647542</v>
      </c>
      <c r="Z143" s="265">
        <f ca="1">VTR!Z149/Forex!U$38*1000+PR!Z143</f>
        <v>1516.9878285164216</v>
      </c>
      <c r="AA143" s="265"/>
      <c r="AB143" s="91"/>
      <c r="AC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row>
    <row r="144" spans="1:84">
      <c r="A144" s="92" t="s">
        <v>649</v>
      </c>
      <c r="B144" s="153"/>
      <c r="C144" s="153"/>
      <c r="D144" s="153"/>
      <c r="E144" s="153"/>
      <c r="F144" s="153"/>
      <c r="G144" s="153"/>
      <c r="H144" s="153"/>
      <c r="I144" s="153"/>
      <c r="J144" s="153"/>
      <c r="K144" s="153"/>
      <c r="L144" s="153"/>
      <c r="M144" s="271">
        <f>VTR!M150/Forex!H$38*1000+PR!M144</f>
        <v>-510.86159256364908</v>
      </c>
      <c r="N144" s="271">
        <f>VTR!N150/Forex!I$38*1000+PR!N144</f>
        <v>-610.25566656574836</v>
      </c>
      <c r="O144" s="271">
        <f>VTR!O150/Forex!J$38*1000+PR!O144</f>
        <v>-530.03684210526319</v>
      </c>
      <c r="P144" s="271">
        <f>VTR!P150/Forex!K$38*1000+PR!P144</f>
        <v>-532.5710806697108</v>
      </c>
      <c r="Q144" s="271">
        <f>VTR!Q150/Forex!L$38*1000+PR!Q144</f>
        <v>-550.59459936841597</v>
      </c>
      <c r="R144" s="271">
        <f>VTR!R150/Forex!M$38*1000+PR!R144</f>
        <v>-564.16599876695443</v>
      </c>
      <c r="S144" s="271">
        <f>VTR!S150/Forex!N$38*1000+PR!S144</f>
        <v>-552.384206237581</v>
      </c>
      <c r="T144" s="271">
        <f ca="1">VTR!T150/Forex!O$38*1000+PR!T144</f>
        <v>-566.91614839987301</v>
      </c>
      <c r="U144" s="271">
        <f ca="1">VTR!U150/Forex!P$38*1000+PR!U144</f>
        <v>-541.08872226652215</v>
      </c>
      <c r="V144" s="271">
        <f ca="1">VTR!V150/Forex!Q$38*1000+PR!V144</f>
        <v>-574.13112866229392</v>
      </c>
      <c r="W144" s="271">
        <f ca="1">VTR!W150/Forex!R$38*1000+PR!W144</f>
        <v>-536.08932942984222</v>
      </c>
      <c r="X144" s="271">
        <f ca="1">VTR!X150/Forex!S$38*1000+PR!X144</f>
        <v>-592.75301324047996</v>
      </c>
      <c r="Y144" s="271">
        <f ca="1">VTR!Y150/Forex!T$38*1000+PR!Y144</f>
        <v>-608.10061395623825</v>
      </c>
      <c r="Z144" s="271">
        <f ca="1">VTR!Z150/Forex!U$38*1000+PR!Z144</f>
        <v>-630.46272087367242</v>
      </c>
      <c r="AA144" s="271"/>
      <c r="AB144" s="91"/>
      <c r="AC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row>
    <row r="145" spans="1:83">
      <c r="A145" s="92" t="s">
        <v>650</v>
      </c>
      <c r="B145" s="97"/>
      <c r="C145" s="97"/>
      <c r="D145" s="97"/>
      <c r="E145" s="97"/>
      <c r="F145" s="97"/>
      <c r="G145" s="97"/>
      <c r="H145" s="97"/>
      <c r="I145" s="97"/>
      <c r="J145" s="97"/>
      <c r="K145" s="97"/>
      <c r="L145" s="97"/>
      <c r="M145" s="97">
        <f>M143+M144</f>
        <v>574.67048903878595</v>
      </c>
      <c r="N145" s="97">
        <f>N143+N144</f>
        <v>677.96259965687761</v>
      </c>
      <c r="O145" s="97">
        <f>O143+O144</f>
        <v>673.81352582521538</v>
      </c>
      <c r="P145" s="97">
        <f t="shared" ref="P145:Z145" si="102">P143+P144</f>
        <v>679.96225266362251</v>
      </c>
      <c r="Q145" s="97">
        <f t="shared" si="102"/>
        <v>728.81441262489977</v>
      </c>
      <c r="R145" s="97">
        <f t="shared" si="102"/>
        <v>708.74522194821213</v>
      </c>
      <c r="S145" s="97">
        <f t="shared" si="102"/>
        <v>783.33237045771864</v>
      </c>
      <c r="T145" s="97">
        <f t="shared" ca="1" si="102"/>
        <v>792.49038043158725</v>
      </c>
      <c r="U145" s="97">
        <f t="shared" ca="1" si="102"/>
        <v>755.65122546179759</v>
      </c>
      <c r="V145" s="97">
        <f t="shared" ca="1" si="102"/>
        <v>808.02816238390153</v>
      </c>
      <c r="W145" s="97">
        <f t="shared" ca="1" si="102"/>
        <v>764.95183176627631</v>
      </c>
      <c r="X145" s="97">
        <f t="shared" ca="1" si="102"/>
        <v>839.47675506177166</v>
      </c>
      <c r="Y145" s="97">
        <f t="shared" ca="1" si="102"/>
        <v>858.408198408516</v>
      </c>
      <c r="Z145" s="97">
        <f t="shared" ca="1" si="102"/>
        <v>886.52510764274916</v>
      </c>
      <c r="AA145" s="97"/>
      <c r="AB145" s="91"/>
      <c r="AC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row>
    <row r="146" spans="1:83">
      <c r="A146" s="92" t="s">
        <v>652</v>
      </c>
      <c r="B146" s="97"/>
      <c r="C146" s="97"/>
      <c r="D146" s="97"/>
      <c r="E146" s="97"/>
      <c r="F146" s="97"/>
      <c r="G146" s="97"/>
      <c r="H146" s="97"/>
      <c r="I146" s="97"/>
      <c r="J146" s="97"/>
      <c r="K146" s="97"/>
      <c r="L146" s="97"/>
      <c r="M146" s="265">
        <f>VTR!M152/Forex!H$38*1000+PR!M146</f>
        <v>-208.75791140542094</v>
      </c>
      <c r="N146" s="265">
        <f>VTR!N152/Forex!I$38*1000+PR!N146</f>
        <v>-218.05018669896054</v>
      </c>
      <c r="O146" s="265">
        <f>VTR!O152/Forex!J$38*1000+PR!O146</f>
        <v>-196.73080103721355</v>
      </c>
      <c r="P146" s="265">
        <f>VTR!P152/Forex!K$38*1000+PR!P146</f>
        <v>-187.78264840182649</v>
      </c>
      <c r="Q146" s="265">
        <f>VTR!Q152/Forex!L$38*1000+PR!Q146</f>
        <v>-181.21433572571163</v>
      </c>
      <c r="R146" s="265">
        <f>VTR!R152/Forex!M$38*1000+PR!R146</f>
        <v>-202.92881750924789</v>
      </c>
      <c r="S146" s="265">
        <f>VTR!S152/Forex!N$38*1000+PR!S146</f>
        <v>-243.10420414808317</v>
      </c>
      <c r="T146" s="265">
        <f ca="1">VTR!T152/Forex!O$38*1000+PR!T146</f>
        <v>-226.317996151816</v>
      </c>
      <c r="U146" s="265">
        <f ca="1">VTR!U152/Forex!P$38*1000+PR!U146</f>
        <v>-212.86753037937459</v>
      </c>
      <c r="V146" s="265">
        <f ca="1">VTR!V152/Forex!Q$38*1000+PR!V146</f>
        <v>-224.4238675184248</v>
      </c>
      <c r="W146" s="265">
        <f ca="1">VTR!W152/Forex!R$38*1000+PR!W146</f>
        <v>-208.63026719179609</v>
      </c>
      <c r="X146" s="265">
        <f ca="1">VTR!X152/Forex!S$38*1000+PR!X146</f>
        <v>-227.40295356783759</v>
      </c>
      <c r="Y146" s="265">
        <f ca="1">VTR!Y152/Forex!T$38*1000+PR!Y146</f>
        <v>-230.40487696105657</v>
      </c>
      <c r="Z146" s="265">
        <f ca="1">VTR!Z152/Forex!U$38*1000+PR!Z146</f>
        <v>-235.911448135949</v>
      </c>
      <c r="AA146" s="265"/>
      <c r="AB146" s="91"/>
      <c r="AC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row>
    <row r="147" spans="1:83">
      <c r="A147" s="92" t="s">
        <v>653</v>
      </c>
      <c r="B147" s="97"/>
      <c r="C147" s="97"/>
      <c r="D147" s="97"/>
      <c r="E147" s="97"/>
      <c r="F147" s="97"/>
      <c r="G147" s="97"/>
      <c r="H147" s="97"/>
      <c r="I147" s="97"/>
      <c r="J147" s="97"/>
      <c r="K147" s="97"/>
      <c r="L147" s="97"/>
      <c r="M147" s="265">
        <f>VTR!M153/Forex!H$38*1000+PR!M147</f>
        <v>365.91257763336495</v>
      </c>
      <c r="N147" s="265">
        <f>VTR!N153/Forex!I$38*1000+PR!N147</f>
        <v>459.91241295791707</v>
      </c>
      <c r="O147" s="265">
        <f>VTR!O153/Forex!J$38*1000+PR!O147</f>
        <v>477.08272478800194</v>
      </c>
      <c r="P147" s="265">
        <f>VTR!P153/Forex!K$38*1000+PR!P147</f>
        <v>492.17960426179599</v>
      </c>
      <c r="Q147" s="265">
        <f>VTR!Q153/Forex!L$38*1000+PR!Q147</f>
        <v>547.60007689918814</v>
      </c>
      <c r="R147" s="265">
        <f>VTR!R153/Forex!M$38*1000+PR!R147</f>
        <v>505.8164044389643</v>
      </c>
      <c r="S147" s="265">
        <f>VTR!S153/Forex!N$38*1000+PR!S147</f>
        <v>540.22816630963553</v>
      </c>
      <c r="T147" s="265">
        <f ca="1">VTR!T153/Forex!O$38*1000+PR!T147</f>
        <v>566.17238427977122</v>
      </c>
      <c r="U147" s="265">
        <f ca="1">VTR!U153/Forex!P$38*1000+PR!U147</f>
        <v>542.78369508242281</v>
      </c>
      <c r="V147" s="265">
        <f ca="1">VTR!V153/Forex!Q$38*1000+PR!V147</f>
        <v>583.60429486547662</v>
      </c>
      <c r="W147" s="265">
        <f ca="1">VTR!W153/Forex!R$38*1000+PR!W147</f>
        <v>556.32156457448002</v>
      </c>
      <c r="X147" s="265">
        <f ca="1">VTR!X153/Forex!S$38*1000+PR!X147</f>
        <v>612.0738014939343</v>
      </c>
      <c r="Y147" s="265">
        <f ca="1">VTR!Y153/Forex!T$38*1000+PR!Y147</f>
        <v>628.00332144745948</v>
      </c>
      <c r="Z147" s="265">
        <f ca="1">VTR!Z153/Forex!U$38*1000+PR!Z147</f>
        <v>650.61365950679999</v>
      </c>
      <c r="AA147" s="265"/>
      <c r="AB147" s="103"/>
      <c r="AC147" s="103"/>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row>
    <row r="148" spans="1:83">
      <c r="A148" s="92" t="s">
        <v>56</v>
      </c>
      <c r="B148" s="96"/>
      <c r="C148" s="96"/>
      <c r="D148" s="96"/>
      <c r="E148" s="96"/>
      <c r="F148" s="96"/>
      <c r="G148" s="96"/>
      <c r="H148" s="96"/>
      <c r="I148" s="96"/>
      <c r="J148" s="96"/>
      <c r="K148" s="96"/>
      <c r="L148" s="96"/>
      <c r="M148" s="265">
        <f>VTR!M154/Forex!H$38*1000+PR!M148</f>
        <v>-221.06135812116975</v>
      </c>
      <c r="N148" s="265">
        <f>VTR!N154/Forex!I$38*1000+PR!N148</f>
        <v>-343.52466444646285</v>
      </c>
      <c r="O148" s="265">
        <f>VTR!O154/Forex!J$38*1000+PR!O148</f>
        <v>-216.67875113883244</v>
      </c>
      <c r="P148" s="265">
        <f>VTR!P154/Forex!K$38*1000+PR!P148</f>
        <v>-215.54368340943682</v>
      </c>
      <c r="Q148" s="265">
        <f>VTR!Q154/Forex!L$38*1000+PR!Q148</f>
        <v>-220.13970807885124</v>
      </c>
      <c r="R148" s="265">
        <f>VTR!R154/Forex!M$38*1000+PR!R148</f>
        <v>-225.92503082614058</v>
      </c>
      <c r="S148" s="265">
        <f>VTR!S154/Forex!N$38*1000+PR!S148</f>
        <v>-227.3985767008736</v>
      </c>
      <c r="T148" s="265">
        <f>VTR!T154/Forex!O$38*1000+PR!T148</f>
        <v>-214.92119487908963</v>
      </c>
      <c r="U148" s="265">
        <f>VTR!U154/Forex!P$38*1000+PR!U148</f>
        <v>-200.11919191919191</v>
      </c>
      <c r="V148" s="265">
        <f>VTR!V154/Forex!Q$38*1000+PR!V148</f>
        <v>-204.88199737187909</v>
      </c>
      <c r="W148" s="265">
        <f>VTR!W154/Forex!R$38*1000+PR!W148</f>
        <v>-189.27101947308131</v>
      </c>
      <c r="X148" s="265">
        <f>VTR!X154/Forex!S$38*1000+PR!X148</f>
        <v>-199.09486858573217</v>
      </c>
      <c r="Y148" s="265">
        <f>VTR!Y154/Forex!T$38*1000+PR!Y148</f>
        <v>-197.38002466091245</v>
      </c>
      <c r="Z148" s="265">
        <f>VTR!Z154/Forex!U$38*1000+PR!Z148</f>
        <v>-197.38002466091245</v>
      </c>
      <c r="AA148" s="265"/>
      <c r="AB148" s="91"/>
      <c r="AC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row>
    <row r="149" spans="1:83">
      <c r="A149" s="92" t="s">
        <v>4</v>
      </c>
      <c r="B149" s="154"/>
      <c r="C149" s="154"/>
      <c r="D149" s="154"/>
      <c r="E149" s="154"/>
      <c r="F149" s="154"/>
      <c r="G149" s="154"/>
      <c r="H149" s="154"/>
      <c r="I149" s="154"/>
      <c r="J149" s="154"/>
      <c r="K149" s="154"/>
      <c r="L149" s="154"/>
      <c r="M149" s="271">
        <f>VTR!M155/Forex!H$38*1000+PR!M149</f>
        <v>-52.951141364701961</v>
      </c>
      <c r="N149" s="271">
        <f>VTR!N155/Forex!I$38*1000+PR!N149</f>
        <v>70.782440205873414</v>
      </c>
      <c r="O149" s="271">
        <f>VTR!O155/Forex!J$38*1000+PR!O149</f>
        <v>-32.10718340458331</v>
      </c>
      <c r="P149" s="271">
        <f>VTR!P155/Forex!K$38*1000+PR!P149</f>
        <v>-30.469254185692485</v>
      </c>
      <c r="Q149" s="271">
        <f>VTR!Q155/Forex!L$38*1000+PR!Q149</f>
        <v>-30.941732597861552</v>
      </c>
      <c r="R149" s="271">
        <f>VTR!R155/Forex!M$38*1000+PR!R149</f>
        <v>-31.703945745992542</v>
      </c>
      <c r="S149" s="271">
        <f>VTR!S155/Forex!N$38*1000+PR!S149</f>
        <v>-31.898084619337496</v>
      </c>
      <c r="T149" s="271">
        <f>VTR!T155/Forex!O$38*1000+PR!T149</f>
        <v>-30.254196301564662</v>
      </c>
      <c r="U149" s="271">
        <f>VTR!U155/Forex!P$38*1000+PR!U149</f>
        <v>-28.304040404040354</v>
      </c>
      <c r="V149" s="271">
        <f>VTR!V155/Forex!Q$38*1000+PR!V149</f>
        <v>-28.931537450722679</v>
      </c>
      <c r="W149" s="271">
        <f>VTR!W155/Forex!R$38*1000+PR!W149</f>
        <v>-26.874799541809807</v>
      </c>
      <c r="X149" s="271">
        <f>VTR!X155/Forex!S$38*1000+PR!X149</f>
        <v>-28.169086357947386</v>
      </c>
      <c r="Y149" s="271">
        <f>VTR!Y155/Forex!T$38*1000+PR!Y149</f>
        <v>-27.943156596794033</v>
      </c>
      <c r="Z149" s="271">
        <f>VTR!Z155/Forex!U$38*1000+PR!Z149</f>
        <v>-27.943156596794033</v>
      </c>
      <c r="AA149" s="271"/>
      <c r="AB149" s="91"/>
      <c r="AC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row>
    <row r="150" spans="1:83">
      <c r="A150" s="92" t="s">
        <v>668</v>
      </c>
      <c r="B150" s="97"/>
      <c r="C150" s="97"/>
      <c r="D150" s="97"/>
      <c r="E150" s="97"/>
      <c r="F150" s="97"/>
      <c r="G150" s="97"/>
      <c r="H150" s="97"/>
      <c r="I150" s="97"/>
      <c r="J150" s="97"/>
      <c r="K150" s="97"/>
      <c r="L150" s="97"/>
      <c r="M150" s="97">
        <f t="shared" ref="M150:R150" si="103">M147+M148+M149</f>
        <v>91.900078147493247</v>
      </c>
      <c r="N150" s="97">
        <f t="shared" si="103"/>
        <v>187.17018871732762</v>
      </c>
      <c r="O150" s="97">
        <f t="shared" si="103"/>
        <v>228.29679024458622</v>
      </c>
      <c r="P150" s="97">
        <f t="shared" si="103"/>
        <v>246.16666666666669</v>
      </c>
      <c r="Q150" s="97">
        <f t="shared" si="103"/>
        <v>296.51863622247532</v>
      </c>
      <c r="R150" s="97">
        <f t="shared" si="103"/>
        <v>248.18742786683117</v>
      </c>
      <c r="S150" s="97">
        <f t="shared" ref="S150:Z150" si="104">S147+S148+S149</f>
        <v>280.93150498942441</v>
      </c>
      <c r="T150" s="97">
        <f t="shared" ca="1" si="104"/>
        <v>320.99699309911693</v>
      </c>
      <c r="U150" s="97">
        <f t="shared" ca="1" si="104"/>
        <v>314.36046275919057</v>
      </c>
      <c r="V150" s="97">
        <f t="shared" ca="1" si="104"/>
        <v>349.79076004287487</v>
      </c>
      <c r="W150" s="97">
        <f t="shared" ca="1" si="104"/>
        <v>340.1757455595889</v>
      </c>
      <c r="X150" s="97">
        <f t="shared" ca="1" si="104"/>
        <v>384.80984655025475</v>
      </c>
      <c r="Y150" s="97">
        <f t="shared" ca="1" si="104"/>
        <v>402.68014018975299</v>
      </c>
      <c r="Z150" s="97">
        <f t="shared" ca="1" si="104"/>
        <v>425.2904782490935</v>
      </c>
      <c r="AA150" s="97"/>
      <c r="AB150" s="91"/>
      <c r="AC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row>
    <row r="151" spans="1:83">
      <c r="A151" s="92" t="s">
        <v>782</v>
      </c>
      <c r="B151" s="97"/>
      <c r="C151" s="97"/>
      <c r="D151" s="97"/>
      <c r="E151" s="97"/>
      <c r="F151" s="97"/>
      <c r="G151" s="97"/>
      <c r="H151" s="97"/>
      <c r="I151" s="97"/>
      <c r="J151" s="97"/>
      <c r="K151" s="97"/>
      <c r="L151" s="97"/>
      <c r="M151" s="97"/>
      <c r="N151" s="97"/>
      <c r="O151" s="97"/>
      <c r="P151" s="97">
        <v>-8.5</v>
      </c>
      <c r="Q151" s="97">
        <v>-11</v>
      </c>
      <c r="R151" s="97">
        <f>+Q151*1.03</f>
        <v>-11.33</v>
      </c>
      <c r="S151" s="97">
        <f t="shared" ref="S151:Z151" si="105">+R151*1.03</f>
        <v>-11.6699</v>
      </c>
      <c r="T151" s="97">
        <f t="shared" si="105"/>
        <v>-12.019997</v>
      </c>
      <c r="U151" s="97">
        <f t="shared" si="105"/>
        <v>-12.38059691</v>
      </c>
      <c r="V151" s="97">
        <f t="shared" si="105"/>
        <v>-12.752014817299999</v>
      </c>
      <c r="W151" s="97">
        <f t="shared" si="105"/>
        <v>-13.134575261819</v>
      </c>
      <c r="X151" s="97">
        <f t="shared" si="105"/>
        <v>-13.528612519673571</v>
      </c>
      <c r="Y151" s="97">
        <f t="shared" si="105"/>
        <v>-13.934470895263779</v>
      </c>
      <c r="Z151" s="97">
        <f t="shared" si="105"/>
        <v>-14.352505022121692</v>
      </c>
      <c r="AA151" s="97"/>
      <c r="AB151" s="228"/>
      <c r="AC151" s="228"/>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row>
    <row r="152" spans="1:83">
      <c r="A152" s="92" t="s">
        <v>669</v>
      </c>
      <c r="B152" s="96"/>
      <c r="C152" s="96"/>
      <c r="D152" s="96"/>
      <c r="E152" s="96"/>
      <c r="F152" s="96"/>
      <c r="G152" s="96"/>
      <c r="H152" s="96"/>
      <c r="I152" s="96"/>
      <c r="J152" s="96"/>
      <c r="K152" s="96"/>
      <c r="L152" s="96"/>
      <c r="M152" s="265">
        <f>VTR!M157/Forex!H$38*1000+PR!M151</f>
        <v>-41.702484267675729</v>
      </c>
      <c r="N152" s="265">
        <f>VTR!N157/Forex!I$38*1000+PR!N151</f>
        <v>-82.4030578262186</v>
      </c>
      <c r="O152" s="265">
        <f>VTR!O157/Forex!J$38*1000+PR!O151</f>
        <v>-142.08999929918002</v>
      </c>
      <c r="P152" s="265">
        <f>VTR!P157/Forex!K$38*1000+PR!P151</f>
        <v>-157.99710806697107</v>
      </c>
      <c r="Q152" s="265">
        <f>VTR!Q157/Forex!L$38*1000+PR!Q151</f>
        <v>-203.68449298294908</v>
      </c>
      <c r="R152" s="265">
        <f>VTR!R157/Forex!M$38*1000+PR!R151</f>
        <v>-228.27314303329223</v>
      </c>
      <c r="S152" s="265">
        <f>VTR!S157/Forex!N$38*1000+PR!S151</f>
        <v>-229.95982633881994</v>
      </c>
      <c r="T152" s="265">
        <f>VTR!T157/Forex!O$38*1000+PR!T151</f>
        <v>-215.67768421052631</v>
      </c>
      <c r="U152" s="265">
        <f>VTR!U157/Forex!P$38*1000+PR!U151</f>
        <v>-198.7346818181818</v>
      </c>
      <c r="V152" s="265">
        <f>VTR!V157/Forex!Q$38*1000+PR!V151</f>
        <v>-204.18639159001313</v>
      </c>
      <c r="W152" s="265">
        <f>VTR!W157/Forex!R$38*1000+PR!W151</f>
        <v>-176.51740206185565</v>
      </c>
      <c r="X152" s="265">
        <f>VTR!X157/Forex!S$38*1000+PR!X151</f>
        <v>-172.99219774718398</v>
      </c>
      <c r="Y152" s="265">
        <f>VTR!Y157/Forex!T$38*1000+PR!Y151</f>
        <v>-114.04945006165227</v>
      </c>
      <c r="Z152" s="265">
        <f>VTR!Z157/Forex!U$38*1000+PR!Z151</f>
        <v>-62.03958569667077</v>
      </c>
      <c r="AA152" s="265"/>
      <c r="AB152" s="91"/>
      <c r="AC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row>
    <row r="153" spans="1:83">
      <c r="A153" s="92" t="s">
        <v>670</v>
      </c>
      <c r="B153" s="96"/>
      <c r="C153" s="96"/>
      <c r="D153" s="96"/>
      <c r="E153" s="96"/>
      <c r="F153" s="96"/>
      <c r="G153" s="96"/>
      <c r="H153" s="96"/>
      <c r="I153" s="96"/>
      <c r="J153" s="96"/>
      <c r="K153" s="96"/>
      <c r="L153" s="96"/>
      <c r="M153" s="265">
        <f>VTR!M158/Forex!H$38*1000+PR!M152</f>
        <v>2.9791181672356353</v>
      </c>
      <c r="N153" s="265">
        <f>VTR!N158/Forex!I$38*1000+PR!N152</f>
        <v>2.6238772832778285</v>
      </c>
      <c r="O153" s="265">
        <f>VTR!O158/Forex!J$38*1000+PR!O152</f>
        <v>3.3288948069241009</v>
      </c>
      <c r="P153" s="265">
        <f>VTR!P158/Forex!K$38*1000+PR!P152</f>
        <v>2.8919330289193304</v>
      </c>
      <c r="Q153" s="265">
        <f>VTR!Q158/Forex!L$38*1000+PR!Q152</f>
        <v>4.8804268253910452</v>
      </c>
      <c r="R153" s="265">
        <f>VTR!R158/Forex!M$38*1000+PR!R152</f>
        <v>4.7410842692475557</v>
      </c>
      <c r="S153" s="265">
        <f>VTR!S158/Forex!N$38*1000+PR!S152</f>
        <v>-1.7570499071556525</v>
      </c>
      <c r="T153" s="265">
        <f>VTR!T158/Forex!O$38*1000+PR!T152</f>
        <v>-3.772788285415595</v>
      </c>
      <c r="U153" s="265">
        <f ca="1">VTR!U158/Forex!P$38*1000+PR!U152</f>
        <v>-5.0111338670213739</v>
      </c>
      <c r="V153" s="265">
        <f ca="1">VTR!V158/Forex!Q$38*1000+PR!V152</f>
        <v>-5.8502197968270631</v>
      </c>
      <c r="W153" s="265">
        <f ca="1">VTR!W158/Forex!R$38*1000+PR!W152</f>
        <v>-5.2219412239116831</v>
      </c>
      <c r="X153" s="265">
        <f ca="1">VTR!X158/Forex!S$38*1000+PR!X152</f>
        <v>-5.7450475494278752</v>
      </c>
      <c r="Y153" s="265">
        <f ca="1">VTR!Y158/Forex!T$38*1000+PR!Y152</f>
        <v>-5.4962614369599985</v>
      </c>
      <c r="Z153" s="265">
        <f ca="1">VTR!Z158/Forex!U$38*1000+PR!Z152</f>
        <v>-38.371538598579413</v>
      </c>
      <c r="AA153" s="265"/>
      <c r="AB153" s="91"/>
      <c r="AC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row>
    <row r="154" spans="1:83">
      <c r="A154" s="92" t="s">
        <v>671</v>
      </c>
      <c r="B154" s="97"/>
      <c r="C154" s="97"/>
      <c r="D154" s="97"/>
      <c r="E154" s="97"/>
      <c r="F154" s="97"/>
      <c r="G154" s="97"/>
      <c r="H154" s="97"/>
      <c r="I154" s="97"/>
      <c r="J154" s="97"/>
      <c r="K154" s="97"/>
      <c r="L154" s="97"/>
      <c r="M154" s="97">
        <f>VTR!M159/Forex!H$38*1000+PR!M153</f>
        <v>-38.723366100440089</v>
      </c>
      <c r="N154" s="97">
        <f>VTR!N159/Forex!I$38*1000+PR!N153</f>
        <v>-79.779180542940765</v>
      </c>
      <c r="O154" s="97">
        <f>VTR!O159/Forex!J$38*1000+PR!O153</f>
        <v>-138.76110449225592</v>
      </c>
      <c r="P154" s="97">
        <f>VTR!P159/Forex!K$38*1000+PR!P153</f>
        <v>-155.10517503805173</v>
      </c>
      <c r="Q154" s="97">
        <f>VTR!Q159/Forex!L$38*1000+PR!Q153</f>
        <v>-198.80406615755803</v>
      </c>
      <c r="R154" s="97">
        <f>VTR!R159/Forex!M$38*1000+PR!R153</f>
        <v>-223.53205876404471</v>
      </c>
      <c r="S154" s="97">
        <f>VTR!S159/Forex!N$38*1000+PR!S153</f>
        <v>-231.71687624597558</v>
      </c>
      <c r="T154" s="97">
        <f>VTR!T159/Forex!O$38*1000+PR!T153</f>
        <v>-219.45047249594191</v>
      </c>
      <c r="U154" s="97">
        <f ca="1">VTR!U159/Forex!P$38*1000+PR!U153</f>
        <v>-203.74581568520321</v>
      </c>
      <c r="V154" s="97">
        <f ca="1">VTR!V159/Forex!Q$38*1000+PR!V153</f>
        <v>-210.03661138684018</v>
      </c>
      <c r="W154" s="97">
        <f ca="1">VTR!W159/Forex!R$38*1000+PR!W153</f>
        <v>-181.73934328576735</v>
      </c>
      <c r="X154" s="97">
        <f ca="1">VTR!X159/Forex!S$38*1000+PR!X153</f>
        <v>-178.73724529661186</v>
      </c>
      <c r="Y154" s="97">
        <f ca="1">VTR!Y159/Forex!T$38*1000+PR!Y153</f>
        <v>-119.54571149861229</v>
      </c>
      <c r="Z154" s="97">
        <f ca="1">VTR!Z159/Forex!U$38*1000+PR!Z153</f>
        <v>-100.41112429525018</v>
      </c>
      <c r="AA154" s="97"/>
      <c r="AB154" s="91"/>
      <c r="AC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row>
    <row r="155" spans="1:83">
      <c r="A155" s="92" t="s">
        <v>4</v>
      </c>
      <c r="B155" s="154"/>
      <c r="C155" s="154"/>
      <c r="D155" s="154"/>
      <c r="E155" s="154"/>
      <c r="F155" s="154"/>
      <c r="G155" s="154"/>
      <c r="H155" s="154"/>
      <c r="I155" s="154"/>
      <c r="J155" s="154"/>
      <c r="K155" s="154"/>
      <c r="L155" s="154"/>
      <c r="M155" s="271">
        <f>VTR!M160/Forex!H$38*1000+PR!M154</f>
        <v>6.3616830502199058</v>
      </c>
      <c r="N155" s="271">
        <f>VTR!N160/Forex!I$38*1000+PR!N154</f>
        <v>-194.57059239075585</v>
      </c>
      <c r="O155" s="271">
        <f>VTR!O160/Forex!J$38*1000+PR!O154</f>
        <v>-58.506987174994784</v>
      </c>
      <c r="P155" s="271">
        <f>VTR!P160/Forex!K$38*1000+PR!P154</f>
        <v>5.1780821917808026</v>
      </c>
      <c r="Q155" s="271">
        <f>VTR!Q160/Forex!L$38*1000+PR!Q154</f>
        <v>16.033264814184921</v>
      </c>
      <c r="R155" s="271">
        <f>VTR!R160/Forex!M$38*1000+PR!R154</f>
        <v>19.420468557336605</v>
      </c>
      <c r="S155" s="271">
        <f>VTR!S160/Forex!N$38*1000+PR!S154</f>
        <v>19.620972639643689</v>
      </c>
      <c r="T155" s="271">
        <f>VTR!T160/Forex!O$38*1000+PR!T154</f>
        <v>17.923186344238957</v>
      </c>
      <c r="U155" s="271">
        <f>VTR!U160/Forex!P$38*1000+PR!U154</f>
        <v>15.909090909090894</v>
      </c>
      <c r="V155" s="271">
        <f>VTR!V160/Forex!Q$38*1000+PR!V154</f>
        <v>16.557161629434937</v>
      </c>
      <c r="W155" s="271">
        <f>VTR!W160/Forex!R$38*1000+PR!W154</f>
        <v>14.432989690721636</v>
      </c>
      <c r="X155" s="271">
        <f>VTR!X160/Forex!S$38*1000+PR!X154</f>
        <v>15.769712140175203</v>
      </c>
      <c r="Y155" s="271">
        <f>VTR!Y160/Forex!T$38*1000+PR!Y154</f>
        <v>15.536374845869281</v>
      </c>
      <c r="Z155" s="271">
        <f>VTR!Z160/Forex!U$38*1000+PR!Z154</f>
        <v>15.536374845869281</v>
      </c>
      <c r="AA155" s="271"/>
      <c r="AB155" s="91"/>
      <c r="AC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row>
    <row r="156" spans="1:83">
      <c r="A156" s="92" t="s">
        <v>672</v>
      </c>
      <c r="B156" s="97"/>
      <c r="C156" s="97"/>
      <c r="D156" s="97"/>
      <c r="E156" s="97"/>
      <c r="F156" s="97"/>
      <c r="G156" s="97"/>
      <c r="H156" s="97"/>
      <c r="I156" s="97"/>
      <c r="J156" s="97"/>
      <c r="K156" s="97"/>
      <c r="L156" s="97"/>
      <c r="M156" s="97">
        <f>M150+M154+M155</f>
        <v>59.538395097273067</v>
      </c>
      <c r="N156" s="97">
        <f>N150+N154+N155</f>
        <v>-87.179584216368994</v>
      </c>
      <c r="O156" s="97">
        <f>O150+O154+O155</f>
        <v>31.028698577335511</v>
      </c>
      <c r="P156" s="97">
        <f>P150+P154+P155+P151</f>
        <v>87.739573820395762</v>
      </c>
      <c r="Q156" s="97">
        <f t="shared" ref="Q156:Z156" si="106">Q150+Q154+Q155+Q151</f>
        <v>102.74783487910221</v>
      </c>
      <c r="R156" s="97">
        <f t="shared" si="106"/>
        <v>32.745837660123073</v>
      </c>
      <c r="S156" s="97">
        <f t="shared" si="106"/>
        <v>57.165701383092525</v>
      </c>
      <c r="T156" s="97">
        <f t="shared" ca="1" si="106"/>
        <v>107.44970994741398</v>
      </c>
      <c r="U156" s="97">
        <f t="shared" ca="1" si="106"/>
        <v>114.14314107307825</v>
      </c>
      <c r="V156" s="97">
        <f t="shared" ca="1" si="106"/>
        <v>143.55929546816964</v>
      </c>
      <c r="W156" s="97">
        <f t="shared" ca="1" si="106"/>
        <v>159.73481670272417</v>
      </c>
      <c r="X156" s="97">
        <f t="shared" ca="1" si="106"/>
        <v>208.31370087414453</v>
      </c>
      <c r="Y156" s="97">
        <f t="shared" ca="1" si="106"/>
        <v>284.73633264174617</v>
      </c>
      <c r="Z156" s="97">
        <f t="shared" ca="1" si="106"/>
        <v>326.06322377759085</v>
      </c>
      <c r="AA156" s="97"/>
      <c r="AB156" s="91"/>
      <c r="AC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row>
    <row r="157" spans="1:83">
      <c r="A157" s="92" t="s">
        <v>67</v>
      </c>
      <c r="B157" s="154"/>
      <c r="C157" s="154"/>
      <c r="D157" s="154"/>
      <c r="E157" s="154"/>
      <c r="F157" s="154"/>
      <c r="G157" s="154"/>
      <c r="H157" s="154"/>
      <c r="I157" s="154"/>
      <c r="J157" s="154"/>
      <c r="K157" s="154"/>
      <c r="L157" s="154"/>
      <c r="M157" s="271">
        <f>VTR!M162/Forex!H$38*1000+PR!M156</f>
        <v>86.786492822769716</v>
      </c>
      <c r="N157" s="271">
        <f>VTR!N162/Forex!I$38*1000+PR!N156</f>
        <v>18.568977697043092</v>
      </c>
      <c r="O157" s="271">
        <f>VTR!O162/Forex!J$38*1000+PR!O156</f>
        <v>-9.2858644614198607</v>
      </c>
      <c r="P157" s="271">
        <f>VTR!P162/Forex!K$38*1000+PR!P156</f>
        <v>-45.357686453576868</v>
      </c>
      <c r="Q157" s="271">
        <f>VTR!Q162/Forex!L$38*1000+PR!Q156</f>
        <v>13.379480370984524</v>
      </c>
      <c r="R157" s="271">
        <f>VTR!R162/Forex!M$38*1000+PR!R156</f>
        <v>20.863038603331379</v>
      </c>
      <c r="S157" s="271">
        <f>VTR!S162/Forex!N$38*1000+PR!S156</f>
        <v>25.902521143995966</v>
      </c>
      <c r="T157" s="271">
        <f ca="1">VTR!T162/Forex!O$38*1000+PR!T156</f>
        <v>42.393818987918451</v>
      </c>
      <c r="U157" s="271">
        <f ca="1">VTR!U162/Forex!P$38*1000+PR!U156</f>
        <v>44.996826900211119</v>
      </c>
      <c r="V157" s="271">
        <f ca="1">VTR!V162/Forex!Q$38*1000+PR!V156</f>
        <v>55.713272135146944</v>
      </c>
      <c r="W157" s="271">
        <f ca="1">VTR!W162/Forex!R$38*1000+PR!W156</f>
        <v>62.192036164278761</v>
      </c>
      <c r="X157" s="271">
        <f ca="1">VTR!X162/Forex!S$38*1000+PR!X156</f>
        <v>80.048138544505491</v>
      </c>
      <c r="Y157" s="271">
        <f ca="1">VTR!Y162/Forex!T$38*1000+PR!Y156</f>
        <v>107.25713873421125</v>
      </c>
      <c r="Z157" s="271">
        <f ca="1">VTR!Z162/Forex!U$38*1000+PR!Z156</f>
        <v>121.98380430046078</v>
      </c>
      <c r="AA157" s="271"/>
      <c r="AB157" s="91"/>
      <c r="AC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row>
    <row r="158" spans="1:83">
      <c r="A158" s="92" t="s">
        <v>673</v>
      </c>
      <c r="B158" s="97"/>
      <c r="C158" s="97"/>
      <c r="D158" s="97"/>
      <c r="E158" s="97"/>
      <c r="F158" s="97"/>
      <c r="G158" s="97"/>
      <c r="H158" s="97"/>
      <c r="I158" s="97"/>
      <c r="J158" s="97"/>
      <c r="K158" s="97"/>
      <c r="L158" s="97"/>
      <c r="M158" s="97">
        <f t="shared" ref="M158:Z158" si="107">M156+M157</f>
        <v>146.32488792004278</v>
      </c>
      <c r="N158" s="97">
        <f t="shared" si="107"/>
        <v>-68.610606519325898</v>
      </c>
      <c r="O158" s="97">
        <f t="shared" si="107"/>
        <v>21.742834115915649</v>
      </c>
      <c r="P158" s="97">
        <f t="shared" si="107"/>
        <v>42.381887366818894</v>
      </c>
      <c r="Q158" s="97">
        <f t="shared" si="107"/>
        <v>116.12731525008674</v>
      </c>
      <c r="R158" s="97">
        <f t="shared" si="107"/>
        <v>53.608876263454448</v>
      </c>
      <c r="S158" s="97">
        <f t="shared" si="107"/>
        <v>83.068222527088494</v>
      </c>
      <c r="T158" s="97">
        <f t="shared" ca="1" si="107"/>
        <v>149.84352893533242</v>
      </c>
      <c r="U158" s="97">
        <f t="shared" ca="1" si="107"/>
        <v>159.13996797328937</v>
      </c>
      <c r="V158" s="97">
        <f t="shared" ca="1" si="107"/>
        <v>199.27256760331659</v>
      </c>
      <c r="W158" s="97">
        <f t="shared" ca="1" si="107"/>
        <v>221.92685286700294</v>
      </c>
      <c r="X158" s="97">
        <f t="shared" ca="1" si="107"/>
        <v>288.36183941864999</v>
      </c>
      <c r="Y158" s="97">
        <f t="shared" ca="1" si="107"/>
        <v>391.99347137595743</v>
      </c>
      <c r="Z158" s="97">
        <f t="shared" ca="1" si="107"/>
        <v>448.04702807805165</v>
      </c>
      <c r="AA158" s="97"/>
      <c r="AB158" s="91"/>
      <c r="AC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row>
    <row r="159" spans="1:83">
      <c r="A159" s="92" t="s">
        <v>674</v>
      </c>
      <c r="B159" s="96"/>
      <c r="C159" s="96"/>
      <c r="D159" s="96"/>
      <c r="E159" s="96"/>
      <c r="F159" s="96"/>
      <c r="G159" s="96"/>
      <c r="H159" s="96"/>
      <c r="I159" s="96"/>
      <c r="J159" s="96"/>
      <c r="K159" s="96"/>
      <c r="L159" s="96"/>
      <c r="M159" s="96">
        <f>VTR!M164/Forex!H$38*1000+PR!M158-(1-'LiLAC valuation'!$H$8)*PR!M159</f>
        <v>-45.902965491712251</v>
      </c>
      <c r="N159" s="96">
        <f>VTR!N164/Forex!I$38*1000+PR!N158-(1-'LiLAC valuation'!$H$8)*PR!N159</f>
        <v>17.513876274094269</v>
      </c>
      <c r="O159" s="96">
        <f>VTR!O164/Forex!J$38*1000+PR!O158-(1-'LiLAC valuation'!$H$8)*PR!O159</f>
        <v>1.7801247459527647</v>
      </c>
      <c r="P159" s="96">
        <f>+PR!P158-(1-'LiLAC valuation'!$H$8)*PR!P159</f>
        <v>-5.6799999999999988</v>
      </c>
      <c r="Q159" s="96">
        <f ca="1">+PR!Q158-(1-'LiLAC valuation'!$H$8)*PR!Q159</f>
        <v>-23.200000000000003</v>
      </c>
      <c r="R159" s="96">
        <f ca="1">+PR!R158-(1-'LiLAC valuation'!$H$8)*PR!R159</f>
        <v>15.096000000000002</v>
      </c>
      <c r="S159" s="96">
        <f ca="1">+PR!S158-(1-'LiLAC valuation'!$H$8)*PR!S159</f>
        <v>10.839864845275535</v>
      </c>
      <c r="T159" s="96">
        <f ca="1">+PR!T158-(1-'LiLAC valuation'!$H$8)*PR!T159</f>
        <v>-8.0539596328972625</v>
      </c>
      <c r="U159" s="96">
        <f ca="1">+PR!U158-(1-'LiLAC valuation'!$H$8)*PR!U159</f>
        <v>-9.9179086252590594</v>
      </c>
      <c r="V159" s="96">
        <f ca="1">+PR!V158-(1-'LiLAC valuation'!$H$8)*PR!V159</f>
        <v>-13.959958139733004</v>
      </c>
      <c r="W159" s="96">
        <f ca="1">+PR!W158-(1-'LiLAC valuation'!$H$8)*PR!W159</f>
        <v>-23.459710775972116</v>
      </c>
      <c r="X159" s="96">
        <f ca="1">+PR!X158-(1-'LiLAC valuation'!$H$8)*PR!X159</f>
        <v>-33.406271107701734</v>
      </c>
      <c r="Y159" s="96">
        <f ca="1">+PR!Y158-(1-'LiLAC valuation'!$H$8)*PR!Y159</f>
        <v>-37.840769197983143</v>
      </c>
      <c r="Z159" s="96">
        <f ca="1">+PR!Z158-(1-'LiLAC valuation'!$H$8)*PR!Z159</f>
        <v>-39.452359165802662</v>
      </c>
      <c r="AA159" s="96"/>
      <c r="AB159" s="91"/>
      <c r="AC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row>
    <row r="160" spans="1:83">
      <c r="A160" s="92" t="s">
        <v>675</v>
      </c>
      <c r="B160" s="97"/>
      <c r="C160" s="97"/>
      <c r="D160" s="97"/>
      <c r="E160" s="97"/>
      <c r="F160" s="97"/>
      <c r="G160" s="97"/>
      <c r="H160" s="97"/>
      <c r="I160" s="97"/>
      <c r="J160" s="97"/>
      <c r="K160" s="97"/>
      <c r="L160" s="97"/>
      <c r="M160" s="97">
        <f t="shared" ref="M160:Z160" si="108">M158+M159</f>
        <v>100.42192242833053</v>
      </c>
      <c r="N160" s="97">
        <f t="shared" si="108"/>
        <v>-51.096730245231626</v>
      </c>
      <c r="O160" s="97">
        <f t="shared" si="108"/>
        <v>23.522958861868414</v>
      </c>
      <c r="P160" s="97">
        <f t="shared" si="108"/>
        <v>36.701887366818895</v>
      </c>
      <c r="Q160" s="97">
        <f t="shared" ca="1" si="108"/>
        <v>92.927315250086735</v>
      </c>
      <c r="R160" s="97">
        <f t="shared" ca="1" si="108"/>
        <v>68.704876263454452</v>
      </c>
      <c r="S160" s="97">
        <f t="shared" ca="1" si="108"/>
        <v>93.908087372364037</v>
      </c>
      <c r="T160" s="97">
        <f t="shared" ca="1" si="108"/>
        <v>141.78956930243515</v>
      </c>
      <c r="U160" s="97">
        <f t="shared" ca="1" si="108"/>
        <v>149.22205934803031</v>
      </c>
      <c r="V160" s="97">
        <f t="shared" ca="1" si="108"/>
        <v>185.31260946358358</v>
      </c>
      <c r="W160" s="97">
        <f t="shared" ca="1" si="108"/>
        <v>198.46714209103081</v>
      </c>
      <c r="X160" s="97">
        <f t="shared" ca="1" si="108"/>
        <v>254.95556831094825</v>
      </c>
      <c r="Y160" s="97">
        <f t="shared" ca="1" si="108"/>
        <v>354.15270217797428</v>
      </c>
      <c r="Z160" s="97">
        <f t="shared" ca="1" si="108"/>
        <v>408.59466891224901</v>
      </c>
      <c r="AA160" s="97"/>
      <c r="AB160" s="91"/>
      <c r="AC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row>
    <row r="161" spans="1:83">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row>
    <row r="162" spans="1:83">
      <c r="A162" s="92" t="s">
        <v>783</v>
      </c>
      <c r="B162" s="91"/>
      <c r="C162" s="91"/>
      <c r="D162" s="91"/>
      <c r="E162" s="91"/>
      <c r="F162" s="91"/>
      <c r="G162" s="91"/>
      <c r="H162" s="91"/>
      <c r="I162" s="91"/>
      <c r="J162" s="91"/>
      <c r="K162" s="91"/>
      <c r="L162" s="91"/>
      <c r="M162" s="91"/>
      <c r="N162" s="91"/>
      <c r="O162" s="91"/>
      <c r="P162" s="97">
        <f>NPV(0.068,Q151:$AA151)</f>
        <v>-87.976580207601543</v>
      </c>
      <c r="Q162" s="97">
        <f>NPV(0.068,R151:$AA151)</f>
        <v>-82.958987661718439</v>
      </c>
      <c r="R162" s="97">
        <f>NPV(0.068,S151:$AA151)</f>
        <v>-77.270198822715301</v>
      </c>
      <c r="S162" s="97">
        <f>NPV(0.068,T151:$AA151)</f>
        <v>-70.854672342659939</v>
      </c>
      <c r="T162" s="97">
        <f>NPV(0.068,U151:$AA151)</f>
        <v>-63.652793061960836</v>
      </c>
      <c r="U162" s="97">
        <f>NPV(0.068,V151:$AA151)</f>
        <v>-55.600586080174175</v>
      </c>
      <c r="V162" s="97">
        <f>NPV(0.068,W151:$AA151)</f>
        <v>-46.629411116326025</v>
      </c>
      <c r="W162" s="97">
        <f>NPV(0.068,X151:$AA151)</f>
        <v>-36.665635810417193</v>
      </c>
      <c r="X162" s="97">
        <f>NPV(0.068,Y151:$AA151)</f>
        <v>-25.630286525851997</v>
      </c>
      <c r="Y162" s="97">
        <f>NPV(0.068,Z151:$AA151)</f>
        <v>-13.438675114346152</v>
      </c>
      <c r="Z162" s="97">
        <f>NPV(0.068,AA151:$AA151)</f>
        <v>0</v>
      </c>
      <c r="AA162" s="97"/>
      <c r="AB162" s="91"/>
      <c r="AC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row>
    <row r="163" spans="1:83">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row>
    <row r="164" spans="1:83">
      <c r="A164" s="272" t="s">
        <v>784</v>
      </c>
      <c r="B164" s="273">
        <f t="shared" ref="B164:Z164" si="109">B1</f>
        <v>2001</v>
      </c>
      <c r="C164" s="273">
        <f t="shared" si="109"/>
        <v>2002</v>
      </c>
      <c r="D164" s="273">
        <f t="shared" si="109"/>
        <v>2003</v>
      </c>
      <c r="E164" s="273">
        <f t="shared" si="109"/>
        <v>2004</v>
      </c>
      <c r="F164" s="273">
        <f t="shared" si="109"/>
        <v>2005</v>
      </c>
      <c r="G164" s="273">
        <f t="shared" si="109"/>
        <v>2006</v>
      </c>
      <c r="H164" s="273">
        <f t="shared" si="109"/>
        <v>2007</v>
      </c>
      <c r="I164" s="273">
        <f t="shared" si="109"/>
        <v>2008</v>
      </c>
      <c r="J164" s="273">
        <f t="shared" si="109"/>
        <v>2009</v>
      </c>
      <c r="K164" s="273">
        <f t="shared" si="109"/>
        <v>2010</v>
      </c>
      <c r="L164" s="273">
        <f t="shared" si="109"/>
        <v>2011</v>
      </c>
      <c r="M164" s="273">
        <f t="shared" si="109"/>
        <v>2012</v>
      </c>
      <c r="N164" s="273">
        <f t="shared" si="109"/>
        <v>2013</v>
      </c>
      <c r="O164" s="273">
        <f t="shared" si="109"/>
        <v>2014</v>
      </c>
      <c r="P164" s="273">
        <f t="shared" si="109"/>
        <v>2015</v>
      </c>
      <c r="Q164" s="273" t="str">
        <f t="shared" si="109"/>
        <v>2016E</v>
      </c>
      <c r="R164" s="273" t="str">
        <f t="shared" si="109"/>
        <v>2017E</v>
      </c>
      <c r="S164" s="273" t="str">
        <f t="shared" si="109"/>
        <v>2018E</v>
      </c>
      <c r="T164" s="273" t="str">
        <f t="shared" si="109"/>
        <v>2019E</v>
      </c>
      <c r="U164" s="273" t="str">
        <f t="shared" si="109"/>
        <v>2020E</v>
      </c>
      <c r="V164" s="273" t="str">
        <f t="shared" si="109"/>
        <v>2021E</v>
      </c>
      <c r="W164" s="273" t="str">
        <f t="shared" si="109"/>
        <v>2022E</v>
      </c>
      <c r="X164" s="273" t="str">
        <f t="shared" si="109"/>
        <v>2023E</v>
      </c>
      <c r="Y164" s="273" t="str">
        <f t="shared" si="109"/>
        <v>2024E</v>
      </c>
      <c r="Z164" s="273" t="str">
        <f t="shared" si="109"/>
        <v>2025E</v>
      </c>
      <c r="AA164" s="273"/>
      <c r="AB164" s="91"/>
      <c r="AC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row>
    <row r="165" spans="1:83">
      <c r="A165" s="92" t="s">
        <v>8</v>
      </c>
      <c r="B165" s="91"/>
      <c r="C165" s="91"/>
      <c r="D165" s="91"/>
      <c r="E165" s="91"/>
      <c r="F165" s="91"/>
      <c r="G165" s="91"/>
      <c r="H165" s="91"/>
      <c r="I165" s="91"/>
      <c r="J165" s="91"/>
      <c r="K165" s="91"/>
      <c r="L165" s="91"/>
      <c r="M165" s="97">
        <f t="shared" ref="M165:Z165" si="110">M115</f>
        <v>366.31257763336492</v>
      </c>
      <c r="N165" s="97">
        <f t="shared" si="110"/>
        <v>460.3124129579171</v>
      </c>
      <c r="O165" s="97">
        <f t="shared" si="110"/>
        <v>477.08272478800194</v>
      </c>
      <c r="P165" s="97">
        <f>P115</f>
        <v>492.17960426179599</v>
      </c>
      <c r="Q165" s="97">
        <f t="shared" si="110"/>
        <v>537.60007689918814</v>
      </c>
      <c r="R165" s="97">
        <f t="shared" si="110"/>
        <v>515.55240443896423</v>
      </c>
      <c r="S165" s="97">
        <f t="shared" si="110"/>
        <v>540.22816630963553</v>
      </c>
      <c r="T165" s="97">
        <f t="shared" ca="1" si="110"/>
        <v>566.17238427977122</v>
      </c>
      <c r="U165" s="97">
        <f t="shared" ca="1" si="110"/>
        <v>542.78369508242281</v>
      </c>
      <c r="V165" s="97">
        <f t="shared" ca="1" si="110"/>
        <v>583.60429486547662</v>
      </c>
      <c r="W165" s="97">
        <f t="shared" ca="1" si="110"/>
        <v>556.32156457448002</v>
      </c>
      <c r="X165" s="97">
        <f t="shared" ca="1" si="110"/>
        <v>612.0738014939343</v>
      </c>
      <c r="Y165" s="97">
        <f t="shared" ca="1" si="110"/>
        <v>628.00332144745948</v>
      </c>
      <c r="Z165" s="97">
        <f t="shared" ca="1" si="110"/>
        <v>650.61365950679999</v>
      </c>
      <c r="AA165" s="97"/>
      <c r="AB165" s="91"/>
      <c r="AC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row>
    <row r="166" spans="1:83">
      <c r="A166" s="92" t="s">
        <v>19</v>
      </c>
      <c r="B166" s="91"/>
      <c r="C166" s="91"/>
      <c r="D166" s="91"/>
      <c r="E166" s="91"/>
      <c r="F166" s="91"/>
      <c r="G166" s="91"/>
      <c r="H166" s="91"/>
      <c r="I166" s="91"/>
      <c r="J166" s="91"/>
      <c r="K166" s="91"/>
      <c r="L166" s="91"/>
      <c r="M166" s="97">
        <f t="shared" ref="M166:Z166" si="111">-M118</f>
        <v>-269.19678772673058</v>
      </c>
      <c r="N166" s="97">
        <f t="shared" si="111"/>
        <v>-253.30630739731555</v>
      </c>
      <c r="O166" s="97">
        <f t="shared" si="111"/>
        <v>-256.10397364916952</v>
      </c>
      <c r="P166" s="97">
        <f>-P118</f>
        <v>-224.8275494672755</v>
      </c>
      <c r="Q166" s="97">
        <f t="shared" si="111"/>
        <v>-286.20563138669939</v>
      </c>
      <c r="R166" s="97">
        <f t="shared" si="111"/>
        <v>-344.54623921085084</v>
      </c>
      <c r="S166" s="97">
        <f t="shared" si="111"/>
        <v>-368.14695681374383</v>
      </c>
      <c r="T166" s="97">
        <f t="shared" ca="1" si="111"/>
        <v>-289.3751385858975</v>
      </c>
      <c r="U166" s="97">
        <f t="shared" ca="1" si="111"/>
        <v>-255.37372365336742</v>
      </c>
      <c r="V166" s="97">
        <f t="shared" ca="1" si="111"/>
        <v>-262.61026529877711</v>
      </c>
      <c r="W166" s="97">
        <f t="shared" ca="1" si="111"/>
        <v>-242.1934187857367</v>
      </c>
      <c r="X166" s="97">
        <f t="shared" ca="1" si="111"/>
        <v>-265.91422245926196</v>
      </c>
      <c r="Y166" s="97">
        <f t="shared" ca="1" si="111"/>
        <v>-271.26552969551733</v>
      </c>
      <c r="Z166" s="97">
        <f t="shared" ca="1" si="111"/>
        <v>-279.57563209749225</v>
      </c>
      <c r="AA166" s="97"/>
      <c r="AB166" s="91"/>
      <c r="AC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row>
    <row r="167" spans="1:83">
      <c r="A167" s="92" t="s">
        <v>678</v>
      </c>
      <c r="B167" s="91"/>
      <c r="C167" s="91"/>
      <c r="D167" s="91"/>
      <c r="E167" s="91"/>
      <c r="F167" s="91"/>
      <c r="G167" s="91"/>
      <c r="H167" s="91"/>
      <c r="I167" s="91"/>
      <c r="J167" s="91"/>
      <c r="K167" s="91"/>
      <c r="L167" s="91"/>
      <c r="M167" s="265">
        <f>VTR!M175/Forex!H$38*1000+PR!M169</f>
        <v>-97.527092501953675</v>
      </c>
      <c r="N167" s="265">
        <f>VTR!N175/Forex!I$38*1000+PR!N169</f>
        <v>-66.827954384902611</v>
      </c>
      <c r="O167" s="265">
        <f>VTR!O175/Forex!J$38*1000+PR!O169</f>
        <v>-71.476256219777142</v>
      </c>
      <c r="P167" s="265">
        <f>VTR!P175/Forex!K$38*1000+PR!P169</f>
        <v>-12.533333333333335</v>
      </c>
      <c r="Q167" s="265">
        <f ca="1">VTR!Q175/Forex!L$38*1000+PR!Q169</f>
        <v>-21.832939733537202</v>
      </c>
      <c r="R167" s="265">
        <f ca="1">VTR!R175/Forex!M$38*1000+PR!R169</f>
        <v>-22.593604161138771</v>
      </c>
      <c r="S167" s="265">
        <f ca="1">VTR!S175/Forex!N$38*1000+PR!S169</f>
        <v>-23.817436767194778</v>
      </c>
      <c r="T167" s="265">
        <f ca="1">VTR!T175/Forex!O$38*1000+PR!T169</f>
        <v>-23.707958286046861</v>
      </c>
      <c r="U167" s="265">
        <f ca="1">VTR!U175/Forex!P$38*1000+PR!U169</f>
        <v>-22.388143949415696</v>
      </c>
      <c r="V167" s="265">
        <f ca="1">VTR!V175/Forex!Q$38*1000+PR!V169</f>
        <v>-24.032595670718226</v>
      </c>
      <c r="W167" s="265">
        <f ca="1">VTR!W175/Forex!R$38*1000+PR!W169</f>
        <v>-22.348714532456242</v>
      </c>
      <c r="X167" s="265">
        <f ca="1">VTR!X175/Forex!S$38*1000+PR!X169</f>
        <v>-24.913255718891939</v>
      </c>
      <c r="Y167" s="265">
        <f ca="1">VTR!Y175/Forex!T$38*1000+PR!Y169</f>
        <v>-25.541766043375251</v>
      </c>
      <c r="Z167" s="265">
        <f ca="1">VTR!Z175/Forex!U$38*1000+PR!Z169</f>
        <v>-26.496310737783489</v>
      </c>
      <c r="AA167" s="265"/>
      <c r="AB167" s="91"/>
      <c r="AC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row>
    <row r="168" spans="1:83">
      <c r="A168" s="92" t="s">
        <v>782</v>
      </c>
      <c r="B168" s="91"/>
      <c r="C168" s="91"/>
      <c r="D168" s="91"/>
      <c r="E168" s="91"/>
      <c r="F168" s="91"/>
      <c r="G168" s="91"/>
      <c r="H168" s="91"/>
      <c r="I168" s="91"/>
      <c r="J168" s="91"/>
      <c r="K168" s="91"/>
      <c r="L168" s="91"/>
      <c r="M168" s="265"/>
      <c r="N168" s="265"/>
      <c r="O168" s="265"/>
      <c r="P168" s="265">
        <f>+P151</f>
        <v>-8.5</v>
      </c>
      <c r="Q168" s="265">
        <f t="shared" ref="Q168:Z168" si="112">+Q151</f>
        <v>-11</v>
      </c>
      <c r="R168" s="265">
        <f t="shared" si="112"/>
        <v>-11.33</v>
      </c>
      <c r="S168" s="265">
        <f t="shared" si="112"/>
        <v>-11.6699</v>
      </c>
      <c r="T168" s="265">
        <f t="shared" si="112"/>
        <v>-12.019997</v>
      </c>
      <c r="U168" s="265">
        <f t="shared" si="112"/>
        <v>-12.38059691</v>
      </c>
      <c r="V168" s="265">
        <f t="shared" si="112"/>
        <v>-12.752014817299999</v>
      </c>
      <c r="W168" s="265">
        <f t="shared" si="112"/>
        <v>-13.134575261819</v>
      </c>
      <c r="X168" s="265">
        <f t="shared" si="112"/>
        <v>-13.528612519673571</v>
      </c>
      <c r="Y168" s="265">
        <f t="shared" si="112"/>
        <v>-13.934470895263779</v>
      </c>
      <c r="Z168" s="265">
        <f t="shared" si="112"/>
        <v>-14.352505022121692</v>
      </c>
      <c r="AA168" s="265"/>
      <c r="AB168" s="91"/>
      <c r="AC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row>
    <row r="169" spans="1:83">
      <c r="A169" s="92" t="s">
        <v>679</v>
      </c>
      <c r="B169" s="91"/>
      <c r="C169" s="91"/>
      <c r="D169" s="91"/>
      <c r="E169" s="91"/>
      <c r="F169" s="91"/>
      <c r="G169" s="91"/>
      <c r="H169" s="91"/>
      <c r="I169" s="91"/>
      <c r="J169" s="91"/>
      <c r="K169" s="91"/>
      <c r="L169" s="91"/>
      <c r="M169" s="265">
        <f>VTR!M176/Forex!H$38*1000+PR!M170</f>
        <v>-36.197314194052566</v>
      </c>
      <c r="N169" s="265">
        <f>VTR!N176/Forex!I$38*1000+PR!N170</f>
        <v>-68.498365122615809</v>
      </c>
      <c r="O169" s="265">
        <f>VTR!O176/Forex!J$38*1000+PR!O170</f>
        <v>-88.663956829490502</v>
      </c>
      <c r="P169" s="265">
        <f>VTR!P176/Forex!K$38*1000+PR!P170</f>
        <v>-191.82990867579912</v>
      </c>
      <c r="Q169" s="265">
        <f>VTR!Q176/Forex!L$38*1000+PR!Q170</f>
        <v>-204.48449298294909</v>
      </c>
      <c r="R169" s="265">
        <f>VTR!R176/Forex!M$38*1000+PR!R170</f>
        <v>-228.27314303329223</v>
      </c>
      <c r="S169" s="265">
        <f>VTR!S176/Forex!N$38*1000+PR!S170</f>
        <v>-229.95982633881994</v>
      </c>
      <c r="T169" s="265">
        <f>VTR!T176/Forex!O$38*1000+PR!T170</f>
        <v>-215.67768421052631</v>
      </c>
      <c r="U169" s="265">
        <f>VTR!U176/Forex!P$38*1000+PR!U170</f>
        <v>-198.7346818181818</v>
      </c>
      <c r="V169" s="265">
        <f>VTR!V176/Forex!Q$38*1000+PR!V170</f>
        <v>-204.18639159001313</v>
      </c>
      <c r="W169" s="265">
        <f>VTR!W176/Forex!R$38*1000+PR!W170</f>
        <v>-176.51740206185565</v>
      </c>
      <c r="X169" s="265">
        <f>VTR!X176/Forex!S$38*1000+PR!X170</f>
        <v>-172.99219774718398</v>
      </c>
      <c r="Y169" s="265">
        <f>VTR!Y176/Forex!T$38*1000+PR!Y170</f>
        <v>-114.04945006165227</v>
      </c>
      <c r="Z169" s="265">
        <f>VTR!Z176/Forex!U$38*1000+PR!Z170</f>
        <v>-62.03958569667077</v>
      </c>
      <c r="AA169" s="265"/>
      <c r="AB169" s="91"/>
      <c r="AC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row>
    <row r="170" spans="1:83">
      <c r="A170" s="92" t="s">
        <v>205</v>
      </c>
      <c r="B170" s="91"/>
      <c r="C170" s="91"/>
      <c r="D170" s="91"/>
      <c r="E170" s="91"/>
      <c r="F170" s="91"/>
      <c r="G170" s="91"/>
      <c r="H170" s="91"/>
      <c r="I170" s="91"/>
      <c r="J170" s="91"/>
      <c r="K170" s="91"/>
      <c r="L170" s="91"/>
      <c r="M170" s="265">
        <f>VTR!M177/Forex!H$38*1000+PR!M171</f>
        <v>-22.004688849586639</v>
      </c>
      <c r="N170" s="265">
        <f>VTR!N177/Forex!I$38*1000+PR!N171</f>
        <v>-39.15632253506913</v>
      </c>
      <c r="O170" s="265">
        <f>VTR!O177/Forex!J$38*1000+PR!O171</f>
        <v>-35.917022916812677</v>
      </c>
      <c r="P170" s="265">
        <f>VTR!P177/Forex!K$38*1000+PR!P171</f>
        <v>-56.316590563165903</v>
      </c>
      <c r="Q170" s="265">
        <f>VTR!Q177/Forex!L$38*1000+PR!Q171</f>
        <v>-60.553221632333148</v>
      </c>
      <c r="R170" s="265">
        <f>VTR!R177/Forex!M$38*1000+PR!R171</f>
        <v>-61.737469219903303</v>
      </c>
      <c r="S170" s="265">
        <f>VTR!S177/Forex!N$38*1000+PR!S171</f>
        <v>-62.392350176465115</v>
      </c>
      <c r="T170" s="265">
        <f>VTR!T177/Forex!O$38*1000+PR!T171</f>
        <v>-57.846824019612505</v>
      </c>
      <c r="U170" s="265">
        <f ca="1">VTR!U177/Forex!P$38*1000+PR!U171</f>
        <v>-38.879134237327477</v>
      </c>
      <c r="V170" s="265">
        <f ca="1">VTR!V177/Forex!Q$38*1000+PR!V171</f>
        <v>-46.900722642087679</v>
      </c>
      <c r="W170" s="265">
        <f ca="1">VTR!W177/Forex!R$38*1000+PR!W171</f>
        <v>-47.086474324053427</v>
      </c>
      <c r="X170" s="265">
        <f ca="1">VTR!X177/Forex!S$38*1000+PR!X171</f>
        <v>-58.314016780304492</v>
      </c>
      <c r="Y170" s="265">
        <f ca="1">VTR!Y177/Forex!T$38*1000+PR!Y171</f>
        <v>-82.577005055006694</v>
      </c>
      <c r="Z170" s="265">
        <f ca="1">VTR!Z177/Forex!U$38*1000+PR!Z171</f>
        <v>-96.232085648686024</v>
      </c>
      <c r="AA170" s="265"/>
      <c r="AB170" s="91"/>
      <c r="AC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row>
    <row r="171" spans="1:83">
      <c r="A171" s="92" t="s">
        <v>680</v>
      </c>
      <c r="B171" s="91"/>
      <c r="C171" s="91"/>
      <c r="D171" s="91"/>
      <c r="E171" s="91"/>
      <c r="F171" s="91"/>
      <c r="G171" s="91"/>
      <c r="H171" s="91"/>
      <c r="I171" s="91"/>
      <c r="J171" s="91"/>
      <c r="K171" s="91"/>
      <c r="L171" s="91"/>
      <c r="M171" s="265">
        <f>VTR!M178/Forex!H$38*1000+PR!M172</f>
        <v>-17.429979846172831</v>
      </c>
      <c r="N171" s="265">
        <f>VTR!N178/Forex!I$38*1000+PR!N172</f>
        <v>-651.85177111716609</v>
      </c>
      <c r="O171" s="265">
        <f>VTR!O178/Forex!J$38*1000+PR!O172</f>
        <v>-528.82828509355954</v>
      </c>
      <c r="P171" s="265">
        <f>VTR!P178/Forex!K$38*1000+PR!P172</f>
        <v>-0.4</v>
      </c>
      <c r="Q171" s="265">
        <f>VTR!Q178/Forex!L$38*1000+PR!Q172</f>
        <v>-0.4</v>
      </c>
      <c r="R171" s="265">
        <f>VTR!R178/Forex!M$38*1000+PR!R172</f>
        <v>0</v>
      </c>
      <c r="S171" s="265">
        <f>VTR!S178/Forex!N$38*1000+PR!S172</f>
        <v>0</v>
      </c>
      <c r="T171" s="265">
        <f>VTR!T178/Forex!O$38*1000+PR!T172</f>
        <v>0</v>
      </c>
      <c r="U171" s="265">
        <f>VTR!U178/Forex!P$38*1000+PR!U172</f>
        <v>0</v>
      </c>
      <c r="V171" s="265">
        <f>VTR!V178/Forex!Q$38*1000+PR!V172</f>
        <v>0</v>
      </c>
      <c r="W171" s="265">
        <f>VTR!W178/Forex!R$38*1000+PR!W172</f>
        <v>-530</v>
      </c>
      <c r="X171" s="265">
        <f>VTR!X178/Forex!S$38*1000+PR!X172</f>
        <v>-142</v>
      </c>
      <c r="Y171" s="265">
        <f>VTR!Y178/Forex!T$38*1000+PR!Y172</f>
        <v>-937.11467324290993</v>
      </c>
      <c r="Z171" s="265">
        <f>VTR!Z178/Forex!U$38*1000+PR!Z172</f>
        <v>0</v>
      </c>
      <c r="AA171" s="265"/>
      <c r="AB171" s="91"/>
      <c r="AC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row>
    <row r="172" spans="1:83">
      <c r="A172" s="92" t="s">
        <v>681</v>
      </c>
      <c r="B172" s="91"/>
      <c r="C172" s="91"/>
      <c r="D172" s="91"/>
      <c r="E172" s="91"/>
      <c r="F172" s="91"/>
      <c r="G172" s="91"/>
      <c r="H172" s="91"/>
      <c r="I172" s="91"/>
      <c r="J172" s="91"/>
      <c r="K172" s="91"/>
      <c r="L172" s="91"/>
      <c r="M172" s="265">
        <f>VTR!M179/Forex!H$38*1000+PR!M173</f>
        <v>79.954106856414256</v>
      </c>
      <c r="N172" s="265">
        <f>VTR!N179/Forex!I$38*1000+PR!N173</f>
        <v>44.382853971137351</v>
      </c>
      <c r="O172" s="265">
        <f>VTR!O179/Forex!J$38*1000+PR!O173</f>
        <v>639.67443408788279</v>
      </c>
      <c r="P172" s="265">
        <f>VTR!P179/Forex!K$38*1000+PR!P173</f>
        <v>0</v>
      </c>
      <c r="Q172" s="265">
        <f>VTR!Q179/Forex!L$38*1000+PR!Q173</f>
        <v>0</v>
      </c>
      <c r="R172" s="265">
        <f>VTR!R179/Forex!M$38*1000+PR!R173</f>
        <v>0</v>
      </c>
      <c r="S172" s="265">
        <f>VTR!S179/Forex!N$38*1000+PR!S173</f>
        <v>0</v>
      </c>
      <c r="T172" s="265">
        <f>VTR!T179/Forex!O$38*1000+PR!T173</f>
        <v>0</v>
      </c>
      <c r="U172" s="265">
        <f>VTR!U179/Forex!P$38*1000+PR!U173</f>
        <v>0</v>
      </c>
      <c r="V172" s="265">
        <f>VTR!V179/Forex!Q$38*1000+PR!V173</f>
        <v>0</v>
      </c>
      <c r="W172" s="265">
        <f>VTR!W179/Forex!R$38*1000+PR!W173</f>
        <v>250</v>
      </c>
      <c r="X172" s="265">
        <f>VTR!X179/Forex!S$38*1000+PR!X173</f>
        <v>0</v>
      </c>
      <c r="Y172" s="265">
        <f>VTR!Y179/Forex!T$38*1000+PR!Y173</f>
        <v>0</v>
      </c>
      <c r="Z172" s="265">
        <f>VTR!Z179/Forex!U$38*1000+PR!Z173</f>
        <v>0</v>
      </c>
      <c r="AA172" s="265"/>
      <c r="AB172" s="91"/>
      <c r="AC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row>
    <row r="173" spans="1:83">
      <c r="A173" s="92" t="s">
        <v>682</v>
      </c>
      <c r="B173" s="91"/>
      <c r="C173" s="91"/>
      <c r="D173" s="91"/>
      <c r="E173" s="91"/>
      <c r="F173" s="91"/>
      <c r="G173" s="91"/>
      <c r="H173" s="91"/>
      <c r="I173" s="91"/>
      <c r="J173" s="91"/>
      <c r="K173" s="91"/>
      <c r="L173" s="91"/>
      <c r="M173" s="265">
        <f>VTR!M180/Forex!H$38*1000+PR!M174</f>
        <v>-21.30641220746103</v>
      </c>
      <c r="N173" s="265">
        <f>VTR!N180/Forex!I$38*1000+PR!N174</f>
        <v>737.42951861943686</v>
      </c>
      <c r="O173" s="265">
        <f>VTR!O180/Forex!J$38*1000+PR!O174</f>
        <v>-147.87301142336534</v>
      </c>
      <c r="P173" s="96">
        <f>VTR!P180/Forex!K$38*1000+PR!P174*(1-'LiLAC valuation'!$H$8)</f>
        <v>6.8000000000000007</v>
      </c>
      <c r="Q173" s="96">
        <f>VTR!Q180/Forex!L$38*1000+PR!Q174*(1-'LiLAC valuation'!$H$8)</f>
        <v>0</v>
      </c>
      <c r="R173" s="96">
        <f>VTR!R180/Forex!M$38*1000+PR!R174*(1-'LiLAC valuation'!$H$8)</f>
        <v>0</v>
      </c>
      <c r="S173" s="96">
        <f>VTR!S180/Forex!N$38*1000+PR!S174*(1-'LiLAC valuation'!$H$8)</f>
        <v>0</v>
      </c>
      <c r="T173" s="96">
        <f>VTR!T180/Forex!O$38*1000+PR!T174*(1-'LiLAC valuation'!$H$8)</f>
        <v>0</v>
      </c>
      <c r="U173" s="96">
        <f>VTR!U180/Forex!P$38*1000+PR!U174*(1-'LiLAC valuation'!$H$8)</f>
        <v>0</v>
      </c>
      <c r="V173" s="96">
        <f>VTR!V180/Forex!Q$38*1000+PR!V174*(1-'LiLAC valuation'!$H$8)</f>
        <v>0</v>
      </c>
      <c r="W173" s="96">
        <f>VTR!W180/Forex!R$38*1000+PR!W174*(1-'LiLAC valuation'!$H$8)</f>
        <v>0</v>
      </c>
      <c r="X173" s="96">
        <f>VTR!X180/Forex!S$38*1000+PR!X174*(1-'LiLAC valuation'!$H$8)</f>
        <v>0</v>
      </c>
      <c r="Y173" s="96">
        <f>VTR!Y180/Forex!T$38*1000+PR!Y174*(1-'LiLAC valuation'!$H$8)</f>
        <v>0</v>
      </c>
      <c r="Z173" s="96">
        <f>VTR!Z180/Forex!U$38*1000+PR!Z174*(1-'LiLAC valuation'!$H$8)</f>
        <v>0</v>
      </c>
      <c r="AA173" s="96"/>
      <c r="AB173" s="91"/>
      <c r="AC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row>
    <row r="174" spans="1:83">
      <c r="A174" s="92" t="s">
        <v>683</v>
      </c>
      <c r="B174" s="156"/>
      <c r="C174" s="156"/>
      <c r="D174" s="156"/>
      <c r="E174" s="156"/>
      <c r="F174" s="156"/>
      <c r="G174" s="156"/>
      <c r="H174" s="156"/>
      <c r="I174" s="156"/>
      <c r="J174" s="156"/>
      <c r="K174" s="156"/>
      <c r="L174" s="156"/>
      <c r="M174" s="271">
        <f>VTR!M181/Forex!H$38*1000+PR!M175</f>
        <v>-9.6469337391519687</v>
      </c>
      <c r="N174" s="271">
        <f>VTR!N181/Forex!I$38*1000+PR!N175</f>
        <v>-22.777343828842497</v>
      </c>
      <c r="O174" s="271">
        <f>VTR!O181/Forex!J$38*1000+PR!O175</f>
        <v>-37.166809166724946</v>
      </c>
      <c r="P174" s="271">
        <f>VTR!P181/Forex!K$38*1000+PR!P175</f>
        <v>77.200000000000017</v>
      </c>
      <c r="Q174" s="271">
        <f ca="1">VTR!Q181/Forex!L$38*1000+PR!Q175</f>
        <v>-46.639240506329131</v>
      </c>
      <c r="R174" s="271">
        <f>VTR!R181/Forex!M$38*1000+PR!R175</f>
        <v>-11</v>
      </c>
      <c r="S174" s="271">
        <f>VTR!S181/Forex!N$38*1000+PR!S175</f>
        <v>-11</v>
      </c>
      <c r="T174" s="271">
        <f>VTR!T181/Forex!O$38*1000+PR!T175</f>
        <v>109</v>
      </c>
      <c r="U174" s="271">
        <f>VTR!U181/Forex!P$38*1000+PR!U175</f>
        <v>-11</v>
      </c>
      <c r="V174" s="271">
        <f>VTR!V181/Forex!Q$38*1000+PR!V175</f>
        <v>-10.999999999999998</v>
      </c>
      <c r="W174" s="271">
        <f>VTR!W181/Forex!R$38*1000+PR!W175</f>
        <v>-11</v>
      </c>
      <c r="X174" s="271">
        <f>VTR!X181/Forex!S$38*1000+PR!X175</f>
        <v>-11</v>
      </c>
      <c r="Y174" s="271">
        <f>VTR!Y181/Forex!T$38*1000+PR!Y175</f>
        <v>-11</v>
      </c>
      <c r="Z174" s="271">
        <f>VTR!Z181/Forex!U$38*1000+PR!Z175</f>
        <v>-11</v>
      </c>
      <c r="AA174" s="271"/>
      <c r="AB174" s="91"/>
      <c r="AC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row>
    <row r="175" spans="1:83">
      <c r="A175" s="92" t="s">
        <v>684</v>
      </c>
      <c r="B175" s="91"/>
      <c r="C175" s="91"/>
      <c r="D175" s="91"/>
      <c r="E175" s="91"/>
      <c r="F175" s="91"/>
      <c r="G175" s="91"/>
      <c r="H175" s="91"/>
      <c r="I175" s="91"/>
      <c r="J175" s="91"/>
      <c r="K175" s="91"/>
      <c r="L175" s="91"/>
      <c r="M175" s="97">
        <f>SUM(M165:M174)</f>
        <v>-27.042524575330106</v>
      </c>
      <c r="N175" s="97">
        <f>SUM(N165:N174)</f>
        <v>139.70672116257958</v>
      </c>
      <c r="O175" s="97">
        <f>SUM(O165:O174)</f>
        <v>-49.272156423014948</v>
      </c>
      <c r="P175" s="97">
        <f>SUM(P165:P174)</f>
        <v>81.772222222222155</v>
      </c>
      <c r="Q175" s="97">
        <f t="shared" ref="Q175:Y175" ca="1" si="113">SUM(Q165:Q174)</f>
        <v>-93.515449342659849</v>
      </c>
      <c r="R175" s="97">
        <f t="shared" ca="1" si="113"/>
        <v>-163.92805118622096</v>
      </c>
      <c r="S175" s="97">
        <f t="shared" ca="1" si="113"/>
        <v>-166.75830378658816</v>
      </c>
      <c r="T175" s="97">
        <f t="shared" ca="1" si="113"/>
        <v>76.544782177688063</v>
      </c>
      <c r="U175" s="97">
        <f t="shared" ca="1" si="113"/>
        <v>4.0274145141304558</v>
      </c>
      <c r="V175" s="97">
        <f t="shared" ca="1" si="113"/>
        <v>22.122304846580455</v>
      </c>
      <c r="W175" s="97">
        <f t="shared" ca="1" si="113"/>
        <v>-235.95902039144102</v>
      </c>
      <c r="X175" s="97">
        <f t="shared" ca="1" si="113"/>
        <v>-76.58850373138165</v>
      </c>
      <c r="Y175" s="97">
        <f t="shared" ca="1" si="113"/>
        <v>-827.47957354626578</v>
      </c>
      <c r="Z175" s="97">
        <f ca="1">SUM(Z165:Z174)</f>
        <v>160.91754030404573</v>
      </c>
      <c r="AA175" s="97"/>
      <c r="AB175" s="91"/>
      <c r="AC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row>
    <row r="176" spans="1:83">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row>
    <row r="177" spans="1:83">
      <c r="A177" s="92" t="s">
        <v>685</v>
      </c>
      <c r="B177" s="91"/>
      <c r="C177" s="91"/>
      <c r="D177" s="91"/>
      <c r="E177" s="91"/>
      <c r="F177" s="91"/>
      <c r="G177" s="91"/>
      <c r="H177" s="91"/>
      <c r="I177" s="91"/>
      <c r="J177" s="91"/>
      <c r="K177" s="91"/>
      <c r="L177" s="91"/>
      <c r="M177" s="91"/>
      <c r="N177" s="91"/>
      <c r="O177" s="145">
        <f>N178</f>
        <v>184.89610455141792</v>
      </c>
      <c r="P177" s="145">
        <f t="shared" ref="P177:Z177" si="114">O178</f>
        <v>112.48097974630318</v>
      </c>
      <c r="Q177" s="145">
        <f t="shared" si="114"/>
        <v>194.25320196852533</v>
      </c>
      <c r="R177" s="145">
        <f t="shared" ca="1" si="114"/>
        <v>100.73775262586548</v>
      </c>
      <c r="S177" s="145">
        <f t="shared" ca="1" si="114"/>
        <v>-63.190298560355473</v>
      </c>
      <c r="T177" s="145">
        <f t="shared" ca="1" si="114"/>
        <v>-229.94860234694363</v>
      </c>
      <c r="U177" s="145">
        <f t="shared" ca="1" si="114"/>
        <v>-153.40382016925557</v>
      </c>
      <c r="V177" s="145">
        <f t="shared" ca="1" si="114"/>
        <v>-149.3764056551251</v>
      </c>
      <c r="W177" s="145">
        <f t="shared" ca="1" si="114"/>
        <v>-127.25410080854465</v>
      </c>
      <c r="X177" s="145">
        <f t="shared" ca="1" si="114"/>
        <v>-363.21312119998566</v>
      </c>
      <c r="Y177" s="145">
        <f t="shared" ca="1" si="114"/>
        <v>-439.80162493136731</v>
      </c>
      <c r="Z177" s="145">
        <f t="shared" ca="1" si="114"/>
        <v>-1267.2811984776331</v>
      </c>
      <c r="AA177" s="145"/>
      <c r="AB177" s="91"/>
      <c r="AC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row>
    <row r="178" spans="1:83">
      <c r="A178" s="92" t="s">
        <v>686</v>
      </c>
      <c r="B178" s="91"/>
      <c r="C178" s="91"/>
      <c r="D178" s="91"/>
      <c r="E178" s="91"/>
      <c r="F178" s="91"/>
      <c r="G178" s="91"/>
      <c r="H178" s="91"/>
      <c r="I178" s="91"/>
      <c r="J178" s="91"/>
      <c r="K178" s="91"/>
      <c r="L178" s="91"/>
      <c r="M178" s="265">
        <f>VTR!M185/Forex!H$38*1000+PR!M179</f>
        <v>45.9980751038539</v>
      </c>
      <c r="N178" s="265">
        <f>VTR!N185/Forex!I$38*1000+PR!N179</f>
        <v>184.89610455141792</v>
      </c>
      <c r="O178" s="265">
        <f>VTR!O185/Forex!J$38*1000+PR!O179</f>
        <v>112.48097974630318</v>
      </c>
      <c r="P178" s="97">
        <f>P177+P175</f>
        <v>194.25320196852533</v>
      </c>
      <c r="Q178" s="97">
        <f t="shared" ref="Q178:Z178" ca="1" si="115">Q177+Q175</f>
        <v>100.73775262586548</v>
      </c>
      <c r="R178" s="97">
        <f t="shared" ca="1" si="115"/>
        <v>-63.190298560355473</v>
      </c>
      <c r="S178" s="97">
        <f t="shared" ca="1" si="115"/>
        <v>-229.94860234694363</v>
      </c>
      <c r="T178" s="97">
        <f t="shared" ca="1" si="115"/>
        <v>-153.40382016925557</v>
      </c>
      <c r="U178" s="97">
        <f t="shared" ca="1" si="115"/>
        <v>-149.3764056551251</v>
      </c>
      <c r="V178" s="97">
        <f t="shared" ca="1" si="115"/>
        <v>-127.25410080854465</v>
      </c>
      <c r="W178" s="97">
        <f t="shared" ca="1" si="115"/>
        <v>-363.21312119998566</v>
      </c>
      <c r="X178" s="97">
        <f t="shared" ca="1" si="115"/>
        <v>-439.80162493136731</v>
      </c>
      <c r="Y178" s="97">
        <f t="shared" ca="1" si="115"/>
        <v>-1267.2811984776331</v>
      </c>
      <c r="Z178" s="97">
        <f t="shared" ca="1" si="115"/>
        <v>-1106.3636581735873</v>
      </c>
      <c r="AA178" s="97"/>
      <c r="AB178" s="91"/>
      <c r="AC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row>
    <row r="179" spans="1:83">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row>
    <row r="180" spans="1:83">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row>
    <row r="181" spans="1:83">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row>
    <row r="182" spans="1:83">
      <c r="A182" s="272" t="s">
        <v>785</v>
      </c>
      <c r="B182" s="273">
        <f t="shared" ref="B182:Z182" si="116">B1</f>
        <v>2001</v>
      </c>
      <c r="C182" s="273">
        <f t="shared" si="116"/>
        <v>2002</v>
      </c>
      <c r="D182" s="273">
        <f t="shared" si="116"/>
        <v>2003</v>
      </c>
      <c r="E182" s="273">
        <f t="shared" si="116"/>
        <v>2004</v>
      </c>
      <c r="F182" s="273">
        <f t="shared" si="116"/>
        <v>2005</v>
      </c>
      <c r="G182" s="273">
        <f t="shared" si="116"/>
        <v>2006</v>
      </c>
      <c r="H182" s="273">
        <f t="shared" si="116"/>
        <v>2007</v>
      </c>
      <c r="I182" s="273">
        <f t="shared" si="116"/>
        <v>2008</v>
      </c>
      <c r="J182" s="273">
        <f t="shared" si="116"/>
        <v>2009</v>
      </c>
      <c r="K182" s="273">
        <f t="shared" si="116"/>
        <v>2010</v>
      </c>
      <c r="L182" s="273">
        <f t="shared" si="116"/>
        <v>2011</v>
      </c>
      <c r="M182" s="273">
        <f t="shared" si="116"/>
        <v>2012</v>
      </c>
      <c r="N182" s="273">
        <f t="shared" si="116"/>
        <v>2013</v>
      </c>
      <c r="O182" s="273">
        <f t="shared" si="116"/>
        <v>2014</v>
      </c>
      <c r="P182" s="273">
        <f t="shared" si="116"/>
        <v>2015</v>
      </c>
      <c r="Q182" s="273" t="str">
        <f t="shared" si="116"/>
        <v>2016E</v>
      </c>
      <c r="R182" s="273" t="str">
        <f t="shared" si="116"/>
        <v>2017E</v>
      </c>
      <c r="S182" s="273" t="str">
        <f t="shared" si="116"/>
        <v>2018E</v>
      </c>
      <c r="T182" s="273" t="str">
        <f t="shared" si="116"/>
        <v>2019E</v>
      </c>
      <c r="U182" s="273" t="str">
        <f t="shared" si="116"/>
        <v>2020E</v>
      </c>
      <c r="V182" s="273" t="str">
        <f t="shared" si="116"/>
        <v>2021E</v>
      </c>
      <c r="W182" s="273" t="str">
        <f t="shared" si="116"/>
        <v>2022E</v>
      </c>
      <c r="X182" s="273" t="str">
        <f t="shared" si="116"/>
        <v>2023E</v>
      </c>
      <c r="Y182" s="273" t="str">
        <f t="shared" si="116"/>
        <v>2024E</v>
      </c>
      <c r="Z182" s="273" t="str">
        <f t="shared" si="116"/>
        <v>2025E</v>
      </c>
      <c r="AA182" s="273"/>
      <c r="AB182" s="91"/>
      <c r="AC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row>
    <row r="183" spans="1:83">
      <c r="A183" s="157" t="s">
        <v>8</v>
      </c>
      <c r="B183" s="158"/>
      <c r="C183" s="158"/>
      <c r="D183" s="158"/>
      <c r="E183" s="158"/>
      <c r="F183" s="158"/>
      <c r="G183" s="158"/>
      <c r="H183" s="158"/>
      <c r="I183" s="158"/>
      <c r="J183" s="158"/>
      <c r="K183" s="158"/>
      <c r="L183" s="158"/>
      <c r="M183" s="274">
        <f>VTR!M193/Forex!H$38*1000+PR!M187</f>
        <v>366.31257763336492</v>
      </c>
      <c r="N183" s="274">
        <f>VTR!N193/Forex!I$38*1000+PR!N187</f>
        <v>460.3124129579171</v>
      </c>
      <c r="O183" s="274">
        <f>VTR!O193/Forex!J$38*1000+PR!O187</f>
        <v>477.08272478800194</v>
      </c>
      <c r="P183" s="274">
        <f>VTR!P193/Forex!K$38*1000+PR!P187</f>
        <v>492.17960426179599</v>
      </c>
      <c r="Q183" s="274">
        <f>VTR!Q193/Forex!L$38*1000+PR!Q187</f>
        <v>537.60007689918814</v>
      </c>
      <c r="R183" s="274">
        <f>VTR!R193/Forex!M$38*1000+PR!R187</f>
        <v>515.55240443896423</v>
      </c>
      <c r="S183" s="274">
        <f>VTR!S193/Forex!N$38*1000+PR!S187</f>
        <v>540.22816630963553</v>
      </c>
      <c r="T183" s="274">
        <f ca="1">VTR!T193/Forex!O$38*1000+PR!T187</f>
        <v>566.17238427977122</v>
      </c>
      <c r="U183" s="274">
        <f ca="1">VTR!U193/Forex!P$38*1000+PR!U187</f>
        <v>542.78369508242281</v>
      </c>
      <c r="V183" s="274">
        <f ca="1">VTR!V193/Forex!Q$38*1000+PR!V187</f>
        <v>583.60429486547662</v>
      </c>
      <c r="W183" s="274">
        <f ca="1">VTR!W193/Forex!R$38*1000+PR!W187</f>
        <v>556.32156457448002</v>
      </c>
      <c r="X183" s="274">
        <f ca="1">VTR!X193/Forex!S$38*1000+PR!X187</f>
        <v>612.0738014939343</v>
      </c>
      <c r="Y183" s="274">
        <f ca="1">VTR!Y193/Forex!T$38*1000+PR!Y187</f>
        <v>628.00332144745948</v>
      </c>
      <c r="Z183" s="274">
        <f ca="1">VTR!Z193/Forex!U$38*1000+PR!Z187</f>
        <v>650.61365950679999</v>
      </c>
      <c r="AA183" s="274"/>
      <c r="AB183" s="91"/>
      <c r="AC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row>
    <row r="184" spans="1:83">
      <c r="A184" s="157" t="s">
        <v>689</v>
      </c>
      <c r="B184" s="158"/>
      <c r="C184" s="158"/>
      <c r="D184" s="158"/>
      <c r="E184" s="158"/>
      <c r="F184" s="158"/>
      <c r="G184" s="158"/>
      <c r="H184" s="158"/>
      <c r="I184" s="158"/>
      <c r="J184" s="158"/>
      <c r="K184" s="158"/>
      <c r="L184" s="158"/>
      <c r="M184" s="274">
        <f>VTR!M194/Forex!H$38*1000+PR!M188</f>
        <v>-221.06135812116975</v>
      </c>
      <c r="N184" s="274">
        <f>VTR!N194/Forex!I$38*1000+PR!N188</f>
        <v>-343.52466444646285</v>
      </c>
      <c r="O184" s="274">
        <f>VTR!O194/Forex!J$38*1000+PR!O188</f>
        <v>-216.67875113883244</v>
      </c>
      <c r="P184" s="274">
        <f>VTR!P194/Forex!K$38*1000+PR!P188</f>
        <v>-204.84368340943684</v>
      </c>
      <c r="Q184" s="274">
        <f>VTR!Q194/Forex!L$38*1000+PR!Q188</f>
        <v>-200.83970807885123</v>
      </c>
      <c r="R184" s="274">
        <f>VTR!R194/Forex!M$38*1000+PR!R188</f>
        <v>-206.62503082614057</v>
      </c>
      <c r="S184" s="274">
        <f>VTR!S194/Forex!N$38*1000+PR!S188</f>
        <v>-208.09857670087362</v>
      </c>
      <c r="T184" s="274">
        <f>VTR!T194/Forex!O$38*1000+PR!T188</f>
        <v>-195.62119487908961</v>
      </c>
      <c r="U184" s="274">
        <f>VTR!U194/Forex!P$38*1000+PR!U188</f>
        <v>-180.81919191919189</v>
      </c>
      <c r="V184" s="274">
        <f>VTR!V194/Forex!Q$38*1000+PR!V188</f>
        <v>-185.58199737187908</v>
      </c>
      <c r="W184" s="274">
        <f>VTR!W194/Forex!R$38*1000+PR!W188</f>
        <v>-169.97101947308133</v>
      </c>
      <c r="X184" s="274">
        <f>VTR!X194/Forex!S$38*1000+PR!X188</f>
        <v>-179.79486858573216</v>
      </c>
      <c r="Y184" s="274">
        <f>VTR!Y194/Forex!T$38*1000+PR!Y188</f>
        <v>-178.08002466091244</v>
      </c>
      <c r="Z184" s="274">
        <f>VTR!Z194/Forex!U$38*1000+PR!Z188</f>
        <v>-178.08002466091244</v>
      </c>
      <c r="AA184" s="274"/>
      <c r="AB184" s="91"/>
      <c r="AC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row>
    <row r="185" spans="1:83">
      <c r="A185" s="157" t="s">
        <v>690</v>
      </c>
      <c r="B185" s="91"/>
      <c r="C185" s="158"/>
      <c r="D185" s="158"/>
      <c r="E185" s="158"/>
      <c r="F185" s="158"/>
      <c r="G185" s="158"/>
      <c r="H185" s="158"/>
      <c r="I185" s="158"/>
      <c r="J185" s="158"/>
      <c r="K185" s="158"/>
      <c r="L185" s="158"/>
      <c r="M185" s="274">
        <f>VTR!M195/Forex!H$38*1000+PR!M189</f>
        <v>-38.82336610044009</v>
      </c>
      <c r="N185" s="274">
        <f>VTR!N195/Forex!I$38*1000+PR!N189</f>
        <v>-79.779180542940765</v>
      </c>
      <c r="O185" s="274">
        <f>VTR!O195/Forex!J$38*1000+PR!O189</f>
        <v>-138.76110449225592</v>
      </c>
      <c r="P185" s="274">
        <f>VTR!P195/Forex!K$38*1000+PR!P189</f>
        <v>-161.54017503805173</v>
      </c>
      <c r="Q185" s="274">
        <f>VTR!Q195/Forex!L$38*1000+PR!Q189</f>
        <v>-212.64606615755804</v>
      </c>
      <c r="R185" s="274">
        <f>VTR!R195/Forex!M$38*1000+PR!R189</f>
        <v>-223.53205876404471</v>
      </c>
      <c r="S185" s="274">
        <f>VTR!S195/Forex!N$38*1000+PR!S189</f>
        <v>-231.71687624597558</v>
      </c>
      <c r="T185" s="274">
        <f>VTR!T195/Forex!O$38*1000+PR!T189</f>
        <v>-219.45047249594191</v>
      </c>
      <c r="U185" s="274">
        <f ca="1">VTR!U195/Forex!P$38*1000+PR!U189</f>
        <v>-203.74581568520321</v>
      </c>
      <c r="V185" s="274">
        <f ca="1">VTR!V195/Forex!Q$38*1000+PR!V189</f>
        <v>-210.03661138684018</v>
      </c>
      <c r="W185" s="274">
        <f ca="1">VTR!W195/Forex!R$38*1000+PR!W189</f>
        <v>-181.73934328576735</v>
      </c>
      <c r="X185" s="274">
        <f ca="1">VTR!X195/Forex!S$38*1000+PR!X189</f>
        <v>-178.73724529661186</v>
      </c>
      <c r="Y185" s="274">
        <f ca="1">VTR!Y195/Forex!T$38*1000+PR!Y189</f>
        <v>-119.54571149861229</v>
      </c>
      <c r="Z185" s="274">
        <f ca="1">VTR!Z195/Forex!U$38*1000+PR!Z189</f>
        <v>-100.41112429525018</v>
      </c>
      <c r="AA185" s="274"/>
      <c r="AB185" s="91"/>
      <c r="AC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row>
    <row r="186" spans="1:83">
      <c r="A186" s="157" t="s">
        <v>691</v>
      </c>
      <c r="B186" s="159"/>
      <c r="C186" s="159"/>
      <c r="D186" s="159"/>
      <c r="E186" s="159"/>
      <c r="F186" s="159"/>
      <c r="G186" s="159"/>
      <c r="H186" s="159"/>
      <c r="I186" s="159"/>
      <c r="J186" s="159"/>
      <c r="K186" s="159"/>
      <c r="L186" s="159"/>
      <c r="M186" s="274">
        <f>VTR!M196/Forex!H$38*1000+PR!M190</f>
        <v>0</v>
      </c>
      <c r="N186" s="274">
        <f>VTR!N196/Forex!I$38*1000+PR!N190</f>
        <v>0</v>
      </c>
      <c r="O186" s="274">
        <f>VTR!O196/Forex!J$38*1000+PR!O190</f>
        <v>0</v>
      </c>
      <c r="P186" s="274">
        <f>VTR!P196/Forex!K$38*1000+PR!P190</f>
        <v>0</v>
      </c>
      <c r="Q186" s="274">
        <f>VTR!Q196/Forex!L$38*1000+PR!Q190</f>
        <v>0</v>
      </c>
      <c r="R186" s="274">
        <f>VTR!R196/Forex!M$38*1000+PR!R190</f>
        <v>0</v>
      </c>
      <c r="S186" s="274">
        <f>VTR!S196/Forex!N$38*1000+PR!S190</f>
        <v>0</v>
      </c>
      <c r="T186" s="274">
        <f>VTR!T196/Forex!O$38*1000+PR!T190</f>
        <v>0</v>
      </c>
      <c r="U186" s="274">
        <f>VTR!U196/Forex!P$38*1000+PR!U190</f>
        <v>0</v>
      </c>
      <c r="V186" s="274">
        <f>VTR!V196/Forex!Q$38*1000+PR!V190</f>
        <v>0</v>
      </c>
      <c r="W186" s="274">
        <f>VTR!W196/Forex!R$38*1000+PR!W190</f>
        <v>0</v>
      </c>
      <c r="X186" s="274">
        <f>VTR!X196/Forex!S$38*1000+PR!X190</f>
        <v>0</v>
      </c>
      <c r="Y186" s="274">
        <f>VTR!Y196/Forex!T$38*1000+PR!Y190</f>
        <v>0</v>
      </c>
      <c r="Z186" s="274">
        <f>VTR!Z196/Forex!U$38*1000+PR!Z190</f>
        <v>0</v>
      </c>
      <c r="AA186" s="274"/>
      <c r="AB186" s="91"/>
      <c r="AC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row>
    <row r="187" spans="1:83">
      <c r="A187" s="157" t="s">
        <v>692</v>
      </c>
      <c r="B187" s="161"/>
      <c r="C187" s="161"/>
      <c r="D187" s="161"/>
      <c r="E187" s="161"/>
      <c r="F187" s="161"/>
      <c r="G187" s="161"/>
      <c r="H187" s="161"/>
      <c r="I187" s="161"/>
      <c r="J187" s="161"/>
      <c r="K187" s="161"/>
      <c r="L187" s="161"/>
      <c r="M187" s="274">
        <f>VTR!M197/Forex!H$38*1000+PR!M191</f>
        <v>6.7864928227697119</v>
      </c>
      <c r="N187" s="274">
        <f>VTR!N197/Forex!I$38*1000+PR!N191</f>
        <v>18.568977697043092</v>
      </c>
      <c r="O187" s="274">
        <f>VTR!O197/Forex!J$38*1000+PR!O191</f>
        <v>-9.2858644614198607</v>
      </c>
      <c r="P187" s="274">
        <f>VTR!P197/Forex!K$38*1000+PR!P191</f>
        <v>-73.618940563165907</v>
      </c>
      <c r="Q187" s="274">
        <f>VTR!Q197/Forex!L$38*1000+PR!Q191</f>
        <v>-86.046841632333155</v>
      </c>
      <c r="R187" s="274">
        <f>VTR!R197/Forex!M$38*1000+PR!R191</f>
        <v>-63.288721134401982</v>
      </c>
      <c r="S187" s="274">
        <f>VTR!S197/Forex!N$38*1000+PR!S191</f>
        <v>-64.27793380647131</v>
      </c>
      <c r="T187" s="274">
        <f>VTR!T197/Forex!O$38*1000+PR!T191</f>
        <v>-75.106364441579871</v>
      </c>
      <c r="U187" s="274">
        <f ca="1">VTR!U197/Forex!P$38*1000+PR!U191</f>
        <v>-57.378059223443437</v>
      </c>
      <c r="V187" s="274">
        <f ca="1">VTR!V197/Forex!Q$38*1000+PR!V191</f>
        <v>-68.087303672597642</v>
      </c>
      <c r="W187" s="274">
        <f ca="1">VTR!W197/Forex!R$38*1000+PR!W191</f>
        <v>-74.589669612159625</v>
      </c>
      <c r="X187" s="274">
        <f ca="1">VTR!X197/Forex!S$38*1000+PR!X191</f>
        <v>-92.430919520725752</v>
      </c>
      <c r="Y187" s="274">
        <f ca="1">VTR!Y197/Forex!T$38*1000+PR!Y191</f>
        <v>-119.64251234703491</v>
      </c>
      <c r="Z187" s="274">
        <f ca="1">VTR!Z197/Forex!U$38*1000+PR!Z191</f>
        <v>-134.3691779132844</v>
      </c>
      <c r="AA187" s="274"/>
      <c r="AB187" s="91"/>
      <c r="AC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row>
    <row r="188" spans="1:83">
      <c r="A188" s="157" t="s">
        <v>693</v>
      </c>
      <c r="B188" s="132"/>
      <c r="C188" s="132"/>
      <c r="D188" s="132"/>
      <c r="E188" s="132"/>
      <c r="F188" s="132"/>
      <c r="G188" s="132"/>
      <c r="H188" s="132"/>
      <c r="I188" s="132"/>
      <c r="J188" s="132"/>
      <c r="K188" s="132"/>
      <c r="L188" s="132"/>
      <c r="M188" s="275">
        <f>VTR!M198/Forex!H$38*1000+PR!M192</f>
        <v>-18.302965491712254</v>
      </c>
      <c r="N188" s="275">
        <f>VTR!N198/Forex!I$38*1000+PR!N192</f>
        <v>12.513876274094258</v>
      </c>
      <c r="O188" s="275">
        <f>VTR!O198/Forex!J$38*1000+PR!O192</f>
        <v>4.3801247459527648</v>
      </c>
      <c r="P188" s="275">
        <f>VTR!P198/Forex!K$38*1000+PR!P192</f>
        <v>0</v>
      </c>
      <c r="Q188" s="275">
        <f>VTR!Q198/Forex!L$38*1000+PR!Q192</f>
        <v>0</v>
      </c>
      <c r="R188" s="275">
        <f>VTR!R198/Forex!M$38*1000+PR!R192</f>
        <v>0</v>
      </c>
      <c r="S188" s="275">
        <f>VTR!S198/Forex!N$38*1000+PR!S192</f>
        <v>0</v>
      </c>
      <c r="T188" s="275">
        <f ca="1">VTR!T198/Forex!O$38*1000+PR!T192</f>
        <v>0</v>
      </c>
      <c r="U188" s="275">
        <f ca="1">VTR!U198/Forex!P$38*1000+PR!U192</f>
        <v>0</v>
      </c>
      <c r="V188" s="275">
        <f ca="1">VTR!V198/Forex!Q$38*1000+PR!V192</f>
        <v>0</v>
      </c>
      <c r="W188" s="275">
        <f ca="1">VTR!W198/Forex!R$38*1000+PR!W192</f>
        <v>0</v>
      </c>
      <c r="X188" s="275">
        <f ca="1">VTR!X198/Forex!S$38*1000+PR!X192</f>
        <v>0</v>
      </c>
      <c r="Y188" s="275">
        <f ca="1">VTR!Y198/Forex!T$38*1000+PR!Y192</f>
        <v>0</v>
      </c>
      <c r="Z188" s="275">
        <f ca="1">VTR!Z198/Forex!U$38*1000+PR!Z192</f>
        <v>0</v>
      </c>
      <c r="AA188" s="275"/>
      <c r="AB188" s="91"/>
      <c r="AC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row>
    <row r="189" spans="1:83">
      <c r="A189" s="162" t="s">
        <v>228</v>
      </c>
      <c r="B189" s="158"/>
      <c r="C189" s="158"/>
      <c r="D189" s="158"/>
      <c r="E189" s="158"/>
      <c r="F189" s="158"/>
      <c r="G189" s="158"/>
      <c r="H189" s="158"/>
      <c r="I189" s="158"/>
      <c r="J189" s="158"/>
      <c r="K189" s="158"/>
      <c r="L189" s="158"/>
      <c r="M189" s="158">
        <f>VTR!M199/Forex!H$38*1000+PR!M193</f>
        <v>94.911380742812568</v>
      </c>
      <c r="N189" s="158">
        <f>VTR!N199/Forex!I$38*1000+PR!N193</f>
        <v>68.091421939650829</v>
      </c>
      <c r="O189" s="158">
        <f>VTR!O199/Forex!J$38*1000+PR!O193</f>
        <v>116.73712944144647</v>
      </c>
      <c r="P189" s="158">
        <f>VTR!P199/Forex!K$38*1000+PR!P193</f>
        <v>52.176805251141509</v>
      </c>
      <c r="Q189" s="158">
        <f>VTR!Q199/Forex!L$38*1000+PR!Q193</f>
        <v>38.067461030445671</v>
      </c>
      <c r="R189" s="158">
        <f>VTR!R199/Forex!M$38*1000+PR!R193</f>
        <v>22.106593714377013</v>
      </c>
      <c r="S189" s="158">
        <f>VTR!S199/Forex!N$38*1000+PR!S193</f>
        <v>36.134779556315031</v>
      </c>
      <c r="T189" s="158">
        <f ca="1">VTR!T199/Forex!O$38*1000+PR!T193</f>
        <v>75.994352463159856</v>
      </c>
      <c r="U189" s="158">
        <f ca="1">VTR!U199/Forex!P$38*1000+PR!U193</f>
        <v>100.84062825458426</v>
      </c>
      <c r="V189" s="158">
        <f ca="1">VTR!V199/Forex!Q$38*1000+PR!V193</f>
        <v>119.89838243415966</v>
      </c>
      <c r="W189" s="158">
        <f ca="1">VTR!W199/Forex!R$38*1000+PR!W193</f>
        <v>130.02153220347179</v>
      </c>
      <c r="X189" s="158">
        <f ca="1">VTR!X199/Forex!S$38*1000+PR!X193</f>
        <v>161.11076809086447</v>
      </c>
      <c r="Y189" s="158">
        <f ca="1">VTR!Y199/Forex!T$38*1000+PR!Y193</f>
        <v>210.73507294089973</v>
      </c>
      <c r="Z189" s="158">
        <f ca="1">VTR!Z199/Forex!U$38*1000+PR!Z193</f>
        <v>237.75333263735297</v>
      </c>
      <c r="AA189" s="158"/>
      <c r="AB189" s="91"/>
      <c r="AC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row>
    <row r="190" spans="1:83">
      <c r="A190" s="157" t="s">
        <v>694</v>
      </c>
      <c r="B190" s="163"/>
      <c r="C190" s="163"/>
      <c r="D190" s="163"/>
      <c r="E190" s="163"/>
      <c r="F190" s="163"/>
      <c r="G190" s="163"/>
      <c r="H190" s="163"/>
      <c r="I190" s="163"/>
      <c r="J190" s="163"/>
      <c r="K190" s="163"/>
      <c r="L190" s="163"/>
      <c r="M190" s="163"/>
      <c r="N190" s="163"/>
      <c r="O190" s="163"/>
      <c r="P190" s="163"/>
      <c r="Q190" s="91"/>
      <c r="R190" s="91"/>
      <c r="S190" s="91"/>
      <c r="T190" s="91"/>
      <c r="U190" s="91"/>
      <c r="V190" s="91"/>
      <c r="W190" s="91"/>
      <c r="X190" s="91"/>
      <c r="Y190" s="91"/>
      <c r="Z190" s="91"/>
      <c r="AA190" s="91"/>
      <c r="AB190" s="91"/>
      <c r="AC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row>
    <row r="191" spans="1:83">
      <c r="A191" s="157"/>
      <c r="B191" s="157"/>
      <c r="C191" s="157"/>
      <c r="D191" s="157"/>
      <c r="E191" s="157"/>
      <c r="F191" s="157"/>
      <c r="G191" s="157"/>
      <c r="H191" s="157"/>
      <c r="I191" s="157"/>
      <c r="J191" s="157"/>
      <c r="K191" s="157"/>
      <c r="L191" s="157"/>
      <c r="M191" s="159"/>
      <c r="N191" s="159"/>
      <c r="O191" s="159"/>
      <c r="P191" s="159"/>
      <c r="Q191" s="91"/>
      <c r="R191" s="91"/>
      <c r="S191" s="91"/>
      <c r="T191" s="91"/>
      <c r="U191" s="91"/>
      <c r="V191" s="91"/>
      <c r="W191" s="91"/>
      <c r="X191" s="91"/>
      <c r="Y191" s="91"/>
      <c r="Z191" s="91"/>
      <c r="AA191" s="91"/>
      <c r="AB191" s="91"/>
      <c r="AC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row>
    <row r="192" spans="1:83">
      <c r="A192" s="157" t="s">
        <v>228</v>
      </c>
      <c r="B192" s="164"/>
      <c r="C192" s="164"/>
      <c r="D192" s="164"/>
      <c r="E192" s="164"/>
      <c r="F192" s="164"/>
      <c r="G192" s="164"/>
      <c r="H192" s="164"/>
      <c r="I192" s="164"/>
      <c r="J192" s="164"/>
      <c r="K192" s="164"/>
      <c r="L192" s="164"/>
      <c r="M192" s="158">
        <f>M189</f>
        <v>94.911380742812568</v>
      </c>
      <c r="N192" s="158">
        <f t="shared" ref="N192:Z192" si="117">N189</f>
        <v>68.091421939650829</v>
      </c>
      <c r="O192" s="158">
        <f t="shared" si="117"/>
        <v>116.73712944144647</v>
      </c>
      <c r="P192" s="158">
        <f t="shared" si="117"/>
        <v>52.176805251141509</v>
      </c>
      <c r="Q192" s="158">
        <f t="shared" si="117"/>
        <v>38.067461030445671</v>
      </c>
      <c r="R192" s="158">
        <f t="shared" si="117"/>
        <v>22.106593714377013</v>
      </c>
      <c r="S192" s="158">
        <f t="shared" si="117"/>
        <v>36.134779556315031</v>
      </c>
      <c r="T192" s="158">
        <f t="shared" ca="1" si="117"/>
        <v>75.994352463159856</v>
      </c>
      <c r="U192" s="158">
        <f t="shared" ca="1" si="117"/>
        <v>100.84062825458426</v>
      </c>
      <c r="V192" s="158">
        <f t="shared" ca="1" si="117"/>
        <v>119.89838243415966</v>
      </c>
      <c r="W192" s="158">
        <f t="shared" ca="1" si="117"/>
        <v>130.02153220347179</v>
      </c>
      <c r="X192" s="158">
        <f t="shared" ca="1" si="117"/>
        <v>161.11076809086447</v>
      </c>
      <c r="Y192" s="158">
        <f t="shared" ca="1" si="117"/>
        <v>210.73507294089973</v>
      </c>
      <c r="Z192" s="158">
        <f t="shared" ca="1" si="117"/>
        <v>237.75333263735297</v>
      </c>
      <c r="AA192" s="158"/>
      <c r="AB192" s="91"/>
      <c r="AC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row>
    <row r="193" spans="1:86">
      <c r="A193" s="157" t="s">
        <v>695</v>
      </c>
      <c r="B193" s="164"/>
      <c r="C193" s="164"/>
      <c r="D193" s="164"/>
      <c r="E193" s="164"/>
      <c r="F193" s="164"/>
      <c r="G193" s="164"/>
      <c r="H193" s="164"/>
      <c r="I193" s="164"/>
      <c r="J193" s="164"/>
      <c r="K193" s="164"/>
      <c r="L193" s="164"/>
      <c r="M193" s="158">
        <f>-M184</f>
        <v>221.06135812116975</v>
      </c>
      <c r="N193" s="158">
        <f t="shared" ref="N193:Z193" si="118">-N184</f>
        <v>343.52466444646285</v>
      </c>
      <c r="O193" s="158">
        <f t="shared" si="118"/>
        <v>216.67875113883244</v>
      </c>
      <c r="P193" s="158">
        <f t="shared" si="118"/>
        <v>204.84368340943684</v>
      </c>
      <c r="Q193" s="158">
        <f t="shared" si="118"/>
        <v>200.83970807885123</v>
      </c>
      <c r="R193" s="158">
        <f t="shared" si="118"/>
        <v>206.62503082614057</v>
      </c>
      <c r="S193" s="158">
        <f t="shared" si="118"/>
        <v>208.09857670087362</v>
      </c>
      <c r="T193" s="158">
        <f t="shared" si="118"/>
        <v>195.62119487908961</v>
      </c>
      <c r="U193" s="158">
        <f t="shared" si="118"/>
        <v>180.81919191919189</v>
      </c>
      <c r="V193" s="158">
        <f t="shared" si="118"/>
        <v>185.58199737187908</v>
      </c>
      <c r="W193" s="158">
        <f t="shared" si="118"/>
        <v>169.97101947308133</v>
      </c>
      <c r="X193" s="158">
        <f t="shared" si="118"/>
        <v>179.79486858573216</v>
      </c>
      <c r="Y193" s="158">
        <f t="shared" si="118"/>
        <v>178.08002466091244</v>
      </c>
      <c r="Z193" s="158">
        <f t="shared" si="118"/>
        <v>178.08002466091244</v>
      </c>
      <c r="AA193" s="158"/>
      <c r="AB193" s="91"/>
      <c r="AC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row>
    <row r="194" spans="1:86">
      <c r="A194" s="157" t="s">
        <v>696</v>
      </c>
      <c r="B194" s="165"/>
      <c r="C194" s="165"/>
      <c r="D194" s="165"/>
      <c r="E194" s="165"/>
      <c r="F194" s="165"/>
      <c r="G194" s="165"/>
      <c r="H194" s="165"/>
      <c r="I194" s="165"/>
      <c r="J194" s="165"/>
      <c r="K194" s="165"/>
      <c r="L194" s="165"/>
      <c r="M194" s="275">
        <f>VTR!M204/Forex!H$38*1000+PR!M198</f>
        <v>-269.19678772673058</v>
      </c>
      <c r="N194" s="275">
        <f>VTR!N204/Forex!I$38*1000+PR!N198</f>
        <v>-253.30630739731555</v>
      </c>
      <c r="O194" s="275">
        <f>VTR!O204/Forex!J$38*1000+PR!O198</f>
        <v>-256.10397364916952</v>
      </c>
      <c r="P194" s="275">
        <f>VTR!P204/Forex!K$38*1000+PR!P198</f>
        <v>-224.8275494672755</v>
      </c>
      <c r="Q194" s="275">
        <f>VTR!Q204/Forex!L$38*1000+PR!Q198</f>
        <v>-286.20563138669939</v>
      </c>
      <c r="R194" s="275">
        <f>VTR!R204/Forex!M$38*1000+PR!R198</f>
        <v>-344.54623921085084</v>
      </c>
      <c r="S194" s="275">
        <f>VTR!S204/Forex!N$38*1000+PR!S198</f>
        <v>-368.14695681374383</v>
      </c>
      <c r="T194" s="275">
        <f ca="1">VTR!T204/Forex!O$38*1000+PR!T198</f>
        <v>-289.3751385858975</v>
      </c>
      <c r="U194" s="275">
        <f ca="1">VTR!U204/Forex!P$38*1000+PR!U198</f>
        <v>-255.37372365336742</v>
      </c>
      <c r="V194" s="275">
        <f ca="1">VTR!V204/Forex!Q$38*1000+PR!V198</f>
        <v>-262.61026529877711</v>
      </c>
      <c r="W194" s="275">
        <f ca="1">VTR!W204/Forex!R$38*1000+PR!W198</f>
        <v>-242.1934187857367</v>
      </c>
      <c r="X194" s="275">
        <f ca="1">VTR!X204/Forex!S$38*1000+PR!X198</f>
        <v>-265.91422245926196</v>
      </c>
      <c r="Y194" s="275">
        <f ca="1">VTR!Y204/Forex!T$38*1000+PR!Y198</f>
        <v>-271.26552969551733</v>
      </c>
      <c r="Z194" s="275">
        <f ca="1">VTR!Z204/Forex!U$38*1000+PR!Z198</f>
        <v>-279.57563209749225</v>
      </c>
      <c r="AA194" s="275"/>
      <c r="AB194" s="91"/>
      <c r="AC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row>
    <row r="195" spans="1:86">
      <c r="A195" s="162" t="s">
        <v>241</v>
      </c>
      <c r="B195" s="164"/>
      <c r="C195" s="164"/>
      <c r="D195" s="164"/>
      <c r="E195" s="164"/>
      <c r="F195" s="164"/>
      <c r="G195" s="164"/>
      <c r="H195" s="164"/>
      <c r="I195" s="164"/>
      <c r="J195" s="164"/>
      <c r="K195" s="164"/>
      <c r="L195" s="164"/>
      <c r="M195" s="158">
        <f>SUM(M192:M194)</f>
        <v>46.775951137251752</v>
      </c>
      <c r="N195" s="158">
        <f t="shared" ref="N195:Z195" si="119">SUM(N192:N194)</f>
        <v>158.30977898879814</v>
      </c>
      <c r="O195" s="158">
        <f t="shared" si="119"/>
        <v>77.311906931109377</v>
      </c>
      <c r="P195" s="158">
        <f t="shared" si="119"/>
        <v>32.192939193302834</v>
      </c>
      <c r="Q195" s="158">
        <f t="shared" si="119"/>
        <v>-47.298462277402507</v>
      </c>
      <c r="R195" s="158">
        <f t="shared" si="119"/>
        <v>-115.81461467033324</v>
      </c>
      <c r="S195" s="158">
        <f t="shared" si="119"/>
        <v>-123.91360055655517</v>
      </c>
      <c r="T195" s="158">
        <f t="shared" ca="1" si="119"/>
        <v>-17.75959124364806</v>
      </c>
      <c r="U195" s="158">
        <f t="shared" ca="1" si="119"/>
        <v>26.286096520408734</v>
      </c>
      <c r="V195" s="158">
        <f t="shared" ca="1" si="119"/>
        <v>42.870114507261633</v>
      </c>
      <c r="W195" s="158">
        <f t="shared" ca="1" si="119"/>
        <v>57.799132890816452</v>
      </c>
      <c r="X195" s="158">
        <f t="shared" ca="1" si="119"/>
        <v>74.991414217334636</v>
      </c>
      <c r="Y195" s="158">
        <f t="shared" ca="1" si="119"/>
        <v>117.54956790629484</v>
      </c>
      <c r="Z195" s="158">
        <f t="shared" ca="1" si="119"/>
        <v>136.25772520077317</v>
      </c>
      <c r="AA195" s="158"/>
      <c r="AB195" s="91"/>
      <c r="AC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row>
    <row r="196" spans="1:86">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row>
    <row r="197" spans="1:86">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row>
    <row r="198" spans="1:86">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row>
    <row r="199" spans="1:86">
      <c r="A199" s="272" t="s">
        <v>786</v>
      </c>
      <c r="B199" s="273">
        <f t="shared" ref="B199:Z199" si="120">B1</f>
        <v>2001</v>
      </c>
      <c r="C199" s="273">
        <f t="shared" si="120"/>
        <v>2002</v>
      </c>
      <c r="D199" s="273">
        <f t="shared" si="120"/>
        <v>2003</v>
      </c>
      <c r="E199" s="273">
        <f t="shared" si="120"/>
        <v>2004</v>
      </c>
      <c r="F199" s="273">
        <f t="shared" si="120"/>
        <v>2005</v>
      </c>
      <c r="G199" s="273">
        <f t="shared" si="120"/>
        <v>2006</v>
      </c>
      <c r="H199" s="273">
        <f t="shared" si="120"/>
        <v>2007</v>
      </c>
      <c r="I199" s="273">
        <f t="shared" si="120"/>
        <v>2008</v>
      </c>
      <c r="J199" s="273">
        <f t="shared" si="120"/>
        <v>2009</v>
      </c>
      <c r="K199" s="273">
        <f t="shared" si="120"/>
        <v>2010</v>
      </c>
      <c r="L199" s="273">
        <f t="shared" si="120"/>
        <v>2011</v>
      </c>
      <c r="M199" s="273">
        <f t="shared" si="120"/>
        <v>2012</v>
      </c>
      <c r="N199" s="273">
        <f t="shared" si="120"/>
        <v>2013</v>
      </c>
      <c r="O199" s="273">
        <f t="shared" si="120"/>
        <v>2014</v>
      </c>
      <c r="P199" s="273">
        <f t="shared" si="120"/>
        <v>2015</v>
      </c>
      <c r="Q199" s="273" t="str">
        <f t="shared" si="120"/>
        <v>2016E</v>
      </c>
      <c r="R199" s="273" t="str">
        <f t="shared" si="120"/>
        <v>2017E</v>
      </c>
      <c r="S199" s="273" t="str">
        <f t="shared" si="120"/>
        <v>2018E</v>
      </c>
      <c r="T199" s="273" t="str">
        <f t="shared" si="120"/>
        <v>2019E</v>
      </c>
      <c r="U199" s="273" t="str">
        <f t="shared" si="120"/>
        <v>2020E</v>
      </c>
      <c r="V199" s="273" t="str">
        <f t="shared" si="120"/>
        <v>2021E</v>
      </c>
      <c r="W199" s="273" t="str">
        <f t="shared" si="120"/>
        <v>2022E</v>
      </c>
      <c r="X199" s="273" t="str">
        <f t="shared" si="120"/>
        <v>2023E</v>
      </c>
      <c r="Y199" s="273" t="str">
        <f t="shared" si="120"/>
        <v>2024E</v>
      </c>
      <c r="Z199" s="273" t="str">
        <f t="shared" si="120"/>
        <v>2025E</v>
      </c>
      <c r="AA199" s="273"/>
      <c r="AB199" s="91"/>
      <c r="AC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row>
    <row r="200" spans="1:86">
      <c r="A200" s="99" t="s">
        <v>189</v>
      </c>
      <c r="B200" s="167"/>
      <c r="C200" s="167"/>
      <c r="D200" s="167"/>
      <c r="E200" s="167"/>
      <c r="F200" s="167"/>
      <c r="G200" s="167"/>
      <c r="H200" s="167"/>
      <c r="I200" s="167"/>
      <c r="J200" s="167"/>
      <c r="K200" s="167"/>
      <c r="L200" s="167"/>
      <c r="M200" s="274">
        <f>VTR!M210/Forex!H$38*1000+PR!M204</f>
        <v>-6.7864928227697119</v>
      </c>
      <c r="N200" s="274">
        <f>VTR!N210/Forex!I$38*1000+PR!N204</f>
        <v>-18.568977697043092</v>
      </c>
      <c r="O200" s="274">
        <f>VTR!O210/Forex!J$38*1000+PR!O204</f>
        <v>9.2858644614198607</v>
      </c>
      <c r="P200" s="274">
        <f>VTR!P210/Forex!K$38*1000+PR!P204</f>
        <v>73.618940563165907</v>
      </c>
      <c r="Q200" s="274">
        <f>VTR!Q210/Forex!L$38*1000+PR!Q204</f>
        <v>86.046841632333155</v>
      </c>
      <c r="R200" s="274">
        <f>VTR!R210/Forex!M$38*1000+PR!R204</f>
        <v>63.288721134401982</v>
      </c>
      <c r="S200" s="274">
        <f>VTR!S210/Forex!N$38*1000+PR!S204</f>
        <v>64.27793380647131</v>
      </c>
      <c r="T200" s="274">
        <f>VTR!T210/Forex!O$38*1000+PR!T204</f>
        <v>75.106364441579871</v>
      </c>
      <c r="U200" s="274">
        <f ca="1">VTR!U210/Forex!P$38*1000+PR!U204</f>
        <v>57.378059223443437</v>
      </c>
      <c r="V200" s="274">
        <f ca="1">VTR!V210/Forex!Q$38*1000+PR!V204</f>
        <v>68.087303672597642</v>
      </c>
      <c r="W200" s="274">
        <f ca="1">VTR!W210/Forex!R$38*1000+PR!W204</f>
        <v>74.589669612159625</v>
      </c>
      <c r="X200" s="274">
        <f ca="1">VTR!X210/Forex!S$38*1000+PR!X204</f>
        <v>92.430919520725752</v>
      </c>
      <c r="Y200" s="274">
        <f ca="1">VTR!Y210/Forex!T$38*1000+PR!Y204</f>
        <v>119.64251234703491</v>
      </c>
      <c r="Z200" s="274">
        <f ca="1">VTR!Z210/Forex!U$38*1000+PR!Z204</f>
        <v>134.3691779132844</v>
      </c>
      <c r="AA200" s="274"/>
      <c r="AB200" s="91"/>
      <c r="AC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row>
    <row r="201" spans="1:86">
      <c r="A201" s="99" t="s">
        <v>697</v>
      </c>
      <c r="B201" s="153"/>
      <c r="C201" s="153"/>
      <c r="D201" s="153"/>
      <c r="E201" s="153"/>
      <c r="F201" s="153"/>
      <c r="G201" s="153"/>
      <c r="H201" s="153"/>
      <c r="I201" s="153"/>
      <c r="J201" s="153"/>
      <c r="K201" s="153"/>
      <c r="L201" s="153"/>
      <c r="M201" s="275">
        <f>VTR!M211/Forex!H$38*1000+PR!M205</f>
        <v>22.004688849586639</v>
      </c>
      <c r="N201" s="275">
        <f>VTR!N211/Forex!I$38*1000+PR!N205</f>
        <v>39.15632253506913</v>
      </c>
      <c r="O201" s="275">
        <f>VTR!O211/Forex!J$38*1000+PR!O205</f>
        <v>35.917022916812677</v>
      </c>
      <c r="P201" s="275">
        <f>VTR!P211/Forex!K$38*1000+PR!P205</f>
        <v>56.316590563165903</v>
      </c>
      <c r="Q201" s="275">
        <f>VTR!Q211/Forex!L$38*1000+PR!Q205</f>
        <v>60.553221632333148</v>
      </c>
      <c r="R201" s="275">
        <f>VTR!R211/Forex!M$38*1000+PR!R205</f>
        <v>61.737469219903303</v>
      </c>
      <c r="S201" s="275">
        <f>VTR!S211/Forex!N$38*1000+PR!S205</f>
        <v>62.392350176465115</v>
      </c>
      <c r="T201" s="275">
        <f>VTR!T211/Forex!O$38*1000+PR!T205</f>
        <v>57.846824019612505</v>
      </c>
      <c r="U201" s="275">
        <f ca="1">VTR!U211/Forex!P$38*1000+PR!U205</f>
        <v>38.879134237327477</v>
      </c>
      <c r="V201" s="275">
        <f ca="1">VTR!V211/Forex!Q$38*1000+PR!V205</f>
        <v>46.900722642087679</v>
      </c>
      <c r="W201" s="275">
        <f ca="1">VTR!W211/Forex!R$38*1000+PR!W205</f>
        <v>47.086474324053427</v>
      </c>
      <c r="X201" s="275">
        <f ca="1">VTR!X211/Forex!S$38*1000+PR!X205</f>
        <v>58.314016780304492</v>
      </c>
      <c r="Y201" s="275">
        <f ca="1">VTR!Y211/Forex!T$38*1000+PR!Y205</f>
        <v>82.577005055006694</v>
      </c>
      <c r="Z201" s="275">
        <f ca="1">VTR!Z211/Forex!U$38*1000+PR!Z205</f>
        <v>96.232085648686024</v>
      </c>
      <c r="AA201" s="275"/>
      <c r="AB201" s="91"/>
      <c r="AC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row>
    <row r="202" spans="1:86" ht="15.75" thickBot="1">
      <c r="A202" s="99" t="s">
        <v>698</v>
      </c>
      <c r="B202" s="97"/>
      <c r="C202" s="97"/>
      <c r="D202" s="97"/>
      <c r="E202" s="97"/>
      <c r="F202" s="97"/>
      <c r="G202" s="97"/>
      <c r="H202" s="97"/>
      <c r="I202" s="97"/>
      <c r="J202" s="97"/>
      <c r="K202" s="97"/>
      <c r="L202" s="97"/>
      <c r="M202" s="97">
        <f t="shared" ref="M202:Y202" si="121">M200-M201</f>
        <v>-28.791181672356352</v>
      </c>
      <c r="N202" s="97">
        <f t="shared" si="121"/>
        <v>-57.725300232112218</v>
      </c>
      <c r="O202" s="97">
        <f t="shared" si="121"/>
        <v>-26.631158455392814</v>
      </c>
      <c r="P202" s="97">
        <f t="shared" si="121"/>
        <v>17.302350000000004</v>
      </c>
      <c r="Q202" s="97">
        <f t="shared" si="121"/>
        <v>25.493620000000007</v>
      </c>
      <c r="R202" s="97">
        <f t="shared" si="121"/>
        <v>1.5512519144986783</v>
      </c>
      <c r="S202" s="97">
        <f t="shared" si="121"/>
        <v>1.8855836300061952</v>
      </c>
      <c r="T202" s="97">
        <f t="shared" si="121"/>
        <v>17.259540421967365</v>
      </c>
      <c r="U202" s="97">
        <f t="shared" ca="1" si="121"/>
        <v>18.498924986115959</v>
      </c>
      <c r="V202" s="97">
        <f t="shared" ca="1" si="121"/>
        <v>21.186581030509963</v>
      </c>
      <c r="W202" s="97">
        <f t="shared" ca="1" si="121"/>
        <v>27.503195288106198</v>
      </c>
      <c r="X202" s="97">
        <f t="shared" ca="1" si="121"/>
        <v>34.11690274042126</v>
      </c>
      <c r="Y202" s="97">
        <f t="shared" ca="1" si="121"/>
        <v>37.065507292028215</v>
      </c>
      <c r="Z202" s="97">
        <f ca="1">Z200-Z201</f>
        <v>38.13709226459838</v>
      </c>
      <c r="AA202" s="97"/>
      <c r="AB202" s="91"/>
      <c r="AC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row>
    <row r="203" spans="1:86" ht="15.75" thickBot="1">
      <c r="A203" s="99" t="s">
        <v>204</v>
      </c>
      <c r="B203" s="97"/>
      <c r="C203" s="97"/>
      <c r="D203" s="97"/>
      <c r="E203" s="97"/>
      <c r="F203" s="97"/>
      <c r="G203" s="97"/>
      <c r="H203" s="97"/>
      <c r="I203" s="97"/>
      <c r="J203" s="97"/>
      <c r="K203" s="97"/>
      <c r="L203" s="97"/>
      <c r="M203" s="97"/>
      <c r="N203" s="97"/>
      <c r="O203" s="97"/>
      <c r="P203" s="168">
        <f ca="1">NPV(6.8%,Q202:U202)</f>
        <v>53.357862131569867</v>
      </c>
      <c r="Q203" s="158">
        <f ca="1">NPV(6.8%,R202:U202)</f>
        <v>31.492576756516623</v>
      </c>
      <c r="R203" s="158">
        <f ca="1">NPV(6.8%,S202:U202)</f>
        <v>32.082820061461078</v>
      </c>
      <c r="S203" s="158">
        <f ca="1">NPV(6.8%,T202:U202)</f>
        <v>32.378868195634233</v>
      </c>
      <c r="T203" s="158">
        <f ca="1">NPV(6.8%,U202)</f>
        <v>17.321090810969999</v>
      </c>
      <c r="U203" s="158">
        <f ca="1">U202</f>
        <v>18.498924986115959</v>
      </c>
      <c r="V203" s="91"/>
      <c r="W203" s="91"/>
      <c r="X203" s="91"/>
      <c r="Y203" s="91"/>
      <c r="Z203" s="91"/>
      <c r="AA203" s="91"/>
      <c r="AB203" s="91"/>
      <c r="AC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row>
    <row r="204" spans="1:86">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row>
    <row r="205" spans="1:86">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row>
    <row r="206" spans="1:86">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276"/>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row>
    <row r="207" spans="1:86">
      <c r="A207" s="174" t="s">
        <v>787</v>
      </c>
      <c r="B207" s="94">
        <f t="shared" ref="B207:Z207" si="122">B1</f>
        <v>2001</v>
      </c>
      <c r="C207" s="94">
        <f t="shared" si="122"/>
        <v>2002</v>
      </c>
      <c r="D207" s="94">
        <f t="shared" si="122"/>
        <v>2003</v>
      </c>
      <c r="E207" s="94">
        <f t="shared" si="122"/>
        <v>2004</v>
      </c>
      <c r="F207" s="94">
        <f t="shared" si="122"/>
        <v>2005</v>
      </c>
      <c r="G207" s="94">
        <f t="shared" si="122"/>
        <v>2006</v>
      </c>
      <c r="H207" s="94">
        <f t="shared" si="122"/>
        <v>2007</v>
      </c>
      <c r="I207" s="94">
        <f t="shared" si="122"/>
        <v>2008</v>
      </c>
      <c r="J207" s="94">
        <f t="shared" si="122"/>
        <v>2009</v>
      </c>
      <c r="K207" s="94">
        <f t="shared" si="122"/>
        <v>2010</v>
      </c>
      <c r="L207" s="94">
        <f t="shared" si="122"/>
        <v>2011</v>
      </c>
      <c r="M207" s="94">
        <f t="shared" si="122"/>
        <v>2012</v>
      </c>
      <c r="N207" s="94">
        <f t="shared" si="122"/>
        <v>2013</v>
      </c>
      <c r="O207" s="94">
        <f t="shared" si="122"/>
        <v>2014</v>
      </c>
      <c r="P207" s="94">
        <f t="shared" si="122"/>
        <v>2015</v>
      </c>
      <c r="Q207" s="94" t="str">
        <f t="shared" si="122"/>
        <v>2016E</v>
      </c>
      <c r="R207" s="94" t="str">
        <f t="shared" si="122"/>
        <v>2017E</v>
      </c>
      <c r="S207" s="94" t="str">
        <f t="shared" si="122"/>
        <v>2018E</v>
      </c>
      <c r="T207" s="94" t="str">
        <f t="shared" si="122"/>
        <v>2019E</v>
      </c>
      <c r="U207" s="94" t="str">
        <f t="shared" si="122"/>
        <v>2020E</v>
      </c>
      <c r="V207" s="94" t="str">
        <f t="shared" si="122"/>
        <v>2021E</v>
      </c>
      <c r="W207" s="94" t="str">
        <f t="shared" si="122"/>
        <v>2022E</v>
      </c>
      <c r="X207" s="94" t="str">
        <f t="shared" si="122"/>
        <v>2023E</v>
      </c>
      <c r="Y207" s="94" t="str">
        <f t="shared" si="122"/>
        <v>2024E</v>
      </c>
      <c r="Z207" s="94" t="str">
        <f t="shared" si="122"/>
        <v>2025E</v>
      </c>
      <c r="AA207" s="94"/>
      <c r="AB207" s="91"/>
      <c r="AC207" s="91"/>
      <c r="AD207" s="174" t="s">
        <v>787</v>
      </c>
      <c r="AE207" s="94" t="str">
        <f>+AE$1</f>
        <v>Q4 01</v>
      </c>
      <c r="AF207" s="94" t="str">
        <f t="shared" ref="AF207:CF207" si="123">+AF$1</f>
        <v>Q1 02</v>
      </c>
      <c r="AG207" s="94" t="str">
        <f t="shared" si="123"/>
        <v>Q2 02</v>
      </c>
      <c r="AH207" s="94" t="str">
        <f t="shared" si="123"/>
        <v>Q3 02</v>
      </c>
      <c r="AI207" s="94" t="str">
        <f t="shared" si="123"/>
        <v>Q4 02</v>
      </c>
      <c r="AJ207" s="94" t="str">
        <f t="shared" si="123"/>
        <v>Q1 03</v>
      </c>
      <c r="AK207" s="94" t="str">
        <f t="shared" si="123"/>
        <v>Q2 03</v>
      </c>
      <c r="AL207" s="94" t="str">
        <f t="shared" si="123"/>
        <v>Q3 03</v>
      </c>
      <c r="AM207" s="94" t="str">
        <f t="shared" si="123"/>
        <v>Q4 03</v>
      </c>
      <c r="AN207" s="94" t="str">
        <f t="shared" si="123"/>
        <v>1Q04</v>
      </c>
      <c r="AO207" s="94" t="str">
        <f t="shared" si="123"/>
        <v>Q2 04</v>
      </c>
      <c r="AP207" s="94" t="str">
        <f t="shared" si="123"/>
        <v>Q3 04</v>
      </c>
      <c r="AQ207" s="94" t="str">
        <f t="shared" si="123"/>
        <v>Q4 04</v>
      </c>
      <c r="AR207" s="94" t="str">
        <f t="shared" si="123"/>
        <v>Q1 05</v>
      </c>
      <c r="AS207" s="94" t="str">
        <f t="shared" si="123"/>
        <v>Q2 05</v>
      </c>
      <c r="AT207" s="94" t="str">
        <f t="shared" si="123"/>
        <v>Q3 05</v>
      </c>
      <c r="AU207" s="94" t="str">
        <f t="shared" si="123"/>
        <v>Q4 05</v>
      </c>
      <c r="AV207" s="94" t="str">
        <f t="shared" si="123"/>
        <v>Q1 06</v>
      </c>
      <c r="AW207" s="94" t="str">
        <f t="shared" si="123"/>
        <v>Q2 06</v>
      </c>
      <c r="AX207" s="94" t="str">
        <f t="shared" si="123"/>
        <v>Q3 06</v>
      </c>
      <c r="AY207" s="94" t="str">
        <f t="shared" si="123"/>
        <v>Q4 06</v>
      </c>
      <c r="AZ207" s="94" t="str">
        <f t="shared" si="123"/>
        <v>Q1 07</v>
      </c>
      <c r="BA207" s="94" t="str">
        <f t="shared" si="123"/>
        <v>Q2 07</v>
      </c>
      <c r="BB207" s="94" t="str">
        <f t="shared" si="123"/>
        <v>Q3 07</v>
      </c>
      <c r="BC207" s="94" t="str">
        <f t="shared" si="123"/>
        <v>Q4 07</v>
      </c>
      <c r="BD207" s="94" t="str">
        <f t="shared" si="123"/>
        <v>Q1 08</v>
      </c>
      <c r="BE207" s="94" t="str">
        <f t="shared" si="123"/>
        <v>Q2 08</v>
      </c>
      <c r="BF207" s="94" t="str">
        <f t="shared" si="123"/>
        <v>Q3 08</v>
      </c>
      <c r="BG207" s="94" t="str">
        <f t="shared" si="123"/>
        <v>Q4 08</v>
      </c>
      <c r="BH207" s="94" t="str">
        <f t="shared" si="123"/>
        <v>Q1 09</v>
      </c>
      <c r="BI207" s="94" t="str">
        <f t="shared" si="123"/>
        <v>Q2 09</v>
      </c>
      <c r="BJ207" s="94" t="str">
        <f t="shared" si="123"/>
        <v>Q3 09</v>
      </c>
      <c r="BK207" s="94" t="str">
        <f t="shared" si="123"/>
        <v>Q4 09</v>
      </c>
      <c r="BL207" s="94" t="str">
        <f t="shared" si="123"/>
        <v>Q1 10</v>
      </c>
      <c r="BM207" s="94" t="str">
        <f t="shared" si="123"/>
        <v>Q2 10</v>
      </c>
      <c r="BN207" s="94" t="str">
        <f t="shared" si="123"/>
        <v>Q3 10</v>
      </c>
      <c r="BO207" s="94" t="str">
        <f t="shared" si="123"/>
        <v>Q4 10</v>
      </c>
      <c r="BP207" s="94" t="str">
        <f t="shared" si="123"/>
        <v>Q1 11</v>
      </c>
      <c r="BQ207" s="94" t="str">
        <f t="shared" si="123"/>
        <v>Q2 11</v>
      </c>
      <c r="BR207" s="94" t="str">
        <f t="shared" si="123"/>
        <v>Q3 11</v>
      </c>
      <c r="BS207" s="94" t="str">
        <f t="shared" si="123"/>
        <v>Q4 11</v>
      </c>
      <c r="BT207" s="94" t="str">
        <f t="shared" si="123"/>
        <v>Q1 12</v>
      </c>
      <c r="BU207" s="94" t="str">
        <f t="shared" si="123"/>
        <v>Q2 12</v>
      </c>
      <c r="BV207" s="94" t="str">
        <f t="shared" si="123"/>
        <v>Q3 12</v>
      </c>
      <c r="BW207" s="94" t="str">
        <f t="shared" si="123"/>
        <v>Q4 12</v>
      </c>
      <c r="BX207" s="94" t="str">
        <f t="shared" si="123"/>
        <v>Q1 13</v>
      </c>
      <c r="BY207" s="94" t="str">
        <f t="shared" si="123"/>
        <v>Q2 13</v>
      </c>
      <c r="BZ207" s="94" t="str">
        <f t="shared" si="123"/>
        <v>Q3 13</v>
      </c>
      <c r="CA207" s="94" t="str">
        <f t="shared" si="123"/>
        <v>Q4 13</v>
      </c>
      <c r="CB207" s="94" t="str">
        <f t="shared" si="123"/>
        <v>Q1 14</v>
      </c>
      <c r="CC207" s="94" t="str">
        <f t="shared" si="123"/>
        <v>Q2 14</v>
      </c>
      <c r="CD207" s="94" t="str">
        <f t="shared" si="123"/>
        <v>Q3 14</v>
      </c>
      <c r="CE207" s="94" t="str">
        <f t="shared" si="123"/>
        <v>Q4 14</v>
      </c>
      <c r="CF207" s="94" t="str">
        <f t="shared" si="123"/>
        <v>Q1 15</v>
      </c>
    </row>
    <row r="208" spans="1:86">
      <c r="A208" s="92" t="s">
        <v>788</v>
      </c>
      <c r="B208" s="277"/>
      <c r="C208" s="277"/>
      <c r="D208" s="277"/>
      <c r="E208" s="277"/>
      <c r="F208" s="277"/>
      <c r="G208" s="277"/>
      <c r="H208" s="277"/>
      <c r="I208" s="277"/>
      <c r="J208" s="277"/>
      <c r="K208" s="277"/>
      <c r="L208" s="277"/>
      <c r="M208" s="277">
        <f>VTR!M218/Forex!H$49*1000+VTR!M219/Forex!H$49*1000+PR!M212</f>
        <v>755.79832703272837</v>
      </c>
      <c r="N208" s="277">
        <f>VTR!N218/Forex!I$49*1000+VTR!N219/Forex!I$49*1000+PR!N212</f>
        <v>778.04596060519555</v>
      </c>
      <c r="O208" s="277">
        <f>VTR!O218/Forex!J$49*1000+VTR!O219/Forex!J$49*1000+PR!O212</f>
        <v>672</v>
      </c>
      <c r="P208" s="277">
        <f>VTR!P218/Forex!K$49*1000+VTR!P219/Forex!K$49*1000+PR!P212</f>
        <v>934</v>
      </c>
      <c r="Q208" s="277">
        <f>VTR!Q218/Forex!L$49*1000+VTR!Q219/Forex!L$49*1000+PR!Q212</f>
        <v>927.2</v>
      </c>
      <c r="R208" s="277">
        <f>VTR!R218/Forex!M$49*1000+VTR!R219/Forex!M$49*1000+PR!R212</f>
        <v>927.2</v>
      </c>
      <c r="S208" s="277">
        <f>VTR!S218/Forex!N$49*1000+VTR!S219/Forex!N$49*1000+PR!S212</f>
        <v>927.2</v>
      </c>
      <c r="T208" s="277">
        <f>VTR!T218/Forex!O$49*1000+VTR!T219/Forex!O$49*1000+PR!T212</f>
        <v>927.2</v>
      </c>
      <c r="U208" s="277">
        <f>VTR!U218/Forex!P$49*1000+VTR!U219/Forex!P$49*1000+PR!U212</f>
        <v>927.2</v>
      </c>
      <c r="V208" s="277">
        <f>VTR!V218/Forex!Q$49*1000+VTR!V219/Forex!Q$49*1000+PR!V212</f>
        <v>927.2</v>
      </c>
      <c r="W208" s="277">
        <f>VTR!W218/Forex!R$49*1000+VTR!W219/Forex!R$49*1000+PR!W212</f>
        <v>647.20000000000005</v>
      </c>
      <c r="X208" s="277">
        <f>VTR!X218/Forex!S$49*1000+VTR!X219/Forex!S$49*1000+PR!X212</f>
        <v>505.20000000000005</v>
      </c>
      <c r="Y208" s="277">
        <f>VTR!Y218/Forex!T$49*1000+VTR!Y219/Forex!T$49*1000+PR!Y212</f>
        <v>505.20000000000005</v>
      </c>
      <c r="Z208" s="277">
        <f>VTR!Z218/Forex!U$49*1000+VTR!Z219/Forex!U$49*1000+PR!Z212</f>
        <v>505.20000000000005</v>
      </c>
      <c r="AA208" s="277"/>
      <c r="AB208" s="91"/>
      <c r="AC208" s="91"/>
      <c r="AD208" s="169" t="s">
        <v>789</v>
      </c>
      <c r="AE208" s="278"/>
      <c r="AF208" s="278"/>
      <c r="AG208" s="278"/>
      <c r="AH208" s="278"/>
      <c r="AI208" s="278"/>
      <c r="AJ208" s="278"/>
      <c r="AK208" s="278"/>
      <c r="AL208" s="278"/>
      <c r="AM208" s="278"/>
      <c r="AN208" s="278"/>
      <c r="AO208" s="278"/>
      <c r="AP208" s="278"/>
      <c r="AQ208" s="278"/>
      <c r="AR208" s="278"/>
      <c r="AS208" s="278"/>
      <c r="AT208" s="278"/>
      <c r="AU208" s="278"/>
      <c r="AV208" s="278"/>
      <c r="AW208" s="278"/>
      <c r="AX208" s="278"/>
      <c r="AY208" s="278"/>
      <c r="AZ208" s="278">
        <v>0</v>
      </c>
      <c r="BA208" s="278">
        <v>0</v>
      </c>
      <c r="BB208" s="278">
        <v>0</v>
      </c>
      <c r="BC208" s="278">
        <v>0</v>
      </c>
      <c r="BD208" s="278">
        <v>0</v>
      </c>
      <c r="BE208" s="278">
        <v>0</v>
      </c>
      <c r="BF208" s="278">
        <v>0</v>
      </c>
      <c r="BG208" s="278">
        <v>0</v>
      </c>
      <c r="BH208" s="278">
        <v>0</v>
      </c>
      <c r="BI208" s="278">
        <v>0</v>
      </c>
      <c r="BJ208" s="278">
        <v>0</v>
      </c>
      <c r="BK208" s="278">
        <v>0</v>
      </c>
      <c r="BL208" s="278">
        <v>0</v>
      </c>
      <c r="BM208" s="278">
        <v>0</v>
      </c>
      <c r="BN208" s="278">
        <v>0</v>
      </c>
      <c r="BO208" s="278">
        <v>0</v>
      </c>
      <c r="BP208" s="278">
        <v>0</v>
      </c>
      <c r="BQ208" s="278">
        <v>0</v>
      </c>
      <c r="BR208" s="278">
        <v>0</v>
      </c>
      <c r="BS208" s="278">
        <v>0</v>
      </c>
      <c r="BT208" s="278">
        <v>0</v>
      </c>
      <c r="BU208" s="278">
        <v>0</v>
      </c>
      <c r="BV208" s="278">
        <v>0</v>
      </c>
      <c r="BW208" s="278">
        <v>92.088740058601914</v>
      </c>
      <c r="BX208" s="278">
        <v>0</v>
      </c>
      <c r="BY208" s="278">
        <v>0</v>
      </c>
      <c r="BZ208" s="278">
        <v>0</v>
      </c>
      <c r="CA208" s="278">
        <v>114.8847284542782</v>
      </c>
      <c r="CB208" s="278">
        <v>0</v>
      </c>
      <c r="CC208" s="278">
        <v>0</v>
      </c>
      <c r="CD208" s="278">
        <v>0</v>
      </c>
      <c r="CE208" s="278">
        <v>0</v>
      </c>
      <c r="CF208" s="278">
        <v>0</v>
      </c>
      <c r="CH208" s="92" t="str">
        <f t="shared" ref="CH208:CH223" si="124">AD208</f>
        <v>VTR Bank debt</v>
      </c>
    </row>
    <row r="209" spans="1:86">
      <c r="A209" s="92" t="s">
        <v>761</v>
      </c>
      <c r="B209" s="278"/>
      <c r="C209" s="278"/>
      <c r="D209" s="278"/>
      <c r="E209" s="278"/>
      <c r="F209" s="278"/>
      <c r="G209" s="278"/>
      <c r="H209" s="278"/>
      <c r="I209" s="278"/>
      <c r="J209" s="278"/>
      <c r="K209" s="278"/>
      <c r="L209" s="278"/>
      <c r="M209" s="278">
        <f>VTR!M220/Forex!H$49*1000+VTR!M221/Forex!H$49*1000+PR!M213</f>
        <v>0</v>
      </c>
      <c r="N209" s="278">
        <f>VTR!N220/Forex!I$49*1000+VTR!N221/Forex!I$49*1000+PR!N213</f>
        <v>0</v>
      </c>
      <c r="O209" s="278">
        <f>VTR!O220/Forex!J$49*1000+VTR!O221/Forex!J$49*1000+PR!O213</f>
        <v>1400.0659087164279</v>
      </c>
      <c r="P209" s="278">
        <f>VTR!P220/Forex!K$49*1000+VTR!P221/Forex!K$49*1000+PR!P213</f>
        <v>1258.1100141043723</v>
      </c>
      <c r="Q209" s="278">
        <f>VTR!Q220/Forex!L$49*1000+VTR!Q221/Forex!L$49*1000+PR!Q213</f>
        <v>1462.3277182235834</v>
      </c>
      <c r="R209" s="278">
        <f>VTR!R220/Forex!M$49*1000+VTR!R221/Forex!M$49*1000+PR!R213</f>
        <v>1440.2714932126696</v>
      </c>
      <c r="S209" s="278">
        <f>VTR!S220/Forex!N$49*1000+VTR!S221/Forex!N$49*1000+PR!S213</f>
        <v>1398.0966325036604</v>
      </c>
      <c r="T209" s="278">
        <f>VTR!T220/Forex!O$49*1000+VTR!T221/Forex!O$49*1000+PR!T213</f>
        <v>1404.2647058823529</v>
      </c>
      <c r="U209" s="278">
        <f>VTR!U220/Forex!P$49*1000+VTR!U221/Forex!P$49*1000+PR!U213</f>
        <v>1205.681818181818</v>
      </c>
      <c r="V209" s="278">
        <f>VTR!V220/Forex!Q$49*1000+VTR!V221/Forex!Q$49*1000+PR!V213</f>
        <v>1254.7963206307491</v>
      </c>
      <c r="W209" s="278">
        <f>VTR!W220/Forex!R$49*1000+VTR!W221/Forex!R$49*1000+PR!W213</f>
        <v>1093.8144329896907</v>
      </c>
      <c r="X209" s="278">
        <f>VTR!X220/Forex!S$49*1000+VTR!X221/Forex!S$49*1000+PR!X213</f>
        <v>1177.4352651048089</v>
      </c>
      <c r="Y209" s="278">
        <f>VTR!Y220/Forex!T$49*1000+VTR!Y221/Forex!T$49*1000+PR!Y213</f>
        <v>240.32059186189886</v>
      </c>
      <c r="Z209" s="278">
        <f>VTR!Z220/Forex!U$49*1000+VTR!Z221/Forex!U$49*1000+PR!Z213</f>
        <v>240.32059186189886</v>
      </c>
      <c r="AA209" s="278"/>
      <c r="AB209" s="91"/>
      <c r="AC209" s="91"/>
      <c r="AD209" s="169" t="s">
        <v>790</v>
      </c>
      <c r="AE209" s="278"/>
      <c r="AF209" s="278"/>
      <c r="AG209" s="278"/>
      <c r="AH209" s="278"/>
      <c r="AI209" s="278"/>
      <c r="AJ209" s="278"/>
      <c r="AK209" s="278"/>
      <c r="AL209" s="278"/>
      <c r="AM209" s="278"/>
      <c r="AN209" s="278"/>
      <c r="AO209" s="278"/>
      <c r="AP209" s="278"/>
      <c r="AQ209" s="278"/>
      <c r="AR209" s="278"/>
      <c r="AS209" s="278"/>
      <c r="AT209" s="278"/>
      <c r="AU209" s="278"/>
      <c r="AV209" s="278"/>
      <c r="AW209" s="278"/>
      <c r="AX209" s="278"/>
      <c r="AY209" s="278"/>
      <c r="AZ209" s="278">
        <f>PR!AX212</f>
        <v>0</v>
      </c>
      <c r="BA209" s="278">
        <f>PR!AY212</f>
        <v>0</v>
      </c>
      <c r="BB209" s="278">
        <f>PR!AZ212</f>
        <v>0</v>
      </c>
      <c r="BC209" s="278">
        <f>PR!BA212</f>
        <v>0</v>
      </c>
      <c r="BD209" s="278">
        <f>PR!BB212</f>
        <v>0</v>
      </c>
      <c r="BE209" s="278">
        <f>PR!BC212</f>
        <v>0</v>
      </c>
      <c r="BF209" s="278">
        <f>PR!BD212</f>
        <v>0</v>
      </c>
      <c r="BG209" s="278">
        <f>PR!BE212</f>
        <v>0</v>
      </c>
      <c r="BH209" s="278">
        <f>PR!BF212</f>
        <v>0</v>
      </c>
      <c r="BI209" s="278">
        <f>PR!BG212</f>
        <v>0</v>
      </c>
      <c r="BJ209" s="278">
        <f>PR!BH212</f>
        <v>0</v>
      </c>
      <c r="BK209" s="278">
        <f>PR!BI212</f>
        <v>0</v>
      </c>
      <c r="BL209" s="278">
        <f>PR!BJ212</f>
        <v>0</v>
      </c>
      <c r="BM209" s="278">
        <f>PR!BK212</f>
        <v>0</v>
      </c>
      <c r="BN209" s="278">
        <f>PR!BL212</f>
        <v>0</v>
      </c>
      <c r="BO209" s="278">
        <f>PR!BM212</f>
        <v>0</v>
      </c>
      <c r="BP209" s="278">
        <f>PR!BN212</f>
        <v>0</v>
      </c>
      <c r="BQ209" s="278">
        <f>PR!BO212</f>
        <v>0</v>
      </c>
      <c r="BR209" s="278">
        <f>PR!BP212</f>
        <v>0</v>
      </c>
      <c r="BS209" s="278">
        <f>PR!BQ212</f>
        <v>0</v>
      </c>
      <c r="BT209" s="278">
        <f>PR!BR212</f>
        <v>0</v>
      </c>
      <c r="BU209" s="278">
        <f>PR!BS212</f>
        <v>0</v>
      </c>
      <c r="BV209" s="278">
        <f>PR!BT212</f>
        <v>0</v>
      </c>
      <c r="BW209" s="278">
        <f>PR!BU212</f>
        <v>663.9</v>
      </c>
      <c r="BX209" s="278">
        <f>PR!BV212</f>
        <v>0</v>
      </c>
      <c r="BY209" s="278">
        <f>PR!BW212</f>
        <v>0</v>
      </c>
      <c r="BZ209" s="278">
        <f>PR!BX212</f>
        <v>0</v>
      </c>
      <c r="CA209" s="278">
        <f>PR!BY212</f>
        <v>665</v>
      </c>
      <c r="CB209" s="278">
        <f>PR!BZ212</f>
        <v>657.6</v>
      </c>
      <c r="CC209" s="278">
        <f>PR!CA212</f>
        <v>652.29999999999995</v>
      </c>
      <c r="CD209" s="278">
        <f>PR!CB212</f>
        <v>671.9</v>
      </c>
      <c r="CE209" s="278">
        <f>PR!CC212</f>
        <v>672</v>
      </c>
      <c r="CF209" s="278">
        <f>PR!CD212</f>
        <v>672</v>
      </c>
      <c r="CH209" s="92" t="str">
        <f t="shared" si="124"/>
        <v>Liberty Puerto Rico Bank debt</v>
      </c>
    </row>
    <row r="210" spans="1:86">
      <c r="A210" s="92" t="s">
        <v>703</v>
      </c>
      <c r="B210" s="279"/>
      <c r="C210" s="279"/>
      <c r="D210" s="279"/>
      <c r="E210" s="279"/>
      <c r="F210" s="279"/>
      <c r="G210" s="279"/>
      <c r="H210" s="279"/>
      <c r="I210" s="279"/>
      <c r="J210" s="279"/>
      <c r="K210" s="279"/>
      <c r="L210" s="279"/>
      <c r="M210" s="279">
        <f>VTR!M222/Forex!H$38*1000+PR!M214</f>
        <v>0.80565129765968824</v>
      </c>
      <c r="N210" s="279">
        <f>VTR!N222/Forex!I$38*1000+PR!N214</f>
        <v>2.6091835704914725</v>
      </c>
      <c r="O210" s="279">
        <f>VTR!O222/Forex!J$38*1000+PR!O214</f>
        <v>1.3504099796762212</v>
      </c>
      <c r="P210" s="279">
        <f>VTR!P222/Forex!K$38*1000+PR!P214</f>
        <v>0.80441400304414001</v>
      </c>
      <c r="Q210" s="279">
        <f>VTR!Q222/Forex!L$38*1000+PR!Q214</f>
        <v>0.49576610816166578</v>
      </c>
      <c r="R210" s="279">
        <f>VTR!R222/Forex!M$38*1000+PR!R214</f>
        <v>0.50826140567200995</v>
      </c>
      <c r="S210" s="279">
        <f>VTR!S222/Forex!N$38*1000+PR!S214</f>
        <v>0.51144401015307484</v>
      </c>
      <c r="T210" s="279">
        <f>VTR!T222/Forex!O$38*1000+PR!T214</f>
        <v>0.48449502133712663</v>
      </c>
      <c r="U210" s="279">
        <f>VTR!U222/Forex!P$38*1000+PR!U214</f>
        <v>0.45252525252525255</v>
      </c>
      <c r="V210" s="279">
        <f>VTR!V222/Forex!Q$38*1000+PR!V214</f>
        <v>0.46281208935611046</v>
      </c>
      <c r="W210" s="279">
        <f>VTR!W222/Forex!R$38*1000+PR!W214</f>
        <v>0.42909507445589923</v>
      </c>
      <c r="X210" s="279">
        <f>VTR!X222/Forex!S$38*1000+PR!X214</f>
        <v>0.45031289111389239</v>
      </c>
      <c r="Y210" s="279">
        <f>VTR!Y222/Forex!T$38*1000+PR!Y214</f>
        <v>0.44660912453760793</v>
      </c>
      <c r="Z210" s="279">
        <f>VTR!Z222/Forex!U$38*1000+PR!Z214</f>
        <v>0.44660912453760793</v>
      </c>
      <c r="AA210" s="279"/>
      <c r="AB210" s="91"/>
      <c r="AC210" s="91"/>
      <c r="AD210" s="169" t="s">
        <v>791</v>
      </c>
      <c r="AE210" s="278"/>
      <c r="AF210" s="278"/>
      <c r="AG210" s="278"/>
      <c r="AH210" s="278"/>
      <c r="AI210" s="278"/>
      <c r="AJ210" s="278"/>
      <c r="AK210" s="278"/>
      <c r="AL210" s="278"/>
      <c r="AM210" s="278"/>
      <c r="AN210" s="278"/>
      <c r="AO210" s="278"/>
      <c r="AP210" s="278"/>
      <c r="AQ210" s="278"/>
      <c r="AR210" s="278"/>
      <c r="AS210" s="278"/>
      <c r="AT210" s="278"/>
      <c r="AU210" s="278"/>
      <c r="AV210" s="278"/>
      <c r="AW210" s="278"/>
      <c r="AX210" s="278"/>
      <c r="AY210" s="278"/>
      <c r="AZ210" s="278">
        <v>0</v>
      </c>
      <c r="BA210" s="278">
        <v>0</v>
      </c>
      <c r="BB210" s="278">
        <v>0</v>
      </c>
      <c r="BC210" s="278">
        <v>0</v>
      </c>
      <c r="BD210" s="278">
        <v>0</v>
      </c>
      <c r="BE210" s="278">
        <v>0</v>
      </c>
      <c r="BF210" s="278">
        <v>0</v>
      </c>
      <c r="BG210" s="278">
        <v>0</v>
      </c>
      <c r="BH210" s="278">
        <v>0</v>
      </c>
      <c r="BI210" s="278">
        <v>0</v>
      </c>
      <c r="BJ210" s="278">
        <v>0</v>
      </c>
      <c r="BK210" s="278">
        <v>0</v>
      </c>
      <c r="BL210" s="278">
        <v>0</v>
      </c>
      <c r="BM210" s="278">
        <v>0</v>
      </c>
      <c r="BN210" s="278">
        <v>0</v>
      </c>
      <c r="BO210" s="278">
        <v>0</v>
      </c>
      <c r="BP210" s="278">
        <v>0</v>
      </c>
      <c r="BQ210" s="278">
        <v>0</v>
      </c>
      <c r="BR210" s="278">
        <v>0</v>
      </c>
      <c r="BS210" s="278">
        <v>0</v>
      </c>
      <c r="BT210" s="278">
        <v>0</v>
      </c>
      <c r="BU210" s="278">
        <v>0</v>
      </c>
      <c r="BV210" s="278">
        <v>0</v>
      </c>
      <c r="BW210" s="278">
        <v>0</v>
      </c>
      <c r="BX210" s="278">
        <v>0</v>
      </c>
      <c r="BY210" s="278">
        <v>0</v>
      </c>
      <c r="BZ210" s="278">
        <v>0</v>
      </c>
      <c r="CA210" s="278">
        <v>0</v>
      </c>
      <c r="CB210" s="278">
        <v>1393.1501639106734</v>
      </c>
      <c r="CC210" s="278">
        <v>1395.5542735582037</v>
      </c>
      <c r="CD210" s="278">
        <v>1449.6340007268072</v>
      </c>
      <c r="CE210" s="278">
        <v>1419.6922357187016</v>
      </c>
      <c r="CF210" s="278">
        <v>1401.3544451737882</v>
      </c>
      <c r="CH210" s="92" t="str">
        <f t="shared" si="124"/>
        <v>VTR SSN</v>
      </c>
    </row>
    <row r="211" spans="1:86">
      <c r="A211" s="92" t="s">
        <v>704</v>
      </c>
      <c r="B211" s="280"/>
      <c r="C211" s="280"/>
      <c r="D211" s="280"/>
      <c r="E211" s="280"/>
      <c r="F211" s="280"/>
      <c r="G211" s="280"/>
      <c r="H211" s="280"/>
      <c r="I211" s="280"/>
      <c r="J211" s="280"/>
      <c r="K211" s="280"/>
      <c r="L211" s="280"/>
      <c r="M211" s="280">
        <f>SUM(M208:M210)</f>
        <v>756.60397833038803</v>
      </c>
      <c r="N211" s="280">
        <f>SUM(N208:N210)</f>
        <v>780.65514417568704</v>
      </c>
      <c r="O211" s="280">
        <f>SUM(O208:O210)</f>
        <v>2073.4163186961041</v>
      </c>
      <c r="P211" s="280">
        <f t="shared" ref="P211:Z211" si="125">SUM(P208:P210)</f>
        <v>2192.9144281074168</v>
      </c>
      <c r="Q211" s="280">
        <f t="shared" si="125"/>
        <v>2390.0234843317448</v>
      </c>
      <c r="R211" s="280">
        <f t="shared" si="125"/>
        <v>2367.9797546183418</v>
      </c>
      <c r="S211" s="280">
        <f t="shared" si="125"/>
        <v>2325.8080765138134</v>
      </c>
      <c r="T211" s="280">
        <f t="shared" si="125"/>
        <v>2331.9492009036903</v>
      </c>
      <c r="U211" s="280">
        <f t="shared" si="125"/>
        <v>2133.3343434343433</v>
      </c>
      <c r="V211" s="280">
        <f t="shared" si="125"/>
        <v>2182.4591327201056</v>
      </c>
      <c r="W211" s="280">
        <f t="shared" si="125"/>
        <v>1741.4435280641467</v>
      </c>
      <c r="X211" s="280">
        <f t="shared" si="125"/>
        <v>1683.0855779959229</v>
      </c>
      <c r="Y211" s="280">
        <f t="shared" si="125"/>
        <v>745.96720098643652</v>
      </c>
      <c r="Z211" s="280">
        <f t="shared" si="125"/>
        <v>745.96720098643652</v>
      </c>
      <c r="AA211" s="280"/>
      <c r="AB211" s="91"/>
      <c r="AC211" s="91"/>
      <c r="AD211" s="169" t="s">
        <v>792</v>
      </c>
      <c r="AE211" s="278"/>
      <c r="AF211" s="278"/>
      <c r="AG211" s="278"/>
      <c r="AH211" s="278"/>
      <c r="AI211" s="278"/>
      <c r="AJ211" s="278"/>
      <c r="AK211" s="278"/>
      <c r="AL211" s="278"/>
      <c r="AM211" s="278"/>
      <c r="AN211" s="278"/>
      <c r="AO211" s="278"/>
      <c r="AP211" s="278"/>
      <c r="AQ211" s="278"/>
      <c r="AR211" s="278"/>
      <c r="AS211" s="278"/>
      <c r="AT211" s="278"/>
      <c r="AU211" s="278"/>
      <c r="AV211" s="278"/>
      <c r="AW211" s="278"/>
      <c r="AX211" s="278"/>
      <c r="AY211" s="278"/>
      <c r="AZ211" s="278">
        <f>PR!AX213</f>
        <v>0</v>
      </c>
      <c r="BA211" s="278">
        <f>PR!AY213</f>
        <v>0</v>
      </c>
      <c r="BB211" s="278">
        <f>PR!AZ213</f>
        <v>0</v>
      </c>
      <c r="BC211" s="278">
        <f>PR!BA213</f>
        <v>0</v>
      </c>
      <c r="BD211" s="278">
        <f>PR!BB213</f>
        <v>0</v>
      </c>
      <c r="BE211" s="278">
        <f>PR!BC213</f>
        <v>0</v>
      </c>
      <c r="BF211" s="278">
        <f>PR!BD213</f>
        <v>0</v>
      </c>
      <c r="BG211" s="278">
        <f>PR!BE213</f>
        <v>0</v>
      </c>
      <c r="BH211" s="278">
        <f>PR!BF213</f>
        <v>0</v>
      </c>
      <c r="BI211" s="278">
        <f>PR!BG213</f>
        <v>0</v>
      </c>
      <c r="BJ211" s="278">
        <f>PR!BH213</f>
        <v>0</v>
      </c>
      <c r="BK211" s="278">
        <f>PR!BI213</f>
        <v>0</v>
      </c>
      <c r="BL211" s="278">
        <f>PR!BJ213</f>
        <v>0</v>
      </c>
      <c r="BM211" s="278">
        <f>PR!BK213</f>
        <v>0</v>
      </c>
      <c r="BN211" s="278">
        <f>PR!BL213</f>
        <v>0</v>
      </c>
      <c r="BO211" s="278">
        <f>PR!BM213</f>
        <v>0</v>
      </c>
      <c r="BP211" s="278">
        <f>PR!BN213</f>
        <v>0</v>
      </c>
      <c r="BQ211" s="278">
        <f>PR!BO213</f>
        <v>0</v>
      </c>
      <c r="BR211" s="278">
        <f>PR!BP213</f>
        <v>0</v>
      </c>
      <c r="BS211" s="278">
        <f>PR!BQ213</f>
        <v>0</v>
      </c>
      <c r="BT211" s="278">
        <f>PR!BR213</f>
        <v>0</v>
      </c>
      <c r="BU211" s="278">
        <f>PR!BS213</f>
        <v>0</v>
      </c>
      <c r="BV211" s="278">
        <f>PR!BT213</f>
        <v>0</v>
      </c>
      <c r="BW211" s="278">
        <f>PR!BU213</f>
        <v>0</v>
      </c>
      <c r="BX211" s="278">
        <f>PR!BV213</f>
        <v>0</v>
      </c>
      <c r="BY211" s="278">
        <f>PR!BW213</f>
        <v>0</v>
      </c>
      <c r="BZ211" s="278">
        <f>PR!BX213</f>
        <v>0</v>
      </c>
      <c r="CA211" s="278">
        <f>PR!BY213</f>
        <v>0</v>
      </c>
      <c r="CB211" s="278">
        <f>PR!BZ213</f>
        <v>0</v>
      </c>
      <c r="CC211" s="278">
        <f>PR!CA213</f>
        <v>0</v>
      </c>
      <c r="CD211" s="278">
        <f>PR!CB213</f>
        <v>0</v>
      </c>
      <c r="CE211" s="278">
        <f>PR!CC213</f>
        <v>0</v>
      </c>
      <c r="CF211" s="278">
        <f>PR!CD213</f>
        <v>0</v>
      </c>
      <c r="CH211" s="92" t="str">
        <f t="shared" si="124"/>
        <v>Liberty Puerto Rico SSN</v>
      </c>
    </row>
    <row r="212" spans="1:86">
      <c r="A212" s="92" t="s">
        <v>793</v>
      </c>
      <c r="B212" s="278"/>
      <c r="C212" s="278"/>
      <c r="D212" s="278"/>
      <c r="E212" s="278"/>
      <c r="F212" s="278"/>
      <c r="G212" s="278"/>
      <c r="H212" s="278"/>
      <c r="I212" s="278"/>
      <c r="J212" s="278"/>
      <c r="K212" s="278"/>
      <c r="L212" s="278"/>
      <c r="M212" s="278">
        <f>VTR!M224/Forex!H$38*1000+PR!M216</f>
        <v>0</v>
      </c>
      <c r="N212" s="278">
        <f>VTR!N224/Forex!I$38*1000+PR!N216</f>
        <v>0</v>
      </c>
      <c r="O212" s="278">
        <f>VTR!O224/Forex!J$38*1000+PR!O216</f>
        <v>0</v>
      </c>
      <c r="P212" s="278">
        <f>VTR!P224/Forex!K$38*1000+PR!P216</f>
        <v>0</v>
      </c>
      <c r="Q212" s="278">
        <f>VTR!Q224/Forex!L$38*1000+PR!Q216</f>
        <v>0</v>
      </c>
      <c r="R212" s="278">
        <f>VTR!R224/Forex!M$38*1000+PR!R216</f>
        <v>0</v>
      </c>
      <c r="S212" s="278">
        <f>VTR!S224/Forex!N$38*1000+PR!S216</f>
        <v>0</v>
      </c>
      <c r="T212" s="278">
        <f>VTR!T224/Forex!O$38*1000+PR!T216</f>
        <v>0</v>
      </c>
      <c r="U212" s="278">
        <f>VTR!U224/Forex!P$38*1000+PR!U216</f>
        <v>0</v>
      </c>
      <c r="V212" s="278">
        <f>VTR!V224/Forex!Q$38*1000+PR!V216</f>
        <v>0</v>
      </c>
      <c r="W212" s="278">
        <f>VTR!W224/Forex!R$38*1000+PR!W216</f>
        <v>0</v>
      </c>
      <c r="X212" s="278">
        <f>VTR!X224/Forex!S$38*1000+PR!X216</f>
        <v>0</v>
      </c>
      <c r="Y212" s="278">
        <f>VTR!Y224/Forex!T$38*1000+PR!Y216</f>
        <v>0</v>
      </c>
      <c r="Z212" s="278">
        <f>VTR!Z224/Forex!U$38*1000+PR!Z216</f>
        <v>0</v>
      </c>
      <c r="AA212" s="278"/>
      <c r="AB212" s="91"/>
      <c r="AC212" s="91"/>
      <c r="AD212" s="92" t="s">
        <v>794</v>
      </c>
      <c r="AE212" s="278"/>
      <c r="AF212" s="278"/>
      <c r="AG212" s="278"/>
      <c r="AH212" s="278"/>
      <c r="AI212" s="278"/>
      <c r="AJ212" s="278"/>
      <c r="AK212" s="278"/>
      <c r="AL212" s="278"/>
      <c r="AM212" s="278"/>
      <c r="AN212" s="278"/>
      <c r="AO212" s="278"/>
      <c r="AP212" s="278"/>
      <c r="AQ212" s="278"/>
      <c r="AR212" s="278"/>
      <c r="AS212" s="278"/>
      <c r="AT212" s="278"/>
      <c r="AU212" s="278"/>
      <c r="AV212" s="278"/>
      <c r="AW212" s="278"/>
      <c r="AX212" s="278"/>
      <c r="AY212" s="278"/>
      <c r="AZ212" s="278">
        <v>0</v>
      </c>
      <c r="BA212" s="278">
        <v>0</v>
      </c>
      <c r="BB212" s="278">
        <v>0</v>
      </c>
      <c r="BC212" s="278">
        <v>0</v>
      </c>
      <c r="BD212" s="278">
        <v>0</v>
      </c>
      <c r="BE212" s="278">
        <v>0</v>
      </c>
      <c r="BF212" s="278">
        <v>0</v>
      </c>
      <c r="BG212" s="278">
        <v>0</v>
      </c>
      <c r="BH212" s="278">
        <v>0</v>
      </c>
      <c r="BI212" s="278">
        <v>0</v>
      </c>
      <c r="BJ212" s="278">
        <v>0</v>
      </c>
      <c r="BK212" s="278">
        <v>0</v>
      </c>
      <c r="BL212" s="278">
        <v>0</v>
      </c>
      <c r="BM212" s="278">
        <v>0</v>
      </c>
      <c r="BN212" s="278">
        <v>0</v>
      </c>
      <c r="BO212" s="278">
        <v>0</v>
      </c>
      <c r="BP212" s="278">
        <v>0</v>
      </c>
      <c r="BQ212" s="278">
        <v>0</v>
      </c>
      <c r="BR212" s="278">
        <v>0</v>
      </c>
      <c r="BS212" s="278">
        <v>0</v>
      </c>
      <c r="BT212" s="278">
        <v>0</v>
      </c>
      <c r="BU212" s="278">
        <v>0</v>
      </c>
      <c r="BV212" s="278">
        <v>0</v>
      </c>
      <c r="BW212" s="278">
        <v>0.2092925910422771</v>
      </c>
      <c r="BX212" s="278">
        <v>0</v>
      </c>
      <c r="BY212" s="278">
        <v>0</v>
      </c>
      <c r="BZ212" s="278">
        <v>0</v>
      </c>
      <c r="CA212" s="278">
        <v>0.96704316880705554</v>
      </c>
      <c r="CB212" s="278">
        <v>0.72446706391610682</v>
      </c>
      <c r="CC212" s="278">
        <v>0.72112351042924872</v>
      </c>
      <c r="CD212" s="278">
        <v>0.6921972069842699</v>
      </c>
      <c r="CE212" s="278">
        <v>0.50124475781524125</v>
      </c>
      <c r="CF212" s="278">
        <v>0.48029970701717867</v>
      </c>
      <c r="CH212" s="92" t="str">
        <f t="shared" si="124"/>
        <v>VTR Capital leases</v>
      </c>
    </row>
    <row r="213" spans="1:86">
      <c r="A213" s="92" t="s">
        <v>795</v>
      </c>
      <c r="B213" s="279"/>
      <c r="C213" s="279"/>
      <c r="D213" s="279"/>
      <c r="E213" s="279"/>
      <c r="F213" s="279"/>
      <c r="G213" s="279"/>
      <c r="H213" s="279"/>
      <c r="I213" s="279"/>
      <c r="J213" s="279"/>
      <c r="K213" s="279"/>
      <c r="L213" s="279"/>
      <c r="M213" s="279">
        <f>VTR!M225/Forex!H$38*1000+PR!M217</f>
        <v>0</v>
      </c>
      <c r="N213" s="279">
        <f>VTR!N225/Forex!I$38*1000+PR!N217</f>
        <v>0</v>
      </c>
      <c r="O213" s="279">
        <f>VTR!O225/Forex!J$38*1000+PR!O217</f>
        <v>0</v>
      </c>
      <c r="P213" s="279">
        <f>VTR!P225/Forex!K$38*1000+PR!P217</f>
        <v>0</v>
      </c>
      <c r="Q213" s="279">
        <f>VTR!Q225/Forex!L$38*1000+PR!Q217</f>
        <v>0</v>
      </c>
      <c r="R213" s="279">
        <f>VTR!R225/Forex!M$38*1000+PR!R217</f>
        <v>0</v>
      </c>
      <c r="S213" s="279">
        <f>VTR!S225/Forex!N$38*1000+PR!S217</f>
        <v>0</v>
      </c>
      <c r="T213" s="279">
        <f>VTR!T225/Forex!O$38*1000+PR!T217</f>
        <v>0</v>
      </c>
      <c r="U213" s="279">
        <f>VTR!U225/Forex!P$38*1000+PR!U217</f>
        <v>0</v>
      </c>
      <c r="V213" s="279">
        <f>VTR!V225/Forex!Q$38*1000+PR!V217</f>
        <v>0</v>
      </c>
      <c r="W213" s="279">
        <f>VTR!W225/Forex!R$38*1000+PR!W217</f>
        <v>0</v>
      </c>
      <c r="X213" s="279">
        <f>VTR!X225/Forex!S$38*1000+PR!X217</f>
        <v>0</v>
      </c>
      <c r="Y213" s="279">
        <f>VTR!Y225/Forex!T$38*1000+PR!Y217</f>
        <v>0</v>
      </c>
      <c r="Z213" s="279">
        <f>VTR!Z225/Forex!U$38*1000+PR!Z217</f>
        <v>0</v>
      </c>
      <c r="AA213" s="279"/>
      <c r="AB213" s="91"/>
      <c r="AC213" s="91"/>
      <c r="AD213" s="175" t="s">
        <v>796</v>
      </c>
      <c r="AE213" s="279"/>
      <c r="AF213" s="279"/>
      <c r="AG213" s="279"/>
      <c r="AH213" s="279"/>
      <c r="AI213" s="279"/>
      <c r="AJ213" s="279"/>
      <c r="AK213" s="279"/>
      <c r="AL213" s="279"/>
      <c r="AM213" s="279"/>
      <c r="AN213" s="279"/>
      <c r="AO213" s="279"/>
      <c r="AP213" s="279"/>
      <c r="AQ213" s="279"/>
      <c r="AR213" s="279"/>
      <c r="AS213" s="279"/>
      <c r="AT213" s="279"/>
      <c r="AU213" s="279"/>
      <c r="AV213" s="279"/>
      <c r="AW213" s="279"/>
      <c r="AX213" s="279"/>
      <c r="AY213" s="279"/>
      <c r="AZ213" s="279">
        <f>PR!AX214</f>
        <v>0</v>
      </c>
      <c r="BA213" s="279">
        <f>PR!AY214</f>
        <v>0</v>
      </c>
      <c r="BB213" s="279">
        <f>PR!AZ214</f>
        <v>0</v>
      </c>
      <c r="BC213" s="279">
        <f>PR!BA214</f>
        <v>0</v>
      </c>
      <c r="BD213" s="279">
        <f>PR!BB214</f>
        <v>0</v>
      </c>
      <c r="BE213" s="279">
        <f>PR!BC214</f>
        <v>0</v>
      </c>
      <c r="BF213" s="279">
        <f>PR!BD214</f>
        <v>0</v>
      </c>
      <c r="BG213" s="279">
        <f>PR!BE214</f>
        <v>0</v>
      </c>
      <c r="BH213" s="279">
        <f>PR!BF214</f>
        <v>0</v>
      </c>
      <c r="BI213" s="279">
        <f>PR!BG214</f>
        <v>0</v>
      </c>
      <c r="BJ213" s="279">
        <f>PR!BH214</f>
        <v>0</v>
      </c>
      <c r="BK213" s="279">
        <f>PR!BI214</f>
        <v>0</v>
      </c>
      <c r="BL213" s="279">
        <f>PR!BJ214</f>
        <v>0</v>
      </c>
      <c r="BM213" s="279">
        <f>PR!BK214</f>
        <v>0</v>
      </c>
      <c r="BN213" s="279">
        <f>PR!BL214</f>
        <v>0</v>
      </c>
      <c r="BO213" s="279">
        <f>PR!BM214</f>
        <v>0</v>
      </c>
      <c r="BP213" s="279">
        <f>PR!BN214</f>
        <v>0</v>
      </c>
      <c r="BQ213" s="279">
        <f>PR!BO214</f>
        <v>0</v>
      </c>
      <c r="BR213" s="279">
        <f>PR!BP214</f>
        <v>0</v>
      </c>
      <c r="BS213" s="279">
        <f>PR!BQ214</f>
        <v>0</v>
      </c>
      <c r="BT213" s="279">
        <f>PR!BR214</f>
        <v>0</v>
      </c>
      <c r="BU213" s="279">
        <f>PR!BS214</f>
        <v>0</v>
      </c>
      <c r="BV213" s="279">
        <f>PR!BT214</f>
        <v>0</v>
      </c>
      <c r="BW213" s="279">
        <f>PR!BU214</f>
        <v>0.6</v>
      </c>
      <c r="BX213" s="279">
        <f>PR!BV214</f>
        <v>0</v>
      </c>
      <c r="BY213" s="279">
        <f>PR!BW214</f>
        <v>0</v>
      </c>
      <c r="BZ213" s="279">
        <f>PR!BX214</f>
        <v>0</v>
      </c>
      <c r="CA213" s="279">
        <f>PR!BY214</f>
        <v>1.6</v>
      </c>
      <c r="CB213" s="279">
        <f>PR!BZ214</f>
        <v>1.4</v>
      </c>
      <c r="CC213" s="279">
        <f>PR!CA214</f>
        <v>1.3</v>
      </c>
      <c r="CD213" s="279">
        <f>PR!CB214</f>
        <v>1.6</v>
      </c>
      <c r="CE213" s="279">
        <f>PR!CC214</f>
        <v>1</v>
      </c>
      <c r="CF213" s="279">
        <f>PR!CD214</f>
        <v>0.9</v>
      </c>
      <c r="CH213" s="92" t="str">
        <f t="shared" si="124"/>
        <v>Liberty Puerto Rico Capital leases</v>
      </c>
    </row>
    <row r="214" spans="1:86">
      <c r="A214" s="92" t="s">
        <v>741</v>
      </c>
      <c r="B214" s="105"/>
      <c r="C214" s="105"/>
      <c r="D214" s="105"/>
      <c r="E214" s="105"/>
      <c r="F214" s="105"/>
      <c r="G214" s="105"/>
      <c r="H214" s="105"/>
      <c r="I214" s="105"/>
      <c r="J214" s="105"/>
      <c r="K214" s="105"/>
      <c r="L214" s="105"/>
      <c r="M214" s="105">
        <f t="shared" ref="M214:Z214" si="126">SUM(M211:M213)</f>
        <v>756.60397833038803</v>
      </c>
      <c r="N214" s="105">
        <f t="shared" si="126"/>
        <v>780.65514417568704</v>
      </c>
      <c r="O214" s="105">
        <f t="shared" si="126"/>
        <v>2073.4163186961041</v>
      </c>
      <c r="P214" s="105">
        <f>SUM(P211:P213)</f>
        <v>2192.9144281074168</v>
      </c>
      <c r="Q214" s="105">
        <f t="shared" si="126"/>
        <v>2390.0234843317448</v>
      </c>
      <c r="R214" s="105">
        <f t="shared" si="126"/>
        <v>2367.9797546183418</v>
      </c>
      <c r="S214" s="105">
        <f t="shared" si="126"/>
        <v>2325.8080765138134</v>
      </c>
      <c r="T214" s="105">
        <f t="shared" si="126"/>
        <v>2331.9492009036903</v>
      </c>
      <c r="U214" s="105">
        <f t="shared" si="126"/>
        <v>2133.3343434343433</v>
      </c>
      <c r="V214" s="105">
        <f t="shared" si="126"/>
        <v>2182.4591327201056</v>
      </c>
      <c r="W214" s="105">
        <f t="shared" si="126"/>
        <v>1741.4435280641467</v>
      </c>
      <c r="X214" s="105">
        <f t="shared" si="126"/>
        <v>1683.0855779959229</v>
      </c>
      <c r="Y214" s="105">
        <f t="shared" si="126"/>
        <v>745.96720098643652</v>
      </c>
      <c r="Z214" s="105">
        <f t="shared" si="126"/>
        <v>745.96720098643652</v>
      </c>
      <c r="AA214" s="105"/>
      <c r="AB214" s="91"/>
      <c r="AC214" s="91"/>
      <c r="AD214" s="281" t="s">
        <v>704</v>
      </c>
      <c r="AE214" s="282"/>
      <c r="AF214" s="282"/>
      <c r="AG214" s="282"/>
      <c r="AH214" s="282"/>
      <c r="AI214" s="282"/>
      <c r="AJ214" s="282"/>
      <c r="AK214" s="282"/>
      <c r="AL214" s="282"/>
      <c r="AM214" s="282"/>
      <c r="AN214" s="282"/>
      <c r="AO214" s="282"/>
      <c r="AP214" s="282"/>
      <c r="AQ214" s="282"/>
      <c r="AR214" s="282"/>
      <c r="AS214" s="282"/>
      <c r="AT214" s="282"/>
      <c r="AU214" s="282"/>
      <c r="AV214" s="282"/>
      <c r="AW214" s="282"/>
      <c r="AX214" s="282"/>
      <c r="AY214" s="282"/>
      <c r="AZ214" s="282">
        <f t="shared" ref="AZ214:CD214" si="127">SUM(AZ208:AZ213)</f>
        <v>0</v>
      </c>
      <c r="BA214" s="282">
        <f t="shared" si="127"/>
        <v>0</v>
      </c>
      <c r="BB214" s="282">
        <f t="shared" si="127"/>
        <v>0</v>
      </c>
      <c r="BC214" s="282">
        <f t="shared" si="127"/>
        <v>0</v>
      </c>
      <c r="BD214" s="282">
        <f t="shared" si="127"/>
        <v>0</v>
      </c>
      <c r="BE214" s="282">
        <f t="shared" si="127"/>
        <v>0</v>
      </c>
      <c r="BF214" s="282">
        <f t="shared" si="127"/>
        <v>0</v>
      </c>
      <c r="BG214" s="282">
        <f t="shared" si="127"/>
        <v>0</v>
      </c>
      <c r="BH214" s="282">
        <f t="shared" si="127"/>
        <v>0</v>
      </c>
      <c r="BI214" s="282">
        <f t="shared" si="127"/>
        <v>0</v>
      </c>
      <c r="BJ214" s="282">
        <f t="shared" si="127"/>
        <v>0</v>
      </c>
      <c r="BK214" s="282">
        <f t="shared" si="127"/>
        <v>0</v>
      </c>
      <c r="BL214" s="282">
        <f t="shared" si="127"/>
        <v>0</v>
      </c>
      <c r="BM214" s="282">
        <f t="shared" si="127"/>
        <v>0</v>
      </c>
      <c r="BN214" s="282">
        <f t="shared" si="127"/>
        <v>0</v>
      </c>
      <c r="BO214" s="282">
        <f t="shared" si="127"/>
        <v>0</v>
      </c>
      <c r="BP214" s="282">
        <f t="shared" si="127"/>
        <v>0</v>
      </c>
      <c r="BQ214" s="282">
        <f t="shared" si="127"/>
        <v>0</v>
      </c>
      <c r="BR214" s="282">
        <f t="shared" si="127"/>
        <v>0</v>
      </c>
      <c r="BS214" s="282">
        <f t="shared" si="127"/>
        <v>0</v>
      </c>
      <c r="BT214" s="282">
        <f t="shared" si="127"/>
        <v>0</v>
      </c>
      <c r="BU214" s="282">
        <f t="shared" si="127"/>
        <v>0</v>
      </c>
      <c r="BV214" s="282">
        <f t="shared" si="127"/>
        <v>0</v>
      </c>
      <c r="BW214" s="282">
        <f t="shared" si="127"/>
        <v>756.79803264964426</v>
      </c>
      <c r="BX214" s="282">
        <f t="shared" si="127"/>
        <v>0</v>
      </c>
      <c r="BY214" s="282">
        <f t="shared" si="127"/>
        <v>0</v>
      </c>
      <c r="BZ214" s="282">
        <f t="shared" si="127"/>
        <v>0</v>
      </c>
      <c r="CA214" s="282">
        <f t="shared" si="127"/>
        <v>782.45177162308528</v>
      </c>
      <c r="CB214" s="282">
        <f t="shared" si="127"/>
        <v>2052.8746309745898</v>
      </c>
      <c r="CC214" s="282">
        <f t="shared" si="127"/>
        <v>2049.875397068633</v>
      </c>
      <c r="CD214" s="282">
        <f t="shared" si="127"/>
        <v>2123.8261979337917</v>
      </c>
      <c r="CE214" s="282">
        <f>SUM(CE208:CE213)</f>
        <v>2093.1934804765165</v>
      </c>
      <c r="CF214" s="282">
        <f>SUM(CF208:CF213)</f>
        <v>2074.7347448808055</v>
      </c>
      <c r="CH214" s="92" t="str">
        <f t="shared" si="124"/>
        <v>Total senior secured debt</v>
      </c>
    </row>
    <row r="215" spans="1:86">
      <c r="A215" s="92" t="s">
        <v>707</v>
      </c>
      <c r="B215" s="279"/>
      <c r="C215" s="279"/>
      <c r="D215" s="279"/>
      <c r="E215" s="279"/>
      <c r="F215" s="279"/>
      <c r="G215" s="279"/>
      <c r="H215" s="279"/>
      <c r="I215" s="279"/>
      <c r="J215" s="279"/>
      <c r="K215" s="279"/>
      <c r="L215" s="279"/>
      <c r="M215" s="279">
        <f>VTR!M227/Forex!H$38*1000+PR!M219</f>
        <v>45.9980751038539</v>
      </c>
      <c r="N215" s="279">
        <f>VTR!N227/Forex!I$38*1000+PR!N219</f>
        <v>184.89610455141792</v>
      </c>
      <c r="O215" s="279">
        <f>VTR!O227/Forex!J$38*1000+PR!O219</f>
        <v>112.48097974630318</v>
      </c>
      <c r="P215" s="279">
        <f>VTR!P227/Forex!K$49*1000+PR!P219</f>
        <v>192.35726375176304</v>
      </c>
      <c r="Q215" s="279">
        <f>VTR!Q227/Forex!L$38*1000+PR!Q219</f>
        <v>202.2781162656571</v>
      </c>
      <c r="R215" s="279">
        <f ca="1">VTR!R227/Forex!M$38*1000+PR!R219</f>
        <v>-36.366254022225874</v>
      </c>
      <c r="S215" s="279">
        <f ca="1">VTR!S227/Forex!N$38*1000+PR!S219</f>
        <v>-191.94322435573923</v>
      </c>
      <c r="T215" s="279">
        <f ca="1">VTR!T227/Forex!O$38*1000+PR!T219</f>
        <v>-93.653947418829631</v>
      </c>
      <c r="U215" s="279">
        <f ca="1">VTR!U227/Forex!P$38*1000+PR!U219</f>
        <v>-59.983279513209752</v>
      </c>
      <c r="V215" s="279">
        <f ca="1">VTR!V227/Forex!Q$38*1000+PR!V219</f>
        <v>-31.339786051066881</v>
      </c>
      <c r="W215" s="279">
        <f ca="1">VTR!W227/Forex!R$38*1000+PR!W219</f>
        <v>-233.25190773996803</v>
      </c>
      <c r="X215" s="279">
        <f ca="1">VTR!X227/Forex!S$38*1000+PR!X219</f>
        <v>-309.56278039172031</v>
      </c>
      <c r="Y215" s="279">
        <f ca="1">VTR!Y227/Forex!T$38*1000+PR!Y219</f>
        <v>-1120.8617328579589</v>
      </c>
      <c r="Z215" s="279">
        <f ca="1">VTR!Z227/Forex!U$38*1000+PR!Z219</f>
        <v>-945.59168753179119</v>
      </c>
      <c r="AA215" s="279"/>
      <c r="AB215" s="91"/>
      <c r="AC215" s="91"/>
      <c r="AD215" s="92" t="s">
        <v>797</v>
      </c>
      <c r="AE215" s="278"/>
      <c r="AF215" s="278"/>
      <c r="AG215" s="278"/>
      <c r="AH215" s="278"/>
      <c r="AI215" s="278"/>
      <c r="AJ215" s="278"/>
      <c r="AK215" s="278"/>
      <c r="AL215" s="278"/>
      <c r="AM215" s="278"/>
      <c r="AN215" s="278"/>
      <c r="AO215" s="278"/>
      <c r="AP215" s="278"/>
      <c r="AQ215" s="278"/>
      <c r="AR215" s="278"/>
      <c r="AS215" s="278"/>
      <c r="AT215" s="278"/>
      <c r="AU215" s="278"/>
      <c r="AV215" s="278"/>
      <c r="AW215" s="278"/>
      <c r="AX215" s="278"/>
      <c r="AY215" s="278"/>
      <c r="AZ215" s="278">
        <v>0</v>
      </c>
      <c r="BA215" s="278">
        <v>0</v>
      </c>
      <c r="BB215" s="278">
        <v>0</v>
      </c>
      <c r="BC215" s="278">
        <v>0</v>
      </c>
      <c r="BD215" s="278">
        <v>0</v>
      </c>
      <c r="BE215" s="278">
        <v>0</v>
      </c>
      <c r="BF215" s="278">
        <v>0</v>
      </c>
      <c r="BG215" s="278">
        <v>0</v>
      </c>
      <c r="BH215" s="278">
        <v>0</v>
      </c>
      <c r="BI215" s="278">
        <v>0</v>
      </c>
      <c r="BJ215" s="278">
        <v>0</v>
      </c>
      <c r="BK215" s="278">
        <v>0</v>
      </c>
      <c r="BL215" s="278">
        <v>0</v>
      </c>
      <c r="BM215" s="278">
        <v>0</v>
      </c>
      <c r="BN215" s="278">
        <v>0</v>
      </c>
      <c r="BO215" s="278">
        <v>0</v>
      </c>
      <c r="BP215" s="278">
        <v>0</v>
      </c>
      <c r="BQ215" s="278">
        <v>0</v>
      </c>
      <c r="BR215" s="278">
        <v>0</v>
      </c>
      <c r="BS215" s="278">
        <v>0</v>
      </c>
      <c r="BT215" s="278">
        <v>0</v>
      </c>
      <c r="BU215" s="278">
        <v>0</v>
      </c>
      <c r="BV215" s="278">
        <v>0</v>
      </c>
      <c r="BW215" s="278">
        <v>0</v>
      </c>
      <c r="BX215" s="278">
        <v>0</v>
      </c>
      <c r="BY215" s="278">
        <v>0</v>
      </c>
      <c r="BZ215" s="278">
        <v>0</v>
      </c>
      <c r="CA215" s="278">
        <v>0</v>
      </c>
      <c r="CB215" s="278">
        <v>0</v>
      </c>
      <c r="CC215" s="278">
        <v>0</v>
      </c>
      <c r="CD215" s="278">
        <v>0</v>
      </c>
      <c r="CE215" s="278">
        <v>0</v>
      </c>
      <c r="CF215" s="278">
        <v>0</v>
      </c>
      <c r="CH215" s="92" t="str">
        <f t="shared" si="124"/>
        <v>VTR HY debt</v>
      </c>
    </row>
    <row r="216" spans="1:86">
      <c r="A216" s="92" t="s">
        <v>708</v>
      </c>
      <c r="B216" s="105"/>
      <c r="C216" s="105"/>
      <c r="D216" s="105"/>
      <c r="E216" s="105"/>
      <c r="F216" s="105"/>
      <c r="G216" s="105"/>
      <c r="H216" s="105"/>
      <c r="I216" s="105"/>
      <c r="J216" s="105"/>
      <c r="K216" s="105"/>
      <c r="L216" s="105"/>
      <c r="M216" s="105">
        <f t="shared" ref="M216:Z216" si="128">M214-M215</f>
        <v>710.60590322653411</v>
      </c>
      <c r="N216" s="105">
        <f t="shared" si="128"/>
        <v>595.75903962426912</v>
      </c>
      <c r="O216" s="105">
        <f t="shared" si="128"/>
        <v>1960.935338949801</v>
      </c>
      <c r="P216" s="105">
        <f t="shared" si="128"/>
        <v>2000.5571643556539</v>
      </c>
      <c r="Q216" s="105">
        <f t="shared" si="128"/>
        <v>2187.7453680660878</v>
      </c>
      <c r="R216" s="105">
        <f t="shared" ca="1" si="128"/>
        <v>2404.3460086405676</v>
      </c>
      <c r="S216" s="105">
        <f t="shared" ca="1" si="128"/>
        <v>2517.7513008695528</v>
      </c>
      <c r="T216" s="105">
        <f t="shared" ca="1" si="128"/>
        <v>2425.6031483225202</v>
      </c>
      <c r="U216" s="105">
        <f t="shared" ca="1" si="128"/>
        <v>2193.317622947553</v>
      </c>
      <c r="V216" s="105">
        <f t="shared" ca="1" si="128"/>
        <v>2213.7989187711723</v>
      </c>
      <c r="W216" s="105">
        <f t="shared" ca="1" si="128"/>
        <v>1974.6954358041148</v>
      </c>
      <c r="X216" s="105">
        <f t="shared" ca="1" si="128"/>
        <v>1992.6483583876432</v>
      </c>
      <c r="Y216" s="105">
        <f t="shared" ca="1" si="128"/>
        <v>1866.8289338443956</v>
      </c>
      <c r="Z216" s="105">
        <f t="shared" ca="1" si="128"/>
        <v>1691.5588885182278</v>
      </c>
      <c r="AA216" s="105"/>
      <c r="AB216" s="91"/>
      <c r="AC216" s="91"/>
      <c r="AD216" s="92" t="s">
        <v>798</v>
      </c>
      <c r="AE216" s="279"/>
      <c r="AF216" s="279"/>
      <c r="AG216" s="279"/>
      <c r="AH216" s="279"/>
      <c r="AI216" s="279"/>
      <c r="AJ216" s="279"/>
      <c r="AK216" s="279"/>
      <c r="AL216" s="279"/>
      <c r="AM216" s="279"/>
      <c r="AN216" s="279"/>
      <c r="AO216" s="279"/>
      <c r="AP216" s="279"/>
      <c r="AQ216" s="279"/>
      <c r="AR216" s="279"/>
      <c r="AS216" s="279"/>
      <c r="AT216" s="279"/>
      <c r="AU216" s="279"/>
      <c r="AV216" s="279"/>
      <c r="AW216" s="279"/>
      <c r="AX216" s="279"/>
      <c r="AY216" s="279"/>
      <c r="AZ216" s="279">
        <f>PR!AX216</f>
        <v>0</v>
      </c>
      <c r="BA216" s="279">
        <f>PR!AY216</f>
        <v>0</v>
      </c>
      <c r="BB216" s="279">
        <f>PR!AZ216</f>
        <v>0</v>
      </c>
      <c r="BC216" s="279">
        <f>PR!BA216</f>
        <v>0</v>
      </c>
      <c r="BD216" s="279">
        <f>PR!BB216</f>
        <v>0</v>
      </c>
      <c r="BE216" s="279">
        <f>PR!BC216</f>
        <v>0</v>
      </c>
      <c r="BF216" s="279">
        <f>PR!BD216</f>
        <v>0</v>
      </c>
      <c r="BG216" s="279">
        <f>PR!BE216</f>
        <v>0</v>
      </c>
      <c r="BH216" s="279">
        <f>PR!BF216</f>
        <v>0</v>
      </c>
      <c r="BI216" s="279">
        <f>PR!BG216</f>
        <v>0</v>
      </c>
      <c r="BJ216" s="279">
        <f>PR!BH216</f>
        <v>0</v>
      </c>
      <c r="BK216" s="279">
        <f>PR!BI216</f>
        <v>0</v>
      </c>
      <c r="BL216" s="279">
        <f>PR!BJ216</f>
        <v>0</v>
      </c>
      <c r="BM216" s="279">
        <f>PR!BK216</f>
        <v>0</v>
      </c>
      <c r="BN216" s="279">
        <f>PR!BL216</f>
        <v>0</v>
      </c>
      <c r="BO216" s="279">
        <f>PR!BM216</f>
        <v>0</v>
      </c>
      <c r="BP216" s="279">
        <f>PR!BN216</f>
        <v>0</v>
      </c>
      <c r="BQ216" s="279">
        <f>PR!BO216</f>
        <v>0</v>
      </c>
      <c r="BR216" s="279">
        <f>PR!BP216</f>
        <v>0</v>
      </c>
      <c r="BS216" s="279">
        <f>PR!BQ216</f>
        <v>0</v>
      </c>
      <c r="BT216" s="279">
        <f>PR!BR216</f>
        <v>0</v>
      </c>
      <c r="BU216" s="279">
        <f>PR!BS216</f>
        <v>0</v>
      </c>
      <c r="BV216" s="279">
        <f>PR!BT216</f>
        <v>0</v>
      </c>
      <c r="BW216" s="279">
        <f>PR!BU216</f>
        <v>0</v>
      </c>
      <c r="BX216" s="279">
        <f>PR!BV216</f>
        <v>0</v>
      </c>
      <c r="BY216" s="279">
        <f>PR!BW216</f>
        <v>0</v>
      </c>
      <c r="BZ216" s="279">
        <f>PR!BX216</f>
        <v>0</v>
      </c>
      <c r="CA216" s="279">
        <f>PR!BY216</f>
        <v>0</v>
      </c>
      <c r="CB216" s="279">
        <f>PR!BZ216</f>
        <v>0</v>
      </c>
      <c r="CC216" s="279">
        <f>PR!CA216</f>
        <v>0</v>
      </c>
      <c r="CD216" s="279">
        <f>PR!CB216</f>
        <v>0</v>
      </c>
      <c r="CE216" s="279">
        <f>PR!CC216</f>
        <v>0</v>
      </c>
      <c r="CF216" s="279">
        <f>PR!CD216</f>
        <v>0</v>
      </c>
      <c r="CH216" s="92" t="str">
        <f t="shared" si="124"/>
        <v>Liberty Puerto Rico HY debt</v>
      </c>
    </row>
    <row r="217" spans="1:86">
      <c r="A217" s="92" t="s">
        <v>709</v>
      </c>
      <c r="G217" s="278"/>
      <c r="H217" s="278"/>
      <c r="I217" s="278"/>
      <c r="J217" s="278"/>
      <c r="K217" s="278"/>
      <c r="L217" s="278"/>
      <c r="M217" s="278">
        <f>VTR!M229/Forex!H$38*1000+PR!M221</f>
        <v>549.62900505902189</v>
      </c>
      <c r="N217" s="278">
        <f>VTR!N229/Forex!I$38*1000+PR!N221</f>
        <v>599.83749116964373</v>
      </c>
      <c r="O217" s="278">
        <f>VTR!O229/Forex!J$38*1000+PR!O221</f>
        <v>14.5</v>
      </c>
      <c r="P217" s="278">
        <f>VTR!P229/Forex!K$38*1000+PR!P221</f>
        <v>16</v>
      </c>
      <c r="Q217" s="278">
        <f>VTR!Q229/Forex!L$38*1000+PR!Q221</f>
        <v>0</v>
      </c>
      <c r="R217" s="278">
        <f>VTR!R229/Forex!M$38*1000+PR!R221</f>
        <v>0</v>
      </c>
      <c r="S217" s="278">
        <f>VTR!S229/Forex!N$38*1000+PR!S221</f>
        <v>0</v>
      </c>
      <c r="T217" s="278">
        <f>VTR!T229/Forex!O$38*1000+PR!T221</f>
        <v>0</v>
      </c>
      <c r="U217" s="278">
        <f>VTR!U229/Forex!P$38*1000+PR!U221</f>
        <v>0</v>
      </c>
      <c r="V217" s="278">
        <f>VTR!V229/Forex!Q$38*1000+PR!V221</f>
        <v>0</v>
      </c>
      <c r="W217" s="278">
        <f>VTR!W229/Forex!R$38*1000+PR!W221</f>
        <v>0</v>
      </c>
      <c r="X217" s="278">
        <f>VTR!X229/Forex!S$38*1000+PR!X221</f>
        <v>0</v>
      </c>
      <c r="Y217" s="278">
        <f>VTR!Y229/Forex!T$38*1000+PR!Y221</f>
        <v>0</v>
      </c>
      <c r="Z217" s="278">
        <f>VTR!Z229/Forex!U$38*1000+PR!Z221</f>
        <v>0</v>
      </c>
      <c r="AA217" s="278"/>
      <c r="AB217" s="91"/>
      <c r="AC217" s="91"/>
      <c r="AD217" s="281" t="s">
        <v>799</v>
      </c>
      <c r="AE217" s="282"/>
      <c r="AF217" s="282"/>
      <c r="AG217" s="282"/>
      <c r="AH217" s="282"/>
      <c r="AI217" s="282"/>
      <c r="AJ217" s="282"/>
      <c r="AK217" s="282"/>
      <c r="AL217" s="282"/>
      <c r="AM217" s="282"/>
      <c r="AN217" s="282"/>
      <c r="AO217" s="282"/>
      <c r="AP217" s="282"/>
      <c r="AQ217" s="282"/>
      <c r="AR217" s="282"/>
      <c r="AS217" s="282"/>
      <c r="AT217" s="282"/>
      <c r="AU217" s="282"/>
      <c r="AV217" s="282"/>
      <c r="AW217" s="282"/>
      <c r="AX217" s="282"/>
      <c r="AY217" s="282"/>
      <c r="AZ217" s="282">
        <f t="shared" ref="AZ217:CD217" si="129">AZ215+AZ216</f>
        <v>0</v>
      </c>
      <c r="BA217" s="282">
        <f t="shared" si="129"/>
        <v>0</v>
      </c>
      <c r="BB217" s="282">
        <f t="shared" si="129"/>
        <v>0</v>
      </c>
      <c r="BC217" s="282">
        <f t="shared" si="129"/>
        <v>0</v>
      </c>
      <c r="BD217" s="282">
        <f t="shared" si="129"/>
        <v>0</v>
      </c>
      <c r="BE217" s="282">
        <f t="shared" si="129"/>
        <v>0</v>
      </c>
      <c r="BF217" s="282">
        <f t="shared" si="129"/>
        <v>0</v>
      </c>
      <c r="BG217" s="282">
        <f t="shared" si="129"/>
        <v>0</v>
      </c>
      <c r="BH217" s="282">
        <f t="shared" si="129"/>
        <v>0</v>
      </c>
      <c r="BI217" s="282">
        <f t="shared" si="129"/>
        <v>0</v>
      </c>
      <c r="BJ217" s="282">
        <f t="shared" si="129"/>
        <v>0</v>
      </c>
      <c r="BK217" s="282">
        <f t="shared" si="129"/>
        <v>0</v>
      </c>
      <c r="BL217" s="282">
        <f t="shared" si="129"/>
        <v>0</v>
      </c>
      <c r="BM217" s="282">
        <f t="shared" si="129"/>
        <v>0</v>
      </c>
      <c r="BN217" s="282">
        <f t="shared" si="129"/>
        <v>0</v>
      </c>
      <c r="BO217" s="282">
        <f t="shared" si="129"/>
        <v>0</v>
      </c>
      <c r="BP217" s="282">
        <f t="shared" si="129"/>
        <v>0</v>
      </c>
      <c r="BQ217" s="282">
        <f t="shared" si="129"/>
        <v>0</v>
      </c>
      <c r="BR217" s="282">
        <f t="shared" si="129"/>
        <v>0</v>
      </c>
      <c r="BS217" s="282">
        <f t="shared" si="129"/>
        <v>0</v>
      </c>
      <c r="BT217" s="282">
        <f t="shared" si="129"/>
        <v>0</v>
      </c>
      <c r="BU217" s="282">
        <f t="shared" si="129"/>
        <v>0</v>
      </c>
      <c r="BV217" s="282">
        <f t="shared" si="129"/>
        <v>0</v>
      </c>
      <c r="BW217" s="282">
        <f t="shared" si="129"/>
        <v>0</v>
      </c>
      <c r="BX217" s="282">
        <f t="shared" si="129"/>
        <v>0</v>
      </c>
      <c r="BY217" s="282">
        <f t="shared" si="129"/>
        <v>0</v>
      </c>
      <c r="BZ217" s="282">
        <f t="shared" si="129"/>
        <v>0</v>
      </c>
      <c r="CA217" s="282">
        <f t="shared" si="129"/>
        <v>0</v>
      </c>
      <c r="CB217" s="282">
        <f t="shared" si="129"/>
        <v>0</v>
      </c>
      <c r="CC217" s="282">
        <f t="shared" si="129"/>
        <v>0</v>
      </c>
      <c r="CD217" s="282">
        <f t="shared" si="129"/>
        <v>0</v>
      </c>
      <c r="CE217" s="282">
        <f>CE215+CE216</f>
        <v>0</v>
      </c>
      <c r="CF217" s="282">
        <f>CF215+CF216</f>
        <v>0</v>
      </c>
      <c r="CH217" s="92" t="str">
        <f t="shared" si="124"/>
        <v>Total HY debt</v>
      </c>
    </row>
    <row r="218" spans="1:86">
      <c r="A218" s="92" t="s">
        <v>710</v>
      </c>
      <c r="G218" s="161"/>
      <c r="H218" s="161"/>
      <c r="I218" s="161"/>
      <c r="J218" s="161"/>
      <c r="K218" s="161"/>
      <c r="L218" s="161"/>
      <c r="M218" s="161">
        <f t="shared" ref="M218:Y218" si="130">M216+M217</f>
        <v>1260.234908285556</v>
      </c>
      <c r="N218" s="161">
        <f t="shared" si="130"/>
        <v>1195.5965307939127</v>
      </c>
      <c r="O218" s="161">
        <f t="shared" si="130"/>
        <v>1975.435338949801</v>
      </c>
      <c r="P218" s="161">
        <f t="shared" si="130"/>
        <v>2016.5571643556539</v>
      </c>
      <c r="Q218" s="161">
        <f t="shared" si="130"/>
        <v>2187.7453680660878</v>
      </c>
      <c r="R218" s="161">
        <f t="shared" ca="1" si="130"/>
        <v>2404.3460086405676</v>
      </c>
      <c r="S218" s="161">
        <f t="shared" ca="1" si="130"/>
        <v>2517.7513008695528</v>
      </c>
      <c r="T218" s="161">
        <f t="shared" ca="1" si="130"/>
        <v>2425.6031483225202</v>
      </c>
      <c r="U218" s="161">
        <f t="shared" ca="1" si="130"/>
        <v>2193.317622947553</v>
      </c>
      <c r="V218" s="161">
        <f t="shared" ca="1" si="130"/>
        <v>2213.7989187711723</v>
      </c>
      <c r="W218" s="161">
        <f t="shared" ca="1" si="130"/>
        <v>1974.6954358041148</v>
      </c>
      <c r="X218" s="161">
        <f t="shared" ca="1" si="130"/>
        <v>1992.6483583876432</v>
      </c>
      <c r="Y218" s="161">
        <f t="shared" ca="1" si="130"/>
        <v>1866.8289338443956</v>
      </c>
      <c r="Z218" s="161">
        <f ca="1">Z216+Z217</f>
        <v>1691.5588885182278</v>
      </c>
      <c r="AA218" s="161"/>
      <c r="AB218" s="91"/>
      <c r="AC218" s="91"/>
      <c r="AD218" s="92" t="s">
        <v>800</v>
      </c>
      <c r="AE218" s="278"/>
      <c r="AF218" s="278"/>
      <c r="AG218" s="278"/>
      <c r="AH218" s="278"/>
      <c r="AI218" s="278"/>
      <c r="AJ218" s="278"/>
      <c r="AK218" s="278"/>
      <c r="AL218" s="278"/>
      <c r="AM218" s="278"/>
      <c r="AN218" s="278"/>
      <c r="AO218" s="278"/>
      <c r="AP218" s="278"/>
      <c r="AQ218" s="278"/>
      <c r="AR218" s="278"/>
      <c r="AS218" s="278"/>
      <c r="AT218" s="278"/>
      <c r="AU218" s="278"/>
      <c r="AV218" s="278"/>
      <c r="AW218" s="278"/>
      <c r="AX218" s="278"/>
      <c r="AY218" s="278"/>
      <c r="AZ218" s="278">
        <v>0</v>
      </c>
      <c r="BA218" s="278">
        <v>0</v>
      </c>
      <c r="BB218" s="278">
        <v>0</v>
      </c>
      <c r="BC218" s="278">
        <v>0</v>
      </c>
      <c r="BD218" s="278">
        <v>0</v>
      </c>
      <c r="BE218" s="278">
        <v>0</v>
      </c>
      <c r="BF218" s="278">
        <v>0</v>
      </c>
      <c r="BG218" s="278">
        <v>0</v>
      </c>
      <c r="BH218" s="278">
        <v>0</v>
      </c>
      <c r="BI218" s="278">
        <v>0</v>
      </c>
      <c r="BJ218" s="278">
        <v>0</v>
      </c>
      <c r="BK218" s="278">
        <v>0</v>
      </c>
      <c r="BL218" s="278">
        <v>0</v>
      </c>
      <c r="BM218" s="278">
        <v>0</v>
      </c>
      <c r="BN218" s="278">
        <v>0</v>
      </c>
      <c r="BO218" s="278">
        <v>0</v>
      </c>
      <c r="BP218" s="278">
        <v>0</v>
      </c>
      <c r="BQ218" s="278">
        <v>0</v>
      </c>
      <c r="BR218" s="278">
        <v>0</v>
      </c>
      <c r="BS218" s="278">
        <v>0</v>
      </c>
      <c r="BT218" s="278">
        <v>0</v>
      </c>
      <c r="BU218" s="278">
        <v>0</v>
      </c>
      <c r="BV218" s="278">
        <v>0</v>
      </c>
      <c r="BW218" s="278">
        <v>0</v>
      </c>
      <c r="BX218" s="278">
        <v>0</v>
      </c>
      <c r="BY218" s="278">
        <v>0</v>
      </c>
      <c r="BZ218" s="278">
        <v>0</v>
      </c>
      <c r="CA218" s="278">
        <v>0</v>
      </c>
      <c r="CB218" s="278">
        <v>0</v>
      </c>
      <c r="CC218" s="278">
        <v>0</v>
      </c>
      <c r="CD218" s="278">
        <v>0</v>
      </c>
      <c r="CE218" s="278">
        <v>0</v>
      </c>
      <c r="CF218" s="278">
        <v>0</v>
      </c>
      <c r="CH218" s="92" t="str">
        <f t="shared" si="124"/>
        <v>VTR Other</v>
      </c>
    </row>
    <row r="219" spans="1:86">
      <c r="A219" s="92" t="s">
        <v>711</v>
      </c>
      <c r="G219" s="161"/>
      <c r="H219" s="161"/>
      <c r="I219" s="161"/>
      <c r="J219" s="161"/>
      <c r="K219" s="161"/>
      <c r="L219" s="161"/>
      <c r="M219" s="161">
        <f t="shared" ref="M219:Y219" si="131">M218+M215</f>
        <v>1306.2329833894098</v>
      </c>
      <c r="N219" s="161">
        <f t="shared" si="131"/>
        <v>1380.4926353453307</v>
      </c>
      <c r="O219" s="161">
        <f t="shared" si="131"/>
        <v>2087.9163186961041</v>
      </c>
      <c r="P219" s="161">
        <f t="shared" si="131"/>
        <v>2208.9144281074168</v>
      </c>
      <c r="Q219" s="161">
        <f t="shared" si="131"/>
        <v>2390.0234843317448</v>
      </c>
      <c r="R219" s="161">
        <f t="shared" ca="1" si="131"/>
        <v>2367.9797546183418</v>
      </c>
      <c r="S219" s="161">
        <f t="shared" ca="1" si="131"/>
        <v>2325.8080765138134</v>
      </c>
      <c r="T219" s="161">
        <f t="shared" ca="1" si="131"/>
        <v>2331.9492009036903</v>
      </c>
      <c r="U219" s="161">
        <f t="shared" ca="1" si="131"/>
        <v>2133.3343434343433</v>
      </c>
      <c r="V219" s="161">
        <f t="shared" ca="1" si="131"/>
        <v>2182.4591327201056</v>
      </c>
      <c r="W219" s="161">
        <f t="shared" ca="1" si="131"/>
        <v>1741.4435280641469</v>
      </c>
      <c r="X219" s="161">
        <f t="shared" ca="1" si="131"/>
        <v>1683.0855779959229</v>
      </c>
      <c r="Y219" s="161">
        <f t="shared" ca="1" si="131"/>
        <v>745.96720098643664</v>
      </c>
      <c r="Z219" s="161">
        <f ca="1">Z218+Z215</f>
        <v>745.96720098643664</v>
      </c>
      <c r="AA219" s="161"/>
      <c r="AB219" s="91"/>
      <c r="AC219" s="91"/>
      <c r="AD219" s="175" t="s">
        <v>801</v>
      </c>
      <c r="AE219" s="279"/>
      <c r="AF219" s="279"/>
      <c r="AG219" s="279"/>
      <c r="AH219" s="279"/>
      <c r="AI219" s="279"/>
      <c r="AJ219" s="279"/>
      <c r="AK219" s="279"/>
      <c r="AL219" s="279"/>
      <c r="AM219" s="279"/>
      <c r="AN219" s="279"/>
      <c r="AO219" s="279"/>
      <c r="AP219" s="279"/>
      <c r="AQ219" s="279"/>
      <c r="AR219" s="279"/>
      <c r="AS219" s="279"/>
      <c r="AT219" s="279"/>
      <c r="AU219" s="279"/>
      <c r="AV219" s="279"/>
      <c r="AW219" s="279"/>
      <c r="AX219" s="279"/>
      <c r="AY219" s="279"/>
      <c r="AZ219" s="279">
        <f>PR!AX217</f>
        <v>0</v>
      </c>
      <c r="BA219" s="279">
        <f>PR!AY217</f>
        <v>0</v>
      </c>
      <c r="BB219" s="279">
        <f>PR!AZ217</f>
        <v>0</v>
      </c>
      <c r="BC219" s="279">
        <f>PR!BA217</f>
        <v>0</v>
      </c>
      <c r="BD219" s="279">
        <f>PR!BB217</f>
        <v>0</v>
      </c>
      <c r="BE219" s="279">
        <f>PR!BC217</f>
        <v>0</v>
      </c>
      <c r="BF219" s="279">
        <f>PR!BD217</f>
        <v>0</v>
      </c>
      <c r="BG219" s="279">
        <f>PR!BE217</f>
        <v>0</v>
      </c>
      <c r="BH219" s="279">
        <f>PR!BF217</f>
        <v>0</v>
      </c>
      <c r="BI219" s="279">
        <f>PR!BG217</f>
        <v>0</v>
      </c>
      <c r="BJ219" s="279">
        <f>PR!BH217</f>
        <v>0</v>
      </c>
      <c r="BK219" s="279">
        <f>PR!BI217</f>
        <v>0</v>
      </c>
      <c r="BL219" s="279">
        <f>PR!BJ217</f>
        <v>0</v>
      </c>
      <c r="BM219" s="279">
        <f>PR!BK217</f>
        <v>0</v>
      </c>
      <c r="BN219" s="279">
        <f>PR!BL217</f>
        <v>0</v>
      </c>
      <c r="BO219" s="279">
        <f>PR!BM217</f>
        <v>0</v>
      </c>
      <c r="BP219" s="279">
        <f>PR!BN217</f>
        <v>0</v>
      </c>
      <c r="BQ219" s="279">
        <f>PR!BO217</f>
        <v>0</v>
      </c>
      <c r="BR219" s="279">
        <f>PR!BP217</f>
        <v>0</v>
      </c>
      <c r="BS219" s="279">
        <f>PR!BQ217</f>
        <v>0</v>
      </c>
      <c r="BT219" s="279">
        <f>PR!BR217</f>
        <v>0</v>
      </c>
      <c r="BU219" s="279">
        <f>PR!BS217</f>
        <v>0</v>
      </c>
      <c r="BV219" s="279">
        <f>PR!BT217</f>
        <v>0</v>
      </c>
      <c r="BW219" s="279">
        <f>PR!BU217</f>
        <v>0</v>
      </c>
      <c r="BX219" s="279">
        <f>PR!BV217</f>
        <v>0</v>
      </c>
      <c r="BY219" s="279">
        <f>PR!BW217</f>
        <v>0</v>
      </c>
      <c r="BZ219" s="279">
        <f>PR!BX217</f>
        <v>0</v>
      </c>
      <c r="CA219" s="279">
        <f>PR!BY217</f>
        <v>0</v>
      </c>
      <c r="CB219" s="279">
        <f>PR!BZ217</f>
        <v>0</v>
      </c>
      <c r="CC219" s="279">
        <f>PR!CA217</f>
        <v>0</v>
      </c>
      <c r="CD219" s="279">
        <f>PR!CB217</f>
        <v>0</v>
      </c>
      <c r="CE219" s="279">
        <f>PR!CC217</f>
        <v>0</v>
      </c>
      <c r="CF219" s="279">
        <f>PR!CD217</f>
        <v>0</v>
      </c>
      <c r="CH219" s="92" t="str">
        <f t="shared" si="124"/>
        <v>Liberty Puerto Rico Other</v>
      </c>
    </row>
    <row r="220" spans="1:86">
      <c r="AB220" s="91"/>
      <c r="AC220" s="91"/>
      <c r="AD220" s="281" t="s">
        <v>741</v>
      </c>
      <c r="AE220" s="282"/>
      <c r="AF220" s="282"/>
      <c r="AG220" s="282"/>
      <c r="AH220" s="282"/>
      <c r="AI220" s="282"/>
      <c r="AJ220" s="282"/>
      <c r="AK220" s="282"/>
      <c r="AL220" s="282"/>
      <c r="AM220" s="282"/>
      <c r="AN220" s="282"/>
      <c r="AO220" s="282"/>
      <c r="AP220" s="282"/>
      <c r="AQ220" s="282"/>
      <c r="AR220" s="282"/>
      <c r="AS220" s="282"/>
      <c r="AT220" s="282"/>
      <c r="AU220" s="282"/>
      <c r="AV220" s="282"/>
      <c r="AW220" s="282"/>
      <c r="AX220" s="282"/>
      <c r="AY220" s="282"/>
      <c r="AZ220" s="282">
        <f>SUM(AZ214+AZ217+AZ218+AZ219)</f>
        <v>0</v>
      </c>
      <c r="BA220" s="282">
        <f t="shared" ref="BA220:CD220" si="132">SUM(BA214+BA217+BA218+BA219)</f>
        <v>0</v>
      </c>
      <c r="BB220" s="282">
        <f t="shared" si="132"/>
        <v>0</v>
      </c>
      <c r="BC220" s="282">
        <f t="shared" si="132"/>
        <v>0</v>
      </c>
      <c r="BD220" s="282">
        <f t="shared" si="132"/>
        <v>0</v>
      </c>
      <c r="BE220" s="282">
        <f t="shared" si="132"/>
        <v>0</v>
      </c>
      <c r="BF220" s="282">
        <f t="shared" si="132"/>
        <v>0</v>
      </c>
      <c r="BG220" s="282">
        <f t="shared" si="132"/>
        <v>0</v>
      </c>
      <c r="BH220" s="282">
        <f t="shared" si="132"/>
        <v>0</v>
      </c>
      <c r="BI220" s="282">
        <f t="shared" si="132"/>
        <v>0</v>
      </c>
      <c r="BJ220" s="282">
        <f t="shared" si="132"/>
        <v>0</v>
      </c>
      <c r="BK220" s="282">
        <f t="shared" si="132"/>
        <v>0</v>
      </c>
      <c r="BL220" s="282">
        <f t="shared" si="132"/>
        <v>0</v>
      </c>
      <c r="BM220" s="282">
        <f t="shared" si="132"/>
        <v>0</v>
      </c>
      <c r="BN220" s="282">
        <f t="shared" si="132"/>
        <v>0</v>
      </c>
      <c r="BO220" s="282">
        <f t="shared" si="132"/>
        <v>0</v>
      </c>
      <c r="BP220" s="282">
        <f t="shared" si="132"/>
        <v>0</v>
      </c>
      <c r="BQ220" s="282">
        <f t="shared" si="132"/>
        <v>0</v>
      </c>
      <c r="BR220" s="282">
        <f t="shared" si="132"/>
        <v>0</v>
      </c>
      <c r="BS220" s="282">
        <f t="shared" si="132"/>
        <v>0</v>
      </c>
      <c r="BT220" s="282">
        <f t="shared" si="132"/>
        <v>0</v>
      </c>
      <c r="BU220" s="282">
        <f t="shared" si="132"/>
        <v>0</v>
      </c>
      <c r="BV220" s="282">
        <f t="shared" si="132"/>
        <v>0</v>
      </c>
      <c r="BW220" s="282">
        <f t="shared" si="132"/>
        <v>756.79803264964426</v>
      </c>
      <c r="BX220" s="282">
        <f t="shared" si="132"/>
        <v>0</v>
      </c>
      <c r="BY220" s="282">
        <f t="shared" si="132"/>
        <v>0</v>
      </c>
      <c r="BZ220" s="282">
        <f t="shared" si="132"/>
        <v>0</v>
      </c>
      <c r="CA220" s="282">
        <f t="shared" si="132"/>
        <v>782.45177162308528</v>
      </c>
      <c r="CB220" s="282">
        <f t="shared" si="132"/>
        <v>2052.8746309745898</v>
      </c>
      <c r="CC220" s="282">
        <f t="shared" si="132"/>
        <v>2049.875397068633</v>
      </c>
      <c r="CD220" s="282">
        <f t="shared" si="132"/>
        <v>2123.8261979337917</v>
      </c>
      <c r="CE220" s="282">
        <f>SUM(CE214+CE217+CE218+CE219)</f>
        <v>2093.1934804765165</v>
      </c>
      <c r="CF220" s="282">
        <f>SUM(CF214+CF217+CF218+CF219)</f>
        <v>2074.7347448808055</v>
      </c>
      <c r="CH220" s="92" t="str">
        <f t="shared" si="124"/>
        <v>Total debt</v>
      </c>
    </row>
    <row r="221" spans="1:86">
      <c r="A221" s="92" t="s">
        <v>712</v>
      </c>
      <c r="G221" s="283"/>
      <c r="H221" s="283"/>
      <c r="I221" s="283"/>
      <c r="J221" s="283"/>
      <c r="K221" s="283"/>
      <c r="L221" s="283"/>
      <c r="M221" s="283">
        <f t="shared" ref="M221:Z221" si="133">M216/M115</f>
        <v>1.9398894458321483</v>
      </c>
      <c r="N221" s="283">
        <f t="shared" si="133"/>
        <v>1.2942493464297147</v>
      </c>
      <c r="O221" s="283">
        <f t="shared" si="133"/>
        <v>4.1102627218815533</v>
      </c>
      <c r="P221" s="283">
        <f t="shared" si="133"/>
        <v>4.0646892862539961</v>
      </c>
      <c r="Q221" s="283">
        <f>Q216/Q115</f>
        <v>4.0694662483769291</v>
      </c>
      <c r="R221" s="283">
        <f t="shared" ca="1" si="133"/>
        <v>4.6636306764140327</v>
      </c>
      <c r="S221" s="283">
        <f t="shared" ca="1" si="133"/>
        <v>4.660533192981438</v>
      </c>
      <c r="T221" s="283">
        <f t="shared" ca="1" si="133"/>
        <v>4.2842131048269581</v>
      </c>
      <c r="U221" s="283">
        <f t="shared" ca="1" si="133"/>
        <v>4.0408686606079671</v>
      </c>
      <c r="V221" s="283">
        <f t="shared" ca="1" si="133"/>
        <v>3.7933218419536527</v>
      </c>
      <c r="W221" s="283">
        <f t="shared" ca="1" si="133"/>
        <v>3.5495575968091808</v>
      </c>
      <c r="X221" s="283">
        <f t="shared" ca="1" si="133"/>
        <v>3.2555687786734824</v>
      </c>
      <c r="Y221" s="283">
        <f t="shared" ca="1" si="133"/>
        <v>2.9726418158770516</v>
      </c>
      <c r="Z221" s="283">
        <f t="shared" ca="1" si="133"/>
        <v>2.5999437051483367</v>
      </c>
      <c r="AA221" s="283"/>
      <c r="AB221" s="91"/>
      <c r="AC221" s="91"/>
      <c r="AD221" s="92" t="s">
        <v>802</v>
      </c>
      <c r="AE221" s="278"/>
      <c r="AF221" s="278"/>
      <c r="AG221" s="278"/>
      <c r="AH221" s="278"/>
      <c r="AI221" s="278"/>
      <c r="AJ221" s="278"/>
      <c r="AK221" s="278"/>
      <c r="AL221" s="278"/>
      <c r="AM221" s="278"/>
      <c r="AN221" s="278"/>
      <c r="AO221" s="278"/>
      <c r="AP221" s="278"/>
      <c r="AQ221" s="278"/>
      <c r="AR221" s="278"/>
      <c r="AS221" s="278"/>
      <c r="AT221" s="278"/>
      <c r="AU221" s="278"/>
      <c r="AV221" s="278"/>
      <c r="AW221" s="278"/>
      <c r="AX221" s="278"/>
      <c r="AY221" s="278"/>
      <c r="AZ221" s="278">
        <v>0</v>
      </c>
      <c r="BA221" s="278">
        <v>0</v>
      </c>
      <c r="BB221" s="278">
        <v>0</v>
      </c>
      <c r="BC221" s="278">
        <v>0</v>
      </c>
      <c r="BD221" s="278">
        <v>0</v>
      </c>
      <c r="BE221" s="278">
        <v>0</v>
      </c>
      <c r="BF221" s="278">
        <v>0</v>
      </c>
      <c r="BG221" s="278">
        <v>0</v>
      </c>
      <c r="BH221" s="278">
        <v>0</v>
      </c>
      <c r="BI221" s="278">
        <v>0</v>
      </c>
      <c r="BJ221" s="278">
        <v>0</v>
      </c>
      <c r="BK221" s="278">
        <v>0</v>
      </c>
      <c r="BL221" s="278">
        <v>0</v>
      </c>
      <c r="BM221" s="278">
        <v>0</v>
      </c>
      <c r="BN221" s="278">
        <v>0</v>
      </c>
      <c r="BO221" s="278">
        <v>0</v>
      </c>
      <c r="BP221" s="278">
        <v>0</v>
      </c>
      <c r="BQ221" s="278">
        <v>0</v>
      </c>
      <c r="BR221" s="278">
        <v>0</v>
      </c>
      <c r="BS221" s="278">
        <v>0</v>
      </c>
      <c r="BT221" s="278">
        <v>0</v>
      </c>
      <c r="BU221" s="278">
        <v>0</v>
      </c>
      <c r="BV221" s="278">
        <v>0</v>
      </c>
      <c r="BW221" s="278">
        <v>44.370029300962749</v>
      </c>
      <c r="BX221" s="278">
        <v>0</v>
      </c>
      <c r="BY221" s="278">
        <v>0</v>
      </c>
      <c r="BZ221" s="278">
        <v>0</v>
      </c>
      <c r="CA221" s="278">
        <v>168.07210273866627</v>
      </c>
      <c r="CB221" s="278">
        <v>105.2288410338145</v>
      </c>
      <c r="CC221" s="278">
        <v>110.15161621806774</v>
      </c>
      <c r="CD221" s="278">
        <v>61.778600723346088</v>
      </c>
      <c r="CE221" s="278">
        <v>86.381179930159917</v>
      </c>
      <c r="CF221" s="278">
        <v>49.791069627447534</v>
      </c>
      <c r="CH221" s="92" t="str">
        <f t="shared" si="124"/>
        <v>VTR Cash</v>
      </c>
    </row>
    <row r="222" spans="1:86">
      <c r="A222" s="92" t="s">
        <v>713</v>
      </c>
      <c r="M222" s="283">
        <f t="shared" ref="M222:Z222" si="134">M214/M115</f>
        <v>2.0654600047275968</v>
      </c>
      <c r="N222" s="283">
        <f t="shared" si="134"/>
        <v>1.6959245985987705</v>
      </c>
      <c r="O222" s="283">
        <f t="shared" si="134"/>
        <v>4.3460310150979673</v>
      </c>
      <c r="P222" s="283">
        <f t="shared" si="134"/>
        <v>4.4555166632646168</v>
      </c>
      <c r="Q222" s="283">
        <f t="shared" si="134"/>
        <v>4.4457275715381401</v>
      </c>
      <c r="R222" s="283">
        <f t="shared" si="134"/>
        <v>4.5930922525620472</v>
      </c>
      <c r="S222" s="283">
        <f t="shared" si="134"/>
        <v>4.3052329026116727</v>
      </c>
      <c r="T222" s="283">
        <f t="shared" ca="1" si="134"/>
        <v>4.1187971466855746</v>
      </c>
      <c r="U222" s="283">
        <f t="shared" ca="1" si="134"/>
        <v>3.9303581938112422</v>
      </c>
      <c r="V222" s="283">
        <f t="shared" ca="1" si="134"/>
        <v>3.7396214385693858</v>
      </c>
      <c r="W222" s="283">
        <f t="shared" ca="1" si="134"/>
        <v>3.1302822665091985</v>
      </c>
      <c r="X222" s="283">
        <f t="shared" ca="1" si="134"/>
        <v>2.7498082320920942</v>
      </c>
      <c r="Y222" s="283">
        <f t="shared" ca="1" si="134"/>
        <v>1.1878395790440834</v>
      </c>
      <c r="Z222" s="283">
        <f t="shared" ca="1" si="134"/>
        <v>1.1465593906403988</v>
      </c>
      <c r="AA222" s="283"/>
      <c r="AB222" s="91"/>
      <c r="AC222" s="91"/>
      <c r="AD222" s="92" t="s">
        <v>803</v>
      </c>
      <c r="AE222" s="279"/>
      <c r="AF222" s="279"/>
      <c r="AG222" s="279"/>
      <c r="AH222" s="279"/>
      <c r="AI222" s="279"/>
      <c r="AJ222" s="279"/>
      <c r="AK222" s="279"/>
      <c r="AL222" s="279"/>
      <c r="AM222" s="279"/>
      <c r="AN222" s="279"/>
      <c r="AO222" s="279"/>
      <c r="AP222" s="279"/>
      <c r="AQ222" s="279"/>
      <c r="AR222" s="279"/>
      <c r="AS222" s="279"/>
      <c r="AT222" s="279"/>
      <c r="AU222" s="279"/>
      <c r="AV222" s="279"/>
      <c r="AW222" s="279"/>
      <c r="AX222" s="279"/>
      <c r="AY222" s="279"/>
      <c r="AZ222" s="279">
        <f>PR!AX219</f>
        <v>0</v>
      </c>
      <c r="BA222" s="279">
        <f>PR!AY219</f>
        <v>0</v>
      </c>
      <c r="BB222" s="279">
        <f>PR!AZ219</f>
        <v>0</v>
      </c>
      <c r="BC222" s="279">
        <f>PR!BA219</f>
        <v>0</v>
      </c>
      <c r="BD222" s="279">
        <f>PR!BB219</f>
        <v>0</v>
      </c>
      <c r="BE222" s="279">
        <f>PR!BC219</f>
        <v>0</v>
      </c>
      <c r="BF222" s="279">
        <f>PR!BD219</f>
        <v>0</v>
      </c>
      <c r="BG222" s="279">
        <f>PR!BE219</f>
        <v>0</v>
      </c>
      <c r="BH222" s="279">
        <f>PR!BF219</f>
        <v>0</v>
      </c>
      <c r="BI222" s="279">
        <f>PR!BG219</f>
        <v>0</v>
      </c>
      <c r="BJ222" s="279">
        <f>PR!BH219</f>
        <v>0</v>
      </c>
      <c r="BK222" s="279">
        <f>PR!BI219</f>
        <v>0</v>
      </c>
      <c r="BL222" s="279">
        <f>PR!BJ219</f>
        <v>0</v>
      </c>
      <c r="BM222" s="279">
        <f>PR!BK219</f>
        <v>0</v>
      </c>
      <c r="BN222" s="279">
        <f>PR!BL219</f>
        <v>0</v>
      </c>
      <c r="BO222" s="279">
        <f>PR!BM219</f>
        <v>0</v>
      </c>
      <c r="BP222" s="279">
        <f>PR!BN219</f>
        <v>0</v>
      </c>
      <c r="BQ222" s="279">
        <f>PR!BO219</f>
        <v>0</v>
      </c>
      <c r="BR222" s="279">
        <f>PR!BP219</f>
        <v>0</v>
      </c>
      <c r="BS222" s="279">
        <f>PR!BQ219</f>
        <v>0</v>
      </c>
      <c r="BT222" s="279">
        <f>PR!BR219</f>
        <v>0</v>
      </c>
      <c r="BU222" s="279">
        <f>PR!BS219</f>
        <v>0</v>
      </c>
      <c r="BV222" s="279">
        <f>PR!BT219</f>
        <v>0</v>
      </c>
      <c r="BW222" s="279">
        <f>PR!BU219</f>
        <v>2.4</v>
      </c>
      <c r="BX222" s="279">
        <f>PR!BV219</f>
        <v>0</v>
      </c>
      <c r="BY222" s="279">
        <f>PR!BW219</f>
        <v>0</v>
      </c>
      <c r="BZ222" s="279">
        <f>PR!BX219</f>
        <v>0</v>
      </c>
      <c r="CA222" s="279">
        <f>PR!BY219</f>
        <v>9.5</v>
      </c>
      <c r="CB222" s="279">
        <f>PR!BZ219</f>
        <v>8.9</v>
      </c>
      <c r="CC222" s="279">
        <f>PR!CA219</f>
        <v>1.5</v>
      </c>
      <c r="CD222" s="279">
        <f>PR!CB219</f>
        <v>11.5</v>
      </c>
      <c r="CE222" s="279">
        <f>PR!CC219</f>
        <v>21.9</v>
      </c>
      <c r="CF222" s="279">
        <f>PR!CD219</f>
        <v>30.2</v>
      </c>
      <c r="CH222" s="92" t="str">
        <f t="shared" si="124"/>
        <v>Liberty Puerto Rico Cash</v>
      </c>
    </row>
    <row r="223" spans="1:86">
      <c r="AB223" s="91"/>
      <c r="AC223" s="91"/>
      <c r="AD223" s="281" t="s">
        <v>708</v>
      </c>
      <c r="AE223" s="282"/>
      <c r="AF223" s="282"/>
      <c r="AG223" s="282"/>
      <c r="AH223" s="282"/>
      <c r="AI223" s="282"/>
      <c r="AJ223" s="282"/>
      <c r="AK223" s="282"/>
      <c r="AL223" s="282"/>
      <c r="AM223" s="282"/>
      <c r="AN223" s="282"/>
      <c r="AO223" s="282"/>
      <c r="AP223" s="282"/>
      <c r="AQ223" s="282"/>
      <c r="AR223" s="282"/>
      <c r="AS223" s="282"/>
      <c r="AT223" s="282"/>
      <c r="AU223" s="282"/>
      <c r="AV223" s="282"/>
      <c r="AW223" s="282"/>
      <c r="AX223" s="282"/>
      <c r="AY223" s="282"/>
      <c r="AZ223" s="282">
        <f t="shared" ref="AZ223:CD223" si="135">AZ220-AZ221-AZ222</f>
        <v>0</v>
      </c>
      <c r="BA223" s="282">
        <f t="shared" si="135"/>
        <v>0</v>
      </c>
      <c r="BB223" s="282">
        <f t="shared" si="135"/>
        <v>0</v>
      </c>
      <c r="BC223" s="282">
        <f t="shared" si="135"/>
        <v>0</v>
      </c>
      <c r="BD223" s="282">
        <f t="shared" si="135"/>
        <v>0</v>
      </c>
      <c r="BE223" s="282">
        <f t="shared" si="135"/>
        <v>0</v>
      </c>
      <c r="BF223" s="282">
        <f t="shared" si="135"/>
        <v>0</v>
      </c>
      <c r="BG223" s="282">
        <f t="shared" si="135"/>
        <v>0</v>
      </c>
      <c r="BH223" s="282">
        <f t="shared" si="135"/>
        <v>0</v>
      </c>
      <c r="BI223" s="282">
        <f t="shared" si="135"/>
        <v>0</v>
      </c>
      <c r="BJ223" s="282">
        <f t="shared" si="135"/>
        <v>0</v>
      </c>
      <c r="BK223" s="282">
        <f t="shared" si="135"/>
        <v>0</v>
      </c>
      <c r="BL223" s="282">
        <f t="shared" si="135"/>
        <v>0</v>
      </c>
      <c r="BM223" s="282">
        <f t="shared" si="135"/>
        <v>0</v>
      </c>
      <c r="BN223" s="282">
        <f t="shared" si="135"/>
        <v>0</v>
      </c>
      <c r="BO223" s="282">
        <f t="shared" si="135"/>
        <v>0</v>
      </c>
      <c r="BP223" s="282">
        <f t="shared" si="135"/>
        <v>0</v>
      </c>
      <c r="BQ223" s="282">
        <f t="shared" si="135"/>
        <v>0</v>
      </c>
      <c r="BR223" s="282">
        <f t="shared" si="135"/>
        <v>0</v>
      </c>
      <c r="BS223" s="282">
        <f t="shared" si="135"/>
        <v>0</v>
      </c>
      <c r="BT223" s="282">
        <f t="shared" si="135"/>
        <v>0</v>
      </c>
      <c r="BU223" s="282">
        <f t="shared" si="135"/>
        <v>0</v>
      </c>
      <c r="BV223" s="282">
        <f t="shared" si="135"/>
        <v>0</v>
      </c>
      <c r="BW223" s="282">
        <f t="shared" si="135"/>
        <v>710.02800334868152</v>
      </c>
      <c r="BX223" s="282">
        <f t="shared" si="135"/>
        <v>0</v>
      </c>
      <c r="BY223" s="282">
        <f t="shared" si="135"/>
        <v>0</v>
      </c>
      <c r="BZ223" s="282">
        <f t="shared" si="135"/>
        <v>0</v>
      </c>
      <c r="CA223" s="282">
        <f t="shared" si="135"/>
        <v>604.87966888441906</v>
      </c>
      <c r="CB223" s="282">
        <f t="shared" si="135"/>
        <v>1938.7457899407752</v>
      </c>
      <c r="CC223" s="282">
        <f t="shared" si="135"/>
        <v>1938.2237808505652</v>
      </c>
      <c r="CD223" s="282">
        <f t="shared" si="135"/>
        <v>2050.5475972104455</v>
      </c>
      <c r="CE223" s="282">
        <f>CE220-CE221-CE222</f>
        <v>1984.9123005463564</v>
      </c>
      <c r="CF223" s="282">
        <f>CF220-CF221-CF222</f>
        <v>1994.7436752533579</v>
      </c>
      <c r="CH223" s="92" t="str">
        <f t="shared" si="124"/>
        <v>Total third party net debt</v>
      </c>
    </row>
    <row r="224" spans="1:86">
      <c r="A224" s="92" t="s">
        <v>804</v>
      </c>
      <c r="C224" s="91"/>
      <c r="D224" s="91"/>
      <c r="E224" s="91"/>
      <c r="F224" s="91"/>
      <c r="G224" s="91"/>
      <c r="H224" s="91"/>
      <c r="I224" s="91"/>
      <c r="J224" s="91"/>
      <c r="K224" s="91"/>
      <c r="L224" s="91"/>
      <c r="M224" s="91"/>
      <c r="N224" s="91"/>
      <c r="O224" s="91"/>
      <c r="P224" s="278" t="s">
        <v>72</v>
      </c>
      <c r="Q224" s="278">
        <f>VTR!Q274/Forex!L$38*1000+PR!Q263</f>
        <v>217.52649298294909</v>
      </c>
      <c r="R224" s="278">
        <f>VTR!R274/Forex!M$38*1000+PR!R263</f>
        <v>228.27314303329223</v>
      </c>
      <c r="S224" s="278">
        <f>VTR!S274/Forex!N$38*1000+PR!S263</f>
        <v>229.95982633881994</v>
      </c>
      <c r="T224" s="278">
        <f>VTR!T274/Forex!O$38*1000+PR!T263</f>
        <v>215.67768421052631</v>
      </c>
      <c r="U224" s="278">
        <f>VTR!U274/Forex!P$38*1000+PR!U263</f>
        <v>198.7346818181818</v>
      </c>
      <c r="V224" s="278">
        <f>VTR!V274/Forex!Q$38*1000+PR!V263</f>
        <v>204.18639159001313</v>
      </c>
      <c r="W224" s="278">
        <f>VTR!W274/Forex!R$38*1000+PR!W263</f>
        <v>176.51740206185565</v>
      </c>
      <c r="X224" s="278">
        <f>VTR!X274/Forex!S$38*1000+PR!X263</f>
        <v>172.99219774718398</v>
      </c>
      <c r="Y224" s="278">
        <f>VTR!Y274/Forex!T$38*1000+PR!Y263</f>
        <v>114.04945006165227</v>
      </c>
      <c r="Z224" s="278">
        <f>VTR!Z274/Forex!U$38*1000+PR!Z263</f>
        <v>62.03958569667077</v>
      </c>
      <c r="AA224" s="278"/>
      <c r="AB224" s="91"/>
      <c r="AC224" s="91"/>
      <c r="AD224" s="130"/>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284"/>
      <c r="BI224" s="284"/>
      <c r="BJ224" s="284"/>
      <c r="BK224" s="284"/>
      <c r="BL224" s="284"/>
      <c r="BM224" s="284"/>
      <c r="BN224" s="284"/>
      <c r="BO224" s="284"/>
      <c r="BP224" s="284"/>
      <c r="BQ224" s="284"/>
      <c r="BR224" s="284"/>
      <c r="BS224" s="284"/>
      <c r="BT224" s="284"/>
      <c r="BU224" s="284"/>
      <c r="BV224" s="284"/>
      <c r="BW224" s="284"/>
      <c r="BX224" s="284"/>
      <c r="BY224" s="284"/>
      <c r="BZ224" s="284"/>
      <c r="CA224" s="284"/>
      <c r="CB224" s="284"/>
      <c r="CC224" s="284"/>
      <c r="CD224" s="284"/>
      <c r="CE224" s="284"/>
      <c r="CF224" s="284"/>
    </row>
    <row r="225" spans="1:86">
      <c r="A225" s="92" t="s">
        <v>724</v>
      </c>
      <c r="B225" s="91"/>
      <c r="C225" s="91"/>
      <c r="D225" s="91"/>
      <c r="E225" s="91"/>
      <c r="F225" s="91"/>
      <c r="G225" s="91"/>
      <c r="H225" s="91"/>
      <c r="I225" s="91"/>
      <c r="J225" s="91"/>
      <c r="K225" s="91"/>
      <c r="L225" s="91"/>
      <c r="M225" s="91"/>
      <c r="N225" s="91"/>
      <c r="O225" s="91"/>
      <c r="P225" s="278">
        <f>VTR!P248/Forex!K$38*1000+PR!P238</f>
        <v>0</v>
      </c>
      <c r="Q225" s="278">
        <f>VTR!Q248/Forex!L$38*1000+PR!Q238</f>
        <v>0</v>
      </c>
      <c r="R225" s="278">
        <f>VTR!R248/Forex!M$38*1000+PR!R238</f>
        <v>0</v>
      </c>
      <c r="S225" s="278">
        <f>VTR!S248/Forex!N$38*1000+PR!S238</f>
        <v>0</v>
      </c>
      <c r="T225" s="278">
        <f>VTR!T248/Forex!O$38*1000+PR!T238</f>
        <v>0</v>
      </c>
      <c r="U225" s="278">
        <f>VTR!U248/Forex!P$38*1000+PR!U238</f>
        <v>0</v>
      </c>
      <c r="V225" s="278">
        <f>VTR!V248/Forex!Q$38*1000+PR!V238</f>
        <v>0</v>
      </c>
      <c r="W225" s="278">
        <f>VTR!W248/Forex!R$38*1000+PR!W238</f>
        <v>530</v>
      </c>
      <c r="X225" s="278">
        <f>VTR!X248/Forex!S$38*1000+PR!X238</f>
        <v>142</v>
      </c>
      <c r="Y225" s="278">
        <f>VTR!Y248/Forex!T$38*1000+PR!Y238</f>
        <v>937.11467324290993</v>
      </c>
      <c r="Z225" s="278">
        <f>VTR!Z248/Forex!U$38*1000+PR!Z238</f>
        <v>0</v>
      </c>
      <c r="AA225" s="278"/>
      <c r="AB225" s="91"/>
      <c r="AC225" s="91"/>
      <c r="AD225" s="92" t="s">
        <v>805</v>
      </c>
      <c r="AE225" s="278"/>
      <c r="AF225" s="278"/>
      <c r="AG225" s="278"/>
      <c r="AH225" s="278"/>
      <c r="AI225" s="278"/>
      <c r="AJ225" s="278"/>
      <c r="AK225" s="278"/>
      <c r="AL225" s="278"/>
      <c r="AM225" s="278"/>
      <c r="AN225" s="278"/>
      <c r="AO225" s="278"/>
      <c r="AP225" s="278"/>
      <c r="AQ225" s="278"/>
      <c r="AR225" s="278"/>
      <c r="AS225" s="278"/>
      <c r="AT225" s="278"/>
      <c r="AU225" s="278"/>
      <c r="AV225" s="278"/>
      <c r="AW225" s="278"/>
      <c r="AX225" s="278"/>
      <c r="AY225" s="278"/>
      <c r="AZ225" s="278">
        <v>0</v>
      </c>
      <c r="BA225" s="278">
        <v>0</v>
      </c>
      <c r="BB225" s="278">
        <v>0</v>
      </c>
      <c r="BC225" s="278">
        <v>0</v>
      </c>
      <c r="BD225" s="278">
        <v>0</v>
      </c>
      <c r="BE225" s="278">
        <v>0</v>
      </c>
      <c r="BF225" s="278">
        <v>0</v>
      </c>
      <c r="BG225" s="278">
        <v>0</v>
      </c>
      <c r="BH225" s="278">
        <v>0</v>
      </c>
      <c r="BI225" s="278">
        <v>0</v>
      </c>
      <c r="BJ225" s="278">
        <v>0</v>
      </c>
      <c r="BK225" s="278">
        <v>0</v>
      </c>
      <c r="BL225" s="278">
        <v>0</v>
      </c>
      <c r="BM225" s="278">
        <v>0</v>
      </c>
      <c r="BN225" s="278">
        <v>0</v>
      </c>
      <c r="BO225" s="278">
        <v>0</v>
      </c>
      <c r="BP225" s="278">
        <v>0</v>
      </c>
      <c r="BQ225" s="278">
        <v>0</v>
      </c>
      <c r="BR225" s="278">
        <v>0</v>
      </c>
      <c r="BS225" s="278">
        <v>0</v>
      </c>
      <c r="BT225" s="278">
        <v>0</v>
      </c>
      <c r="BU225" s="278">
        <v>0</v>
      </c>
      <c r="BV225" s="278">
        <v>0</v>
      </c>
      <c r="BW225" s="278">
        <v>549.18375889493507</v>
      </c>
      <c r="BX225" s="278">
        <v>0</v>
      </c>
      <c r="BY225" s="278">
        <v>0</v>
      </c>
      <c r="BZ225" s="278">
        <v>0</v>
      </c>
      <c r="CA225" s="278">
        <v>562.04548971066083</v>
      </c>
      <c r="CB225" s="278">
        <v>0</v>
      </c>
      <c r="CC225" s="278">
        <v>0</v>
      </c>
      <c r="CD225" s="278">
        <v>0</v>
      </c>
      <c r="CE225" s="278">
        <v>0</v>
      </c>
      <c r="CF225" s="278">
        <v>0</v>
      </c>
      <c r="CH225" s="92" t="str">
        <f>AD225</f>
        <v>VTR Related party debt</v>
      </c>
    </row>
    <row r="226" spans="1:86">
      <c r="A226" s="92" t="s">
        <v>730</v>
      </c>
      <c r="B226" s="91"/>
      <c r="C226" s="91"/>
      <c r="D226" s="91"/>
      <c r="E226" s="91"/>
      <c r="F226" s="91"/>
      <c r="G226" s="91"/>
      <c r="H226" s="91"/>
      <c r="I226" s="91"/>
      <c r="J226" s="91"/>
      <c r="K226" s="91"/>
      <c r="L226" s="91"/>
      <c r="M226" s="91"/>
      <c r="N226" s="91"/>
      <c r="O226" s="91"/>
      <c r="P226" s="278">
        <f>VTR!P261/Forex!K$38*1000+PR!P250</f>
        <v>267.5</v>
      </c>
      <c r="Q226" s="278">
        <f>VTR!Q261/Forex!L$38*1000+PR!Q250</f>
        <v>0</v>
      </c>
      <c r="R226" s="278">
        <f>VTR!R261/Forex!M$38*1000+PR!R250</f>
        <v>0</v>
      </c>
      <c r="S226" s="278">
        <f>VTR!S261/Forex!N$38*1000+PR!S250</f>
        <v>0</v>
      </c>
      <c r="T226" s="278">
        <f>VTR!T261/Forex!O$38*1000+PR!T250</f>
        <v>0</v>
      </c>
      <c r="U226" s="278">
        <f>VTR!U261/Forex!P$38*1000+PR!U250</f>
        <v>0</v>
      </c>
      <c r="V226" s="278">
        <f>VTR!V261/Forex!Q$38*1000+PR!V250</f>
        <v>0</v>
      </c>
      <c r="W226" s="278">
        <f>VTR!W261/Forex!R$38*1000+PR!W250</f>
        <v>250</v>
      </c>
      <c r="X226" s="278">
        <f>VTR!X261/Forex!S$38*1000+PR!X250</f>
        <v>0</v>
      </c>
      <c r="Y226" s="278">
        <f>VTR!Y261/Forex!T$38*1000+PR!Y250</f>
        <v>0</v>
      </c>
      <c r="Z226" s="278">
        <f>VTR!Z261/Forex!U$38*1000+PR!Z250</f>
        <v>0</v>
      </c>
      <c r="AA226" s="278"/>
      <c r="AB226" s="91"/>
      <c r="AC226" s="91"/>
      <c r="AD226" s="175" t="s">
        <v>806</v>
      </c>
      <c r="AE226" s="279"/>
      <c r="AF226" s="279"/>
      <c r="AG226" s="279"/>
      <c r="AH226" s="279"/>
      <c r="AI226" s="279"/>
      <c r="AJ226" s="279"/>
      <c r="AK226" s="279"/>
      <c r="AL226" s="279"/>
      <c r="AM226" s="279"/>
      <c r="AN226" s="279"/>
      <c r="AO226" s="279"/>
      <c r="AP226" s="279"/>
      <c r="AQ226" s="279"/>
      <c r="AR226" s="279"/>
      <c r="AS226" s="279"/>
      <c r="AT226" s="279"/>
      <c r="AU226" s="279"/>
      <c r="AV226" s="279"/>
      <c r="AW226" s="279"/>
      <c r="AX226" s="279"/>
      <c r="AY226" s="279"/>
      <c r="AZ226" s="279">
        <f>PR!AX221</f>
        <v>0</v>
      </c>
      <c r="BA226" s="279">
        <f>PR!AY221</f>
        <v>0</v>
      </c>
      <c r="BB226" s="279">
        <f>PR!AZ221</f>
        <v>0</v>
      </c>
      <c r="BC226" s="279">
        <f>PR!BA221</f>
        <v>0</v>
      </c>
      <c r="BD226" s="279">
        <f>PR!BB221</f>
        <v>0</v>
      </c>
      <c r="BE226" s="279">
        <f>PR!BC221</f>
        <v>0</v>
      </c>
      <c r="BF226" s="279">
        <f>PR!BD221</f>
        <v>0</v>
      </c>
      <c r="BG226" s="279">
        <f>PR!BE221</f>
        <v>0</v>
      </c>
      <c r="BH226" s="279">
        <f>PR!BF221</f>
        <v>0</v>
      </c>
      <c r="BI226" s="279">
        <f>PR!BG221</f>
        <v>0</v>
      </c>
      <c r="BJ226" s="279">
        <f>PR!BH221</f>
        <v>0</v>
      </c>
      <c r="BK226" s="279">
        <f>PR!BI221</f>
        <v>0</v>
      </c>
      <c r="BL226" s="279">
        <f>PR!BJ221</f>
        <v>0</v>
      </c>
      <c r="BM226" s="279">
        <f>PR!BK221</f>
        <v>0</v>
      </c>
      <c r="BN226" s="279">
        <f>PR!BL221</f>
        <v>0</v>
      </c>
      <c r="BO226" s="279">
        <f>PR!BM221</f>
        <v>0</v>
      </c>
      <c r="BP226" s="279">
        <f>PR!BN221</f>
        <v>0</v>
      </c>
      <c r="BQ226" s="279">
        <f>PR!BO221</f>
        <v>0</v>
      </c>
      <c r="BR226" s="279">
        <f>PR!BP221</f>
        <v>0</v>
      </c>
      <c r="BS226" s="279">
        <f>PR!BQ221</f>
        <v>0</v>
      </c>
      <c r="BT226" s="279">
        <f>PR!BR221</f>
        <v>0</v>
      </c>
      <c r="BU226" s="279">
        <f>PR!BS221</f>
        <v>0</v>
      </c>
      <c r="BV226" s="279">
        <f>PR!BT221</f>
        <v>0</v>
      </c>
      <c r="BW226" s="279">
        <f>PR!BU221</f>
        <v>10</v>
      </c>
      <c r="BX226" s="279">
        <f>PR!BV221</f>
        <v>0</v>
      </c>
      <c r="BY226" s="279">
        <f>PR!BW221</f>
        <v>0</v>
      </c>
      <c r="BZ226" s="279">
        <f>PR!BX221</f>
        <v>0</v>
      </c>
      <c r="CA226" s="279">
        <f>PR!BY221</f>
        <v>13.3</v>
      </c>
      <c r="CB226" s="279">
        <f>PR!BZ221</f>
        <v>13.3</v>
      </c>
      <c r="CC226" s="279">
        <f>PR!CA221</f>
        <v>13.3</v>
      </c>
      <c r="CD226" s="279">
        <f>PR!CB221</f>
        <v>13.3</v>
      </c>
      <c r="CE226" s="279">
        <f>PR!CC221</f>
        <v>14.5</v>
      </c>
      <c r="CF226" s="279">
        <f>PR!CD221</f>
        <v>16</v>
      </c>
      <c r="CH226" s="92" t="str">
        <f>AD226</f>
        <v>Liberty Puerto Rico Related party debt</v>
      </c>
    </row>
    <row r="227" spans="1:86">
      <c r="AB227" s="91"/>
      <c r="AC227" s="91"/>
      <c r="AD227" s="92" t="s">
        <v>710</v>
      </c>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f t="shared" ref="AZ227:CF227" si="136">AZ223+AZ225+AZ226</f>
        <v>0</v>
      </c>
      <c r="BA227" s="116">
        <f t="shared" si="136"/>
        <v>0</v>
      </c>
      <c r="BB227" s="116">
        <f t="shared" si="136"/>
        <v>0</v>
      </c>
      <c r="BC227" s="116">
        <f t="shared" si="136"/>
        <v>0</v>
      </c>
      <c r="BD227" s="116">
        <f t="shared" si="136"/>
        <v>0</v>
      </c>
      <c r="BE227" s="116">
        <f t="shared" si="136"/>
        <v>0</v>
      </c>
      <c r="BF227" s="116">
        <f t="shared" si="136"/>
        <v>0</v>
      </c>
      <c r="BG227" s="116">
        <f t="shared" si="136"/>
        <v>0</v>
      </c>
      <c r="BH227" s="116">
        <f t="shared" si="136"/>
        <v>0</v>
      </c>
      <c r="BI227" s="116">
        <f t="shared" si="136"/>
        <v>0</v>
      </c>
      <c r="BJ227" s="116">
        <f t="shared" si="136"/>
        <v>0</v>
      </c>
      <c r="BK227" s="116">
        <f t="shared" si="136"/>
        <v>0</v>
      </c>
      <c r="BL227" s="116">
        <f t="shared" si="136"/>
        <v>0</v>
      </c>
      <c r="BM227" s="116">
        <f t="shared" si="136"/>
        <v>0</v>
      </c>
      <c r="BN227" s="116">
        <f t="shared" si="136"/>
        <v>0</v>
      </c>
      <c r="BO227" s="116">
        <f t="shared" si="136"/>
        <v>0</v>
      </c>
      <c r="BP227" s="116">
        <f t="shared" si="136"/>
        <v>0</v>
      </c>
      <c r="BQ227" s="116">
        <f t="shared" si="136"/>
        <v>0</v>
      </c>
      <c r="BR227" s="116">
        <f t="shared" si="136"/>
        <v>0</v>
      </c>
      <c r="BS227" s="116">
        <f t="shared" si="136"/>
        <v>0</v>
      </c>
      <c r="BT227" s="116">
        <f t="shared" si="136"/>
        <v>0</v>
      </c>
      <c r="BU227" s="116">
        <f t="shared" si="136"/>
        <v>0</v>
      </c>
      <c r="BV227" s="116">
        <f t="shared" si="136"/>
        <v>0</v>
      </c>
      <c r="BW227" s="116">
        <f t="shared" si="136"/>
        <v>1269.2117622436167</v>
      </c>
      <c r="BX227" s="116">
        <f t="shared" si="136"/>
        <v>0</v>
      </c>
      <c r="BY227" s="116">
        <f t="shared" si="136"/>
        <v>0</v>
      </c>
      <c r="BZ227" s="116">
        <f t="shared" si="136"/>
        <v>0</v>
      </c>
      <c r="CA227" s="116">
        <f t="shared" si="136"/>
        <v>1180.2251585950798</v>
      </c>
      <c r="CB227" s="116">
        <f t="shared" si="136"/>
        <v>1952.0457899407752</v>
      </c>
      <c r="CC227" s="116">
        <f t="shared" si="136"/>
        <v>1951.5237808505651</v>
      </c>
      <c r="CD227" s="116">
        <f t="shared" si="136"/>
        <v>2063.8475972104457</v>
      </c>
      <c r="CE227" s="116">
        <f t="shared" si="136"/>
        <v>1999.4123005463564</v>
      </c>
      <c r="CF227" s="116">
        <f t="shared" si="136"/>
        <v>2010.7436752533579</v>
      </c>
      <c r="CH227" s="92" t="str">
        <f>AD227</f>
        <v>Total net debt</v>
      </c>
    </row>
    <row r="228" spans="1:86">
      <c r="AB228" s="91"/>
      <c r="AC228" s="91"/>
      <c r="AD228" s="92" t="s">
        <v>711</v>
      </c>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f t="shared" ref="AZ228:CF228" si="137">AZ227+AZ221+AZ222</f>
        <v>0</v>
      </c>
      <c r="BA228" s="116">
        <f t="shared" si="137"/>
        <v>0</v>
      </c>
      <c r="BB228" s="116">
        <f t="shared" si="137"/>
        <v>0</v>
      </c>
      <c r="BC228" s="116">
        <f t="shared" si="137"/>
        <v>0</v>
      </c>
      <c r="BD228" s="116">
        <f t="shared" si="137"/>
        <v>0</v>
      </c>
      <c r="BE228" s="116">
        <f t="shared" si="137"/>
        <v>0</v>
      </c>
      <c r="BF228" s="116">
        <f t="shared" si="137"/>
        <v>0</v>
      </c>
      <c r="BG228" s="116">
        <f t="shared" si="137"/>
        <v>0</v>
      </c>
      <c r="BH228" s="116">
        <f t="shared" si="137"/>
        <v>0</v>
      </c>
      <c r="BI228" s="116">
        <f t="shared" si="137"/>
        <v>0</v>
      </c>
      <c r="BJ228" s="116">
        <f t="shared" si="137"/>
        <v>0</v>
      </c>
      <c r="BK228" s="116">
        <f t="shared" si="137"/>
        <v>0</v>
      </c>
      <c r="BL228" s="116">
        <f t="shared" si="137"/>
        <v>0</v>
      </c>
      <c r="BM228" s="116">
        <f t="shared" si="137"/>
        <v>0</v>
      </c>
      <c r="BN228" s="116">
        <f t="shared" si="137"/>
        <v>0</v>
      </c>
      <c r="BO228" s="116">
        <f t="shared" si="137"/>
        <v>0</v>
      </c>
      <c r="BP228" s="116">
        <f t="shared" si="137"/>
        <v>0</v>
      </c>
      <c r="BQ228" s="116">
        <f t="shared" si="137"/>
        <v>0</v>
      </c>
      <c r="BR228" s="116">
        <f t="shared" si="137"/>
        <v>0</v>
      </c>
      <c r="BS228" s="116">
        <f t="shared" si="137"/>
        <v>0</v>
      </c>
      <c r="BT228" s="116">
        <f t="shared" si="137"/>
        <v>0</v>
      </c>
      <c r="BU228" s="116">
        <f t="shared" si="137"/>
        <v>0</v>
      </c>
      <c r="BV228" s="116">
        <f t="shared" si="137"/>
        <v>0</v>
      </c>
      <c r="BW228" s="116">
        <f t="shared" si="137"/>
        <v>1315.9817915445794</v>
      </c>
      <c r="BX228" s="116">
        <f t="shared" si="137"/>
        <v>0</v>
      </c>
      <c r="BY228" s="116">
        <f t="shared" si="137"/>
        <v>0</v>
      </c>
      <c r="BZ228" s="116">
        <f t="shared" si="137"/>
        <v>0</v>
      </c>
      <c r="CA228" s="116">
        <f t="shared" si="137"/>
        <v>1357.7972613337461</v>
      </c>
      <c r="CB228" s="116">
        <f t="shared" si="137"/>
        <v>2066.1746309745899</v>
      </c>
      <c r="CC228" s="116">
        <f t="shared" si="137"/>
        <v>2063.1753970686327</v>
      </c>
      <c r="CD228" s="116">
        <f t="shared" si="137"/>
        <v>2137.1261979337919</v>
      </c>
      <c r="CE228" s="116">
        <f t="shared" si="137"/>
        <v>2107.6934804765165</v>
      </c>
      <c r="CF228" s="116">
        <f t="shared" si="137"/>
        <v>2090.734744880805</v>
      </c>
      <c r="CH228" s="92" t="str">
        <f>AD228</f>
        <v>Total gross debt</v>
      </c>
    </row>
    <row r="229" spans="1:86">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4"/>
      <c r="AY229" s="144"/>
      <c r="AZ229" s="144"/>
      <c r="BA229" s="144"/>
      <c r="BB229" s="144"/>
      <c r="BC229" s="144"/>
      <c r="BD229" s="144"/>
      <c r="BE229" s="144"/>
      <c r="BF229" s="144"/>
      <c r="BG229" s="144"/>
      <c r="BH229" s="144"/>
      <c r="BI229" s="144"/>
      <c r="BJ229" s="144"/>
      <c r="BK229" s="144"/>
      <c r="BL229" s="144"/>
      <c r="BM229" s="144"/>
      <c r="BN229" s="144"/>
      <c r="BO229" s="144"/>
      <c r="BP229" s="144"/>
      <c r="BQ229" s="144"/>
      <c r="BR229" s="144"/>
      <c r="BS229" s="144"/>
      <c r="BT229" s="144"/>
      <c r="BU229" s="144"/>
      <c r="BV229" s="144"/>
      <c r="BW229" s="144"/>
      <c r="BX229" s="144"/>
      <c r="BY229" s="144"/>
      <c r="BZ229" s="144"/>
      <c r="CA229" s="144"/>
      <c r="CB229" s="144"/>
      <c r="CC229" s="144"/>
      <c r="CD229" s="144"/>
      <c r="CE229" s="144"/>
      <c r="CF229" s="144"/>
    </row>
    <row r="230" spans="1:86">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E230" s="144"/>
      <c r="AF230" s="144"/>
      <c r="AG230" s="144"/>
      <c r="AH230" s="144"/>
      <c r="AI230" s="144"/>
      <c r="AJ230" s="144"/>
      <c r="AK230" s="144"/>
      <c r="AL230" s="144"/>
      <c r="AM230" s="144"/>
      <c r="AN230" s="144"/>
      <c r="AO230" s="144"/>
      <c r="AP230" s="144"/>
      <c r="AQ230" s="144"/>
      <c r="AR230" s="144"/>
      <c r="AS230" s="144"/>
      <c r="AT230" s="144"/>
      <c r="AU230" s="144"/>
      <c r="AV230" s="144"/>
      <c r="AW230" s="144"/>
      <c r="AX230" s="144"/>
      <c r="AY230" s="144"/>
      <c r="AZ230" s="144"/>
      <c r="BA230" s="144"/>
      <c r="BB230" s="144"/>
      <c r="BC230" s="144"/>
      <c r="BD230" s="144"/>
      <c r="BE230" s="144"/>
      <c r="BF230" s="144"/>
      <c r="BG230" s="144"/>
      <c r="BH230" s="144"/>
      <c r="BI230" s="144"/>
      <c r="BJ230" s="144"/>
      <c r="BK230" s="144"/>
      <c r="BL230" s="144"/>
      <c r="BM230" s="144"/>
      <c r="BN230" s="144"/>
      <c r="BO230" s="144"/>
      <c r="BP230" s="144"/>
      <c r="BQ230" s="144"/>
      <c r="BR230" s="144"/>
      <c r="BS230" s="144"/>
      <c r="BT230" s="144"/>
      <c r="BU230" s="144"/>
      <c r="BV230" s="144"/>
      <c r="BW230" s="144"/>
      <c r="BX230" s="144"/>
      <c r="BY230" s="144"/>
      <c r="BZ230" s="144"/>
      <c r="CA230" s="144"/>
      <c r="CB230" s="144"/>
      <c r="CC230" s="144"/>
      <c r="CD230" s="144"/>
      <c r="CE230" s="144"/>
      <c r="CF230" s="144"/>
    </row>
    <row r="231" spans="1:86">
      <c r="AD231" s="92" t="s">
        <v>8</v>
      </c>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f t="shared" ref="AZ231:CF231" si="138">AZ115</f>
        <v>0</v>
      </c>
      <c r="BA231" s="116">
        <f t="shared" si="138"/>
        <v>0</v>
      </c>
      <c r="BB231" s="116">
        <f t="shared" si="138"/>
        <v>0</v>
      </c>
      <c r="BC231" s="116">
        <f t="shared" si="138"/>
        <v>0</v>
      </c>
      <c r="BD231" s="116">
        <f t="shared" si="138"/>
        <v>75.55464000000002</v>
      </c>
      <c r="BE231" s="116">
        <f t="shared" si="138"/>
        <v>82.036500000000004</v>
      </c>
      <c r="BF231" s="116">
        <f t="shared" si="138"/>
        <v>72.163200000000018</v>
      </c>
      <c r="BG231" s="116">
        <f t="shared" si="138"/>
        <v>66.014999999999958</v>
      </c>
      <c r="BH231" s="116">
        <f t="shared" si="138"/>
        <v>61.339699999999993</v>
      </c>
      <c r="BI231" s="116">
        <f t="shared" si="138"/>
        <v>70.153299999999987</v>
      </c>
      <c r="BJ231" s="116">
        <f t="shared" si="138"/>
        <v>74.656439999999989</v>
      </c>
      <c r="BK231" s="116">
        <f t="shared" si="138"/>
        <v>82.218770000000049</v>
      </c>
      <c r="BL231" s="116">
        <f t="shared" si="138"/>
        <v>70.163299197342923</v>
      </c>
      <c r="BM231" s="116">
        <f t="shared" si="138"/>
        <v>79.944077275038154</v>
      </c>
      <c r="BN231" s="116">
        <f t="shared" si="138"/>
        <v>89.325569999999999</v>
      </c>
      <c r="BO231" s="116">
        <f t="shared" si="138"/>
        <v>93.620278916126892</v>
      </c>
      <c r="BP231" s="116">
        <f t="shared" si="138"/>
        <v>89.866156787762932</v>
      </c>
      <c r="BQ231" s="116">
        <f t="shared" si="138"/>
        <v>93.853461926011249</v>
      </c>
      <c r="BR231" s="116">
        <f t="shared" si="138"/>
        <v>95.466741985595249</v>
      </c>
      <c r="BS231" s="116">
        <f t="shared" si="138"/>
        <v>100.69541029207227</v>
      </c>
      <c r="BT231" s="116">
        <f t="shared" si="138"/>
        <v>86.2</v>
      </c>
      <c r="BU231" s="116">
        <f t="shared" si="138"/>
        <v>86.800000000000011</v>
      </c>
      <c r="BV231" s="116">
        <f t="shared" si="138"/>
        <v>92.5</v>
      </c>
      <c r="BW231" s="116">
        <f t="shared" si="138"/>
        <v>101.6</v>
      </c>
      <c r="BX231" s="116">
        <f t="shared" si="138"/>
        <v>108.80003174939147</v>
      </c>
      <c r="BY231" s="116">
        <f t="shared" si="138"/>
        <v>110.62187203889096</v>
      </c>
      <c r="BZ231" s="116">
        <f t="shared" si="138"/>
        <v>111.54312913090656</v>
      </c>
      <c r="CA231" s="116">
        <f t="shared" si="138"/>
        <v>129.90000000000003</v>
      </c>
      <c r="CB231" s="116">
        <f t="shared" si="138"/>
        <v>111.9703620524152</v>
      </c>
      <c r="CC231" s="116">
        <f t="shared" si="138"/>
        <v>118.93341686347328</v>
      </c>
      <c r="CD231" s="116">
        <f t="shared" si="138"/>
        <v>119.49770017477979</v>
      </c>
      <c r="CE231" s="116">
        <f t="shared" si="138"/>
        <v>126.19736178175803</v>
      </c>
      <c r="CF231" s="116">
        <f t="shared" si="138"/>
        <v>109.18735370871423</v>
      </c>
      <c r="CH231" s="92" t="str">
        <f>AD231</f>
        <v>EBITDA</v>
      </c>
    </row>
    <row r="232" spans="1:86">
      <c r="AD232" s="92" t="s">
        <v>714</v>
      </c>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f>SUM(AW231:AZ231)</f>
        <v>0</v>
      </c>
      <c r="BA232" s="116">
        <f t="shared" ref="BA232:BV232" si="139">SUM(AX231:BA231)</f>
        <v>0</v>
      </c>
      <c r="BB232" s="116">
        <f t="shared" si="139"/>
        <v>0</v>
      </c>
      <c r="BC232" s="116">
        <f t="shared" si="139"/>
        <v>0</v>
      </c>
      <c r="BD232" s="116">
        <f t="shared" si="139"/>
        <v>75.55464000000002</v>
      </c>
      <c r="BE232" s="116">
        <f t="shared" si="139"/>
        <v>157.59114000000002</v>
      </c>
      <c r="BF232" s="116">
        <f t="shared" si="139"/>
        <v>229.75434000000004</v>
      </c>
      <c r="BG232" s="116">
        <f t="shared" si="139"/>
        <v>295.76934</v>
      </c>
      <c r="BH232" s="116">
        <f t="shared" si="139"/>
        <v>281.55439999999999</v>
      </c>
      <c r="BI232" s="116">
        <f t="shared" si="139"/>
        <v>269.67119999999994</v>
      </c>
      <c r="BJ232" s="116">
        <f t="shared" si="139"/>
        <v>272.1644399999999</v>
      </c>
      <c r="BK232" s="116">
        <f t="shared" si="139"/>
        <v>288.36821000000003</v>
      </c>
      <c r="BL232" s="116">
        <f t="shared" si="139"/>
        <v>297.19180919734299</v>
      </c>
      <c r="BM232" s="116">
        <f t="shared" si="139"/>
        <v>306.98258647238112</v>
      </c>
      <c r="BN232" s="116">
        <f t="shared" si="139"/>
        <v>321.65171647238111</v>
      </c>
      <c r="BO232" s="116">
        <f t="shared" si="139"/>
        <v>333.05322538850794</v>
      </c>
      <c r="BP232" s="116">
        <f t="shared" si="139"/>
        <v>352.75608297892796</v>
      </c>
      <c r="BQ232" s="116">
        <f t="shared" si="139"/>
        <v>366.66546762990106</v>
      </c>
      <c r="BR232" s="116">
        <f t="shared" si="139"/>
        <v>372.80663961549635</v>
      </c>
      <c r="BS232" s="116">
        <f t="shared" si="139"/>
        <v>379.88177099144173</v>
      </c>
      <c r="BT232" s="116">
        <f t="shared" si="139"/>
        <v>376.21561420367874</v>
      </c>
      <c r="BU232" s="116">
        <f t="shared" si="139"/>
        <v>369.16215227766753</v>
      </c>
      <c r="BV232" s="116">
        <f t="shared" si="139"/>
        <v>366.19541029207227</v>
      </c>
      <c r="BW232" s="116">
        <f>SUM(BT231:BW231)</f>
        <v>367.1</v>
      </c>
      <c r="BX232" s="116">
        <f t="shared" ref="BX232:CD232" si="140">SUM(BU231:BX231)</f>
        <v>389.70003174939143</v>
      </c>
      <c r="BY232" s="116">
        <f t="shared" si="140"/>
        <v>413.52190378828243</v>
      </c>
      <c r="BZ232" s="116">
        <f t="shared" si="140"/>
        <v>432.56503291918898</v>
      </c>
      <c r="CA232" s="116">
        <f t="shared" si="140"/>
        <v>460.86503291918899</v>
      </c>
      <c r="CB232" s="116">
        <f t="shared" si="140"/>
        <v>464.03536322221271</v>
      </c>
      <c r="CC232" s="116">
        <f t="shared" si="140"/>
        <v>472.34690804679502</v>
      </c>
      <c r="CD232" s="116">
        <f t="shared" si="140"/>
        <v>480.30147909066829</v>
      </c>
      <c r="CE232" s="116">
        <f>SUM(CB231:CE231)</f>
        <v>476.59884087242636</v>
      </c>
      <c r="CF232" s="116">
        <f>SUM(CC231:CF231)</f>
        <v>473.81583252872537</v>
      </c>
      <c r="CH232" s="92" t="str">
        <f>AD232</f>
        <v>LTM EBITDA</v>
      </c>
    </row>
    <row r="233" spans="1:86">
      <c r="AE233" s="144"/>
      <c r="AF233" s="144"/>
      <c r="AG233" s="144"/>
      <c r="AH233" s="144"/>
      <c r="AI233" s="144"/>
      <c r="AJ233" s="144"/>
      <c r="AK233" s="144"/>
      <c r="AL233" s="144"/>
      <c r="AM233" s="144"/>
      <c r="AN233" s="144"/>
      <c r="AO233" s="144"/>
      <c r="AP233" s="144"/>
      <c r="AQ233" s="144"/>
      <c r="AR233" s="144"/>
      <c r="AS233" s="144"/>
      <c r="AT233" s="144"/>
      <c r="AU233" s="144"/>
      <c r="AV233" s="144"/>
      <c r="AW233" s="144"/>
      <c r="AX233" s="144"/>
      <c r="AY233" s="144"/>
      <c r="AZ233" s="144"/>
      <c r="BA233" s="144"/>
      <c r="BB233" s="144"/>
      <c r="BC233" s="144"/>
      <c r="BD233" s="144"/>
      <c r="BE233" s="144"/>
      <c r="BF233" s="144"/>
      <c r="BG233" s="144"/>
      <c r="BH233" s="144"/>
      <c r="BI233" s="144"/>
      <c r="BJ233" s="144"/>
      <c r="BK233" s="144"/>
      <c r="BL233" s="144"/>
      <c r="BM233" s="144"/>
      <c r="BN233" s="144"/>
      <c r="BO233" s="144"/>
      <c r="BP233" s="144"/>
      <c r="BQ233" s="144"/>
      <c r="BR233" s="144"/>
      <c r="BS233" s="144"/>
      <c r="BT233" s="144"/>
      <c r="BU233" s="144"/>
      <c r="BV233" s="144"/>
      <c r="BW233" s="144"/>
      <c r="BX233" s="144"/>
      <c r="BY233" s="144"/>
      <c r="BZ233" s="144"/>
      <c r="CA233" s="144"/>
      <c r="CB233" s="144"/>
      <c r="CC233" s="144"/>
      <c r="CD233" s="144"/>
      <c r="CE233" s="144"/>
      <c r="CF233" s="144"/>
    </row>
    <row r="234" spans="1:86">
      <c r="AE234" s="144"/>
      <c r="AF234" s="144"/>
      <c r="AG234" s="144"/>
      <c r="AH234" s="144"/>
      <c r="AI234" s="144"/>
      <c r="AJ234" s="144"/>
      <c r="AK234" s="144"/>
      <c r="AL234" s="144"/>
      <c r="AM234" s="144"/>
      <c r="AN234" s="144"/>
      <c r="AO234" s="144"/>
      <c r="AP234" s="144"/>
      <c r="AQ234" s="144"/>
      <c r="AR234" s="144"/>
      <c r="AS234" s="144"/>
      <c r="AT234" s="144"/>
      <c r="AU234" s="144"/>
      <c r="AV234" s="144"/>
      <c r="AW234" s="144"/>
      <c r="AX234" s="144"/>
      <c r="AY234" s="144"/>
      <c r="AZ234" s="144"/>
      <c r="BA234" s="144"/>
      <c r="BB234" s="144"/>
      <c r="BC234" s="144"/>
      <c r="BD234" s="144"/>
      <c r="BE234" s="144"/>
      <c r="BF234" s="144"/>
      <c r="BG234" s="144"/>
      <c r="BH234" s="144"/>
      <c r="BI234" s="144"/>
      <c r="BJ234" s="144"/>
      <c r="BK234" s="144"/>
      <c r="BL234" s="144"/>
      <c r="BM234" s="144"/>
      <c r="BN234" s="144"/>
      <c r="BO234" s="144"/>
      <c r="BP234" s="144"/>
      <c r="BQ234" s="144"/>
      <c r="BR234" s="144"/>
      <c r="BS234" s="144"/>
      <c r="BT234" s="144"/>
      <c r="BU234" s="144"/>
      <c r="BV234" s="144"/>
      <c r="BW234" s="144"/>
      <c r="BX234" s="144"/>
      <c r="BY234" s="144"/>
      <c r="BZ234" s="144"/>
      <c r="CA234" s="144"/>
      <c r="CB234" s="144"/>
      <c r="CC234" s="144"/>
      <c r="CD234" s="144"/>
      <c r="CE234" s="144"/>
      <c r="CF234" s="144"/>
    </row>
    <row r="235" spans="1:86">
      <c r="AD235" s="92" t="s">
        <v>715</v>
      </c>
      <c r="AE235" s="283"/>
      <c r="AF235" s="283"/>
      <c r="AG235" s="283"/>
      <c r="AH235" s="283"/>
      <c r="AI235" s="283"/>
      <c r="AJ235" s="283"/>
      <c r="AK235" s="283"/>
      <c r="AL235" s="283"/>
      <c r="AM235" s="283"/>
      <c r="AN235" s="283"/>
      <c r="AO235" s="283"/>
      <c r="AP235" s="283"/>
      <c r="AQ235" s="283"/>
      <c r="AR235" s="283"/>
      <c r="AS235" s="283"/>
      <c r="AT235" s="283"/>
      <c r="AU235" s="283"/>
      <c r="AV235" s="283"/>
      <c r="AW235" s="283"/>
      <c r="AX235" s="283"/>
      <c r="AY235" s="283"/>
      <c r="AZ235" s="283" t="e">
        <f t="shared" ref="AZ235:CD235" si="141">(AZ208+AZ209)/AZ232</f>
        <v>#DIV/0!</v>
      </c>
      <c r="BA235" s="283" t="e">
        <f t="shared" si="141"/>
        <v>#DIV/0!</v>
      </c>
      <c r="BB235" s="283" t="e">
        <f t="shared" si="141"/>
        <v>#DIV/0!</v>
      </c>
      <c r="BC235" s="283" t="e">
        <f t="shared" si="141"/>
        <v>#DIV/0!</v>
      </c>
      <c r="BD235" s="283">
        <f t="shared" si="141"/>
        <v>0</v>
      </c>
      <c r="BE235" s="283">
        <f t="shared" si="141"/>
        <v>0</v>
      </c>
      <c r="BF235" s="283">
        <f t="shared" si="141"/>
        <v>0</v>
      </c>
      <c r="BG235" s="283">
        <f t="shared" si="141"/>
        <v>0</v>
      </c>
      <c r="BH235" s="283">
        <f t="shared" si="141"/>
        <v>0</v>
      </c>
      <c r="BI235" s="283">
        <f t="shared" si="141"/>
        <v>0</v>
      </c>
      <c r="BJ235" s="283">
        <f t="shared" si="141"/>
        <v>0</v>
      </c>
      <c r="BK235" s="283">
        <f t="shared" si="141"/>
        <v>0</v>
      </c>
      <c r="BL235" s="283">
        <f t="shared" si="141"/>
        <v>0</v>
      </c>
      <c r="BM235" s="283">
        <f t="shared" si="141"/>
        <v>0</v>
      </c>
      <c r="BN235" s="283">
        <f t="shared" si="141"/>
        <v>0</v>
      </c>
      <c r="BO235" s="283">
        <f t="shared" si="141"/>
        <v>0</v>
      </c>
      <c r="BP235" s="283">
        <f t="shared" si="141"/>
        <v>0</v>
      </c>
      <c r="BQ235" s="283">
        <f t="shared" si="141"/>
        <v>0</v>
      </c>
      <c r="BR235" s="283">
        <f t="shared" si="141"/>
        <v>0</v>
      </c>
      <c r="BS235" s="283">
        <f t="shared" si="141"/>
        <v>0</v>
      </c>
      <c r="BT235" s="283">
        <f t="shared" si="141"/>
        <v>0</v>
      </c>
      <c r="BU235" s="283">
        <f t="shared" si="141"/>
        <v>0</v>
      </c>
      <c r="BV235" s="283">
        <f t="shared" si="141"/>
        <v>0</v>
      </c>
      <c r="BW235" s="283">
        <f t="shared" si="141"/>
        <v>2.0593536912519799</v>
      </c>
      <c r="BX235" s="283">
        <f t="shared" si="141"/>
        <v>0</v>
      </c>
      <c r="BY235" s="283">
        <f t="shared" si="141"/>
        <v>0</v>
      </c>
      <c r="BZ235" s="283">
        <f t="shared" si="141"/>
        <v>0</v>
      </c>
      <c r="CA235" s="283">
        <f t="shared" si="141"/>
        <v>1.6922193543614494</v>
      </c>
      <c r="CB235" s="283">
        <f t="shared" si="141"/>
        <v>1.4171333741327274</v>
      </c>
      <c r="CC235" s="283">
        <f t="shared" si="141"/>
        <v>1.3809765426375504</v>
      </c>
      <c r="CD235" s="283">
        <f t="shared" si="141"/>
        <v>1.398913035354536</v>
      </c>
      <c r="CE235" s="283">
        <f>(CE208+CE209)/CE232</f>
        <v>1.4099908400320211</v>
      </c>
      <c r="CF235" s="283">
        <f>(CF208+CF209)/CF232</f>
        <v>1.4182725731505808</v>
      </c>
      <c r="CH235" s="92" t="str">
        <f t="shared" ref="CH235:CH240" si="142">AD235</f>
        <v>Bank gross leverage</v>
      </c>
    </row>
    <row r="236" spans="1:86">
      <c r="AD236" s="92" t="s">
        <v>716</v>
      </c>
      <c r="AE236" s="283"/>
      <c r="AF236" s="283"/>
      <c r="AG236" s="283"/>
      <c r="AH236" s="283"/>
      <c r="AI236" s="283"/>
      <c r="AJ236" s="283"/>
      <c r="AK236" s="283"/>
      <c r="AL236" s="283"/>
      <c r="AM236" s="283"/>
      <c r="AN236" s="283"/>
      <c r="AO236" s="283"/>
      <c r="AP236" s="283"/>
      <c r="AQ236" s="283"/>
      <c r="AR236" s="283"/>
      <c r="AS236" s="283"/>
      <c r="AT236" s="283"/>
      <c r="AU236" s="283"/>
      <c r="AV236" s="283"/>
      <c r="AW236" s="283"/>
      <c r="AX236" s="283"/>
      <c r="AY236" s="283"/>
      <c r="AZ236" s="283" t="e">
        <f t="shared" ref="AZ236:CD236" si="143">AZ214/AZ232</f>
        <v>#DIV/0!</v>
      </c>
      <c r="BA236" s="283" t="e">
        <f t="shared" si="143"/>
        <v>#DIV/0!</v>
      </c>
      <c r="BB236" s="283" t="e">
        <f t="shared" si="143"/>
        <v>#DIV/0!</v>
      </c>
      <c r="BC236" s="283" t="e">
        <f t="shared" si="143"/>
        <v>#DIV/0!</v>
      </c>
      <c r="BD236" s="283">
        <f t="shared" si="143"/>
        <v>0</v>
      </c>
      <c r="BE236" s="283">
        <f t="shared" si="143"/>
        <v>0</v>
      </c>
      <c r="BF236" s="283">
        <f t="shared" si="143"/>
        <v>0</v>
      </c>
      <c r="BG236" s="283">
        <f t="shared" si="143"/>
        <v>0</v>
      </c>
      <c r="BH236" s="283">
        <f t="shared" si="143"/>
        <v>0</v>
      </c>
      <c r="BI236" s="283">
        <f t="shared" si="143"/>
        <v>0</v>
      </c>
      <c r="BJ236" s="283">
        <f t="shared" si="143"/>
        <v>0</v>
      </c>
      <c r="BK236" s="283">
        <f t="shared" si="143"/>
        <v>0</v>
      </c>
      <c r="BL236" s="283">
        <f t="shared" si="143"/>
        <v>0</v>
      </c>
      <c r="BM236" s="283">
        <f t="shared" si="143"/>
        <v>0</v>
      </c>
      <c r="BN236" s="283">
        <f t="shared" si="143"/>
        <v>0</v>
      </c>
      <c r="BO236" s="283">
        <f t="shared" si="143"/>
        <v>0</v>
      </c>
      <c r="BP236" s="283">
        <f t="shared" si="143"/>
        <v>0</v>
      </c>
      <c r="BQ236" s="283">
        <f t="shared" si="143"/>
        <v>0</v>
      </c>
      <c r="BR236" s="283">
        <f t="shared" si="143"/>
        <v>0</v>
      </c>
      <c r="BS236" s="283">
        <f t="shared" si="143"/>
        <v>0</v>
      </c>
      <c r="BT236" s="283">
        <f t="shared" si="143"/>
        <v>0</v>
      </c>
      <c r="BU236" s="283">
        <f t="shared" si="143"/>
        <v>0</v>
      </c>
      <c r="BV236" s="283">
        <f t="shared" si="143"/>
        <v>0</v>
      </c>
      <c r="BW236" s="283">
        <f t="shared" si="143"/>
        <v>2.0615582474792813</v>
      </c>
      <c r="BX236" s="283">
        <f t="shared" si="143"/>
        <v>0</v>
      </c>
      <c r="BY236" s="283">
        <f t="shared" si="143"/>
        <v>0</v>
      </c>
      <c r="BZ236" s="283">
        <f t="shared" si="143"/>
        <v>0</v>
      </c>
      <c r="CA236" s="283">
        <f t="shared" si="143"/>
        <v>1.6977894084671972</v>
      </c>
      <c r="CB236" s="283">
        <f t="shared" si="143"/>
        <v>4.4239616065457694</v>
      </c>
      <c r="CC236" s="283">
        <f t="shared" si="143"/>
        <v>4.3397667310771375</v>
      </c>
      <c r="CD236" s="283">
        <f t="shared" si="143"/>
        <v>4.421860623778902</v>
      </c>
      <c r="CE236" s="283">
        <f>CE214/CE232</f>
        <v>4.3919399313789187</v>
      </c>
      <c r="CF236" s="283">
        <f>CF214/CF232</f>
        <v>4.3787788470640088</v>
      </c>
      <c r="CH236" s="92" t="str">
        <f t="shared" si="142"/>
        <v>Senior secured debt gross leverage</v>
      </c>
    </row>
    <row r="237" spans="1:86">
      <c r="AD237" s="175" t="s">
        <v>718</v>
      </c>
      <c r="AE237" s="285"/>
      <c r="AF237" s="285"/>
      <c r="AG237" s="285"/>
      <c r="AH237" s="285"/>
      <c r="AI237" s="285"/>
      <c r="AJ237" s="285"/>
      <c r="AK237" s="285"/>
      <c r="AL237" s="285"/>
      <c r="AM237" s="285"/>
      <c r="AN237" s="285"/>
      <c r="AO237" s="285"/>
      <c r="AP237" s="285"/>
      <c r="AQ237" s="285"/>
      <c r="AR237" s="285"/>
      <c r="AS237" s="285"/>
      <c r="AT237" s="285"/>
      <c r="AU237" s="285"/>
      <c r="AV237" s="285"/>
      <c r="AW237" s="285"/>
      <c r="AX237" s="285"/>
      <c r="AY237" s="285"/>
      <c r="AZ237" s="285" t="e">
        <f t="shared" ref="AZ237:CD237" si="144">(AZ220)/AZ232</f>
        <v>#DIV/0!</v>
      </c>
      <c r="BA237" s="285" t="e">
        <f t="shared" si="144"/>
        <v>#DIV/0!</v>
      </c>
      <c r="BB237" s="285" t="e">
        <f t="shared" si="144"/>
        <v>#DIV/0!</v>
      </c>
      <c r="BC237" s="285" t="e">
        <f t="shared" si="144"/>
        <v>#DIV/0!</v>
      </c>
      <c r="BD237" s="285">
        <f t="shared" si="144"/>
        <v>0</v>
      </c>
      <c r="BE237" s="285">
        <f t="shared" si="144"/>
        <v>0</v>
      </c>
      <c r="BF237" s="285">
        <f t="shared" si="144"/>
        <v>0</v>
      </c>
      <c r="BG237" s="285">
        <f t="shared" si="144"/>
        <v>0</v>
      </c>
      <c r="BH237" s="285">
        <f t="shared" si="144"/>
        <v>0</v>
      </c>
      <c r="BI237" s="285">
        <f t="shared" si="144"/>
        <v>0</v>
      </c>
      <c r="BJ237" s="285">
        <f t="shared" si="144"/>
        <v>0</v>
      </c>
      <c r="BK237" s="285">
        <f t="shared" si="144"/>
        <v>0</v>
      </c>
      <c r="BL237" s="285">
        <f t="shared" si="144"/>
        <v>0</v>
      </c>
      <c r="BM237" s="285">
        <f t="shared" si="144"/>
        <v>0</v>
      </c>
      <c r="BN237" s="285">
        <f t="shared" si="144"/>
        <v>0</v>
      </c>
      <c r="BO237" s="285">
        <f t="shared" si="144"/>
        <v>0</v>
      </c>
      <c r="BP237" s="285">
        <f t="shared" si="144"/>
        <v>0</v>
      </c>
      <c r="BQ237" s="285">
        <f t="shared" si="144"/>
        <v>0</v>
      </c>
      <c r="BR237" s="285">
        <f t="shared" si="144"/>
        <v>0</v>
      </c>
      <c r="BS237" s="285">
        <f t="shared" si="144"/>
        <v>0</v>
      </c>
      <c r="BT237" s="285">
        <f t="shared" si="144"/>
        <v>0</v>
      </c>
      <c r="BU237" s="285">
        <f t="shared" si="144"/>
        <v>0</v>
      </c>
      <c r="BV237" s="285">
        <f t="shared" si="144"/>
        <v>0</v>
      </c>
      <c r="BW237" s="285">
        <f t="shared" si="144"/>
        <v>2.0615582474792813</v>
      </c>
      <c r="BX237" s="285">
        <f t="shared" si="144"/>
        <v>0</v>
      </c>
      <c r="BY237" s="285">
        <f t="shared" si="144"/>
        <v>0</v>
      </c>
      <c r="BZ237" s="285">
        <f t="shared" si="144"/>
        <v>0</v>
      </c>
      <c r="CA237" s="285">
        <f t="shared" si="144"/>
        <v>1.6977894084671972</v>
      </c>
      <c r="CB237" s="285">
        <f t="shared" si="144"/>
        <v>4.4239616065457694</v>
      </c>
      <c r="CC237" s="285">
        <f t="shared" si="144"/>
        <v>4.3397667310771375</v>
      </c>
      <c r="CD237" s="285">
        <f t="shared" si="144"/>
        <v>4.421860623778902</v>
      </c>
      <c r="CE237" s="285">
        <f>(CE220)/CE232</f>
        <v>4.3919399313789187</v>
      </c>
      <c r="CF237" s="285">
        <f>(CF220)/CF232</f>
        <v>4.3787788470640088</v>
      </c>
      <c r="CH237" s="92" t="str">
        <f t="shared" si="142"/>
        <v>Total gross leverage</v>
      </c>
    </row>
    <row r="238" spans="1:86">
      <c r="AD238" s="92" t="s">
        <v>719</v>
      </c>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t="e">
        <f t="shared" ref="AZ238:CF238" si="145">(AZ208+AZ209-AZ221-AZ222)/AZ232</f>
        <v>#DIV/0!</v>
      </c>
      <c r="BA238" s="173" t="e">
        <f t="shared" si="145"/>
        <v>#DIV/0!</v>
      </c>
      <c r="BB238" s="173" t="e">
        <f t="shared" si="145"/>
        <v>#DIV/0!</v>
      </c>
      <c r="BC238" s="173" t="e">
        <f t="shared" si="145"/>
        <v>#DIV/0!</v>
      </c>
      <c r="BD238" s="173">
        <f t="shared" si="145"/>
        <v>0</v>
      </c>
      <c r="BE238" s="173">
        <f t="shared" si="145"/>
        <v>0</v>
      </c>
      <c r="BF238" s="173">
        <f t="shared" si="145"/>
        <v>0</v>
      </c>
      <c r="BG238" s="173">
        <f t="shared" si="145"/>
        <v>0</v>
      </c>
      <c r="BH238" s="173">
        <f t="shared" si="145"/>
        <v>0</v>
      </c>
      <c r="BI238" s="173">
        <f t="shared" si="145"/>
        <v>0</v>
      </c>
      <c r="BJ238" s="173">
        <f t="shared" si="145"/>
        <v>0</v>
      </c>
      <c r="BK238" s="173">
        <f t="shared" si="145"/>
        <v>0</v>
      </c>
      <c r="BL238" s="173">
        <f t="shared" si="145"/>
        <v>0</v>
      </c>
      <c r="BM238" s="173">
        <f t="shared" si="145"/>
        <v>0</v>
      </c>
      <c r="BN238" s="173">
        <f t="shared" si="145"/>
        <v>0</v>
      </c>
      <c r="BO238" s="173">
        <f t="shared" si="145"/>
        <v>0</v>
      </c>
      <c r="BP238" s="173">
        <f t="shared" si="145"/>
        <v>0</v>
      </c>
      <c r="BQ238" s="173">
        <f t="shared" si="145"/>
        <v>0</v>
      </c>
      <c r="BR238" s="173">
        <f t="shared" si="145"/>
        <v>0</v>
      </c>
      <c r="BS238" s="173">
        <f t="shared" si="145"/>
        <v>0</v>
      </c>
      <c r="BT238" s="173">
        <f t="shared" si="145"/>
        <v>0</v>
      </c>
      <c r="BU238" s="173">
        <f t="shared" si="145"/>
        <v>0</v>
      </c>
      <c r="BV238" s="173">
        <f t="shared" si="145"/>
        <v>0</v>
      </c>
      <c r="BW238" s="173">
        <f t="shared" si="145"/>
        <v>1.9319496343166416</v>
      </c>
      <c r="BX238" s="173">
        <f t="shared" si="145"/>
        <v>0</v>
      </c>
      <c r="BY238" s="173">
        <f t="shared" si="145"/>
        <v>0</v>
      </c>
      <c r="BZ238" s="173">
        <f t="shared" si="145"/>
        <v>0</v>
      </c>
      <c r="CA238" s="173">
        <f t="shared" si="145"/>
        <v>1.3069176064421124</v>
      </c>
      <c r="CB238" s="173">
        <f t="shared" si="145"/>
        <v>1.171184789004827</v>
      </c>
      <c r="CC238" s="173">
        <f t="shared" si="145"/>
        <v>1.1446002388743712</v>
      </c>
      <c r="CD238" s="173">
        <f t="shared" si="145"/>
        <v>1.2463451089303221</v>
      </c>
      <c r="CE238" s="283">
        <f t="shared" si="145"/>
        <v>1.1827951973990085</v>
      </c>
      <c r="CF238" s="283">
        <f t="shared" si="145"/>
        <v>1.2494494479279805</v>
      </c>
      <c r="CH238" s="92" t="str">
        <f t="shared" si="142"/>
        <v>Bank net leverage</v>
      </c>
    </row>
    <row r="239" spans="1:86">
      <c r="AD239" s="92" t="s">
        <v>720</v>
      </c>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t="e">
        <f t="shared" ref="AZ239:CF239" si="146">(AZ214-AZ221-AZ222)/AZ232</f>
        <v>#DIV/0!</v>
      </c>
      <c r="BA239" s="173" t="e">
        <f t="shared" si="146"/>
        <v>#DIV/0!</v>
      </c>
      <c r="BB239" s="173" t="e">
        <f t="shared" si="146"/>
        <v>#DIV/0!</v>
      </c>
      <c r="BC239" s="173" t="e">
        <f t="shared" si="146"/>
        <v>#DIV/0!</v>
      </c>
      <c r="BD239" s="173">
        <f t="shared" si="146"/>
        <v>0</v>
      </c>
      <c r="BE239" s="173">
        <f t="shared" si="146"/>
        <v>0</v>
      </c>
      <c r="BF239" s="173">
        <f t="shared" si="146"/>
        <v>0</v>
      </c>
      <c r="BG239" s="173">
        <f t="shared" si="146"/>
        <v>0</v>
      </c>
      <c r="BH239" s="173">
        <f t="shared" si="146"/>
        <v>0</v>
      </c>
      <c r="BI239" s="173">
        <f t="shared" si="146"/>
        <v>0</v>
      </c>
      <c r="BJ239" s="173">
        <f t="shared" si="146"/>
        <v>0</v>
      </c>
      <c r="BK239" s="173">
        <f t="shared" si="146"/>
        <v>0</v>
      </c>
      <c r="BL239" s="173">
        <f t="shared" si="146"/>
        <v>0</v>
      </c>
      <c r="BM239" s="173">
        <f t="shared" si="146"/>
        <v>0</v>
      </c>
      <c r="BN239" s="173">
        <f t="shared" si="146"/>
        <v>0</v>
      </c>
      <c r="BO239" s="173">
        <f t="shared" si="146"/>
        <v>0</v>
      </c>
      <c r="BP239" s="173">
        <f t="shared" si="146"/>
        <v>0</v>
      </c>
      <c r="BQ239" s="173">
        <f t="shared" si="146"/>
        <v>0</v>
      </c>
      <c r="BR239" s="173">
        <f t="shared" si="146"/>
        <v>0</v>
      </c>
      <c r="BS239" s="173">
        <f t="shared" si="146"/>
        <v>0</v>
      </c>
      <c r="BT239" s="173">
        <f t="shared" si="146"/>
        <v>0</v>
      </c>
      <c r="BU239" s="173">
        <f t="shared" si="146"/>
        <v>0</v>
      </c>
      <c r="BV239" s="173">
        <f t="shared" si="146"/>
        <v>0</v>
      </c>
      <c r="BW239" s="173">
        <f t="shared" si="146"/>
        <v>1.934154190543943</v>
      </c>
      <c r="BX239" s="173">
        <f t="shared" si="146"/>
        <v>0</v>
      </c>
      <c r="BY239" s="173">
        <f t="shared" si="146"/>
        <v>0</v>
      </c>
      <c r="BZ239" s="173">
        <f t="shared" si="146"/>
        <v>0</v>
      </c>
      <c r="CA239" s="173">
        <f t="shared" si="146"/>
        <v>1.3124876605478604</v>
      </c>
      <c r="CB239" s="173">
        <f t="shared" si="146"/>
        <v>4.1780130214178692</v>
      </c>
      <c r="CC239" s="173">
        <f t="shared" si="146"/>
        <v>4.1033904273139585</v>
      </c>
      <c r="CD239" s="173">
        <f t="shared" si="146"/>
        <v>4.2692926973546879</v>
      </c>
      <c r="CE239" s="283">
        <f t="shared" si="146"/>
        <v>4.1647442887459052</v>
      </c>
      <c r="CF239" s="283">
        <f t="shared" si="146"/>
        <v>4.2099557218414088</v>
      </c>
      <c r="CH239" s="92" t="str">
        <f t="shared" si="142"/>
        <v>Senior secured debt net leverage</v>
      </c>
    </row>
    <row r="240" spans="1:86">
      <c r="AD240" s="92" t="s">
        <v>723</v>
      </c>
      <c r="AE240" s="283"/>
      <c r="AF240" s="283"/>
      <c r="AG240" s="283"/>
      <c r="AH240" s="283"/>
      <c r="AI240" s="283"/>
      <c r="AJ240" s="283"/>
      <c r="AK240" s="283"/>
      <c r="AL240" s="283"/>
      <c r="AM240" s="283"/>
      <c r="AN240" s="283"/>
      <c r="AO240" s="283"/>
      <c r="AP240" s="283"/>
      <c r="AQ240" s="283"/>
      <c r="AR240" s="283"/>
      <c r="AS240" s="283"/>
      <c r="AT240" s="283"/>
      <c r="AU240" s="283"/>
      <c r="AV240" s="283"/>
      <c r="AW240" s="283"/>
      <c r="AX240" s="283"/>
      <c r="AY240" s="283"/>
      <c r="AZ240" s="283" t="e">
        <f t="shared" ref="AZ240:CD240" si="147">AZ223/AZ232</f>
        <v>#DIV/0!</v>
      </c>
      <c r="BA240" s="283" t="e">
        <f t="shared" si="147"/>
        <v>#DIV/0!</v>
      </c>
      <c r="BB240" s="283" t="e">
        <f t="shared" si="147"/>
        <v>#DIV/0!</v>
      </c>
      <c r="BC240" s="283" t="e">
        <f t="shared" si="147"/>
        <v>#DIV/0!</v>
      </c>
      <c r="BD240" s="283">
        <f t="shared" si="147"/>
        <v>0</v>
      </c>
      <c r="BE240" s="283">
        <f t="shared" si="147"/>
        <v>0</v>
      </c>
      <c r="BF240" s="283">
        <f t="shared" si="147"/>
        <v>0</v>
      </c>
      <c r="BG240" s="283">
        <f t="shared" si="147"/>
        <v>0</v>
      </c>
      <c r="BH240" s="283">
        <f t="shared" si="147"/>
        <v>0</v>
      </c>
      <c r="BI240" s="283">
        <f t="shared" si="147"/>
        <v>0</v>
      </c>
      <c r="BJ240" s="283">
        <f t="shared" si="147"/>
        <v>0</v>
      </c>
      <c r="BK240" s="283">
        <f t="shared" si="147"/>
        <v>0</v>
      </c>
      <c r="BL240" s="283">
        <f t="shared" si="147"/>
        <v>0</v>
      </c>
      <c r="BM240" s="283">
        <f t="shared" si="147"/>
        <v>0</v>
      </c>
      <c r="BN240" s="283">
        <f t="shared" si="147"/>
        <v>0</v>
      </c>
      <c r="BO240" s="283">
        <f t="shared" si="147"/>
        <v>0</v>
      </c>
      <c r="BP240" s="283">
        <f t="shared" si="147"/>
        <v>0</v>
      </c>
      <c r="BQ240" s="283">
        <f t="shared" si="147"/>
        <v>0</v>
      </c>
      <c r="BR240" s="283">
        <f t="shared" si="147"/>
        <v>0</v>
      </c>
      <c r="BS240" s="283">
        <f t="shared" si="147"/>
        <v>0</v>
      </c>
      <c r="BT240" s="283">
        <f t="shared" si="147"/>
        <v>0</v>
      </c>
      <c r="BU240" s="283">
        <f t="shared" si="147"/>
        <v>0</v>
      </c>
      <c r="BV240" s="283">
        <f t="shared" si="147"/>
        <v>0</v>
      </c>
      <c r="BW240" s="283">
        <f t="shared" si="147"/>
        <v>1.934154190543943</v>
      </c>
      <c r="BX240" s="283">
        <f t="shared" si="147"/>
        <v>0</v>
      </c>
      <c r="BY240" s="283">
        <f t="shared" si="147"/>
        <v>0</v>
      </c>
      <c r="BZ240" s="283">
        <f t="shared" si="147"/>
        <v>0</v>
      </c>
      <c r="CA240" s="283">
        <f t="shared" si="147"/>
        <v>1.3124876605478604</v>
      </c>
      <c r="CB240" s="283">
        <f t="shared" si="147"/>
        <v>4.1780130214178692</v>
      </c>
      <c r="CC240" s="283">
        <f t="shared" si="147"/>
        <v>4.1033904273139585</v>
      </c>
      <c r="CD240" s="283">
        <f t="shared" si="147"/>
        <v>4.2692926973546879</v>
      </c>
      <c r="CE240" s="283">
        <f>CE223/CE232</f>
        <v>4.1647442887459052</v>
      </c>
      <c r="CF240" s="283">
        <f>CF223/CF232</f>
        <v>4.2099557218414088</v>
      </c>
      <c r="CH240" s="92" t="str">
        <f t="shared" si="142"/>
        <v>Total net leverage</v>
      </c>
    </row>
    <row r="241" spans="30:86">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row>
    <row r="242" spans="30:86">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row>
    <row r="243" spans="30:86">
      <c r="AD243" s="226"/>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row>
    <row r="244" spans="30:86">
      <c r="AD244" s="226"/>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row>
    <row r="245" spans="30:86">
      <c r="AD245" s="174" t="s">
        <v>725</v>
      </c>
      <c r="AE245" s="177"/>
      <c r="AF245" s="177"/>
      <c r="AG245" s="177"/>
      <c r="AH245" s="177"/>
      <c r="AI245" s="177"/>
      <c r="AJ245" s="177"/>
      <c r="AK245" s="177"/>
      <c r="AL245" s="177"/>
      <c r="AM245" s="177"/>
      <c r="AN245" s="177"/>
      <c r="AO245" s="177"/>
      <c r="AP245" s="177"/>
      <c r="AQ245" s="177"/>
      <c r="AR245" s="177"/>
      <c r="AS245" s="177"/>
      <c r="AT245" s="177"/>
      <c r="AU245" s="177"/>
      <c r="AV245" s="177"/>
      <c r="AW245" s="177"/>
      <c r="AX245" s="177"/>
      <c r="AY245" s="177"/>
      <c r="AZ245" s="177"/>
      <c r="BA245" s="177"/>
      <c r="BB245" s="177"/>
      <c r="BC245" s="177"/>
      <c r="BD245" s="178"/>
      <c r="BE245" s="178"/>
      <c r="BF245" s="178"/>
      <c r="BG245" s="178"/>
      <c r="BH245" s="178"/>
      <c r="BI245" s="178"/>
      <c r="BJ245" s="178"/>
      <c r="BK245" s="178"/>
      <c r="BL245" s="178"/>
      <c r="BM245" s="178"/>
      <c r="BN245" s="178"/>
      <c r="BO245" s="178"/>
      <c r="BP245" s="178"/>
      <c r="BQ245" s="178"/>
      <c r="BR245" s="178"/>
      <c r="BS245" s="178"/>
      <c r="BT245" s="178"/>
      <c r="BU245" s="178">
        <v>2015</v>
      </c>
      <c r="BV245" s="178">
        <v>2016</v>
      </c>
      <c r="BW245" s="178">
        <v>2017</v>
      </c>
      <c r="BX245" s="178">
        <v>2018</v>
      </c>
      <c r="BY245" s="178">
        <v>2019</v>
      </c>
      <c r="BZ245" s="178" t="s">
        <v>765</v>
      </c>
      <c r="CA245" s="178">
        <v>2021</v>
      </c>
      <c r="CB245" s="178">
        <v>2022</v>
      </c>
      <c r="CC245" s="178">
        <v>2023</v>
      </c>
      <c r="CD245" s="178">
        <v>2024</v>
      </c>
      <c r="CE245" s="178">
        <v>2025</v>
      </c>
      <c r="CF245" s="178">
        <v>2026</v>
      </c>
      <c r="CH245" s="92" t="str">
        <f>AD245</f>
        <v>Maturity profile</v>
      </c>
    </row>
    <row r="246" spans="30:86">
      <c r="AD246" s="169" t="s">
        <v>807</v>
      </c>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246"/>
      <c r="BE246" s="246"/>
      <c r="BF246" s="246"/>
      <c r="BG246" s="246"/>
      <c r="BH246" s="278"/>
      <c r="BI246" s="278"/>
      <c r="BJ246" s="278"/>
      <c r="BK246" s="278"/>
      <c r="BL246" s="278"/>
      <c r="BM246" s="278"/>
      <c r="BN246" s="278"/>
      <c r="BO246" s="278"/>
      <c r="BP246" s="278"/>
      <c r="BQ246" s="278"/>
      <c r="BR246" s="278"/>
      <c r="BS246" s="278"/>
      <c r="BT246" s="278"/>
      <c r="BU246" s="278">
        <v>0</v>
      </c>
      <c r="BV246" s="278">
        <v>0</v>
      </c>
      <c r="BW246" s="278">
        <v>0</v>
      </c>
      <c r="BX246" s="278">
        <v>0</v>
      </c>
      <c r="BY246" s="278">
        <v>0</v>
      </c>
      <c r="BZ246" s="278">
        <v>0</v>
      </c>
      <c r="CA246" s="278">
        <v>0</v>
      </c>
      <c r="CB246" s="278">
        <v>0</v>
      </c>
      <c r="CC246" s="278">
        <v>0</v>
      </c>
      <c r="CD246" s="278">
        <v>1250.4285714285716</v>
      </c>
      <c r="CE246" s="278">
        <v>0</v>
      </c>
      <c r="CF246" s="278"/>
      <c r="CH246" s="92" t="str">
        <f>AD246</f>
        <v>VTR 3rd party debt</v>
      </c>
    </row>
    <row r="247" spans="30:86">
      <c r="AD247" s="169" t="s">
        <v>808</v>
      </c>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286"/>
      <c r="BE247" s="286"/>
      <c r="BF247" s="286"/>
      <c r="BG247" s="286"/>
      <c r="BH247" s="278"/>
      <c r="BI247" s="278"/>
      <c r="BJ247" s="278"/>
      <c r="BK247" s="278"/>
      <c r="BL247" s="278"/>
      <c r="BM247" s="278"/>
      <c r="BN247" s="278"/>
      <c r="BO247" s="278"/>
      <c r="BP247" s="278"/>
      <c r="BQ247" s="278"/>
      <c r="BR247" s="278"/>
      <c r="BS247" s="278"/>
      <c r="BT247" s="278"/>
      <c r="BU247" s="278">
        <f>PR!BS242</f>
        <v>0</v>
      </c>
      <c r="BV247" s="278">
        <f>PR!BT242</f>
        <v>0</v>
      </c>
      <c r="BW247" s="278">
        <f>PR!BU242</f>
        <v>0</v>
      </c>
      <c r="BX247" s="278">
        <f>PR!BV242</f>
        <v>0</v>
      </c>
      <c r="BY247" s="278">
        <f>PR!BW242</f>
        <v>0</v>
      </c>
      <c r="BZ247" s="278">
        <f>PR!BX242</f>
        <v>0</v>
      </c>
      <c r="CA247" s="278">
        <f>PR!BY242</f>
        <v>0</v>
      </c>
      <c r="CB247" s="278">
        <f>PR!BZ242</f>
        <v>530</v>
      </c>
      <c r="CC247" s="278">
        <f>PR!CA242</f>
        <v>142</v>
      </c>
      <c r="CD247" s="278">
        <f>PR!CB242</f>
        <v>0</v>
      </c>
      <c r="CE247" s="278">
        <f>PR!CC242</f>
        <v>0</v>
      </c>
      <c r="CF247" s="278"/>
      <c r="CH247" s="92" t="str">
        <f>AD247</f>
        <v>Liberty Puerto Rico 3rd party debt</v>
      </c>
    </row>
    <row r="248" spans="30:86">
      <c r="BH248" s="278"/>
      <c r="BI248" s="278"/>
      <c r="BJ248" s="278"/>
      <c r="BK248" s="278"/>
      <c r="BL248" s="278"/>
      <c r="BM248" s="278"/>
      <c r="BN248" s="278"/>
      <c r="BO248" s="278"/>
      <c r="BP248" s="278"/>
      <c r="BQ248" s="278"/>
      <c r="BR248" s="278"/>
      <c r="BS248" s="278"/>
      <c r="BT248" s="278"/>
      <c r="BU248" s="278"/>
      <c r="BV248" s="278"/>
      <c r="BW248" s="278"/>
      <c r="BX248" s="278"/>
      <c r="BY248" s="278"/>
      <c r="BZ248" s="278"/>
      <c r="CA248" s="278"/>
      <c r="CB248" s="278"/>
      <c r="CC248" s="278"/>
      <c r="CD248" s="278"/>
      <c r="CE248" s="278"/>
      <c r="CF248" s="278"/>
    </row>
    <row r="249" spans="30:86">
      <c r="AD249" s="169" t="s">
        <v>805</v>
      </c>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286"/>
      <c r="BE249" s="286"/>
      <c r="BF249" s="286"/>
      <c r="BG249" s="286"/>
      <c r="BH249" s="278"/>
      <c r="BI249" s="278"/>
      <c r="BJ249" s="278"/>
      <c r="BK249" s="278"/>
      <c r="BL249" s="278"/>
      <c r="BM249" s="278"/>
      <c r="BN249" s="278"/>
      <c r="BO249" s="278"/>
      <c r="BP249" s="278"/>
      <c r="BQ249" s="278"/>
      <c r="BR249" s="278"/>
      <c r="BS249" s="278"/>
      <c r="BT249" s="278"/>
      <c r="BU249" s="278">
        <v>0</v>
      </c>
      <c r="BV249" s="278">
        <v>0</v>
      </c>
      <c r="BW249" s="278">
        <v>0</v>
      </c>
      <c r="BX249" s="278">
        <v>0</v>
      </c>
      <c r="BY249" s="278">
        <v>0</v>
      </c>
      <c r="BZ249" s="278">
        <v>0</v>
      </c>
      <c r="CA249" s="278">
        <v>0</v>
      </c>
      <c r="CB249" s="278">
        <v>0</v>
      </c>
      <c r="CC249" s="278">
        <v>0</v>
      </c>
      <c r="CD249" s="278">
        <v>0</v>
      </c>
      <c r="CE249" s="278">
        <v>0</v>
      </c>
      <c r="CF249" s="278"/>
      <c r="CH249" s="92" t="str">
        <f>AD249</f>
        <v>VTR Related party debt</v>
      </c>
    </row>
    <row r="250" spans="30:86" ht="15" customHeight="1">
      <c r="AD250" s="169" t="s">
        <v>806</v>
      </c>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286"/>
      <c r="BE250" s="286"/>
      <c r="BF250" s="286"/>
      <c r="BG250" s="286"/>
      <c r="BH250" s="278"/>
      <c r="BI250" s="278"/>
      <c r="BJ250" s="278"/>
      <c r="BK250" s="278"/>
      <c r="BL250" s="278"/>
      <c r="BM250" s="278"/>
      <c r="BN250" s="278"/>
      <c r="BO250" s="278"/>
      <c r="BP250" s="278"/>
      <c r="BQ250" s="278"/>
      <c r="BR250" s="278"/>
      <c r="BS250" s="278"/>
      <c r="BT250" s="278"/>
      <c r="BU250" s="278">
        <f>PR!BS243</f>
        <v>0</v>
      </c>
      <c r="BV250" s="278">
        <f>PR!BT243</f>
        <v>0</v>
      </c>
      <c r="BW250" s="278">
        <f>PR!BU243</f>
        <v>0</v>
      </c>
      <c r="BX250" s="278">
        <f>PR!BV243</f>
        <v>0</v>
      </c>
      <c r="BY250" s="278">
        <f>PR!BW243</f>
        <v>0</v>
      </c>
      <c r="BZ250" s="278">
        <f>PR!BX243</f>
        <v>16</v>
      </c>
      <c r="CA250" s="278">
        <f>PR!BY243</f>
        <v>0</v>
      </c>
      <c r="CB250" s="278">
        <f>PR!BZ243</f>
        <v>0</v>
      </c>
      <c r="CC250" s="278">
        <f>PR!CA243</f>
        <v>0</v>
      </c>
      <c r="CD250" s="278">
        <f>PR!CB243</f>
        <v>0</v>
      </c>
      <c r="CE250" s="278">
        <f>PR!CC243</f>
        <v>0</v>
      </c>
      <c r="CF250" s="278"/>
      <c r="CH250" s="92" t="str">
        <f>AD250</f>
        <v>Liberty Puerto Rico Related party debt</v>
      </c>
    </row>
    <row r="251" spans="30:86" ht="15" customHeight="1"/>
    <row r="252" spans="30:86" ht="15" customHeight="1"/>
    <row r="253" spans="30:86" ht="15" customHeight="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row>
    <row r="254" spans="30:86" ht="15" customHeight="1">
      <c r="AD254" s="179" t="str">
        <f t="shared" ref="AD254:AD263" si="148">AD207</f>
        <v>Debt structure ($mn)</v>
      </c>
      <c r="AE254" s="180" t="str">
        <f t="shared" ref="AE254:AE260" si="149">CF207</f>
        <v>Q1 15</v>
      </c>
      <c r="AF254" s="181" t="s">
        <v>728</v>
      </c>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row>
    <row r="255" spans="30:86" ht="15" customHeight="1">
      <c r="AD255" s="182" t="str">
        <f t="shared" si="148"/>
        <v>VTR Bank debt</v>
      </c>
      <c r="AE255" s="183">
        <f t="shared" si="149"/>
        <v>0</v>
      </c>
      <c r="AF255" s="184"/>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row>
    <row r="256" spans="30:86" ht="15" customHeight="1">
      <c r="AD256" s="185" t="str">
        <f t="shared" si="148"/>
        <v>Liberty Puerto Rico Bank debt</v>
      </c>
      <c r="AE256" s="287">
        <f t="shared" si="149"/>
        <v>672</v>
      </c>
      <c r="AF256" s="1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row>
    <row r="257" spans="30:83" ht="15" customHeight="1">
      <c r="AD257" s="182" t="str">
        <f t="shared" si="148"/>
        <v>VTR SSN</v>
      </c>
      <c r="AE257" s="183">
        <f t="shared" si="149"/>
        <v>1401.3544451737882</v>
      </c>
      <c r="AF257" s="189"/>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row>
    <row r="258" spans="30:83" ht="15" customHeight="1">
      <c r="AD258" s="185" t="str">
        <f t="shared" si="148"/>
        <v>Liberty Puerto Rico SSN</v>
      </c>
      <c r="AE258" s="287">
        <f t="shared" si="149"/>
        <v>0</v>
      </c>
      <c r="AF258" s="1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row>
    <row r="259" spans="30:83" ht="15" customHeight="1">
      <c r="AD259" s="182" t="str">
        <f t="shared" si="148"/>
        <v>VTR Capital leases</v>
      </c>
      <c r="AE259" s="183">
        <f t="shared" si="149"/>
        <v>0.48029970701717867</v>
      </c>
      <c r="AF259" s="189"/>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row>
    <row r="260" spans="30:83" ht="15" customHeight="1">
      <c r="AD260" s="185" t="str">
        <f t="shared" si="148"/>
        <v>Liberty Puerto Rico Capital leases</v>
      </c>
      <c r="AE260" s="287">
        <f t="shared" si="149"/>
        <v>0.9</v>
      </c>
      <c r="AF260" s="1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row>
    <row r="261" spans="30:83" ht="15" customHeight="1">
      <c r="AD261" s="288" t="str">
        <f t="shared" si="148"/>
        <v>Total senior secured debt</v>
      </c>
      <c r="AE261" s="289">
        <f>SUM(AE255:AE260)</f>
        <v>2074.7347448808055</v>
      </c>
      <c r="AF261" s="290">
        <f>AE261/CF232</f>
        <v>4.3787788470640088</v>
      </c>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row>
    <row r="262" spans="30:83" ht="15" customHeight="1">
      <c r="AD262" s="185" t="str">
        <f t="shared" si="148"/>
        <v>VTR HY debt</v>
      </c>
      <c r="AE262" s="287">
        <f>CF215</f>
        <v>0</v>
      </c>
      <c r="AF262" s="1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row>
    <row r="263" spans="30:83" ht="15" customHeight="1">
      <c r="AD263" s="182" t="str">
        <f t="shared" si="148"/>
        <v>Liberty Puerto Rico HY debt</v>
      </c>
      <c r="AE263" s="183">
        <f>CF216</f>
        <v>0</v>
      </c>
      <c r="AF263" s="189"/>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row>
    <row r="264" spans="30:83" ht="15" customHeight="1">
      <c r="AD264" s="185" t="str">
        <f>AD218</f>
        <v>VTR Other</v>
      </c>
      <c r="AE264" s="287">
        <f>CF218</f>
        <v>0</v>
      </c>
      <c r="AF264" s="2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row>
    <row r="265" spans="30:83" ht="15" customHeight="1">
      <c r="AD265" s="182" t="str">
        <f>AD219</f>
        <v>Liberty Puerto Rico Other</v>
      </c>
      <c r="AE265" s="183">
        <f>CF219</f>
        <v>0</v>
      </c>
      <c r="AF265" s="199"/>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row>
    <row r="266" spans="30:83" ht="15" customHeight="1">
      <c r="AD266" s="292" t="s">
        <v>809</v>
      </c>
      <c r="AE266" s="293">
        <f>SUM(AE261:AE265)</f>
        <v>2074.7347448808055</v>
      </c>
      <c r="AF266" s="294">
        <f>AE266/CF232</f>
        <v>4.3787788470640088</v>
      </c>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row>
    <row r="267" spans="30:83" ht="15" customHeight="1">
      <c r="AD267" s="182" t="str">
        <f>AD221</f>
        <v>VTR Cash</v>
      </c>
      <c r="AE267" s="183">
        <f>CF221</f>
        <v>49.791069627447534</v>
      </c>
      <c r="AF267" s="199"/>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row>
    <row r="268" spans="30:83" ht="15" customHeight="1">
      <c r="AD268" s="185" t="str">
        <f>AD222</f>
        <v>Liberty Puerto Rico Cash</v>
      </c>
      <c r="AE268" s="287">
        <f>CF222</f>
        <v>30.2</v>
      </c>
      <c r="AF268" s="2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row>
    <row r="269" spans="30:83" ht="15" customHeight="1">
      <c r="AD269" s="295" t="str">
        <f>AD223</f>
        <v>Total third party net debt</v>
      </c>
      <c r="AE269" s="296">
        <f>AE266-AE267-AE268</f>
        <v>1994.7436752533579</v>
      </c>
      <c r="AF269" s="297">
        <f>AE269/CF232</f>
        <v>4.2099557218414088</v>
      </c>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row>
    <row r="270" spans="30:83" ht="15" customHeight="1">
      <c r="AD270" s="185" t="str">
        <f>AD225</f>
        <v>VTR Related party debt</v>
      </c>
      <c r="AE270" s="287">
        <f>CF225</f>
        <v>0</v>
      </c>
      <c r="AF270" s="2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row>
    <row r="271" spans="30:83">
      <c r="AD271" s="185" t="str">
        <f>AD226</f>
        <v>Liberty Puerto Rico Related party debt</v>
      </c>
      <c r="AE271" s="287">
        <f>CF226</f>
        <v>16</v>
      </c>
      <c r="AF271" s="2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row>
    <row r="272" spans="30:83">
      <c r="AD272" s="214"/>
      <c r="AE272" s="161"/>
      <c r="AF272" s="298"/>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row>
    <row r="273" spans="30:86">
      <c r="AD273" s="226"/>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row>
    <row r="274" spans="30:86">
      <c r="AD274" s="226"/>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row>
    <row r="275" spans="30:86">
      <c r="AD275" s="206" t="s">
        <v>810</v>
      </c>
      <c r="AE275" s="207" t="str">
        <f>AE$1</f>
        <v>Q4 01</v>
      </c>
      <c r="AF275" s="207" t="str">
        <f t="shared" ref="AF275:CF275" si="150">AF$1</f>
        <v>Q1 02</v>
      </c>
      <c r="AG275" s="207" t="str">
        <f t="shared" si="150"/>
        <v>Q2 02</v>
      </c>
      <c r="AH275" s="207" t="str">
        <f t="shared" si="150"/>
        <v>Q3 02</v>
      </c>
      <c r="AI275" s="207" t="str">
        <f t="shared" si="150"/>
        <v>Q4 02</v>
      </c>
      <c r="AJ275" s="207" t="str">
        <f t="shared" si="150"/>
        <v>Q1 03</v>
      </c>
      <c r="AK275" s="207" t="str">
        <f t="shared" si="150"/>
        <v>Q2 03</v>
      </c>
      <c r="AL275" s="207" t="str">
        <f t="shared" si="150"/>
        <v>Q3 03</v>
      </c>
      <c r="AM275" s="207" t="str">
        <f t="shared" si="150"/>
        <v>Q4 03</v>
      </c>
      <c r="AN275" s="207" t="str">
        <f t="shared" si="150"/>
        <v>1Q04</v>
      </c>
      <c r="AO275" s="207" t="str">
        <f t="shared" si="150"/>
        <v>Q2 04</v>
      </c>
      <c r="AP275" s="207" t="str">
        <f t="shared" si="150"/>
        <v>Q3 04</v>
      </c>
      <c r="AQ275" s="207" t="str">
        <f t="shared" si="150"/>
        <v>Q4 04</v>
      </c>
      <c r="AR275" s="207" t="str">
        <f t="shared" si="150"/>
        <v>Q1 05</v>
      </c>
      <c r="AS275" s="207" t="str">
        <f t="shared" si="150"/>
        <v>Q2 05</v>
      </c>
      <c r="AT275" s="207" t="str">
        <f t="shared" si="150"/>
        <v>Q3 05</v>
      </c>
      <c r="AU275" s="207" t="str">
        <f t="shared" si="150"/>
        <v>Q4 05</v>
      </c>
      <c r="AV275" s="207" t="str">
        <f t="shared" si="150"/>
        <v>Q1 06</v>
      </c>
      <c r="AW275" s="207" t="str">
        <f t="shared" si="150"/>
        <v>Q2 06</v>
      </c>
      <c r="AX275" s="207" t="str">
        <f t="shared" si="150"/>
        <v>Q3 06</v>
      </c>
      <c r="AY275" s="207" t="str">
        <f t="shared" si="150"/>
        <v>Q4 06</v>
      </c>
      <c r="AZ275" s="207" t="str">
        <f t="shared" si="150"/>
        <v>Q1 07</v>
      </c>
      <c r="BA275" s="207" t="str">
        <f t="shared" si="150"/>
        <v>Q2 07</v>
      </c>
      <c r="BB275" s="207" t="str">
        <f t="shared" si="150"/>
        <v>Q3 07</v>
      </c>
      <c r="BC275" s="207" t="str">
        <f t="shared" si="150"/>
        <v>Q4 07</v>
      </c>
      <c r="BD275" s="207" t="str">
        <f t="shared" si="150"/>
        <v>Q1 08</v>
      </c>
      <c r="BE275" s="207" t="str">
        <f t="shared" si="150"/>
        <v>Q2 08</v>
      </c>
      <c r="BF275" s="207" t="str">
        <f t="shared" si="150"/>
        <v>Q3 08</v>
      </c>
      <c r="BG275" s="207" t="str">
        <f t="shared" si="150"/>
        <v>Q4 08</v>
      </c>
      <c r="BH275" s="207" t="str">
        <f t="shared" si="150"/>
        <v>Q1 09</v>
      </c>
      <c r="BI275" s="207" t="str">
        <f t="shared" si="150"/>
        <v>Q2 09</v>
      </c>
      <c r="BJ275" s="207" t="str">
        <f t="shared" si="150"/>
        <v>Q3 09</v>
      </c>
      <c r="BK275" s="207" t="str">
        <f t="shared" si="150"/>
        <v>Q4 09</v>
      </c>
      <c r="BL275" s="207" t="str">
        <f t="shared" si="150"/>
        <v>Q1 10</v>
      </c>
      <c r="BM275" s="207" t="str">
        <f t="shared" si="150"/>
        <v>Q2 10</v>
      </c>
      <c r="BN275" s="207" t="str">
        <f t="shared" si="150"/>
        <v>Q3 10</v>
      </c>
      <c r="BO275" s="207" t="str">
        <f t="shared" si="150"/>
        <v>Q4 10</v>
      </c>
      <c r="BP275" s="207" t="str">
        <f t="shared" si="150"/>
        <v>Q1 11</v>
      </c>
      <c r="BQ275" s="207" t="str">
        <f t="shared" si="150"/>
        <v>Q2 11</v>
      </c>
      <c r="BR275" s="207" t="str">
        <f t="shared" si="150"/>
        <v>Q3 11</v>
      </c>
      <c r="BS275" s="207" t="str">
        <f t="shared" si="150"/>
        <v>Q4 11</v>
      </c>
      <c r="BT275" s="207" t="str">
        <f t="shared" si="150"/>
        <v>Q1 12</v>
      </c>
      <c r="BU275" s="207" t="str">
        <f t="shared" si="150"/>
        <v>Q2 12</v>
      </c>
      <c r="BV275" s="207" t="str">
        <f t="shared" si="150"/>
        <v>Q3 12</v>
      </c>
      <c r="BW275" s="207" t="str">
        <f t="shared" si="150"/>
        <v>Q4 12</v>
      </c>
      <c r="BX275" s="207" t="str">
        <f t="shared" si="150"/>
        <v>Q1 13</v>
      </c>
      <c r="BY275" s="207" t="str">
        <f t="shared" si="150"/>
        <v>Q2 13</v>
      </c>
      <c r="BZ275" s="207" t="str">
        <f t="shared" si="150"/>
        <v>Q3 13</v>
      </c>
      <c r="CA275" s="207" t="str">
        <f t="shared" si="150"/>
        <v>Q4 13</v>
      </c>
      <c r="CB275" s="207" t="str">
        <f t="shared" si="150"/>
        <v>Q1 14</v>
      </c>
      <c r="CC275" s="207" t="str">
        <f t="shared" si="150"/>
        <v>Q2 14</v>
      </c>
      <c r="CD275" s="207" t="str">
        <f t="shared" si="150"/>
        <v>Q3 14</v>
      </c>
      <c r="CE275" s="207" t="str">
        <f t="shared" si="150"/>
        <v>Q4 14</v>
      </c>
      <c r="CF275" s="207" t="str">
        <f t="shared" si="150"/>
        <v>Q1 15</v>
      </c>
      <c r="CH275" s="92" t="str">
        <f>AD275</f>
        <v>LatAm ($mn)</v>
      </c>
    </row>
    <row r="276" spans="30:86">
      <c r="AD276" s="208" t="s">
        <v>736</v>
      </c>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209"/>
      <c r="BU276" s="209"/>
      <c r="BV276" s="209"/>
      <c r="BW276" s="209"/>
      <c r="BX276" s="209"/>
      <c r="BY276" s="209"/>
      <c r="BZ276" s="209"/>
      <c r="CA276" s="209"/>
      <c r="CB276" s="209"/>
      <c r="CC276" s="209"/>
      <c r="CD276" s="209"/>
      <c r="CE276" s="209"/>
      <c r="CF276" s="209"/>
      <c r="CH276" s="92" t="str">
        <f t="shared" ref="CH276:CH293" si="151">AD276</f>
        <v>Credit stats</v>
      </c>
    </row>
    <row r="277" spans="30:86">
      <c r="AD277" s="210" t="s">
        <v>737</v>
      </c>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209"/>
      <c r="BU277" s="209"/>
      <c r="BV277" s="209"/>
      <c r="BW277" s="209">
        <f t="shared" ref="BW277:CD277" si="152">BW214</f>
        <v>756.79803264964426</v>
      </c>
      <c r="BX277" s="209"/>
      <c r="BY277" s="209"/>
      <c r="BZ277" s="209"/>
      <c r="CA277" s="209">
        <f t="shared" si="152"/>
        <v>782.45177162308528</v>
      </c>
      <c r="CB277" s="209">
        <f t="shared" si="152"/>
        <v>2052.8746309745898</v>
      </c>
      <c r="CC277" s="209">
        <f t="shared" si="152"/>
        <v>2049.875397068633</v>
      </c>
      <c r="CD277" s="209">
        <f t="shared" si="152"/>
        <v>2123.8261979337917</v>
      </c>
      <c r="CE277" s="209">
        <f>CE214</f>
        <v>2093.1934804765165</v>
      </c>
      <c r="CF277" s="209">
        <f>CF214</f>
        <v>2074.7347448808055</v>
      </c>
      <c r="CH277" s="92" t="str">
        <f t="shared" si="151"/>
        <v>Senior secured debt</v>
      </c>
    </row>
    <row r="278" spans="30:86">
      <c r="AD278" s="210" t="s">
        <v>738</v>
      </c>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c r="BI278" s="209"/>
      <c r="BJ278" s="209"/>
      <c r="BK278" s="209"/>
      <c r="BL278" s="209"/>
      <c r="BM278" s="209"/>
      <c r="BN278" s="209"/>
      <c r="BO278" s="209"/>
      <c r="BP278" s="209"/>
      <c r="BQ278" s="209"/>
      <c r="BR278" s="209"/>
      <c r="BS278" s="209"/>
      <c r="BT278" s="209"/>
      <c r="BU278" s="209"/>
      <c r="BV278" s="209"/>
      <c r="BW278" s="209">
        <f t="shared" ref="BW278:CE278" si="153">BW217</f>
        <v>0</v>
      </c>
      <c r="BX278" s="209"/>
      <c r="BY278" s="209"/>
      <c r="BZ278" s="209"/>
      <c r="CA278" s="209">
        <f t="shared" si="153"/>
        <v>0</v>
      </c>
      <c r="CB278" s="209">
        <f t="shared" si="153"/>
        <v>0</v>
      </c>
      <c r="CC278" s="209">
        <f t="shared" si="153"/>
        <v>0</v>
      </c>
      <c r="CD278" s="209">
        <f t="shared" si="153"/>
        <v>0</v>
      </c>
      <c r="CE278" s="209">
        <f t="shared" si="153"/>
        <v>0</v>
      </c>
      <c r="CF278" s="209">
        <f>CF217</f>
        <v>0</v>
      </c>
      <c r="CH278" s="92" t="str">
        <f t="shared" si="151"/>
        <v>Senior unsecured debt</v>
      </c>
    </row>
    <row r="279" spans="30:86">
      <c r="AD279" s="210" t="s">
        <v>739</v>
      </c>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c r="BI279" s="209"/>
      <c r="BJ279" s="209"/>
      <c r="BK279" s="209"/>
      <c r="BL279" s="209"/>
      <c r="BM279" s="209"/>
      <c r="BN279" s="209"/>
      <c r="BO279" s="209"/>
      <c r="BP279" s="209"/>
      <c r="BQ279" s="209"/>
      <c r="BR279" s="209"/>
      <c r="BS279" s="209"/>
      <c r="BT279" s="209"/>
      <c r="BU279" s="209"/>
      <c r="BV279" s="209"/>
      <c r="BW279" s="209">
        <f t="shared" ref="BW279:CE279" si="154">BW218+BW219</f>
        <v>0</v>
      </c>
      <c r="BX279" s="209"/>
      <c r="BY279" s="209"/>
      <c r="BZ279" s="209"/>
      <c r="CA279" s="209">
        <f t="shared" si="154"/>
        <v>0</v>
      </c>
      <c r="CB279" s="209">
        <f t="shared" si="154"/>
        <v>0</v>
      </c>
      <c r="CC279" s="209">
        <f t="shared" si="154"/>
        <v>0</v>
      </c>
      <c r="CD279" s="209">
        <f t="shared" si="154"/>
        <v>0</v>
      </c>
      <c r="CE279" s="209">
        <f t="shared" si="154"/>
        <v>0</v>
      </c>
      <c r="CF279" s="209">
        <f>CF218+CF219</f>
        <v>0</v>
      </c>
      <c r="CH279" s="92" t="str">
        <f t="shared" si="151"/>
        <v>Other debt</v>
      </c>
    </row>
    <row r="280" spans="30:86">
      <c r="AD280" s="210" t="s">
        <v>740</v>
      </c>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212"/>
      <c r="BW280" s="212">
        <v>0</v>
      </c>
      <c r="BX280" s="212"/>
      <c r="BY280" s="212"/>
      <c r="BZ280" s="212"/>
      <c r="CA280" s="212">
        <v>0</v>
      </c>
      <c r="CB280" s="212">
        <v>0</v>
      </c>
      <c r="CC280" s="212">
        <v>0</v>
      </c>
      <c r="CD280" s="212">
        <v>0</v>
      </c>
      <c r="CE280" s="212">
        <v>0</v>
      </c>
      <c r="CF280" s="212">
        <v>0</v>
      </c>
      <c r="CH280" s="92" t="str">
        <f t="shared" si="151"/>
        <v>PIK debt</v>
      </c>
    </row>
    <row r="281" spans="30:86">
      <c r="AD281" s="210" t="s">
        <v>741</v>
      </c>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09"/>
      <c r="BB281" s="209"/>
      <c r="BC281" s="209"/>
      <c r="BD281" s="209"/>
      <c r="BE281" s="209"/>
      <c r="BF281" s="209"/>
      <c r="BG281" s="209"/>
      <c r="BH281" s="209"/>
      <c r="BI281" s="209"/>
      <c r="BJ281" s="209"/>
      <c r="BK281" s="209"/>
      <c r="BL281" s="209"/>
      <c r="BM281" s="209"/>
      <c r="BN281" s="209"/>
      <c r="BO281" s="209"/>
      <c r="BP281" s="209"/>
      <c r="BQ281" s="209"/>
      <c r="BR281" s="209"/>
      <c r="BS281" s="209"/>
      <c r="BT281" s="209"/>
      <c r="BU281" s="209"/>
      <c r="BV281" s="209"/>
      <c r="BW281" s="209">
        <f t="shared" ref="BW281:CE281" si="155">BW277+BW278+BW279+BW280</f>
        <v>756.79803264964426</v>
      </c>
      <c r="BX281" s="209"/>
      <c r="BY281" s="209"/>
      <c r="BZ281" s="209"/>
      <c r="CA281" s="209">
        <f t="shared" si="155"/>
        <v>782.45177162308528</v>
      </c>
      <c r="CB281" s="209">
        <f t="shared" si="155"/>
        <v>2052.8746309745898</v>
      </c>
      <c r="CC281" s="209">
        <f t="shared" si="155"/>
        <v>2049.875397068633</v>
      </c>
      <c r="CD281" s="209">
        <f t="shared" si="155"/>
        <v>2123.8261979337917</v>
      </c>
      <c r="CE281" s="209">
        <f t="shared" si="155"/>
        <v>2093.1934804765165</v>
      </c>
      <c r="CF281" s="209">
        <f>CF277+CF278+CF279+CF280</f>
        <v>2074.7347448808055</v>
      </c>
      <c r="CH281" s="92" t="str">
        <f t="shared" si="151"/>
        <v>Total debt</v>
      </c>
    </row>
    <row r="282" spans="30:86">
      <c r="AD282" s="210" t="s">
        <v>707</v>
      </c>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c r="BI282" s="209"/>
      <c r="BJ282" s="209"/>
      <c r="BK282" s="209"/>
      <c r="BL282" s="209"/>
      <c r="BM282" s="209"/>
      <c r="BN282" s="209"/>
      <c r="BO282" s="209"/>
      <c r="BP282" s="209"/>
      <c r="BQ282" s="209"/>
      <c r="BR282" s="209"/>
      <c r="BS282" s="209"/>
      <c r="BT282" s="209"/>
      <c r="BU282" s="209"/>
      <c r="BV282" s="209"/>
      <c r="BW282" s="209">
        <f t="shared" ref="BW282:CE282" si="156">BW221+BW222</f>
        <v>46.770029300962747</v>
      </c>
      <c r="BX282" s="209"/>
      <c r="BY282" s="209"/>
      <c r="BZ282" s="209"/>
      <c r="CA282" s="209">
        <f t="shared" si="156"/>
        <v>177.57210273866627</v>
      </c>
      <c r="CB282" s="209">
        <f t="shared" si="156"/>
        <v>114.12884103381451</v>
      </c>
      <c r="CC282" s="209">
        <f t="shared" si="156"/>
        <v>111.65161621806774</v>
      </c>
      <c r="CD282" s="209">
        <f t="shared" si="156"/>
        <v>73.278600723346088</v>
      </c>
      <c r="CE282" s="209">
        <f t="shared" si="156"/>
        <v>108.28117993015991</v>
      </c>
      <c r="CF282" s="209">
        <f>CF221+CF222</f>
        <v>79.99106962744753</v>
      </c>
      <c r="CH282" s="92" t="str">
        <f t="shared" si="151"/>
        <v>Cash</v>
      </c>
    </row>
    <row r="283" spans="30:86">
      <c r="AD283" s="210" t="s">
        <v>115</v>
      </c>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c r="BI283" s="209"/>
      <c r="BJ283" s="209"/>
      <c r="BK283" s="209"/>
      <c r="BL283" s="209"/>
      <c r="BM283" s="209"/>
      <c r="BN283" s="209"/>
      <c r="BO283" s="209"/>
      <c r="BP283" s="209"/>
      <c r="BQ283" s="209"/>
      <c r="BR283" s="209"/>
      <c r="BS283" s="209"/>
      <c r="BT283" s="209"/>
      <c r="BU283" s="209"/>
      <c r="BV283" s="209"/>
      <c r="BW283" s="209">
        <f t="shared" ref="BW283:CE283" si="157">BW281-BW282</f>
        <v>710.02800334868152</v>
      </c>
      <c r="BX283" s="209"/>
      <c r="BY283" s="209"/>
      <c r="BZ283" s="209"/>
      <c r="CA283" s="209">
        <f t="shared" si="157"/>
        <v>604.87966888441906</v>
      </c>
      <c r="CB283" s="209">
        <f t="shared" si="157"/>
        <v>1938.7457899407752</v>
      </c>
      <c r="CC283" s="209">
        <f t="shared" si="157"/>
        <v>1938.2237808505652</v>
      </c>
      <c r="CD283" s="209">
        <f t="shared" si="157"/>
        <v>2050.5475972104455</v>
      </c>
      <c r="CE283" s="209">
        <f t="shared" si="157"/>
        <v>1984.9123005463566</v>
      </c>
      <c r="CF283" s="209">
        <f>CF281-CF282</f>
        <v>1994.7436752533579</v>
      </c>
      <c r="CH283" s="92" t="str">
        <f t="shared" si="151"/>
        <v>Net debt</v>
      </c>
    </row>
    <row r="284" spans="30:86">
      <c r="AD284" s="210" t="s">
        <v>647</v>
      </c>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c r="BI284" s="209"/>
      <c r="BJ284" s="209"/>
      <c r="BK284" s="209"/>
      <c r="BL284" s="209"/>
      <c r="BM284" s="209"/>
      <c r="BN284" s="209"/>
      <c r="BO284" s="209"/>
      <c r="BP284" s="209"/>
      <c r="BQ284" s="209"/>
      <c r="BR284" s="209"/>
      <c r="BS284" s="209"/>
      <c r="BT284" s="209"/>
      <c r="BU284" s="209"/>
      <c r="BV284" s="209"/>
      <c r="BW284" s="209">
        <f t="shared" ref="BW284:CF284" si="158">BW109</f>
        <v>303.8</v>
      </c>
      <c r="BX284" s="209">
        <f t="shared" si="158"/>
        <v>323.60000000000002</v>
      </c>
      <c r="BY284" s="209">
        <f t="shared" si="158"/>
        <v>326.79999999999995</v>
      </c>
      <c r="BZ284" s="209">
        <f t="shared" si="158"/>
        <v>319.5</v>
      </c>
      <c r="CA284" s="209">
        <f t="shared" si="158"/>
        <v>318.89999999999998</v>
      </c>
      <c r="CB284" s="209">
        <f t="shared" si="158"/>
        <v>300</v>
      </c>
      <c r="CC284" s="209">
        <f t="shared" si="158"/>
        <v>306.45811894932297</v>
      </c>
      <c r="CD284" s="209">
        <f t="shared" si="158"/>
        <v>299.87969785591912</v>
      </c>
      <c r="CE284" s="209">
        <f t="shared" si="158"/>
        <v>297.88666187699448</v>
      </c>
      <c r="CF284" s="209">
        <f t="shared" si="158"/>
        <v>287.61017274779465</v>
      </c>
      <c r="CH284" s="92" t="str">
        <f t="shared" si="151"/>
        <v>Revenues</v>
      </c>
    </row>
    <row r="285" spans="30:86">
      <c r="AD285" s="210" t="s">
        <v>8</v>
      </c>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c r="BI285" s="209"/>
      <c r="BJ285" s="209"/>
      <c r="BK285" s="209"/>
      <c r="BL285" s="209"/>
      <c r="BM285" s="209"/>
      <c r="BN285" s="209"/>
      <c r="BO285" s="209"/>
      <c r="BP285" s="209"/>
      <c r="BQ285" s="209"/>
      <c r="BR285" s="209"/>
      <c r="BS285" s="209"/>
      <c r="BT285" s="209"/>
      <c r="BU285" s="209"/>
      <c r="BV285" s="209"/>
      <c r="BW285" s="209">
        <f t="shared" ref="BW285:CF285" si="159">BW231</f>
        <v>101.6</v>
      </c>
      <c r="BX285" s="209">
        <f t="shared" si="159"/>
        <v>108.80003174939147</v>
      </c>
      <c r="BY285" s="209">
        <f t="shared" si="159"/>
        <v>110.62187203889096</v>
      </c>
      <c r="BZ285" s="209">
        <f t="shared" si="159"/>
        <v>111.54312913090656</v>
      </c>
      <c r="CA285" s="209">
        <f t="shared" si="159"/>
        <v>129.90000000000003</v>
      </c>
      <c r="CB285" s="209">
        <f t="shared" si="159"/>
        <v>111.9703620524152</v>
      </c>
      <c r="CC285" s="209">
        <f t="shared" si="159"/>
        <v>118.93341686347328</v>
      </c>
      <c r="CD285" s="209">
        <f t="shared" si="159"/>
        <v>119.49770017477979</v>
      </c>
      <c r="CE285" s="209">
        <f t="shared" si="159"/>
        <v>126.19736178175803</v>
      </c>
      <c r="CF285" s="209">
        <f t="shared" si="159"/>
        <v>109.18735370871423</v>
      </c>
      <c r="CH285" s="92" t="str">
        <f t="shared" si="151"/>
        <v>EBITDA</v>
      </c>
    </row>
    <row r="286" spans="30:86">
      <c r="AD286" s="210" t="s">
        <v>19</v>
      </c>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c r="BI286" s="209"/>
      <c r="BJ286" s="209"/>
      <c r="BK286" s="209"/>
      <c r="BL286" s="209"/>
      <c r="BM286" s="209"/>
      <c r="BN286" s="209"/>
      <c r="BO286" s="209"/>
      <c r="BP286" s="209"/>
      <c r="BQ286" s="209"/>
      <c r="BR286" s="209"/>
      <c r="BS286" s="209"/>
      <c r="BT286" s="209"/>
      <c r="BU286" s="209"/>
      <c r="BV286" s="209"/>
      <c r="BW286" s="209">
        <f t="shared" ref="BW286:CE286" si="160">-BW118</f>
        <v>-48.492139999999957</v>
      </c>
      <c r="BX286" s="209">
        <f t="shared" si="160"/>
        <v>-74.532278547994508</v>
      </c>
      <c r="BY286" s="209">
        <f t="shared" si="160"/>
        <v>-73.041313393482469</v>
      </c>
      <c r="BZ286" s="209">
        <f t="shared" si="160"/>
        <v>-55.478326921179836</v>
      </c>
      <c r="CA286" s="209">
        <f t="shared" si="160"/>
        <v>-51.368544019805064</v>
      </c>
      <c r="CB286" s="209">
        <f t="shared" si="160"/>
        <v>-58.979191494756662</v>
      </c>
      <c r="CC286" s="209">
        <f t="shared" si="160"/>
        <v>-75.567352935874098</v>
      </c>
      <c r="CD286" s="209">
        <f t="shared" si="160"/>
        <v>-63.750262169692149</v>
      </c>
      <c r="CE286" s="209">
        <f t="shared" si="160"/>
        <v>-57.952415164324762</v>
      </c>
      <c r="CF286" s="209">
        <f>-CF118</f>
        <v>-56.205275291782073</v>
      </c>
      <c r="CH286" s="92" t="str">
        <f t="shared" si="151"/>
        <v>Capex</v>
      </c>
    </row>
    <row r="287" spans="30:86">
      <c r="AD287" s="210" t="s">
        <v>679</v>
      </c>
      <c r="AE287" s="212"/>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c r="BI287" s="212"/>
      <c r="BJ287" s="212"/>
      <c r="BK287" s="212"/>
      <c r="BL287" s="212"/>
      <c r="BM287" s="212"/>
      <c r="BN287" s="212"/>
      <c r="BO287" s="212"/>
      <c r="BP287" s="212"/>
      <c r="BQ287" s="212"/>
      <c r="BR287" s="212"/>
      <c r="BS287" s="212"/>
      <c r="BT287" s="212"/>
      <c r="BU287" s="212"/>
      <c r="BV287" s="212"/>
      <c r="BW287" s="212">
        <v>0</v>
      </c>
      <c r="BX287" s="212">
        <v>-17.238215684199385</v>
      </c>
      <c r="BY287" s="212">
        <v>-13.55391175380052</v>
      </c>
      <c r="BZ287" s="212">
        <v>-20.283772319226593</v>
      </c>
      <c r="CA287" s="212">
        <v>-17.322033111558103</v>
      </c>
      <c r="CB287" s="212">
        <v>-17.657970043286905</v>
      </c>
      <c r="CC287" s="212">
        <v>-12.221123510429248</v>
      </c>
      <c r="CD287" s="212">
        <v>-48.196360773184281</v>
      </c>
      <c r="CE287" s="212">
        <v>94.057664867754923</v>
      </c>
      <c r="CF287" s="212">
        <v>-58.630969725108464</v>
      </c>
      <c r="CH287" s="92" t="str">
        <f t="shared" si="151"/>
        <v>Cash interest</v>
      </c>
    </row>
    <row r="288" spans="30:86">
      <c r="AD288" s="210" t="s">
        <v>742</v>
      </c>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c r="BI288" s="209"/>
      <c r="BJ288" s="209"/>
      <c r="BK288" s="209"/>
      <c r="BL288" s="209"/>
      <c r="BM288" s="209"/>
      <c r="BN288" s="209"/>
      <c r="BO288" s="209"/>
      <c r="BP288" s="209"/>
      <c r="BQ288" s="209"/>
      <c r="BR288" s="209"/>
      <c r="BS288" s="209"/>
      <c r="BT288" s="209"/>
      <c r="BU288" s="209"/>
      <c r="BV288" s="209"/>
      <c r="BW288" s="209">
        <f>BW280-BV280</f>
        <v>0</v>
      </c>
      <c r="BX288" s="209">
        <f t="shared" ref="BX288:CF288" si="161">BX280-BW280</f>
        <v>0</v>
      </c>
      <c r="BY288" s="209">
        <f t="shared" si="161"/>
        <v>0</v>
      </c>
      <c r="BZ288" s="209">
        <f t="shared" si="161"/>
        <v>0</v>
      </c>
      <c r="CA288" s="209">
        <f t="shared" si="161"/>
        <v>0</v>
      </c>
      <c r="CB288" s="209">
        <f t="shared" si="161"/>
        <v>0</v>
      </c>
      <c r="CC288" s="209">
        <f t="shared" si="161"/>
        <v>0</v>
      </c>
      <c r="CD288" s="209">
        <f t="shared" si="161"/>
        <v>0</v>
      </c>
      <c r="CE288" s="209">
        <f t="shared" si="161"/>
        <v>0</v>
      </c>
      <c r="CF288" s="209">
        <f t="shared" si="161"/>
        <v>0</v>
      </c>
      <c r="CH288" s="92" t="str">
        <f t="shared" si="151"/>
        <v>PIK interest</v>
      </c>
    </row>
    <row r="289" spans="30:86">
      <c r="AD289" s="210" t="s">
        <v>743</v>
      </c>
      <c r="AE289" s="212"/>
      <c r="AF289" s="212"/>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c r="BI289" s="212"/>
      <c r="BJ289" s="212"/>
      <c r="BK289" s="212"/>
      <c r="BL289" s="212"/>
      <c r="BM289" s="212"/>
      <c r="BN289" s="212"/>
      <c r="BO289" s="212"/>
      <c r="BP289" s="212"/>
      <c r="BQ289" s="212"/>
      <c r="BR289" s="212"/>
      <c r="BS289" s="212"/>
      <c r="BT289" s="212"/>
      <c r="BU289" s="212"/>
      <c r="BV289" s="212"/>
      <c r="BW289" s="212">
        <v>0</v>
      </c>
      <c r="BX289" s="212">
        <v>-34.652619324796277</v>
      </c>
      <c r="BY289" s="212">
        <v>12.983862728134145</v>
      </c>
      <c r="BZ289" s="212">
        <v>-14.818910920390648</v>
      </c>
      <c r="CA289" s="212">
        <v>-31.529753984217862</v>
      </c>
      <c r="CB289" s="212">
        <v>20.722844257692937</v>
      </c>
      <c r="CC289" s="212">
        <v>3.4140438803656075</v>
      </c>
      <c r="CD289" s="212">
        <v>-38.286451970166297</v>
      </c>
      <c r="CE289" s="212">
        <v>-53.366107500292394</v>
      </c>
      <c r="CF289" s="212">
        <v>-31.858881542082258</v>
      </c>
      <c r="CH289" s="92" t="str">
        <f t="shared" si="151"/>
        <v>W capital change</v>
      </c>
    </row>
    <row r="290" spans="30:86">
      <c r="AD290" s="210" t="s">
        <v>744</v>
      </c>
      <c r="AE290" s="212"/>
      <c r="AF290" s="212"/>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c r="BI290" s="212"/>
      <c r="BJ290" s="212"/>
      <c r="BK290" s="212"/>
      <c r="BL290" s="212"/>
      <c r="BM290" s="212"/>
      <c r="BN290" s="212"/>
      <c r="BO290" s="212"/>
      <c r="BP290" s="212"/>
      <c r="BQ290" s="212"/>
      <c r="BR290" s="212"/>
      <c r="BS290" s="212"/>
      <c r="BT290" s="212"/>
      <c r="BU290" s="212"/>
      <c r="BV290" s="212"/>
      <c r="BW290" s="212">
        <v>0</v>
      </c>
      <c r="BX290" s="212">
        <v>-5.7148904645994287</v>
      </c>
      <c r="BY290" s="212">
        <v>-16.891195979071394</v>
      </c>
      <c r="BZ290" s="212">
        <v>-7.8918812271875307</v>
      </c>
      <c r="CA290" s="212">
        <v>-8.7033885192635019</v>
      </c>
      <c r="CB290" s="212">
        <v>-7.6069041711191208</v>
      </c>
      <c r="CC290" s="212">
        <v>-12.078818799689916</v>
      </c>
      <c r="CD290" s="212">
        <v>-7.7872185785730332</v>
      </c>
      <c r="CE290" s="212">
        <v>-8.5211608828591032</v>
      </c>
      <c r="CF290" s="212">
        <v>-6.0837962888842636</v>
      </c>
      <c r="CH290" s="92" t="str">
        <f t="shared" si="151"/>
        <v>Cash taxes</v>
      </c>
    </row>
    <row r="291" spans="30:86">
      <c r="AD291" s="210" t="s">
        <v>682</v>
      </c>
      <c r="AE291" s="212"/>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c r="BI291" s="212"/>
      <c r="BJ291" s="212"/>
      <c r="BK291" s="212"/>
      <c r="BL291" s="212"/>
      <c r="BM291" s="212"/>
      <c r="BN291" s="212"/>
      <c r="BO291" s="212"/>
      <c r="BP291" s="212"/>
      <c r="BQ291" s="212"/>
      <c r="BR291" s="212"/>
      <c r="BS291" s="212"/>
      <c r="BT291" s="212"/>
      <c r="BU291" s="212"/>
      <c r="BV291" s="212"/>
      <c r="BW291" s="212">
        <v>0</v>
      </c>
      <c r="BX291" s="212">
        <v>7.6198539527992377</v>
      </c>
      <c r="BY291" s="212">
        <v>-10.089362666337085</v>
      </c>
      <c r="BZ291" s="212">
        <v>-16.967544638453191</v>
      </c>
      <c r="CA291" s="212">
        <v>114.09000464180721</v>
      </c>
      <c r="CB291" s="212">
        <v>39.302338217448821</v>
      </c>
      <c r="CC291" s="212">
        <v>0</v>
      </c>
      <c r="CD291" s="212">
        <v>44.473670548739321</v>
      </c>
      <c r="CE291" s="212">
        <v>-43.107049172110806</v>
      </c>
      <c r="CF291" s="212">
        <v>0</v>
      </c>
      <c r="CH291" s="92" t="str">
        <f t="shared" si="151"/>
        <v>Shareholder payments</v>
      </c>
    </row>
    <row r="292" spans="30:86">
      <c r="AD292" s="210" t="s">
        <v>745</v>
      </c>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c r="BI292" s="209"/>
      <c r="BJ292" s="209"/>
      <c r="BK292" s="209"/>
      <c r="BL292" s="209"/>
      <c r="BM292" s="209"/>
      <c r="BN292" s="209"/>
      <c r="BO292" s="209"/>
      <c r="BP292" s="209"/>
      <c r="BQ292" s="209"/>
      <c r="BR292" s="209"/>
      <c r="BS292" s="209"/>
      <c r="BT292" s="209"/>
      <c r="BU292" s="209"/>
      <c r="BV292" s="209"/>
      <c r="BW292" s="209">
        <f t="shared" ref="BW292:CB292" si="162">-BW293-(BW285+BW286+BW287+BW289+BW290+BW291)</f>
        <v>-763.1358633486816</v>
      </c>
      <c r="BX292" s="209">
        <f t="shared" si="162"/>
        <v>725.74612166808038</v>
      </c>
      <c r="BY292" s="209">
        <f t="shared" si="162"/>
        <v>-10.02995097433363</v>
      </c>
      <c r="BZ292" s="209">
        <f t="shared" si="162"/>
        <v>3.8973068955312353</v>
      </c>
      <c r="CA292" s="209">
        <f t="shared" si="162"/>
        <v>-739.94595389138181</v>
      </c>
      <c r="CB292" s="209">
        <f t="shared" si="162"/>
        <v>-1421.6175998747503</v>
      </c>
      <c r="CC292" s="209">
        <f>-CC293-(CC285+CC286+CC287+CC289+CC290+CC291)</f>
        <v>-21.958156407635553</v>
      </c>
      <c r="CD292" s="209">
        <f>-CD293-(CD285+CD286+CD287+CD289+CD290+CD291)</f>
        <v>-118.27489359178367</v>
      </c>
      <c r="CE292" s="209">
        <f>-CE293-(CE285+CE286+CE287+CE289+CE290+CE291)</f>
        <v>8.32700273416296</v>
      </c>
      <c r="CF292" s="209">
        <f>-CF293-(CF285+CF286+CF287+CF289+CF290+CF291)</f>
        <v>33.760194432141574</v>
      </c>
      <c r="CH292" s="92" t="str">
        <f t="shared" si="151"/>
        <v>Other cash flow</v>
      </c>
    </row>
    <row r="293" spans="30:86">
      <c r="AD293" s="210" t="s">
        <v>116</v>
      </c>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c r="BI293" s="209"/>
      <c r="BJ293" s="209"/>
      <c r="BK293" s="209"/>
      <c r="BL293" s="209"/>
      <c r="BM293" s="209"/>
      <c r="BN293" s="209"/>
      <c r="BO293" s="209"/>
      <c r="BP293" s="209"/>
      <c r="BQ293" s="209"/>
      <c r="BR293" s="209"/>
      <c r="BS293" s="209"/>
      <c r="BT293" s="209"/>
      <c r="BU293" s="209"/>
      <c r="BV293" s="209"/>
      <c r="BW293" s="209">
        <f>BW283-BV283</f>
        <v>710.02800334868152</v>
      </c>
      <c r="BX293" s="209">
        <f t="shared" ref="BX293:CF293" si="163">BX283-BW283</f>
        <v>-710.02800334868152</v>
      </c>
      <c r="BY293" s="209">
        <f t="shared" si="163"/>
        <v>0</v>
      </c>
      <c r="BZ293" s="209">
        <f t="shared" si="163"/>
        <v>0</v>
      </c>
      <c r="CA293" s="209">
        <f t="shared" si="163"/>
        <v>604.87966888441906</v>
      </c>
      <c r="CB293" s="209">
        <f t="shared" si="163"/>
        <v>1333.8661210563562</v>
      </c>
      <c r="CC293" s="209">
        <f t="shared" si="163"/>
        <v>-0.52200909021007647</v>
      </c>
      <c r="CD293" s="209">
        <f t="shared" si="163"/>
        <v>112.32381635988031</v>
      </c>
      <c r="CE293" s="209">
        <f t="shared" si="163"/>
        <v>-65.635296664088855</v>
      </c>
      <c r="CF293" s="209">
        <f t="shared" si="163"/>
        <v>9.8313747070012596</v>
      </c>
      <c r="CH293" s="92" t="str">
        <f t="shared" si="151"/>
        <v>Change in net debt</v>
      </c>
    </row>
    <row r="294" spans="30:86">
      <c r="AD294" s="226"/>
      <c r="AE294" s="299"/>
      <c r="AF294" s="299"/>
      <c r="AG294" s="299"/>
      <c r="AH294" s="299"/>
      <c r="AI294" s="299"/>
      <c r="AJ294" s="299"/>
      <c r="AK294" s="299"/>
      <c r="AL294" s="299"/>
      <c r="AM294" s="299"/>
      <c r="AN294" s="299"/>
      <c r="AO294" s="299"/>
      <c r="AP294" s="299"/>
      <c r="AQ294" s="299"/>
      <c r="AR294" s="299"/>
      <c r="AS294" s="299"/>
      <c r="AT294" s="299"/>
      <c r="AU294" s="299"/>
      <c r="AV294" s="299"/>
      <c r="AW294" s="299"/>
      <c r="AX294" s="299"/>
      <c r="AY294" s="299"/>
      <c r="AZ294" s="299"/>
      <c r="BA294" s="299"/>
      <c r="BB294" s="299"/>
      <c r="BC294" s="299"/>
      <c r="BD294" s="299"/>
      <c r="BE294" s="299"/>
      <c r="BF294" s="299"/>
      <c r="BG294" s="299"/>
      <c r="BH294" s="299"/>
      <c r="BI294" s="299"/>
      <c r="BJ294" s="299"/>
      <c r="BK294" s="299"/>
      <c r="BL294" s="299"/>
      <c r="BM294" s="299"/>
      <c r="BN294" s="299"/>
      <c r="BO294" s="299"/>
      <c r="BP294" s="299"/>
      <c r="BQ294" s="299"/>
      <c r="BR294" s="299"/>
      <c r="BS294" s="299"/>
      <c r="BT294" s="299"/>
      <c r="BU294" s="299"/>
      <c r="BV294" s="299"/>
      <c r="BW294" s="299"/>
      <c r="BX294" s="299"/>
      <c r="BY294" s="299"/>
      <c r="BZ294" s="299"/>
      <c r="CA294" s="299"/>
      <c r="CB294" s="299"/>
      <c r="CC294" s="299"/>
      <c r="CD294" s="299"/>
      <c r="CE294" s="299"/>
    </row>
    <row r="295" spans="30:86">
      <c r="AD295" s="226"/>
      <c r="AE295" s="299"/>
      <c r="AF295" s="299"/>
      <c r="AG295" s="299"/>
      <c r="AH295" s="299"/>
      <c r="AI295" s="299"/>
      <c r="AJ295" s="299"/>
      <c r="AK295" s="299"/>
      <c r="AL295" s="299"/>
      <c r="AM295" s="299"/>
      <c r="AN295" s="299"/>
      <c r="AO295" s="299"/>
      <c r="AP295" s="299"/>
      <c r="AQ295" s="299"/>
      <c r="AR295" s="299"/>
      <c r="AS295" s="299"/>
      <c r="AT295" s="299"/>
      <c r="AU295" s="299"/>
      <c r="AV295" s="299"/>
      <c r="AW295" s="299"/>
      <c r="AX295" s="299"/>
      <c r="AY295" s="299"/>
      <c r="AZ295" s="299"/>
      <c r="BA295" s="299"/>
      <c r="BB295" s="299"/>
      <c r="BC295" s="299"/>
      <c r="BD295" s="299"/>
      <c r="BE295" s="299"/>
      <c r="BF295" s="299"/>
      <c r="BG295" s="299"/>
      <c r="BH295" s="299"/>
      <c r="BI295" s="299"/>
      <c r="BJ295" s="299"/>
      <c r="BK295" s="299"/>
      <c r="BL295" s="299"/>
      <c r="BM295" s="299"/>
      <c r="BN295" s="299"/>
      <c r="BO295" s="299"/>
      <c r="BP295" s="299"/>
      <c r="BQ295" s="299"/>
      <c r="BR295" s="299"/>
      <c r="BS295" s="299"/>
      <c r="BT295" s="299"/>
      <c r="BU295" s="299"/>
      <c r="BV295" s="299"/>
      <c r="BW295" s="299"/>
      <c r="BX295" s="299"/>
      <c r="BY295" s="299"/>
      <c r="BZ295" s="299"/>
      <c r="CA295" s="299"/>
      <c r="CB295" s="299"/>
      <c r="CC295" s="299"/>
      <c r="CD295" s="299"/>
      <c r="CE295" s="299"/>
    </row>
    <row r="296" spans="30:86">
      <c r="AD296" s="226"/>
      <c r="AE296" s="299"/>
      <c r="AF296" s="299"/>
      <c r="AG296" s="299"/>
      <c r="AH296" s="299"/>
      <c r="AI296" s="299"/>
      <c r="AJ296" s="299"/>
      <c r="AK296" s="299"/>
      <c r="AL296" s="299"/>
      <c r="AM296" s="299"/>
      <c r="AN296" s="299"/>
      <c r="AO296" s="299"/>
      <c r="AP296" s="299"/>
      <c r="AQ296" s="299"/>
      <c r="AR296" s="299"/>
      <c r="AS296" s="299"/>
      <c r="AT296" s="299"/>
      <c r="AU296" s="299"/>
      <c r="AV296" s="299"/>
      <c r="AW296" s="299"/>
      <c r="AX296" s="299"/>
      <c r="AY296" s="299"/>
      <c r="AZ296" s="299"/>
      <c r="BA296" s="299"/>
      <c r="BB296" s="299"/>
      <c r="BC296" s="299"/>
      <c r="BD296" s="299"/>
      <c r="BE296" s="299"/>
      <c r="BF296" s="299"/>
      <c r="BG296" s="299"/>
      <c r="BH296" s="299"/>
      <c r="BI296" s="299"/>
      <c r="BJ296" s="299"/>
      <c r="BK296" s="299"/>
      <c r="BL296" s="299"/>
      <c r="BM296" s="299"/>
      <c r="BN296" s="299"/>
      <c r="BO296" s="299"/>
      <c r="BP296" s="299"/>
      <c r="BQ296" s="299"/>
      <c r="BR296" s="299"/>
      <c r="BS296" s="299"/>
      <c r="BT296" s="299"/>
      <c r="BU296" s="299"/>
      <c r="BV296" s="299"/>
      <c r="BW296" s="299"/>
      <c r="BX296" s="299"/>
      <c r="BY296" s="299"/>
      <c r="BZ296" s="299"/>
      <c r="CA296" s="299"/>
      <c r="CB296" s="299"/>
      <c r="CC296" s="299"/>
      <c r="CD296" s="299"/>
      <c r="CE296" s="299"/>
    </row>
    <row r="297" spans="30:86">
      <c r="AD297" s="213" t="s">
        <v>811</v>
      </c>
      <c r="AE297" s="178" t="str">
        <f>AE$1</f>
        <v>Q4 01</v>
      </c>
      <c r="AF297" s="178" t="str">
        <f t="shared" ref="AF297:CF297" si="164">AF$1</f>
        <v>Q1 02</v>
      </c>
      <c r="AG297" s="178" t="str">
        <f t="shared" si="164"/>
        <v>Q2 02</v>
      </c>
      <c r="AH297" s="178" t="str">
        <f t="shared" si="164"/>
        <v>Q3 02</v>
      </c>
      <c r="AI297" s="178" t="str">
        <f t="shared" si="164"/>
        <v>Q4 02</v>
      </c>
      <c r="AJ297" s="178" t="str">
        <f t="shared" si="164"/>
        <v>Q1 03</v>
      </c>
      <c r="AK297" s="178" t="str">
        <f t="shared" si="164"/>
        <v>Q2 03</v>
      </c>
      <c r="AL297" s="178" t="str">
        <f t="shared" si="164"/>
        <v>Q3 03</v>
      </c>
      <c r="AM297" s="178" t="str">
        <f t="shared" si="164"/>
        <v>Q4 03</v>
      </c>
      <c r="AN297" s="178" t="str">
        <f t="shared" si="164"/>
        <v>1Q04</v>
      </c>
      <c r="AO297" s="178" t="str">
        <f t="shared" si="164"/>
        <v>Q2 04</v>
      </c>
      <c r="AP297" s="178" t="str">
        <f t="shared" si="164"/>
        <v>Q3 04</v>
      </c>
      <c r="AQ297" s="178" t="str">
        <f t="shared" si="164"/>
        <v>Q4 04</v>
      </c>
      <c r="AR297" s="178" t="str">
        <f t="shared" si="164"/>
        <v>Q1 05</v>
      </c>
      <c r="AS297" s="178" t="str">
        <f t="shared" si="164"/>
        <v>Q2 05</v>
      </c>
      <c r="AT297" s="178" t="str">
        <f t="shared" si="164"/>
        <v>Q3 05</v>
      </c>
      <c r="AU297" s="178" t="str">
        <f t="shared" si="164"/>
        <v>Q4 05</v>
      </c>
      <c r="AV297" s="178" t="str">
        <f t="shared" si="164"/>
        <v>Q1 06</v>
      </c>
      <c r="AW297" s="178" t="str">
        <f t="shared" si="164"/>
        <v>Q2 06</v>
      </c>
      <c r="AX297" s="178" t="str">
        <f t="shared" si="164"/>
        <v>Q3 06</v>
      </c>
      <c r="AY297" s="178" t="str">
        <f t="shared" si="164"/>
        <v>Q4 06</v>
      </c>
      <c r="AZ297" s="178" t="str">
        <f t="shared" si="164"/>
        <v>Q1 07</v>
      </c>
      <c r="BA297" s="178" t="str">
        <f t="shared" si="164"/>
        <v>Q2 07</v>
      </c>
      <c r="BB297" s="178" t="str">
        <f t="shared" si="164"/>
        <v>Q3 07</v>
      </c>
      <c r="BC297" s="178" t="str">
        <f t="shared" si="164"/>
        <v>Q4 07</v>
      </c>
      <c r="BD297" s="178" t="str">
        <f t="shared" si="164"/>
        <v>Q1 08</v>
      </c>
      <c r="BE297" s="178" t="str">
        <f t="shared" si="164"/>
        <v>Q2 08</v>
      </c>
      <c r="BF297" s="178" t="str">
        <f t="shared" si="164"/>
        <v>Q3 08</v>
      </c>
      <c r="BG297" s="178" t="str">
        <f t="shared" si="164"/>
        <v>Q4 08</v>
      </c>
      <c r="BH297" s="178" t="str">
        <f t="shared" si="164"/>
        <v>Q1 09</v>
      </c>
      <c r="BI297" s="178" t="str">
        <f t="shared" si="164"/>
        <v>Q2 09</v>
      </c>
      <c r="BJ297" s="178" t="str">
        <f t="shared" si="164"/>
        <v>Q3 09</v>
      </c>
      <c r="BK297" s="178" t="str">
        <f t="shared" si="164"/>
        <v>Q4 09</v>
      </c>
      <c r="BL297" s="178" t="str">
        <f t="shared" si="164"/>
        <v>Q1 10</v>
      </c>
      <c r="BM297" s="178" t="str">
        <f t="shared" si="164"/>
        <v>Q2 10</v>
      </c>
      <c r="BN297" s="178" t="str">
        <f t="shared" si="164"/>
        <v>Q3 10</v>
      </c>
      <c r="BO297" s="178" t="str">
        <f t="shared" si="164"/>
        <v>Q4 10</v>
      </c>
      <c r="BP297" s="178" t="str">
        <f t="shared" si="164"/>
        <v>Q1 11</v>
      </c>
      <c r="BQ297" s="178" t="str">
        <f t="shared" si="164"/>
        <v>Q2 11</v>
      </c>
      <c r="BR297" s="178" t="str">
        <f t="shared" si="164"/>
        <v>Q3 11</v>
      </c>
      <c r="BS297" s="178" t="str">
        <f t="shared" si="164"/>
        <v>Q4 11</v>
      </c>
      <c r="BT297" s="178" t="str">
        <f t="shared" si="164"/>
        <v>Q1 12</v>
      </c>
      <c r="BU297" s="178" t="str">
        <f t="shared" si="164"/>
        <v>Q2 12</v>
      </c>
      <c r="BV297" s="178" t="str">
        <f t="shared" si="164"/>
        <v>Q3 12</v>
      </c>
      <c r="BW297" s="178" t="str">
        <f t="shared" si="164"/>
        <v>Q4 12</v>
      </c>
      <c r="BX297" s="178" t="str">
        <f t="shared" si="164"/>
        <v>Q1 13</v>
      </c>
      <c r="BY297" s="178" t="str">
        <f t="shared" si="164"/>
        <v>Q2 13</v>
      </c>
      <c r="BZ297" s="178" t="str">
        <f t="shared" si="164"/>
        <v>Q3 13</v>
      </c>
      <c r="CA297" s="178" t="str">
        <f t="shared" si="164"/>
        <v>Q4 13</v>
      </c>
      <c r="CB297" s="178" t="str">
        <f t="shared" si="164"/>
        <v>Q1 14</v>
      </c>
      <c r="CC297" s="178" t="str">
        <f t="shared" si="164"/>
        <v>Q2 14</v>
      </c>
      <c r="CD297" s="178" t="str">
        <f t="shared" si="164"/>
        <v>Q3 14</v>
      </c>
      <c r="CE297" s="178" t="str">
        <f t="shared" si="164"/>
        <v>Q4 14</v>
      </c>
      <c r="CF297" s="178" t="str">
        <f t="shared" si="164"/>
        <v>Q1 15</v>
      </c>
    </row>
    <row r="298" spans="30:86">
      <c r="AD298" s="214" t="s">
        <v>377</v>
      </c>
      <c r="AE298" s="215"/>
      <c r="AF298" s="299"/>
      <c r="AG298" s="299"/>
      <c r="AH298" s="299"/>
      <c r="AI298" s="299"/>
      <c r="AJ298" s="299"/>
      <c r="AK298" s="299"/>
      <c r="AL298" s="299"/>
      <c r="AM298" s="299"/>
      <c r="AN298" s="299"/>
      <c r="AO298" s="299"/>
      <c r="AP298" s="299"/>
      <c r="AQ298" s="299"/>
      <c r="AR298" s="299"/>
      <c r="AS298" s="299"/>
      <c r="AT298" s="299"/>
      <c r="AU298" s="299"/>
      <c r="AV298" s="299"/>
      <c r="AW298" s="299"/>
      <c r="AX298" s="299"/>
      <c r="AY298" s="299"/>
      <c r="AZ298" s="299"/>
      <c r="BA298" s="299"/>
      <c r="BB298" s="299"/>
      <c r="BC298" s="299"/>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f t="shared" ref="BW298:CF298" si="165">BW285+BW286+BW287+BW289+BW290</f>
        <v>53.107860000000038</v>
      </c>
      <c r="BX298" s="116">
        <f t="shared" si="165"/>
        <v>-23.337972272198133</v>
      </c>
      <c r="BY298" s="116">
        <f t="shared" si="165"/>
        <v>20.119313640670715</v>
      </c>
      <c r="BZ298" s="116">
        <f t="shared" si="165"/>
        <v>13.070237742921956</v>
      </c>
      <c r="CA298" s="116">
        <f t="shared" si="165"/>
        <v>20.976280365155514</v>
      </c>
      <c r="CB298" s="116">
        <f t="shared" si="165"/>
        <v>48.449140600945448</v>
      </c>
      <c r="CC298" s="116">
        <f t="shared" si="165"/>
        <v>22.480165497845629</v>
      </c>
      <c r="CD298" s="116">
        <f t="shared" si="165"/>
        <v>-38.522593316835966</v>
      </c>
      <c r="CE298" s="116">
        <f t="shared" si="165"/>
        <v>100.4153431020367</v>
      </c>
      <c r="CF298" s="116">
        <f t="shared" si="165"/>
        <v>-43.591569139142834</v>
      </c>
    </row>
    <row r="299" spans="30:86">
      <c r="AD299" s="216" t="s">
        <v>746</v>
      </c>
      <c r="AE299" s="215"/>
      <c r="AF299" s="299"/>
      <c r="AG299" s="299"/>
      <c r="AH299" s="299"/>
      <c r="AI299" s="299"/>
      <c r="AJ299" s="299"/>
      <c r="AK299" s="299"/>
      <c r="AL299" s="299"/>
      <c r="AM299" s="299"/>
      <c r="AN299" s="299"/>
      <c r="AO299" s="299"/>
      <c r="AP299" s="299"/>
      <c r="AQ299" s="299"/>
      <c r="AR299" s="299"/>
      <c r="AS299" s="299"/>
      <c r="AT299" s="299"/>
      <c r="AU299" s="299"/>
      <c r="AV299" s="299"/>
      <c r="AW299" s="299"/>
      <c r="AX299" s="299"/>
      <c r="AY299" s="299"/>
      <c r="AZ299" s="299"/>
      <c r="BA299" s="299"/>
      <c r="BB299" s="299"/>
      <c r="BC299" s="299"/>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c r="BY299" s="116"/>
      <c r="BZ299" s="116">
        <f>SUM(BW298:BZ298)</f>
        <v>62.959439111394573</v>
      </c>
      <c r="CA299" s="116">
        <f t="shared" ref="CA299:CF299" si="166">SUM(BX298:CA298)</f>
        <v>30.827859476550053</v>
      </c>
      <c r="CB299" s="116">
        <f t="shared" si="166"/>
        <v>102.61497234969363</v>
      </c>
      <c r="CC299" s="116">
        <f t="shared" si="166"/>
        <v>104.97582420686855</v>
      </c>
      <c r="CD299" s="116">
        <f t="shared" si="166"/>
        <v>53.382993147110625</v>
      </c>
      <c r="CE299" s="116">
        <f t="shared" si="166"/>
        <v>132.82205588399182</v>
      </c>
      <c r="CF299" s="116">
        <f t="shared" si="166"/>
        <v>40.781346143903534</v>
      </c>
    </row>
    <row r="300" spans="30:86">
      <c r="AD300" s="214"/>
      <c r="AE300" s="215"/>
      <c r="AF300" s="299"/>
      <c r="AG300" s="299"/>
      <c r="AH300" s="299"/>
      <c r="AI300" s="299"/>
      <c r="AJ300" s="299"/>
      <c r="AK300" s="299"/>
      <c r="AL300" s="299"/>
      <c r="AM300" s="299"/>
      <c r="AN300" s="299"/>
      <c r="AO300" s="299"/>
      <c r="AP300" s="299"/>
      <c r="AQ300" s="299"/>
      <c r="AR300" s="299"/>
      <c r="AS300" s="299"/>
      <c r="AT300" s="299"/>
      <c r="AU300" s="299"/>
      <c r="AV300" s="299"/>
      <c r="AW300" s="299"/>
      <c r="AX300" s="299"/>
      <c r="AY300" s="299"/>
      <c r="AZ300" s="299"/>
      <c r="BA300" s="299"/>
      <c r="BB300" s="299"/>
      <c r="BC300" s="299"/>
      <c r="BD300" s="299"/>
      <c r="BE300" s="299"/>
      <c r="BF300" s="299"/>
      <c r="BG300" s="299"/>
      <c r="BH300" s="299"/>
      <c r="BI300" s="299"/>
      <c r="BJ300" s="299"/>
      <c r="BK300" s="299"/>
      <c r="BL300" s="299"/>
      <c r="BM300" s="299"/>
      <c r="BN300" s="299"/>
      <c r="BO300" s="299"/>
      <c r="BP300" s="299"/>
      <c r="BQ300" s="299"/>
      <c r="BR300" s="299"/>
      <c r="BS300" s="299"/>
      <c r="BT300" s="299"/>
      <c r="BU300" s="299"/>
      <c r="BV300" s="299"/>
      <c r="BW300" s="299"/>
      <c r="BX300" s="299"/>
      <c r="BY300" s="299"/>
      <c r="BZ300" s="299"/>
      <c r="CA300" s="299"/>
      <c r="CB300" s="299"/>
      <c r="CC300" s="299"/>
      <c r="CD300" s="299"/>
      <c r="CE300" s="299"/>
    </row>
    <row r="301" spans="30:86">
      <c r="AD301" s="217"/>
      <c r="AE301" s="215"/>
      <c r="AF301" s="299"/>
      <c r="AG301" s="299"/>
      <c r="AH301" s="299"/>
      <c r="AI301" s="299"/>
      <c r="AJ301" s="299"/>
      <c r="AK301" s="299"/>
      <c r="AL301" s="299"/>
      <c r="AM301" s="299"/>
      <c r="AN301" s="299"/>
      <c r="AO301" s="299"/>
      <c r="AP301" s="299"/>
      <c r="AQ301" s="299"/>
      <c r="AR301" s="299"/>
      <c r="AS301" s="299"/>
      <c r="AT301" s="299"/>
      <c r="AU301" s="299"/>
      <c r="AV301" s="299"/>
      <c r="AW301" s="299"/>
      <c r="AX301" s="299"/>
      <c r="AY301" s="299"/>
      <c r="AZ301" s="299"/>
      <c r="BA301" s="299"/>
      <c r="BB301" s="299"/>
      <c r="BC301" s="299"/>
      <c r="BD301" s="299"/>
      <c r="BE301" s="299"/>
      <c r="BF301" s="299"/>
      <c r="BG301" s="299"/>
      <c r="BH301" s="299"/>
      <c r="BI301" s="299"/>
      <c r="BJ301" s="299"/>
      <c r="BK301" s="299"/>
      <c r="BL301" s="299"/>
      <c r="BM301" s="299"/>
      <c r="BN301" s="299"/>
      <c r="BO301" s="299"/>
      <c r="BP301" s="299"/>
      <c r="BQ301" s="299"/>
      <c r="BR301" s="299"/>
      <c r="BS301" s="299"/>
      <c r="BT301" s="299"/>
      <c r="BU301" s="299"/>
      <c r="BV301" s="299"/>
      <c r="BW301" s="299"/>
      <c r="BX301" s="299"/>
      <c r="BY301" s="299"/>
      <c r="BZ301" s="299"/>
      <c r="CA301" s="299"/>
      <c r="CB301" s="299"/>
      <c r="CC301" s="299"/>
      <c r="CD301" s="299"/>
      <c r="CE301" s="299"/>
    </row>
    <row r="302" spans="30:86">
      <c r="AD302" s="218" t="s">
        <v>812</v>
      </c>
      <c r="AE302" s="300" t="str">
        <f>AE$1</f>
        <v>Q4 01</v>
      </c>
      <c r="AF302" s="300" t="str">
        <f t="shared" ref="AF302:CF302" si="167">AF$1</f>
        <v>Q1 02</v>
      </c>
      <c r="AG302" s="300" t="str">
        <f t="shared" si="167"/>
        <v>Q2 02</v>
      </c>
      <c r="AH302" s="300" t="str">
        <f t="shared" si="167"/>
        <v>Q3 02</v>
      </c>
      <c r="AI302" s="300" t="str">
        <f t="shared" si="167"/>
        <v>Q4 02</v>
      </c>
      <c r="AJ302" s="300" t="str">
        <f t="shared" si="167"/>
        <v>Q1 03</v>
      </c>
      <c r="AK302" s="300" t="str">
        <f t="shared" si="167"/>
        <v>Q2 03</v>
      </c>
      <c r="AL302" s="300" t="str">
        <f t="shared" si="167"/>
        <v>Q3 03</v>
      </c>
      <c r="AM302" s="300" t="str">
        <f t="shared" si="167"/>
        <v>Q4 03</v>
      </c>
      <c r="AN302" s="300" t="str">
        <f t="shared" si="167"/>
        <v>1Q04</v>
      </c>
      <c r="AO302" s="300" t="str">
        <f t="shared" si="167"/>
        <v>Q2 04</v>
      </c>
      <c r="AP302" s="300" t="str">
        <f t="shared" si="167"/>
        <v>Q3 04</v>
      </c>
      <c r="AQ302" s="300" t="str">
        <f t="shared" si="167"/>
        <v>Q4 04</v>
      </c>
      <c r="AR302" s="300" t="str">
        <f t="shared" si="167"/>
        <v>Q1 05</v>
      </c>
      <c r="AS302" s="300" t="str">
        <f t="shared" si="167"/>
        <v>Q2 05</v>
      </c>
      <c r="AT302" s="300" t="str">
        <f t="shared" si="167"/>
        <v>Q3 05</v>
      </c>
      <c r="AU302" s="300" t="str">
        <f t="shared" si="167"/>
        <v>Q4 05</v>
      </c>
      <c r="AV302" s="300" t="str">
        <f t="shared" si="167"/>
        <v>Q1 06</v>
      </c>
      <c r="AW302" s="300" t="str">
        <f t="shared" si="167"/>
        <v>Q2 06</v>
      </c>
      <c r="AX302" s="300" t="str">
        <f t="shared" si="167"/>
        <v>Q3 06</v>
      </c>
      <c r="AY302" s="300" t="str">
        <f t="shared" si="167"/>
        <v>Q4 06</v>
      </c>
      <c r="AZ302" s="300" t="str">
        <f t="shared" si="167"/>
        <v>Q1 07</v>
      </c>
      <c r="BA302" s="300" t="str">
        <f t="shared" si="167"/>
        <v>Q2 07</v>
      </c>
      <c r="BB302" s="300" t="str">
        <f t="shared" si="167"/>
        <v>Q3 07</v>
      </c>
      <c r="BC302" s="300" t="str">
        <f t="shared" si="167"/>
        <v>Q4 07</v>
      </c>
      <c r="BD302" s="300" t="str">
        <f t="shared" si="167"/>
        <v>Q1 08</v>
      </c>
      <c r="BE302" s="300" t="str">
        <f t="shared" si="167"/>
        <v>Q2 08</v>
      </c>
      <c r="BF302" s="300" t="str">
        <f t="shared" si="167"/>
        <v>Q3 08</v>
      </c>
      <c r="BG302" s="300" t="str">
        <f t="shared" si="167"/>
        <v>Q4 08</v>
      </c>
      <c r="BH302" s="300" t="str">
        <f t="shared" si="167"/>
        <v>Q1 09</v>
      </c>
      <c r="BI302" s="300" t="str">
        <f t="shared" si="167"/>
        <v>Q2 09</v>
      </c>
      <c r="BJ302" s="300" t="str">
        <f t="shared" si="167"/>
        <v>Q3 09</v>
      </c>
      <c r="BK302" s="300" t="str">
        <f t="shared" si="167"/>
        <v>Q4 09</v>
      </c>
      <c r="BL302" s="300" t="str">
        <f t="shared" si="167"/>
        <v>Q1 10</v>
      </c>
      <c r="BM302" s="300" t="str">
        <f t="shared" si="167"/>
        <v>Q2 10</v>
      </c>
      <c r="BN302" s="300" t="str">
        <f t="shared" si="167"/>
        <v>Q3 10</v>
      </c>
      <c r="BO302" s="300" t="str">
        <f t="shared" si="167"/>
        <v>Q4 10</v>
      </c>
      <c r="BP302" s="300" t="str">
        <f t="shared" si="167"/>
        <v>Q1 11</v>
      </c>
      <c r="BQ302" s="300" t="str">
        <f t="shared" si="167"/>
        <v>Q2 11</v>
      </c>
      <c r="BR302" s="300" t="str">
        <f t="shared" si="167"/>
        <v>Q3 11</v>
      </c>
      <c r="BS302" s="300" t="str">
        <f t="shared" si="167"/>
        <v>Q4 11</v>
      </c>
      <c r="BT302" s="300" t="str">
        <f t="shared" si="167"/>
        <v>Q1 12</v>
      </c>
      <c r="BU302" s="300" t="str">
        <f t="shared" si="167"/>
        <v>Q2 12</v>
      </c>
      <c r="BV302" s="300" t="str">
        <f t="shared" si="167"/>
        <v>Q3 12</v>
      </c>
      <c r="BW302" s="300" t="str">
        <f t="shared" si="167"/>
        <v>Q4 12</v>
      </c>
      <c r="BX302" s="300" t="str">
        <f t="shared" si="167"/>
        <v>Q1 13</v>
      </c>
      <c r="BY302" s="300" t="str">
        <f t="shared" si="167"/>
        <v>Q2 13</v>
      </c>
      <c r="BZ302" s="300" t="str">
        <f t="shared" si="167"/>
        <v>Q3 13</v>
      </c>
      <c r="CA302" s="300" t="str">
        <f t="shared" si="167"/>
        <v>Q4 13</v>
      </c>
      <c r="CB302" s="300" t="str">
        <f t="shared" si="167"/>
        <v>Q1 14</v>
      </c>
      <c r="CC302" s="300" t="str">
        <f t="shared" si="167"/>
        <v>Q2 14</v>
      </c>
      <c r="CD302" s="300" t="str">
        <f t="shared" si="167"/>
        <v>Q3 14</v>
      </c>
      <c r="CE302" s="300" t="str">
        <f t="shared" si="167"/>
        <v>Q4 14</v>
      </c>
      <c r="CF302" s="300" t="str">
        <f t="shared" si="167"/>
        <v>Q1 15</v>
      </c>
    </row>
    <row r="303" spans="30:86">
      <c r="AD303" s="220" t="s">
        <v>8</v>
      </c>
      <c r="AE303" s="26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21"/>
      <c r="BK303" s="221"/>
      <c r="BL303" s="221"/>
      <c r="BM303" s="221"/>
      <c r="BN303" s="221"/>
      <c r="BO303" s="221"/>
      <c r="BP303" s="221"/>
      <c r="BQ303" s="221"/>
      <c r="BR303" s="221"/>
      <c r="BS303" s="221"/>
      <c r="BT303" s="221"/>
      <c r="BU303" s="221"/>
      <c r="BV303" s="221"/>
      <c r="BW303" s="221">
        <f t="shared" ref="BW303:CF305" si="168">BW285</f>
        <v>101.6</v>
      </c>
      <c r="BX303" s="221">
        <f t="shared" si="168"/>
        <v>108.80003174939147</v>
      </c>
      <c r="BY303" s="221">
        <f t="shared" si="168"/>
        <v>110.62187203889096</v>
      </c>
      <c r="BZ303" s="221">
        <f t="shared" si="168"/>
        <v>111.54312913090656</v>
      </c>
      <c r="CA303" s="221">
        <f t="shared" si="168"/>
        <v>129.90000000000003</v>
      </c>
      <c r="CB303" s="221">
        <f t="shared" si="168"/>
        <v>111.9703620524152</v>
      </c>
      <c r="CC303" s="221">
        <f t="shared" si="168"/>
        <v>118.93341686347328</v>
      </c>
      <c r="CD303" s="221">
        <f t="shared" si="168"/>
        <v>119.49770017477979</v>
      </c>
      <c r="CE303" s="221">
        <f t="shared" si="168"/>
        <v>126.19736178175803</v>
      </c>
      <c r="CF303" s="221">
        <f t="shared" si="168"/>
        <v>109.18735370871423</v>
      </c>
    </row>
    <row r="304" spans="30:86">
      <c r="AD304" s="222" t="s">
        <v>19</v>
      </c>
      <c r="AE304" s="263"/>
      <c r="AF304" s="223"/>
      <c r="AG304" s="223"/>
      <c r="AH304" s="223"/>
      <c r="AI304" s="223"/>
      <c r="AJ304" s="223"/>
      <c r="AK304" s="223"/>
      <c r="AL304" s="223"/>
      <c r="AM304" s="223"/>
      <c r="AN304" s="223"/>
      <c r="AO304" s="223"/>
      <c r="AP304" s="223"/>
      <c r="AQ304" s="223"/>
      <c r="AR304" s="223"/>
      <c r="AS304" s="223"/>
      <c r="AT304" s="223"/>
      <c r="AU304" s="223"/>
      <c r="AV304" s="223"/>
      <c r="AW304" s="223"/>
      <c r="AX304" s="223"/>
      <c r="AY304" s="223"/>
      <c r="AZ304" s="223"/>
      <c r="BA304" s="223"/>
      <c r="BB304" s="223"/>
      <c r="BC304" s="223"/>
      <c r="BD304" s="223"/>
      <c r="BE304" s="223"/>
      <c r="BF304" s="223"/>
      <c r="BG304" s="223"/>
      <c r="BH304" s="223"/>
      <c r="BI304" s="223"/>
      <c r="BJ304" s="223"/>
      <c r="BK304" s="223"/>
      <c r="BL304" s="223"/>
      <c r="BM304" s="223"/>
      <c r="BN304" s="223"/>
      <c r="BO304" s="223"/>
      <c r="BP304" s="223"/>
      <c r="BQ304" s="223"/>
      <c r="BR304" s="223"/>
      <c r="BS304" s="223"/>
      <c r="BT304" s="223"/>
      <c r="BU304" s="223"/>
      <c r="BV304" s="223"/>
      <c r="BW304" s="223">
        <f t="shared" si="168"/>
        <v>-48.492139999999957</v>
      </c>
      <c r="BX304" s="223">
        <f t="shared" si="168"/>
        <v>-74.532278547994508</v>
      </c>
      <c r="BY304" s="223">
        <f t="shared" si="168"/>
        <v>-73.041313393482469</v>
      </c>
      <c r="BZ304" s="223">
        <f t="shared" si="168"/>
        <v>-55.478326921179836</v>
      </c>
      <c r="CA304" s="223">
        <f t="shared" si="168"/>
        <v>-51.368544019805064</v>
      </c>
      <c r="CB304" s="223">
        <f t="shared" si="168"/>
        <v>-58.979191494756662</v>
      </c>
      <c r="CC304" s="223">
        <f t="shared" si="168"/>
        <v>-75.567352935874098</v>
      </c>
      <c r="CD304" s="223">
        <f t="shared" si="168"/>
        <v>-63.750262169692149</v>
      </c>
      <c r="CE304" s="223">
        <f t="shared" si="168"/>
        <v>-57.952415164324762</v>
      </c>
      <c r="CF304" s="223">
        <f t="shared" si="168"/>
        <v>-56.205275291782073</v>
      </c>
    </row>
    <row r="305" spans="30:84">
      <c r="AD305" s="220" t="s">
        <v>679</v>
      </c>
      <c r="AE305" s="26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221"/>
      <c r="BK305" s="221"/>
      <c r="BL305" s="221"/>
      <c r="BM305" s="221"/>
      <c r="BN305" s="221"/>
      <c r="BO305" s="221"/>
      <c r="BP305" s="221"/>
      <c r="BQ305" s="221"/>
      <c r="BR305" s="221"/>
      <c r="BS305" s="221"/>
      <c r="BT305" s="221"/>
      <c r="BU305" s="221"/>
      <c r="BV305" s="221"/>
      <c r="BW305" s="221">
        <f t="shared" si="168"/>
        <v>0</v>
      </c>
      <c r="BX305" s="221">
        <f t="shared" si="168"/>
        <v>-17.238215684199385</v>
      </c>
      <c r="BY305" s="221">
        <f t="shared" si="168"/>
        <v>-13.55391175380052</v>
      </c>
      <c r="BZ305" s="221">
        <f t="shared" si="168"/>
        <v>-20.283772319226593</v>
      </c>
      <c r="CA305" s="221">
        <f t="shared" si="168"/>
        <v>-17.322033111558103</v>
      </c>
      <c r="CB305" s="221">
        <f t="shared" si="168"/>
        <v>-17.657970043286905</v>
      </c>
      <c r="CC305" s="221">
        <f t="shared" si="168"/>
        <v>-12.221123510429248</v>
      </c>
      <c r="CD305" s="221">
        <f t="shared" si="168"/>
        <v>-48.196360773184281</v>
      </c>
      <c r="CE305" s="221">
        <f t="shared" si="168"/>
        <v>94.057664867754923</v>
      </c>
      <c r="CF305" s="221">
        <f t="shared" si="168"/>
        <v>-58.630969725108464</v>
      </c>
    </row>
    <row r="306" spans="30:84">
      <c r="AD306" s="222" t="s">
        <v>743</v>
      </c>
      <c r="AE306" s="263"/>
      <c r="AF306" s="223"/>
      <c r="AG306" s="223"/>
      <c r="AH306" s="223"/>
      <c r="AI306" s="223"/>
      <c r="AJ306" s="223"/>
      <c r="AK306" s="223"/>
      <c r="AL306" s="223"/>
      <c r="AM306" s="223"/>
      <c r="AN306" s="223"/>
      <c r="AO306" s="223"/>
      <c r="AP306" s="223"/>
      <c r="AQ306" s="223"/>
      <c r="AR306" s="223"/>
      <c r="AS306" s="223"/>
      <c r="AT306" s="223"/>
      <c r="AU306" s="223"/>
      <c r="AV306" s="223"/>
      <c r="AW306" s="223"/>
      <c r="AX306" s="223"/>
      <c r="AY306" s="223"/>
      <c r="AZ306" s="223"/>
      <c r="BA306" s="223"/>
      <c r="BB306" s="223"/>
      <c r="BC306" s="223"/>
      <c r="BD306" s="223"/>
      <c r="BE306" s="223"/>
      <c r="BF306" s="223"/>
      <c r="BG306" s="223"/>
      <c r="BH306" s="223"/>
      <c r="BI306" s="223"/>
      <c r="BJ306" s="223"/>
      <c r="BK306" s="223"/>
      <c r="BL306" s="223"/>
      <c r="BM306" s="223"/>
      <c r="BN306" s="223"/>
      <c r="BO306" s="223"/>
      <c r="BP306" s="223"/>
      <c r="BQ306" s="223"/>
      <c r="BR306" s="223"/>
      <c r="BS306" s="223"/>
      <c r="BT306" s="223"/>
      <c r="BU306" s="223"/>
      <c r="BV306" s="223"/>
      <c r="BW306" s="223">
        <f t="shared" ref="BW306:CF310" si="169">BW289</f>
        <v>0</v>
      </c>
      <c r="BX306" s="223">
        <f t="shared" si="169"/>
        <v>-34.652619324796277</v>
      </c>
      <c r="BY306" s="223">
        <f t="shared" si="169"/>
        <v>12.983862728134145</v>
      </c>
      <c r="BZ306" s="223">
        <f t="shared" si="169"/>
        <v>-14.818910920390648</v>
      </c>
      <c r="CA306" s="223">
        <f t="shared" si="169"/>
        <v>-31.529753984217862</v>
      </c>
      <c r="CB306" s="223">
        <f t="shared" si="169"/>
        <v>20.722844257692937</v>
      </c>
      <c r="CC306" s="223">
        <f t="shared" si="169"/>
        <v>3.4140438803656075</v>
      </c>
      <c r="CD306" s="223">
        <f t="shared" si="169"/>
        <v>-38.286451970166297</v>
      </c>
      <c r="CE306" s="223">
        <f t="shared" si="169"/>
        <v>-53.366107500292394</v>
      </c>
      <c r="CF306" s="223">
        <f t="shared" si="169"/>
        <v>-31.858881542082258</v>
      </c>
    </row>
    <row r="307" spans="30:84">
      <c r="AD307" s="220" t="s">
        <v>744</v>
      </c>
      <c r="AE307" s="26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21"/>
      <c r="BK307" s="221"/>
      <c r="BL307" s="221"/>
      <c r="BM307" s="221"/>
      <c r="BN307" s="221"/>
      <c r="BO307" s="221"/>
      <c r="BP307" s="221"/>
      <c r="BQ307" s="221"/>
      <c r="BR307" s="221"/>
      <c r="BS307" s="221"/>
      <c r="BT307" s="221"/>
      <c r="BU307" s="221"/>
      <c r="BV307" s="221"/>
      <c r="BW307" s="221">
        <f t="shared" si="169"/>
        <v>0</v>
      </c>
      <c r="BX307" s="221">
        <f t="shared" si="169"/>
        <v>-5.7148904645994287</v>
      </c>
      <c r="BY307" s="221">
        <f t="shared" si="169"/>
        <v>-16.891195979071394</v>
      </c>
      <c r="BZ307" s="221">
        <f t="shared" si="169"/>
        <v>-7.8918812271875307</v>
      </c>
      <c r="CA307" s="221">
        <f t="shared" si="169"/>
        <v>-8.7033885192635019</v>
      </c>
      <c r="CB307" s="221">
        <f t="shared" si="169"/>
        <v>-7.6069041711191208</v>
      </c>
      <c r="CC307" s="221">
        <f t="shared" si="169"/>
        <v>-12.078818799689916</v>
      </c>
      <c r="CD307" s="221">
        <f t="shared" si="169"/>
        <v>-7.7872185785730332</v>
      </c>
      <c r="CE307" s="221">
        <f t="shared" si="169"/>
        <v>-8.5211608828591032</v>
      </c>
      <c r="CF307" s="221">
        <f t="shared" si="169"/>
        <v>-6.0837962888842636</v>
      </c>
    </row>
    <row r="308" spans="30:84">
      <c r="AD308" s="222" t="s">
        <v>682</v>
      </c>
      <c r="AE308" s="263"/>
      <c r="AF308" s="223"/>
      <c r="AG308" s="223"/>
      <c r="AH308" s="223"/>
      <c r="AI308" s="223"/>
      <c r="AJ308" s="223"/>
      <c r="AK308" s="223"/>
      <c r="AL308" s="223"/>
      <c r="AM308" s="223"/>
      <c r="AN308" s="223"/>
      <c r="AO308" s="223"/>
      <c r="AP308" s="223"/>
      <c r="AQ308" s="223"/>
      <c r="AR308" s="223"/>
      <c r="AS308" s="223"/>
      <c r="AT308" s="223"/>
      <c r="AU308" s="223"/>
      <c r="AV308" s="223"/>
      <c r="AW308" s="223"/>
      <c r="AX308" s="223"/>
      <c r="AY308" s="223"/>
      <c r="AZ308" s="223"/>
      <c r="BA308" s="223"/>
      <c r="BB308" s="223"/>
      <c r="BC308" s="223"/>
      <c r="BD308" s="223"/>
      <c r="BE308" s="223"/>
      <c r="BF308" s="223"/>
      <c r="BG308" s="223"/>
      <c r="BH308" s="223"/>
      <c r="BI308" s="223"/>
      <c r="BJ308" s="223"/>
      <c r="BK308" s="223"/>
      <c r="BL308" s="223"/>
      <c r="BM308" s="223"/>
      <c r="BN308" s="223"/>
      <c r="BO308" s="223"/>
      <c r="BP308" s="223"/>
      <c r="BQ308" s="223"/>
      <c r="BR308" s="223"/>
      <c r="BS308" s="223"/>
      <c r="BT308" s="223"/>
      <c r="BU308" s="223"/>
      <c r="BV308" s="223"/>
      <c r="BW308" s="223">
        <f t="shared" si="169"/>
        <v>0</v>
      </c>
      <c r="BX308" s="223">
        <f t="shared" si="169"/>
        <v>7.6198539527992377</v>
      </c>
      <c r="BY308" s="223">
        <f t="shared" si="169"/>
        <v>-10.089362666337085</v>
      </c>
      <c r="BZ308" s="223">
        <f t="shared" si="169"/>
        <v>-16.967544638453191</v>
      </c>
      <c r="CA308" s="223">
        <f t="shared" si="169"/>
        <v>114.09000464180721</v>
      </c>
      <c r="CB308" s="223">
        <f t="shared" si="169"/>
        <v>39.302338217448821</v>
      </c>
      <c r="CC308" s="223">
        <f t="shared" si="169"/>
        <v>0</v>
      </c>
      <c r="CD308" s="223">
        <f t="shared" si="169"/>
        <v>44.473670548739321</v>
      </c>
      <c r="CE308" s="223">
        <f t="shared" si="169"/>
        <v>-43.107049172110806</v>
      </c>
      <c r="CF308" s="223">
        <f t="shared" si="169"/>
        <v>0</v>
      </c>
    </row>
    <row r="309" spans="30:84">
      <c r="AD309" s="220" t="s">
        <v>745</v>
      </c>
      <c r="AE309" s="26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21"/>
      <c r="BK309" s="221"/>
      <c r="BL309" s="221"/>
      <c r="BM309" s="221"/>
      <c r="BN309" s="221"/>
      <c r="BO309" s="221"/>
      <c r="BP309" s="221"/>
      <c r="BQ309" s="221"/>
      <c r="BR309" s="221"/>
      <c r="BS309" s="221"/>
      <c r="BT309" s="221"/>
      <c r="BU309" s="221"/>
      <c r="BV309" s="221"/>
      <c r="BW309" s="221">
        <f t="shared" si="169"/>
        <v>-763.1358633486816</v>
      </c>
      <c r="BX309" s="221">
        <f t="shared" si="169"/>
        <v>725.74612166808038</v>
      </c>
      <c r="BY309" s="221">
        <f t="shared" si="169"/>
        <v>-10.02995097433363</v>
      </c>
      <c r="BZ309" s="221">
        <f t="shared" si="169"/>
        <v>3.8973068955312353</v>
      </c>
      <c r="CA309" s="221">
        <f t="shared" si="169"/>
        <v>-739.94595389138181</v>
      </c>
      <c r="CB309" s="221">
        <f t="shared" si="169"/>
        <v>-1421.6175998747503</v>
      </c>
      <c r="CC309" s="221">
        <f t="shared" si="169"/>
        <v>-21.958156407635553</v>
      </c>
      <c r="CD309" s="221">
        <f t="shared" si="169"/>
        <v>-118.27489359178367</v>
      </c>
      <c r="CE309" s="221">
        <f t="shared" si="169"/>
        <v>8.32700273416296</v>
      </c>
      <c r="CF309" s="221">
        <f t="shared" si="169"/>
        <v>33.760194432141574</v>
      </c>
    </row>
    <row r="310" spans="30:84">
      <c r="AD310" s="222" t="s">
        <v>116</v>
      </c>
      <c r="AE310" s="263"/>
      <c r="AF310" s="223"/>
      <c r="AG310" s="223"/>
      <c r="AH310" s="223"/>
      <c r="AI310" s="223"/>
      <c r="AJ310" s="223"/>
      <c r="AK310" s="223"/>
      <c r="AL310" s="223"/>
      <c r="AM310" s="223"/>
      <c r="AN310" s="223"/>
      <c r="AO310" s="223"/>
      <c r="AP310" s="223"/>
      <c r="AQ310" s="223"/>
      <c r="AR310" s="223"/>
      <c r="AS310" s="223"/>
      <c r="AT310" s="223"/>
      <c r="AU310" s="223"/>
      <c r="AV310" s="223"/>
      <c r="AW310" s="223"/>
      <c r="AX310" s="223"/>
      <c r="AY310" s="223"/>
      <c r="AZ310" s="223"/>
      <c r="BA310" s="223"/>
      <c r="BB310" s="223"/>
      <c r="BC310" s="223"/>
      <c r="BD310" s="223"/>
      <c r="BE310" s="223"/>
      <c r="BF310" s="223"/>
      <c r="BG310" s="223"/>
      <c r="BH310" s="223"/>
      <c r="BI310" s="223"/>
      <c r="BJ310" s="223"/>
      <c r="BK310" s="223"/>
      <c r="BL310" s="223"/>
      <c r="BM310" s="223"/>
      <c r="BN310" s="223"/>
      <c r="BO310" s="223"/>
      <c r="BP310" s="223"/>
      <c r="BQ310" s="223"/>
      <c r="BR310" s="223"/>
      <c r="BS310" s="223"/>
      <c r="BT310" s="223"/>
      <c r="BU310" s="223"/>
      <c r="BV310" s="223"/>
      <c r="BW310" s="223"/>
      <c r="BX310" s="223"/>
      <c r="BY310" s="223"/>
      <c r="BZ310" s="223"/>
      <c r="CA310" s="223"/>
      <c r="CB310" s="223">
        <f t="shared" si="169"/>
        <v>1333.8661210563562</v>
      </c>
      <c r="CC310" s="223">
        <f t="shared" si="169"/>
        <v>-0.52200909021007647</v>
      </c>
      <c r="CD310" s="223">
        <f t="shared" si="169"/>
        <v>112.32381635988031</v>
      </c>
      <c r="CE310" s="223">
        <f t="shared" si="169"/>
        <v>-65.635296664088855</v>
      </c>
      <c r="CF310" s="223">
        <f t="shared" si="169"/>
        <v>9.8313747070012596</v>
      </c>
    </row>
    <row r="311" spans="30:84">
      <c r="AD311" s="218" t="s">
        <v>748</v>
      </c>
      <c r="AE311" s="219" t="str">
        <f t="shared" ref="AE311:CE311" si="170">AE302</f>
        <v>Q4 01</v>
      </c>
      <c r="AF311" s="219" t="str">
        <f t="shared" si="170"/>
        <v>Q1 02</v>
      </c>
      <c r="AG311" s="219" t="str">
        <f t="shared" si="170"/>
        <v>Q2 02</v>
      </c>
      <c r="AH311" s="219" t="str">
        <f t="shared" si="170"/>
        <v>Q3 02</v>
      </c>
      <c r="AI311" s="219" t="str">
        <f t="shared" si="170"/>
        <v>Q4 02</v>
      </c>
      <c r="AJ311" s="219" t="str">
        <f t="shared" si="170"/>
        <v>Q1 03</v>
      </c>
      <c r="AK311" s="219" t="str">
        <f t="shared" si="170"/>
        <v>Q2 03</v>
      </c>
      <c r="AL311" s="219" t="str">
        <f t="shared" si="170"/>
        <v>Q3 03</v>
      </c>
      <c r="AM311" s="219" t="str">
        <f t="shared" si="170"/>
        <v>Q4 03</v>
      </c>
      <c r="AN311" s="219" t="str">
        <f t="shared" si="170"/>
        <v>1Q04</v>
      </c>
      <c r="AO311" s="219" t="str">
        <f t="shared" si="170"/>
        <v>Q2 04</v>
      </c>
      <c r="AP311" s="219" t="str">
        <f t="shared" si="170"/>
        <v>Q3 04</v>
      </c>
      <c r="AQ311" s="219" t="str">
        <f t="shared" si="170"/>
        <v>Q4 04</v>
      </c>
      <c r="AR311" s="219" t="str">
        <f t="shared" si="170"/>
        <v>Q1 05</v>
      </c>
      <c r="AS311" s="219" t="str">
        <f t="shared" si="170"/>
        <v>Q2 05</v>
      </c>
      <c r="AT311" s="219" t="str">
        <f t="shared" si="170"/>
        <v>Q3 05</v>
      </c>
      <c r="AU311" s="219" t="str">
        <f t="shared" si="170"/>
        <v>Q4 05</v>
      </c>
      <c r="AV311" s="219" t="str">
        <f t="shared" si="170"/>
        <v>Q1 06</v>
      </c>
      <c r="AW311" s="219" t="str">
        <f t="shared" si="170"/>
        <v>Q2 06</v>
      </c>
      <c r="AX311" s="219" t="str">
        <f t="shared" si="170"/>
        <v>Q3 06</v>
      </c>
      <c r="AY311" s="219" t="str">
        <f t="shared" si="170"/>
        <v>Q4 06</v>
      </c>
      <c r="AZ311" s="219" t="str">
        <f t="shared" si="170"/>
        <v>Q1 07</v>
      </c>
      <c r="BA311" s="219" t="str">
        <f t="shared" si="170"/>
        <v>Q2 07</v>
      </c>
      <c r="BB311" s="219" t="str">
        <f t="shared" si="170"/>
        <v>Q3 07</v>
      </c>
      <c r="BC311" s="219" t="str">
        <f t="shared" si="170"/>
        <v>Q4 07</v>
      </c>
      <c r="BD311" s="219" t="str">
        <f t="shared" si="170"/>
        <v>Q1 08</v>
      </c>
      <c r="BE311" s="219" t="str">
        <f t="shared" si="170"/>
        <v>Q2 08</v>
      </c>
      <c r="BF311" s="219" t="str">
        <f t="shared" si="170"/>
        <v>Q3 08</v>
      </c>
      <c r="BG311" s="219" t="str">
        <f t="shared" si="170"/>
        <v>Q4 08</v>
      </c>
      <c r="BH311" s="219" t="str">
        <f t="shared" si="170"/>
        <v>Q1 09</v>
      </c>
      <c r="BI311" s="219" t="str">
        <f t="shared" si="170"/>
        <v>Q2 09</v>
      </c>
      <c r="BJ311" s="219" t="str">
        <f t="shared" si="170"/>
        <v>Q3 09</v>
      </c>
      <c r="BK311" s="219" t="str">
        <f t="shared" si="170"/>
        <v>Q4 09</v>
      </c>
      <c r="BL311" s="219" t="str">
        <f t="shared" si="170"/>
        <v>Q1 10</v>
      </c>
      <c r="BM311" s="219" t="str">
        <f t="shared" si="170"/>
        <v>Q2 10</v>
      </c>
      <c r="BN311" s="219" t="str">
        <f t="shared" si="170"/>
        <v>Q3 10</v>
      </c>
      <c r="BO311" s="219" t="str">
        <f t="shared" si="170"/>
        <v>Q4 10</v>
      </c>
      <c r="BP311" s="219" t="str">
        <f t="shared" si="170"/>
        <v>Q1 11</v>
      </c>
      <c r="BQ311" s="219" t="str">
        <f t="shared" si="170"/>
        <v>Q2 11</v>
      </c>
      <c r="BR311" s="219" t="str">
        <f t="shared" si="170"/>
        <v>Q3 11</v>
      </c>
      <c r="BS311" s="219" t="str">
        <f t="shared" si="170"/>
        <v>Q4 11</v>
      </c>
      <c r="BT311" s="219" t="str">
        <f t="shared" si="170"/>
        <v>Q1 12</v>
      </c>
      <c r="BU311" s="219" t="str">
        <f t="shared" si="170"/>
        <v>Q2 12</v>
      </c>
      <c r="BV311" s="219" t="str">
        <f t="shared" si="170"/>
        <v>Q3 12</v>
      </c>
      <c r="BW311" s="219" t="str">
        <f t="shared" si="170"/>
        <v>Q4 12</v>
      </c>
      <c r="BX311" s="219" t="str">
        <f t="shared" si="170"/>
        <v>Q1 13</v>
      </c>
      <c r="BY311" s="219" t="str">
        <f t="shared" si="170"/>
        <v>Q2 13</v>
      </c>
      <c r="BZ311" s="219" t="str">
        <f t="shared" si="170"/>
        <v>Q3 13</v>
      </c>
      <c r="CA311" s="219" t="str">
        <f t="shared" si="170"/>
        <v>Q4 13</v>
      </c>
      <c r="CB311" s="219" t="str">
        <f t="shared" si="170"/>
        <v>Q1 14</v>
      </c>
      <c r="CC311" s="219" t="str">
        <f t="shared" si="170"/>
        <v>Q2 14</v>
      </c>
      <c r="CD311" s="219" t="str">
        <f t="shared" si="170"/>
        <v>Q3 14</v>
      </c>
      <c r="CE311" s="219" t="str">
        <f t="shared" si="170"/>
        <v>Q4 14</v>
      </c>
      <c r="CF311" s="219" t="str">
        <f>CF302</f>
        <v>Q1 15</v>
      </c>
    </row>
    <row r="312" spans="30:84">
      <c r="AD312" s="220" t="s">
        <v>707</v>
      </c>
      <c r="AE312" s="26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21"/>
      <c r="BK312" s="221"/>
      <c r="BL312" s="221"/>
      <c r="BM312" s="221"/>
      <c r="BN312" s="221"/>
      <c r="BO312" s="221"/>
      <c r="BP312" s="221"/>
      <c r="BQ312" s="221"/>
      <c r="BR312" s="221"/>
      <c r="BS312" s="221"/>
      <c r="BT312" s="221"/>
      <c r="BU312" s="221"/>
      <c r="BV312" s="221"/>
      <c r="BW312" s="221">
        <f>BW282</f>
        <v>46.770029300962747</v>
      </c>
      <c r="BX312" s="221"/>
      <c r="BY312" s="221"/>
      <c r="BZ312" s="221"/>
      <c r="CA312" s="221">
        <f t="shared" ref="CA312:CF312" si="171">CA282</f>
        <v>177.57210273866627</v>
      </c>
      <c r="CB312" s="221">
        <f t="shared" si="171"/>
        <v>114.12884103381451</v>
      </c>
      <c r="CC312" s="221">
        <f t="shared" si="171"/>
        <v>111.65161621806774</v>
      </c>
      <c r="CD312" s="221">
        <f t="shared" si="171"/>
        <v>73.278600723346088</v>
      </c>
      <c r="CE312" s="221">
        <f t="shared" si="171"/>
        <v>108.28117993015991</v>
      </c>
      <c r="CF312" s="221">
        <f t="shared" si="171"/>
        <v>79.99106962744753</v>
      </c>
    </row>
    <row r="313" spans="30:84">
      <c r="AD313" s="222" t="s">
        <v>749</v>
      </c>
      <c r="AE313" s="263"/>
      <c r="AF313" s="223"/>
      <c r="AG313" s="223"/>
      <c r="AH313" s="223"/>
      <c r="AI313" s="223"/>
      <c r="AJ313" s="223"/>
      <c r="AK313" s="223"/>
      <c r="AL313" s="223"/>
      <c r="AM313" s="223"/>
      <c r="AN313" s="223"/>
      <c r="AO313" s="223"/>
      <c r="AP313" s="223"/>
      <c r="AQ313" s="223"/>
      <c r="AR313" s="223"/>
      <c r="AS313" s="223"/>
      <c r="AT313" s="223"/>
      <c r="AU313" s="223"/>
      <c r="AV313" s="223"/>
      <c r="AW313" s="223"/>
      <c r="AX313" s="223"/>
      <c r="AY313" s="223"/>
      <c r="AZ313" s="223"/>
      <c r="BA313" s="223"/>
      <c r="BB313" s="223"/>
      <c r="BC313" s="223"/>
      <c r="BD313" s="223"/>
      <c r="BE313" s="223"/>
      <c r="BF313" s="223"/>
      <c r="BG313" s="223"/>
      <c r="BH313" s="223"/>
      <c r="BI313" s="223"/>
      <c r="BJ313" s="223"/>
      <c r="BK313" s="223"/>
      <c r="BL313" s="223"/>
      <c r="BM313" s="223"/>
      <c r="BN313" s="223"/>
      <c r="BO313" s="223"/>
      <c r="BP313" s="223"/>
      <c r="BQ313" s="223"/>
      <c r="BR313" s="223"/>
      <c r="BS313" s="223"/>
      <c r="BT313" s="223"/>
      <c r="BU313" s="223"/>
      <c r="BV313" s="223"/>
      <c r="BW313" s="223">
        <f>BW277</f>
        <v>756.79803264964426</v>
      </c>
      <c r="BX313" s="223"/>
      <c r="BY313" s="223"/>
      <c r="BZ313" s="223"/>
      <c r="CA313" s="223">
        <f t="shared" ref="CA313:CF314" si="172">CA277</f>
        <v>782.45177162308528</v>
      </c>
      <c r="CB313" s="223">
        <f t="shared" si="172"/>
        <v>2052.8746309745898</v>
      </c>
      <c r="CC313" s="223">
        <f t="shared" si="172"/>
        <v>2049.875397068633</v>
      </c>
      <c r="CD313" s="223">
        <f t="shared" si="172"/>
        <v>2123.8261979337917</v>
      </c>
      <c r="CE313" s="223">
        <f t="shared" si="172"/>
        <v>2093.1934804765165</v>
      </c>
      <c r="CF313" s="223">
        <f t="shared" si="172"/>
        <v>2074.7347448808055</v>
      </c>
    </row>
    <row r="314" spans="30:84">
      <c r="AD314" s="220" t="s">
        <v>705</v>
      </c>
      <c r="AE314" s="26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21"/>
      <c r="BK314" s="221"/>
      <c r="BL314" s="221"/>
      <c r="BM314" s="221"/>
      <c r="BN314" s="221"/>
      <c r="BO314" s="221"/>
      <c r="BP314" s="221"/>
      <c r="BQ314" s="221"/>
      <c r="BR314" s="221"/>
      <c r="BS314" s="221"/>
      <c r="BT314" s="221"/>
      <c r="BU314" s="221"/>
      <c r="BV314" s="221"/>
      <c r="BW314" s="221">
        <f>BW278</f>
        <v>0</v>
      </c>
      <c r="BX314" s="221"/>
      <c r="BY314" s="221"/>
      <c r="BZ314" s="221"/>
      <c r="CA314" s="221">
        <f t="shared" si="172"/>
        <v>0</v>
      </c>
      <c r="CB314" s="221">
        <f t="shared" si="172"/>
        <v>0</v>
      </c>
      <c r="CC314" s="221">
        <f t="shared" si="172"/>
        <v>0</v>
      </c>
      <c r="CD314" s="221">
        <f t="shared" si="172"/>
        <v>0</v>
      </c>
      <c r="CE314" s="221">
        <f t="shared" si="172"/>
        <v>0</v>
      </c>
      <c r="CF314" s="221">
        <f t="shared" si="172"/>
        <v>0</v>
      </c>
    </row>
    <row r="315" spans="30:84">
      <c r="AD315" s="222" t="s">
        <v>741</v>
      </c>
      <c r="AE315" s="263"/>
      <c r="AF315" s="223"/>
      <c r="AG315" s="223"/>
      <c r="AH315" s="223"/>
      <c r="AI315" s="223"/>
      <c r="AJ315" s="223"/>
      <c r="AK315" s="223"/>
      <c r="AL315" s="223"/>
      <c r="AM315" s="223"/>
      <c r="AN315" s="223"/>
      <c r="AO315" s="223"/>
      <c r="AP315" s="223"/>
      <c r="AQ315" s="223"/>
      <c r="AR315" s="223"/>
      <c r="AS315" s="223"/>
      <c r="AT315" s="223"/>
      <c r="AU315" s="223"/>
      <c r="AV315" s="223"/>
      <c r="AW315" s="223"/>
      <c r="AX315" s="223"/>
      <c r="AY315" s="223"/>
      <c r="AZ315" s="223"/>
      <c r="BA315" s="223"/>
      <c r="BB315" s="223"/>
      <c r="BC315" s="223"/>
      <c r="BD315" s="223"/>
      <c r="BE315" s="223"/>
      <c r="BF315" s="223"/>
      <c r="BG315" s="223"/>
      <c r="BH315" s="223"/>
      <c r="BI315" s="223"/>
      <c r="BJ315" s="223"/>
      <c r="BK315" s="223"/>
      <c r="BL315" s="223"/>
      <c r="BM315" s="223"/>
      <c r="BN315" s="223"/>
      <c r="BO315" s="223"/>
      <c r="BP315" s="223"/>
      <c r="BQ315" s="223"/>
      <c r="BR315" s="223"/>
      <c r="BS315" s="223"/>
      <c r="BT315" s="223"/>
      <c r="BU315" s="223"/>
      <c r="BV315" s="223"/>
      <c r="BW315" s="223">
        <f>BW281</f>
        <v>756.79803264964426</v>
      </c>
      <c r="BX315" s="223"/>
      <c r="BY315" s="223"/>
      <c r="BZ315" s="223"/>
      <c r="CA315" s="223">
        <f t="shared" ref="CA315:CF315" si="173">CA281</f>
        <v>782.45177162308528</v>
      </c>
      <c r="CB315" s="223">
        <f t="shared" si="173"/>
        <v>2052.8746309745898</v>
      </c>
      <c r="CC315" s="223">
        <f t="shared" si="173"/>
        <v>2049.875397068633</v>
      </c>
      <c r="CD315" s="223">
        <f t="shared" si="173"/>
        <v>2123.8261979337917</v>
      </c>
      <c r="CE315" s="223">
        <f t="shared" si="173"/>
        <v>2093.1934804765165</v>
      </c>
      <c r="CF315" s="223">
        <f t="shared" si="173"/>
        <v>2074.7347448808055</v>
      </c>
    </row>
    <row r="316" spans="30:84">
      <c r="AD316" s="220" t="s">
        <v>714</v>
      </c>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21"/>
      <c r="BK316" s="221"/>
      <c r="BL316" s="221"/>
      <c r="BM316" s="221"/>
      <c r="BN316" s="221"/>
      <c r="BO316" s="221"/>
      <c r="BP316" s="221"/>
      <c r="BQ316" s="221"/>
      <c r="BR316" s="221"/>
      <c r="BS316" s="221"/>
      <c r="BT316" s="221"/>
      <c r="BU316" s="221"/>
      <c r="BV316" s="221"/>
      <c r="BW316" s="221">
        <f>SUM(BT303:BW303)</f>
        <v>101.6</v>
      </c>
      <c r="BX316" s="221"/>
      <c r="BY316" s="221"/>
      <c r="BZ316" s="221"/>
      <c r="CA316" s="221">
        <f t="shared" ref="CA316:CF316" si="174">SUM(BX303:CA303)</f>
        <v>460.86503291918899</v>
      </c>
      <c r="CB316" s="221">
        <f t="shared" si="174"/>
        <v>464.03536322221271</v>
      </c>
      <c r="CC316" s="221">
        <f t="shared" si="174"/>
        <v>472.34690804679502</v>
      </c>
      <c r="CD316" s="221">
        <f t="shared" si="174"/>
        <v>480.30147909066829</v>
      </c>
      <c r="CE316" s="221">
        <f t="shared" si="174"/>
        <v>476.59884087242636</v>
      </c>
      <c r="CF316" s="221">
        <f t="shared" si="174"/>
        <v>473.81583252872537</v>
      </c>
    </row>
    <row r="317" spans="30:84">
      <c r="AD317" s="222" t="s">
        <v>750</v>
      </c>
      <c r="AE317" s="263"/>
      <c r="AF317" s="224"/>
      <c r="AG317" s="224"/>
      <c r="AH317" s="224"/>
      <c r="AI317" s="224"/>
      <c r="AJ317" s="224"/>
      <c r="AK317" s="224"/>
      <c r="AL317" s="224"/>
      <c r="AM317" s="224"/>
      <c r="AN317" s="224"/>
      <c r="AO317" s="224"/>
      <c r="AP317" s="224"/>
      <c r="AQ317" s="224"/>
      <c r="AR317" s="224"/>
      <c r="AS317" s="224"/>
      <c r="AT317" s="224"/>
      <c r="AU317" s="224"/>
      <c r="AV317" s="224"/>
      <c r="AW317" s="224"/>
      <c r="AX317" s="224"/>
      <c r="AY317" s="224"/>
      <c r="AZ317" s="224"/>
      <c r="BA317" s="224"/>
      <c r="BB317" s="224"/>
      <c r="BC317" s="224"/>
      <c r="BD317" s="224"/>
      <c r="BE317" s="224"/>
      <c r="BF317" s="224"/>
      <c r="BG317" s="224"/>
      <c r="BH317" s="224"/>
      <c r="BI317" s="224"/>
      <c r="BJ317" s="224"/>
      <c r="BK317" s="224"/>
      <c r="BL317" s="224"/>
      <c r="BM317" s="224"/>
      <c r="BN317" s="224"/>
      <c r="BO317" s="224"/>
      <c r="BP317" s="224"/>
      <c r="BQ317" s="224"/>
      <c r="BR317" s="224"/>
      <c r="BS317" s="224"/>
      <c r="BT317" s="224"/>
      <c r="BU317" s="224"/>
      <c r="BV317" s="224"/>
      <c r="BW317" s="224">
        <f>(BW313-BW312)/BW316</f>
        <v>6.9884645998885979</v>
      </c>
      <c r="BX317" s="224"/>
      <c r="BY317" s="224"/>
      <c r="BZ317" s="224"/>
      <c r="CA317" s="224">
        <f t="shared" ref="CA317:CF317" si="175">(CA313-CA312)/CA316</f>
        <v>1.3124876605478604</v>
      </c>
      <c r="CB317" s="224">
        <f t="shared" si="175"/>
        <v>4.1780130214178692</v>
      </c>
      <c r="CC317" s="224">
        <f t="shared" si="175"/>
        <v>4.1033904273139585</v>
      </c>
      <c r="CD317" s="224">
        <f t="shared" si="175"/>
        <v>4.2692926973546879</v>
      </c>
      <c r="CE317" s="224">
        <f t="shared" si="175"/>
        <v>4.1647442887459061</v>
      </c>
      <c r="CF317" s="224">
        <f t="shared" si="175"/>
        <v>4.2099557218414088</v>
      </c>
    </row>
    <row r="318" spans="30:84">
      <c r="AD318" s="220" t="s">
        <v>751</v>
      </c>
      <c r="AE318" s="261"/>
      <c r="AF318" s="225"/>
      <c r="AG318" s="225"/>
      <c r="AH318" s="225"/>
      <c r="AI318" s="225"/>
      <c r="AJ318" s="225"/>
      <c r="AK318" s="225"/>
      <c r="AL318" s="225"/>
      <c r="AM318" s="225"/>
      <c r="AN318" s="225"/>
      <c r="AO318" s="225"/>
      <c r="AP318" s="225"/>
      <c r="AQ318" s="225"/>
      <c r="AR318" s="225"/>
      <c r="AS318" s="225"/>
      <c r="AT318" s="225"/>
      <c r="AU318" s="225"/>
      <c r="AV318" s="225"/>
      <c r="AW318" s="225"/>
      <c r="AX318" s="225"/>
      <c r="AY318" s="225"/>
      <c r="AZ318" s="225"/>
      <c r="BA318" s="225"/>
      <c r="BB318" s="225"/>
      <c r="BC318" s="225"/>
      <c r="BD318" s="225"/>
      <c r="BE318" s="225"/>
      <c r="BF318" s="225"/>
      <c r="BG318" s="225"/>
      <c r="BH318" s="225"/>
      <c r="BI318" s="225"/>
      <c r="BJ318" s="225"/>
      <c r="BK318" s="225"/>
      <c r="BL318" s="225"/>
      <c r="BM318" s="225"/>
      <c r="BN318" s="225"/>
      <c r="BO318" s="225"/>
      <c r="BP318" s="225"/>
      <c r="BQ318" s="225"/>
      <c r="BR318" s="225"/>
      <c r="BS318" s="225"/>
      <c r="BT318" s="225"/>
      <c r="BU318" s="225"/>
      <c r="BV318" s="225"/>
      <c r="BW318" s="225">
        <f>(BW315-BW312)/BW316</f>
        <v>6.9884645998885979</v>
      </c>
      <c r="BX318" s="225"/>
      <c r="BY318" s="225"/>
      <c r="BZ318" s="225"/>
      <c r="CA318" s="225">
        <f t="shared" ref="CA318:CF318" si="176">(CA315-CA312)/CA316</f>
        <v>1.3124876605478604</v>
      </c>
      <c r="CB318" s="225">
        <f t="shared" si="176"/>
        <v>4.1780130214178692</v>
      </c>
      <c r="CC318" s="225">
        <f t="shared" si="176"/>
        <v>4.1033904273139585</v>
      </c>
      <c r="CD318" s="225">
        <f t="shared" si="176"/>
        <v>4.2692926973546879</v>
      </c>
      <c r="CE318" s="225">
        <f t="shared" si="176"/>
        <v>4.1647442887459061</v>
      </c>
      <c r="CF318" s="225">
        <f t="shared" si="176"/>
        <v>4.2099557218414088</v>
      </c>
    </row>
    <row r="319" spans="30:84">
      <c r="AD319" s="214"/>
      <c r="AE319" s="215"/>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row>
    <row r="320" spans="30:84">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row>
    <row r="321" spans="31:83">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c r="BJ321" s="91"/>
      <c r="BK321" s="91"/>
      <c r="BL321" s="91"/>
      <c r="BM321" s="91"/>
      <c r="BN321" s="91"/>
      <c r="BO321" s="91"/>
      <c r="BP321" s="91"/>
      <c r="BQ321" s="91"/>
      <c r="BR321" s="91"/>
      <c r="BS321" s="91"/>
      <c r="BT321" s="91"/>
      <c r="BU321" s="91"/>
      <c r="BV321" s="91"/>
      <c r="BW321" s="91"/>
      <c r="BX321" s="91"/>
      <c r="BY321" s="91"/>
      <c r="BZ321" s="91"/>
      <c r="CA321" s="91"/>
      <c r="CB321" s="91"/>
      <c r="CC321" s="91"/>
      <c r="CD321" s="91"/>
      <c r="CE321" s="91"/>
    </row>
    <row r="322" spans="31:83">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row>
    <row r="323" spans="31:83">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row>
    <row r="324" spans="31:83">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row>
    <row r="325" spans="31:83">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row>
    <row r="326" spans="31:83">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row>
    <row r="327" spans="31:83">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row>
    <row r="328" spans="31:83">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row>
    <row r="329" spans="31:83">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row>
    <row r="330" spans="31:83">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row>
    <row r="331" spans="31:83">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row>
    <row r="332" spans="31:83">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row>
    <row r="333" spans="31:83">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row>
    <row r="334" spans="31:83">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row>
    <row r="335" spans="31:83">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row>
    <row r="336" spans="31:83">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row>
    <row r="337" spans="31:83">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row>
    <row r="338" spans="31:83">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row>
    <row r="339" spans="31:83">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row>
    <row r="340" spans="31:83">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row>
    <row r="341" spans="31:83">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row>
    <row r="342" spans="31:83">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row>
    <row r="343" spans="31:83">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row>
    <row r="344" spans="31:83">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row>
    <row r="345" spans="31:83">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row>
    <row r="346" spans="31:83">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row>
    <row r="347" spans="31:83">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row>
    <row r="348" spans="31:83">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row>
    <row r="349" spans="31:83">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1"/>
      <c r="CD349" s="91"/>
      <c r="CE349" s="91"/>
    </row>
    <row r="350" spans="31:83">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row>
    <row r="351" spans="31:83">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row>
    <row r="352" spans="31:83">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row>
    <row r="353" spans="31:83">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row>
    <row r="354" spans="31:83">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row>
    <row r="355" spans="31:83">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row>
    <row r="356" spans="31:83">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row>
    <row r="357" spans="31:83">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row>
    <row r="358" spans="31:83">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sheetPr>
  <dimension ref="A1:AP270"/>
  <sheetViews>
    <sheetView zoomScale="75" zoomScaleNormal="75" workbookViewId="0">
      <pane xSplit="16" ySplit="4" topLeftCell="Q5" activePane="bottomRight" state="frozen"/>
      <selection pane="topRight" activeCell="Q1" sqref="Q1"/>
      <selection pane="bottomLeft" activeCell="A5" sqref="A5"/>
      <selection pane="bottomRight" activeCell="AJ27" sqref="AJ27"/>
    </sheetView>
  </sheetViews>
  <sheetFormatPr defaultColWidth="9.140625" defaultRowHeight="15" outlineLevelCol="1"/>
  <cols>
    <col min="1" max="1" width="9.140625" style="429"/>
    <col min="2" max="2" width="39" style="429" bestFit="1" customWidth="1"/>
    <col min="3" max="3" width="9.140625" style="429" hidden="1" customWidth="1" outlineLevel="1"/>
    <col min="4" max="4" width="8.140625" style="429" hidden="1" customWidth="1" outlineLevel="1"/>
    <col min="5" max="6" width="10.85546875" style="429" hidden="1" customWidth="1" outlineLevel="1"/>
    <col min="7" max="7" width="9" style="429" hidden="1" customWidth="1" outlineLevel="1"/>
    <col min="8" max="8" width="8.140625" style="429" hidden="1" customWidth="1" outlineLevel="1"/>
    <col min="9" max="16" width="9.140625" style="429" hidden="1" customWidth="1" outlineLevel="1"/>
    <col min="17" max="17" width="9.42578125" style="429" bestFit="1" customWidth="1" collapsed="1"/>
    <col min="18" max="23" width="9.140625" style="429"/>
    <col min="24" max="26" width="10" style="429" bestFit="1" customWidth="1"/>
    <col min="27" max="27" width="9.7109375" style="429" bestFit="1" customWidth="1"/>
    <col min="28" max="29" width="10" style="429" bestFit="1" customWidth="1"/>
    <col min="30" max="30" width="9.7109375" style="429" bestFit="1" customWidth="1"/>
    <col min="31" max="16384" width="9.140625" style="429"/>
  </cols>
  <sheetData>
    <row r="1" spans="2:39">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row>
    <row r="2" spans="2:39" ht="19.5" thickBot="1">
      <c r="B2" s="431" t="s">
        <v>467</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1859"/>
      <c r="AL2" s="430"/>
      <c r="AM2" s="430"/>
    </row>
    <row r="3" spans="2:39" ht="15.75" thickTop="1">
      <c r="B3" s="433"/>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row>
    <row r="4" spans="2:39">
      <c r="B4" s="434" t="s">
        <v>1229</v>
      </c>
      <c r="C4" s="435"/>
      <c r="D4" s="435"/>
      <c r="E4" s="435"/>
      <c r="F4" s="435"/>
      <c r="G4" s="435"/>
      <c r="H4" s="435"/>
      <c r="I4" s="435"/>
      <c r="J4" s="435"/>
      <c r="K4" s="435"/>
      <c r="L4" s="435"/>
      <c r="M4" s="435"/>
      <c r="N4" s="435"/>
      <c r="O4" s="435"/>
      <c r="P4" s="435"/>
      <c r="Q4" s="435"/>
      <c r="R4" s="435"/>
      <c r="S4" s="435"/>
      <c r="T4" s="435"/>
      <c r="U4" s="435">
        <v>2015</v>
      </c>
      <c r="V4" s="435">
        <f>U4+1</f>
        <v>2016</v>
      </c>
      <c r="W4" s="435">
        <f t="shared" ref="W4:AI4" si="0">V4+1</f>
        <v>2017</v>
      </c>
      <c r="X4" s="435">
        <f t="shared" si="0"/>
        <v>2018</v>
      </c>
      <c r="Y4" s="435">
        <f t="shared" si="0"/>
        <v>2019</v>
      </c>
      <c r="Z4" s="435">
        <f t="shared" si="0"/>
        <v>2020</v>
      </c>
      <c r="AA4" s="435">
        <f t="shared" si="0"/>
        <v>2021</v>
      </c>
      <c r="AB4" s="435">
        <f t="shared" si="0"/>
        <v>2022</v>
      </c>
      <c r="AC4" s="435">
        <f t="shared" si="0"/>
        <v>2023</v>
      </c>
      <c r="AD4" s="435">
        <f t="shared" si="0"/>
        <v>2024</v>
      </c>
      <c r="AE4" s="435">
        <f t="shared" si="0"/>
        <v>2025</v>
      </c>
      <c r="AF4" s="435">
        <f t="shared" si="0"/>
        <v>2026</v>
      </c>
      <c r="AG4" s="435">
        <f t="shared" si="0"/>
        <v>2027</v>
      </c>
      <c r="AH4" s="435">
        <f t="shared" si="0"/>
        <v>2028</v>
      </c>
      <c r="AI4" s="435">
        <f t="shared" si="0"/>
        <v>2029</v>
      </c>
      <c r="AJ4" s="435">
        <f t="shared" ref="AJ4" si="1">AI4+1</f>
        <v>2030</v>
      </c>
      <c r="AK4" s="1860"/>
      <c r="AL4" s="430"/>
      <c r="AM4" s="430"/>
    </row>
    <row r="5" spans="2:39">
      <c r="B5" s="429" t="s">
        <v>1230</v>
      </c>
      <c r="C5" s="436"/>
      <c r="D5" s="436"/>
      <c r="E5" s="436"/>
      <c r="F5" s="436"/>
      <c r="G5" s="436"/>
      <c r="H5" s="436"/>
      <c r="I5" s="436"/>
      <c r="J5" s="436"/>
      <c r="K5" s="436"/>
      <c r="L5" s="436"/>
      <c r="M5" s="436"/>
      <c r="N5" s="436"/>
      <c r="O5" s="436"/>
      <c r="P5" s="436"/>
      <c r="Q5" s="437"/>
      <c r="R5" s="437"/>
      <c r="S5" s="438"/>
      <c r="T5" s="438"/>
      <c r="U5" s="438">
        <f>Valuation!F5</f>
        <v>174</v>
      </c>
      <c r="V5" s="438">
        <f>Valuation!G5</f>
        <v>172.73599999999999</v>
      </c>
      <c r="W5" s="438">
        <f>Valuation!H5</f>
        <v>171.21257300000002</v>
      </c>
      <c r="X5" s="438">
        <f>Valuation!I5</f>
        <v>180.983</v>
      </c>
      <c r="Y5" s="438">
        <f>Valuation!J5</f>
        <v>181.92400000000001</v>
      </c>
      <c r="Z5" s="438">
        <f>Valuation!K5</f>
        <v>232.03</v>
      </c>
      <c r="AA5" s="438">
        <f>Valuation!L5</f>
        <v>229.73000000000002</v>
      </c>
      <c r="AB5" s="438">
        <f>Valuation!M5</f>
        <v>215.5</v>
      </c>
      <c r="AC5" s="438">
        <f>Valuation!N5</f>
        <v>204.7</v>
      </c>
      <c r="AD5" s="438">
        <f>Valuation!O5</f>
        <v>184.7</v>
      </c>
      <c r="AE5" s="438">
        <f>Valuation!P5</f>
        <v>169.7</v>
      </c>
      <c r="AF5" s="438">
        <f>Valuation!Q5</f>
        <v>159.69999999999999</v>
      </c>
      <c r="AG5" s="438">
        <f>Valuation!R5</f>
        <v>149.69999999999999</v>
      </c>
      <c r="AH5" s="438">
        <f>Valuation!S5</f>
        <v>139.69999999999999</v>
      </c>
      <c r="AI5" s="438">
        <f>Valuation!T5</f>
        <v>129.69999999999999</v>
      </c>
      <c r="AJ5" s="438">
        <f>Valuation!U5</f>
        <v>119.69999999999999</v>
      </c>
      <c r="AK5" s="438"/>
      <c r="AL5" s="430"/>
      <c r="AM5" s="430"/>
    </row>
    <row r="6" spans="2:39">
      <c r="B6" s="429" t="s">
        <v>1231</v>
      </c>
      <c r="C6" s="436"/>
      <c r="D6" s="436"/>
      <c r="E6" s="436"/>
      <c r="F6" s="436"/>
      <c r="G6" s="436"/>
      <c r="H6" s="436"/>
      <c r="I6" s="436"/>
      <c r="J6" s="436"/>
      <c r="K6" s="436"/>
      <c r="L6" s="436"/>
      <c r="M6" s="436"/>
      <c r="N6" s="436"/>
      <c r="O6" s="436"/>
      <c r="P6" s="436"/>
      <c r="Q6" s="437"/>
      <c r="R6" s="437"/>
      <c r="S6" s="437"/>
      <c r="T6" s="438"/>
      <c r="U6" s="438">
        <f t="shared" ref="U6:AF6" si="2">AVERAGE(T5:U5)</f>
        <v>174</v>
      </c>
      <c r="V6" s="438">
        <f t="shared" si="2"/>
        <v>173.36799999999999</v>
      </c>
      <c r="W6" s="438">
        <f t="shared" si="2"/>
        <v>171.97428650000001</v>
      </c>
      <c r="X6" s="438">
        <f t="shared" si="2"/>
        <v>176.09778650000001</v>
      </c>
      <c r="Y6" s="438">
        <f t="shared" si="2"/>
        <v>181.45350000000002</v>
      </c>
      <c r="Z6" s="438">
        <f t="shared" si="2"/>
        <v>206.977</v>
      </c>
      <c r="AA6" s="438">
        <f t="shared" si="2"/>
        <v>230.88</v>
      </c>
      <c r="AB6" s="438">
        <f t="shared" si="2"/>
        <v>222.61500000000001</v>
      </c>
      <c r="AC6" s="438">
        <f t="shared" si="2"/>
        <v>210.1</v>
      </c>
      <c r="AD6" s="438">
        <f t="shared" si="2"/>
        <v>194.7</v>
      </c>
      <c r="AE6" s="438">
        <f t="shared" si="2"/>
        <v>177.2</v>
      </c>
      <c r="AF6" s="438">
        <f t="shared" si="2"/>
        <v>164.7</v>
      </c>
      <c r="AG6" s="438">
        <f t="shared" ref="AG6" si="3">AVERAGE(AF5:AG5)</f>
        <v>154.69999999999999</v>
      </c>
      <c r="AH6" s="438">
        <f t="shared" ref="AH6" si="4">AVERAGE(AG5:AH5)</f>
        <v>144.69999999999999</v>
      </c>
      <c r="AI6" s="438">
        <f t="shared" ref="AI6:AJ6" si="5">AVERAGE(AH5:AI5)</f>
        <v>134.69999999999999</v>
      </c>
      <c r="AJ6" s="438">
        <f t="shared" si="5"/>
        <v>124.69999999999999</v>
      </c>
      <c r="AK6" s="438"/>
      <c r="AL6" s="430"/>
      <c r="AM6" s="430"/>
    </row>
    <row r="7" spans="2:39">
      <c r="C7" s="436"/>
      <c r="D7" s="436"/>
      <c r="E7" s="436"/>
      <c r="F7" s="436"/>
      <c r="G7" s="436"/>
      <c r="H7" s="436"/>
      <c r="I7" s="436"/>
      <c r="J7" s="436"/>
      <c r="K7" s="436"/>
      <c r="L7" s="436"/>
      <c r="M7" s="436"/>
      <c r="N7" s="436"/>
      <c r="O7" s="436"/>
      <c r="P7" s="436"/>
      <c r="Q7" s="437"/>
      <c r="R7" s="437"/>
      <c r="S7" s="438"/>
      <c r="T7" s="438"/>
      <c r="U7" s="438"/>
      <c r="V7" s="438"/>
      <c r="W7" s="438"/>
      <c r="X7" s="438"/>
      <c r="Y7" s="438"/>
      <c r="Z7" s="438"/>
      <c r="AA7" s="438"/>
      <c r="AB7" s="438"/>
      <c r="AC7" s="438"/>
      <c r="AD7" s="438"/>
      <c r="AE7" s="438"/>
      <c r="AF7" s="438"/>
      <c r="AG7" s="438"/>
      <c r="AH7" s="438"/>
      <c r="AI7" s="438"/>
      <c r="AJ7" s="438"/>
      <c r="AK7" s="438"/>
      <c r="AL7" s="430"/>
      <c r="AM7" s="430"/>
    </row>
    <row r="8" spans="2:39">
      <c r="C8" s="436"/>
      <c r="D8" s="436"/>
      <c r="E8" s="436"/>
      <c r="F8" s="436"/>
      <c r="G8" s="436"/>
      <c r="H8" s="436"/>
      <c r="I8" s="436"/>
      <c r="J8" s="436"/>
      <c r="K8" s="436"/>
      <c r="L8" s="436"/>
      <c r="M8" s="436"/>
      <c r="N8" s="436"/>
      <c r="O8" s="436"/>
      <c r="P8" s="436"/>
      <c r="Q8" s="437"/>
      <c r="R8" s="437"/>
      <c r="S8" s="437"/>
      <c r="T8" s="438"/>
      <c r="U8" s="438"/>
      <c r="V8" s="438"/>
      <c r="W8" s="438"/>
      <c r="X8" s="438"/>
      <c r="Y8" s="438"/>
      <c r="Z8" s="438"/>
      <c r="AA8" s="438"/>
      <c r="AB8" s="438"/>
      <c r="AC8" s="438"/>
      <c r="AD8" s="438"/>
      <c r="AE8" s="438"/>
      <c r="AF8" s="438"/>
      <c r="AG8" s="438"/>
      <c r="AH8" s="438"/>
      <c r="AI8" s="438"/>
      <c r="AJ8" s="438"/>
      <c r="AK8" s="438"/>
      <c r="AL8" s="430"/>
      <c r="AM8" s="430"/>
    </row>
    <row r="9" spans="2:39">
      <c r="B9" s="429" t="s">
        <v>115</v>
      </c>
      <c r="C9" s="436"/>
      <c r="D9" s="436"/>
      <c r="E9" s="436"/>
      <c r="F9" s="437"/>
      <c r="G9" s="437"/>
      <c r="H9" s="437"/>
      <c r="I9" s="437"/>
      <c r="J9" s="437"/>
      <c r="K9" s="437"/>
      <c r="L9" s="437"/>
      <c r="M9" s="437"/>
      <c r="N9" s="437"/>
      <c r="O9" s="437"/>
      <c r="P9" s="437"/>
      <c r="Q9" s="437"/>
      <c r="R9" s="437"/>
      <c r="S9" s="437"/>
      <c r="T9" s="437"/>
      <c r="U9" s="437">
        <f>Valuation!F13</f>
        <v>0</v>
      </c>
      <c r="V9" s="437" t="e">
        <f>Valuation!G13</f>
        <v>#REF!</v>
      </c>
      <c r="W9" s="437">
        <f>Valuation!H13</f>
        <v>5985.1</v>
      </c>
      <c r="X9" s="437">
        <f>Valuation!I13</f>
        <v>6066</v>
      </c>
      <c r="Y9" s="437">
        <f>Valuation!J13</f>
        <v>6060.1</v>
      </c>
      <c r="Z9" s="437">
        <f>Valuation!K13</f>
        <v>7781.4</v>
      </c>
      <c r="AA9" s="437">
        <f>Valuation!L13</f>
        <v>8031.1</v>
      </c>
      <c r="AB9" s="437">
        <f>Valuation!M13</f>
        <v>6269.5</v>
      </c>
      <c r="AC9" s="437">
        <f>Valuation!N13</f>
        <v>7251.1</v>
      </c>
      <c r="AD9" s="437">
        <f ca="1">Valuation!O13</f>
        <v>7300.3337002453673</v>
      </c>
      <c r="AE9" s="437">
        <f ca="1">Valuation!P13</f>
        <v>7028.2399585298035</v>
      </c>
      <c r="AF9" s="437">
        <f ca="1">Valuation!Q13</f>
        <v>6789.235635422111</v>
      </c>
      <c r="AG9" s="437">
        <f ca="1">Valuation!R13</f>
        <v>6522.5434559154164</v>
      </c>
      <c r="AH9" s="437">
        <f ca="1">Valuation!S13</f>
        <v>6264.2058547659672</v>
      </c>
      <c r="AI9" s="437">
        <f ca="1">Valuation!T13</f>
        <v>6035.1382602211934</v>
      </c>
      <c r="AJ9" s="437">
        <f ca="1">Valuation!U13</f>
        <v>5787.0322183308099</v>
      </c>
      <c r="AK9" s="437"/>
      <c r="AL9" s="430"/>
      <c r="AM9" s="430"/>
    </row>
    <row r="10" spans="2:39">
      <c r="B10" s="429" t="s">
        <v>1234</v>
      </c>
      <c r="C10" s="436"/>
      <c r="D10" s="436"/>
      <c r="E10" s="437"/>
      <c r="F10" s="437"/>
      <c r="G10" s="437"/>
      <c r="H10" s="437"/>
      <c r="I10" s="437"/>
      <c r="J10" s="437"/>
      <c r="K10" s="437"/>
      <c r="L10" s="437"/>
      <c r="M10" s="437"/>
      <c r="N10" s="437"/>
      <c r="O10" s="437"/>
      <c r="P10" s="437"/>
      <c r="Q10" s="437"/>
      <c r="R10" s="437"/>
      <c r="S10" s="437"/>
      <c r="T10" s="437"/>
      <c r="U10" s="437">
        <f>Valuation!F12</f>
        <v>0</v>
      </c>
      <c r="V10" s="437">
        <f>Valuation!G12</f>
        <v>0</v>
      </c>
      <c r="W10" s="437">
        <f>Valuation!H12</f>
        <v>0</v>
      </c>
      <c r="X10" s="437">
        <f>Valuation!I12</f>
        <v>0</v>
      </c>
      <c r="Y10" s="437">
        <f>Valuation!J12</f>
        <v>0</v>
      </c>
      <c r="Z10" s="437">
        <f>Valuation!K12</f>
        <v>0</v>
      </c>
      <c r="AA10" s="437">
        <f>Valuation!L12</f>
        <v>0</v>
      </c>
      <c r="AB10" s="437">
        <f>Valuation!M12</f>
        <v>0</v>
      </c>
      <c r="AC10" s="437">
        <f>Valuation!N12</f>
        <v>0</v>
      </c>
      <c r="AD10" s="437">
        <f>Valuation!O12</f>
        <v>0</v>
      </c>
      <c r="AE10" s="437">
        <f>Valuation!P12</f>
        <v>0</v>
      </c>
      <c r="AF10" s="437">
        <f>Valuation!Q12</f>
        <v>0</v>
      </c>
      <c r="AG10" s="437">
        <f>Valuation!R12</f>
        <v>0</v>
      </c>
      <c r="AH10" s="437">
        <f>Valuation!S12</f>
        <v>0</v>
      </c>
      <c r="AI10" s="437">
        <f>Valuation!T12</f>
        <v>0</v>
      </c>
      <c r="AJ10" s="437">
        <f>Valuation!U12</f>
        <v>0</v>
      </c>
      <c r="AK10" s="437"/>
      <c r="AL10" s="430"/>
      <c r="AM10" s="430"/>
    </row>
    <row r="11" spans="2:39">
      <c r="B11" s="429" t="s">
        <v>58</v>
      </c>
      <c r="C11" s="436"/>
      <c r="D11" s="436"/>
      <c r="E11" s="436"/>
      <c r="F11" s="436"/>
      <c r="G11" s="436"/>
      <c r="H11" s="436"/>
      <c r="I11" s="436"/>
      <c r="J11" s="436"/>
      <c r="K11" s="436"/>
      <c r="L11" s="436"/>
      <c r="M11" s="436"/>
      <c r="N11" s="436"/>
      <c r="O11" s="436"/>
      <c r="P11" s="436"/>
      <c r="Q11" s="437"/>
      <c r="R11" s="437"/>
      <c r="S11" s="437"/>
      <c r="T11" s="437"/>
      <c r="U11" s="437"/>
      <c r="V11" s="437"/>
      <c r="W11" s="437"/>
      <c r="X11" s="437"/>
      <c r="Y11" s="437"/>
      <c r="Z11" s="437"/>
      <c r="AA11" s="437"/>
      <c r="AB11" s="437"/>
      <c r="AC11" s="437"/>
      <c r="AD11" s="437"/>
      <c r="AE11" s="437"/>
      <c r="AF11" s="437"/>
      <c r="AG11" s="437"/>
      <c r="AH11" s="437"/>
      <c r="AI11" s="437"/>
      <c r="AJ11" s="437"/>
      <c r="AK11" s="437"/>
      <c r="AL11" s="430"/>
      <c r="AM11" s="430"/>
    </row>
    <row r="12" spans="2:39">
      <c r="B12" s="429" t="s">
        <v>674</v>
      </c>
      <c r="C12" s="436"/>
      <c r="D12" s="436"/>
      <c r="E12" s="436"/>
      <c r="F12" s="436"/>
      <c r="G12" s="436"/>
      <c r="H12" s="436"/>
      <c r="I12" s="436"/>
      <c r="J12" s="436"/>
      <c r="K12" s="436"/>
      <c r="L12" s="436"/>
      <c r="M12" s="436"/>
      <c r="N12" s="436"/>
      <c r="O12" s="436"/>
      <c r="P12" s="436"/>
      <c r="Q12" s="437"/>
      <c r="R12" s="437"/>
      <c r="S12" s="437"/>
      <c r="T12" s="437"/>
      <c r="U12" s="437">
        <f>Valuation!F11</f>
        <v>0</v>
      </c>
      <c r="V12" s="437">
        <f ca="1">Valuation!G11</f>
        <v>1147.5409933490187</v>
      </c>
      <c r="W12" s="437">
        <f ca="1">Valuation!H11</f>
        <v>1147.5409933490187</v>
      </c>
      <c r="X12" s="437">
        <f ca="1">Valuation!I11</f>
        <v>1147.5409933490187</v>
      </c>
      <c r="Y12" s="437">
        <f ca="1">Valuation!J11</f>
        <v>1147.5409933490187</v>
      </c>
      <c r="Z12" s="437">
        <f ca="1">Valuation!K11</f>
        <v>1147.5409933490187</v>
      </c>
      <c r="AA12" s="437">
        <f ca="1">Valuation!L11</f>
        <v>1147.5409933490187</v>
      </c>
      <c r="AB12" s="437">
        <f ca="1">Valuation!M11</f>
        <v>1147.5409933490187</v>
      </c>
      <c r="AC12" s="437">
        <f ca="1">Valuation!N11</f>
        <v>1147.5409933490187</v>
      </c>
      <c r="AD12" s="437">
        <f ca="1">Valuation!O11</f>
        <v>1147.5409933490187</v>
      </c>
      <c r="AE12" s="437">
        <f ca="1">Valuation!P11</f>
        <v>1147.5409933490187</v>
      </c>
      <c r="AF12" s="437">
        <f ca="1">Valuation!Q11</f>
        <v>1147.5409933490187</v>
      </c>
      <c r="AG12" s="437">
        <f ca="1">Valuation!R11</f>
        <v>1147.5409933490187</v>
      </c>
      <c r="AH12" s="437">
        <f ca="1">Valuation!S11</f>
        <v>1147.5409933490187</v>
      </c>
      <c r="AI12" s="437">
        <f ca="1">Valuation!T11</f>
        <v>1147.5409933490187</v>
      </c>
      <c r="AJ12" s="437">
        <f ca="1">Valuation!U11</f>
        <v>1147.5409933490187</v>
      </c>
      <c r="AK12" s="437"/>
      <c r="AL12" s="430"/>
      <c r="AM12" s="430"/>
    </row>
    <row r="13" spans="2:39">
      <c r="B13" s="429" t="s">
        <v>234</v>
      </c>
      <c r="C13" s="436"/>
      <c r="D13" s="436"/>
      <c r="E13" s="436"/>
      <c r="F13" s="436"/>
      <c r="G13" s="436"/>
      <c r="H13" s="436"/>
      <c r="I13" s="436"/>
      <c r="J13" s="436"/>
      <c r="K13" s="436"/>
      <c r="L13" s="436"/>
      <c r="M13" s="436"/>
      <c r="N13" s="436"/>
      <c r="O13" s="436"/>
      <c r="P13" s="436"/>
      <c r="Q13" s="437"/>
      <c r="R13" s="437"/>
      <c r="S13" s="437"/>
      <c r="T13" s="437"/>
      <c r="U13" s="437">
        <f>Valuation!F14</f>
        <v>0</v>
      </c>
      <c r="V13" s="437">
        <f>Valuation!G14</f>
        <v>0</v>
      </c>
      <c r="W13" s="437">
        <f>Valuation!H14</f>
        <v>0</v>
      </c>
      <c r="X13" s="437">
        <f>Valuation!I14</f>
        <v>0</v>
      </c>
      <c r="Y13" s="437">
        <f>Valuation!J14</f>
        <v>0</v>
      </c>
      <c r="Z13" s="437">
        <f>Valuation!K14</f>
        <v>0</v>
      </c>
      <c r="AA13" s="437">
        <f>Valuation!L14</f>
        <v>0</v>
      </c>
      <c r="AB13" s="437">
        <f>Valuation!M14</f>
        <v>0</v>
      </c>
      <c r="AC13" s="437">
        <f>Valuation!N14</f>
        <v>0</v>
      </c>
      <c r="AD13" s="437">
        <f>Valuation!O14</f>
        <v>0</v>
      </c>
      <c r="AE13" s="437">
        <f>Valuation!P14</f>
        <v>0</v>
      </c>
      <c r="AF13" s="437">
        <f>Valuation!Q14</f>
        <v>0</v>
      </c>
      <c r="AG13" s="437">
        <f>Valuation!R14</f>
        <v>0</v>
      </c>
      <c r="AH13" s="437">
        <f>Valuation!S14</f>
        <v>0</v>
      </c>
      <c r="AI13" s="437">
        <f>Valuation!T14</f>
        <v>0</v>
      </c>
      <c r="AJ13" s="437">
        <f>Valuation!U14</f>
        <v>0</v>
      </c>
      <c r="AK13" s="437"/>
      <c r="AL13" s="430"/>
      <c r="AM13" s="430"/>
    </row>
    <row r="14" spans="2:39">
      <c r="B14" s="429" t="s">
        <v>1235</v>
      </c>
      <c r="C14" s="436"/>
      <c r="D14" s="436"/>
      <c r="E14" s="436"/>
      <c r="F14" s="436"/>
      <c r="G14" s="436"/>
      <c r="H14" s="436"/>
      <c r="I14" s="436"/>
      <c r="J14" s="436"/>
      <c r="K14" s="436"/>
      <c r="L14" s="436"/>
      <c r="M14" s="436"/>
      <c r="N14" s="436"/>
      <c r="O14" s="436"/>
      <c r="P14" s="436"/>
      <c r="Q14" s="437"/>
      <c r="R14" s="437"/>
      <c r="S14" s="437"/>
      <c r="T14" s="437"/>
      <c r="U14" s="437">
        <f ca="1">LiLAC!P203</f>
        <v>53.357862131569867</v>
      </c>
      <c r="V14" s="437">
        <f ca="1">LiLAC!Q203</f>
        <v>31.492576756516623</v>
      </c>
      <c r="W14" s="437">
        <f ca="1">LiLAC!R203</f>
        <v>32.082820061461078</v>
      </c>
      <c r="X14" s="437">
        <f ca="1">LiLAC!S203</f>
        <v>32.378868195634233</v>
      </c>
      <c r="Y14" s="437">
        <f ca="1">LiLAC!T203</f>
        <v>17.321090810969999</v>
      </c>
      <c r="Z14" s="437">
        <f ca="1">LiLAC!U203</f>
        <v>18.498924986115959</v>
      </c>
      <c r="AA14" s="437">
        <f>LiLAC!V203</f>
        <v>0</v>
      </c>
      <c r="AB14" s="437">
        <f>LiLAC!W203</f>
        <v>0</v>
      </c>
      <c r="AC14" s="437">
        <f>LiLAC!X203</f>
        <v>0</v>
      </c>
      <c r="AD14" s="437">
        <f>LiLAC!Y203</f>
        <v>0</v>
      </c>
      <c r="AE14" s="437">
        <f>LiLAC!Z203</f>
        <v>0</v>
      </c>
      <c r="AF14" s="437">
        <f>LiLAC!AA203</f>
        <v>0</v>
      </c>
      <c r="AG14" s="437">
        <f>LiLAC!AB203</f>
        <v>0</v>
      </c>
      <c r="AH14" s="437">
        <f>LiLAC!AC203</f>
        <v>0</v>
      </c>
      <c r="AI14" s="437">
        <f>LiLAC!AD203</f>
        <v>0</v>
      </c>
      <c r="AJ14" s="437">
        <f>LiLAC!AE203</f>
        <v>0</v>
      </c>
      <c r="AK14" s="437"/>
      <c r="AL14" s="430"/>
      <c r="AM14" s="430"/>
    </row>
    <row r="15" spans="2:39">
      <c r="B15" s="429" t="s">
        <v>88</v>
      </c>
      <c r="C15" s="436"/>
      <c r="D15" s="436"/>
      <c r="E15" s="440"/>
      <c r="F15" s="440"/>
      <c r="G15" s="441"/>
      <c r="H15" s="441"/>
      <c r="I15" s="441"/>
      <c r="J15" s="441"/>
      <c r="K15" s="441"/>
      <c r="L15" s="441"/>
      <c r="M15" s="441"/>
      <c r="N15" s="441"/>
      <c r="O15" s="441"/>
      <c r="P15" s="441"/>
      <c r="Q15" s="441"/>
      <c r="R15" s="441"/>
      <c r="S15" s="438"/>
      <c r="T15" s="438"/>
      <c r="U15" s="438">
        <f>Valuation!F14</f>
        <v>0</v>
      </c>
      <c r="V15" s="438">
        <f>Valuation!G14</f>
        <v>0</v>
      </c>
      <c r="W15" s="438">
        <f>Valuation!H14</f>
        <v>0</v>
      </c>
      <c r="X15" s="438">
        <f>Valuation!I14</f>
        <v>0</v>
      </c>
      <c r="Y15" s="438">
        <f>Valuation!J14</f>
        <v>0</v>
      </c>
      <c r="Z15" s="438">
        <f>Valuation!K14</f>
        <v>0</v>
      </c>
      <c r="AA15" s="438">
        <f>Valuation!L14</f>
        <v>0</v>
      </c>
      <c r="AB15" s="438">
        <f>Valuation!M14</f>
        <v>0</v>
      </c>
      <c r="AC15" s="438">
        <f>Valuation!N14</f>
        <v>0</v>
      </c>
      <c r="AD15" s="438">
        <f>Valuation!O14</f>
        <v>0</v>
      </c>
      <c r="AE15" s="438">
        <f>Valuation!P14</f>
        <v>0</v>
      </c>
      <c r="AF15" s="438">
        <f>Valuation!Q14</f>
        <v>0</v>
      </c>
      <c r="AG15" s="438">
        <f>Valuation!R14</f>
        <v>0</v>
      </c>
      <c r="AH15" s="438">
        <f>Valuation!S14</f>
        <v>0</v>
      </c>
      <c r="AI15" s="438">
        <f>Valuation!T14</f>
        <v>0</v>
      </c>
      <c r="AJ15" s="438">
        <f>Valuation!U14</f>
        <v>0</v>
      </c>
      <c r="AK15" s="438"/>
      <c r="AL15" s="430"/>
      <c r="AM15" s="430"/>
    </row>
    <row r="16" spans="2:39">
      <c r="B16" s="429" t="s">
        <v>86</v>
      </c>
      <c r="C16" s="436"/>
      <c r="D16" s="436"/>
      <c r="E16" s="436"/>
      <c r="F16" s="436"/>
      <c r="G16" s="441"/>
      <c r="H16" s="441"/>
      <c r="I16" s="442"/>
      <c r="J16" s="442"/>
      <c r="K16" s="442"/>
      <c r="L16" s="442"/>
      <c r="M16" s="442"/>
      <c r="N16" s="442"/>
      <c r="O16" s="442"/>
      <c r="P16" s="442"/>
      <c r="Q16" s="442"/>
      <c r="R16" s="442"/>
      <c r="S16" s="442"/>
      <c r="T16" s="442"/>
      <c r="U16" s="515"/>
      <c r="V16" s="515" t="e">
        <f ca="1">Master!H32</f>
        <v>#DIV/0!</v>
      </c>
      <c r="W16" s="515">
        <f>Master!I32</f>
        <v>-4.2233057905432858</v>
      </c>
      <c r="X16" s="515">
        <f>Master!J32</f>
        <v>-1.9575955239414686</v>
      </c>
      <c r="Y16" s="515">
        <f>Master!K32</f>
        <v>-0.53732774512478465</v>
      </c>
      <c r="Z16" s="515">
        <f>Master!L32</f>
        <v>-3.3201756716929891</v>
      </c>
      <c r="AA16" s="515">
        <f>Master!M32</f>
        <v>-1.951257964727084</v>
      </c>
      <c r="AB16" s="515">
        <f>Master!N32</f>
        <v>-0.78925499180199077</v>
      </c>
      <c r="AC16" s="515">
        <f>Master!O32</f>
        <v>-0.35126130414088558</v>
      </c>
      <c r="AD16" s="515">
        <f ca="1">Master!P32</f>
        <v>-3.2123655283347929</v>
      </c>
      <c r="AE16" s="515">
        <f ca="1">Master!Q32</f>
        <v>0.51324845538785357</v>
      </c>
      <c r="AF16" s="515">
        <f ca="1">Master!R32</f>
        <v>0.97752627810470238</v>
      </c>
      <c r="AG16" s="515">
        <f ca="1">Master!S32</f>
        <v>1.315842122383647</v>
      </c>
      <c r="AH16" s="515">
        <f ca="1">Master!T32</f>
        <v>1.6572321732626603</v>
      </c>
      <c r="AI16" s="515">
        <f ca="1">Master!U32</f>
        <v>1.9304802944293706</v>
      </c>
      <c r="AJ16" s="515">
        <f ca="1">Master!V32</f>
        <v>2.2511385712879992</v>
      </c>
      <c r="AK16" s="515"/>
      <c r="AL16" s="430"/>
      <c r="AM16" s="430"/>
    </row>
    <row r="17" spans="2:39">
      <c r="B17" s="429" t="s">
        <v>87</v>
      </c>
      <c r="C17" s="436"/>
      <c r="D17" s="436"/>
      <c r="E17" s="441"/>
      <c r="F17" s="441"/>
      <c r="G17" s="441"/>
      <c r="H17" s="441"/>
      <c r="I17" s="442"/>
      <c r="J17" s="442"/>
      <c r="K17" s="442"/>
      <c r="L17" s="442"/>
      <c r="M17" s="442"/>
      <c r="N17" s="442"/>
      <c r="O17" s="442"/>
      <c r="P17" s="442"/>
      <c r="Q17" s="442"/>
      <c r="R17" s="442"/>
      <c r="S17" s="438"/>
      <c r="T17" s="438"/>
      <c r="U17" s="515"/>
      <c r="V17" s="515" t="e">
        <f ca="1">Master!H33</f>
        <v>#DIV/0!</v>
      </c>
      <c r="W17" s="515">
        <f>Master!I33</f>
        <v>0.37621903434964882</v>
      </c>
      <c r="X17" s="515">
        <f>Master!J33</f>
        <v>2.146942155752761</v>
      </c>
      <c r="Y17" s="515">
        <f>Master!K33</f>
        <v>1.8561229185438692</v>
      </c>
      <c r="Z17" s="515">
        <f>Master!L33</f>
        <v>0.90831348410692969</v>
      </c>
      <c r="AA17" s="515">
        <f>Master!M33</f>
        <v>0.80948354601442674</v>
      </c>
      <c r="AB17" s="515">
        <f>Master!N33</f>
        <v>0.85394065988365542</v>
      </c>
      <c r="AC17" s="515">
        <f>Master!O33</f>
        <v>0.38267491670632986</v>
      </c>
      <c r="AD17" s="515">
        <f ca="1">Master!P33</f>
        <v>-0.4594122669069543</v>
      </c>
      <c r="AE17" s="515">
        <f ca="1">Master!Q33</f>
        <v>0.96471572401087835</v>
      </c>
      <c r="AF17" s="515">
        <f ca="1">Master!R33</f>
        <v>1.4632579113773194</v>
      </c>
      <c r="AG17" s="515">
        <f ca="1">Master!S33</f>
        <v>1.8329720512782817</v>
      </c>
      <c r="AH17" s="515">
        <f ca="1">Master!T33</f>
        <v>2.2101001760270003</v>
      </c>
      <c r="AI17" s="515">
        <f ca="1">Master!U33</f>
        <v>2.524392692350677</v>
      </c>
      <c r="AJ17" s="515">
        <f ca="1">Master!V33</f>
        <v>2.892678266556644</v>
      </c>
      <c r="AK17" s="515"/>
      <c r="AL17" s="430"/>
      <c r="AM17" s="430"/>
    </row>
    <row r="18" spans="2:39">
      <c r="C18" s="436"/>
      <c r="D18" s="436"/>
      <c r="E18" s="441"/>
      <c r="F18" s="441"/>
      <c r="G18" s="441"/>
      <c r="H18" s="436"/>
      <c r="I18" s="436"/>
      <c r="J18" s="436"/>
      <c r="K18" s="436"/>
      <c r="L18" s="436"/>
      <c r="M18" s="436"/>
      <c r="N18" s="436"/>
      <c r="O18" s="436"/>
      <c r="P18" s="436"/>
      <c r="Q18" s="436"/>
      <c r="R18" s="436"/>
      <c r="S18" s="436"/>
      <c r="T18" s="438"/>
      <c r="U18" s="438"/>
      <c r="V18" s="438"/>
      <c r="W18" s="438"/>
      <c r="X18" s="438"/>
      <c r="Y18" s="438"/>
      <c r="Z18" s="438"/>
      <c r="AA18" s="438"/>
      <c r="AB18" s="438"/>
      <c r="AC18" s="438"/>
      <c r="AD18" s="438"/>
      <c r="AE18" s="438"/>
      <c r="AF18" s="438"/>
      <c r="AG18" s="438"/>
      <c r="AH18" s="438"/>
      <c r="AI18" s="438"/>
      <c r="AJ18" s="438"/>
      <c r="AK18" s="438"/>
      <c r="AL18" s="430"/>
      <c r="AM18" s="430"/>
    </row>
    <row r="19" spans="2:39">
      <c r="B19" s="434" t="s">
        <v>1237</v>
      </c>
      <c r="C19" s="435"/>
      <c r="D19" s="435"/>
      <c r="E19" s="435"/>
      <c r="F19" s="435"/>
      <c r="G19" s="435"/>
      <c r="H19" s="435"/>
      <c r="I19" s="435"/>
      <c r="J19" s="435"/>
      <c r="K19" s="435"/>
      <c r="L19" s="435"/>
      <c r="M19" s="435"/>
      <c r="N19" s="435"/>
      <c r="O19" s="435"/>
      <c r="P19" s="435"/>
      <c r="Q19" s="435"/>
      <c r="R19" s="435"/>
      <c r="S19" s="435"/>
      <c r="T19" s="435"/>
      <c r="U19" s="435">
        <v>2015</v>
      </c>
      <c r="V19" s="435">
        <v>2016</v>
      </c>
      <c r="W19" s="435">
        <v>2017</v>
      </c>
      <c r="X19" s="435">
        <v>2018</v>
      </c>
      <c r="Y19" s="435">
        <v>2019</v>
      </c>
      <c r="Z19" s="435">
        <v>2020</v>
      </c>
      <c r="AA19" s="435">
        <v>2021</v>
      </c>
      <c r="AB19" s="435">
        <v>2022</v>
      </c>
      <c r="AC19" s="435">
        <v>2023</v>
      </c>
      <c r="AD19" s="435">
        <v>2024</v>
      </c>
      <c r="AE19" s="435">
        <v>2025</v>
      </c>
      <c r="AF19" s="435">
        <v>2026</v>
      </c>
      <c r="AG19" s="435">
        <v>2026</v>
      </c>
      <c r="AH19" s="435">
        <v>2026</v>
      </c>
      <c r="AI19" s="435">
        <v>2026</v>
      </c>
      <c r="AJ19" s="435">
        <v>2026</v>
      </c>
      <c r="AK19" s="1860"/>
      <c r="AL19" s="430"/>
      <c r="AM19" s="430"/>
    </row>
    <row r="20" spans="2:39">
      <c r="B20" s="429" t="s">
        <v>647</v>
      </c>
      <c r="C20" s="436"/>
      <c r="D20" s="436"/>
      <c r="E20" s="437"/>
      <c r="F20" s="437"/>
      <c r="G20" s="437"/>
      <c r="H20" s="437"/>
      <c r="I20" s="437"/>
      <c r="J20" s="437"/>
      <c r="K20" s="437"/>
      <c r="L20" s="437"/>
      <c r="M20" s="437"/>
      <c r="N20" s="437"/>
      <c r="O20" s="437"/>
      <c r="P20" s="437"/>
      <c r="Q20" s="437"/>
      <c r="R20" s="437"/>
      <c r="S20" s="437"/>
      <c r="T20" s="437"/>
      <c r="U20" s="437">
        <f>Master!G52</f>
        <v>3591.5333333333328</v>
      </c>
      <c r="V20" s="437">
        <f>Master!H52</f>
        <v>3620.1757396449707</v>
      </c>
      <c r="W20" s="437">
        <f>Master!I52</f>
        <v>3586.3178736517721</v>
      </c>
      <c r="X20" s="437">
        <f>Master!J52</f>
        <v>3693.7671488858091</v>
      </c>
      <c r="Y20" s="437">
        <f>Master!K52</f>
        <v>3867.1</v>
      </c>
      <c r="Z20" s="437">
        <f>Master!L52</f>
        <v>3765</v>
      </c>
      <c r="AA20" s="437">
        <f>Master!M52</f>
        <v>4791.295532194481</v>
      </c>
      <c r="AB20" s="437">
        <f>Master!N52</f>
        <v>4815</v>
      </c>
      <c r="AC20" s="437">
        <f>Master!O52</f>
        <v>4511.1000000000004</v>
      </c>
      <c r="AD20" s="437">
        <f>Master!P52</f>
        <v>4469.0806310346197</v>
      </c>
      <c r="AE20" s="437">
        <f>Master!Q52</f>
        <v>4594.6345802354044</v>
      </c>
      <c r="AF20" s="437">
        <f>Master!R52</f>
        <v>4700.9728463198617</v>
      </c>
      <c r="AG20" s="437">
        <f>Master!S52</f>
        <v>4797.6460113862859</v>
      </c>
      <c r="AH20" s="437">
        <f>Master!T52</f>
        <v>4897.0769992474334</v>
      </c>
      <c r="AI20" s="437">
        <f>Master!U52</f>
        <v>5004.5989823785176</v>
      </c>
      <c r="AJ20" s="437">
        <f>Master!V52</f>
        <v>5115.6734339112709</v>
      </c>
      <c r="AK20" s="437"/>
      <c r="AL20" s="430"/>
      <c r="AM20" s="430"/>
    </row>
    <row r="21" spans="2:39">
      <c r="B21" s="429" t="s">
        <v>8</v>
      </c>
      <c r="C21" s="436"/>
      <c r="D21" s="436"/>
      <c r="E21" s="437"/>
      <c r="F21" s="437"/>
      <c r="G21" s="437"/>
      <c r="H21" s="437"/>
      <c r="I21" s="437"/>
      <c r="J21" s="437"/>
      <c r="K21" s="437"/>
      <c r="L21" s="437"/>
      <c r="M21" s="437"/>
      <c r="N21" s="437"/>
      <c r="O21" s="437"/>
      <c r="P21" s="437"/>
      <c r="Q21" s="437"/>
      <c r="R21" s="437"/>
      <c r="S21" s="437"/>
      <c r="T21" s="437"/>
      <c r="U21" s="437">
        <f>Master!G74</f>
        <v>0</v>
      </c>
      <c r="V21" s="437">
        <f>Master!H74</f>
        <v>1448.600076899188</v>
      </c>
      <c r="W21" s="437">
        <f>Master!I74</f>
        <v>1367.1</v>
      </c>
      <c r="X21" s="437">
        <f>Master!J74</f>
        <v>1412.5717613715995</v>
      </c>
      <c r="Y21" s="437">
        <f>Master!K74</f>
        <v>1506.5</v>
      </c>
      <c r="Z21" s="437">
        <f>Master!L74</f>
        <v>1485</v>
      </c>
      <c r="AA21" s="437">
        <f>Master!M74</f>
        <v>1818.4935611038109</v>
      </c>
      <c r="AB21" s="437">
        <f>Master!N74</f>
        <v>1718</v>
      </c>
      <c r="AC21" s="437">
        <f>Master!O74</f>
        <v>1701.6</v>
      </c>
      <c r="AD21" s="437">
        <f>Master!P74</f>
        <v>1579.0990335466222</v>
      </c>
      <c r="AE21" s="437">
        <f>Master!Q74</f>
        <v>1802.8296324342652</v>
      </c>
      <c r="AF21" s="437">
        <f>Master!R74</f>
        <v>1887.8361378059224</v>
      </c>
      <c r="AG21" s="437">
        <f>Master!S74</f>
        <v>1945.9434392102044</v>
      </c>
      <c r="AH21" s="437">
        <f>Master!T74</f>
        <v>2001.7655162215337</v>
      </c>
      <c r="AI21" s="437">
        <f>Master!U74</f>
        <v>2047.0473245054468</v>
      </c>
      <c r="AJ21" s="437">
        <f>Master!V74</f>
        <v>2093.9095377424046</v>
      </c>
      <c r="AK21" s="437"/>
      <c r="AL21" s="430"/>
      <c r="AM21" s="430"/>
    </row>
    <row r="22" spans="2:39">
      <c r="B22" s="429" t="s">
        <v>81</v>
      </c>
      <c r="C22" s="436"/>
      <c r="D22" s="436"/>
      <c r="E22" s="437"/>
      <c r="F22" s="437"/>
      <c r="G22" s="437"/>
      <c r="H22" s="437"/>
      <c r="I22" s="437"/>
      <c r="J22" s="437"/>
      <c r="K22" s="437"/>
      <c r="L22" s="437"/>
      <c r="M22" s="437"/>
      <c r="N22" s="437"/>
      <c r="O22" s="437"/>
      <c r="P22" s="437"/>
      <c r="Q22" s="437"/>
      <c r="R22" s="437"/>
      <c r="S22" s="437"/>
      <c r="T22" s="437"/>
      <c r="U22" s="437">
        <f>-Master!G12</f>
        <v>0</v>
      </c>
      <c r="V22" s="437">
        <f>-Master!H12</f>
        <v>-537.95833401629272</v>
      </c>
      <c r="W22" s="437">
        <f>-Master!I12</f>
        <v>-1465.8258620689655</v>
      </c>
      <c r="X22" s="437">
        <f>-Master!J12</f>
        <v>-1433.5839080459768</v>
      </c>
      <c r="Y22" s="437">
        <f>-Master!K12</f>
        <v>-1096.6028735632185</v>
      </c>
      <c r="Z22" s="437">
        <f>-Master!L12</f>
        <v>-1267.7494252873562</v>
      </c>
      <c r="AA22" s="437">
        <f>-Master!M12</f>
        <v>-1605.0189655172414</v>
      </c>
      <c r="AB22" s="437">
        <f>-Master!N12</f>
        <v>-1507.3390804597702</v>
      </c>
      <c r="AC22" s="437">
        <f>-Master!O12</f>
        <v>-1075.4270114942528</v>
      </c>
      <c r="AD22" s="437">
        <f>-Master!P12</f>
        <v>-1515.5265708786051</v>
      </c>
      <c r="AE22" s="437">
        <f>-Master!Q12</f>
        <v>-758.30302665584293</v>
      </c>
      <c r="AF22" s="437">
        <f>-Master!R12</f>
        <v>-733.36613644695353</v>
      </c>
      <c r="AG22" s="437">
        <f>-Master!S12</f>
        <v>-723.66162956827691</v>
      </c>
      <c r="AH22" s="437">
        <f>-Master!T12</f>
        <v>-720.60664815121686</v>
      </c>
      <c r="AI22" s="437">
        <f>-Master!U12</f>
        <v>-730.80022133616399</v>
      </c>
      <c r="AJ22" s="437">
        <f>-Master!V12</f>
        <v>-742.32246871766097</v>
      </c>
      <c r="AK22" s="437"/>
      <c r="AL22" s="430"/>
      <c r="AM22" s="430"/>
    </row>
    <row r="23" spans="2:39">
      <c r="B23" s="429" t="s">
        <v>82</v>
      </c>
      <c r="C23" s="436"/>
      <c r="D23" s="436"/>
      <c r="E23" s="437"/>
      <c r="F23" s="437"/>
      <c r="G23" s="437"/>
      <c r="H23" s="437"/>
      <c r="I23" s="437"/>
      <c r="J23" s="437"/>
      <c r="K23" s="437"/>
      <c r="L23" s="437"/>
      <c r="M23" s="437"/>
      <c r="N23" s="437"/>
      <c r="O23" s="437"/>
      <c r="P23" s="437"/>
      <c r="Q23" s="437"/>
      <c r="R23" s="437"/>
      <c r="S23" s="437"/>
      <c r="T23" s="437"/>
      <c r="U23" s="437">
        <f>-Master!G13</f>
        <v>0</v>
      </c>
      <c r="V23" s="437">
        <f>-Master!H13</f>
        <v>-82.445831681860227</v>
      </c>
      <c r="W23" s="437">
        <f>-Master!I13</f>
        <v>-35.474137931034484</v>
      </c>
      <c r="X23" s="437">
        <f>-Master!J13</f>
        <v>-37.816091954022987</v>
      </c>
      <c r="Y23" s="437">
        <f>-Master!K13</f>
        <v>-33.497126436781613</v>
      </c>
      <c r="Z23" s="437">
        <f>-Master!L13</f>
        <v>-27.850574712643677</v>
      </c>
      <c r="AA23" s="437">
        <f>-Master!M13</f>
        <v>-24.681034482758619</v>
      </c>
      <c r="AB23" s="437">
        <f>-Master!N13</f>
        <v>-22.660919540229884</v>
      </c>
      <c r="AC23" s="437">
        <f>-Master!O13</f>
        <v>-19.772988505747126</v>
      </c>
      <c r="AD23" s="437">
        <f>-Master!P13</f>
        <v>-15.563218390804598</v>
      </c>
      <c r="AE23" s="437">
        <f>-Master!Q13</f>
        <v>-15.115999471528603</v>
      </c>
      <c r="AF23" s="437">
        <f>-Master!R13</f>
        <v>-14.681631670622608</v>
      </c>
      <c r="AG23" s="437">
        <f>-Master!S13</f>
        <v>-14.259745703075982</v>
      </c>
      <c r="AH23" s="437">
        <f>-Master!T13</f>
        <v>-13.849982895516327</v>
      </c>
      <c r="AI23" s="437">
        <f>-Master!U13</f>
        <v>-13.451994881277354</v>
      </c>
      <c r="AJ23" s="437">
        <f>-Master!V13</f>
        <v>-13.065443304229156</v>
      </c>
      <c r="AK23" s="437"/>
      <c r="AL23" s="430"/>
      <c r="AM23" s="430"/>
    </row>
    <row r="24" spans="2:39">
      <c r="B24" s="429" t="s">
        <v>19</v>
      </c>
      <c r="C24" s="436"/>
      <c r="D24" s="436"/>
      <c r="E24" s="437"/>
      <c r="F24" s="437"/>
      <c r="G24" s="437"/>
      <c r="H24" s="437"/>
      <c r="I24" s="437"/>
      <c r="J24" s="437"/>
      <c r="K24" s="437"/>
      <c r="L24" s="437"/>
      <c r="M24" s="437"/>
      <c r="N24" s="437"/>
      <c r="O24" s="437"/>
      <c r="P24" s="437"/>
      <c r="Q24" s="437"/>
      <c r="R24" s="437"/>
      <c r="S24" s="437"/>
      <c r="T24" s="437"/>
      <c r="U24" s="437">
        <f>Master!G121</f>
        <v>0</v>
      </c>
      <c r="V24" s="437">
        <f>Master!H121</f>
        <v>0</v>
      </c>
      <c r="W24" s="437">
        <f>Master!I121</f>
        <v>776.5462392108509</v>
      </c>
      <c r="X24" s="437">
        <f>Master!J121</f>
        <v>771.39999999999986</v>
      </c>
      <c r="Y24" s="437">
        <f>Master!K121</f>
        <v>727.09999999999991</v>
      </c>
      <c r="Z24" s="437">
        <f>Master!L121</f>
        <v>631</v>
      </c>
      <c r="AA24" s="437">
        <f>Master!M121</f>
        <v>855.89999999999986</v>
      </c>
      <c r="AB24" s="437">
        <f>Master!N121</f>
        <v>816.3</v>
      </c>
      <c r="AC24" s="437">
        <f>Master!O121</f>
        <v>730.9</v>
      </c>
      <c r="AD24" s="437">
        <f>Master!P121</f>
        <v>714.74571124892748</v>
      </c>
      <c r="AE24" s="437">
        <f>Master!Q121</f>
        <v>721.45592028503188</v>
      </c>
      <c r="AF24" s="437">
        <f>Master!R121</f>
        <v>736.00690545819975</v>
      </c>
      <c r="AG24" s="437">
        <f>Master!S121</f>
        <v>750.3269320788105</v>
      </c>
      <c r="AH24" s="437">
        <f>Master!T121</f>
        <v>765.10060611735639</v>
      </c>
      <c r="AI24" s="437">
        <f>Master!U121</f>
        <v>781.09371326153314</v>
      </c>
      <c r="AJ24" s="437">
        <f>Master!V121</f>
        <v>797.62702720519997</v>
      </c>
      <c r="AK24" s="437"/>
      <c r="AL24" s="430"/>
      <c r="AM24" s="430"/>
    </row>
    <row r="25" spans="2:39">
      <c r="B25" s="429" t="s">
        <v>27</v>
      </c>
      <c r="C25" s="436"/>
      <c r="D25" s="436"/>
      <c r="E25" s="437"/>
      <c r="F25" s="437"/>
      <c r="G25" s="437"/>
      <c r="H25" s="437"/>
      <c r="I25" s="437"/>
      <c r="J25" s="437"/>
      <c r="K25" s="437"/>
      <c r="L25" s="437"/>
      <c r="M25" s="437"/>
      <c r="N25" s="437"/>
      <c r="O25" s="437"/>
      <c r="P25" s="437"/>
      <c r="Q25" s="437"/>
      <c r="R25" s="437"/>
      <c r="S25" s="437"/>
      <c r="T25" s="437"/>
      <c r="U25" s="437">
        <f>Master!G150</f>
        <v>0</v>
      </c>
      <c r="V25" s="437">
        <f>Master!H150</f>
        <v>0</v>
      </c>
      <c r="W25" s="437">
        <f>Master!I150</f>
        <v>590.55376078914901</v>
      </c>
      <c r="X25" s="437">
        <f>Master!J150</f>
        <v>641.17176137159959</v>
      </c>
      <c r="Y25" s="437">
        <f>Master!K150</f>
        <v>779.40000000000009</v>
      </c>
      <c r="Z25" s="437">
        <f>Master!L150</f>
        <v>854</v>
      </c>
      <c r="AA25" s="437">
        <f>Master!M150</f>
        <v>962.593561103811</v>
      </c>
      <c r="AB25" s="437">
        <f>Master!N150</f>
        <v>901.7</v>
      </c>
      <c r="AC25" s="437">
        <f>Master!O150</f>
        <v>970.69999999999993</v>
      </c>
      <c r="AD25" s="437">
        <f>Master!P150</f>
        <v>864.35332229769472</v>
      </c>
      <c r="AE25" s="437">
        <f>Master!Q150</f>
        <v>1081.3737121492334</v>
      </c>
      <c r="AF25" s="437">
        <f>Master!R150</f>
        <v>1151.8292323477226</v>
      </c>
      <c r="AG25" s="437">
        <f>Master!S150</f>
        <v>1195.616507131394</v>
      </c>
      <c r="AH25" s="437">
        <f>Master!T150</f>
        <v>1236.6649101041774</v>
      </c>
      <c r="AI25" s="437">
        <f>Master!U150</f>
        <v>1265.9536112439137</v>
      </c>
      <c r="AJ25" s="437">
        <f>Master!V150</f>
        <v>1296.2825105372046</v>
      </c>
      <c r="AK25" s="437"/>
      <c r="AL25" s="430"/>
      <c r="AM25" s="430"/>
    </row>
    <row r="26" spans="2:39">
      <c r="B26" s="429" t="s">
        <v>377</v>
      </c>
      <c r="C26" s="436"/>
      <c r="D26" s="436"/>
      <c r="E26" s="437"/>
      <c r="F26" s="437"/>
      <c r="G26" s="437"/>
      <c r="H26" s="437"/>
      <c r="I26" s="437"/>
      <c r="J26" s="437"/>
      <c r="K26" s="437"/>
      <c r="L26" s="437"/>
      <c r="M26" s="437"/>
      <c r="N26" s="437"/>
      <c r="O26" s="437"/>
      <c r="P26" s="437"/>
      <c r="Q26" s="437"/>
      <c r="R26" s="437"/>
      <c r="S26" s="437"/>
      <c r="T26" s="437"/>
      <c r="U26" s="437">
        <f>U25*0.72</f>
        <v>0</v>
      </c>
      <c r="V26" s="437">
        <f t="shared" ref="V26:AD26" si="6">V25*0.72</f>
        <v>0</v>
      </c>
      <c r="W26" s="437">
        <f t="shared" si="6"/>
        <v>425.19870776818726</v>
      </c>
      <c r="X26" s="437">
        <f t="shared" si="6"/>
        <v>461.64366818755167</v>
      </c>
      <c r="Y26" s="437">
        <f t="shared" si="6"/>
        <v>561.16800000000001</v>
      </c>
      <c r="Z26" s="437">
        <f t="shared" si="6"/>
        <v>614.88</v>
      </c>
      <c r="AA26" s="437">
        <f t="shared" si="6"/>
        <v>693.06736399474391</v>
      </c>
      <c r="AB26" s="437">
        <f t="shared" si="6"/>
        <v>649.22400000000005</v>
      </c>
      <c r="AC26" s="437">
        <f t="shared" si="6"/>
        <v>698.90399999999988</v>
      </c>
      <c r="AD26" s="437">
        <f t="shared" si="6"/>
        <v>622.33439205434013</v>
      </c>
      <c r="AE26" s="437">
        <f>AE25*0.72</f>
        <v>778.58907274744797</v>
      </c>
      <c r="AF26" s="437">
        <f>AF25*0.72</f>
        <v>829.31704729036028</v>
      </c>
      <c r="AG26" s="437">
        <f t="shared" ref="AG26:AJ26" si="7">AG25*0.72</f>
        <v>860.84388513460362</v>
      </c>
      <c r="AH26" s="437">
        <f t="shared" si="7"/>
        <v>890.39873527500765</v>
      </c>
      <c r="AI26" s="437">
        <f t="shared" si="7"/>
        <v>911.48660009561775</v>
      </c>
      <c r="AJ26" s="437">
        <f t="shared" si="7"/>
        <v>933.32340758678731</v>
      </c>
      <c r="AK26" s="437"/>
      <c r="AL26" s="430"/>
      <c r="AM26" s="430"/>
    </row>
    <row r="27" spans="2:39">
      <c r="B27" s="429" t="s">
        <v>115</v>
      </c>
      <c r="C27" s="436"/>
      <c r="D27" s="436"/>
      <c r="E27" s="437"/>
      <c r="F27" s="437"/>
      <c r="G27" s="437"/>
      <c r="H27" s="437"/>
      <c r="I27" s="437"/>
      <c r="J27" s="437"/>
      <c r="K27" s="437"/>
      <c r="L27" s="437"/>
      <c r="M27" s="437"/>
      <c r="N27" s="437"/>
      <c r="O27" s="437"/>
      <c r="P27" s="437"/>
      <c r="Q27" s="437"/>
      <c r="R27" s="437"/>
      <c r="S27" s="437"/>
      <c r="T27" s="437"/>
      <c r="U27" s="437" t="e">
        <f ca="1">Master!G185</f>
        <v>#DIV/0!</v>
      </c>
      <c r="V27" s="437">
        <f ca="1">Master!H185</f>
        <v>5453.4999999999991</v>
      </c>
      <c r="W27" s="437">
        <f>Master!I185</f>
        <v>5985.1</v>
      </c>
      <c r="X27" s="437">
        <f>Master!J185</f>
        <v>6066</v>
      </c>
      <c r="Y27" s="437">
        <f>Master!K185</f>
        <v>6060.1</v>
      </c>
      <c r="Z27" s="437">
        <f>Master!L185</f>
        <v>7781.4</v>
      </c>
      <c r="AA27" s="437">
        <f>Master!M185</f>
        <v>8078.2999999999993</v>
      </c>
      <c r="AB27" s="437">
        <f>Master!N185</f>
        <v>7193.7000000000007</v>
      </c>
      <c r="AC27" s="437">
        <f>Master!O185</f>
        <v>7096.8000000000011</v>
      </c>
      <c r="AD27" s="437">
        <f ca="1">Master!P185</f>
        <v>7165.431911709441</v>
      </c>
      <c r="AE27" s="437">
        <f ca="1">Master!Q185</f>
        <v>6966.4465671603921</v>
      </c>
      <c r="AF27" s="437">
        <f ca="1">Master!R185</f>
        <v>6801.9103105545992</v>
      </c>
      <c r="AG27" s="437">
        <f ca="1">Master!S185</f>
        <v>6659.3035558185456</v>
      </c>
      <c r="AH27" s="437">
        <f ca="1">Master!T185</f>
        <v>6529.6512817566872</v>
      </c>
      <c r="AI27" s="437">
        <f ca="1">Master!U185</f>
        <v>6334.7245936116924</v>
      </c>
      <c r="AJ27" s="437">
        <f ca="1">Master!V185</f>
        <v>6121.6358918649385</v>
      </c>
      <c r="AK27" s="437"/>
      <c r="AL27" s="430"/>
      <c r="AM27" s="430"/>
    </row>
    <row r="28" spans="2:39">
      <c r="B28" s="429" t="s">
        <v>111</v>
      </c>
      <c r="C28" s="436"/>
      <c r="D28" s="436"/>
      <c r="E28" s="437"/>
      <c r="F28" s="437"/>
      <c r="G28" s="437"/>
      <c r="H28" s="437"/>
      <c r="I28" s="437"/>
      <c r="J28" s="437"/>
      <c r="K28" s="437"/>
      <c r="L28" s="437"/>
      <c r="M28" s="437"/>
      <c r="N28" s="437"/>
      <c r="O28" s="437"/>
      <c r="P28" s="437"/>
      <c r="Q28" s="437"/>
      <c r="R28" s="437"/>
      <c r="S28" s="437"/>
      <c r="T28" s="437"/>
      <c r="U28" s="437">
        <f>Master!G28</f>
        <v>0</v>
      </c>
      <c r="V28" s="437">
        <f ca="1">Master!H28</f>
        <v>111.2</v>
      </c>
      <c r="W28" s="437">
        <f>Master!I28</f>
        <v>-20.6</v>
      </c>
      <c r="X28" s="437">
        <f>Master!J28</f>
        <v>-290.60000000000002</v>
      </c>
      <c r="Y28" s="437">
        <f>Master!K28</f>
        <v>-102.3</v>
      </c>
      <c r="Z28" s="437">
        <f>Master!L28</f>
        <v>-121.7</v>
      </c>
      <c r="AA28" s="437">
        <f>Master!M28</f>
        <v>-50</v>
      </c>
      <c r="AB28" s="437">
        <f>Master!N28</f>
        <v>-26.3</v>
      </c>
      <c r="AC28" s="437">
        <f>Master!O28</f>
        <v>-13.2</v>
      </c>
      <c r="AD28" s="437">
        <f ca="1">Master!P28</f>
        <v>77.84076919798315</v>
      </c>
      <c r="AE28" s="437">
        <f ca="1">Master!Q28</f>
        <v>84.452359165802662</v>
      </c>
      <c r="AF28" s="437">
        <f>Master!R28</f>
        <v>50</v>
      </c>
      <c r="AG28" s="437">
        <f>Master!S28</f>
        <v>55</v>
      </c>
      <c r="AH28" s="437">
        <f>Master!T28</f>
        <v>60</v>
      </c>
      <c r="AI28" s="437">
        <f>Master!U28</f>
        <v>65</v>
      </c>
      <c r="AJ28" s="437">
        <f>Master!V28</f>
        <v>70</v>
      </c>
      <c r="AK28" s="437"/>
      <c r="AL28" s="430"/>
      <c r="AM28" s="430"/>
    </row>
    <row r="29" spans="2:39">
      <c r="B29" s="429" t="s">
        <v>112</v>
      </c>
      <c r="C29" s="436"/>
      <c r="D29" s="436"/>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0"/>
      <c r="AM29" s="430"/>
    </row>
    <row r="30" spans="2:39">
      <c r="B30" s="429" t="s">
        <v>907</v>
      </c>
      <c r="C30" s="436"/>
      <c r="D30" s="436"/>
      <c r="E30" s="437"/>
      <c r="F30" s="437"/>
      <c r="G30" s="437"/>
      <c r="H30" s="437"/>
      <c r="I30" s="437"/>
      <c r="J30" s="437"/>
      <c r="K30" s="437"/>
      <c r="L30" s="437"/>
      <c r="M30" s="437"/>
      <c r="N30" s="437"/>
      <c r="O30" s="437"/>
      <c r="P30" s="437"/>
      <c r="Q30" s="437"/>
      <c r="R30" s="437"/>
      <c r="S30" s="437"/>
      <c r="T30" s="437"/>
      <c r="U30" s="437">
        <f>-Master!G18</f>
        <v>0</v>
      </c>
      <c r="V30" s="437" t="e">
        <f ca="1">-Master!H18</f>
        <v>#DIV/0!</v>
      </c>
      <c r="W30" s="437">
        <f>-Master!I18</f>
        <v>381.8</v>
      </c>
      <c r="X30" s="437">
        <f>-Master!J18</f>
        <v>443.7</v>
      </c>
      <c r="Y30" s="437">
        <f>-Master!K18</f>
        <v>499.2</v>
      </c>
      <c r="Z30" s="437">
        <f>-Master!L18</f>
        <v>533.4</v>
      </c>
      <c r="AA30" s="437">
        <f>-Master!M18</f>
        <v>527.4</v>
      </c>
      <c r="AB30" s="437">
        <f>-Master!N18</f>
        <v>556.70000000000005</v>
      </c>
      <c r="AC30" s="437">
        <f>-Master!O18</f>
        <v>601.70000000000005</v>
      </c>
      <c r="AD30" s="437">
        <f ca="1">-Master!P18</f>
        <v>619.35390955854734</v>
      </c>
      <c r="AE30" s="437">
        <f ca="1">-Master!Q18</f>
        <v>653.82239239434932</v>
      </c>
      <c r="AF30" s="437">
        <f ca="1">-Master!R18</f>
        <v>711.84928438857503</v>
      </c>
      <c r="AG30" s="437">
        <f ca="1">-Master!S18</f>
        <v>710.13856933186617</v>
      </c>
      <c r="AH30" s="437">
        <f ca="1">-Master!T18</f>
        <v>708.7772741878789</v>
      </c>
      <c r="AI30" s="437">
        <f ca="1">-Master!U18</f>
        <v>707.15437937685056</v>
      </c>
      <c r="AJ30" s="437">
        <f ca="1">-Master!V18</f>
        <v>705.11430242739686</v>
      </c>
      <c r="AK30" s="437"/>
      <c r="AL30" s="430"/>
      <c r="AM30" s="430"/>
    </row>
    <row r="31" spans="2:39">
      <c r="B31" s="429" t="s">
        <v>1238</v>
      </c>
      <c r="C31" s="436"/>
      <c r="D31" s="436"/>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0"/>
      <c r="AM31" s="430"/>
    </row>
    <row r="32" spans="2:39">
      <c r="B32" s="429" t="s">
        <v>228</v>
      </c>
      <c r="C32" s="436"/>
      <c r="D32" s="436"/>
      <c r="E32" s="437"/>
      <c r="F32" s="437"/>
      <c r="G32" s="437"/>
      <c r="H32" s="437"/>
      <c r="I32" s="437"/>
      <c r="J32" s="437"/>
      <c r="K32" s="437"/>
      <c r="L32" s="437"/>
      <c r="M32" s="437"/>
      <c r="N32" s="437"/>
      <c r="O32" s="437"/>
      <c r="P32" s="437"/>
      <c r="Q32" s="437"/>
      <c r="R32" s="437"/>
      <c r="S32" s="437"/>
      <c r="T32" s="437"/>
      <c r="U32" s="437" t="e">
        <f ca="1">Master!G466</f>
        <v>#DIV/0!</v>
      </c>
      <c r="V32" s="437" t="e">
        <f ca="1">Master!H466</f>
        <v>#DIV/0!</v>
      </c>
      <c r="W32" s="437">
        <f>Master!I466</f>
        <v>64.699999999999847</v>
      </c>
      <c r="X32" s="437">
        <f>Master!J466</f>
        <v>378.07176137159951</v>
      </c>
      <c r="Y32" s="437">
        <f>Master!K466</f>
        <v>336.8</v>
      </c>
      <c r="Z32" s="437">
        <f>Master!L466</f>
        <v>188</v>
      </c>
      <c r="AA32" s="437">
        <f>Master!M466</f>
        <v>186.89356110381084</v>
      </c>
      <c r="AB32" s="437">
        <f>Master!N466</f>
        <v>190.09999999999997</v>
      </c>
      <c r="AC32" s="437">
        <f>Master!O466</f>
        <v>80.399999999999906</v>
      </c>
      <c r="AD32" s="437">
        <f ca="1">Master!P466</f>
        <v>-89.447568366783997</v>
      </c>
      <c r="AE32" s="437">
        <f ca="1">Master!Q466</f>
        <v>170.94762629472763</v>
      </c>
      <c r="AF32" s="437">
        <f ca="1">Master!R466</f>
        <v>240.99857800384439</v>
      </c>
      <c r="AG32" s="437">
        <f ca="1">Master!S466</f>
        <v>283.56077633275038</v>
      </c>
      <c r="AH32" s="437">
        <f ca="1">Master!T466</f>
        <v>319.80149547110881</v>
      </c>
      <c r="AI32" s="437">
        <f ca="1">Master!U466</f>
        <v>340.03569565958799</v>
      </c>
      <c r="AJ32" s="437">
        <f ca="1">Master!V466</f>
        <v>360.71697983940317</v>
      </c>
      <c r="AK32" s="437"/>
      <c r="AL32" s="430"/>
      <c r="AM32" s="430"/>
    </row>
    <row r="33" spans="2:39">
      <c r="B33" s="429" t="s">
        <v>1239</v>
      </c>
      <c r="C33" s="436"/>
      <c r="D33" s="436"/>
      <c r="E33" s="437"/>
      <c r="F33" s="437"/>
      <c r="G33" s="437"/>
      <c r="H33" s="437"/>
      <c r="I33" s="437"/>
      <c r="J33" s="437"/>
      <c r="K33" s="437"/>
      <c r="L33" s="437"/>
      <c r="M33" s="437"/>
      <c r="N33" s="437"/>
      <c r="O33" s="437"/>
      <c r="P33" s="437"/>
      <c r="Q33" s="437"/>
      <c r="R33" s="437"/>
      <c r="S33" s="437"/>
      <c r="T33" s="437"/>
      <c r="U33" s="437">
        <f>Valuation!F28</f>
        <v>0</v>
      </c>
      <c r="V33" s="437">
        <f>Valuation!G28</f>
        <v>0</v>
      </c>
      <c r="W33" s="437">
        <f>Valuation!H28</f>
        <v>93.865019728729806</v>
      </c>
      <c r="X33" s="437">
        <f>Valuation!I28</f>
        <v>78.306080118971721</v>
      </c>
      <c r="Y33" s="437">
        <f>Valuation!J28</f>
        <v>142.40066666666672</v>
      </c>
      <c r="Z33" s="437">
        <f>Valuation!K28</f>
        <v>196.00200000000001</v>
      </c>
      <c r="AA33" s="437">
        <f>Valuation!L28</f>
        <v>243.97968593955338</v>
      </c>
      <c r="AB33" s="437">
        <f>Valuation!M28</f>
        <v>229.24999999999997</v>
      </c>
      <c r="AC33" s="437">
        <f>Valuation!N28</f>
        <v>193.96999999999989</v>
      </c>
      <c r="AD33" s="437">
        <f ca="1">Valuation!O28</f>
        <v>136.49958891740317</v>
      </c>
      <c r="AE33" s="437">
        <f ca="1">Valuation!P28</f>
        <v>249.28592382841885</v>
      </c>
      <c r="AF33" s="437">
        <f ca="1">Valuation!Q28</f>
        <v>257.98596357140332</v>
      </c>
      <c r="AG33" s="437">
        <f ca="1">Valuation!R28</f>
        <v>289.83455645966944</v>
      </c>
      <c r="AH33" s="437">
        <f ca="1">Valuation!S28</f>
        <v>319.52134514140891</v>
      </c>
      <c r="AI33" s="437">
        <f ca="1">Valuation!T28</f>
        <v>341.15946230694419</v>
      </c>
      <c r="AJ33" s="437">
        <f ca="1">Valuation!U28</f>
        <v>363.81774567686546</v>
      </c>
      <c r="AK33" s="437"/>
      <c r="AL33" s="430"/>
      <c r="AM33" s="430"/>
    </row>
    <row r="34" spans="2:39">
      <c r="B34" s="429" t="s">
        <v>1240</v>
      </c>
      <c r="C34" s="436"/>
      <c r="D34" s="436"/>
      <c r="E34" s="436"/>
      <c r="F34" s="437"/>
      <c r="G34" s="437"/>
      <c r="H34" s="437"/>
      <c r="I34" s="437"/>
      <c r="J34" s="437"/>
      <c r="K34" s="437"/>
      <c r="L34" s="437"/>
      <c r="M34" s="437"/>
      <c r="N34" s="437"/>
      <c r="O34" s="437"/>
      <c r="P34" s="437"/>
      <c r="Q34" s="437"/>
      <c r="R34" s="437"/>
      <c r="S34" s="437"/>
      <c r="T34" s="437"/>
      <c r="U34" s="437"/>
      <c r="V34" s="437"/>
      <c r="W34" s="437"/>
      <c r="X34" s="437"/>
      <c r="Y34" s="437"/>
      <c r="Z34" s="439"/>
      <c r="AA34" s="439"/>
      <c r="AB34" s="439"/>
      <c r="AC34" s="439"/>
      <c r="AD34" s="439"/>
      <c r="AE34" s="439"/>
      <c r="AF34" s="439"/>
      <c r="AG34" s="439"/>
      <c r="AH34" s="439"/>
      <c r="AI34" s="439"/>
      <c r="AJ34" s="439"/>
      <c r="AK34" s="439"/>
      <c r="AL34" s="430"/>
      <c r="AM34" s="430"/>
    </row>
    <row r="35" spans="2:39">
      <c r="B35" s="429" t="s">
        <v>1241</v>
      </c>
      <c r="C35" s="436"/>
      <c r="D35" s="436"/>
      <c r="E35" s="436"/>
      <c r="F35" s="436"/>
      <c r="G35" s="436"/>
      <c r="H35" s="436"/>
      <c r="I35" s="436"/>
      <c r="J35" s="436"/>
      <c r="K35" s="436"/>
      <c r="L35" s="436"/>
      <c r="M35" s="436"/>
      <c r="N35" s="436"/>
      <c r="O35" s="436"/>
      <c r="P35" s="436"/>
      <c r="Q35" s="436"/>
      <c r="R35" s="437"/>
      <c r="S35" s="437"/>
      <c r="T35" s="437"/>
      <c r="U35" s="437">
        <f>Master!G162</f>
        <v>3986.2712550607289</v>
      </c>
      <c r="V35" s="437">
        <f>Master!H162</f>
        <v>3860.9</v>
      </c>
      <c r="W35" s="437">
        <f>Master!I162</f>
        <v>4169.2</v>
      </c>
      <c r="X35" s="437">
        <f>Master!J162</f>
        <v>4236.8999999999996</v>
      </c>
      <c r="Y35" s="437">
        <f>Master!K162</f>
        <v>4301.1000000000004</v>
      </c>
      <c r="Z35" s="437">
        <f>Master!L162</f>
        <v>4911.3999999999996</v>
      </c>
      <c r="AA35" s="437">
        <f>Master!M162</f>
        <v>4168.3999999999996</v>
      </c>
      <c r="AB35" s="437">
        <f>Master!N162</f>
        <v>4293.6000000000004</v>
      </c>
      <c r="AC35" s="437">
        <f>Master!O162</f>
        <v>4205.7</v>
      </c>
      <c r="AD35" s="437">
        <f>Master!P162</f>
        <v>3309.9191403703244</v>
      </c>
      <c r="AE35" s="437">
        <f>Master!Q162</f>
        <v>3201.0720339995132</v>
      </c>
      <c r="AF35" s="437">
        <f>Master!R162</f>
        <v>3158.7128030107579</v>
      </c>
      <c r="AG35" s="437">
        <f>Master!S162</f>
        <v>3145.3781055212912</v>
      </c>
      <c r="AH35" s="437">
        <f>Master!T162</f>
        <v>3189.8720634874317</v>
      </c>
      <c r="AI35" s="437">
        <f>Master!U162</f>
        <v>3240.165555412801</v>
      </c>
      <c r="AJ35" s="437">
        <f>Master!V162</f>
        <v>3295.4701139003373</v>
      </c>
      <c r="AK35" s="437"/>
      <c r="AL35" s="430"/>
      <c r="AM35" s="430"/>
    </row>
    <row r="36" spans="2:39">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row>
    <row r="37" spans="2:39">
      <c r="B37" s="434" t="s">
        <v>1242</v>
      </c>
      <c r="C37" s="435"/>
      <c r="D37" s="435"/>
      <c r="E37" s="435"/>
      <c r="F37" s="435"/>
      <c r="G37" s="435"/>
      <c r="H37" s="435"/>
      <c r="I37" s="435"/>
      <c r="J37" s="435"/>
      <c r="K37" s="435"/>
      <c r="L37" s="435"/>
      <c r="M37" s="435"/>
      <c r="N37" s="435"/>
      <c r="O37" s="435"/>
      <c r="P37" s="435"/>
      <c r="Q37" s="435"/>
      <c r="R37" s="435"/>
      <c r="S37" s="435"/>
      <c r="T37" s="435"/>
      <c r="U37" s="435">
        <v>2015</v>
      </c>
      <c r="V37" s="435">
        <v>2016</v>
      </c>
      <c r="W37" s="435">
        <v>2017</v>
      </c>
      <c r="X37" s="435">
        <v>2018</v>
      </c>
      <c r="Y37" s="435">
        <v>2019</v>
      </c>
      <c r="Z37" s="435">
        <v>2020</v>
      </c>
      <c r="AA37" s="435">
        <v>2021</v>
      </c>
      <c r="AB37" s="435">
        <v>2022</v>
      </c>
      <c r="AC37" s="435">
        <v>2023</v>
      </c>
      <c r="AD37" s="435">
        <v>2024</v>
      </c>
      <c r="AE37" s="435">
        <v>2025</v>
      </c>
      <c r="AF37" s="435">
        <v>2026</v>
      </c>
      <c r="AG37" s="435">
        <v>2026</v>
      </c>
      <c r="AH37" s="435">
        <v>2026</v>
      </c>
      <c r="AI37" s="435">
        <v>2026</v>
      </c>
      <c r="AJ37" s="435">
        <v>2026</v>
      </c>
      <c r="AK37" s="1860"/>
      <c r="AL37" s="430"/>
      <c r="AM37" s="430"/>
    </row>
    <row r="38" spans="2:39">
      <c r="B38" s="429" t="str">
        <f>Master!B40</f>
        <v>Jamaica</v>
      </c>
      <c r="C38" s="437"/>
      <c r="D38" s="437"/>
      <c r="E38" s="437"/>
      <c r="F38" s="437"/>
      <c r="G38" s="437"/>
      <c r="H38" s="437"/>
      <c r="I38" s="437"/>
      <c r="J38" s="437"/>
      <c r="K38" s="437"/>
      <c r="L38" s="437"/>
      <c r="M38" s="437"/>
      <c r="N38" s="437"/>
      <c r="O38" s="437"/>
      <c r="P38" s="437"/>
      <c r="Q38" s="437"/>
      <c r="R38" s="437"/>
      <c r="S38" s="437"/>
      <c r="T38" s="437"/>
      <c r="U38" s="437"/>
      <c r="V38" s="437"/>
      <c r="W38" s="437">
        <f>Master!I40</f>
        <v>352.4</v>
      </c>
      <c r="X38" s="437">
        <f>Master!J40</f>
        <v>362</v>
      </c>
      <c r="Y38" s="437">
        <f>Master!K40</f>
        <v>383.6</v>
      </c>
      <c r="Z38" s="437">
        <f>Master!L40</f>
        <v>376</v>
      </c>
      <c r="AA38" s="437">
        <f>Master!M40</f>
        <v>402</v>
      </c>
      <c r="AB38" s="437">
        <f>Master!N40</f>
        <v>429</v>
      </c>
      <c r="AC38" s="437">
        <f>Master!O40</f>
        <v>406</v>
      </c>
      <c r="AD38" s="437">
        <f>Master!P40</f>
        <v>418.15461377811107</v>
      </c>
      <c r="AE38" s="437">
        <f>Master!Q40</f>
        <v>431.58031198993291</v>
      </c>
      <c r="AF38" s="437">
        <f>Master!R40</f>
        <v>447.67070050843608</v>
      </c>
      <c r="AG38" s="437">
        <f>Master!S40</f>
        <v>468.80095587235178</v>
      </c>
      <c r="AH38" s="437">
        <f>Master!T40</f>
        <v>495.57799926280796</v>
      </c>
      <c r="AI38" s="437">
        <f>Master!U40</f>
        <v>523.8573257556609</v>
      </c>
      <c r="AJ38" s="437">
        <f>Master!V40</f>
        <v>553.72205267751224</v>
      </c>
      <c r="AK38" s="437"/>
      <c r="AL38" s="430"/>
      <c r="AM38" s="430"/>
    </row>
    <row r="39" spans="2:39">
      <c r="B39" s="429" t="str">
        <f>Master!B41</f>
        <v>Trinidad &amp; Tobago</v>
      </c>
      <c r="C39" s="437"/>
      <c r="D39" s="437"/>
      <c r="E39" s="437"/>
      <c r="F39" s="437"/>
      <c r="G39" s="437"/>
      <c r="H39" s="437"/>
      <c r="I39" s="437"/>
      <c r="J39" s="437"/>
      <c r="K39" s="437"/>
      <c r="L39" s="437"/>
      <c r="M39" s="437"/>
      <c r="N39" s="437"/>
      <c r="O39" s="437"/>
      <c r="P39" s="437"/>
      <c r="Q39" s="437"/>
      <c r="R39" s="437"/>
      <c r="S39" s="437"/>
      <c r="T39" s="437"/>
      <c r="U39" s="437"/>
      <c r="V39" s="437"/>
      <c r="W39" s="437">
        <f>Master!I41</f>
        <v>161.4</v>
      </c>
      <c r="X39" s="437">
        <f>Master!J41</f>
        <v>157</v>
      </c>
      <c r="Y39" s="437">
        <f>Master!K41</f>
        <v>161.30000000000001</v>
      </c>
      <c r="Z39" s="437">
        <f>Master!L41</f>
        <v>161</v>
      </c>
      <c r="AA39" s="437">
        <f>Master!M41</f>
        <v>158.19999999999999</v>
      </c>
      <c r="AB39" s="437">
        <f>Master!N41</f>
        <v>159.30000000000001</v>
      </c>
      <c r="AC39" s="437">
        <f>Master!O41</f>
        <v>156.5</v>
      </c>
      <c r="AD39" s="437">
        <f>Master!P41</f>
        <v>157.48739223153083</v>
      </c>
      <c r="AE39" s="437">
        <f>Master!Q41</f>
        <v>161.13803543031224</v>
      </c>
      <c r="AF39" s="437">
        <f>Master!R41</f>
        <v>164.87170940015233</v>
      </c>
      <c r="AG39" s="437">
        <f>Master!S41</f>
        <v>168.69027511461385</v>
      </c>
      <c r="AH39" s="437">
        <f>Master!T41</f>
        <v>172.59563477389378</v>
      </c>
      <c r="AI39" s="437">
        <f>Master!U41</f>
        <v>176.58973270949912</v>
      </c>
      <c r="AJ39" s="437">
        <f>Master!V41</f>
        <v>180.67455630861906</v>
      </c>
      <c r="AK39" s="437"/>
      <c r="AL39" s="430"/>
      <c r="AM39" s="430"/>
    </row>
    <row r="40" spans="2:39">
      <c r="B40" s="429" t="str">
        <f>Master!B42</f>
        <v>Barbados</v>
      </c>
      <c r="C40" s="437"/>
      <c r="D40" s="437"/>
      <c r="E40" s="437"/>
      <c r="F40" s="437"/>
      <c r="G40" s="437"/>
      <c r="H40" s="437"/>
      <c r="I40" s="437"/>
      <c r="J40" s="437"/>
      <c r="K40" s="437"/>
      <c r="L40" s="437"/>
      <c r="M40" s="437"/>
      <c r="N40" s="437"/>
      <c r="O40" s="437"/>
      <c r="P40" s="437"/>
      <c r="Q40" s="437"/>
      <c r="R40" s="437"/>
      <c r="S40" s="437"/>
      <c r="T40" s="437"/>
      <c r="U40" s="437"/>
      <c r="V40" s="437"/>
      <c r="W40" s="437">
        <f>Master!I42</f>
        <v>163.1</v>
      </c>
      <c r="X40" s="437">
        <f>Master!J42</f>
        <v>151</v>
      </c>
      <c r="Y40" s="437">
        <f>Master!K42</f>
        <v>150.19999999999999</v>
      </c>
      <c r="Z40" s="437">
        <f>Master!L42</f>
        <v>139</v>
      </c>
      <c r="AA40" s="437">
        <f>Master!M42</f>
        <v>141.6</v>
      </c>
      <c r="AB40" s="437">
        <f>Master!N42</f>
        <v>148</v>
      </c>
      <c r="AC40" s="437">
        <f>Master!O42</f>
        <v>157.6</v>
      </c>
      <c r="AD40" s="437">
        <f>Master!P42</f>
        <v>161.84937037625019</v>
      </c>
      <c r="AE40" s="437">
        <f>Master!Q42</f>
        <v>165.08635778377518</v>
      </c>
      <c r="AF40" s="437">
        <f>Master!R42</f>
        <v>166.73722136161297</v>
      </c>
      <c r="AG40" s="437">
        <f>Master!S42</f>
        <v>166.73722136161297</v>
      </c>
      <c r="AH40" s="437">
        <f>Master!T42</f>
        <v>166.73722136161297</v>
      </c>
      <c r="AI40" s="437">
        <f>Master!U42</f>
        <v>166.73722136161297</v>
      </c>
      <c r="AJ40" s="437">
        <f>Master!V42</f>
        <v>166.73722136161297</v>
      </c>
      <c r="AK40" s="437"/>
      <c r="AL40" s="430"/>
      <c r="AM40" s="430"/>
    </row>
    <row r="41" spans="2:39">
      <c r="B41" s="429" t="str">
        <f>Master!B43</f>
        <v>Panama</v>
      </c>
      <c r="C41" s="437"/>
      <c r="D41" s="437"/>
      <c r="E41" s="437"/>
      <c r="F41" s="437"/>
      <c r="G41" s="437"/>
      <c r="H41" s="437"/>
      <c r="I41" s="437"/>
      <c r="J41" s="437"/>
      <c r="K41" s="437"/>
      <c r="L41" s="437"/>
      <c r="M41" s="437"/>
      <c r="N41" s="437"/>
      <c r="O41" s="437"/>
      <c r="P41" s="437"/>
      <c r="Q41" s="437"/>
      <c r="R41" s="437"/>
      <c r="S41" s="437"/>
      <c r="T41" s="437"/>
      <c r="U41" s="437"/>
      <c r="V41" s="437"/>
      <c r="W41" s="437">
        <f>Master!I43</f>
        <v>625</v>
      </c>
      <c r="X41" s="437">
        <f>Master!J43</f>
        <v>597</v>
      </c>
      <c r="Y41" s="437">
        <f>Master!K43</f>
        <v>580.4</v>
      </c>
      <c r="Z41" s="437">
        <f>Master!L43</f>
        <v>498</v>
      </c>
      <c r="AA41" s="437">
        <f>Master!M43</f>
        <v>545.4</v>
      </c>
      <c r="AB41" s="437">
        <f>Master!N43</f>
        <v>642.70000000000005</v>
      </c>
      <c r="AC41" s="437">
        <f>Master!O43</f>
        <v>742.6</v>
      </c>
      <c r="AD41" s="437">
        <f>Master!P43</f>
        <v>759.97663094979862</v>
      </c>
      <c r="AE41" s="437">
        <f>Master!Q43</f>
        <v>780.60479874940756</v>
      </c>
      <c r="AF41" s="437">
        <f>Master!R43</f>
        <v>798.32489927311531</v>
      </c>
      <c r="AG41" s="437">
        <f>Master!S43</f>
        <v>810.20842023112891</v>
      </c>
      <c r="AH41" s="437">
        <f>Master!T43</f>
        <v>822.28934135444877</v>
      </c>
      <c r="AI41" s="437">
        <f>Master!U43</f>
        <v>834.57141135018685</v>
      </c>
      <c r="AJ41" s="437">
        <f>Master!V43</f>
        <v>847.05845888597821</v>
      </c>
      <c r="AK41" s="437"/>
      <c r="AL41" s="430"/>
      <c r="AM41" s="430"/>
    </row>
    <row r="42" spans="2:39">
      <c r="B42" s="429" t="str">
        <f>Master!B44</f>
        <v>Bahamas</v>
      </c>
      <c r="C42" s="437"/>
      <c r="D42" s="437"/>
      <c r="E42" s="437"/>
      <c r="F42" s="437"/>
      <c r="G42" s="437"/>
      <c r="H42" s="437"/>
      <c r="I42" s="437"/>
      <c r="J42" s="437"/>
      <c r="K42" s="437"/>
      <c r="L42" s="437"/>
      <c r="M42" s="437"/>
      <c r="N42" s="437"/>
      <c r="O42" s="437"/>
      <c r="P42" s="437"/>
      <c r="Q42" s="437"/>
      <c r="R42" s="437"/>
      <c r="S42" s="437"/>
      <c r="T42" s="437"/>
      <c r="U42" s="437"/>
      <c r="V42" s="437"/>
      <c r="W42" s="437">
        <f>Master!I44</f>
        <v>261.3</v>
      </c>
      <c r="X42" s="437">
        <f>Master!J44</f>
        <v>229</v>
      </c>
      <c r="Y42" s="437">
        <f>Master!K44</f>
        <v>207.3</v>
      </c>
      <c r="Z42" s="437">
        <f>Master!L44</f>
        <v>181</v>
      </c>
      <c r="AA42" s="437">
        <f>Master!M44</f>
        <v>189.9</v>
      </c>
      <c r="AB42" s="437">
        <f>Master!N44</f>
        <v>194.7</v>
      </c>
      <c r="AC42" s="437">
        <f>Master!O44</f>
        <v>193</v>
      </c>
      <c r="AD42" s="437">
        <f>Master!P44</f>
        <v>203.87765036780618</v>
      </c>
      <c r="AE42" s="437">
        <f>Master!Q44</f>
        <v>211.2303991778451</v>
      </c>
      <c r="AF42" s="437">
        <f>Master!R44</f>
        <v>216.54437148420598</v>
      </c>
      <c r="AG42" s="437">
        <f>Master!S44</f>
        <v>221.85834379056686</v>
      </c>
      <c r="AH42" s="437">
        <f>Master!T44</f>
        <v>227.17231609692774</v>
      </c>
      <c r="AI42" s="437">
        <f>Master!U44</f>
        <v>232.48628840328863</v>
      </c>
      <c r="AJ42" s="437">
        <f>Master!V44</f>
        <v>237.80026070964951</v>
      </c>
      <c r="AK42" s="437"/>
      <c r="AL42" s="430"/>
      <c r="AM42" s="430"/>
    </row>
    <row r="43" spans="2:39">
      <c r="B43" s="429" t="str">
        <f>Master!B45</f>
        <v>Networks (Inc Subsea)</v>
      </c>
      <c r="C43" s="437"/>
      <c r="D43" s="437"/>
      <c r="E43" s="437"/>
      <c r="F43" s="437"/>
      <c r="G43" s="437"/>
      <c r="H43" s="437"/>
      <c r="I43" s="437"/>
      <c r="J43" s="437"/>
      <c r="K43" s="437"/>
      <c r="L43" s="437"/>
      <c r="M43" s="437"/>
      <c r="N43" s="437"/>
      <c r="O43" s="437"/>
      <c r="P43" s="437"/>
      <c r="Q43" s="437"/>
      <c r="R43" s="437"/>
      <c r="S43" s="437"/>
      <c r="T43" s="437"/>
      <c r="U43" s="437"/>
      <c r="V43" s="437"/>
      <c r="W43" s="437">
        <f>Master!I45</f>
        <v>341.1</v>
      </c>
      <c r="X43" s="437">
        <f>Master!J45</f>
        <v>351</v>
      </c>
      <c r="Y43" s="437">
        <f>Master!K45</f>
        <v>346.4</v>
      </c>
      <c r="Z43" s="437">
        <f>Master!L45</f>
        <v>354</v>
      </c>
      <c r="AA43" s="437">
        <f>Master!M45</f>
        <v>355.8</v>
      </c>
      <c r="AB43" s="437">
        <f>Master!N45</f>
        <v>451</v>
      </c>
      <c r="AC43" s="437">
        <f>Master!O45</f>
        <v>453</v>
      </c>
      <c r="AD43" s="437">
        <f>Master!P45</f>
        <v>458.47930000000002</v>
      </c>
      <c r="AE43" s="437">
        <f>Master!Q45</f>
        <v>470.677572</v>
      </c>
      <c r="AF43" s="437">
        <f>Master!R45</f>
        <v>486.33021660000003</v>
      </c>
      <c r="AG43" s="437">
        <f>Master!S45</f>
        <v>504.17083253880003</v>
      </c>
      <c r="AH43" s="437">
        <f>Master!T45</f>
        <v>522.83872032562806</v>
      </c>
      <c r="AI43" s="437">
        <f>Master!U45</f>
        <v>542.37459596339636</v>
      </c>
      <c r="AJ43" s="437">
        <f>Master!V45</f>
        <v>562.82120477926799</v>
      </c>
      <c r="AK43" s="437"/>
      <c r="AL43" s="430"/>
      <c r="AM43" s="430"/>
    </row>
    <row r="44" spans="2:39">
      <c r="B44" s="429" t="str">
        <f>Master!B46</f>
        <v>Other CWC / elims</v>
      </c>
      <c r="C44" s="436"/>
      <c r="D44" s="436"/>
      <c r="E44" s="436"/>
      <c r="F44" s="436"/>
      <c r="G44" s="436"/>
      <c r="H44" s="436"/>
      <c r="I44" s="437"/>
      <c r="J44" s="437"/>
      <c r="K44" s="437"/>
      <c r="L44" s="437"/>
      <c r="M44" s="437"/>
      <c r="N44" s="437"/>
      <c r="O44" s="437"/>
      <c r="P44" s="437"/>
      <c r="Q44" s="437"/>
      <c r="R44" s="437"/>
      <c r="S44" s="437"/>
      <c r="T44" s="437"/>
      <c r="U44" s="437"/>
      <c r="V44" s="437"/>
      <c r="W44" s="437">
        <f>Master!I46</f>
        <v>366.4</v>
      </c>
      <c r="X44" s="437">
        <f>Master!J46</f>
        <v>480.4</v>
      </c>
      <c r="Y44" s="437">
        <f>Master!K46</f>
        <v>553.79999999999995</v>
      </c>
      <c r="Z44" s="437">
        <f>Master!L46</f>
        <v>496.9</v>
      </c>
      <c r="AA44" s="437">
        <f>Master!M46</f>
        <v>560.20000000000005</v>
      </c>
      <c r="AB44" s="437">
        <f>Master!N46</f>
        <v>564.29999999999995</v>
      </c>
      <c r="AC44" s="437">
        <f>Master!O46</f>
        <v>592</v>
      </c>
      <c r="AD44" s="437">
        <f>Master!P46</f>
        <v>597.91999999999996</v>
      </c>
      <c r="AE44" s="437">
        <f>Master!Q46</f>
        <v>603.89919999999995</v>
      </c>
      <c r="AF44" s="437">
        <f>Master!R46</f>
        <v>609.93819199999996</v>
      </c>
      <c r="AG44" s="437">
        <f>Master!S46</f>
        <v>616.03757392</v>
      </c>
      <c r="AH44" s="437">
        <f>Master!T46</f>
        <v>622.19794965920005</v>
      </c>
      <c r="AI44" s="437">
        <f>Master!U46</f>
        <v>628.41992915579203</v>
      </c>
      <c r="AJ44" s="437">
        <f>Master!V46</f>
        <v>634.70412844734994</v>
      </c>
      <c r="AK44" s="437"/>
      <c r="AL44" s="430"/>
      <c r="AM44" s="430"/>
    </row>
    <row r="45" spans="2:39">
      <c r="B45" s="429" t="str">
        <f>Master!B47</f>
        <v>Chile</v>
      </c>
      <c r="C45" s="436"/>
      <c r="D45" s="436"/>
      <c r="E45" s="436"/>
      <c r="F45" s="436"/>
      <c r="G45" s="436"/>
      <c r="H45" s="436"/>
      <c r="I45" s="437"/>
      <c r="J45" s="437"/>
      <c r="K45" s="437"/>
      <c r="L45" s="437"/>
      <c r="M45" s="437"/>
      <c r="N45" s="437"/>
      <c r="O45" s="437"/>
      <c r="P45" s="437"/>
      <c r="Q45" s="437"/>
      <c r="R45" s="437"/>
      <c r="S45" s="437"/>
      <c r="T45" s="437"/>
      <c r="U45" s="437"/>
      <c r="V45" s="437"/>
      <c r="W45" s="437">
        <f>Master!I47</f>
        <v>951.91122071516656</v>
      </c>
      <c r="X45" s="437">
        <f>Master!J47</f>
        <v>1008.7671488858091</v>
      </c>
      <c r="Y45" s="437">
        <f>Master!K47</f>
        <v>941.1</v>
      </c>
      <c r="Z45" s="437">
        <f>Master!L47</f>
        <v>807.82828282828302</v>
      </c>
      <c r="AA45" s="437">
        <f>Master!M47</f>
        <v>782.99553219448092</v>
      </c>
      <c r="AB45" s="437">
        <f>Master!N47</f>
        <v>450.6</v>
      </c>
      <c r="AC45" s="437">
        <f>Master!O47</f>
        <v>0</v>
      </c>
      <c r="AD45" s="437">
        <f>Master!P47</f>
        <v>0</v>
      </c>
      <c r="AE45" s="437">
        <f>Master!Q47</f>
        <v>0</v>
      </c>
      <c r="AF45" s="437">
        <f>Master!R47</f>
        <v>0</v>
      </c>
      <c r="AG45" s="437">
        <f>Master!S47</f>
        <v>0</v>
      </c>
      <c r="AH45" s="437">
        <f>Master!T47</f>
        <v>0</v>
      </c>
      <c r="AI45" s="437">
        <f>Master!U47</f>
        <v>0</v>
      </c>
      <c r="AJ45" s="437">
        <f>Master!V47</f>
        <v>0</v>
      </c>
      <c r="AK45" s="437"/>
      <c r="AL45" s="430"/>
      <c r="AM45" s="430"/>
    </row>
    <row r="46" spans="2:39">
      <c r="B46" s="429" t="str">
        <f>Master!B48</f>
        <v>Puerto Rico / US VI</v>
      </c>
      <c r="C46" s="446"/>
      <c r="D46" s="446"/>
      <c r="E46" s="446"/>
      <c r="F46" s="446"/>
      <c r="G46" s="446"/>
      <c r="H46" s="446"/>
      <c r="I46" s="447"/>
      <c r="J46" s="447"/>
      <c r="K46" s="447"/>
      <c r="L46" s="447"/>
      <c r="M46" s="447"/>
      <c r="N46" s="447"/>
      <c r="O46" s="447"/>
      <c r="P46" s="447"/>
      <c r="Q46" s="437"/>
      <c r="R46" s="437"/>
      <c r="S46" s="437"/>
      <c r="T46" s="437"/>
      <c r="U46" s="437"/>
      <c r="V46" s="437"/>
      <c r="W46" s="437">
        <f>Master!I48</f>
        <v>320.5</v>
      </c>
      <c r="X46" s="437">
        <f>Master!J48</f>
        <v>324.60000000000002</v>
      </c>
      <c r="Y46" s="437">
        <f>Master!K48</f>
        <v>410.3</v>
      </c>
      <c r="Z46" s="437">
        <f>Master!L48</f>
        <v>625</v>
      </c>
      <c r="AA46" s="437">
        <f>Master!M48</f>
        <v>1455</v>
      </c>
      <c r="AB46" s="437">
        <f>Master!N48</f>
        <v>1470.1</v>
      </c>
      <c r="AC46" s="437">
        <f>Master!O48</f>
        <v>1417</v>
      </c>
      <c r="AD46" s="437">
        <f>Master!P48</f>
        <v>1278.8028000000002</v>
      </c>
      <c r="AE46" s="437">
        <f>Master!Q48</f>
        <v>1327.3412871200001</v>
      </c>
      <c r="AF46" s="437">
        <f>Master!R48</f>
        <v>1353.418403214336</v>
      </c>
      <c r="AG46" s="437">
        <f>Master!S48</f>
        <v>1369.0294607454246</v>
      </c>
      <c r="AH46" s="437">
        <f>Master!T48</f>
        <v>1381.0921898993574</v>
      </c>
      <c r="AI46" s="437">
        <f>Master!U48</f>
        <v>1398.2943102771044</v>
      </c>
      <c r="AJ46" s="437">
        <f>Master!V48</f>
        <v>1415.8754611784909</v>
      </c>
      <c r="AK46" s="437"/>
      <c r="AL46" s="430"/>
      <c r="AM46" s="430"/>
    </row>
    <row r="47" spans="2:39">
      <c r="B47" s="429" t="str">
        <f>Master!B49</f>
        <v>Costa Rica</v>
      </c>
      <c r="C47" s="436"/>
      <c r="D47" s="436"/>
      <c r="E47" s="436"/>
      <c r="F47" s="436"/>
      <c r="G47" s="436"/>
      <c r="H47" s="436"/>
      <c r="I47" s="437"/>
      <c r="J47" s="437"/>
      <c r="K47" s="437"/>
      <c r="L47" s="437"/>
      <c r="M47" s="437"/>
      <c r="N47" s="437"/>
      <c r="O47" s="437"/>
      <c r="P47" s="437"/>
      <c r="Q47" s="437"/>
      <c r="R47" s="437"/>
      <c r="S47" s="437"/>
      <c r="T47" s="437"/>
      <c r="U47" s="437"/>
      <c r="V47" s="437"/>
      <c r="W47" s="437">
        <f>Master!I49</f>
        <v>0</v>
      </c>
      <c r="X47" s="437">
        <f>Master!J49</f>
        <v>33</v>
      </c>
      <c r="Y47" s="437">
        <f>Master!K49</f>
        <v>132.69999999999999</v>
      </c>
      <c r="Z47" s="437">
        <f>Master!L49</f>
        <v>143</v>
      </c>
      <c r="AA47" s="437">
        <f>Master!M49</f>
        <v>256.2</v>
      </c>
      <c r="AB47" s="437">
        <f>Master!N49</f>
        <v>441.30000000000007</v>
      </c>
      <c r="AC47" s="437">
        <f>Master!O49</f>
        <v>547.9</v>
      </c>
      <c r="AD47" s="437">
        <f>Master!P49</f>
        <v>587.03287333112166</v>
      </c>
      <c r="AE47" s="437">
        <f>Master!Q49</f>
        <v>597.57661798413017</v>
      </c>
      <c r="AF47" s="437">
        <f>Master!R49</f>
        <v>611.63713247800251</v>
      </c>
      <c r="AG47" s="437">
        <f>Master!S49</f>
        <v>626.61292781178599</v>
      </c>
      <c r="AH47" s="437">
        <f>Master!T49</f>
        <v>641.07562651355624</v>
      </c>
      <c r="AI47" s="437">
        <f>Master!U49</f>
        <v>655.76816740197523</v>
      </c>
      <c r="AJ47" s="437">
        <f>Master!V49</f>
        <v>670.78008956278836</v>
      </c>
      <c r="AK47" s="437"/>
      <c r="AL47" s="430"/>
      <c r="AM47" s="430"/>
    </row>
    <row r="48" spans="2:39">
      <c r="B48" s="518" t="str">
        <f>Master!B50</f>
        <v>Other/elims in CWC</v>
      </c>
      <c r="C48" s="446"/>
      <c r="D48" s="446"/>
      <c r="E48" s="446"/>
      <c r="F48" s="446"/>
      <c r="G48" s="446"/>
      <c r="H48" s="446"/>
      <c r="I48" s="446"/>
      <c r="J48" s="446"/>
      <c r="K48" s="446"/>
      <c r="L48" s="446"/>
      <c r="M48" s="446"/>
      <c r="N48" s="446"/>
      <c r="O48" s="446"/>
      <c r="P48" s="446"/>
      <c r="Q48" s="447"/>
      <c r="R48" s="447"/>
      <c r="S48" s="447"/>
      <c r="T48" s="447"/>
      <c r="U48" s="447"/>
      <c r="V48" s="447"/>
      <c r="W48" s="447">
        <f>Master!I50</f>
        <v>-9</v>
      </c>
      <c r="X48" s="447">
        <f>Master!J50</f>
        <v>0</v>
      </c>
      <c r="Y48" s="447">
        <f>Master!K50</f>
        <v>0</v>
      </c>
      <c r="Z48" s="447">
        <f>Master!L50</f>
        <v>-16.728282828283227</v>
      </c>
      <c r="AA48" s="447">
        <f>Master!M50</f>
        <v>-56</v>
      </c>
      <c r="AB48" s="447">
        <f>Master!N50</f>
        <v>-58</v>
      </c>
      <c r="AC48" s="447">
        <f>Master!O50</f>
        <v>-68</v>
      </c>
      <c r="AD48" s="447">
        <f>Master!P50</f>
        <v>-68</v>
      </c>
      <c r="AE48" s="447">
        <f>Master!Q50</f>
        <v>-68</v>
      </c>
      <c r="AF48" s="447">
        <f>Master!R50</f>
        <v>-68</v>
      </c>
      <c r="AG48" s="447">
        <f>Master!S50</f>
        <v>-68</v>
      </c>
      <c r="AH48" s="447">
        <f>Master!T50</f>
        <v>-68</v>
      </c>
      <c r="AI48" s="447">
        <f>Master!U50</f>
        <v>-68</v>
      </c>
      <c r="AJ48" s="447">
        <f>Master!V50</f>
        <v>-68</v>
      </c>
      <c r="AK48" s="516"/>
      <c r="AL48" s="430"/>
      <c r="AM48" s="430"/>
    </row>
    <row r="49" spans="2:39">
      <c r="B49" s="429" t="s">
        <v>16</v>
      </c>
      <c r="C49" s="436"/>
      <c r="D49" s="436"/>
      <c r="E49" s="436"/>
      <c r="F49" s="436"/>
      <c r="G49" s="436"/>
      <c r="H49" s="436"/>
      <c r="I49" s="436"/>
      <c r="J49" s="436"/>
      <c r="K49" s="436"/>
      <c r="L49" s="436"/>
      <c r="M49" s="436"/>
      <c r="N49" s="436"/>
      <c r="O49" s="436"/>
      <c r="P49" s="436"/>
      <c r="Q49" s="437"/>
      <c r="R49" s="437"/>
      <c r="S49" s="437"/>
      <c r="T49" s="437"/>
      <c r="U49" s="437">
        <f>U20</f>
        <v>3591.5333333333328</v>
      </c>
      <c r="V49" s="437">
        <f>V20</f>
        <v>3620.1757396449707</v>
      </c>
      <c r="W49" s="437">
        <f>Master!I52</f>
        <v>3586.3178736517721</v>
      </c>
      <c r="X49" s="437">
        <f>Master!J52</f>
        <v>3693.7671488858091</v>
      </c>
      <c r="Y49" s="437">
        <f>Master!K52</f>
        <v>3867.1</v>
      </c>
      <c r="Z49" s="437">
        <f>Master!L52</f>
        <v>3765</v>
      </c>
      <c r="AA49" s="437">
        <f>Master!M52</f>
        <v>4791.295532194481</v>
      </c>
      <c r="AB49" s="437">
        <f>Master!N52</f>
        <v>4815</v>
      </c>
      <c r="AC49" s="437">
        <f>Master!O52</f>
        <v>4511.1000000000004</v>
      </c>
      <c r="AD49" s="437">
        <f>Master!P52</f>
        <v>4469.0806310346197</v>
      </c>
      <c r="AE49" s="437">
        <f>Master!Q52</f>
        <v>4594.6345802354044</v>
      </c>
      <c r="AF49" s="437">
        <f>Master!R52</f>
        <v>4700.9728463198617</v>
      </c>
      <c r="AG49" s="437">
        <f>Master!S52</f>
        <v>4797.6460113862859</v>
      </c>
      <c r="AH49" s="437">
        <f>Master!T52</f>
        <v>4897.0769992474334</v>
      </c>
      <c r="AI49" s="437">
        <f>Master!U52</f>
        <v>5004.5989823785176</v>
      </c>
      <c r="AJ49" s="437">
        <f>Master!V52</f>
        <v>5115.6734339112709</v>
      </c>
      <c r="AK49" s="437"/>
      <c r="AL49" s="430"/>
      <c r="AM49" s="430"/>
    </row>
    <row r="50" spans="2:39">
      <c r="C50" s="436"/>
      <c r="D50" s="436"/>
      <c r="E50" s="436"/>
      <c r="F50" s="436"/>
      <c r="G50" s="436"/>
      <c r="H50" s="436"/>
      <c r="I50" s="436"/>
      <c r="J50" s="436"/>
      <c r="K50" s="436"/>
      <c r="L50" s="436"/>
      <c r="M50" s="436"/>
      <c r="N50" s="436"/>
      <c r="O50" s="436"/>
      <c r="P50" s="436"/>
      <c r="Q50" s="437"/>
      <c r="R50" s="437"/>
      <c r="S50" s="437"/>
      <c r="T50" s="437"/>
      <c r="U50" s="437"/>
      <c r="V50" s="437"/>
      <c r="W50" s="437"/>
      <c r="X50" s="437"/>
      <c r="Y50" s="437"/>
      <c r="Z50" s="437"/>
      <c r="AA50" s="437"/>
      <c r="AB50" s="437"/>
      <c r="AC50" s="437"/>
      <c r="AD50" s="437"/>
      <c r="AE50" s="437"/>
      <c r="AF50" s="437"/>
      <c r="AG50" s="437"/>
      <c r="AH50" s="437"/>
      <c r="AI50" s="437"/>
      <c r="AJ50" s="437"/>
      <c r="AK50" s="437"/>
      <c r="AL50" s="430"/>
      <c r="AM50" s="430"/>
    </row>
    <row r="51" spans="2:39">
      <c r="B51" s="429" t="s">
        <v>29</v>
      </c>
      <c r="C51" s="436"/>
      <c r="D51" s="436"/>
      <c r="E51" s="436"/>
      <c r="F51" s="436"/>
      <c r="G51" s="436"/>
      <c r="H51" s="436"/>
      <c r="I51" s="436"/>
      <c r="J51" s="436"/>
      <c r="K51" s="436"/>
      <c r="L51" s="436"/>
      <c r="M51" s="436"/>
      <c r="N51" s="436"/>
      <c r="O51" s="436"/>
      <c r="P51" s="436"/>
      <c r="Q51" s="437"/>
      <c r="R51" s="437"/>
      <c r="S51" s="437"/>
      <c r="T51" s="437"/>
      <c r="U51" s="437"/>
      <c r="V51" s="437"/>
      <c r="W51" s="437">
        <f>W59-W52-W53-W54-W55</f>
        <v>877.04759556103568</v>
      </c>
      <c r="X51" s="437">
        <f t="shared" ref="X51:AD51" si="8">X59-X52-X53-X54-X55</f>
        <v>902.69999999999993</v>
      </c>
      <c r="Y51" s="437">
        <f t="shared" si="8"/>
        <v>924.7</v>
      </c>
      <c r="Z51" s="437">
        <f t="shared" si="8"/>
        <v>886.00000000000011</v>
      </c>
      <c r="AA51" s="437">
        <f t="shared" si="8"/>
        <v>947.29999999999984</v>
      </c>
      <c r="AB51" s="437">
        <f t="shared" si="8"/>
        <v>1002.2992214999999</v>
      </c>
      <c r="AC51" s="437">
        <f t="shared" si="8"/>
        <v>1086.1999999999998</v>
      </c>
      <c r="AD51" s="437">
        <f t="shared" si="8"/>
        <v>1121.9841984141071</v>
      </c>
      <c r="AE51" s="437">
        <f>AE59-AE52-AE53-AE54-AE55</f>
        <v>1184.2504847729369</v>
      </c>
      <c r="AF51" s="437">
        <f>AF59-AF52-AF53-AF54-AF55</f>
        <v>1222.7859544035505</v>
      </c>
      <c r="AG51" s="437">
        <f t="shared" ref="AG51:AJ51" si="9">AG59-AG52-AG53-AG54-AG55</f>
        <v>1256.3605099882811</v>
      </c>
      <c r="AH51" s="437">
        <f t="shared" si="9"/>
        <v>1288.7745116816072</v>
      </c>
      <c r="AI51" s="437">
        <f t="shared" si="9"/>
        <v>1322.4524122957096</v>
      </c>
      <c r="AJ51" s="437">
        <f t="shared" si="9"/>
        <v>1357.4566922960732</v>
      </c>
      <c r="AK51" s="437"/>
      <c r="AL51" s="430"/>
      <c r="AM51" s="430"/>
    </row>
    <row r="52" spans="2:39">
      <c r="B52" s="429" t="str">
        <f>B45</f>
        <v>Chile</v>
      </c>
      <c r="C52" s="436"/>
      <c r="D52" s="436"/>
      <c r="E52" s="436"/>
      <c r="F52" s="436"/>
      <c r="G52" s="436"/>
      <c r="H52" s="436"/>
      <c r="I52" s="436"/>
      <c r="J52" s="436"/>
      <c r="K52" s="436"/>
      <c r="L52" s="436"/>
      <c r="M52" s="436"/>
      <c r="N52" s="436"/>
      <c r="O52" s="436"/>
      <c r="P52" s="436"/>
      <c r="Q52" s="437"/>
      <c r="R52" s="437"/>
      <c r="S52" s="437"/>
      <c r="T52" s="437"/>
      <c r="U52" s="437"/>
      <c r="V52" s="437"/>
      <c r="W52" s="437">
        <f>Master!I70</f>
        <v>382.55240443896429</v>
      </c>
      <c r="X52" s="437">
        <f>Master!J70</f>
        <v>410.17176137159947</v>
      </c>
      <c r="Y52" s="437">
        <f>Master!K70</f>
        <v>386.6</v>
      </c>
      <c r="Z52" s="437">
        <f>Master!L70</f>
        <v>306.43939393939394</v>
      </c>
      <c r="AA52" s="437">
        <f>Master!M70</f>
        <v>257.9935611038108</v>
      </c>
      <c r="AB52" s="437">
        <f>Master!N70</f>
        <v>115.6</v>
      </c>
      <c r="AC52" s="437">
        <f>Master!O70</f>
        <v>0</v>
      </c>
      <c r="AD52" s="437">
        <f>Master!P70</f>
        <v>0</v>
      </c>
      <c r="AE52" s="437">
        <f>Master!Q70</f>
        <v>0</v>
      </c>
      <c r="AF52" s="437">
        <f>Master!R70</f>
        <v>0</v>
      </c>
      <c r="AG52" s="437">
        <f>Master!S70</f>
        <v>0</v>
      </c>
      <c r="AH52" s="437">
        <f>Master!T70</f>
        <v>0</v>
      </c>
      <c r="AI52" s="437">
        <f>Master!U70</f>
        <v>0</v>
      </c>
      <c r="AJ52" s="437">
        <f>Master!V70</f>
        <v>0</v>
      </c>
      <c r="AK52" s="437"/>
      <c r="AL52" s="430"/>
      <c r="AM52" s="430"/>
    </row>
    <row r="53" spans="2:39">
      <c r="B53" s="429" t="str">
        <f>B46</f>
        <v>Puerto Rico / US VI</v>
      </c>
      <c r="C53" s="436"/>
      <c r="D53" s="436"/>
      <c r="E53" s="436"/>
      <c r="F53" s="436"/>
      <c r="G53" s="436"/>
      <c r="H53" s="436"/>
      <c r="I53" s="436"/>
      <c r="J53" s="436"/>
      <c r="K53" s="436"/>
      <c r="L53" s="436"/>
      <c r="M53" s="436"/>
      <c r="N53" s="436"/>
      <c r="O53" s="436"/>
      <c r="P53" s="436"/>
      <c r="Q53" s="437"/>
      <c r="R53" s="437"/>
      <c r="S53" s="437"/>
      <c r="T53" s="437"/>
      <c r="U53" s="437"/>
      <c r="V53" s="437"/>
      <c r="W53" s="437">
        <f>Master!I71</f>
        <v>132.6</v>
      </c>
      <c r="X53" s="437">
        <f>Master!J71</f>
        <v>135.80000000000001</v>
      </c>
      <c r="Y53" s="437">
        <f>Master!K71</f>
        <v>203.20000000000002</v>
      </c>
      <c r="Z53" s="437">
        <f>Master!L71</f>
        <v>276.89999999999998</v>
      </c>
      <c r="AA53" s="437">
        <f>Master!M71</f>
        <v>585.90000000000009</v>
      </c>
      <c r="AB53" s="437">
        <f>Master!N71</f>
        <v>544.79999999999995</v>
      </c>
      <c r="AC53" s="437">
        <f>Master!O71</f>
        <v>485.5</v>
      </c>
      <c r="AD53" s="437">
        <f>Master!P71</f>
        <v>323.91267200000004</v>
      </c>
      <c r="AE53" s="437">
        <f>Master!Q71</f>
        <v>481.47579900720001</v>
      </c>
      <c r="AF53" s="437">
        <f>Master!R71</f>
        <v>516.62807306073091</v>
      </c>
      <c r="AG53" s="437">
        <f>Master!S71</f>
        <v>535.47001665344442</v>
      </c>
      <c r="AH53" s="437">
        <f>Master!T71</f>
        <v>553.38226646477506</v>
      </c>
      <c r="AI53" s="437">
        <f>Master!U71</f>
        <v>559.40300859698652</v>
      </c>
      <c r="AJ53" s="437">
        <f>Master!V71</f>
        <v>565.55641141247179</v>
      </c>
      <c r="AK53" s="437"/>
      <c r="AL53" s="430"/>
      <c r="AM53" s="430"/>
    </row>
    <row r="54" spans="2:39">
      <c r="B54" s="429" t="str">
        <f>B47</f>
        <v>Costa Rica</v>
      </c>
      <c r="C54" s="436"/>
      <c r="D54" s="436"/>
      <c r="E54" s="436"/>
      <c r="F54" s="436"/>
      <c r="G54" s="436"/>
      <c r="H54" s="436"/>
      <c r="I54" s="436"/>
      <c r="J54" s="436"/>
      <c r="K54" s="436"/>
      <c r="L54" s="436"/>
      <c r="M54" s="436"/>
      <c r="N54" s="436"/>
      <c r="O54" s="436"/>
      <c r="P54" s="436"/>
      <c r="Q54" s="437"/>
      <c r="R54" s="437"/>
      <c r="S54" s="437"/>
      <c r="T54" s="437"/>
      <c r="U54" s="437"/>
      <c r="V54" s="437"/>
      <c r="W54" s="437">
        <f>Master!I72</f>
        <v>0</v>
      </c>
      <c r="X54" s="437">
        <f>Master!J72</f>
        <v>10</v>
      </c>
      <c r="Y54" s="437">
        <f>Master!K72</f>
        <v>47</v>
      </c>
      <c r="Z54" s="437">
        <f>Master!L72</f>
        <v>56</v>
      </c>
      <c r="AA54" s="437">
        <f>Master!M72</f>
        <v>80.2</v>
      </c>
      <c r="AB54" s="437">
        <f>Master!N72</f>
        <v>134.69999999999999</v>
      </c>
      <c r="AC54" s="437">
        <f>Master!O72</f>
        <v>203.1</v>
      </c>
      <c r="AD54" s="437">
        <f>Master!P72</f>
        <v>217.20216313251501</v>
      </c>
      <c r="AE54" s="437">
        <f>Master!Q72</f>
        <v>221.10334865412818</v>
      </c>
      <c r="AF54" s="437">
        <f>Master!R72</f>
        <v>232.42211034164094</v>
      </c>
      <c r="AG54" s="437">
        <f>Master!S72</f>
        <v>238.11291256847872</v>
      </c>
      <c r="AH54" s="437">
        <f>Master!T72</f>
        <v>243.60873807515136</v>
      </c>
      <c r="AI54" s="437">
        <f>Master!U72</f>
        <v>249.19190361275054</v>
      </c>
      <c r="AJ54" s="437">
        <f>Master!V72</f>
        <v>254.89643403385958</v>
      </c>
      <c r="AK54" s="437"/>
      <c r="AL54" s="430"/>
      <c r="AM54" s="430"/>
    </row>
    <row r="55" spans="2:39">
      <c r="B55" s="429" t="str">
        <f>B48</f>
        <v>Other/elims in CWC</v>
      </c>
      <c r="C55" s="436"/>
      <c r="D55" s="436"/>
      <c r="E55" s="436"/>
      <c r="F55" s="436"/>
      <c r="G55" s="436"/>
      <c r="H55" s="436"/>
      <c r="I55" s="436"/>
      <c r="J55" s="436"/>
      <c r="K55" s="436"/>
      <c r="L55" s="436"/>
      <c r="M55" s="436"/>
      <c r="N55" s="436"/>
      <c r="O55" s="436"/>
      <c r="P55" s="436"/>
      <c r="Q55" s="437"/>
      <c r="R55" s="437"/>
      <c r="S55" s="437"/>
      <c r="T55" s="437"/>
      <c r="U55" s="437"/>
      <c r="V55" s="437"/>
      <c r="W55" s="437">
        <f>Master!I73</f>
        <v>-25.1</v>
      </c>
      <c r="X55" s="437">
        <f>Master!J73</f>
        <v>-46.1</v>
      </c>
      <c r="Y55" s="437">
        <f>Master!K73</f>
        <v>-55</v>
      </c>
      <c r="Z55" s="437">
        <f>Master!L73</f>
        <v>-40.339393939394085</v>
      </c>
      <c r="AA55" s="437">
        <f>Master!M73</f>
        <v>-52.9</v>
      </c>
      <c r="AB55" s="437">
        <f>Master!N73</f>
        <v>-79.39922149999984</v>
      </c>
      <c r="AC55" s="437">
        <f>Master!O73</f>
        <v>-73.200000000000045</v>
      </c>
      <c r="AD55" s="437">
        <f>Master!P73</f>
        <v>-84</v>
      </c>
      <c r="AE55" s="437">
        <f>Master!Q73</f>
        <v>-84</v>
      </c>
      <c r="AF55" s="437">
        <f>Master!R73</f>
        <v>-84</v>
      </c>
      <c r="AG55" s="437">
        <f>Master!S73</f>
        <v>-84</v>
      </c>
      <c r="AH55" s="437">
        <f>Master!T73</f>
        <v>-84</v>
      </c>
      <c r="AI55" s="437">
        <f>Master!U73</f>
        <v>-84</v>
      </c>
      <c r="AJ55" s="437">
        <f>Master!V73</f>
        <v>-84</v>
      </c>
      <c r="AK55" s="437"/>
      <c r="AL55" s="430"/>
      <c r="AM55" s="430"/>
    </row>
    <row r="56" spans="2:39">
      <c r="C56" s="436"/>
      <c r="D56" s="436"/>
      <c r="E56" s="436"/>
      <c r="F56" s="436"/>
      <c r="G56" s="436"/>
      <c r="H56" s="436"/>
      <c r="I56" s="436"/>
      <c r="J56" s="436"/>
      <c r="K56" s="436"/>
      <c r="L56" s="436"/>
      <c r="M56" s="436"/>
      <c r="N56" s="436"/>
      <c r="O56" s="436"/>
      <c r="P56" s="436"/>
      <c r="Q56" s="437"/>
      <c r="R56" s="437"/>
      <c r="S56" s="437"/>
      <c r="T56" s="437"/>
      <c r="U56" s="437"/>
      <c r="V56" s="437"/>
      <c r="W56" s="437"/>
      <c r="X56" s="437"/>
      <c r="Y56" s="437"/>
      <c r="Z56" s="437"/>
      <c r="AA56" s="437"/>
      <c r="AB56" s="437"/>
      <c r="AC56" s="437"/>
      <c r="AD56" s="437"/>
      <c r="AE56" s="437"/>
      <c r="AF56" s="437"/>
      <c r="AG56" s="437"/>
      <c r="AH56" s="437"/>
      <c r="AI56" s="437"/>
      <c r="AJ56" s="437"/>
      <c r="AK56" s="437"/>
      <c r="AL56" s="430"/>
      <c r="AM56" s="430"/>
    </row>
    <row r="57" spans="2:39">
      <c r="C57" s="436"/>
      <c r="D57" s="436"/>
      <c r="E57" s="436"/>
      <c r="F57" s="436"/>
      <c r="G57" s="436"/>
      <c r="H57" s="436"/>
      <c r="I57" s="436"/>
      <c r="J57" s="436"/>
      <c r="K57" s="436"/>
      <c r="L57" s="436"/>
      <c r="M57" s="436"/>
      <c r="N57" s="436"/>
      <c r="O57" s="436"/>
      <c r="P57" s="436"/>
      <c r="Q57" s="437"/>
      <c r="R57" s="437"/>
      <c r="S57" s="437"/>
      <c r="T57" s="437"/>
      <c r="U57" s="437"/>
      <c r="V57" s="437"/>
      <c r="W57" s="437"/>
      <c r="X57" s="437"/>
      <c r="Y57" s="437"/>
      <c r="Z57" s="437"/>
      <c r="AA57" s="437"/>
      <c r="AB57" s="437"/>
      <c r="AC57" s="437"/>
      <c r="AD57" s="437"/>
      <c r="AE57" s="437"/>
      <c r="AF57" s="437"/>
      <c r="AG57" s="437"/>
      <c r="AH57" s="437"/>
      <c r="AI57" s="437"/>
      <c r="AJ57" s="437"/>
      <c r="AK57" s="437"/>
      <c r="AL57" s="430"/>
      <c r="AM57" s="430"/>
    </row>
    <row r="58" spans="2:39">
      <c r="B58" s="518"/>
      <c r="C58" s="446"/>
      <c r="D58" s="446"/>
      <c r="E58" s="446"/>
      <c r="F58" s="446"/>
      <c r="G58" s="446"/>
      <c r="H58" s="446"/>
      <c r="I58" s="446"/>
      <c r="J58" s="446"/>
      <c r="K58" s="446"/>
      <c r="L58" s="446"/>
      <c r="M58" s="446"/>
      <c r="N58" s="446"/>
      <c r="O58" s="446"/>
      <c r="P58" s="446"/>
      <c r="Q58" s="447"/>
      <c r="R58" s="447"/>
      <c r="S58" s="447"/>
      <c r="T58" s="447"/>
      <c r="U58" s="447"/>
      <c r="V58" s="447"/>
      <c r="W58" s="447"/>
      <c r="X58" s="447"/>
      <c r="Y58" s="447"/>
      <c r="Z58" s="447"/>
      <c r="AA58" s="447"/>
      <c r="AB58" s="447"/>
      <c r="AC58" s="447"/>
      <c r="AD58" s="447"/>
      <c r="AE58" s="447"/>
      <c r="AF58" s="447"/>
      <c r="AG58" s="447"/>
      <c r="AH58" s="447"/>
      <c r="AI58" s="447"/>
      <c r="AJ58" s="447"/>
      <c r="AK58" s="516"/>
      <c r="AL58" s="430"/>
      <c r="AM58" s="430"/>
    </row>
    <row r="59" spans="2:39">
      <c r="B59" s="429" t="s">
        <v>1091</v>
      </c>
      <c r="C59" s="436"/>
      <c r="D59" s="436"/>
      <c r="E59" s="436"/>
      <c r="F59" s="436"/>
      <c r="G59" s="436"/>
      <c r="H59" s="436"/>
      <c r="I59" s="436"/>
      <c r="J59" s="436"/>
      <c r="K59" s="436"/>
      <c r="L59" s="436"/>
      <c r="M59" s="436"/>
      <c r="N59" s="436"/>
      <c r="O59" s="436"/>
      <c r="P59" s="436"/>
      <c r="Q59" s="437"/>
      <c r="R59" s="437"/>
      <c r="S59" s="437"/>
      <c r="T59" s="437"/>
      <c r="U59" s="437">
        <f t="shared" ref="U59:AD59" si="10">U21</f>
        <v>0</v>
      </c>
      <c r="V59" s="437">
        <f t="shared" si="10"/>
        <v>1448.600076899188</v>
      </c>
      <c r="W59" s="437">
        <f t="shared" si="10"/>
        <v>1367.1</v>
      </c>
      <c r="X59" s="437">
        <f t="shared" si="10"/>
        <v>1412.5717613715995</v>
      </c>
      <c r="Y59" s="437">
        <f t="shared" si="10"/>
        <v>1506.5</v>
      </c>
      <c r="Z59" s="437">
        <f t="shared" si="10"/>
        <v>1485</v>
      </c>
      <c r="AA59" s="437">
        <f t="shared" si="10"/>
        <v>1818.4935611038109</v>
      </c>
      <c r="AB59" s="437">
        <f t="shared" si="10"/>
        <v>1718</v>
      </c>
      <c r="AC59" s="437">
        <f t="shared" si="10"/>
        <v>1701.6</v>
      </c>
      <c r="AD59" s="437">
        <f t="shared" si="10"/>
        <v>1579.0990335466222</v>
      </c>
      <c r="AE59" s="437">
        <f>AE21</f>
        <v>1802.8296324342652</v>
      </c>
      <c r="AF59" s="437">
        <f>AF21</f>
        <v>1887.8361378059224</v>
      </c>
      <c r="AG59" s="437">
        <f t="shared" ref="AG59:AI59" si="11">AG21</f>
        <v>1945.9434392102044</v>
      </c>
      <c r="AH59" s="437">
        <f t="shared" si="11"/>
        <v>2001.7655162215337</v>
      </c>
      <c r="AI59" s="437">
        <f t="shared" si="11"/>
        <v>2047.0473245054468</v>
      </c>
      <c r="AJ59" s="437">
        <f t="shared" ref="AJ59" si="12">AJ21</f>
        <v>2093.9095377424046</v>
      </c>
      <c r="AK59" s="437"/>
      <c r="AL59" s="430"/>
      <c r="AM59" s="430"/>
    </row>
    <row r="60" spans="2:39">
      <c r="C60" s="436"/>
      <c r="D60" s="436"/>
      <c r="E60" s="436"/>
      <c r="F60" s="436"/>
      <c r="G60" s="436"/>
      <c r="H60" s="436"/>
      <c r="I60" s="436"/>
      <c r="J60" s="436"/>
      <c r="K60" s="436"/>
      <c r="L60" s="436"/>
      <c r="M60" s="436"/>
      <c r="N60" s="436"/>
      <c r="O60" s="436"/>
      <c r="P60" s="436"/>
      <c r="Q60" s="437"/>
      <c r="R60" s="437"/>
      <c r="S60" s="437"/>
      <c r="T60" s="437"/>
      <c r="U60" s="437"/>
      <c r="V60" s="437"/>
      <c r="W60" s="437"/>
      <c r="X60" s="437"/>
      <c r="Y60" s="437"/>
      <c r="Z60" s="437"/>
      <c r="AA60" s="437"/>
      <c r="AB60" s="437"/>
      <c r="AC60" s="437"/>
      <c r="AD60" s="437"/>
      <c r="AE60" s="437"/>
      <c r="AF60" s="437"/>
      <c r="AG60" s="437"/>
      <c r="AH60" s="437"/>
      <c r="AI60" s="437"/>
      <c r="AJ60" s="437"/>
      <c r="AK60" s="437"/>
      <c r="AL60" s="430"/>
      <c r="AM60" s="430"/>
    </row>
    <row r="61" spans="2:39">
      <c r="B61" s="429" t="str">
        <f>B51</f>
        <v>CWC</v>
      </c>
      <c r="C61" s="436"/>
      <c r="D61" s="436"/>
      <c r="E61" s="436"/>
      <c r="F61" s="436"/>
      <c r="G61" s="436"/>
      <c r="H61" s="436"/>
      <c r="I61" s="436"/>
      <c r="J61" s="436"/>
      <c r="K61" s="436"/>
      <c r="L61" s="436"/>
      <c r="M61" s="436"/>
      <c r="N61" s="436"/>
      <c r="O61" s="436"/>
      <c r="P61" s="436"/>
      <c r="Q61" s="437"/>
      <c r="R61" s="437"/>
      <c r="S61" s="437"/>
      <c r="T61" s="437"/>
      <c r="U61" s="437"/>
      <c r="V61" s="437"/>
      <c r="W61" s="437">
        <f>W70-W62-W63-W64-W65</f>
        <v>431.80000000000013</v>
      </c>
      <c r="X61" s="437">
        <f t="shared" ref="X61:AD61" si="13">X70-X62-X63-X64-X65</f>
        <v>378.69999999999982</v>
      </c>
      <c r="Y61" s="437">
        <f t="shared" si="13"/>
        <v>395.99999999999989</v>
      </c>
      <c r="Z61" s="437">
        <f t="shared" si="13"/>
        <v>317.20000000000005</v>
      </c>
      <c r="AA61" s="437">
        <f t="shared" si="13"/>
        <v>357.09999999999985</v>
      </c>
      <c r="AB61" s="437">
        <f t="shared" si="13"/>
        <v>359.69065800000004</v>
      </c>
      <c r="AC61" s="437">
        <f t="shared" si="13"/>
        <v>399.60000000000008</v>
      </c>
      <c r="AD61" s="437">
        <f t="shared" si="13"/>
        <v>400.34709410878224</v>
      </c>
      <c r="AE61" s="437">
        <f>AE70-AE62-AE63-AE64-AE65</f>
        <v>400.42058782805361</v>
      </c>
      <c r="AF61" s="437">
        <f>AF70-AF62-AF63-AF64-AF65</f>
        <v>410.13220377956895</v>
      </c>
      <c r="AG61" s="437">
        <f t="shared" ref="AG61:AJ61" si="14">AG70-AG62-AG63-AG64-AG65</f>
        <v>419.71444451711113</v>
      </c>
      <c r="AH61" s="437">
        <f t="shared" si="14"/>
        <v>430.36467739028376</v>
      </c>
      <c r="AI61" s="437">
        <f t="shared" si="14"/>
        <v>441.42665993565146</v>
      </c>
      <c r="AJ61" s="437">
        <f t="shared" si="14"/>
        <v>452.92089369838016</v>
      </c>
      <c r="AK61" s="437"/>
      <c r="AL61" s="430"/>
      <c r="AM61" s="430"/>
    </row>
    <row r="62" spans="2:39">
      <c r="B62" s="429" t="str">
        <f>B52</f>
        <v>Chile</v>
      </c>
      <c r="C62" s="436"/>
      <c r="D62" s="436"/>
      <c r="E62" s="436"/>
      <c r="F62" s="436"/>
      <c r="G62" s="436"/>
      <c r="H62" s="436"/>
      <c r="I62" s="436"/>
      <c r="J62" s="436"/>
      <c r="K62" s="436"/>
      <c r="L62" s="436"/>
      <c r="M62" s="436"/>
      <c r="N62" s="436"/>
      <c r="O62" s="436"/>
      <c r="P62" s="436"/>
      <c r="Q62" s="437"/>
      <c r="R62" s="437"/>
      <c r="S62" s="437"/>
      <c r="T62" s="437"/>
      <c r="U62" s="437"/>
      <c r="V62" s="437"/>
      <c r="W62" s="437">
        <f>Master!I117</f>
        <v>212.54623921085081</v>
      </c>
      <c r="X62" s="437">
        <f>Master!J117</f>
        <v>206.7</v>
      </c>
      <c r="Y62" s="437">
        <f>Master!K117</f>
        <v>194.625</v>
      </c>
      <c r="Z62" s="437">
        <f>Master!L117</f>
        <v>171.84343434343435</v>
      </c>
      <c r="AA62" s="437">
        <f>Master!M117</f>
        <v>199.1</v>
      </c>
      <c r="AB62" s="437">
        <f>Master!N117</f>
        <v>115.6</v>
      </c>
      <c r="AC62" s="437">
        <f>Master!O117</f>
        <v>0</v>
      </c>
      <c r="AD62" s="437">
        <f>Master!P117</f>
        <v>0</v>
      </c>
      <c r="AE62" s="437">
        <f>Master!Q117</f>
        <v>0</v>
      </c>
      <c r="AF62" s="437">
        <f>Master!R117</f>
        <v>0</v>
      </c>
      <c r="AG62" s="437">
        <f>Master!S117</f>
        <v>0</v>
      </c>
      <c r="AH62" s="437">
        <f>Master!T117</f>
        <v>0</v>
      </c>
      <c r="AI62" s="437">
        <f>Master!U117</f>
        <v>0</v>
      </c>
      <c r="AJ62" s="437">
        <f>Master!V117</f>
        <v>0</v>
      </c>
      <c r="AK62" s="437"/>
      <c r="AL62" s="430"/>
      <c r="AM62" s="430"/>
    </row>
    <row r="63" spans="2:39">
      <c r="B63" s="429" t="str">
        <f>B53</f>
        <v>Puerto Rico / US VI</v>
      </c>
      <c r="C63" s="436"/>
      <c r="D63" s="436"/>
      <c r="E63" s="436"/>
      <c r="F63" s="436"/>
      <c r="G63" s="436"/>
      <c r="H63" s="436"/>
      <c r="I63" s="436"/>
      <c r="J63" s="436"/>
      <c r="K63" s="436"/>
      <c r="L63" s="436"/>
      <c r="M63" s="436"/>
      <c r="N63" s="436"/>
      <c r="O63" s="436"/>
      <c r="P63" s="436"/>
      <c r="Q63" s="437"/>
      <c r="R63" s="437"/>
      <c r="S63" s="437"/>
      <c r="T63" s="437"/>
      <c r="U63" s="437"/>
      <c r="V63" s="437"/>
      <c r="W63" s="437">
        <f>Master!I118</f>
        <v>132.19999999999999</v>
      </c>
      <c r="X63" s="437">
        <f>Master!J118</f>
        <v>161.9</v>
      </c>
      <c r="Y63" s="437">
        <f>Master!K118</f>
        <v>88</v>
      </c>
      <c r="Z63" s="437">
        <f>Master!L118</f>
        <v>95.935000000000002</v>
      </c>
      <c r="AA63" s="437">
        <f>Master!M118</f>
        <v>219.2</v>
      </c>
      <c r="AB63" s="437">
        <f>Master!N118</f>
        <v>233.5</v>
      </c>
      <c r="AC63" s="437">
        <f>Master!O118</f>
        <v>219</v>
      </c>
      <c r="AD63" s="437">
        <f>Master!P118</f>
        <v>204.60844800000004</v>
      </c>
      <c r="AE63" s="437">
        <f>Master!Q118</f>
        <v>212.37460593920002</v>
      </c>
      <c r="AF63" s="437">
        <f>Master!R118</f>
        <v>203.01276048215038</v>
      </c>
      <c r="AG63" s="437">
        <f>Master!S118</f>
        <v>205.35441911181368</v>
      </c>
      <c r="AH63" s="437">
        <f>Master!T118</f>
        <v>207.1638284849036</v>
      </c>
      <c r="AI63" s="437">
        <f>Master!U118</f>
        <v>209.74414654156564</v>
      </c>
      <c r="AJ63" s="437">
        <f>Master!V118</f>
        <v>212.38131917677364</v>
      </c>
      <c r="AK63" s="437"/>
      <c r="AL63" s="430"/>
      <c r="AM63" s="430"/>
    </row>
    <row r="64" spans="2:39">
      <c r="B64" s="429" t="str">
        <f>B54</f>
        <v>Costa Rica</v>
      </c>
      <c r="C64" s="436"/>
      <c r="D64" s="436"/>
      <c r="E64" s="436"/>
      <c r="F64" s="436"/>
      <c r="G64" s="436"/>
      <c r="H64" s="436"/>
      <c r="I64" s="436"/>
      <c r="J64" s="436"/>
      <c r="K64" s="436"/>
      <c r="L64" s="436"/>
      <c r="M64" s="436"/>
      <c r="N64" s="436"/>
      <c r="O64" s="436"/>
      <c r="P64" s="436"/>
      <c r="Q64" s="437"/>
      <c r="R64" s="437"/>
      <c r="S64" s="437"/>
      <c r="T64" s="437"/>
      <c r="U64" s="437"/>
      <c r="V64" s="437"/>
      <c r="W64" s="437">
        <f>Master!I119</f>
        <v>0</v>
      </c>
      <c r="X64" s="437">
        <f>Master!J119</f>
        <v>8</v>
      </c>
      <c r="Y64" s="437">
        <f>Master!K119</f>
        <v>33.174999999999997</v>
      </c>
      <c r="Z64" s="437">
        <f>Master!L119</f>
        <v>24.556565656565652</v>
      </c>
      <c r="AA64" s="437">
        <f>Master!M119</f>
        <v>45</v>
      </c>
      <c r="AB64" s="437">
        <f>Master!N119</f>
        <v>65.7</v>
      </c>
      <c r="AC64" s="437">
        <f>Master!O119</f>
        <v>75.2</v>
      </c>
      <c r="AD64" s="437">
        <f>Master!P119</f>
        <v>84.790169140145139</v>
      </c>
      <c r="AE64" s="437">
        <f>Master!Q119</f>
        <v>83.66072651777823</v>
      </c>
      <c r="AF64" s="437">
        <f>Master!R119</f>
        <v>97.86194119648043</v>
      </c>
      <c r="AG64" s="437">
        <f>Master!S119</f>
        <v>100.25806844988577</v>
      </c>
      <c r="AH64" s="437">
        <f>Master!T119</f>
        <v>102.57210024216899</v>
      </c>
      <c r="AI64" s="437">
        <f>Master!U119</f>
        <v>104.92290678431603</v>
      </c>
      <c r="AJ64" s="437">
        <f>Master!V119</f>
        <v>107.32481433004614</v>
      </c>
      <c r="AK64" s="437"/>
      <c r="AL64" s="430"/>
      <c r="AM64" s="430"/>
    </row>
    <row r="65" spans="2:39">
      <c r="B65" s="429" t="str">
        <f>B55</f>
        <v>Other/elims in CWC</v>
      </c>
      <c r="C65" s="436"/>
      <c r="D65" s="436"/>
      <c r="E65" s="436"/>
      <c r="F65" s="436"/>
      <c r="G65" s="436"/>
      <c r="H65" s="436"/>
      <c r="I65" s="436"/>
      <c r="J65" s="436"/>
      <c r="K65" s="436"/>
      <c r="L65" s="436"/>
      <c r="M65" s="436"/>
      <c r="N65" s="436"/>
      <c r="O65" s="436"/>
      <c r="P65" s="436"/>
      <c r="Q65" s="437"/>
      <c r="R65" s="437"/>
      <c r="S65" s="437"/>
      <c r="T65" s="437"/>
      <c r="U65" s="437"/>
      <c r="V65" s="437"/>
      <c r="W65" s="437">
        <f>Master!I120</f>
        <v>0</v>
      </c>
      <c r="X65" s="437">
        <f>Master!J120</f>
        <v>16.100000000000001</v>
      </c>
      <c r="Y65" s="437">
        <f>Master!K120</f>
        <v>15.3</v>
      </c>
      <c r="Z65" s="437">
        <f>Master!L120</f>
        <v>21.464999999999918</v>
      </c>
      <c r="AA65" s="437">
        <f>Master!M120</f>
        <v>35.5</v>
      </c>
      <c r="AB65" s="437">
        <f>Master!N120</f>
        <v>41.809341999999901</v>
      </c>
      <c r="AC65" s="437">
        <f>Master!O120</f>
        <v>37.099999999999909</v>
      </c>
      <c r="AD65" s="437">
        <f>Master!P120</f>
        <v>25</v>
      </c>
      <c r="AE65" s="437">
        <f>Master!Q120</f>
        <v>25</v>
      </c>
      <c r="AF65" s="437">
        <f>Master!R120</f>
        <v>25</v>
      </c>
      <c r="AG65" s="437">
        <f>Master!S120</f>
        <v>25</v>
      </c>
      <c r="AH65" s="437">
        <f>Master!T120</f>
        <v>25</v>
      </c>
      <c r="AI65" s="437">
        <f>Master!U120</f>
        <v>25</v>
      </c>
      <c r="AJ65" s="437">
        <f>Master!V120</f>
        <v>25</v>
      </c>
      <c r="AK65" s="437"/>
      <c r="AL65" s="430"/>
      <c r="AM65" s="430"/>
    </row>
    <row r="66" spans="2:39">
      <c r="C66" s="436"/>
      <c r="D66" s="436"/>
      <c r="E66" s="436"/>
      <c r="F66" s="436"/>
      <c r="G66" s="436"/>
      <c r="H66" s="436"/>
      <c r="I66" s="436"/>
      <c r="J66" s="436"/>
      <c r="K66" s="436"/>
      <c r="L66" s="436"/>
      <c r="M66" s="436"/>
      <c r="N66" s="436"/>
      <c r="O66" s="436"/>
      <c r="P66" s="436"/>
      <c r="Q66" s="437"/>
      <c r="R66" s="437"/>
      <c r="S66" s="437"/>
      <c r="T66" s="437"/>
      <c r="U66" s="437"/>
      <c r="V66" s="437"/>
      <c r="W66" s="437"/>
      <c r="X66" s="437"/>
      <c r="Y66" s="437"/>
      <c r="Z66" s="437"/>
      <c r="AA66" s="437"/>
      <c r="AB66" s="437"/>
      <c r="AC66" s="437"/>
      <c r="AD66" s="437"/>
      <c r="AE66" s="437"/>
      <c r="AF66" s="437"/>
      <c r="AG66" s="437"/>
      <c r="AH66" s="437"/>
      <c r="AI66" s="437"/>
      <c r="AJ66" s="437"/>
      <c r="AK66" s="437"/>
      <c r="AL66" s="430"/>
      <c r="AM66" s="430"/>
    </row>
    <row r="67" spans="2:39">
      <c r="C67" s="436"/>
      <c r="D67" s="436"/>
      <c r="E67" s="436"/>
      <c r="F67" s="436"/>
      <c r="G67" s="436"/>
      <c r="H67" s="436"/>
      <c r="I67" s="436"/>
      <c r="J67" s="436"/>
      <c r="K67" s="436"/>
      <c r="L67" s="436"/>
      <c r="M67" s="436"/>
      <c r="N67" s="436"/>
      <c r="O67" s="436"/>
      <c r="P67" s="436"/>
      <c r="Q67" s="437"/>
      <c r="R67" s="437"/>
      <c r="S67" s="437"/>
      <c r="T67" s="437"/>
      <c r="U67" s="437"/>
      <c r="V67" s="437"/>
      <c r="W67" s="437"/>
      <c r="X67" s="437"/>
      <c r="Y67" s="437"/>
      <c r="Z67" s="437"/>
      <c r="AA67" s="437"/>
      <c r="AB67" s="437"/>
      <c r="AC67" s="437"/>
      <c r="AD67" s="437"/>
      <c r="AE67" s="437"/>
      <c r="AF67" s="437"/>
      <c r="AG67" s="437"/>
      <c r="AH67" s="437"/>
      <c r="AI67" s="437"/>
      <c r="AJ67" s="437"/>
      <c r="AK67" s="437"/>
      <c r="AL67" s="430"/>
      <c r="AM67" s="430"/>
    </row>
    <row r="68" spans="2:39">
      <c r="C68" s="436"/>
      <c r="D68" s="436"/>
      <c r="E68" s="436"/>
      <c r="F68" s="436"/>
      <c r="G68" s="436"/>
      <c r="H68" s="436"/>
      <c r="I68" s="436"/>
      <c r="J68" s="436"/>
      <c r="K68" s="436"/>
      <c r="L68" s="436"/>
      <c r="M68" s="436"/>
      <c r="N68" s="436"/>
      <c r="O68" s="436"/>
      <c r="P68" s="436"/>
      <c r="Q68" s="437"/>
      <c r="R68" s="437"/>
      <c r="S68" s="437"/>
      <c r="T68" s="437"/>
      <c r="U68" s="437"/>
      <c r="V68" s="437"/>
      <c r="W68" s="437"/>
      <c r="X68" s="437"/>
      <c r="Y68" s="437"/>
      <c r="Z68" s="437"/>
      <c r="AA68" s="437"/>
      <c r="AB68" s="437"/>
      <c r="AC68" s="437"/>
      <c r="AD68" s="437"/>
      <c r="AE68" s="437"/>
      <c r="AF68" s="437"/>
      <c r="AG68" s="437"/>
      <c r="AH68" s="437"/>
      <c r="AI68" s="437"/>
      <c r="AJ68" s="437"/>
      <c r="AK68" s="437"/>
      <c r="AL68" s="430"/>
      <c r="AM68" s="430"/>
    </row>
    <row r="69" spans="2:39">
      <c r="B69" s="518"/>
      <c r="C69" s="446"/>
      <c r="D69" s="446"/>
      <c r="E69" s="446"/>
      <c r="F69" s="446"/>
      <c r="G69" s="446"/>
      <c r="H69" s="446"/>
      <c r="I69" s="446"/>
      <c r="J69" s="446"/>
      <c r="K69" s="446"/>
      <c r="L69" s="446"/>
      <c r="M69" s="446"/>
      <c r="N69" s="446"/>
      <c r="O69" s="446"/>
      <c r="P69" s="446"/>
      <c r="Q69" s="447"/>
      <c r="R69" s="447"/>
      <c r="S69" s="447"/>
      <c r="T69" s="447"/>
      <c r="U69" s="447"/>
      <c r="V69" s="447"/>
      <c r="W69" s="447"/>
      <c r="X69" s="447"/>
      <c r="Y69" s="447"/>
      <c r="Z69" s="447"/>
      <c r="AA69" s="447"/>
      <c r="AB69" s="447"/>
      <c r="AC69" s="447"/>
      <c r="AD69" s="447"/>
      <c r="AE69" s="447"/>
      <c r="AF69" s="447"/>
      <c r="AG69" s="447"/>
      <c r="AH69" s="447"/>
      <c r="AI69" s="447"/>
      <c r="AJ69" s="447"/>
      <c r="AK69" s="516"/>
      <c r="AL69" s="430"/>
      <c r="AM69" s="430"/>
    </row>
    <row r="70" spans="2:39">
      <c r="B70" s="429" t="s">
        <v>1105</v>
      </c>
      <c r="C70" s="436"/>
      <c r="D70" s="436"/>
      <c r="E70" s="436"/>
      <c r="F70" s="436"/>
      <c r="G70" s="436"/>
      <c r="H70" s="436"/>
      <c r="I70" s="436"/>
      <c r="J70" s="436"/>
      <c r="K70" s="436"/>
      <c r="L70" s="436"/>
      <c r="M70" s="436"/>
      <c r="N70" s="436"/>
      <c r="O70" s="436"/>
      <c r="P70" s="436"/>
      <c r="Q70" s="437"/>
      <c r="R70" s="437"/>
      <c r="S70" s="437"/>
      <c r="T70" s="437"/>
      <c r="U70" s="437"/>
      <c r="V70" s="437"/>
      <c r="W70" s="437">
        <f t="shared" ref="W70:AD70" si="15">W24</f>
        <v>776.5462392108509</v>
      </c>
      <c r="X70" s="437">
        <f t="shared" si="15"/>
        <v>771.39999999999986</v>
      </c>
      <c r="Y70" s="437">
        <f t="shared" si="15"/>
        <v>727.09999999999991</v>
      </c>
      <c r="Z70" s="437">
        <f t="shared" si="15"/>
        <v>631</v>
      </c>
      <c r="AA70" s="437">
        <f t="shared" si="15"/>
        <v>855.89999999999986</v>
      </c>
      <c r="AB70" s="437">
        <f t="shared" si="15"/>
        <v>816.3</v>
      </c>
      <c r="AC70" s="437">
        <f t="shared" si="15"/>
        <v>730.9</v>
      </c>
      <c r="AD70" s="437">
        <f t="shared" si="15"/>
        <v>714.74571124892748</v>
      </c>
      <c r="AE70" s="437">
        <f>AE24</f>
        <v>721.45592028503188</v>
      </c>
      <c r="AF70" s="437">
        <f>AF24</f>
        <v>736.00690545819975</v>
      </c>
      <c r="AG70" s="437">
        <f t="shared" ref="AG70:AI70" si="16">AG24</f>
        <v>750.3269320788105</v>
      </c>
      <c r="AH70" s="437">
        <f t="shared" si="16"/>
        <v>765.10060611735639</v>
      </c>
      <c r="AI70" s="437">
        <f t="shared" si="16"/>
        <v>781.09371326153314</v>
      </c>
      <c r="AJ70" s="437">
        <f t="shared" ref="AJ70" si="17">AJ24</f>
        <v>797.62702720519997</v>
      </c>
      <c r="AK70" s="437"/>
      <c r="AL70" s="430"/>
      <c r="AM70" s="430"/>
    </row>
    <row r="71" spans="2:39">
      <c r="C71" s="436"/>
      <c r="D71" s="436"/>
      <c r="E71" s="436"/>
      <c r="F71" s="436"/>
      <c r="G71" s="436"/>
      <c r="H71" s="436"/>
      <c r="I71" s="436"/>
      <c r="J71" s="436"/>
      <c r="K71" s="436"/>
      <c r="L71" s="436"/>
      <c r="M71" s="436"/>
      <c r="N71" s="436"/>
      <c r="O71" s="436"/>
      <c r="P71" s="436"/>
      <c r="Q71" s="437"/>
      <c r="R71" s="437"/>
      <c r="S71" s="437"/>
      <c r="T71" s="437"/>
      <c r="U71" s="437"/>
      <c r="V71" s="437"/>
      <c r="W71" s="437"/>
      <c r="X71" s="437"/>
      <c r="Y71" s="437"/>
      <c r="Z71" s="437"/>
      <c r="AA71" s="437"/>
      <c r="AB71" s="437"/>
      <c r="AC71" s="437"/>
      <c r="AD71" s="437"/>
      <c r="AE71" s="437"/>
      <c r="AF71" s="437"/>
      <c r="AG71" s="437"/>
      <c r="AH71" s="437"/>
      <c r="AI71" s="437"/>
      <c r="AJ71" s="437"/>
      <c r="AK71" s="437"/>
      <c r="AL71" s="430"/>
      <c r="AM71" s="430"/>
    </row>
    <row r="72" spans="2:39">
      <c r="B72" s="429" t="s">
        <v>1244</v>
      </c>
      <c r="C72" s="437"/>
      <c r="D72" s="437"/>
      <c r="E72" s="437"/>
      <c r="F72" s="437"/>
      <c r="G72" s="437"/>
      <c r="H72" s="437"/>
      <c r="I72" s="437"/>
      <c r="J72" s="437"/>
      <c r="K72" s="437"/>
      <c r="L72" s="437"/>
      <c r="M72" s="437"/>
      <c r="N72" s="437"/>
      <c r="O72" s="437"/>
      <c r="P72" s="437"/>
      <c r="Q72" s="437"/>
      <c r="R72" s="437"/>
      <c r="S72" s="437"/>
      <c r="T72" s="437"/>
      <c r="U72" s="437">
        <f>LiLAC!Q72</f>
        <v>1147.1082879223909</v>
      </c>
      <c r="V72" s="437">
        <f>LiLAC!R72</f>
        <v>1124.319952729963</v>
      </c>
      <c r="W72" s="437">
        <f>LiLAC!S72</f>
        <v>1173.3532949045666</v>
      </c>
      <c r="X72" s="437">
        <f ca="1">LiLAC!T72</f>
        <v>1198.3704353665582</v>
      </c>
      <c r="Y72" s="437">
        <f ca="1">LiLAC!U72</f>
        <v>1140.7823082077057</v>
      </c>
      <c r="Z72" s="437">
        <f ca="1">LiLAC!V72</f>
        <v>1213.5444392161176</v>
      </c>
      <c r="AA72" s="437">
        <f ca="1">LiLAC!W72</f>
        <v>1140.7136797555527</v>
      </c>
      <c r="AB72" s="437">
        <f ca="1">LiLAC!X72</f>
        <v>1254.0364503466117</v>
      </c>
      <c r="AC72" s="437">
        <f ca="1">LiLAC!Y72</f>
        <v>1282.7840665978827</v>
      </c>
      <c r="AD72" s="437">
        <f ca="1">LiLAC!Z72</f>
        <v>1325.9606195502465</v>
      </c>
      <c r="AE72" s="437"/>
      <c r="AF72" s="437"/>
      <c r="AG72" s="437"/>
      <c r="AH72" s="437"/>
      <c r="AI72" s="437"/>
      <c r="AJ72" s="437"/>
      <c r="AK72" s="437"/>
      <c r="AL72" s="430"/>
      <c r="AM72" s="430"/>
    </row>
    <row r="73" spans="2:39">
      <c r="B73" s="429" t="s">
        <v>1245</v>
      </c>
      <c r="C73" s="437"/>
      <c r="D73" s="437"/>
      <c r="E73" s="437"/>
      <c r="F73" s="437"/>
      <c r="G73" s="437"/>
      <c r="H73" s="437"/>
      <c r="I73" s="437"/>
      <c r="J73" s="437"/>
      <c r="K73" s="437"/>
      <c r="L73" s="437"/>
      <c r="M73" s="437"/>
      <c r="N73" s="437"/>
      <c r="O73" s="437"/>
      <c r="P73" s="437"/>
      <c r="Q73" s="437"/>
      <c r="R73" s="437"/>
      <c r="S73" s="437"/>
      <c r="T73" s="437"/>
      <c r="U73" s="437">
        <f>LiLAC!Q60</f>
        <v>44.36491622424986</v>
      </c>
      <c r="V73" s="437">
        <f>LiLAC!R60</f>
        <v>53.945745992601729</v>
      </c>
      <c r="W73" s="437">
        <f>LiLAC!S60</f>
        <v>64.442758938409384</v>
      </c>
      <c r="X73" s="437">
        <f>LiLAC!T60</f>
        <v>65.217207208451384</v>
      </c>
      <c r="Y73" s="437">
        <f>LiLAC!U60</f>
        <v>63.279108508331802</v>
      </c>
      <c r="Z73" s="437">
        <f>LiLAC!V60</f>
        <v>71.218525414122126</v>
      </c>
      <c r="AA73" s="437">
        <f>LiLAC!W60</f>
        <v>66.545572925610216</v>
      </c>
      <c r="AB73" s="437">
        <f>LiLAC!X60</f>
        <v>77.363847404100142</v>
      </c>
      <c r="AC73" s="437">
        <f>LiLAC!Y60</f>
        <v>80.593252918811288</v>
      </c>
      <c r="AD73" s="437">
        <f>LiLAC!Z60</f>
        <v>84.761923688229786</v>
      </c>
      <c r="AE73" s="437"/>
      <c r="AF73" s="437"/>
      <c r="AG73" s="437"/>
      <c r="AH73" s="437"/>
      <c r="AI73" s="437"/>
      <c r="AJ73" s="437"/>
      <c r="AK73" s="437"/>
      <c r="AL73" s="430"/>
      <c r="AM73" s="430"/>
    </row>
    <row r="74" spans="2:39">
      <c r="B74" s="429" t="s">
        <v>1246</v>
      </c>
      <c r="C74" s="437"/>
      <c r="D74" s="437"/>
      <c r="E74" s="437"/>
      <c r="F74" s="437"/>
      <c r="G74" s="437"/>
      <c r="H74" s="437"/>
      <c r="I74" s="437"/>
      <c r="J74" s="437"/>
      <c r="K74" s="437"/>
      <c r="L74" s="437"/>
      <c r="M74" s="437"/>
      <c r="N74" s="437"/>
      <c r="O74" s="437"/>
      <c r="P74" s="437"/>
      <c r="Q74" s="437"/>
      <c r="R74" s="437"/>
      <c r="S74" s="437"/>
      <c r="T74" s="437"/>
      <c r="U74" s="437">
        <f>LiLAC!Q61</f>
        <v>39.134399999999999</v>
      </c>
      <c r="V74" s="437">
        <f>LiLAC!R61</f>
        <v>40.699776</v>
      </c>
      <c r="W74" s="437">
        <f>LiLAC!S61</f>
        <v>42.327767040000005</v>
      </c>
      <c r="X74" s="437">
        <f>LiLAC!T61</f>
        <v>44.020877721600009</v>
      </c>
      <c r="Y74" s="437">
        <f>LiLAC!U61</f>
        <v>45.781712830464009</v>
      </c>
      <c r="Z74" s="437">
        <f>LiLAC!V61</f>
        <v>47.61298134368257</v>
      </c>
      <c r="AA74" s="437">
        <f>LiLAC!W61</f>
        <v>49.517500597429873</v>
      </c>
      <c r="AB74" s="437">
        <f>LiLAC!X61</f>
        <v>51.498200621327072</v>
      </c>
      <c r="AC74" s="437">
        <f>LiLAC!Y61</f>
        <v>53.558128646180158</v>
      </c>
      <c r="AD74" s="437">
        <f>LiLAC!Z61</f>
        <v>55.700453792027368</v>
      </c>
      <c r="AE74" s="437"/>
      <c r="AF74" s="437"/>
      <c r="AG74" s="437"/>
      <c r="AH74" s="437"/>
      <c r="AI74" s="437"/>
      <c r="AJ74" s="437"/>
      <c r="AK74" s="437"/>
      <c r="AL74" s="430"/>
      <c r="AM74" s="430"/>
    </row>
    <row r="75" spans="2:39">
      <c r="B75" s="429" t="s">
        <v>1247</v>
      </c>
      <c r="C75" s="447"/>
      <c r="D75" s="447"/>
      <c r="E75" s="447"/>
      <c r="F75" s="447"/>
      <c r="G75" s="447"/>
      <c r="H75" s="447"/>
      <c r="I75" s="447"/>
      <c r="J75" s="447"/>
      <c r="K75" s="447"/>
      <c r="L75" s="447"/>
      <c r="M75" s="447"/>
      <c r="N75" s="447"/>
      <c r="O75" s="447"/>
      <c r="P75" s="447"/>
      <c r="Q75" s="447"/>
      <c r="R75" s="447"/>
      <c r="S75" s="447"/>
      <c r="T75" s="447"/>
      <c r="U75" s="447">
        <f>LiLAC!Q62</f>
        <v>48.801407846674849</v>
      </c>
      <c r="V75" s="447">
        <f>LiLAC!R62</f>
        <v>53.945745992601729</v>
      </c>
      <c r="W75" s="447">
        <f>LiLAC!S62</f>
        <v>55.592755812323844</v>
      </c>
      <c r="X75" s="447">
        <f>LiLAC!T62</f>
        <v>51.798008534850638</v>
      </c>
      <c r="Y75" s="447">
        <f>LiLAC!U62</f>
        <v>46.896818181818183</v>
      </c>
      <c r="Z75" s="447">
        <f>LiLAC!V62</f>
        <v>49.78334507227332</v>
      </c>
      <c r="AA75" s="447">
        <f>LiLAC!W62</f>
        <v>44.264407917525773</v>
      </c>
      <c r="AB75" s="447">
        <f>LiLAC!X62</f>
        <v>49.33126993021277</v>
      </c>
      <c r="AC75" s="447">
        <f>LiLAC!Y62</f>
        <v>49.573364201880153</v>
      </c>
      <c r="AD75" s="447">
        <f>LiLAC!Z62</f>
        <v>50.564831485917757</v>
      </c>
      <c r="AE75" s="447"/>
      <c r="AF75" s="447"/>
      <c r="AG75" s="447"/>
      <c r="AH75" s="447"/>
      <c r="AI75" s="447"/>
      <c r="AJ75" s="447"/>
      <c r="AK75" s="516"/>
      <c r="AL75" s="430"/>
      <c r="AM75" s="430"/>
    </row>
    <row r="76" spans="2:39">
      <c r="B76" s="429" t="s">
        <v>16</v>
      </c>
      <c r="C76" s="437"/>
      <c r="D76" s="437"/>
      <c r="E76" s="437"/>
      <c r="F76" s="437"/>
      <c r="G76" s="437"/>
      <c r="H76" s="437"/>
      <c r="I76" s="437"/>
      <c r="J76" s="437"/>
      <c r="K76" s="437"/>
      <c r="L76" s="437"/>
      <c r="M76" s="437"/>
      <c r="N76" s="437"/>
      <c r="O76" s="437"/>
      <c r="P76" s="437"/>
      <c r="Q76" s="437"/>
      <c r="R76" s="437"/>
      <c r="S76" s="437"/>
      <c r="T76" s="437"/>
      <c r="U76" s="437">
        <f t="shared" ref="U76:AD76" si="18">SUM(U72:U75)</f>
        <v>1279.4090119933155</v>
      </c>
      <c r="V76" s="437">
        <f t="shared" si="18"/>
        <v>1272.9112207151666</v>
      </c>
      <c r="W76" s="437">
        <f t="shared" si="18"/>
        <v>1335.7165766952999</v>
      </c>
      <c r="X76" s="437">
        <f t="shared" ca="1" si="18"/>
        <v>1359.4065288314603</v>
      </c>
      <c r="Y76" s="437">
        <f t="shared" ca="1" si="18"/>
        <v>1296.7399477283195</v>
      </c>
      <c r="Z76" s="437">
        <f t="shared" ca="1" si="18"/>
        <v>1382.1592910461954</v>
      </c>
      <c r="AA76" s="437">
        <f t="shared" ca="1" si="18"/>
        <v>1301.0411611961185</v>
      </c>
      <c r="AB76" s="437">
        <f t="shared" ca="1" si="18"/>
        <v>1432.2297683022516</v>
      </c>
      <c r="AC76" s="437">
        <f t="shared" ca="1" si="18"/>
        <v>1466.5088123647542</v>
      </c>
      <c r="AD76" s="437">
        <f t="shared" ca="1" si="18"/>
        <v>1516.9878285164214</v>
      </c>
      <c r="AE76" s="437"/>
      <c r="AF76" s="437"/>
      <c r="AG76" s="437"/>
      <c r="AH76" s="437"/>
      <c r="AI76" s="437"/>
      <c r="AJ76" s="437"/>
      <c r="AK76" s="437"/>
      <c r="AL76" s="430"/>
      <c r="AM76" s="430"/>
    </row>
    <row r="77" spans="2:39">
      <c r="C77" s="437"/>
      <c r="D77" s="437"/>
      <c r="E77" s="437"/>
      <c r="F77" s="437"/>
      <c r="G77" s="437"/>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0"/>
      <c r="AM77" s="430"/>
    </row>
    <row r="78" spans="2:39">
      <c r="B78" s="434" t="s">
        <v>1248</v>
      </c>
      <c r="C78" s="435"/>
      <c r="D78" s="435"/>
      <c r="E78" s="435"/>
      <c r="F78" s="435"/>
      <c r="G78" s="435"/>
      <c r="H78" s="435"/>
      <c r="I78" s="435"/>
      <c r="J78" s="435"/>
      <c r="K78" s="435"/>
      <c r="L78" s="435"/>
      <c r="M78" s="435"/>
      <c r="N78" s="435"/>
      <c r="O78" s="435"/>
      <c r="P78" s="435"/>
      <c r="Q78" s="435"/>
      <c r="R78" s="435"/>
      <c r="S78" s="435"/>
      <c r="T78" s="435"/>
      <c r="U78" s="435">
        <v>2015</v>
      </c>
      <c r="V78" s="435">
        <v>2016</v>
      </c>
      <c r="W78" s="435">
        <v>2017</v>
      </c>
      <c r="X78" s="435">
        <v>2018</v>
      </c>
      <c r="Y78" s="435">
        <v>2019</v>
      </c>
      <c r="Z78" s="435">
        <v>2020</v>
      </c>
      <c r="AA78" s="435">
        <v>2021</v>
      </c>
      <c r="AB78" s="435">
        <v>2022</v>
      </c>
      <c r="AC78" s="435">
        <v>2023</v>
      </c>
      <c r="AD78" s="435">
        <v>2024</v>
      </c>
      <c r="AE78" s="435">
        <v>2025</v>
      </c>
      <c r="AF78" s="435">
        <v>2026</v>
      </c>
      <c r="AG78" s="435">
        <v>2026</v>
      </c>
      <c r="AH78" s="435">
        <v>2026</v>
      </c>
      <c r="AI78" s="435">
        <v>2026</v>
      </c>
      <c r="AJ78" s="435">
        <v>2026</v>
      </c>
      <c r="AK78" s="1860"/>
      <c r="AL78" s="430"/>
      <c r="AM78" s="430"/>
    </row>
    <row r="79" spans="2:39">
      <c r="B79" s="429" t="s">
        <v>557</v>
      </c>
      <c r="C79" s="437"/>
      <c r="D79" s="437"/>
      <c r="E79" s="437"/>
      <c r="F79" s="437"/>
      <c r="G79" s="437"/>
      <c r="H79" s="437"/>
      <c r="I79" s="437"/>
      <c r="J79" s="437"/>
      <c r="K79" s="437"/>
      <c r="L79" s="437"/>
      <c r="M79" s="437"/>
      <c r="N79" s="437"/>
      <c r="O79" s="437"/>
      <c r="P79" s="437"/>
      <c r="Q79" s="437"/>
      <c r="R79" s="437"/>
      <c r="S79" s="437"/>
      <c r="T79" s="437"/>
      <c r="U79" s="437">
        <f>LiLAC!P4</f>
        <v>4132.2</v>
      </c>
      <c r="V79" s="437">
        <f>LiLAC!Q4</f>
        <v>4308.8999999999996</v>
      </c>
      <c r="W79" s="437">
        <f>LiLAC!R4</f>
        <v>4517</v>
      </c>
      <c r="X79" s="437">
        <f>LiLAC!S4</f>
        <v>4643</v>
      </c>
      <c r="Y79" s="437">
        <f>LiLAC!T4</f>
        <v>4686</v>
      </c>
      <c r="Z79" s="437">
        <f>LiLAC!U4</f>
        <v>4729</v>
      </c>
      <c r="AA79" s="437">
        <f>LiLAC!V4</f>
        <v>4772</v>
      </c>
      <c r="AB79" s="437">
        <f>LiLAC!W4</f>
        <v>4815</v>
      </c>
      <c r="AC79" s="437">
        <f>LiLAC!X4</f>
        <v>4858</v>
      </c>
      <c r="AD79" s="437">
        <f>LiLAC!Y4</f>
        <v>4901</v>
      </c>
      <c r="AE79" s="437"/>
      <c r="AF79" s="437"/>
      <c r="AG79" s="437"/>
      <c r="AH79" s="437"/>
      <c r="AI79" s="437"/>
      <c r="AJ79" s="437"/>
      <c r="AK79" s="437"/>
      <c r="AL79" s="430"/>
      <c r="AM79" s="430"/>
    </row>
    <row r="80" spans="2:39">
      <c r="B80" s="429" t="s">
        <v>54</v>
      </c>
      <c r="C80" s="437"/>
      <c r="D80" s="437"/>
      <c r="E80" s="437"/>
      <c r="F80" s="437"/>
      <c r="G80" s="437"/>
      <c r="H80" s="437"/>
      <c r="I80" s="437"/>
      <c r="J80" s="437"/>
      <c r="K80" s="437"/>
      <c r="L80" s="437"/>
      <c r="M80" s="437"/>
      <c r="N80" s="437"/>
      <c r="O80" s="437"/>
      <c r="P80" s="437"/>
      <c r="Q80" s="437"/>
      <c r="R80" s="437"/>
      <c r="S80" s="437"/>
      <c r="T80" s="437"/>
      <c r="U80" s="437">
        <f>LiLAC!P20</f>
        <v>3495.9</v>
      </c>
      <c r="V80" s="437">
        <f>LiLAC!Q20</f>
        <v>3594.6</v>
      </c>
      <c r="W80" s="437">
        <f ca="1">LiLAC!R20</f>
        <v>3702.2</v>
      </c>
      <c r="X80" s="437">
        <f ca="1">LiLAC!S20</f>
        <v>3781.1610000000001</v>
      </c>
      <c r="Y80" s="437">
        <f ca="1">LiLAC!T20</f>
        <v>3850.5750899999994</v>
      </c>
      <c r="Z80" s="437">
        <f ca="1">LiLAC!U20</f>
        <v>3920.4510705000002</v>
      </c>
      <c r="AA80" s="437">
        <f ca="1">LiLAC!V20</f>
        <v>3990.797915397</v>
      </c>
      <c r="AB80" s="437">
        <f ca="1">LiLAC!W20</f>
        <v>4061.6247754268102</v>
      </c>
      <c r="AC80" s="437">
        <f ca="1">LiLAC!X20</f>
        <v>4132.9409816744346</v>
      </c>
      <c r="AD80" s="437">
        <f ca="1">LiLAC!Y20</f>
        <v>4204.7560491544027</v>
      </c>
      <c r="AE80" s="437"/>
      <c r="AF80" s="437"/>
      <c r="AG80" s="437"/>
      <c r="AH80" s="437"/>
      <c r="AI80" s="437"/>
      <c r="AJ80" s="437"/>
      <c r="AK80" s="437"/>
      <c r="AL80" s="430"/>
      <c r="AM80" s="430"/>
    </row>
    <row r="81" spans="1:39">
      <c r="B81" s="429" t="s">
        <v>1249</v>
      </c>
      <c r="C81" s="437"/>
      <c r="D81" s="437"/>
      <c r="E81" s="437"/>
      <c r="F81" s="437"/>
      <c r="G81" s="437"/>
      <c r="H81" s="437"/>
      <c r="I81" s="437"/>
      <c r="J81" s="437"/>
      <c r="K81" s="437"/>
      <c r="L81" s="437"/>
      <c r="M81" s="437"/>
      <c r="N81" s="437"/>
      <c r="O81" s="437"/>
      <c r="P81" s="437"/>
      <c r="Q81" s="437"/>
      <c r="R81" s="437"/>
      <c r="S81" s="437"/>
      <c r="T81" s="437"/>
      <c r="U81" s="437">
        <f>LiLAC!P10</f>
        <v>1289.9000000000001</v>
      </c>
      <c r="V81" s="437">
        <f>LiLAC!Q10</f>
        <v>1308.5999999999999</v>
      </c>
      <c r="W81" s="437">
        <f>LiLAC!R10</f>
        <v>1328.7</v>
      </c>
      <c r="X81" s="437">
        <f>LiLAC!S10</f>
        <v>1352.6610000000001</v>
      </c>
      <c r="Y81" s="437">
        <f>LiLAC!T10</f>
        <v>1377.07509</v>
      </c>
      <c r="Z81" s="437">
        <f>LiLAC!U10</f>
        <v>1401.9510705000002</v>
      </c>
      <c r="AA81" s="437">
        <f>LiLAC!V10</f>
        <v>1427.297915397</v>
      </c>
      <c r="AB81" s="437">
        <f>LiLAC!W10</f>
        <v>1453.1247754268102</v>
      </c>
      <c r="AC81" s="437">
        <f>LiLAC!X10</f>
        <v>1479.4409816744351</v>
      </c>
      <c r="AD81" s="437">
        <f>LiLAC!Y10</f>
        <v>1506.2560491544034</v>
      </c>
      <c r="AE81" s="437"/>
      <c r="AF81" s="437"/>
      <c r="AG81" s="437"/>
      <c r="AH81" s="437"/>
      <c r="AI81" s="437"/>
      <c r="AJ81" s="437"/>
      <c r="AK81" s="437"/>
      <c r="AL81" s="430"/>
      <c r="AM81" s="430"/>
    </row>
    <row r="82" spans="1:39">
      <c r="B82" s="429" t="s">
        <v>1250</v>
      </c>
      <c r="C82" s="437"/>
      <c r="D82" s="437"/>
      <c r="E82" s="437"/>
      <c r="F82" s="437"/>
      <c r="G82" s="437"/>
      <c r="H82" s="437"/>
      <c r="I82" s="437"/>
      <c r="J82" s="437"/>
      <c r="K82" s="437"/>
      <c r="L82" s="437"/>
      <c r="M82" s="437"/>
      <c r="N82" s="437"/>
      <c r="O82" s="437"/>
      <c r="P82" s="437"/>
      <c r="Q82" s="437"/>
      <c r="R82" s="437"/>
      <c r="S82" s="437"/>
      <c r="T82" s="437"/>
      <c r="U82" s="437">
        <f>LiLAC!P12</f>
        <v>883.9</v>
      </c>
      <c r="V82" s="437">
        <f>LiLAC!Q12</f>
        <v>865.8</v>
      </c>
      <c r="W82" s="437">
        <f ca="1">LiLAC!R12</f>
        <v>847.90000000000009</v>
      </c>
      <c r="X82" s="437">
        <f ca="1">LiLAC!S12</f>
        <v>857.90000000000009</v>
      </c>
      <c r="Y82" s="437">
        <f ca="1">LiLAC!T12</f>
        <v>867.90000000000009</v>
      </c>
      <c r="Z82" s="437">
        <f ca="1">LiLAC!U12</f>
        <v>877.90000000000009</v>
      </c>
      <c r="AA82" s="437">
        <f ca="1">LiLAC!V12</f>
        <v>887.90000000000009</v>
      </c>
      <c r="AB82" s="437">
        <f ca="1">LiLAC!W12</f>
        <v>897.90000000000009</v>
      </c>
      <c r="AC82" s="437">
        <f ca="1">LiLAC!X12</f>
        <v>907.90000000000009</v>
      </c>
      <c r="AD82" s="437">
        <f ca="1">LiLAC!Y12</f>
        <v>917.90000000000009</v>
      </c>
      <c r="AE82" s="437"/>
      <c r="AF82" s="437"/>
      <c r="AG82" s="437"/>
      <c r="AH82" s="437"/>
      <c r="AI82" s="437"/>
      <c r="AJ82" s="437"/>
      <c r="AK82" s="437"/>
      <c r="AL82" s="430"/>
      <c r="AM82" s="430"/>
    </row>
    <row r="83" spans="1:39">
      <c r="B83" s="429" t="s">
        <v>1251</v>
      </c>
      <c r="C83" s="437"/>
      <c r="D83" s="437"/>
      <c r="E83" s="437"/>
      <c r="F83" s="437"/>
      <c r="G83" s="437"/>
      <c r="H83" s="437"/>
      <c r="I83" s="437"/>
      <c r="J83" s="437"/>
      <c r="K83" s="437"/>
      <c r="L83" s="437"/>
      <c r="M83" s="437"/>
      <c r="N83" s="437"/>
      <c r="O83" s="437"/>
      <c r="P83" s="437"/>
      <c r="Q83" s="437"/>
      <c r="R83" s="437"/>
      <c r="S83" s="437"/>
      <c r="T83" s="437"/>
      <c r="U83" s="437">
        <f>LiLAC!P11</f>
        <v>1322.1</v>
      </c>
      <c r="V83" s="437">
        <f>LiLAC!Q11</f>
        <v>1420.2</v>
      </c>
      <c r="W83" s="437">
        <f>LiLAC!R11</f>
        <v>1525.6</v>
      </c>
      <c r="X83" s="437">
        <f>LiLAC!S11</f>
        <v>1570.6</v>
      </c>
      <c r="Y83" s="437">
        <f>LiLAC!T11</f>
        <v>1605.6</v>
      </c>
      <c r="Z83" s="437">
        <f>LiLAC!U11</f>
        <v>1640.6</v>
      </c>
      <c r="AA83" s="437">
        <f>LiLAC!V11</f>
        <v>1675.6</v>
      </c>
      <c r="AB83" s="437">
        <f>LiLAC!W11</f>
        <v>1710.6</v>
      </c>
      <c r="AC83" s="437">
        <f>LiLAC!X11</f>
        <v>1745.6</v>
      </c>
      <c r="AD83" s="437">
        <f>LiLAC!Y11</f>
        <v>1780.6</v>
      </c>
      <c r="AE83" s="437"/>
      <c r="AF83" s="437"/>
      <c r="AG83" s="437"/>
      <c r="AH83" s="437"/>
      <c r="AI83" s="437"/>
      <c r="AJ83" s="437"/>
      <c r="AK83" s="437"/>
      <c r="AL83" s="430"/>
      <c r="AM83" s="430"/>
    </row>
    <row r="84" spans="1:39">
      <c r="B84" s="429" t="s">
        <v>1252</v>
      </c>
      <c r="C84" s="437"/>
      <c r="D84" s="437"/>
      <c r="E84" s="437"/>
      <c r="F84" s="437"/>
      <c r="G84" s="437"/>
      <c r="H84" s="437"/>
      <c r="I84" s="437"/>
      <c r="J84" s="437"/>
      <c r="K84" s="437"/>
      <c r="L84" s="437"/>
      <c r="M84" s="437"/>
      <c r="N84" s="437"/>
      <c r="O84" s="437"/>
      <c r="P84" s="437"/>
      <c r="Q84" s="437"/>
      <c r="R84" s="437"/>
      <c r="S84" s="437"/>
      <c r="T84" s="437"/>
      <c r="U84" s="437">
        <f>LiLAC!P7</f>
        <v>93.8</v>
      </c>
      <c r="V84" s="437">
        <f>LiLAC!Q7</f>
        <v>93.8</v>
      </c>
      <c r="W84" s="437">
        <f>LiLAC!R7</f>
        <v>67.5</v>
      </c>
      <c r="X84" s="437">
        <f>LiLAC!S7</f>
        <v>21.774960000000021</v>
      </c>
      <c r="Y84" s="437">
        <f>LiLAC!T7</f>
        <v>0</v>
      </c>
      <c r="Z84" s="437">
        <f>LiLAC!U7</f>
        <v>0</v>
      </c>
      <c r="AA84" s="437">
        <f>LiLAC!V7</f>
        <v>0</v>
      </c>
      <c r="AB84" s="437">
        <f>LiLAC!W7</f>
        <v>0</v>
      </c>
      <c r="AC84" s="437">
        <f>LiLAC!X7</f>
        <v>0</v>
      </c>
      <c r="AD84" s="437">
        <f>LiLAC!Y7</f>
        <v>0</v>
      </c>
      <c r="AE84" s="437"/>
      <c r="AF84" s="437"/>
      <c r="AG84" s="437"/>
      <c r="AH84" s="437"/>
      <c r="AI84" s="437"/>
      <c r="AJ84" s="437"/>
      <c r="AK84" s="437"/>
      <c r="AL84" s="430"/>
      <c r="AM84" s="430"/>
    </row>
    <row r="85" spans="1:39">
      <c r="B85" s="429" t="s">
        <v>1253</v>
      </c>
      <c r="C85" s="437"/>
      <c r="D85" s="437"/>
      <c r="E85" s="437"/>
      <c r="F85" s="437"/>
      <c r="G85" s="437"/>
      <c r="H85" s="437"/>
      <c r="I85" s="437"/>
      <c r="J85" s="437"/>
      <c r="K85" s="437"/>
      <c r="L85" s="437"/>
      <c r="M85" s="437"/>
      <c r="N85" s="437"/>
      <c r="O85" s="437"/>
      <c r="P85" s="437"/>
      <c r="Q85" s="437"/>
      <c r="R85" s="437"/>
      <c r="S85" s="437"/>
      <c r="T85" s="437"/>
      <c r="U85" s="437">
        <f>LiLAC!P8</f>
        <v>1196.0999999999999</v>
      </c>
      <c r="V85" s="437">
        <f>LiLAC!Q8</f>
        <v>1214.8</v>
      </c>
      <c r="W85" s="437">
        <f>LiLAC!R8</f>
        <v>1261.2</v>
      </c>
      <c r="X85" s="437">
        <f>LiLAC!S8</f>
        <v>1330.8860400000001</v>
      </c>
      <c r="Y85" s="437">
        <f>LiLAC!T8</f>
        <v>1377.07509</v>
      </c>
      <c r="Z85" s="437">
        <f>LiLAC!U8</f>
        <v>1401.9510705000002</v>
      </c>
      <c r="AA85" s="437">
        <f>LiLAC!V8</f>
        <v>1427.297915397</v>
      </c>
      <c r="AB85" s="437">
        <f>LiLAC!W8</f>
        <v>1453.1247754268102</v>
      </c>
      <c r="AC85" s="437">
        <f>LiLAC!X8</f>
        <v>1479.4409816744351</v>
      </c>
      <c r="AD85" s="437">
        <f>LiLAC!Y8</f>
        <v>1506.2560491544034</v>
      </c>
      <c r="AE85" s="437"/>
      <c r="AF85" s="437"/>
      <c r="AG85" s="437"/>
      <c r="AH85" s="437"/>
      <c r="AI85" s="437"/>
      <c r="AJ85" s="437"/>
      <c r="AK85" s="437"/>
      <c r="AL85" s="430"/>
      <c r="AM85" s="430"/>
    </row>
    <row r="86" spans="1:39">
      <c r="B86" s="429" t="s">
        <v>1254</v>
      </c>
      <c r="C86" s="437"/>
      <c r="D86" s="437"/>
      <c r="E86" s="437"/>
      <c r="F86" s="437"/>
      <c r="G86" s="437"/>
      <c r="H86" s="437"/>
      <c r="I86" s="437"/>
      <c r="J86" s="437"/>
      <c r="K86" s="437"/>
      <c r="L86" s="437"/>
      <c r="M86" s="437"/>
      <c r="N86" s="437"/>
      <c r="O86" s="437"/>
      <c r="P86" s="437"/>
      <c r="Q86" s="437"/>
      <c r="R86" s="437"/>
      <c r="S86" s="437"/>
      <c r="T86" s="437"/>
      <c r="U86" s="437">
        <f>LiLAC!P13</f>
        <v>132</v>
      </c>
      <c r="V86" s="437">
        <f>LiLAC!Q13</f>
        <v>166.2</v>
      </c>
      <c r="W86" s="437">
        <f>LiLAC!R13</f>
        <v>214.9</v>
      </c>
      <c r="X86" s="437">
        <f>LiLAC!S13</f>
        <v>244.9</v>
      </c>
      <c r="Y86" s="437">
        <f>LiLAC!T13</f>
        <v>274.89999999999998</v>
      </c>
      <c r="Z86" s="437">
        <f>LiLAC!U13</f>
        <v>304.89999999999998</v>
      </c>
      <c r="AA86" s="437">
        <f>LiLAC!V13</f>
        <v>334.9</v>
      </c>
      <c r="AB86" s="437">
        <f>LiLAC!W13</f>
        <v>364.9</v>
      </c>
      <c r="AC86" s="437">
        <f>LiLAC!X13</f>
        <v>394.9</v>
      </c>
      <c r="AD86" s="437">
        <f>LiLAC!Y13</f>
        <v>424.9</v>
      </c>
      <c r="AE86" s="437"/>
      <c r="AF86" s="437"/>
      <c r="AG86" s="437"/>
      <c r="AH86" s="437"/>
      <c r="AI86" s="437"/>
      <c r="AJ86" s="437"/>
      <c r="AK86" s="437"/>
      <c r="AL86" s="430"/>
      <c r="AM86" s="430"/>
    </row>
    <row r="87" spans="1:39">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0"/>
      <c r="AM87" s="430"/>
    </row>
    <row r="88" spans="1:39">
      <c r="A88" s="429" t="s">
        <v>72</v>
      </c>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0"/>
      <c r="AM88" s="430"/>
    </row>
    <row r="89" spans="1:39">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0"/>
      <c r="AM89" s="430"/>
    </row>
    <row r="90" spans="1:39">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0"/>
      <c r="AM90" s="430"/>
    </row>
    <row r="91" spans="1:39">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0"/>
      <c r="AM91" s="430"/>
    </row>
    <row r="92" spans="1:39">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0"/>
      <c r="AM92" s="430"/>
    </row>
    <row r="93" spans="1:39">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0"/>
      <c r="AM93" s="430"/>
    </row>
    <row r="94" spans="1:39">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0"/>
      <c r="AM94" s="430"/>
    </row>
    <row r="95" spans="1:39">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0"/>
      <c r="AM95" s="430"/>
    </row>
    <row r="96" spans="1:39">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0"/>
      <c r="AM96" s="430"/>
    </row>
    <row r="97" spans="2:39">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0"/>
      <c r="AM97" s="430"/>
    </row>
    <row r="98" spans="2:39">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0"/>
      <c r="AM98" s="430"/>
    </row>
    <row r="99" spans="2:39">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c r="AM99" s="430"/>
    </row>
    <row r="100" spans="2:39">
      <c r="B100" s="434" t="s">
        <v>1255</v>
      </c>
      <c r="C100" s="435"/>
      <c r="D100" s="435"/>
      <c r="E100" s="435"/>
      <c r="F100" s="435"/>
      <c r="G100" s="435"/>
      <c r="H100" s="435"/>
      <c r="I100" s="435"/>
      <c r="J100" s="435"/>
      <c r="K100" s="435"/>
      <c r="L100" s="435"/>
      <c r="M100" s="435"/>
      <c r="N100" s="435"/>
      <c r="O100" s="435"/>
      <c r="P100" s="435"/>
      <c r="Q100" s="435"/>
      <c r="R100" s="435"/>
      <c r="S100" s="435"/>
      <c r="T100" s="435"/>
      <c r="U100" s="435">
        <v>2015</v>
      </c>
      <c r="V100" s="435">
        <v>2016</v>
      </c>
      <c r="W100" s="435">
        <v>2017</v>
      </c>
      <c r="X100" s="435">
        <v>2018</v>
      </c>
      <c r="Y100" s="435">
        <v>2019</v>
      </c>
      <c r="Z100" s="435">
        <v>2020</v>
      </c>
      <c r="AA100" s="435">
        <v>2021</v>
      </c>
      <c r="AB100" s="435">
        <v>2022</v>
      </c>
      <c r="AC100" s="435">
        <v>2023</v>
      </c>
      <c r="AD100" s="435">
        <v>2024</v>
      </c>
      <c r="AE100" s="435">
        <v>2025</v>
      </c>
      <c r="AF100" s="435">
        <v>2026</v>
      </c>
      <c r="AG100" s="435">
        <v>2026</v>
      </c>
      <c r="AH100" s="435">
        <v>2026</v>
      </c>
      <c r="AI100" s="435">
        <v>2026</v>
      </c>
      <c r="AJ100" s="435">
        <v>2026</v>
      </c>
      <c r="AK100" s="1860"/>
      <c r="AL100" s="430"/>
      <c r="AM100" s="430"/>
    </row>
    <row r="101" spans="2:39">
      <c r="B101" s="448" t="s">
        <v>788</v>
      </c>
      <c r="C101" s="436"/>
      <c r="D101" s="436"/>
      <c r="E101" s="436"/>
      <c r="F101" s="437"/>
      <c r="G101" s="437"/>
      <c r="H101" s="437"/>
      <c r="I101" s="437"/>
      <c r="J101" s="437"/>
      <c r="K101" s="437"/>
      <c r="L101" s="437"/>
      <c r="M101" s="437"/>
      <c r="N101" s="437"/>
      <c r="O101" s="437"/>
      <c r="P101" s="437"/>
      <c r="Q101" s="437"/>
      <c r="R101" s="437"/>
      <c r="S101" s="437"/>
      <c r="T101" s="437"/>
      <c r="U101" s="437">
        <f>Master!G502</f>
        <v>259</v>
      </c>
      <c r="V101" s="437">
        <f>Master!H502</f>
        <v>311.89999999999998</v>
      </c>
      <c r="W101" s="437" t="e">
        <f>Master!I502</f>
        <v>#REF!</v>
      </c>
      <c r="X101" s="437" t="e">
        <f>Master!J502</f>
        <v>#REF!</v>
      </c>
      <c r="Y101" s="437">
        <f>Master!K502</f>
        <v>1229.5</v>
      </c>
      <c r="Z101" s="437">
        <f>Master!L502</f>
        <v>1066.2999999999993</v>
      </c>
      <c r="AA101" s="437">
        <f>Master!M502</f>
        <v>2144.8999999999996</v>
      </c>
      <c r="AB101" s="437">
        <f>Master!N502</f>
        <v>183.30000000000018</v>
      </c>
      <c r="AC101" s="437">
        <f>Master!O502</f>
        <v>183.40000000000055</v>
      </c>
      <c r="AD101" s="437">
        <f>Master!P502</f>
        <v>183.40000000000055</v>
      </c>
      <c r="AE101" s="437">
        <f>Master!Q502</f>
        <v>183.40000000000055</v>
      </c>
      <c r="AF101" s="437">
        <f>Master!R502</f>
        <v>183.40000000000055</v>
      </c>
      <c r="AG101" s="437">
        <f>Master!S502</f>
        <v>183.40000000000055</v>
      </c>
      <c r="AH101" s="437">
        <f>Master!T502</f>
        <v>183.40000000000055</v>
      </c>
      <c r="AI101" s="437">
        <f>Master!U502</f>
        <v>183.40000000000055</v>
      </c>
      <c r="AJ101" s="437">
        <f>Master!V502</f>
        <v>183.40000000000055</v>
      </c>
      <c r="AK101" s="437"/>
      <c r="AL101" s="430"/>
      <c r="AM101" s="430"/>
    </row>
    <row r="102" spans="2:39">
      <c r="B102" s="448" t="s">
        <v>739</v>
      </c>
      <c r="C102" s="436"/>
      <c r="D102" s="436"/>
      <c r="E102" s="436"/>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0"/>
      <c r="AM102" s="430"/>
    </row>
    <row r="103" spans="2:39">
      <c r="B103" s="448" t="s">
        <v>1256</v>
      </c>
      <c r="C103" s="436"/>
      <c r="D103" s="436"/>
      <c r="E103" s="436"/>
      <c r="F103" s="437"/>
      <c r="G103" s="437"/>
      <c r="H103" s="437"/>
      <c r="I103" s="437"/>
      <c r="J103" s="437"/>
      <c r="K103" s="437"/>
      <c r="L103" s="437"/>
      <c r="M103" s="437"/>
      <c r="N103" s="437"/>
      <c r="O103" s="437"/>
      <c r="P103" s="437"/>
      <c r="Q103" s="437"/>
      <c r="R103" s="437"/>
      <c r="S103" s="437"/>
      <c r="T103" s="437"/>
      <c r="U103" s="437">
        <f>U104-U101</f>
        <v>4411.1100141043726</v>
      </c>
      <c r="V103" s="437" t="e">
        <f t="shared" ref="V103:AD103" si="19">V104-V101</f>
        <v>#REF!</v>
      </c>
      <c r="W103" s="437" t="e">
        <f t="shared" si="19"/>
        <v>#REF!</v>
      </c>
      <c r="X103" s="437" t="e">
        <f t="shared" si="19"/>
        <v>#REF!</v>
      </c>
      <c r="Y103" s="437">
        <f t="shared" si="19"/>
        <v>7286.6</v>
      </c>
      <c r="Z103" s="437">
        <f t="shared" si="19"/>
        <v>7290.6</v>
      </c>
      <c r="AA103" s="437">
        <f t="shared" si="19"/>
        <v>7055.6</v>
      </c>
      <c r="AB103" s="437">
        <f t="shared" si="19"/>
        <v>7470.5</v>
      </c>
      <c r="AC103" s="437">
        <f t="shared" si="19"/>
        <v>8064.3</v>
      </c>
      <c r="AD103" s="437">
        <f t="shared" si="19"/>
        <v>7829</v>
      </c>
      <c r="AE103" s="437">
        <f>AE104-AE101</f>
        <v>7858</v>
      </c>
      <c r="AF103" s="437">
        <f>AF104-AF101</f>
        <v>7893</v>
      </c>
      <c r="AG103" s="437">
        <f t="shared" ref="AG103:AJ103" si="20">AG104-AG101</f>
        <v>7893</v>
      </c>
      <c r="AH103" s="437">
        <f t="shared" si="20"/>
        <v>7893</v>
      </c>
      <c r="AI103" s="437">
        <f t="shared" si="20"/>
        <v>7893</v>
      </c>
      <c r="AJ103" s="437">
        <f t="shared" si="20"/>
        <v>7893</v>
      </c>
      <c r="AK103" s="437"/>
      <c r="AL103" s="430"/>
      <c r="AM103" s="430"/>
    </row>
    <row r="104" spans="2:39">
      <c r="B104" s="448" t="s">
        <v>711</v>
      </c>
      <c r="C104" s="436"/>
      <c r="D104" s="436"/>
      <c r="E104" s="436"/>
      <c r="F104" s="437"/>
      <c r="G104" s="437"/>
      <c r="H104" s="437"/>
      <c r="I104" s="437"/>
      <c r="J104" s="437"/>
      <c r="K104" s="437"/>
      <c r="L104" s="437"/>
      <c r="M104" s="437"/>
      <c r="N104" s="437"/>
      <c r="O104" s="437"/>
      <c r="P104" s="437"/>
      <c r="Q104" s="437"/>
      <c r="R104" s="437"/>
      <c r="S104" s="437"/>
      <c r="T104" s="437"/>
      <c r="U104" s="437">
        <f>Master!G527</f>
        <v>4670.1100141043726</v>
      </c>
      <c r="V104" s="437" t="e">
        <f>Master!H527</f>
        <v>#REF!</v>
      </c>
      <c r="W104" s="437">
        <f>Master!I527</f>
        <v>6515</v>
      </c>
      <c r="X104" s="437">
        <f>Master!J527</f>
        <v>6724</v>
      </c>
      <c r="Y104" s="437">
        <f>Master!K527</f>
        <v>8516.1</v>
      </c>
      <c r="Z104" s="437">
        <f>Master!L527</f>
        <v>8356.9</v>
      </c>
      <c r="AA104" s="437">
        <f>Master!M527</f>
        <v>9200.5</v>
      </c>
      <c r="AB104" s="437">
        <f>Master!N527</f>
        <v>7653.8</v>
      </c>
      <c r="AC104" s="437">
        <f>Master!O527</f>
        <v>8247.7000000000007</v>
      </c>
      <c r="AD104" s="437">
        <f>Master!P527</f>
        <v>8012.4000000000005</v>
      </c>
      <c r="AE104" s="437">
        <f>Master!Q527</f>
        <v>8041.4000000000005</v>
      </c>
      <c r="AF104" s="437">
        <f>Master!R527</f>
        <v>8076.4000000000005</v>
      </c>
      <c r="AG104" s="437">
        <f>Master!S527</f>
        <v>8076.4000000000005</v>
      </c>
      <c r="AH104" s="437">
        <f>Master!T527</f>
        <v>8076.4000000000005</v>
      </c>
      <c r="AI104" s="437">
        <f>Master!U527</f>
        <v>8076.4000000000005</v>
      </c>
      <c r="AJ104" s="437">
        <f>Master!V527</f>
        <v>8076.4000000000005</v>
      </c>
      <c r="AK104" s="437"/>
      <c r="AL104" s="430"/>
      <c r="AM104" s="430"/>
    </row>
    <row r="105" spans="2:39">
      <c r="B105" s="448" t="s">
        <v>1257</v>
      </c>
      <c r="C105" s="436"/>
      <c r="D105" s="436"/>
      <c r="E105" s="436"/>
      <c r="F105" s="437"/>
      <c r="G105" s="437"/>
      <c r="H105" s="437"/>
      <c r="I105" s="437"/>
      <c r="J105" s="437"/>
      <c r="K105" s="437"/>
      <c r="L105" s="437"/>
      <c r="M105" s="437"/>
      <c r="N105" s="437"/>
      <c r="O105" s="437"/>
      <c r="P105" s="437"/>
      <c r="Q105" s="437"/>
      <c r="R105" s="437"/>
      <c r="S105" s="437"/>
      <c r="T105" s="437"/>
      <c r="U105" s="437" t="e">
        <f ca="1">Master!G309</f>
        <v>#DIV/0!</v>
      </c>
      <c r="V105" s="437">
        <f>Master!H309</f>
        <v>552.6</v>
      </c>
      <c r="W105" s="437">
        <f>Master!I309</f>
        <v>529.9</v>
      </c>
      <c r="X105" s="437">
        <f>Master!J309</f>
        <v>658</v>
      </c>
      <c r="Y105" s="437">
        <f>Master!K309</f>
        <v>2456</v>
      </c>
      <c r="Z105" s="437">
        <f>Master!L309</f>
        <v>575.5</v>
      </c>
      <c r="AA105" s="437">
        <f>Master!M309</f>
        <v>1169.4000000000001</v>
      </c>
      <c r="AB105" s="437">
        <f>Master!N309</f>
        <v>1384.3</v>
      </c>
      <c r="AC105" s="437">
        <f>Master!O309</f>
        <v>996.6</v>
      </c>
      <c r="AD105" s="437">
        <f ca="1">Master!P309</f>
        <v>846.96808829055954</v>
      </c>
      <c r="AE105" s="437">
        <f ca="1">Master!Q309</f>
        <v>1074.9534328396085</v>
      </c>
      <c r="AF105" s="437">
        <f ca="1">Master!R309</f>
        <v>1274.4896894454014</v>
      </c>
      <c r="AG105" s="437">
        <f ca="1">Master!S309</f>
        <v>1417.0964441814549</v>
      </c>
      <c r="AH105" s="437">
        <f ca="1">Master!T309</f>
        <v>1546.7487182433133</v>
      </c>
      <c r="AI105" s="437">
        <f ca="1">Master!U309</f>
        <v>1741.6754063883081</v>
      </c>
      <c r="AJ105" s="437">
        <f ca="1">Master!V309</f>
        <v>1954.7641081350621</v>
      </c>
      <c r="AK105" s="437"/>
      <c r="AL105" s="430"/>
      <c r="AM105" s="430"/>
    </row>
    <row r="106" spans="2:39">
      <c r="B106" s="448" t="s">
        <v>115</v>
      </c>
      <c r="C106" s="436"/>
      <c r="D106" s="436"/>
      <c r="E106" s="436"/>
      <c r="F106" s="437"/>
      <c r="G106" s="437"/>
      <c r="H106" s="437"/>
      <c r="I106" s="437"/>
      <c r="J106" s="437"/>
      <c r="K106" s="437"/>
      <c r="L106" s="437"/>
      <c r="M106" s="437"/>
      <c r="N106" s="437"/>
      <c r="O106" s="437"/>
      <c r="P106" s="437"/>
      <c r="Q106" s="437"/>
      <c r="R106" s="437"/>
      <c r="S106" s="437"/>
      <c r="T106" s="437"/>
      <c r="U106" s="437" t="e">
        <f ca="1">Master!G310</f>
        <v>#DIV/0!</v>
      </c>
      <c r="V106" s="437" t="e">
        <f>Master!H310</f>
        <v>#REF!</v>
      </c>
      <c r="W106" s="437">
        <f>Master!I310</f>
        <v>5985.1</v>
      </c>
      <c r="X106" s="437">
        <f>Master!J310</f>
        <v>6066</v>
      </c>
      <c r="Y106" s="437">
        <f>Master!K310</f>
        <v>6060.1</v>
      </c>
      <c r="Z106" s="437">
        <f>Master!L310</f>
        <v>7781.4</v>
      </c>
      <c r="AA106" s="437">
        <f>Master!M310</f>
        <v>8031.1</v>
      </c>
      <c r="AB106" s="437">
        <f>Master!N310</f>
        <v>6269.5</v>
      </c>
      <c r="AC106" s="437">
        <f>Master!O310</f>
        <v>7251.1</v>
      </c>
      <c r="AD106" s="437">
        <f ca="1">Master!P310</f>
        <v>7165.431911709441</v>
      </c>
      <c r="AE106" s="437">
        <f ca="1">Master!Q310</f>
        <v>6966.4465671603921</v>
      </c>
      <c r="AF106" s="437">
        <f ca="1">Master!R310</f>
        <v>6801.9103105545983</v>
      </c>
      <c r="AG106" s="437">
        <f ca="1">Master!S310</f>
        <v>6659.3035558185456</v>
      </c>
      <c r="AH106" s="437">
        <f ca="1">Master!T310</f>
        <v>6529.6512817566863</v>
      </c>
      <c r="AI106" s="437">
        <f ca="1">Master!U310</f>
        <v>6334.7245936116924</v>
      </c>
      <c r="AJ106" s="437">
        <f ca="1">Master!V310</f>
        <v>6121.6358918643555</v>
      </c>
      <c r="AK106" s="437"/>
      <c r="AL106" s="430"/>
      <c r="AM106" s="430"/>
    </row>
    <row r="107" spans="2:39">
      <c r="B107" s="448"/>
      <c r="C107" s="436"/>
      <c r="D107" s="436"/>
      <c r="E107" s="436"/>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0"/>
      <c r="AM107" s="430"/>
    </row>
    <row r="108" spans="2:39">
      <c r="B108" s="448" t="s">
        <v>8</v>
      </c>
      <c r="C108" s="436"/>
      <c r="D108" s="436"/>
      <c r="E108" s="436"/>
      <c r="F108" s="437"/>
      <c r="G108" s="437"/>
      <c r="H108" s="437"/>
      <c r="I108" s="437"/>
      <c r="J108" s="437"/>
      <c r="K108" s="437"/>
      <c r="L108" s="437"/>
      <c r="M108" s="437"/>
      <c r="N108" s="437"/>
      <c r="O108" s="437"/>
      <c r="P108" s="437"/>
      <c r="Q108" s="437"/>
      <c r="R108" s="437"/>
      <c r="S108" s="437"/>
      <c r="T108" s="437"/>
      <c r="U108" s="437">
        <f>Master!G74</f>
        <v>0</v>
      </c>
      <c r="V108" s="437">
        <f>Master!H74</f>
        <v>1448.600076899188</v>
      </c>
      <c r="W108" s="437">
        <f>Master!I74</f>
        <v>1367.1</v>
      </c>
      <c r="X108" s="437">
        <f>Master!J74</f>
        <v>1412.5717613715995</v>
      </c>
      <c r="Y108" s="437">
        <f>Master!K74</f>
        <v>1506.5</v>
      </c>
      <c r="Z108" s="437">
        <f>Master!L74</f>
        <v>1485</v>
      </c>
      <c r="AA108" s="437">
        <f>Master!M74</f>
        <v>1818.4935611038109</v>
      </c>
      <c r="AB108" s="437">
        <f>Master!N74</f>
        <v>1718</v>
      </c>
      <c r="AC108" s="437">
        <f>Master!O74</f>
        <v>1701.6</v>
      </c>
      <c r="AD108" s="437">
        <f>Master!P74</f>
        <v>1579.0990335466222</v>
      </c>
      <c r="AE108" s="437">
        <f>Master!Q74</f>
        <v>1802.8296324342652</v>
      </c>
      <c r="AF108" s="437">
        <f>Master!R74</f>
        <v>1887.8361378059224</v>
      </c>
      <c r="AG108" s="437">
        <f>Master!S74</f>
        <v>1945.9434392102044</v>
      </c>
      <c r="AH108" s="437">
        <f>Master!T74</f>
        <v>2001.7655162215337</v>
      </c>
      <c r="AI108" s="437">
        <f>Master!U74</f>
        <v>2047.0473245054468</v>
      </c>
      <c r="AJ108" s="437">
        <f>Master!V74</f>
        <v>2093.9095377424046</v>
      </c>
      <c r="AK108" s="437"/>
      <c r="AL108" s="430"/>
      <c r="AM108" s="430"/>
    </row>
    <row r="109" spans="2:39">
      <c r="B109" s="448" t="s">
        <v>159</v>
      </c>
      <c r="C109" s="436"/>
      <c r="D109" s="436"/>
      <c r="E109" s="436"/>
      <c r="F109" s="437"/>
      <c r="G109" s="437"/>
      <c r="H109" s="437"/>
      <c r="I109" s="437"/>
      <c r="J109" s="437"/>
      <c r="K109" s="437"/>
      <c r="L109" s="437"/>
      <c r="M109" s="437"/>
      <c r="N109" s="437"/>
      <c r="O109" s="437"/>
      <c r="P109" s="437"/>
      <c r="Q109" s="437"/>
      <c r="R109" s="437"/>
      <c r="S109" s="437"/>
      <c r="T109" s="437"/>
      <c r="U109" s="437">
        <f>-Master!G295</f>
        <v>-311.28112720225403</v>
      </c>
      <c r="V109" s="437">
        <f>-Master!H295</f>
        <v>-380.38262198519038</v>
      </c>
      <c r="W109" s="437">
        <f>-Master!I295</f>
        <v>-381.8</v>
      </c>
      <c r="X109" s="437">
        <f>-Master!J295</f>
        <v>-443.7</v>
      </c>
      <c r="Y109" s="437">
        <f>-Master!K295</f>
        <v>-499.2</v>
      </c>
      <c r="Z109" s="437">
        <f>-Master!L295</f>
        <v>-533.4</v>
      </c>
      <c r="AA109" s="437">
        <f>-Master!M295</f>
        <v>-527.4</v>
      </c>
      <c r="AB109" s="437">
        <f>-Master!N295</f>
        <v>-556.70000000000005</v>
      </c>
      <c r="AC109" s="437">
        <f>-Master!O295</f>
        <v>-601.70000000000005</v>
      </c>
      <c r="AD109" s="437">
        <f>-Master!P295</f>
        <v>-628.57175000000018</v>
      </c>
      <c r="AE109" s="437">
        <f>-Master!Q295</f>
        <v>-663.43200000000013</v>
      </c>
      <c r="AF109" s="437">
        <f>-Master!R295</f>
        <v>-723.59650000000011</v>
      </c>
      <c r="AG109" s="437">
        <f>-Master!S295</f>
        <v>-723.59650000000011</v>
      </c>
      <c r="AH109" s="437">
        <f>-Master!T295</f>
        <v>-723.59650000000011</v>
      </c>
      <c r="AI109" s="437">
        <f>-Master!U295</f>
        <v>-723.59650000000011</v>
      </c>
      <c r="AJ109" s="437">
        <f>-Master!V295</f>
        <v>-723.59650000000011</v>
      </c>
      <c r="AK109" s="437"/>
      <c r="AL109" s="430"/>
      <c r="AM109" s="430"/>
    </row>
    <row r="110" spans="2:39">
      <c r="B110" s="448" t="s">
        <v>155</v>
      </c>
      <c r="C110" s="436"/>
      <c r="D110" s="436"/>
      <c r="E110" s="436"/>
      <c r="F110" s="437"/>
      <c r="G110" s="437"/>
      <c r="H110" s="437"/>
      <c r="I110" s="437"/>
      <c r="J110" s="437"/>
      <c r="K110" s="437"/>
      <c r="L110" s="437"/>
      <c r="M110" s="437"/>
      <c r="N110" s="437"/>
      <c r="O110" s="437"/>
      <c r="P110" s="437"/>
      <c r="Q110" s="437"/>
      <c r="R110" s="437"/>
      <c r="S110" s="437"/>
      <c r="T110" s="437"/>
      <c r="U110" s="437" t="e">
        <f ca="1">Master!G290</f>
        <v>#DIV/0!</v>
      </c>
      <c r="V110" s="437" t="e">
        <f ca="1">Master!H290</f>
        <v>#DIV/0!</v>
      </c>
      <c r="W110" s="437">
        <f>Master!I290</f>
        <v>0</v>
      </c>
      <c r="X110" s="437">
        <f>Master!J290</f>
        <v>0</v>
      </c>
      <c r="Y110" s="437">
        <f>Master!K290</f>
        <v>0</v>
      </c>
      <c r="Z110" s="437">
        <f>Master!L290</f>
        <v>0</v>
      </c>
      <c r="AA110" s="437">
        <f>Master!M290</f>
        <v>0</v>
      </c>
      <c r="AB110" s="437">
        <f>Master!N290</f>
        <v>0</v>
      </c>
      <c r="AC110" s="437">
        <f>Master!O290</f>
        <v>59.522500000000008</v>
      </c>
      <c r="AD110" s="437">
        <f ca="1">Master!P290</f>
        <v>9.2178404414527986</v>
      </c>
      <c r="AE110" s="437">
        <f ca="1">Master!Q290</f>
        <v>9.6096076056508419</v>
      </c>
      <c r="AF110" s="437">
        <f ca="1">Master!R290</f>
        <v>11.747215611425052</v>
      </c>
      <c r="AG110" s="437">
        <f ca="1">Master!S290</f>
        <v>13.457930668134283</v>
      </c>
      <c r="AH110" s="437">
        <f ca="1">Master!T290</f>
        <v>14.819225812123843</v>
      </c>
      <c r="AI110" s="437">
        <f ca="1">Master!U290</f>
        <v>16.442120623156516</v>
      </c>
      <c r="AJ110" s="437">
        <f ca="1">Master!V290</f>
        <v>18.482197572608712</v>
      </c>
      <c r="AK110" s="437"/>
      <c r="AL110" s="430"/>
      <c r="AM110" s="430"/>
    </row>
    <row r="111" spans="2:39">
      <c r="B111" s="448" t="s">
        <v>1258</v>
      </c>
      <c r="C111" s="436"/>
      <c r="D111" s="436"/>
      <c r="E111" s="436"/>
      <c r="F111" s="437"/>
      <c r="G111" s="437"/>
      <c r="H111" s="437"/>
      <c r="I111" s="437"/>
      <c r="J111" s="437"/>
      <c r="K111" s="437"/>
      <c r="L111" s="437"/>
      <c r="M111" s="437"/>
      <c r="N111" s="437"/>
      <c r="O111" s="437"/>
      <c r="P111" s="437"/>
      <c r="Q111" s="437"/>
      <c r="R111" s="437"/>
      <c r="S111" s="437"/>
      <c r="T111" s="437"/>
      <c r="U111" s="437">
        <f>Master!G18</f>
        <v>0</v>
      </c>
      <c r="V111" s="437" t="e">
        <f ca="1">Master!H18</f>
        <v>#DIV/0!</v>
      </c>
      <c r="W111" s="437">
        <f>Master!I18</f>
        <v>-381.8</v>
      </c>
      <c r="X111" s="437">
        <f>Master!J18</f>
        <v>-443.7</v>
      </c>
      <c r="Y111" s="437">
        <f>Master!K18</f>
        <v>-499.2</v>
      </c>
      <c r="Z111" s="437">
        <f>Master!L18</f>
        <v>-533.4</v>
      </c>
      <c r="AA111" s="437">
        <f>Master!M18</f>
        <v>-527.4</v>
      </c>
      <c r="AB111" s="437">
        <f>Master!N18</f>
        <v>-556.70000000000005</v>
      </c>
      <c r="AC111" s="437">
        <f>Master!O18</f>
        <v>-601.70000000000005</v>
      </c>
      <c r="AD111" s="437">
        <f ca="1">Master!P18</f>
        <v>-619.35390955854734</v>
      </c>
      <c r="AE111" s="437">
        <f ca="1">Master!Q18</f>
        <v>-653.82239239434932</v>
      </c>
      <c r="AF111" s="437">
        <f ca="1">Master!R18</f>
        <v>-711.84928438857503</v>
      </c>
      <c r="AG111" s="437">
        <f ca="1">Master!S18</f>
        <v>-710.13856933186617</v>
      </c>
      <c r="AH111" s="437">
        <f ca="1">Master!T18</f>
        <v>-708.7772741878789</v>
      </c>
      <c r="AI111" s="437">
        <f ca="1">Master!U18</f>
        <v>-707.15437937685056</v>
      </c>
      <c r="AJ111" s="437">
        <f ca="1">Master!V18</f>
        <v>-705.11430242739686</v>
      </c>
      <c r="AK111" s="437"/>
      <c r="AL111" s="430"/>
      <c r="AM111" s="430"/>
    </row>
    <row r="112" spans="2:39">
      <c r="B112" s="448"/>
      <c r="C112" s="436"/>
      <c r="D112" s="436"/>
      <c r="E112" s="436"/>
      <c r="F112" s="437"/>
      <c r="G112" s="437"/>
      <c r="H112" s="437"/>
      <c r="I112" s="437"/>
      <c r="J112" s="437"/>
      <c r="K112" s="437"/>
      <c r="L112" s="437"/>
      <c r="M112" s="437"/>
      <c r="N112" s="437"/>
      <c r="O112" s="437"/>
      <c r="P112" s="437"/>
      <c r="Q112" s="437"/>
      <c r="R112" s="437"/>
      <c r="S112" s="437"/>
      <c r="T112" s="437"/>
      <c r="U112" s="437"/>
      <c r="V112" s="437"/>
      <c r="W112" s="437"/>
      <c r="X112" s="437"/>
      <c r="Y112" s="437"/>
      <c r="Z112" s="436"/>
      <c r="AA112" s="436"/>
      <c r="AB112" s="436"/>
      <c r="AC112" s="436"/>
      <c r="AD112" s="436"/>
      <c r="AE112" s="436"/>
      <c r="AF112" s="436"/>
      <c r="AG112" s="436"/>
      <c r="AH112" s="436"/>
      <c r="AI112" s="436"/>
      <c r="AJ112" s="436"/>
      <c r="AK112" s="436"/>
      <c r="AL112" s="430"/>
      <c r="AM112" s="430"/>
    </row>
    <row r="113" spans="2:39">
      <c r="B113" s="448" t="s">
        <v>1259</v>
      </c>
      <c r="C113" s="436"/>
      <c r="D113" s="436"/>
      <c r="E113" s="436"/>
      <c r="F113" s="437"/>
      <c r="G113" s="437"/>
      <c r="H113" s="437"/>
      <c r="I113" s="437"/>
      <c r="J113" s="437"/>
      <c r="K113" s="437"/>
      <c r="L113" s="437"/>
      <c r="M113" s="437"/>
      <c r="N113" s="437"/>
      <c r="O113" s="437"/>
      <c r="P113" s="437"/>
      <c r="Q113" s="437"/>
      <c r="R113" s="437"/>
      <c r="S113" s="437"/>
      <c r="T113" s="437"/>
      <c r="U113" s="437">
        <f>Master!G558</f>
        <v>0</v>
      </c>
      <c r="V113" s="437">
        <f>Master!H558</f>
        <v>0</v>
      </c>
      <c r="W113" s="437">
        <f>Master!I558</f>
        <v>0</v>
      </c>
      <c r="X113" s="437">
        <f>Master!J558</f>
        <v>318</v>
      </c>
      <c r="Y113" s="437">
        <f>Master!K558</f>
        <v>0</v>
      </c>
      <c r="Z113" s="437">
        <f>Master!L558</f>
        <v>1260</v>
      </c>
      <c r="AA113" s="437">
        <f>Master!M558</f>
        <v>0</v>
      </c>
      <c r="AB113" s="437">
        <f>Master!N558</f>
        <v>0</v>
      </c>
      <c r="AC113" s="437">
        <f>Master!O558</f>
        <v>0</v>
      </c>
      <c r="AD113" s="437">
        <f>Master!P558</f>
        <v>1935.3</v>
      </c>
      <c r="AE113" s="437">
        <f>Master!Q558</f>
        <v>2671</v>
      </c>
      <c r="AF113" s="437">
        <f>Master!R558</f>
        <v>2465</v>
      </c>
      <c r="AG113" s="437">
        <f>Master!S558</f>
        <v>0</v>
      </c>
      <c r="AH113" s="437">
        <f>Master!T558</f>
        <v>0</v>
      </c>
      <c r="AI113" s="437">
        <f>Master!U558</f>
        <v>0</v>
      </c>
      <c r="AJ113" s="437">
        <f>Master!V558</f>
        <v>0</v>
      </c>
      <c r="AK113" s="437"/>
      <c r="AL113" s="430"/>
      <c r="AM113" s="430"/>
    </row>
    <row r="114" spans="2:39">
      <c r="B114" s="448"/>
      <c r="C114" s="436"/>
      <c r="D114" s="436"/>
      <c r="E114" s="436"/>
      <c r="F114" s="437"/>
      <c r="G114" s="437"/>
      <c r="H114" s="437"/>
      <c r="I114" s="437"/>
      <c r="J114" s="437"/>
      <c r="K114" s="437"/>
      <c r="L114" s="437"/>
      <c r="M114" s="437"/>
      <c r="N114" s="437"/>
      <c r="O114" s="437"/>
      <c r="P114" s="437"/>
      <c r="Q114" s="437"/>
      <c r="R114" s="437"/>
      <c r="S114" s="437"/>
      <c r="T114" s="437"/>
      <c r="U114" s="437"/>
      <c r="V114" s="437"/>
      <c r="W114" s="437"/>
      <c r="X114" s="437"/>
      <c r="Y114" s="437"/>
      <c r="Z114" s="436"/>
      <c r="AA114" s="436"/>
      <c r="AB114" s="436"/>
      <c r="AC114" s="436"/>
      <c r="AD114" s="436"/>
      <c r="AE114" s="436"/>
      <c r="AF114" s="436"/>
      <c r="AG114" s="436"/>
      <c r="AH114" s="436"/>
      <c r="AI114" s="436"/>
      <c r="AJ114" s="436"/>
      <c r="AK114" s="436"/>
      <c r="AL114" s="430"/>
      <c r="AM114" s="430"/>
    </row>
    <row r="115" spans="2:39">
      <c r="B115" s="448" t="s">
        <v>19</v>
      </c>
      <c r="C115" s="436"/>
      <c r="D115" s="436"/>
      <c r="E115" s="436"/>
      <c r="F115" s="437"/>
      <c r="G115" s="437"/>
      <c r="H115" s="437"/>
      <c r="I115" s="437"/>
      <c r="J115" s="437"/>
      <c r="K115" s="437"/>
      <c r="L115" s="437"/>
      <c r="M115" s="437"/>
      <c r="N115" s="437"/>
      <c r="O115" s="437"/>
      <c r="P115" s="437"/>
      <c r="Q115" s="437"/>
      <c r="R115" s="437"/>
      <c r="S115" s="437"/>
      <c r="T115" s="437"/>
      <c r="U115" s="437">
        <f>Master!G121</f>
        <v>0</v>
      </c>
      <c r="V115" s="437">
        <f>Master!H121</f>
        <v>0</v>
      </c>
      <c r="W115" s="437">
        <f>Master!I121</f>
        <v>776.5462392108509</v>
      </c>
      <c r="X115" s="437">
        <f>Master!J121</f>
        <v>771.39999999999986</v>
      </c>
      <c r="Y115" s="437">
        <f>Master!K121</f>
        <v>727.09999999999991</v>
      </c>
      <c r="Z115" s="437">
        <f>Master!L121</f>
        <v>631</v>
      </c>
      <c r="AA115" s="437">
        <f>Master!M121</f>
        <v>855.89999999999986</v>
      </c>
      <c r="AB115" s="437">
        <f>Master!N121</f>
        <v>816.3</v>
      </c>
      <c r="AC115" s="437">
        <f>Master!O121</f>
        <v>730.9</v>
      </c>
      <c r="AD115" s="437">
        <f>Master!P121</f>
        <v>714.74571124892748</v>
      </c>
      <c r="AE115" s="437">
        <f>Master!Q121</f>
        <v>721.45592028503188</v>
      </c>
      <c r="AF115" s="437">
        <f>Master!R121</f>
        <v>736.00690545819975</v>
      </c>
      <c r="AG115" s="437">
        <f>Master!S121</f>
        <v>750.3269320788105</v>
      </c>
      <c r="AH115" s="437">
        <f>Master!T121</f>
        <v>765.10060611735639</v>
      </c>
      <c r="AI115" s="437">
        <f>Master!U121</f>
        <v>781.09371326153314</v>
      </c>
      <c r="AJ115" s="437">
        <f>Master!V121</f>
        <v>797.62702720519997</v>
      </c>
      <c r="AK115" s="437"/>
      <c r="AL115" s="430"/>
      <c r="AM115" s="430"/>
    </row>
    <row r="116" spans="2:39">
      <c r="B116" s="448"/>
      <c r="C116" s="436"/>
      <c r="D116" s="436"/>
      <c r="E116" s="436"/>
      <c r="F116" s="437"/>
      <c r="G116" s="437"/>
      <c r="H116" s="437"/>
      <c r="I116" s="437"/>
      <c r="J116" s="437"/>
      <c r="K116" s="437"/>
      <c r="L116" s="437"/>
      <c r="M116" s="437"/>
      <c r="N116" s="437"/>
      <c r="O116" s="437"/>
      <c r="P116" s="437"/>
      <c r="Q116" s="437"/>
      <c r="R116" s="437"/>
      <c r="S116" s="437"/>
      <c r="T116" s="437"/>
      <c r="U116" s="437"/>
      <c r="V116" s="437"/>
      <c r="W116" s="437"/>
      <c r="X116" s="437"/>
      <c r="Y116" s="437"/>
      <c r="Z116" s="436"/>
      <c r="AA116" s="436"/>
      <c r="AB116" s="436"/>
      <c r="AC116" s="436"/>
      <c r="AD116" s="436"/>
      <c r="AE116" s="436"/>
      <c r="AF116" s="436"/>
      <c r="AG116" s="436"/>
      <c r="AH116" s="436"/>
      <c r="AI116" s="436"/>
      <c r="AJ116" s="436"/>
      <c r="AK116" s="436"/>
      <c r="AL116" s="430"/>
      <c r="AM116" s="430"/>
    </row>
    <row r="117" spans="2:39">
      <c r="B117" s="448"/>
      <c r="C117" s="436"/>
      <c r="D117" s="436"/>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6"/>
      <c r="AA117" s="436"/>
      <c r="AB117" s="436"/>
      <c r="AC117" s="436"/>
      <c r="AD117" s="436"/>
      <c r="AE117" s="436"/>
      <c r="AF117" s="436"/>
      <c r="AG117" s="436"/>
      <c r="AH117" s="436"/>
      <c r="AI117" s="436"/>
      <c r="AJ117" s="436"/>
      <c r="AK117" s="436"/>
      <c r="AL117" s="430"/>
      <c r="AM117" s="430"/>
    </row>
    <row r="118" spans="2:39">
      <c r="B118" s="448" t="s">
        <v>1260</v>
      </c>
      <c r="C118" s="436"/>
      <c r="D118" s="436"/>
      <c r="E118" s="437"/>
      <c r="F118" s="449"/>
      <c r="G118" s="449"/>
      <c r="H118" s="449"/>
      <c r="I118" s="449"/>
      <c r="J118" s="449"/>
      <c r="K118" s="449"/>
      <c r="L118" s="449"/>
      <c r="M118" s="449"/>
      <c r="N118" s="449"/>
      <c r="O118" s="449"/>
      <c r="P118" s="449"/>
      <c r="Q118" s="449"/>
      <c r="R118" s="449"/>
      <c r="S118" s="449"/>
      <c r="T118" s="449"/>
      <c r="U118" s="449" t="e">
        <f t="shared" ref="U118:AD118" si="21">U101/U108</f>
        <v>#DIV/0!</v>
      </c>
      <c r="V118" s="449">
        <f t="shared" si="21"/>
        <v>0.21531132365230846</v>
      </c>
      <c r="W118" s="449" t="e">
        <f t="shared" si="21"/>
        <v>#REF!</v>
      </c>
      <c r="X118" s="449" t="e">
        <f t="shared" si="21"/>
        <v>#REF!</v>
      </c>
      <c r="Y118" s="449">
        <f t="shared" si="21"/>
        <v>0.81613010288748755</v>
      </c>
      <c r="Z118" s="449">
        <f t="shared" si="21"/>
        <v>0.7180471380471376</v>
      </c>
      <c r="AA118" s="449">
        <f t="shared" si="21"/>
        <v>1.1794927658132937</v>
      </c>
      <c r="AB118" s="449">
        <f t="shared" si="21"/>
        <v>0.10669383003492444</v>
      </c>
      <c r="AC118" s="449">
        <f t="shared" si="21"/>
        <v>0.10778091208274598</v>
      </c>
      <c r="AD118" s="449">
        <f t="shared" si="21"/>
        <v>0.11614217734532338</v>
      </c>
      <c r="AE118" s="449">
        <f>AE101/AE108</f>
        <v>0.10172896911638026</v>
      </c>
      <c r="AF118" s="449">
        <f>AF101/AF108</f>
        <v>9.7148262143742711E-2</v>
      </c>
      <c r="AG118" s="449">
        <f t="shared" ref="AG118:AI118" si="22">AG101/AG108</f>
        <v>9.4247343630109157E-2</v>
      </c>
      <c r="AH118" s="449">
        <f t="shared" si="22"/>
        <v>9.1619122476532769E-2</v>
      </c>
      <c r="AI118" s="449">
        <f t="shared" si="22"/>
        <v>8.959245729421951E-2</v>
      </c>
      <c r="AJ118" s="449">
        <f t="shared" ref="AJ118" si="23">AJ101/AJ108</f>
        <v>8.758735594553782E-2</v>
      </c>
      <c r="AK118" s="449"/>
      <c r="AL118" s="430"/>
      <c r="AM118" s="430"/>
    </row>
    <row r="119" spans="2:39">
      <c r="B119" s="448" t="s">
        <v>1261</v>
      </c>
      <c r="C119" s="436"/>
      <c r="D119" s="436"/>
      <c r="E119" s="436"/>
      <c r="F119" s="449"/>
      <c r="G119" s="449"/>
      <c r="H119" s="449"/>
      <c r="I119" s="449"/>
      <c r="J119" s="449"/>
      <c r="K119" s="449"/>
      <c r="L119" s="449"/>
      <c r="M119" s="449"/>
      <c r="N119" s="449"/>
      <c r="O119" s="449"/>
      <c r="P119" s="449"/>
      <c r="Q119" s="449"/>
      <c r="R119" s="449"/>
      <c r="S119" s="449"/>
      <c r="T119" s="449"/>
      <c r="U119" s="449" t="e">
        <f t="shared" ref="U119:AD119" si="24">U104/U108</f>
        <v>#DIV/0!</v>
      </c>
      <c r="V119" s="449" t="e">
        <f t="shared" si="24"/>
        <v>#REF!</v>
      </c>
      <c r="W119" s="449">
        <f t="shared" si="24"/>
        <v>4.7655621388340288</v>
      </c>
      <c r="X119" s="449">
        <f t="shared" si="24"/>
        <v>4.7601121471315784</v>
      </c>
      <c r="Y119" s="449">
        <f t="shared" si="24"/>
        <v>5.6529040823099903</v>
      </c>
      <c r="Z119" s="449">
        <f t="shared" si="24"/>
        <v>5.6275420875420874</v>
      </c>
      <c r="AA119" s="449">
        <f t="shared" si="24"/>
        <v>5.0594075210337124</v>
      </c>
      <c r="AB119" s="449">
        <f t="shared" si="24"/>
        <v>4.4550640279394642</v>
      </c>
      <c r="AC119" s="449">
        <f t="shared" si="24"/>
        <v>4.8470263281617312</v>
      </c>
      <c r="AD119" s="449">
        <f t="shared" si="24"/>
        <v>5.0740326159305686</v>
      </c>
      <c r="AE119" s="449">
        <f>AE104/AE108</f>
        <v>4.460432564081013</v>
      </c>
      <c r="AF119" s="449">
        <f>AF104/AF108</f>
        <v>4.2781255418632576</v>
      </c>
      <c r="AG119" s="449">
        <f t="shared" ref="AG119:AI119" si="25">AG104/AG108</f>
        <v>4.1503775686707272</v>
      </c>
      <c r="AH119" s="449">
        <f t="shared" si="25"/>
        <v>4.0346383902370073</v>
      </c>
      <c r="AI119" s="449">
        <f t="shared" si="25"/>
        <v>3.9453899786861086</v>
      </c>
      <c r="AJ119" s="449">
        <f t="shared" ref="AJ119" si="26">AJ104/AJ108</f>
        <v>3.8570911753464534</v>
      </c>
      <c r="AK119" s="449"/>
      <c r="AL119" s="430"/>
      <c r="AM119" s="430"/>
    </row>
    <row r="120" spans="2:39">
      <c r="B120" s="448" t="s">
        <v>1262</v>
      </c>
      <c r="C120" s="436"/>
      <c r="D120" s="436"/>
      <c r="E120" s="436"/>
      <c r="F120" s="449"/>
      <c r="G120" s="449"/>
      <c r="H120" s="449"/>
      <c r="I120" s="449"/>
      <c r="J120" s="449"/>
      <c r="K120" s="449"/>
      <c r="L120" s="449"/>
      <c r="M120" s="449"/>
      <c r="N120" s="449"/>
      <c r="O120" s="449"/>
      <c r="P120" s="449"/>
      <c r="Q120" s="449"/>
      <c r="R120" s="449"/>
      <c r="S120" s="449"/>
      <c r="T120" s="449"/>
      <c r="U120" s="449" t="e">
        <f t="shared" ref="U120:AD120" ca="1" si="27">U106/U108</f>
        <v>#DIV/0!</v>
      </c>
      <c r="V120" s="449" t="e">
        <f t="shared" si="27"/>
        <v>#REF!</v>
      </c>
      <c r="W120" s="449">
        <f t="shared" si="27"/>
        <v>4.3779533318703834</v>
      </c>
      <c r="X120" s="449">
        <f t="shared" si="27"/>
        <v>4.2942951047739673</v>
      </c>
      <c r="Y120" s="449">
        <f t="shared" si="27"/>
        <v>4.0226352472618654</v>
      </c>
      <c r="Z120" s="449">
        <f t="shared" si="27"/>
        <v>5.2399999999999993</v>
      </c>
      <c r="AA120" s="449">
        <f t="shared" si="27"/>
        <v>4.4163477791613337</v>
      </c>
      <c r="AB120" s="449">
        <f t="shared" si="27"/>
        <v>3.6493015133876603</v>
      </c>
      <c r="AC120" s="449">
        <f t="shared" si="27"/>
        <v>4.261342266102492</v>
      </c>
      <c r="AD120" s="449">
        <f t="shared" ca="1" si="27"/>
        <v>4.5376710133347595</v>
      </c>
      <c r="AE120" s="449">
        <f ca="1">AE106/AE108</f>
        <v>3.8641735424295023</v>
      </c>
      <c r="AF120" s="449">
        <f ca="1">AF106/AF108</f>
        <v>3.6030194434459246</v>
      </c>
      <c r="AG120" s="449">
        <f t="shared" ref="AG120:AI120" ca="1" si="28">AG106/AG108</f>
        <v>3.4221465134265885</v>
      </c>
      <c r="AH120" s="449">
        <f t="shared" ca="1" si="28"/>
        <v>3.2619461314738998</v>
      </c>
      <c r="AI120" s="449">
        <f t="shared" ca="1" si="28"/>
        <v>3.0945667536739143</v>
      </c>
      <c r="AJ120" s="449">
        <f t="shared" ref="AJ120" ca="1" si="29">AJ106/AJ108</f>
        <v>2.9235436304781981</v>
      </c>
      <c r="AK120" s="449"/>
      <c r="AL120" s="430"/>
      <c r="AM120" s="430"/>
    </row>
    <row r="121" spans="2:39">
      <c r="B121" s="448"/>
      <c r="C121" s="436"/>
      <c r="D121" s="436"/>
      <c r="E121" s="437"/>
      <c r="F121" s="449"/>
      <c r="G121" s="449"/>
      <c r="H121" s="449"/>
      <c r="I121" s="449"/>
      <c r="J121" s="449"/>
      <c r="K121" s="449"/>
      <c r="L121" s="449"/>
      <c r="M121" s="449"/>
      <c r="N121" s="449"/>
      <c r="O121" s="449"/>
      <c r="P121" s="449"/>
      <c r="Q121" s="449"/>
      <c r="R121" s="449"/>
      <c r="S121" s="449"/>
      <c r="T121" s="449"/>
      <c r="U121" s="449"/>
      <c r="V121" s="449"/>
      <c r="W121" s="449"/>
      <c r="X121" s="449"/>
      <c r="Y121" s="449"/>
      <c r="Z121" s="436"/>
      <c r="AA121" s="436"/>
      <c r="AB121" s="436"/>
      <c r="AC121" s="436"/>
      <c r="AD121" s="436"/>
      <c r="AE121" s="436"/>
      <c r="AF121" s="436"/>
      <c r="AG121" s="436"/>
      <c r="AH121" s="436"/>
      <c r="AI121" s="436"/>
      <c r="AJ121" s="436"/>
      <c r="AK121" s="436"/>
      <c r="AL121" s="430"/>
      <c r="AM121" s="430"/>
    </row>
    <row r="122" spans="2:39">
      <c r="B122" s="448" t="s">
        <v>1263</v>
      </c>
      <c r="C122" s="436"/>
      <c r="D122" s="436"/>
      <c r="E122" s="437"/>
      <c r="F122" s="449"/>
      <c r="G122" s="449"/>
      <c r="H122" s="449"/>
      <c r="I122" s="449"/>
      <c r="J122" s="449"/>
      <c r="K122" s="449"/>
      <c r="L122" s="449"/>
      <c r="M122" s="449"/>
      <c r="N122" s="449"/>
      <c r="O122" s="449"/>
      <c r="P122" s="449"/>
      <c r="Q122" s="449"/>
      <c r="R122" s="449"/>
      <c r="S122" s="449"/>
      <c r="T122" s="449"/>
      <c r="U122" s="449" t="e">
        <f t="shared" ref="U122:AD122" si="30">U108/U111</f>
        <v>#DIV/0!</v>
      </c>
      <c r="V122" s="449" t="e">
        <f t="shared" ca="1" si="30"/>
        <v>#DIV/0!</v>
      </c>
      <c r="W122" s="449">
        <f t="shared" si="30"/>
        <v>-3.5806705081194341</v>
      </c>
      <c r="X122" s="449">
        <f t="shared" si="30"/>
        <v>-3.1836190249528951</v>
      </c>
      <c r="Y122" s="449">
        <f t="shared" si="30"/>
        <v>-3.0178285256410255</v>
      </c>
      <c r="Z122" s="449">
        <f t="shared" si="30"/>
        <v>-2.7840269966254221</v>
      </c>
      <c r="AA122" s="449">
        <f t="shared" si="30"/>
        <v>-3.4480348143796187</v>
      </c>
      <c r="AB122" s="449">
        <f t="shared" si="30"/>
        <v>-3.0860427519310218</v>
      </c>
      <c r="AC122" s="449">
        <f t="shared" si="30"/>
        <v>-2.8279873691208239</v>
      </c>
      <c r="AD122" s="449">
        <f t="shared" ca="1" si="30"/>
        <v>-2.5495908061226995</v>
      </c>
      <c r="AE122" s="449">
        <f ca="1">AE108/AE111</f>
        <v>-2.7573690552753334</v>
      </c>
      <c r="AF122" s="449">
        <f ca="1">AF108/AF111</f>
        <v>-2.6520166265636291</v>
      </c>
      <c r="AG122" s="449">
        <f t="shared" ref="AG122:AI122" ca="1" si="31">AG108/AG111</f>
        <v>-2.740230601812045</v>
      </c>
      <c r="AH122" s="449">
        <f t="shared" ca="1" si="31"/>
        <v>-2.8242518335751781</v>
      </c>
      <c r="AI122" s="449">
        <f t="shared" ca="1" si="31"/>
        <v>-2.8947672307556371</v>
      </c>
      <c r="AJ122" s="449">
        <f t="shared" ref="AJ122" ca="1" si="32">AJ108/AJ111</f>
        <v>-2.9696029856918229</v>
      </c>
      <c r="AK122" s="449"/>
      <c r="AL122" s="430"/>
      <c r="AM122" s="430"/>
    </row>
    <row r="123" spans="2:39">
      <c r="B123" s="448" t="s">
        <v>1264</v>
      </c>
      <c r="C123" s="436"/>
      <c r="D123" s="436"/>
      <c r="E123" s="436"/>
      <c r="F123" s="449"/>
      <c r="G123" s="449"/>
      <c r="H123" s="449"/>
      <c r="I123" s="449"/>
      <c r="J123" s="449"/>
      <c r="K123" s="449"/>
      <c r="L123" s="449"/>
      <c r="M123" s="449"/>
      <c r="N123" s="449"/>
      <c r="O123" s="449"/>
      <c r="P123" s="449"/>
      <c r="Q123" s="449"/>
      <c r="R123" s="449"/>
      <c r="S123" s="449"/>
      <c r="T123" s="449"/>
      <c r="U123" s="449" t="e">
        <f t="shared" ref="U123:AD123" si="33">(U108-U115)/U111</f>
        <v>#DIV/0!</v>
      </c>
      <c r="V123" s="449" t="e">
        <f t="shared" ca="1" si="33"/>
        <v>#DIV/0!</v>
      </c>
      <c r="W123" s="449">
        <f t="shared" si="33"/>
        <v>-1.5467620764514116</v>
      </c>
      <c r="X123" s="449">
        <f t="shared" si="33"/>
        <v>-1.4450569334496273</v>
      </c>
      <c r="Y123" s="449">
        <f t="shared" si="33"/>
        <v>-1.5612980769230771</v>
      </c>
      <c r="Z123" s="449">
        <f t="shared" si="33"/>
        <v>-1.6010498687664043</v>
      </c>
      <c r="AA123" s="449">
        <f t="shared" si="33"/>
        <v>-1.8251679201816668</v>
      </c>
      <c r="AB123" s="449">
        <f t="shared" si="33"/>
        <v>-1.6197233698580922</v>
      </c>
      <c r="AC123" s="449">
        <f t="shared" si="33"/>
        <v>-1.6132624231344521</v>
      </c>
      <c r="AD123" s="449">
        <f t="shared" ca="1" si="33"/>
        <v>-1.3955725619198462</v>
      </c>
      <c r="AE123" s="449">
        <f ca="1">(AE108-AE115)/AE111</f>
        <v>-1.6539257827942497</v>
      </c>
      <c r="AF123" s="449">
        <f ca="1">(AF108-AF115)/AF111</f>
        <v>-1.6180801998516543</v>
      </c>
      <c r="AG123" s="449">
        <f t="shared" ref="AG123:AI123" ca="1" si="34">(AG108-AG115)/AG111</f>
        <v>-1.6836383190062325</v>
      </c>
      <c r="AH123" s="449">
        <f t="shared" ca="1" si="34"/>
        <v>-1.7447863456417323</v>
      </c>
      <c r="AI123" s="449">
        <f t="shared" ca="1" si="34"/>
        <v>-1.7902082602662814</v>
      </c>
      <c r="AJ123" s="449">
        <f t="shared" ref="AJ123" ca="1" si="35">(AJ108-AJ115)/AJ111</f>
        <v>-1.8384005346008114</v>
      </c>
      <c r="AK123" s="449"/>
      <c r="AL123" s="430"/>
      <c r="AM123" s="430"/>
    </row>
    <row r="124" spans="2:39">
      <c r="B124" s="448"/>
      <c r="C124" s="436"/>
      <c r="D124" s="436"/>
      <c r="E124" s="436"/>
      <c r="F124" s="449"/>
      <c r="G124" s="449"/>
      <c r="H124" s="449"/>
      <c r="I124" s="449"/>
      <c r="J124" s="449"/>
      <c r="K124" s="449"/>
      <c r="L124" s="449"/>
      <c r="M124" s="449"/>
      <c r="N124" s="449"/>
      <c r="O124" s="449"/>
      <c r="P124" s="449"/>
      <c r="Q124" s="449"/>
      <c r="R124" s="449"/>
      <c r="S124" s="449"/>
      <c r="T124" s="449"/>
      <c r="U124" s="449"/>
      <c r="V124" s="449"/>
      <c r="W124" s="449"/>
      <c r="X124" s="449"/>
      <c r="Y124" s="449"/>
      <c r="Z124" s="436"/>
      <c r="AA124" s="436"/>
      <c r="AB124" s="436"/>
      <c r="AC124" s="436"/>
      <c r="AD124" s="436"/>
      <c r="AE124" s="436"/>
      <c r="AF124" s="436"/>
      <c r="AG124" s="436"/>
      <c r="AH124" s="436"/>
      <c r="AI124" s="436"/>
      <c r="AJ124" s="436"/>
      <c r="AK124" s="436"/>
      <c r="AL124" s="430"/>
      <c r="AM124" s="430"/>
    </row>
    <row r="125" spans="2:39">
      <c r="B125" s="448" t="s">
        <v>1265</v>
      </c>
      <c r="C125" s="436"/>
      <c r="D125" s="436"/>
      <c r="E125" s="436"/>
      <c r="F125" s="449"/>
      <c r="G125" s="449"/>
      <c r="H125" s="449"/>
      <c r="I125" s="449"/>
      <c r="J125" s="449"/>
      <c r="K125" s="449"/>
      <c r="L125" s="449"/>
      <c r="M125" s="449"/>
      <c r="N125" s="449"/>
      <c r="O125" s="449"/>
      <c r="P125" s="449"/>
      <c r="Q125" s="449"/>
      <c r="R125" s="449"/>
      <c r="S125" s="449"/>
      <c r="T125" s="449"/>
      <c r="U125" s="449" t="e">
        <f t="shared" ref="U125:AD125" si="36">(U108-U115)/(U111+U113)</f>
        <v>#DIV/0!</v>
      </c>
      <c r="V125" s="449" t="e">
        <f t="shared" ca="1" si="36"/>
        <v>#DIV/0!</v>
      </c>
      <c r="W125" s="449">
        <f t="shared" si="36"/>
        <v>-1.5467620764514116</v>
      </c>
      <c r="X125" s="449">
        <f t="shared" si="36"/>
        <v>-5.100809557451071</v>
      </c>
      <c r="Y125" s="449">
        <f t="shared" si="36"/>
        <v>-1.5612980769230771</v>
      </c>
      <c r="Z125" s="449">
        <f t="shared" si="36"/>
        <v>1.1753371868978806</v>
      </c>
      <c r="AA125" s="449">
        <f t="shared" si="36"/>
        <v>-1.8251679201816668</v>
      </c>
      <c r="AB125" s="449">
        <f t="shared" si="36"/>
        <v>-1.6197233698580922</v>
      </c>
      <c r="AC125" s="449">
        <f t="shared" si="36"/>
        <v>-1.6132624231344521</v>
      </c>
      <c r="AD125" s="449">
        <f t="shared" ca="1" si="36"/>
        <v>0.65683034326104894</v>
      </c>
      <c r="AE125" s="449">
        <f ca="1">(AE108-AE115)/(AE111+AE113)</f>
        <v>0.53608254824561641</v>
      </c>
      <c r="AF125" s="449">
        <f ca="1">(AF108-AF115)/(AF111+AF113)</f>
        <v>0.65700525464863602</v>
      </c>
      <c r="AG125" s="449">
        <f t="shared" ref="AG125:AI125" ca="1" si="37">(AG108-AG115)/(AG111+AG113)</f>
        <v>-1.6836383190062325</v>
      </c>
      <c r="AH125" s="449">
        <f t="shared" ca="1" si="37"/>
        <v>-1.7447863456417323</v>
      </c>
      <c r="AI125" s="449">
        <f t="shared" ca="1" si="37"/>
        <v>-1.7902082602662814</v>
      </c>
      <c r="AJ125" s="449">
        <f t="shared" ref="AJ125" ca="1" si="38">(AJ108-AJ115)/(AJ111+AJ113)</f>
        <v>-1.8384005346008114</v>
      </c>
      <c r="AK125" s="449"/>
      <c r="AL125" s="430"/>
      <c r="AM125" s="430"/>
    </row>
    <row r="126" spans="2:39">
      <c r="B126" s="448"/>
      <c r="C126" s="436"/>
      <c r="D126" s="436"/>
      <c r="E126" s="437"/>
      <c r="F126" s="437"/>
      <c r="G126" s="437"/>
      <c r="H126" s="437"/>
      <c r="I126" s="437"/>
      <c r="J126" s="437"/>
      <c r="K126" s="437"/>
      <c r="L126" s="437"/>
      <c r="M126" s="437"/>
      <c r="N126" s="437"/>
      <c r="O126" s="437"/>
      <c r="P126" s="437"/>
      <c r="Q126" s="437"/>
      <c r="R126" s="437"/>
      <c r="S126" s="437"/>
      <c r="T126" s="436"/>
      <c r="U126" s="436"/>
      <c r="V126" s="436"/>
      <c r="W126" s="436"/>
      <c r="X126" s="436"/>
      <c r="Y126" s="436"/>
      <c r="Z126" s="436"/>
      <c r="AA126" s="436"/>
      <c r="AB126" s="436"/>
      <c r="AC126" s="436"/>
      <c r="AD126" s="436"/>
      <c r="AE126" s="436"/>
      <c r="AF126" s="436"/>
      <c r="AG126" s="436"/>
      <c r="AH126" s="436"/>
      <c r="AI126" s="436"/>
      <c r="AJ126" s="436"/>
      <c r="AK126" s="436"/>
      <c r="AL126" s="430"/>
      <c r="AM126" s="430"/>
    </row>
    <row r="127" spans="2:39">
      <c r="B127" s="448" t="s">
        <v>1266</v>
      </c>
      <c r="C127" s="436"/>
      <c r="D127" s="436"/>
      <c r="E127" s="437"/>
      <c r="F127" s="437"/>
      <c r="G127" s="437"/>
      <c r="H127" s="437"/>
      <c r="I127" s="450"/>
      <c r="J127" s="450"/>
      <c r="K127" s="450"/>
      <c r="L127" s="450"/>
      <c r="M127" s="450"/>
      <c r="N127" s="450"/>
      <c r="O127" s="450"/>
      <c r="P127" s="450"/>
      <c r="Q127" s="450"/>
      <c r="R127" s="450"/>
      <c r="S127" s="450"/>
      <c r="T127" s="436"/>
      <c r="U127" s="436"/>
      <c r="V127" s="436"/>
      <c r="W127" s="436"/>
      <c r="X127" s="436"/>
      <c r="Y127" s="436"/>
      <c r="Z127" s="436"/>
      <c r="AA127" s="436"/>
      <c r="AB127" s="436"/>
      <c r="AC127" s="436"/>
      <c r="AD127" s="436"/>
      <c r="AE127" s="436"/>
      <c r="AF127" s="436"/>
      <c r="AG127" s="436"/>
      <c r="AH127" s="436"/>
      <c r="AI127" s="436"/>
      <c r="AJ127" s="436"/>
      <c r="AK127" s="436"/>
      <c r="AL127" s="430"/>
      <c r="AM127" s="430"/>
    </row>
    <row r="128" spans="2:39">
      <c r="B128" s="448" t="s">
        <v>1267</v>
      </c>
      <c r="C128" s="436"/>
      <c r="D128" s="436"/>
      <c r="E128" s="436"/>
      <c r="F128" s="437"/>
      <c r="G128" s="437"/>
      <c r="H128" s="437"/>
      <c r="I128" s="450"/>
      <c r="J128" s="450"/>
      <c r="K128" s="450"/>
      <c r="L128" s="450"/>
      <c r="M128" s="450"/>
      <c r="N128" s="450"/>
      <c r="O128" s="450"/>
      <c r="P128" s="450"/>
      <c r="Q128" s="450"/>
      <c r="R128" s="450"/>
      <c r="S128" s="450"/>
      <c r="T128" s="436"/>
      <c r="U128" s="436"/>
      <c r="V128" s="436"/>
      <c r="W128" s="436"/>
      <c r="X128" s="436"/>
      <c r="Y128" s="436"/>
      <c r="Z128" s="436"/>
      <c r="AA128" s="436"/>
      <c r="AB128" s="436"/>
      <c r="AC128" s="436"/>
      <c r="AD128" s="436"/>
      <c r="AE128" s="436"/>
      <c r="AF128" s="436"/>
      <c r="AG128" s="436"/>
      <c r="AH128" s="436"/>
      <c r="AI128" s="436"/>
      <c r="AJ128" s="436"/>
      <c r="AK128" s="436"/>
      <c r="AL128" s="430"/>
      <c r="AM128" s="430"/>
    </row>
    <row r="129" spans="2:39">
      <c r="B129" s="448" t="s">
        <v>1268</v>
      </c>
      <c r="C129" s="436"/>
      <c r="D129" s="436"/>
      <c r="E129" s="436"/>
      <c r="F129" s="437"/>
      <c r="G129" s="437"/>
      <c r="H129" s="437"/>
      <c r="I129" s="450"/>
      <c r="J129" s="450"/>
      <c r="K129" s="450"/>
      <c r="L129" s="450"/>
      <c r="M129" s="450"/>
      <c r="N129" s="450"/>
      <c r="O129" s="450"/>
      <c r="P129" s="450"/>
      <c r="Q129" s="450"/>
      <c r="R129" s="450"/>
      <c r="S129" s="450"/>
      <c r="T129" s="436"/>
      <c r="U129" s="436"/>
      <c r="V129" s="436"/>
      <c r="W129" s="436"/>
      <c r="X129" s="436"/>
      <c r="Y129" s="436"/>
      <c r="Z129" s="436"/>
      <c r="AA129" s="436"/>
      <c r="AB129" s="436"/>
      <c r="AC129" s="436"/>
      <c r="AD129" s="436"/>
      <c r="AE129" s="436"/>
      <c r="AF129" s="436"/>
      <c r="AG129" s="436"/>
      <c r="AH129" s="436"/>
      <c r="AI129" s="436"/>
      <c r="AJ129" s="436"/>
      <c r="AK129" s="436"/>
      <c r="AL129" s="430"/>
      <c r="AM129" s="430"/>
    </row>
    <row r="130" spans="2:39">
      <c r="B130" s="448"/>
      <c r="C130" s="436"/>
      <c r="D130" s="436"/>
      <c r="E130" s="436"/>
      <c r="F130" s="437"/>
      <c r="G130" s="437"/>
      <c r="H130" s="437"/>
      <c r="I130" s="437"/>
      <c r="J130" s="437"/>
      <c r="K130" s="437"/>
      <c r="L130" s="437"/>
      <c r="M130" s="437"/>
      <c r="N130" s="437"/>
      <c r="O130" s="437"/>
      <c r="P130" s="437"/>
      <c r="Q130" s="437"/>
      <c r="R130" s="437"/>
      <c r="S130" s="437"/>
      <c r="T130" s="436"/>
      <c r="U130" s="436"/>
      <c r="V130" s="436"/>
      <c r="W130" s="436"/>
      <c r="X130" s="436"/>
      <c r="Y130" s="436"/>
      <c r="Z130" s="436"/>
      <c r="AA130" s="436"/>
      <c r="AB130" s="436"/>
      <c r="AC130" s="436"/>
      <c r="AD130" s="436"/>
      <c r="AE130" s="436"/>
      <c r="AF130" s="436"/>
      <c r="AG130" s="436"/>
      <c r="AH130" s="436"/>
      <c r="AI130" s="436"/>
      <c r="AJ130" s="436"/>
      <c r="AK130" s="436"/>
      <c r="AL130" s="430"/>
      <c r="AM130" s="430"/>
    </row>
    <row r="131" spans="2:39">
      <c r="B131" s="448"/>
      <c r="C131" s="436"/>
      <c r="D131" s="436"/>
      <c r="E131" s="436"/>
      <c r="F131" s="437"/>
      <c r="G131" s="437"/>
      <c r="H131" s="437"/>
      <c r="I131" s="437"/>
      <c r="J131" s="437"/>
      <c r="K131" s="437"/>
      <c r="L131" s="437"/>
      <c r="M131" s="437"/>
      <c r="N131" s="437"/>
      <c r="O131" s="437"/>
      <c r="P131" s="437"/>
      <c r="Q131" s="437"/>
      <c r="R131" s="437"/>
      <c r="S131" s="437"/>
      <c r="T131" s="436"/>
      <c r="U131" s="436"/>
      <c r="V131" s="436"/>
      <c r="W131" s="436"/>
      <c r="X131" s="436"/>
      <c r="Y131" s="436"/>
      <c r="Z131" s="436"/>
      <c r="AA131" s="436"/>
      <c r="AB131" s="436"/>
      <c r="AC131" s="436"/>
      <c r="AD131" s="436"/>
      <c r="AE131" s="436"/>
      <c r="AF131" s="436"/>
      <c r="AG131" s="436"/>
      <c r="AH131" s="436"/>
      <c r="AI131" s="436"/>
      <c r="AJ131" s="436"/>
      <c r="AK131" s="436"/>
      <c r="AL131" s="430"/>
      <c r="AM131" s="430"/>
    </row>
    <row r="132" spans="2:39">
      <c r="B132" s="451"/>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row>
    <row r="133" spans="2:39">
      <c r="B133" s="434" t="s">
        <v>784</v>
      </c>
      <c r="C133" s="435"/>
      <c r="D133" s="435"/>
      <c r="E133" s="435"/>
      <c r="F133" s="435"/>
      <c r="G133" s="435"/>
      <c r="H133" s="435"/>
      <c r="I133" s="435"/>
      <c r="J133" s="435"/>
      <c r="K133" s="435"/>
      <c r="L133" s="435"/>
      <c r="M133" s="435"/>
      <c r="N133" s="435"/>
      <c r="O133" s="435"/>
      <c r="P133" s="435"/>
      <c r="Q133" s="435"/>
      <c r="R133" s="435"/>
      <c r="S133" s="435"/>
      <c r="T133" s="435"/>
      <c r="U133" s="435">
        <v>2015</v>
      </c>
      <c r="V133" s="435">
        <v>2016</v>
      </c>
      <c r="W133" s="435">
        <v>2017</v>
      </c>
      <c r="X133" s="435">
        <v>2018</v>
      </c>
      <c r="Y133" s="435">
        <v>2019</v>
      </c>
      <c r="Z133" s="435">
        <v>2020</v>
      </c>
      <c r="AA133" s="435">
        <v>2021</v>
      </c>
      <c r="AB133" s="435">
        <v>2022</v>
      </c>
      <c r="AC133" s="435">
        <v>2023</v>
      </c>
      <c r="AD133" s="435">
        <v>2024</v>
      </c>
      <c r="AE133" s="435">
        <v>2025</v>
      </c>
      <c r="AF133" s="435">
        <v>2026</v>
      </c>
      <c r="AG133" s="435">
        <v>2026</v>
      </c>
      <c r="AH133" s="435">
        <v>2026</v>
      </c>
      <c r="AI133" s="435">
        <v>2026</v>
      </c>
      <c r="AJ133" s="435">
        <v>2026</v>
      </c>
      <c r="AK133" s="1860"/>
      <c r="AL133" s="430"/>
      <c r="AM133" s="430"/>
    </row>
    <row r="134" spans="2:39">
      <c r="B134" s="429" t="s">
        <v>27</v>
      </c>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f>Master!J190+Master!J204</f>
        <v>636.17176137159959</v>
      </c>
      <c r="Y134" s="437">
        <f>Master!K190+Master!K204</f>
        <v>911.80000000000018</v>
      </c>
      <c r="Z134" s="437">
        <f>Master!L190+Master!L204</f>
        <v>919.30000000000007</v>
      </c>
      <c r="AA134" s="437">
        <f>Master!M190+Master!M204</f>
        <v>1082.1935611038109</v>
      </c>
      <c r="AB134" s="437">
        <f>Master!N190+Master!N204</f>
        <v>1057.8000000000002</v>
      </c>
      <c r="AC134" s="437">
        <f>Master!O190+Master!O204</f>
        <v>1115.8</v>
      </c>
      <c r="AD134" s="437">
        <f>Master!P190+Master!P204</f>
        <v>1016.5035076411198</v>
      </c>
      <c r="AE134" s="437">
        <f>Master!Q190+Master!Q204</f>
        <v>1220.5232025562675</v>
      </c>
      <c r="AF134" s="437">
        <f>Master!R190+Master!R204</f>
        <v>1293.7852173926644</v>
      </c>
      <c r="AG134" s="437">
        <f>Master!S190+Master!S204</f>
        <v>1340.334441106058</v>
      </c>
      <c r="AH134" s="437">
        <f>Master!T190+Master!T204</f>
        <v>1384.2322894241524</v>
      </c>
      <c r="AI134" s="437">
        <f>Master!U190+Master!U204</f>
        <v>1416.6056318379642</v>
      </c>
      <c r="AJ134" s="437">
        <f>Master!V190+Master!V204</f>
        <v>1450.1233638032386</v>
      </c>
      <c r="AK134" s="437"/>
      <c r="AL134" s="430"/>
      <c r="AM134" s="430"/>
    </row>
    <row r="135" spans="2:39">
      <c r="B135" s="429" t="s">
        <v>118</v>
      </c>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f>Master!J198</f>
        <v>-418.2</v>
      </c>
      <c r="Y135" s="437">
        <f>Master!K198</f>
        <v>-444.9</v>
      </c>
      <c r="Z135" s="437">
        <f>Master!L198</f>
        <v>-484</v>
      </c>
      <c r="AA135" s="437">
        <f>Master!M198</f>
        <v>-463</v>
      </c>
      <c r="AB135" s="437">
        <f>Master!N198</f>
        <v>-506.4</v>
      </c>
      <c r="AC135" s="437">
        <f>Master!O198</f>
        <v>-521.4</v>
      </c>
      <c r="AD135" s="437">
        <f ca="1">Master!P198</f>
        <v>-619.35390955854734</v>
      </c>
      <c r="AE135" s="437">
        <f ca="1">Master!Q198</f>
        <v>-653.82239239434932</v>
      </c>
      <c r="AF135" s="437">
        <f ca="1">Master!R198</f>
        <v>-711.84928438857503</v>
      </c>
      <c r="AG135" s="437">
        <f ca="1">Master!S198</f>
        <v>-710.13856933186617</v>
      </c>
      <c r="AH135" s="437">
        <f ca="1">Master!T198</f>
        <v>-708.7772741878789</v>
      </c>
      <c r="AI135" s="437">
        <f ca="1">Master!U198</f>
        <v>-707.15437937685056</v>
      </c>
      <c r="AJ135" s="437">
        <f ca="1">Master!V198</f>
        <v>-705.11430242739686</v>
      </c>
      <c r="AK135" s="437"/>
      <c r="AL135" s="430"/>
      <c r="AM135" s="430"/>
    </row>
    <row r="136" spans="2:39">
      <c r="B136" s="429" t="s">
        <v>1269</v>
      </c>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f>Master!J199</f>
        <v>-145.6</v>
      </c>
      <c r="Y136" s="437">
        <f>Master!K199</f>
        <v>-130.1</v>
      </c>
      <c r="Z136" s="437">
        <f>Master!L199</f>
        <v>-81.599999999999994</v>
      </c>
      <c r="AA136" s="437">
        <f>Master!M199</f>
        <v>-44.3</v>
      </c>
      <c r="AB136" s="437">
        <f>Master!N199</f>
        <v>-115.6</v>
      </c>
      <c r="AC136" s="437">
        <f>Master!O199</f>
        <v>-79.8</v>
      </c>
      <c r="AD136" s="437">
        <f>Master!P199</f>
        <v>-284.23782603839197</v>
      </c>
      <c r="AE136" s="437">
        <f>Master!Q199</f>
        <v>-144.22637059474121</v>
      </c>
      <c r="AF136" s="437">
        <f>Master!R199</f>
        <v>-151.0268910244738</v>
      </c>
      <c r="AG136" s="437">
        <f>Master!S199</f>
        <v>-155.67547513681635</v>
      </c>
      <c r="AH136" s="437">
        <f>Master!T199</f>
        <v>-160.1412412977227</v>
      </c>
      <c r="AI136" s="437">
        <f>Master!U199</f>
        <v>-163.76378596043574</v>
      </c>
      <c r="AJ136" s="437">
        <f>Master!V199</f>
        <v>-167.51276301939237</v>
      </c>
      <c r="AK136" s="437"/>
      <c r="AL136" s="430"/>
      <c r="AM136" s="430"/>
    </row>
    <row r="137" spans="2:39">
      <c r="B137" s="429" t="s">
        <v>1270</v>
      </c>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f>Master!J200</f>
        <v>-31.971761371599428</v>
      </c>
      <c r="Y137" s="437">
        <f>Master!K200</f>
        <v>-13.299999999999841</v>
      </c>
      <c r="Z137" s="437">
        <f>Master!L200</f>
        <v>-279.29999999999995</v>
      </c>
      <c r="AA137" s="437">
        <f>Master!M200</f>
        <v>-294.9935611038108</v>
      </c>
      <c r="AB137" s="437">
        <f>Master!N200</f>
        <v>-227.79999999999998</v>
      </c>
      <c r="AC137" s="437">
        <f>Master!O200</f>
        <v>-203.39999999999992</v>
      </c>
      <c r="AD137" s="437">
        <f>Master!P200</f>
        <v>-4.7130538775945752E-3</v>
      </c>
      <c r="AE137" s="437">
        <f>Master!Q200</f>
        <v>-26.768792555420475</v>
      </c>
      <c r="AF137" s="437">
        <f>Master!R200</f>
        <v>-27.25126617301828</v>
      </c>
      <c r="AG137" s="437">
        <f>Master!S200</f>
        <v>-51.865716843983137</v>
      </c>
      <c r="AH137" s="437">
        <f>Master!T200</f>
        <v>-53.965286530873527</v>
      </c>
      <c r="AI137" s="437">
        <f>Master!U200</f>
        <v>-6.476155038146203</v>
      </c>
      <c r="AJ137" s="437">
        <f>Master!V200</f>
        <v>-6.6901237119684538</v>
      </c>
      <c r="AK137" s="437"/>
      <c r="AL137" s="430"/>
      <c r="AM137" s="430"/>
    </row>
    <row r="138" spans="2:39">
      <c r="B138" s="429" t="s">
        <v>1271</v>
      </c>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7"/>
      <c r="AG138" s="437"/>
      <c r="AH138" s="437"/>
      <c r="AI138" s="437"/>
      <c r="AJ138" s="437"/>
      <c r="AK138" s="437"/>
      <c r="AL138" s="430"/>
      <c r="AM138" s="430"/>
    </row>
    <row r="139" spans="2:39">
      <c r="B139" s="429" t="s">
        <v>268</v>
      </c>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f>Master!J209</f>
        <v>-28</v>
      </c>
      <c r="Y139" s="437">
        <f>Master!K209</f>
        <v>-37.700000000000003</v>
      </c>
      <c r="Z139" s="437">
        <f>Master!L209</f>
        <v>-18.8</v>
      </c>
      <c r="AA139" s="437">
        <f>Master!M209</f>
        <v>-47.6</v>
      </c>
      <c r="AB139" s="437">
        <f>Master!N209</f>
        <v>-1.9</v>
      </c>
      <c r="AC139" s="437">
        <f>Master!O209</f>
        <v>-75.400000000000006</v>
      </c>
      <c r="AD139" s="437">
        <f>Master!P209</f>
        <v>-35</v>
      </c>
      <c r="AE139" s="437">
        <f>Master!Q209</f>
        <v>-50</v>
      </c>
      <c r="AF139" s="437">
        <f>Master!R209</f>
        <v>-50</v>
      </c>
      <c r="AG139" s="437">
        <f>Master!S209</f>
        <v>-50</v>
      </c>
      <c r="AH139" s="437">
        <f>Master!T209</f>
        <v>-50</v>
      </c>
      <c r="AI139" s="437">
        <f>Master!U209</f>
        <v>-50</v>
      </c>
      <c r="AJ139" s="437">
        <f>Master!V209</f>
        <v>-50</v>
      </c>
      <c r="AK139" s="437"/>
      <c r="AL139" s="430"/>
      <c r="AM139" s="430"/>
    </row>
    <row r="140" spans="2:39">
      <c r="B140" s="429" t="s">
        <v>1273</v>
      </c>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f>Master!J215</f>
        <v>0</v>
      </c>
      <c r="Y140" s="437">
        <f>Master!K215</f>
        <v>0</v>
      </c>
      <c r="Z140" s="437">
        <f>Master!L215</f>
        <v>-10.67</v>
      </c>
      <c r="AA140" s="437">
        <f>Master!M215</f>
        <v>-65</v>
      </c>
      <c r="AB140" s="437">
        <f>Master!N215</f>
        <v>-183.35</v>
      </c>
      <c r="AC140" s="437">
        <f>Master!O215</f>
        <v>-100.10000000000001</v>
      </c>
      <c r="AD140" s="437">
        <f>Master!P215</f>
        <v>-150</v>
      </c>
      <c r="AE140" s="437">
        <f>Master!Q215</f>
        <v>-135</v>
      </c>
      <c r="AF140" s="437">
        <f>Master!R215</f>
        <v>-97.2</v>
      </c>
      <c r="AG140" s="437">
        <f>Master!S215</f>
        <v>-104.97600000000003</v>
      </c>
      <c r="AH140" s="437">
        <f>Master!T215</f>
        <v>-113.37408000000003</v>
      </c>
      <c r="AI140" s="437">
        <f>Master!U215</f>
        <v>-122.44400640000003</v>
      </c>
      <c r="AJ140" s="437">
        <f>Master!V215</f>
        <v>-132.23952691200003</v>
      </c>
      <c r="AK140" s="437"/>
      <c r="AL140" s="430"/>
      <c r="AM140" s="430"/>
    </row>
    <row r="141" spans="2:39">
      <c r="B141" s="429" t="s">
        <v>1274</v>
      </c>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f>Master!J214</f>
        <v>-269</v>
      </c>
      <c r="Y141" s="437">
        <f>Master!K214</f>
        <v>-57</v>
      </c>
      <c r="Z141" s="437">
        <f>Master!L214</f>
        <v>-1950</v>
      </c>
      <c r="AA141" s="437">
        <f>Master!M214</f>
        <v>-500</v>
      </c>
      <c r="AB141" s="437">
        <f>Master!N214</f>
        <v>858</v>
      </c>
      <c r="AC141" s="437">
        <f>Master!O214</f>
        <v>0</v>
      </c>
      <c r="AD141" s="437">
        <f>Master!P214</f>
        <v>95</v>
      </c>
      <c r="AE141" s="437">
        <f>Master!Q214</f>
        <v>72</v>
      </c>
      <c r="AF141" s="437">
        <f>Master!R214</f>
        <v>45</v>
      </c>
      <c r="AG141" s="437">
        <f>Master!S214</f>
        <v>40</v>
      </c>
      <c r="AH141" s="437">
        <f>Master!T214</f>
        <v>0</v>
      </c>
      <c r="AI141" s="437">
        <f>Master!U214</f>
        <v>0</v>
      </c>
      <c r="AJ141" s="437">
        <f>Master!V214</f>
        <v>0</v>
      </c>
      <c r="AK141" s="437"/>
      <c r="AL141" s="430"/>
      <c r="AM141" s="430"/>
    </row>
    <row r="142" spans="2:39">
      <c r="B142" s="429" t="s">
        <v>4</v>
      </c>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f>X143-SUM(X134:X141)</f>
        <v>8.7999999999998977</v>
      </c>
      <c r="Y142" s="437">
        <f t="shared" ref="Y142:AD142" si="39">Y143-SUM(Y134:Y141)</f>
        <v>-72.500000000000171</v>
      </c>
      <c r="Z142" s="437">
        <f t="shared" si="39"/>
        <v>89.700000000000045</v>
      </c>
      <c r="AA142" s="437">
        <f t="shared" si="39"/>
        <v>35.799999999999898</v>
      </c>
      <c r="AB142" s="437">
        <f t="shared" si="39"/>
        <v>-68.600000000000023</v>
      </c>
      <c r="AC142" s="437">
        <f t="shared" si="39"/>
        <v>-38.800000000000111</v>
      </c>
      <c r="AD142" s="437">
        <f t="shared" ca="1" si="39"/>
        <v>-91.538970699742663</v>
      </c>
      <c r="AE142" s="437">
        <f ca="1">AE143-SUM(AE134:AE141)</f>
        <v>-83.720302462707252</v>
      </c>
      <c r="AF142" s="437">
        <f ca="1">AF143-SUM(AF134:AF141)</f>
        <v>-136.92151920080414</v>
      </c>
      <c r="AG142" s="437">
        <f t="shared" ref="AG142:AJ142" ca="1" si="40">AG143-SUM(AG134:AG141)</f>
        <v>-165.07192505733906</v>
      </c>
      <c r="AH142" s="437">
        <f t="shared" ca="1" si="40"/>
        <v>-168.32213334581922</v>
      </c>
      <c r="AI142" s="437">
        <f t="shared" ca="1" si="40"/>
        <v>-171.84061691753675</v>
      </c>
      <c r="AJ142" s="437">
        <f t="shared" ca="1" si="40"/>
        <v>-175.47794598540747</v>
      </c>
      <c r="AK142" s="437"/>
      <c r="AL142" s="430"/>
      <c r="AM142" s="430"/>
    </row>
    <row r="143" spans="2:39">
      <c r="B143" s="429" t="s">
        <v>116</v>
      </c>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f>Master!J217</f>
        <v>-247.7999999999999</v>
      </c>
      <c r="Y143" s="437">
        <f>Master!K217</f>
        <v>156.30000000000018</v>
      </c>
      <c r="Z143" s="437">
        <f>Master!L217</f>
        <v>-1815.37</v>
      </c>
      <c r="AA143" s="437">
        <f>Master!M217</f>
        <v>-296.89999999999992</v>
      </c>
      <c r="AB143" s="437">
        <f>Master!N217</f>
        <v>812.1500000000002</v>
      </c>
      <c r="AC143" s="437">
        <f>Master!O217</f>
        <v>96.899999999999991</v>
      </c>
      <c r="AD143" s="437">
        <f ca="1">Master!P217</f>
        <v>-68.631911709439805</v>
      </c>
      <c r="AE143" s="437">
        <f ca="1">Master!Q217</f>
        <v>198.98534454904927</v>
      </c>
      <c r="AF143" s="437">
        <f ca="1">Master!R217</f>
        <v>164.53625660579343</v>
      </c>
      <c r="AG143" s="437">
        <f ca="1">Master!S217</f>
        <v>142.60675473605397</v>
      </c>
      <c r="AH143" s="437">
        <f ca="1">Master!T217</f>
        <v>129.65227406185898</v>
      </c>
      <c r="AI143" s="437">
        <f ca="1">Master!U217</f>
        <v>194.9266881449945</v>
      </c>
      <c r="AJ143" s="437">
        <f ca="1">Master!V217</f>
        <v>213.08870174733676</v>
      </c>
      <c r="AK143" s="437"/>
      <c r="AL143" s="430"/>
      <c r="AM143" s="430"/>
    </row>
    <row r="144" spans="2:39">
      <c r="B144" s="429" t="s">
        <v>115</v>
      </c>
      <c r="C144" s="437"/>
      <c r="D144" s="437"/>
      <c r="E144" s="437"/>
      <c r="F144" s="437"/>
      <c r="G144" s="437"/>
      <c r="H144" s="437"/>
      <c r="I144" s="437"/>
      <c r="J144" s="437"/>
      <c r="K144" s="437"/>
      <c r="L144" s="437"/>
      <c r="M144" s="437"/>
      <c r="N144" s="437"/>
      <c r="O144" s="437"/>
      <c r="P144" s="437"/>
      <c r="Q144" s="437"/>
      <c r="R144" s="437"/>
      <c r="S144" s="437"/>
      <c r="T144" s="437"/>
      <c r="U144" s="437"/>
      <c r="V144" s="437"/>
      <c r="W144" s="437"/>
      <c r="X144" s="437">
        <f t="shared" ref="X144:AD144" si="41">X27</f>
        <v>6066</v>
      </c>
      <c r="Y144" s="437">
        <f t="shared" si="41"/>
        <v>6060.1</v>
      </c>
      <c r="Z144" s="437">
        <f t="shared" si="41"/>
        <v>7781.4</v>
      </c>
      <c r="AA144" s="437">
        <f t="shared" si="41"/>
        <v>8078.2999999999993</v>
      </c>
      <c r="AB144" s="437">
        <f t="shared" si="41"/>
        <v>7193.7000000000007</v>
      </c>
      <c r="AC144" s="437">
        <f t="shared" si="41"/>
        <v>7096.8000000000011</v>
      </c>
      <c r="AD144" s="437">
        <f t="shared" ca="1" si="41"/>
        <v>7165.431911709441</v>
      </c>
      <c r="AE144" s="437">
        <f ca="1">AE27</f>
        <v>6966.4465671603921</v>
      </c>
      <c r="AF144" s="437">
        <f ca="1">AF27</f>
        <v>6801.9103105545992</v>
      </c>
      <c r="AG144" s="437">
        <f t="shared" ref="AG144:AI144" ca="1" si="42">AG27</f>
        <v>6659.3035558185456</v>
      </c>
      <c r="AH144" s="437">
        <f t="shared" ca="1" si="42"/>
        <v>6529.6512817566872</v>
      </c>
      <c r="AI144" s="437">
        <f t="shared" ca="1" si="42"/>
        <v>6334.7245936116924</v>
      </c>
      <c r="AJ144" s="437">
        <f t="shared" ref="AJ144" ca="1" si="43">AJ27</f>
        <v>6121.6358918649385</v>
      </c>
      <c r="AK144" s="437"/>
      <c r="AL144" s="430"/>
      <c r="AM144" s="430"/>
    </row>
    <row r="145" spans="2:42">
      <c r="C145" s="430"/>
      <c r="D145" s="430"/>
      <c r="E145" s="452"/>
      <c r="F145" s="452"/>
      <c r="G145" s="452"/>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row>
    <row r="146" spans="2:42">
      <c r="B146" s="434" t="s">
        <v>1276</v>
      </c>
      <c r="C146" s="435"/>
      <c r="D146" s="435"/>
      <c r="E146" s="435"/>
      <c r="F146" s="435"/>
      <c r="G146" s="435"/>
      <c r="H146" s="435"/>
      <c r="I146" s="435"/>
      <c r="J146" s="435"/>
      <c r="K146" s="435"/>
      <c r="L146" s="435"/>
      <c r="M146" s="435"/>
      <c r="N146" s="435"/>
      <c r="O146" s="435"/>
      <c r="P146" s="435"/>
      <c r="Q146" s="435"/>
      <c r="R146" s="435"/>
      <c r="S146" s="435"/>
      <c r="T146" s="435"/>
      <c r="U146" s="435">
        <v>2015</v>
      </c>
      <c r="V146" s="435">
        <v>2016</v>
      </c>
      <c r="W146" s="435">
        <v>2017</v>
      </c>
      <c r="X146" s="435">
        <v>2018</v>
      </c>
      <c r="Y146" s="435">
        <v>2019</v>
      </c>
      <c r="Z146" s="435">
        <v>2020</v>
      </c>
      <c r="AA146" s="435">
        <v>2021</v>
      </c>
      <c r="AB146" s="435">
        <v>2022</v>
      </c>
      <c r="AC146" s="435">
        <v>2023</v>
      </c>
      <c r="AD146" s="435">
        <v>2024</v>
      </c>
      <c r="AE146" s="435">
        <v>2025</v>
      </c>
      <c r="AF146" s="435">
        <v>2026</v>
      </c>
      <c r="AG146" s="435">
        <v>2026</v>
      </c>
      <c r="AH146" s="435">
        <v>2026</v>
      </c>
      <c r="AI146" s="435">
        <v>2026</v>
      </c>
      <c r="AJ146" s="435">
        <v>2026</v>
      </c>
      <c r="AK146" s="1860"/>
      <c r="AL146" s="430"/>
      <c r="AM146" s="430"/>
    </row>
    <row r="147" spans="2:42">
      <c r="B147" s="429" t="s">
        <v>1277</v>
      </c>
      <c r="C147" s="437"/>
      <c r="D147" s="437"/>
      <c r="E147" s="437"/>
      <c r="F147" s="437"/>
      <c r="G147" s="437"/>
      <c r="H147" s="437"/>
      <c r="I147" s="437"/>
      <c r="J147" s="437"/>
      <c r="K147" s="437"/>
      <c r="L147" s="437"/>
      <c r="M147" s="437"/>
      <c r="N147" s="437"/>
      <c r="O147" s="437"/>
      <c r="P147" s="437"/>
      <c r="Q147" s="437"/>
      <c r="R147" s="437"/>
      <c r="S147" s="437"/>
      <c r="T147" s="437"/>
      <c r="U147" s="437">
        <f>Valuation!F9</f>
        <v>0</v>
      </c>
      <c r="V147" s="437">
        <f ca="1">Valuation!G9</f>
        <v>-31.492576756516623</v>
      </c>
      <c r="W147" s="437">
        <f ca="1">Valuation!H9</f>
        <v>-32.082820061461078</v>
      </c>
      <c r="X147" s="437">
        <f ca="1">Valuation!I9</f>
        <v>-32.378868195634233</v>
      </c>
      <c r="Y147" s="437">
        <f ca="1">Valuation!J9</f>
        <v>-17.321090810969999</v>
      </c>
      <c r="Z147" s="437">
        <f ca="1">Valuation!K9</f>
        <v>-18.498924986115959</v>
      </c>
      <c r="AA147" s="437">
        <f>Valuation!L9</f>
        <v>0</v>
      </c>
      <c r="AB147" s="437">
        <f>Valuation!M9</f>
        <v>0</v>
      </c>
      <c r="AC147" s="437">
        <f>Valuation!N9</f>
        <v>0</v>
      </c>
      <c r="AD147" s="437">
        <f>Valuation!O9</f>
        <v>0</v>
      </c>
      <c r="AE147" s="437">
        <f>Valuation!P9</f>
        <v>0</v>
      </c>
      <c r="AF147" s="437">
        <f>Valuation!Q9</f>
        <v>0</v>
      </c>
      <c r="AG147" s="437">
        <f>Valuation!R9</f>
        <v>0</v>
      </c>
      <c r="AH147" s="437">
        <f>Valuation!S9</f>
        <v>0</v>
      </c>
      <c r="AI147" s="437">
        <f>Valuation!T9</f>
        <v>0</v>
      </c>
      <c r="AJ147" s="437">
        <f>Valuation!U9</f>
        <v>0</v>
      </c>
      <c r="AK147" s="437"/>
      <c r="AL147" s="430"/>
      <c r="AM147" s="430"/>
    </row>
    <row r="148" spans="2:42">
      <c r="B148" s="429" t="s">
        <v>1278</v>
      </c>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7"/>
      <c r="AK148" s="437"/>
      <c r="AL148" s="430"/>
      <c r="AM148" s="430"/>
    </row>
    <row r="149" spans="2:42">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7"/>
      <c r="AK149" s="437"/>
      <c r="AL149" s="430"/>
      <c r="AM149" s="430"/>
    </row>
    <row r="150" spans="2:42">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437"/>
      <c r="AJ150" s="437"/>
      <c r="AK150" s="437"/>
      <c r="AL150" s="430"/>
      <c r="AM150" s="430"/>
    </row>
    <row r="151" spans="2:42">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7"/>
      <c r="AK151" s="437"/>
      <c r="AL151" s="430"/>
      <c r="AM151" s="430"/>
    </row>
    <row r="152" spans="2:42">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7"/>
      <c r="AK152" s="437"/>
      <c r="AL152" s="430"/>
      <c r="AM152" s="430"/>
    </row>
    <row r="153" spans="2:42">
      <c r="C153" s="430"/>
      <c r="D153" s="430"/>
      <c r="E153" s="430"/>
      <c r="F153" s="430"/>
      <c r="G153" s="430"/>
      <c r="H153" s="430"/>
      <c r="I153" s="430"/>
      <c r="J153" s="430"/>
      <c r="K153" s="430"/>
      <c r="L153" s="430"/>
      <c r="M153" s="430"/>
      <c r="N153" s="430"/>
      <c r="O153" s="430"/>
      <c r="P153" s="430"/>
      <c r="Q153" s="430"/>
      <c r="R153" s="430"/>
      <c r="S153" s="430"/>
      <c r="T153" s="430" t="s">
        <v>72</v>
      </c>
      <c r="U153" s="430"/>
      <c r="V153" s="430"/>
      <c r="W153" s="430"/>
      <c r="X153" s="430"/>
      <c r="Y153" s="430"/>
      <c r="Z153" s="430"/>
      <c r="AA153" s="430"/>
      <c r="AB153" s="430"/>
      <c r="AC153" s="430"/>
      <c r="AD153" s="430"/>
      <c r="AE153" s="430"/>
      <c r="AF153" s="430"/>
      <c r="AG153" s="430"/>
      <c r="AH153" s="430"/>
      <c r="AI153" s="430"/>
      <c r="AJ153" s="430"/>
      <c r="AK153" s="430"/>
      <c r="AL153" s="430"/>
      <c r="AM153" s="430"/>
    </row>
    <row r="154" spans="2:42">
      <c r="B154" s="434" t="s">
        <v>1279</v>
      </c>
      <c r="C154" s="435"/>
      <c r="D154" s="435"/>
      <c r="E154" s="435"/>
      <c r="F154" s="435"/>
      <c r="G154" s="435"/>
      <c r="H154" s="435"/>
      <c r="I154" s="435"/>
      <c r="J154" s="435"/>
      <c r="K154" s="435"/>
      <c r="L154" s="435"/>
      <c r="M154" s="435"/>
      <c r="N154" s="435"/>
      <c r="O154" s="435"/>
      <c r="P154" s="435"/>
      <c r="Q154" s="435"/>
      <c r="R154" s="435"/>
      <c r="S154" s="435"/>
      <c r="T154" s="435"/>
      <c r="U154" s="435">
        <v>2015</v>
      </c>
      <c r="V154" s="435">
        <v>2016</v>
      </c>
      <c r="W154" s="435">
        <v>2017</v>
      </c>
      <c r="X154" s="435">
        <v>2018</v>
      </c>
      <c r="Y154" s="435">
        <v>2019</v>
      </c>
      <c r="Z154" s="435">
        <v>2020</v>
      </c>
      <c r="AA154" s="435">
        <v>2021</v>
      </c>
      <c r="AB154" s="435">
        <v>2022</v>
      </c>
      <c r="AC154" s="435">
        <v>2023</v>
      </c>
      <c r="AD154" s="435">
        <v>2024</v>
      </c>
      <c r="AE154" s="435">
        <v>2025</v>
      </c>
      <c r="AF154" s="435">
        <v>2026</v>
      </c>
      <c r="AG154" s="435">
        <v>2026</v>
      </c>
      <c r="AH154" s="435">
        <v>2026</v>
      </c>
      <c r="AI154" s="435">
        <v>2026</v>
      </c>
      <c r="AJ154" s="435">
        <v>2026</v>
      </c>
      <c r="AK154" s="1860"/>
      <c r="AL154" s="430"/>
      <c r="AM154" s="430"/>
    </row>
    <row r="155" spans="2:42">
      <c r="C155" s="453"/>
      <c r="D155" s="439"/>
      <c r="E155" s="439"/>
      <c r="F155" s="439"/>
      <c r="G155" s="439"/>
      <c r="H155" s="439"/>
      <c r="I155" s="439"/>
      <c r="J155" s="436"/>
      <c r="K155" s="436"/>
      <c r="L155" s="436"/>
      <c r="M155" s="436"/>
      <c r="N155" s="436"/>
      <c r="O155" s="436"/>
      <c r="P155" s="436"/>
      <c r="Q155" s="436"/>
      <c r="R155" s="436"/>
      <c r="S155" s="436"/>
      <c r="T155" s="439"/>
      <c r="U155" s="439"/>
      <c r="V155" s="439"/>
      <c r="W155" s="439"/>
      <c r="X155" s="439"/>
      <c r="Y155" s="439"/>
      <c r="Z155" s="439"/>
      <c r="AA155" s="439"/>
      <c r="AB155" s="439"/>
      <c r="AC155" s="439"/>
      <c r="AD155" s="439"/>
      <c r="AE155" s="439"/>
      <c r="AF155" s="439"/>
      <c r="AG155" s="439"/>
      <c r="AH155" s="439"/>
      <c r="AI155" s="439"/>
      <c r="AJ155" s="439"/>
      <c r="AK155" s="439"/>
      <c r="AL155" s="430"/>
      <c r="AM155" s="430"/>
    </row>
    <row r="156" spans="2:42">
      <c r="C156" s="453"/>
      <c r="D156" s="437"/>
      <c r="E156" s="438"/>
      <c r="F156" s="437"/>
      <c r="G156" s="438"/>
      <c r="H156" s="437"/>
      <c r="I156" s="437"/>
      <c r="J156" s="454"/>
      <c r="K156" s="436"/>
      <c r="L156" s="440"/>
      <c r="M156" s="437"/>
      <c r="N156" s="437"/>
      <c r="O156" s="437"/>
      <c r="P156" s="437"/>
      <c r="Q156" s="455"/>
      <c r="R156" s="437"/>
      <c r="S156" s="437"/>
      <c r="T156" s="436"/>
      <c r="U156" s="436"/>
      <c r="V156" s="436"/>
      <c r="W156" s="436"/>
      <c r="X156" s="436"/>
      <c r="Y156" s="436"/>
      <c r="Z156" s="436"/>
      <c r="AA156" s="436"/>
      <c r="AB156" s="436"/>
      <c r="AC156" s="436"/>
      <c r="AD156" s="436"/>
      <c r="AE156" s="436"/>
      <c r="AF156" s="436"/>
      <c r="AG156" s="436"/>
      <c r="AH156" s="436"/>
      <c r="AI156" s="436"/>
      <c r="AJ156" s="436"/>
      <c r="AK156" s="436"/>
      <c r="AL156" s="456"/>
      <c r="AM156" s="456"/>
      <c r="AN156" s="457"/>
      <c r="AO156" s="457"/>
      <c r="AP156" s="457"/>
    </row>
    <row r="157" spans="2:42">
      <c r="C157" s="453"/>
      <c r="D157" s="437"/>
      <c r="E157" s="438"/>
      <c r="F157" s="437"/>
      <c r="G157" s="438"/>
      <c r="H157" s="437"/>
      <c r="I157" s="437"/>
      <c r="J157" s="454"/>
      <c r="K157" s="436"/>
      <c r="L157" s="440"/>
      <c r="M157" s="437"/>
      <c r="N157" s="437"/>
      <c r="O157" s="437"/>
      <c r="P157" s="437"/>
      <c r="Q157" s="455"/>
      <c r="R157" s="437"/>
      <c r="S157" s="437"/>
      <c r="T157" s="436"/>
      <c r="U157" s="436"/>
      <c r="V157" s="436"/>
      <c r="W157" s="436"/>
      <c r="X157" s="436"/>
      <c r="Y157" s="436"/>
      <c r="Z157" s="436"/>
      <c r="AA157" s="436"/>
      <c r="AB157" s="436"/>
      <c r="AC157" s="436"/>
      <c r="AD157" s="436"/>
      <c r="AE157" s="436"/>
      <c r="AF157" s="436"/>
      <c r="AG157" s="436"/>
      <c r="AH157" s="436"/>
      <c r="AI157" s="436"/>
      <c r="AJ157" s="436"/>
      <c r="AK157" s="436"/>
      <c r="AL157" s="456"/>
      <c r="AM157" s="456"/>
      <c r="AN157" s="457"/>
      <c r="AO157" s="457"/>
      <c r="AP157" s="457"/>
    </row>
    <row r="158" spans="2:42">
      <c r="C158" s="453"/>
      <c r="D158" s="437"/>
      <c r="E158" s="438"/>
      <c r="F158" s="437"/>
      <c r="G158" s="438"/>
      <c r="H158" s="437"/>
      <c r="I158" s="437"/>
      <c r="J158" s="454"/>
      <c r="K158" s="436"/>
      <c r="L158" s="440"/>
      <c r="M158" s="437"/>
      <c r="N158" s="437"/>
      <c r="O158" s="437"/>
      <c r="P158" s="437"/>
      <c r="Q158" s="436"/>
      <c r="R158" s="437"/>
      <c r="S158" s="437"/>
      <c r="T158" s="436"/>
      <c r="U158" s="436"/>
      <c r="V158" s="436"/>
      <c r="W158" s="436"/>
      <c r="X158" s="436"/>
      <c r="Y158" s="436"/>
      <c r="Z158" s="436"/>
      <c r="AA158" s="436"/>
      <c r="AB158" s="436"/>
      <c r="AC158" s="436"/>
      <c r="AD158" s="436"/>
      <c r="AE158" s="436"/>
      <c r="AF158" s="436"/>
      <c r="AG158" s="436"/>
      <c r="AH158" s="436"/>
      <c r="AI158" s="436"/>
      <c r="AJ158" s="436"/>
      <c r="AK158" s="436"/>
      <c r="AL158" s="456"/>
      <c r="AM158" s="456"/>
      <c r="AN158" s="457"/>
      <c r="AO158" s="457"/>
      <c r="AP158" s="457"/>
    </row>
    <row r="159" spans="2:42">
      <c r="C159" s="439"/>
      <c r="D159" s="439"/>
      <c r="E159" s="439"/>
      <c r="F159" s="439"/>
      <c r="G159" s="439"/>
      <c r="H159" s="439"/>
      <c r="I159" s="439"/>
      <c r="J159" s="439"/>
      <c r="K159" s="439"/>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6"/>
      <c r="AJ159" s="436"/>
      <c r="AK159" s="436"/>
      <c r="AL159" s="456"/>
      <c r="AM159" s="456"/>
      <c r="AN159" s="457"/>
      <c r="AO159" s="457"/>
      <c r="AP159" s="457"/>
    </row>
    <row r="160" spans="2:42">
      <c r="C160" s="439"/>
      <c r="D160" s="439"/>
      <c r="E160" s="439"/>
      <c r="F160" s="439"/>
      <c r="G160" s="439"/>
      <c r="H160" s="439"/>
      <c r="I160" s="439"/>
      <c r="J160" s="439"/>
      <c r="K160" s="439"/>
      <c r="L160" s="436"/>
      <c r="M160" s="436"/>
      <c r="N160" s="436"/>
      <c r="O160" s="436"/>
      <c r="P160" s="436"/>
      <c r="Q160" s="436"/>
      <c r="R160" s="440"/>
      <c r="S160" s="436"/>
      <c r="T160" s="436"/>
      <c r="U160" s="436"/>
      <c r="V160" s="436"/>
      <c r="W160" s="436"/>
      <c r="X160" s="436"/>
      <c r="Y160" s="436"/>
      <c r="Z160" s="436"/>
      <c r="AA160" s="436"/>
      <c r="AB160" s="436"/>
      <c r="AC160" s="436"/>
      <c r="AD160" s="436"/>
      <c r="AE160" s="436"/>
      <c r="AF160" s="436"/>
      <c r="AG160" s="436"/>
      <c r="AH160" s="436"/>
      <c r="AI160" s="436"/>
      <c r="AJ160" s="436"/>
      <c r="AK160" s="436"/>
      <c r="AL160" s="456"/>
      <c r="AM160" s="456"/>
      <c r="AN160" s="457"/>
      <c r="AO160" s="457"/>
      <c r="AP160" s="457"/>
    </row>
    <row r="161" spans="2:42">
      <c r="C161" s="439"/>
      <c r="D161" s="439"/>
      <c r="E161" s="439"/>
      <c r="F161" s="439"/>
      <c r="G161" s="439"/>
      <c r="H161" s="439"/>
      <c r="I161" s="439"/>
      <c r="J161" s="439"/>
      <c r="K161" s="439"/>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56"/>
      <c r="AM161" s="456"/>
      <c r="AN161" s="457"/>
      <c r="AO161" s="457"/>
      <c r="AP161" s="457"/>
    </row>
    <row r="162" spans="2:42">
      <c r="C162" s="439"/>
      <c r="D162" s="439"/>
      <c r="E162" s="439"/>
      <c r="F162" s="439"/>
      <c r="G162" s="439"/>
      <c r="H162" s="439"/>
      <c r="I162" s="439"/>
      <c r="J162" s="439"/>
      <c r="K162" s="439"/>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6"/>
      <c r="AJ162" s="436"/>
      <c r="AK162" s="436"/>
      <c r="AL162" s="456"/>
      <c r="AM162" s="456"/>
      <c r="AN162" s="457"/>
      <c r="AO162" s="457"/>
      <c r="AP162" s="457"/>
    </row>
    <row r="163" spans="2:42">
      <c r="C163" s="439"/>
      <c r="D163" s="439"/>
      <c r="E163" s="439"/>
      <c r="F163" s="439"/>
      <c r="G163" s="439"/>
      <c r="H163" s="439"/>
      <c r="I163" s="439"/>
      <c r="J163" s="439"/>
      <c r="K163" s="439"/>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436"/>
      <c r="AI163" s="436"/>
      <c r="AJ163" s="436"/>
      <c r="AK163" s="436"/>
      <c r="AL163" s="456"/>
      <c r="AM163" s="456"/>
      <c r="AN163" s="457"/>
      <c r="AO163" s="457"/>
      <c r="AP163" s="457"/>
    </row>
    <row r="164" spans="2:42">
      <c r="C164" s="439"/>
      <c r="D164" s="439"/>
      <c r="E164" s="439"/>
      <c r="F164" s="436"/>
      <c r="G164" s="461"/>
      <c r="H164" s="437"/>
      <c r="I164" s="437"/>
      <c r="J164" s="436"/>
      <c r="K164" s="439"/>
      <c r="L164" s="436"/>
      <c r="M164" s="436"/>
      <c r="N164" s="436"/>
      <c r="O164" s="436"/>
      <c r="P164" s="436"/>
      <c r="Q164" s="436"/>
      <c r="R164" s="450"/>
      <c r="S164" s="450"/>
      <c r="T164" s="450"/>
      <c r="U164" s="450"/>
      <c r="V164" s="436"/>
      <c r="W164" s="436"/>
      <c r="X164" s="436"/>
      <c r="Y164" s="436"/>
      <c r="Z164" s="436"/>
      <c r="AA164" s="436"/>
      <c r="AB164" s="436"/>
      <c r="AC164" s="436"/>
      <c r="AD164" s="436"/>
      <c r="AE164" s="436"/>
      <c r="AF164" s="436"/>
      <c r="AG164" s="436"/>
      <c r="AH164" s="436"/>
      <c r="AI164" s="436"/>
      <c r="AJ164" s="436"/>
      <c r="AK164" s="436"/>
      <c r="AL164" s="456"/>
      <c r="AM164" s="456"/>
      <c r="AN164" s="457"/>
      <c r="AO164" s="457"/>
      <c r="AP164" s="457"/>
    </row>
    <row r="165" spans="2:42">
      <c r="C165" s="439"/>
      <c r="D165" s="439"/>
      <c r="E165" s="439"/>
      <c r="F165" s="436"/>
      <c r="G165" s="461"/>
      <c r="H165" s="461"/>
      <c r="I165" s="461"/>
      <c r="J165" s="436"/>
      <c r="K165" s="439"/>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436"/>
      <c r="AI165" s="436"/>
      <c r="AJ165" s="436"/>
      <c r="AK165" s="436"/>
      <c r="AL165" s="456"/>
      <c r="AM165" s="456"/>
      <c r="AN165" s="457"/>
      <c r="AO165" s="457"/>
      <c r="AP165" s="457"/>
    </row>
    <row r="166" spans="2:42">
      <c r="C166" s="436"/>
      <c r="D166" s="436"/>
      <c r="E166" s="436"/>
      <c r="F166" s="436"/>
      <c r="G166" s="461"/>
      <c r="H166" s="461"/>
      <c r="I166" s="461"/>
      <c r="J166" s="436"/>
      <c r="K166" s="439"/>
      <c r="L166" s="439"/>
      <c r="M166" s="439"/>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6"/>
      <c r="AL166" s="456"/>
      <c r="AM166" s="456"/>
      <c r="AN166" s="457"/>
      <c r="AO166" s="457"/>
      <c r="AP166" s="457"/>
    </row>
    <row r="167" spans="2:42">
      <c r="C167" s="462"/>
      <c r="D167" s="462"/>
      <c r="E167" s="462"/>
      <c r="F167" s="462"/>
      <c r="G167" s="462"/>
      <c r="H167" s="462"/>
      <c r="I167" s="462"/>
      <c r="J167" s="462"/>
      <c r="K167" s="463"/>
      <c r="L167" s="462"/>
      <c r="M167" s="462"/>
      <c r="N167" s="462"/>
      <c r="O167" s="462"/>
      <c r="P167" s="462"/>
      <c r="Q167" s="462"/>
      <c r="R167" s="462"/>
      <c r="S167" s="462"/>
      <c r="T167" s="462"/>
      <c r="U167" s="436"/>
      <c r="V167" s="436"/>
      <c r="W167" s="436"/>
      <c r="X167" s="436"/>
      <c r="Y167" s="436"/>
      <c r="Z167" s="436"/>
      <c r="AA167" s="436"/>
      <c r="AB167" s="436"/>
      <c r="AC167" s="436"/>
      <c r="AD167" s="436"/>
      <c r="AE167" s="436"/>
      <c r="AF167" s="436"/>
      <c r="AG167" s="436"/>
      <c r="AH167" s="436"/>
      <c r="AI167" s="436"/>
      <c r="AJ167" s="436"/>
      <c r="AK167" s="436"/>
      <c r="AL167" s="456"/>
      <c r="AM167" s="456"/>
      <c r="AN167" s="457"/>
      <c r="AO167" s="457"/>
      <c r="AP167" s="457"/>
    </row>
    <row r="168" spans="2:42">
      <c r="C168" s="462"/>
      <c r="D168" s="462"/>
      <c r="E168" s="462"/>
      <c r="F168" s="462"/>
      <c r="G168" s="462"/>
      <c r="H168" s="462"/>
      <c r="I168" s="462"/>
      <c r="J168" s="462"/>
      <c r="K168" s="463"/>
      <c r="L168" s="462"/>
      <c r="M168" s="462"/>
      <c r="N168" s="462"/>
      <c r="O168" s="462"/>
      <c r="P168" s="462"/>
      <c r="Q168" s="462"/>
      <c r="R168" s="462"/>
      <c r="S168" s="462"/>
      <c r="T168" s="462"/>
      <c r="U168" s="436"/>
      <c r="V168" s="436"/>
      <c r="W168" s="436"/>
      <c r="X168" s="436"/>
      <c r="Y168" s="436"/>
      <c r="Z168" s="436"/>
      <c r="AA168" s="436"/>
      <c r="AB168" s="436"/>
      <c r="AC168" s="436"/>
      <c r="AD168" s="436"/>
      <c r="AE168" s="436"/>
      <c r="AF168" s="436"/>
      <c r="AG168" s="436"/>
      <c r="AH168" s="436"/>
      <c r="AI168" s="436"/>
      <c r="AJ168" s="436"/>
      <c r="AK168" s="436"/>
      <c r="AL168" s="456"/>
      <c r="AM168" s="456"/>
      <c r="AN168" s="457"/>
      <c r="AO168" s="457"/>
      <c r="AP168" s="457"/>
    </row>
    <row r="169" spans="2:42">
      <c r="C169" s="436"/>
      <c r="D169" s="436"/>
      <c r="E169" s="436"/>
      <c r="F169" s="436"/>
      <c r="G169" s="436"/>
      <c r="H169" s="436"/>
      <c r="I169" s="436"/>
      <c r="J169" s="436"/>
      <c r="K169" s="439"/>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56"/>
      <c r="AM169" s="456"/>
      <c r="AN169" s="457"/>
      <c r="AO169" s="457"/>
      <c r="AP169" s="457"/>
    </row>
    <row r="170" spans="2:42">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36"/>
      <c r="AK170" s="436"/>
      <c r="AL170" s="456"/>
      <c r="AM170" s="456"/>
      <c r="AN170" s="457"/>
      <c r="AO170" s="457"/>
      <c r="AP170" s="457"/>
    </row>
    <row r="171" spans="2:42">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c r="AL171" s="430"/>
      <c r="AM171" s="430"/>
    </row>
    <row r="172" spans="2:42">
      <c r="B172" s="434" t="s">
        <v>1282</v>
      </c>
      <c r="C172" s="435"/>
      <c r="D172" s="435"/>
      <c r="E172" s="435"/>
      <c r="F172" s="464"/>
      <c r="G172" s="464"/>
      <c r="H172" s="464"/>
      <c r="I172" s="464"/>
      <c r="J172" s="464"/>
      <c r="K172" s="464"/>
      <c r="L172" s="464"/>
      <c r="M172" s="464"/>
      <c r="N172" s="464"/>
      <c r="O172" s="464"/>
      <c r="P172" s="464"/>
      <c r="Q172" s="464"/>
      <c r="R172" s="464"/>
      <c r="S172" s="464"/>
      <c r="T172" s="464"/>
      <c r="U172" s="435">
        <f>U154</f>
        <v>2015</v>
      </c>
      <c r="V172" s="435">
        <f t="shared" ref="V172:AD172" si="44">V154</f>
        <v>2016</v>
      </c>
      <c r="W172" s="435">
        <f t="shared" si="44"/>
        <v>2017</v>
      </c>
      <c r="X172" s="435">
        <f t="shared" si="44"/>
        <v>2018</v>
      </c>
      <c r="Y172" s="435">
        <f t="shared" si="44"/>
        <v>2019</v>
      </c>
      <c r="Z172" s="435">
        <f t="shared" si="44"/>
        <v>2020</v>
      </c>
      <c r="AA172" s="435">
        <f t="shared" si="44"/>
        <v>2021</v>
      </c>
      <c r="AB172" s="435">
        <f t="shared" si="44"/>
        <v>2022</v>
      </c>
      <c r="AC172" s="435">
        <f t="shared" si="44"/>
        <v>2023</v>
      </c>
      <c r="AD172" s="435">
        <f t="shared" si="44"/>
        <v>2024</v>
      </c>
      <c r="AE172" s="435">
        <f>AE154</f>
        <v>2025</v>
      </c>
      <c r="AF172" s="435">
        <f>AF154</f>
        <v>2026</v>
      </c>
      <c r="AG172" s="435">
        <f t="shared" ref="AG172:AI172" si="45">AG154</f>
        <v>2026</v>
      </c>
      <c r="AH172" s="435">
        <f t="shared" si="45"/>
        <v>2026</v>
      </c>
      <c r="AI172" s="435">
        <f t="shared" si="45"/>
        <v>2026</v>
      </c>
      <c r="AJ172" s="435">
        <f t="shared" ref="AJ172" si="46">AJ154</f>
        <v>2026</v>
      </c>
      <c r="AK172" s="1860"/>
      <c r="AL172" s="430"/>
      <c r="AM172" s="430"/>
    </row>
    <row r="173" spans="2:42">
      <c r="B173" s="465" t="s">
        <v>1283</v>
      </c>
      <c r="C173" s="466"/>
      <c r="D173" s="466"/>
      <c r="E173" s="466"/>
      <c r="F173" s="466"/>
      <c r="G173" s="466"/>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67"/>
      <c r="AK173" s="467"/>
      <c r="AL173" s="430"/>
      <c r="AM173" s="430"/>
    </row>
    <row r="174" spans="2:42">
      <c r="B174" s="465" t="s">
        <v>392</v>
      </c>
      <c r="C174" s="468"/>
      <c r="D174" s="468"/>
      <c r="E174" s="468"/>
      <c r="F174" s="468"/>
      <c r="G174" s="468"/>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67"/>
      <c r="AK174" s="467"/>
      <c r="AL174" s="430"/>
      <c r="AM174" s="430"/>
    </row>
    <row r="175" spans="2:42">
      <c r="B175" s="465" t="s">
        <v>1284</v>
      </c>
      <c r="C175" s="467"/>
      <c r="D175" s="467"/>
      <c r="E175" s="467"/>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7"/>
      <c r="AL175" s="430"/>
      <c r="AM175" s="430"/>
    </row>
    <row r="176" spans="2:42">
      <c r="B176" s="465" t="s">
        <v>1285</v>
      </c>
      <c r="C176" s="467"/>
      <c r="D176" s="467"/>
      <c r="E176" s="467"/>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7"/>
      <c r="AK176" s="467"/>
      <c r="AL176" s="469"/>
      <c r="AM176" s="469"/>
      <c r="AN176" s="470"/>
      <c r="AO176" s="470"/>
      <c r="AP176" s="470"/>
    </row>
    <row r="177" spans="2:42">
      <c r="B177" s="465" t="s">
        <v>1286</v>
      </c>
      <c r="C177" s="471"/>
      <c r="D177" s="471"/>
      <c r="E177" s="471"/>
      <c r="F177" s="471"/>
      <c r="G177" s="471"/>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7"/>
      <c r="AK177" s="467"/>
      <c r="AL177" s="469"/>
      <c r="AM177" s="469"/>
      <c r="AN177" s="470"/>
      <c r="AO177" s="470"/>
      <c r="AP177" s="470"/>
    </row>
    <row r="178" spans="2:42">
      <c r="B178" s="465" t="s">
        <v>1287</v>
      </c>
      <c r="C178" s="471"/>
      <c r="D178" s="471"/>
      <c r="E178" s="471"/>
      <c r="F178" s="471"/>
      <c r="G178" s="471"/>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7"/>
      <c r="AK178" s="467"/>
      <c r="AL178" s="469"/>
      <c r="AM178" s="469"/>
      <c r="AN178" s="470"/>
      <c r="AO178" s="470"/>
      <c r="AP178" s="470"/>
    </row>
    <row r="179" spans="2:42">
      <c r="B179" s="465" t="s">
        <v>1288</v>
      </c>
      <c r="C179" s="466"/>
      <c r="D179" s="466"/>
      <c r="E179" s="466"/>
      <c r="F179" s="466"/>
      <c r="G179" s="466"/>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9"/>
      <c r="AM179" s="469"/>
      <c r="AN179" s="470"/>
      <c r="AO179" s="470"/>
      <c r="AP179" s="470"/>
    </row>
    <row r="180" spans="2:42">
      <c r="B180" s="465" t="s">
        <v>1289</v>
      </c>
      <c r="C180" s="468"/>
      <c r="D180" s="468"/>
      <c r="E180" s="468"/>
      <c r="F180" s="468"/>
      <c r="G180" s="468"/>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7"/>
      <c r="AK180" s="467"/>
      <c r="AL180" s="469"/>
      <c r="AM180" s="469"/>
      <c r="AN180" s="470"/>
      <c r="AO180" s="470"/>
      <c r="AP180" s="470"/>
    </row>
    <row r="181" spans="2:42" ht="15.75">
      <c r="B181" s="465" t="s">
        <v>1290</v>
      </c>
      <c r="C181" s="472"/>
      <c r="D181" s="472"/>
      <c r="E181" s="472"/>
      <c r="F181" s="472"/>
      <c r="G181" s="472"/>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7"/>
      <c r="AJ181" s="467"/>
      <c r="AK181" s="467"/>
      <c r="AL181" s="469"/>
      <c r="AM181" s="469"/>
      <c r="AN181" s="470"/>
      <c r="AO181" s="470"/>
      <c r="AP181" s="470"/>
    </row>
    <row r="182" spans="2:42" ht="15.75">
      <c r="B182" s="465" t="s">
        <v>1291</v>
      </c>
      <c r="C182" s="472"/>
      <c r="D182" s="472"/>
      <c r="E182" s="472"/>
      <c r="F182" s="472"/>
      <c r="G182" s="472"/>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7"/>
      <c r="AK182" s="467"/>
      <c r="AL182" s="469"/>
      <c r="AM182" s="469"/>
      <c r="AN182" s="470"/>
      <c r="AO182" s="470"/>
      <c r="AP182" s="470"/>
    </row>
    <row r="183" spans="2:42">
      <c r="B183" s="465" t="s">
        <v>1292</v>
      </c>
      <c r="C183" s="467"/>
      <c r="D183" s="467"/>
      <c r="E183" s="467"/>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67"/>
      <c r="AK183" s="467"/>
      <c r="AL183" s="473"/>
      <c r="AM183" s="473"/>
      <c r="AN183" s="474"/>
      <c r="AO183" s="474"/>
      <c r="AP183" s="474"/>
    </row>
    <row r="184" spans="2:42">
      <c r="B184" s="465"/>
      <c r="C184" s="439"/>
      <c r="D184" s="439"/>
      <c r="E184" s="439"/>
      <c r="F184" s="439"/>
      <c r="G184" s="439"/>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67"/>
      <c r="AK184" s="467"/>
      <c r="AL184" s="473"/>
      <c r="AM184" s="473"/>
      <c r="AN184" s="474"/>
      <c r="AO184" s="474"/>
      <c r="AP184" s="474"/>
    </row>
    <row r="185" spans="2:42">
      <c r="B185" s="465"/>
      <c r="C185" s="467"/>
      <c r="D185" s="467"/>
      <c r="E185" s="467"/>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67"/>
      <c r="AK185" s="467"/>
      <c r="AL185" s="430"/>
      <c r="AM185" s="430"/>
    </row>
    <row r="186" spans="2:42">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c r="AL186" s="430"/>
      <c r="AM186" s="430"/>
    </row>
    <row r="187" spans="2:42">
      <c r="B187" s="475" t="s">
        <v>1293</v>
      </c>
      <c r="C187" s="476"/>
      <c r="D187" s="476"/>
      <c r="E187" s="476"/>
      <c r="F187" s="476"/>
      <c r="G187" s="476"/>
      <c r="H187" s="476"/>
      <c r="I187" s="476"/>
      <c r="J187" s="476"/>
      <c r="K187" s="476"/>
      <c r="L187" s="476"/>
      <c r="M187" s="476"/>
      <c r="N187" s="476"/>
      <c r="O187" s="476"/>
      <c r="P187" s="476"/>
      <c r="Q187" s="476"/>
      <c r="R187" s="476"/>
      <c r="S187" s="476"/>
      <c r="T187" s="477"/>
      <c r="U187" s="435">
        <f>U172</f>
        <v>2015</v>
      </c>
      <c r="V187" s="435">
        <f t="shared" ref="V187:AD187" si="47">V172</f>
        <v>2016</v>
      </c>
      <c r="W187" s="435">
        <f t="shared" si="47"/>
        <v>2017</v>
      </c>
      <c r="X187" s="435">
        <f t="shared" si="47"/>
        <v>2018</v>
      </c>
      <c r="Y187" s="435">
        <f t="shared" si="47"/>
        <v>2019</v>
      </c>
      <c r="Z187" s="435">
        <f t="shared" si="47"/>
        <v>2020</v>
      </c>
      <c r="AA187" s="435">
        <f t="shared" si="47"/>
        <v>2021</v>
      </c>
      <c r="AB187" s="435">
        <f t="shared" si="47"/>
        <v>2022</v>
      </c>
      <c r="AC187" s="435">
        <f t="shared" si="47"/>
        <v>2023</v>
      </c>
      <c r="AD187" s="435">
        <f t="shared" si="47"/>
        <v>2024</v>
      </c>
      <c r="AE187" s="435">
        <f>AE172</f>
        <v>2025</v>
      </c>
      <c r="AF187" s="435">
        <f>AF172</f>
        <v>2026</v>
      </c>
      <c r="AG187" s="435">
        <f t="shared" ref="AG187:AI187" si="48">AG172</f>
        <v>2026</v>
      </c>
      <c r="AH187" s="435">
        <f t="shared" si="48"/>
        <v>2026</v>
      </c>
      <c r="AI187" s="435">
        <f t="shared" si="48"/>
        <v>2026</v>
      </c>
      <c r="AJ187" s="435">
        <f t="shared" ref="AJ187" si="49">AJ172</f>
        <v>2026</v>
      </c>
      <c r="AK187" s="1860"/>
      <c r="AL187" s="430"/>
      <c r="AM187" s="430"/>
    </row>
    <row r="188" spans="2:42">
      <c r="B188" s="474" t="s">
        <v>557</v>
      </c>
      <c r="C188" s="478"/>
      <c r="D188" s="478"/>
      <c r="E188" s="478"/>
      <c r="F188" s="478"/>
      <c r="G188" s="478"/>
      <c r="H188" s="478"/>
      <c r="I188" s="478"/>
      <c r="J188" s="478"/>
      <c r="K188" s="478"/>
      <c r="L188" s="478"/>
      <c r="M188" s="478"/>
      <c r="N188" s="478"/>
      <c r="O188" s="478"/>
      <c r="P188" s="478"/>
      <c r="Q188" s="478"/>
      <c r="R188" s="478"/>
      <c r="S188" s="478"/>
      <c r="T188" s="478"/>
      <c r="U188" s="478">
        <f>LiLAC!P4</f>
        <v>4132.2</v>
      </c>
      <c r="V188" s="478">
        <f>LiLAC!Q4</f>
        <v>4308.8999999999996</v>
      </c>
      <c r="W188" s="478">
        <f>LiLAC!R4</f>
        <v>4517</v>
      </c>
      <c r="X188" s="478">
        <f>LiLAC!S4</f>
        <v>4643</v>
      </c>
      <c r="Y188" s="478">
        <f>LiLAC!T4</f>
        <v>4686</v>
      </c>
      <c r="Z188" s="478">
        <f>LiLAC!U4</f>
        <v>4729</v>
      </c>
      <c r="AA188" s="478">
        <f>LiLAC!V4</f>
        <v>4772</v>
      </c>
      <c r="AB188" s="478">
        <f>LiLAC!W4</f>
        <v>4815</v>
      </c>
      <c r="AC188" s="478">
        <f>LiLAC!X4</f>
        <v>4858</v>
      </c>
      <c r="AD188" s="478">
        <f>LiLAC!Y4</f>
        <v>4901</v>
      </c>
      <c r="AE188" s="478">
        <f>LiLAC!Z4</f>
        <v>4944</v>
      </c>
      <c r="AF188" s="478"/>
      <c r="AG188" s="478"/>
      <c r="AH188" s="478"/>
      <c r="AI188" s="478"/>
      <c r="AJ188" s="478"/>
      <c r="AK188" s="478"/>
      <c r="AL188" s="430"/>
      <c r="AM188" s="430"/>
    </row>
    <row r="189" spans="2:42">
      <c r="B189" s="474" t="s">
        <v>558</v>
      </c>
      <c r="C189" s="478"/>
      <c r="D189" s="478"/>
      <c r="E189" s="478"/>
      <c r="F189" s="478"/>
      <c r="G189" s="478"/>
      <c r="H189" s="478"/>
      <c r="I189" s="478"/>
      <c r="J189" s="478"/>
      <c r="K189" s="478"/>
      <c r="L189" s="478"/>
      <c r="M189" s="478"/>
      <c r="N189" s="478"/>
      <c r="O189" s="478"/>
      <c r="P189" s="478"/>
      <c r="Q189" s="478"/>
      <c r="R189" s="478"/>
      <c r="S189" s="478"/>
      <c r="T189" s="478"/>
      <c r="U189" s="478">
        <f>LiLAC!P5</f>
        <v>3615.8</v>
      </c>
      <c r="V189" s="478">
        <f>LiLAC!Q5</f>
        <v>3802.8</v>
      </c>
      <c r="W189" s="478">
        <f>LiLAC!R5</f>
        <v>4035.1000000000004</v>
      </c>
      <c r="X189" s="478">
        <f>LiLAC!S5</f>
        <v>4188</v>
      </c>
      <c r="Y189" s="478">
        <f>LiLAC!T5</f>
        <v>4180.9610775620822</v>
      </c>
      <c r="Z189" s="478">
        <f>LiLAC!U5</f>
        <v>4218.2828143871329</v>
      </c>
      <c r="AA189" s="478">
        <f>LiLAC!V5</f>
        <v>4255.6045512121837</v>
      </c>
      <c r="AB189" s="478">
        <f>LiLAC!W5</f>
        <v>4292.9262880372344</v>
      </c>
      <c r="AC189" s="478">
        <f>LiLAC!X5</f>
        <v>4330.248024862286</v>
      </c>
      <c r="AD189" s="478">
        <f>LiLAC!Y5</f>
        <v>4367.5697616873367</v>
      </c>
      <c r="AE189" s="478">
        <f>LiLAC!Z5</f>
        <v>4404.8914985123874</v>
      </c>
      <c r="AF189" s="478"/>
      <c r="AG189" s="478"/>
      <c r="AH189" s="478"/>
      <c r="AI189" s="478"/>
      <c r="AJ189" s="478"/>
      <c r="AK189" s="478"/>
      <c r="AL189" s="430"/>
      <c r="AM189" s="430"/>
    </row>
    <row r="190" spans="2:42">
      <c r="B190" s="474" t="s">
        <v>559</v>
      </c>
      <c r="C190" s="478"/>
      <c r="D190" s="478"/>
      <c r="E190" s="478"/>
      <c r="F190" s="478"/>
      <c r="G190" s="478"/>
      <c r="H190" s="478"/>
      <c r="I190" s="478"/>
      <c r="J190" s="478"/>
      <c r="K190" s="478"/>
      <c r="L190" s="478"/>
      <c r="M190" s="478"/>
      <c r="N190" s="478"/>
      <c r="O190" s="478"/>
      <c r="P190" s="478"/>
      <c r="Q190" s="478"/>
      <c r="R190" s="478"/>
      <c r="S190" s="478"/>
      <c r="T190" s="478"/>
      <c r="U190" s="478">
        <f>LiLAC!P6</f>
        <v>1664.3000000000002</v>
      </c>
      <c r="V190" s="478">
        <f>LiLAC!Q6</f>
        <v>1732.6000000000001</v>
      </c>
      <c r="W190" s="478">
        <f>LiLAC!R6</f>
        <v>1810.6000000000001</v>
      </c>
      <c r="X190" s="478">
        <f>LiLAC!S6</f>
        <v>1874.8130000000001</v>
      </c>
      <c r="Y190" s="478">
        <f>LiLAC!T6</f>
        <v>1899.2270899999999</v>
      </c>
      <c r="Z190" s="478">
        <f>LiLAC!U6</f>
        <v>1924.1030705000001</v>
      </c>
      <c r="AA190" s="478">
        <f>LiLAC!V6</f>
        <v>1949.449915397</v>
      </c>
      <c r="AB190" s="478">
        <f>LiLAC!W6</f>
        <v>1975.27677542681</v>
      </c>
      <c r="AC190" s="478">
        <f>LiLAC!X6</f>
        <v>2001.5929816744351</v>
      </c>
      <c r="AD190" s="478">
        <f>LiLAC!Y6</f>
        <v>2028.4080491544032</v>
      </c>
      <c r="AE190" s="478">
        <f>LiLAC!Z6</f>
        <v>2055.7316804624356</v>
      </c>
      <c r="AF190" s="478"/>
      <c r="AG190" s="478"/>
      <c r="AH190" s="478"/>
      <c r="AI190" s="478"/>
      <c r="AJ190" s="478"/>
      <c r="AK190" s="478"/>
      <c r="AL190" s="430"/>
      <c r="AM190" s="430"/>
    </row>
    <row r="191" spans="2:42">
      <c r="B191" s="474" t="s">
        <v>1294</v>
      </c>
      <c r="C191" s="478"/>
      <c r="D191" s="478"/>
      <c r="E191" s="478"/>
      <c r="F191" s="478"/>
      <c r="G191" s="478"/>
      <c r="H191" s="478"/>
      <c r="I191" s="478"/>
      <c r="J191" s="478"/>
      <c r="K191" s="478"/>
      <c r="L191" s="478"/>
      <c r="M191" s="478"/>
      <c r="N191" s="478"/>
      <c r="O191" s="478"/>
      <c r="P191" s="478"/>
      <c r="Q191" s="478"/>
      <c r="R191" s="478"/>
      <c r="S191" s="478"/>
      <c r="T191" s="478"/>
      <c r="U191" s="478">
        <f>LiLAC!P10</f>
        <v>1289.9000000000001</v>
      </c>
      <c r="V191" s="478">
        <f>LiLAC!Q10</f>
        <v>1308.5999999999999</v>
      </c>
      <c r="W191" s="478">
        <f>LiLAC!R10</f>
        <v>1328.7</v>
      </c>
      <c r="X191" s="478">
        <f>LiLAC!S10</f>
        <v>1352.6610000000001</v>
      </c>
      <c r="Y191" s="478">
        <f>LiLAC!T10</f>
        <v>1377.07509</v>
      </c>
      <c r="Z191" s="478">
        <f>LiLAC!U10</f>
        <v>1401.9510705000002</v>
      </c>
      <c r="AA191" s="478">
        <f>LiLAC!V10</f>
        <v>1427.297915397</v>
      </c>
      <c r="AB191" s="478">
        <f>LiLAC!W10</f>
        <v>1453.1247754268102</v>
      </c>
      <c r="AC191" s="478">
        <f>LiLAC!X10</f>
        <v>1479.4409816744351</v>
      </c>
      <c r="AD191" s="478">
        <f>LiLAC!Y10</f>
        <v>1506.2560491544034</v>
      </c>
      <c r="AE191" s="478">
        <f>LiLAC!Z10</f>
        <v>1533.5796804624358</v>
      </c>
      <c r="AF191" s="478"/>
      <c r="AG191" s="478"/>
      <c r="AH191" s="478"/>
      <c r="AI191" s="478"/>
      <c r="AJ191" s="478"/>
      <c r="AK191" s="478"/>
      <c r="AL191" s="430"/>
      <c r="AM191" s="430"/>
    </row>
    <row r="192" spans="2:42">
      <c r="B192" s="474" t="s">
        <v>1295</v>
      </c>
      <c r="C192" s="478"/>
      <c r="D192" s="478"/>
      <c r="E192" s="478"/>
      <c r="F192" s="478"/>
      <c r="G192" s="478"/>
      <c r="H192" s="478"/>
      <c r="I192" s="478"/>
      <c r="J192" s="478"/>
      <c r="K192" s="478"/>
      <c r="L192" s="478"/>
      <c r="M192" s="478"/>
      <c r="N192" s="478"/>
      <c r="O192" s="478"/>
      <c r="P192" s="478"/>
      <c r="Q192" s="478"/>
      <c r="R192" s="478"/>
      <c r="S192" s="478"/>
      <c r="T192" s="478"/>
      <c r="U192" s="478">
        <f>LiLAC!P7</f>
        <v>93.8</v>
      </c>
      <c r="V192" s="478">
        <f>LiLAC!Q7</f>
        <v>93.8</v>
      </c>
      <c r="W192" s="478">
        <f>LiLAC!R7</f>
        <v>67.5</v>
      </c>
      <c r="X192" s="478">
        <f>LiLAC!S7</f>
        <v>21.774960000000021</v>
      </c>
      <c r="Y192" s="478">
        <f>LiLAC!T7</f>
        <v>0</v>
      </c>
      <c r="Z192" s="478">
        <f>LiLAC!U7</f>
        <v>0</v>
      </c>
      <c r="AA192" s="478">
        <f>LiLAC!V7</f>
        <v>0</v>
      </c>
      <c r="AB192" s="478">
        <f>LiLAC!W7</f>
        <v>0</v>
      </c>
      <c r="AC192" s="478">
        <f>LiLAC!X7</f>
        <v>0</v>
      </c>
      <c r="AD192" s="478">
        <f>LiLAC!Y7</f>
        <v>0</v>
      </c>
      <c r="AE192" s="478">
        <f>LiLAC!Z7</f>
        <v>0</v>
      </c>
      <c r="AF192" s="478"/>
      <c r="AG192" s="478"/>
      <c r="AH192" s="478"/>
      <c r="AI192" s="478"/>
      <c r="AJ192" s="478"/>
      <c r="AK192" s="478"/>
      <c r="AL192" s="430"/>
      <c r="AM192" s="430"/>
    </row>
    <row r="193" spans="2:39">
      <c r="B193" s="474" t="s">
        <v>1296</v>
      </c>
      <c r="C193" s="478"/>
      <c r="D193" s="478"/>
      <c r="E193" s="478"/>
      <c r="F193" s="478"/>
      <c r="G193" s="478"/>
      <c r="H193" s="478"/>
      <c r="I193" s="478"/>
      <c r="J193" s="478"/>
      <c r="K193" s="478"/>
      <c r="L193" s="478"/>
      <c r="M193" s="478"/>
      <c r="N193" s="478"/>
      <c r="O193" s="478"/>
      <c r="P193" s="478"/>
      <c r="Q193" s="478"/>
      <c r="R193" s="478"/>
      <c r="S193" s="478"/>
      <c r="T193" s="478"/>
      <c r="U193" s="478">
        <f>LiLAC!P8</f>
        <v>1196.0999999999999</v>
      </c>
      <c r="V193" s="478">
        <f>LiLAC!Q8</f>
        <v>1214.8</v>
      </c>
      <c r="W193" s="478">
        <f>LiLAC!R8</f>
        <v>1261.2</v>
      </c>
      <c r="X193" s="478">
        <f>LiLAC!S8</f>
        <v>1330.8860400000001</v>
      </c>
      <c r="Y193" s="478">
        <f>LiLAC!T8</f>
        <v>1377.07509</v>
      </c>
      <c r="Z193" s="478">
        <f>LiLAC!U8</f>
        <v>1401.9510705000002</v>
      </c>
      <c r="AA193" s="478">
        <f>LiLAC!V8</f>
        <v>1427.297915397</v>
      </c>
      <c r="AB193" s="478">
        <f>LiLAC!W8</f>
        <v>1453.1247754268102</v>
      </c>
      <c r="AC193" s="478">
        <f>LiLAC!X8</f>
        <v>1479.4409816744351</v>
      </c>
      <c r="AD193" s="478">
        <f>LiLAC!Y8</f>
        <v>1506.2560491544034</v>
      </c>
      <c r="AE193" s="478">
        <f>LiLAC!Z8</f>
        <v>1533.5796804624358</v>
      </c>
      <c r="AF193" s="478"/>
      <c r="AG193" s="478"/>
      <c r="AH193" s="478"/>
      <c r="AI193" s="478"/>
      <c r="AJ193" s="478"/>
      <c r="AK193" s="478"/>
      <c r="AL193" s="430"/>
      <c r="AM193" s="430"/>
    </row>
    <row r="194" spans="2:39">
      <c r="B194" s="474" t="s">
        <v>1297</v>
      </c>
      <c r="C194" s="478"/>
      <c r="D194" s="478"/>
      <c r="E194" s="478"/>
      <c r="F194" s="478"/>
      <c r="G194" s="478"/>
      <c r="H194" s="478"/>
      <c r="I194" s="478"/>
      <c r="J194" s="478"/>
      <c r="K194" s="478"/>
      <c r="L194" s="478"/>
      <c r="M194" s="478"/>
      <c r="N194" s="478"/>
      <c r="O194" s="478"/>
      <c r="P194" s="478"/>
      <c r="Q194" s="478"/>
      <c r="R194" s="478"/>
      <c r="S194" s="478"/>
      <c r="T194" s="478"/>
      <c r="U194" s="478">
        <f>LiLAC!P12</f>
        <v>883.9</v>
      </c>
      <c r="V194" s="478">
        <f>LiLAC!Q12</f>
        <v>865.8</v>
      </c>
      <c r="W194" s="478">
        <f ca="1">LiLAC!R12</f>
        <v>847.90000000000009</v>
      </c>
      <c r="X194" s="478">
        <f ca="1">LiLAC!S12</f>
        <v>857.90000000000009</v>
      </c>
      <c r="Y194" s="478">
        <f ca="1">LiLAC!T12</f>
        <v>867.90000000000009</v>
      </c>
      <c r="Z194" s="478">
        <f ca="1">LiLAC!U12</f>
        <v>877.90000000000009</v>
      </c>
      <c r="AA194" s="478">
        <f ca="1">LiLAC!V12</f>
        <v>887.90000000000009</v>
      </c>
      <c r="AB194" s="478">
        <f ca="1">LiLAC!W12</f>
        <v>897.90000000000009</v>
      </c>
      <c r="AC194" s="478">
        <f ca="1">LiLAC!X12</f>
        <v>907.90000000000009</v>
      </c>
      <c r="AD194" s="478">
        <f ca="1">LiLAC!Y12</f>
        <v>917.90000000000009</v>
      </c>
      <c r="AE194" s="478">
        <f ca="1">LiLAC!Z12</f>
        <v>927.90000000000009</v>
      </c>
      <c r="AF194" s="478"/>
      <c r="AG194" s="478"/>
      <c r="AH194" s="478"/>
      <c r="AI194" s="478"/>
      <c r="AJ194" s="478"/>
      <c r="AK194" s="478"/>
      <c r="AL194" s="430"/>
      <c r="AM194" s="430"/>
    </row>
    <row r="195" spans="2:39">
      <c r="B195" s="474" t="s">
        <v>1298</v>
      </c>
      <c r="C195" s="478"/>
      <c r="D195" s="478"/>
      <c r="E195" s="478"/>
      <c r="F195" s="478"/>
      <c r="G195" s="478"/>
      <c r="H195" s="478"/>
      <c r="I195" s="478"/>
      <c r="J195" s="478"/>
      <c r="K195" s="478"/>
      <c r="L195" s="478"/>
      <c r="M195" s="478"/>
      <c r="N195" s="478"/>
      <c r="O195" s="478"/>
      <c r="P195" s="478"/>
      <c r="Q195" s="478"/>
      <c r="R195" s="478"/>
      <c r="S195" s="478"/>
      <c r="T195" s="478"/>
      <c r="U195" s="478">
        <f>LiLAC!P11</f>
        <v>1322.1</v>
      </c>
      <c r="V195" s="478">
        <f>LiLAC!Q11</f>
        <v>1420.2</v>
      </c>
      <c r="W195" s="478">
        <f>LiLAC!R11</f>
        <v>1525.6</v>
      </c>
      <c r="X195" s="478">
        <f>LiLAC!S11</f>
        <v>1570.6</v>
      </c>
      <c r="Y195" s="478">
        <f>LiLAC!T11</f>
        <v>1605.6</v>
      </c>
      <c r="Z195" s="478">
        <f>LiLAC!U11</f>
        <v>1640.6</v>
      </c>
      <c r="AA195" s="478">
        <f>LiLAC!V11</f>
        <v>1675.6</v>
      </c>
      <c r="AB195" s="478">
        <f>LiLAC!W11</f>
        <v>1710.6</v>
      </c>
      <c r="AC195" s="478">
        <f>LiLAC!X11</f>
        <v>1745.6</v>
      </c>
      <c r="AD195" s="478">
        <f>LiLAC!Y11</f>
        <v>1780.6</v>
      </c>
      <c r="AE195" s="478">
        <f>LiLAC!Z11</f>
        <v>1815.6</v>
      </c>
      <c r="AF195" s="478"/>
      <c r="AG195" s="478"/>
      <c r="AH195" s="478"/>
      <c r="AI195" s="478"/>
      <c r="AJ195" s="478"/>
      <c r="AK195" s="478"/>
      <c r="AL195" s="430"/>
      <c r="AM195" s="430"/>
    </row>
    <row r="196" spans="2:39">
      <c r="B196" s="474" t="s">
        <v>1299</v>
      </c>
      <c r="C196" s="478"/>
      <c r="D196" s="478"/>
      <c r="E196" s="478"/>
      <c r="F196" s="478"/>
      <c r="G196" s="478"/>
      <c r="H196" s="478"/>
      <c r="I196" s="478"/>
      <c r="J196" s="478"/>
      <c r="K196" s="478"/>
      <c r="L196" s="478"/>
      <c r="M196" s="478"/>
      <c r="N196" s="478"/>
      <c r="O196" s="478"/>
      <c r="P196" s="478"/>
      <c r="Q196" s="478"/>
      <c r="R196" s="478"/>
      <c r="S196" s="478"/>
      <c r="T196" s="478"/>
      <c r="U196" s="478">
        <f>LiLAC!P20</f>
        <v>3495.9</v>
      </c>
      <c r="V196" s="478">
        <f>LiLAC!Q20</f>
        <v>3594.6</v>
      </c>
      <c r="W196" s="478">
        <f ca="1">LiLAC!R20</f>
        <v>3702.2</v>
      </c>
      <c r="X196" s="478">
        <f ca="1">LiLAC!S20</f>
        <v>3781.1610000000001</v>
      </c>
      <c r="Y196" s="478">
        <f ca="1">LiLAC!T20</f>
        <v>3850.5750899999994</v>
      </c>
      <c r="Z196" s="478">
        <f ca="1">LiLAC!U20</f>
        <v>3920.4510705000002</v>
      </c>
      <c r="AA196" s="478">
        <f ca="1">LiLAC!V20</f>
        <v>3990.797915397</v>
      </c>
      <c r="AB196" s="478">
        <f ca="1">LiLAC!W20</f>
        <v>4061.6247754268102</v>
      </c>
      <c r="AC196" s="478">
        <f ca="1">LiLAC!X20</f>
        <v>4132.9409816744346</v>
      </c>
      <c r="AD196" s="478">
        <f ca="1">LiLAC!Y20</f>
        <v>4204.7560491544027</v>
      </c>
      <c r="AE196" s="478">
        <f ca="1">LiLAC!Z20</f>
        <v>4277.0796804624351</v>
      </c>
      <c r="AF196" s="478"/>
      <c r="AG196" s="478"/>
      <c r="AH196" s="478"/>
      <c r="AI196" s="478"/>
      <c r="AJ196" s="478"/>
      <c r="AK196" s="478"/>
      <c r="AL196" s="430"/>
      <c r="AM196" s="430"/>
    </row>
    <row r="197" spans="2:39">
      <c r="B197" s="474" t="s">
        <v>647</v>
      </c>
      <c r="C197" s="478"/>
      <c r="D197" s="478"/>
      <c r="E197" s="478"/>
      <c r="F197" s="478"/>
      <c r="G197" s="478"/>
      <c r="H197" s="478"/>
      <c r="I197" s="478"/>
      <c r="J197" s="478"/>
      <c r="K197" s="478"/>
      <c r="L197" s="478"/>
      <c r="M197" s="478"/>
      <c r="N197" s="478"/>
      <c r="O197" s="478"/>
      <c r="P197" s="478"/>
      <c r="Q197" s="478"/>
      <c r="R197" s="478"/>
      <c r="S197" s="478"/>
      <c r="T197" s="478"/>
      <c r="U197" s="478">
        <f>LiLAC!P54</f>
        <v>1212.5333333333333</v>
      </c>
      <c r="V197" s="478">
        <f>LiLAC!Q54</f>
        <v>1279.4090119933155</v>
      </c>
      <c r="W197" s="478">
        <f>LiLAC!R54</f>
        <v>1272.9112207151666</v>
      </c>
      <c r="X197" s="478">
        <f>LiLAC!S54</f>
        <v>1335.7165766952999</v>
      </c>
      <c r="Y197" s="478">
        <f ca="1">LiLAC!T54</f>
        <v>1359.4065288314603</v>
      </c>
      <c r="Z197" s="478">
        <f ca="1">LiLAC!U54</f>
        <v>1296.7399477283195</v>
      </c>
      <c r="AA197" s="478">
        <f ca="1">LiLAC!V54</f>
        <v>1382.1592910461954</v>
      </c>
      <c r="AB197" s="478">
        <f ca="1">LiLAC!W54</f>
        <v>1301.0411611961185</v>
      </c>
      <c r="AC197" s="478">
        <f ca="1">LiLAC!X54</f>
        <v>1432.2297683022516</v>
      </c>
      <c r="AD197" s="478">
        <f ca="1">LiLAC!Y54</f>
        <v>1466.5088123647542</v>
      </c>
      <c r="AE197" s="478">
        <f ca="1">LiLAC!Z54</f>
        <v>1516.9878285164214</v>
      </c>
      <c r="AF197" s="478"/>
      <c r="AG197" s="478"/>
      <c r="AH197" s="478"/>
      <c r="AI197" s="478"/>
      <c r="AJ197" s="478"/>
      <c r="AK197" s="478"/>
      <c r="AL197" s="430"/>
      <c r="AM197" s="430"/>
    </row>
    <row r="198" spans="2:39">
      <c r="B198" s="474" t="s">
        <v>1300</v>
      </c>
      <c r="C198" s="478"/>
      <c r="D198" s="478"/>
      <c r="E198" s="478"/>
      <c r="F198" s="478"/>
      <c r="G198" s="478"/>
      <c r="H198" s="478"/>
      <c r="I198" s="478"/>
      <c r="J198" s="478"/>
      <c r="K198" s="478"/>
      <c r="L198" s="478"/>
      <c r="M198" s="478"/>
      <c r="N198" s="478"/>
      <c r="O198" s="478"/>
      <c r="P198" s="478"/>
      <c r="Q198" s="478"/>
      <c r="R198" s="478"/>
      <c r="S198" s="478"/>
      <c r="T198" s="478"/>
      <c r="U198" s="478">
        <f>LiLAC!P72</f>
        <v>1093.6260334855403</v>
      </c>
      <c r="V198" s="478">
        <f>LiLAC!Q72</f>
        <v>1147.1082879223909</v>
      </c>
      <c r="W198" s="478">
        <f>LiLAC!R72</f>
        <v>1124.319952729963</v>
      </c>
      <c r="X198" s="478">
        <f>LiLAC!S72</f>
        <v>1173.3532949045666</v>
      </c>
      <c r="Y198" s="478">
        <f ca="1">LiLAC!T72</f>
        <v>1198.3704353665582</v>
      </c>
      <c r="Z198" s="478">
        <f ca="1">LiLAC!U72</f>
        <v>1140.7823082077057</v>
      </c>
      <c r="AA198" s="478">
        <f ca="1">LiLAC!V72</f>
        <v>1213.5444392161176</v>
      </c>
      <c r="AB198" s="478">
        <f ca="1">LiLAC!W72</f>
        <v>1140.7136797555527</v>
      </c>
      <c r="AC198" s="478">
        <f ca="1">LiLAC!X72</f>
        <v>1254.0364503466117</v>
      </c>
      <c r="AD198" s="478">
        <f ca="1">LiLAC!Y72</f>
        <v>1282.7840665978827</v>
      </c>
      <c r="AE198" s="478">
        <f ca="1">LiLAC!Z72</f>
        <v>1325.9606195502465</v>
      </c>
      <c r="AF198" s="478"/>
      <c r="AG198" s="478"/>
      <c r="AH198" s="478"/>
      <c r="AI198" s="478"/>
      <c r="AJ198" s="478"/>
      <c r="AK198" s="478"/>
      <c r="AL198" s="430"/>
      <c r="AM198" s="430"/>
    </row>
    <row r="199" spans="2:39">
      <c r="B199" s="474" t="s">
        <v>1301</v>
      </c>
      <c r="C199" s="478"/>
      <c r="D199" s="478"/>
      <c r="E199" s="478"/>
      <c r="F199" s="478"/>
      <c r="G199" s="478"/>
      <c r="H199" s="478"/>
      <c r="I199" s="478"/>
      <c r="J199" s="478"/>
      <c r="K199" s="478"/>
      <c r="L199" s="478"/>
      <c r="M199" s="478"/>
      <c r="N199" s="478"/>
      <c r="O199" s="478"/>
      <c r="P199" s="478"/>
      <c r="Q199" s="478"/>
      <c r="R199" s="478"/>
      <c r="S199" s="478"/>
      <c r="T199" s="478"/>
      <c r="U199" s="478">
        <f>LiLAC!P61</f>
        <v>34.128</v>
      </c>
      <c r="V199" s="478">
        <f>LiLAC!Q61</f>
        <v>39.134399999999999</v>
      </c>
      <c r="W199" s="478">
        <f>LiLAC!R61</f>
        <v>40.699776</v>
      </c>
      <c r="X199" s="478">
        <f>LiLAC!S61</f>
        <v>42.327767040000005</v>
      </c>
      <c r="Y199" s="478">
        <f>LiLAC!T61</f>
        <v>44.020877721600009</v>
      </c>
      <c r="Z199" s="478">
        <f>LiLAC!U61</f>
        <v>45.781712830464009</v>
      </c>
      <c r="AA199" s="478">
        <f>LiLAC!V61</f>
        <v>47.61298134368257</v>
      </c>
      <c r="AB199" s="478">
        <f>LiLAC!W61</f>
        <v>49.517500597429873</v>
      </c>
      <c r="AC199" s="478">
        <f>LiLAC!X61</f>
        <v>51.498200621327072</v>
      </c>
      <c r="AD199" s="478">
        <f>LiLAC!Y61</f>
        <v>53.558128646180158</v>
      </c>
      <c r="AE199" s="478">
        <f>LiLAC!Z61</f>
        <v>55.700453792027368</v>
      </c>
      <c r="AF199" s="478"/>
      <c r="AG199" s="478"/>
      <c r="AH199" s="478"/>
      <c r="AI199" s="478"/>
      <c r="AJ199" s="478"/>
      <c r="AK199" s="478"/>
      <c r="AL199" s="430"/>
      <c r="AM199" s="430"/>
    </row>
    <row r="200" spans="2:39">
      <c r="B200" s="474" t="s">
        <v>1302</v>
      </c>
      <c r="C200" s="478"/>
      <c r="D200" s="478"/>
      <c r="E200" s="478"/>
      <c r="F200" s="478"/>
      <c r="G200" s="478"/>
      <c r="H200" s="478"/>
      <c r="I200" s="478"/>
      <c r="J200" s="478"/>
      <c r="K200" s="478"/>
      <c r="L200" s="478"/>
      <c r="M200" s="478"/>
      <c r="N200" s="478"/>
      <c r="O200" s="478"/>
      <c r="P200" s="478"/>
      <c r="Q200" s="478"/>
      <c r="R200" s="478"/>
      <c r="S200" s="478"/>
      <c r="T200" s="478"/>
      <c r="U200" s="478">
        <f>U197-U198</f>
        <v>118.90729984779296</v>
      </c>
      <c r="V200" s="478">
        <f t="shared" ref="V200:AE200" si="50">V197-V198</f>
        <v>132.30072407092462</v>
      </c>
      <c r="W200" s="478">
        <f t="shared" si="50"/>
        <v>148.59126798520356</v>
      </c>
      <c r="X200" s="478">
        <f t="shared" si="50"/>
        <v>162.36328179073325</v>
      </c>
      <c r="Y200" s="478">
        <f t="shared" ca="1" si="50"/>
        <v>161.03609346490202</v>
      </c>
      <c r="Z200" s="478">
        <f t="shared" ca="1" si="50"/>
        <v>155.95763952061384</v>
      </c>
      <c r="AA200" s="478">
        <f t="shared" ca="1" si="50"/>
        <v>168.6148518300779</v>
      </c>
      <c r="AB200" s="478">
        <f t="shared" ca="1" si="50"/>
        <v>160.32748144056586</v>
      </c>
      <c r="AC200" s="478">
        <f t="shared" ca="1" si="50"/>
        <v>178.19331795563994</v>
      </c>
      <c r="AD200" s="478">
        <f t="shared" ca="1" si="50"/>
        <v>183.72474576687159</v>
      </c>
      <c r="AE200" s="478">
        <f t="shared" ca="1" si="50"/>
        <v>191.02720896617484</v>
      </c>
      <c r="AF200" s="478"/>
      <c r="AG200" s="478"/>
      <c r="AH200" s="478"/>
      <c r="AI200" s="478"/>
      <c r="AJ200" s="478"/>
      <c r="AK200" s="478"/>
      <c r="AL200" s="430"/>
      <c r="AM200" s="430"/>
    </row>
    <row r="201" spans="2:39">
      <c r="B201" s="474" t="s">
        <v>8</v>
      </c>
      <c r="C201" s="478"/>
      <c r="D201" s="478"/>
      <c r="E201" s="478"/>
      <c r="F201" s="478"/>
      <c r="G201" s="478"/>
      <c r="H201" s="478"/>
      <c r="I201" s="478"/>
      <c r="J201" s="478"/>
      <c r="K201" s="478"/>
      <c r="L201" s="478"/>
      <c r="M201" s="478"/>
      <c r="N201" s="478"/>
      <c r="O201" s="478"/>
      <c r="P201" s="478"/>
      <c r="Q201" s="478"/>
      <c r="R201" s="478"/>
      <c r="S201" s="478"/>
      <c r="T201" s="478"/>
      <c r="U201" s="478">
        <f>LiLAC!P115</f>
        <v>492.17960426179599</v>
      </c>
      <c r="V201" s="478">
        <f>LiLAC!Q115</f>
        <v>537.60007689918814</v>
      </c>
      <c r="W201" s="478">
        <f>LiLAC!R115</f>
        <v>515.55240443896423</v>
      </c>
      <c r="X201" s="478">
        <f>LiLAC!S115</f>
        <v>540.22816630963553</v>
      </c>
      <c r="Y201" s="478">
        <f ca="1">LiLAC!T115</f>
        <v>566.17238427977122</v>
      </c>
      <c r="Z201" s="478">
        <f ca="1">LiLAC!U115</f>
        <v>542.78369508242281</v>
      </c>
      <c r="AA201" s="478">
        <f ca="1">LiLAC!V115</f>
        <v>583.60429486547662</v>
      </c>
      <c r="AB201" s="478">
        <f ca="1">LiLAC!W115</f>
        <v>556.32156457448002</v>
      </c>
      <c r="AC201" s="478">
        <f ca="1">LiLAC!X115</f>
        <v>612.0738014939343</v>
      </c>
      <c r="AD201" s="478">
        <f ca="1">LiLAC!Y115</f>
        <v>628.00332144745948</v>
      </c>
      <c r="AE201" s="478">
        <f ca="1">LiLAC!Z115</f>
        <v>650.61365950679999</v>
      </c>
      <c r="AF201" s="478"/>
      <c r="AG201" s="478"/>
      <c r="AH201" s="478"/>
      <c r="AI201" s="478"/>
      <c r="AJ201" s="478"/>
      <c r="AK201" s="478"/>
      <c r="AL201" s="430"/>
      <c r="AM201" s="430"/>
    </row>
    <row r="202" spans="2:39">
      <c r="B202" s="474" t="s">
        <v>1303</v>
      </c>
      <c r="C202" s="478"/>
      <c r="D202" s="478"/>
      <c r="E202" s="478"/>
      <c r="F202" s="478"/>
      <c r="G202" s="478"/>
      <c r="H202" s="478"/>
      <c r="I202" s="478"/>
      <c r="J202" s="478"/>
      <c r="K202" s="478"/>
      <c r="L202" s="478"/>
      <c r="M202" s="478"/>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478"/>
      <c r="AJ202" s="478"/>
      <c r="AK202" s="478"/>
      <c r="AL202" s="430"/>
      <c r="AM202" s="430"/>
    </row>
    <row r="203" spans="2:39">
      <c r="B203" s="474" t="s">
        <v>1304</v>
      </c>
      <c r="C203" s="478"/>
      <c r="D203" s="478"/>
      <c r="E203" s="478"/>
      <c r="F203" s="478"/>
      <c r="G203" s="478"/>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30"/>
      <c r="AM203" s="430"/>
    </row>
    <row r="204" spans="2:39">
      <c r="B204" s="474" t="s">
        <v>19</v>
      </c>
      <c r="C204" s="478"/>
      <c r="D204" s="478"/>
      <c r="E204" s="478"/>
      <c r="F204" s="478"/>
      <c r="G204" s="478"/>
      <c r="H204" s="478"/>
      <c r="I204" s="478"/>
      <c r="J204" s="478"/>
      <c r="K204" s="478"/>
      <c r="L204" s="478"/>
      <c r="M204" s="478"/>
      <c r="N204" s="478"/>
      <c r="O204" s="478"/>
      <c r="P204" s="478"/>
      <c r="Q204" s="478"/>
      <c r="R204" s="478"/>
      <c r="S204" s="478"/>
      <c r="T204" s="478"/>
      <c r="U204" s="478">
        <f>LiLAC!P118</f>
        <v>224.8275494672755</v>
      </c>
      <c r="V204" s="478">
        <f>LiLAC!Q118</f>
        <v>286.20563138669939</v>
      </c>
      <c r="W204" s="478">
        <f>LiLAC!R118</f>
        <v>344.54623921085084</v>
      </c>
      <c r="X204" s="478">
        <f>LiLAC!S118</f>
        <v>368.14695681374383</v>
      </c>
      <c r="Y204" s="478">
        <f ca="1">LiLAC!T118</f>
        <v>289.3751385858975</v>
      </c>
      <c r="Z204" s="478">
        <f ca="1">LiLAC!U118</f>
        <v>255.37372365336742</v>
      </c>
      <c r="AA204" s="478">
        <f ca="1">LiLAC!V118</f>
        <v>262.61026529877711</v>
      </c>
      <c r="AB204" s="478">
        <f ca="1">LiLAC!W118</f>
        <v>242.1934187857367</v>
      </c>
      <c r="AC204" s="478">
        <f ca="1">LiLAC!X118</f>
        <v>265.91422245926196</v>
      </c>
      <c r="AD204" s="478">
        <f ca="1">LiLAC!Y118</f>
        <v>271.26552969551733</v>
      </c>
      <c r="AE204" s="478">
        <f ca="1">LiLAC!Z118</f>
        <v>279.57563209749225</v>
      </c>
      <c r="AF204" s="478"/>
      <c r="AG204" s="478"/>
      <c r="AH204" s="478"/>
      <c r="AI204" s="478"/>
      <c r="AJ204" s="478"/>
      <c r="AK204" s="478"/>
      <c r="AL204" s="430"/>
      <c r="AM204" s="430"/>
    </row>
    <row r="205" spans="2:39">
      <c r="B205" s="474" t="s">
        <v>1305</v>
      </c>
      <c r="C205" s="478"/>
      <c r="D205" s="478"/>
      <c r="E205" s="478"/>
      <c r="F205" s="478"/>
      <c r="G205" s="478"/>
      <c r="H205" s="478"/>
      <c r="I205" s="478"/>
      <c r="J205" s="478"/>
      <c r="K205" s="478"/>
      <c r="L205" s="478"/>
      <c r="M205" s="478"/>
      <c r="N205" s="478"/>
      <c r="O205" s="478"/>
      <c r="P205" s="478"/>
      <c r="Q205" s="478"/>
      <c r="R205" s="478"/>
      <c r="S205" s="478"/>
      <c r="T205" s="478"/>
      <c r="U205" s="478"/>
      <c r="V205" s="478"/>
      <c r="W205" s="478"/>
      <c r="X205" s="478"/>
      <c r="Y205" s="478"/>
      <c r="Z205" s="478"/>
      <c r="AA205" s="478"/>
      <c r="AB205" s="478"/>
      <c r="AC205" s="478"/>
      <c r="AD205" s="478"/>
      <c r="AE205" s="478"/>
      <c r="AF205" s="478"/>
      <c r="AG205" s="478"/>
      <c r="AH205" s="478"/>
      <c r="AI205" s="478"/>
      <c r="AJ205" s="478"/>
      <c r="AK205" s="478"/>
      <c r="AL205" s="430"/>
      <c r="AM205" s="430"/>
    </row>
    <row r="206" spans="2:39">
      <c r="B206" s="474" t="s">
        <v>1306</v>
      </c>
      <c r="C206" s="478"/>
      <c r="D206" s="478"/>
      <c r="E206" s="478"/>
      <c r="F206" s="478"/>
      <c r="G206" s="478"/>
      <c r="H206" s="478"/>
      <c r="I206" s="478"/>
      <c r="J206" s="478"/>
      <c r="K206" s="478"/>
      <c r="L206" s="478"/>
      <c r="M206" s="478"/>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8"/>
      <c r="AJ206" s="478"/>
      <c r="AK206" s="478"/>
      <c r="AL206" s="430"/>
      <c r="AM206" s="430"/>
    </row>
    <row r="207" spans="2:39">
      <c r="B207" s="474" t="s">
        <v>27</v>
      </c>
      <c r="C207" s="478"/>
      <c r="D207" s="478"/>
      <c r="E207" s="478"/>
      <c r="F207" s="478"/>
      <c r="G207" s="478"/>
      <c r="H207" s="478"/>
      <c r="I207" s="478"/>
      <c r="J207" s="478"/>
      <c r="K207" s="478"/>
      <c r="L207" s="478"/>
      <c r="M207" s="478"/>
      <c r="N207" s="478"/>
      <c r="O207" s="478"/>
      <c r="P207" s="478"/>
      <c r="Q207" s="478"/>
      <c r="R207" s="478"/>
      <c r="S207" s="478"/>
      <c r="T207" s="478"/>
      <c r="U207" s="478">
        <f>U201-U204</f>
        <v>267.35205479452048</v>
      </c>
      <c r="V207" s="478">
        <f t="shared" ref="V207:AE207" si="51">V201-V204</f>
        <v>251.39444551248874</v>
      </c>
      <c r="W207" s="478">
        <f t="shared" si="51"/>
        <v>171.00616522811339</v>
      </c>
      <c r="X207" s="478">
        <f t="shared" si="51"/>
        <v>172.0812094958917</v>
      </c>
      <c r="Y207" s="478">
        <f t="shared" ca="1" si="51"/>
        <v>276.79724569387372</v>
      </c>
      <c r="Z207" s="478">
        <f t="shared" ca="1" si="51"/>
        <v>287.40997142905542</v>
      </c>
      <c r="AA207" s="478">
        <f t="shared" ca="1" si="51"/>
        <v>320.99402956669951</v>
      </c>
      <c r="AB207" s="478">
        <f t="shared" ca="1" si="51"/>
        <v>314.12814578874332</v>
      </c>
      <c r="AC207" s="478">
        <f t="shared" ca="1" si="51"/>
        <v>346.15957903467233</v>
      </c>
      <c r="AD207" s="478">
        <f t="shared" ca="1" si="51"/>
        <v>356.73779175194215</v>
      </c>
      <c r="AE207" s="478">
        <f t="shared" ca="1" si="51"/>
        <v>371.03802740930774</v>
      </c>
      <c r="AF207" s="478"/>
      <c r="AG207" s="478"/>
      <c r="AH207" s="478"/>
      <c r="AI207" s="478"/>
      <c r="AJ207" s="478"/>
      <c r="AK207" s="478"/>
      <c r="AL207" s="430"/>
      <c r="AM207" s="430"/>
    </row>
    <row r="208" spans="2:39">
      <c r="B208" s="474" t="s">
        <v>249</v>
      </c>
      <c r="C208" s="478"/>
      <c r="D208" s="478"/>
      <c r="E208" s="478"/>
      <c r="F208" s="478"/>
      <c r="G208" s="478"/>
      <c r="H208" s="478"/>
      <c r="I208" s="478"/>
      <c r="J208" s="478"/>
      <c r="K208" s="478"/>
      <c r="L208" s="478"/>
      <c r="M208" s="478"/>
      <c r="N208" s="478"/>
      <c r="O208" s="478"/>
      <c r="P208" s="478"/>
      <c r="Q208" s="478"/>
      <c r="R208" s="478"/>
      <c r="S208" s="478"/>
      <c r="T208" s="478"/>
      <c r="U208" s="478">
        <f>LiLAC!P195</f>
        <v>32.192939193302834</v>
      </c>
      <c r="V208" s="478">
        <f>LiLAC!Q195</f>
        <v>-47.298462277402507</v>
      </c>
      <c r="W208" s="478">
        <f>LiLAC!R195</f>
        <v>-115.81461467033324</v>
      </c>
      <c r="X208" s="478">
        <f>LiLAC!S195</f>
        <v>-123.91360055655517</v>
      </c>
      <c r="Y208" s="478">
        <f ca="1">LiLAC!T195</f>
        <v>-17.75959124364806</v>
      </c>
      <c r="Z208" s="478">
        <f ca="1">LiLAC!U195</f>
        <v>26.286096520408734</v>
      </c>
      <c r="AA208" s="478">
        <f ca="1">LiLAC!V195</f>
        <v>42.870114507261633</v>
      </c>
      <c r="AB208" s="478">
        <f ca="1">LiLAC!W195</f>
        <v>57.799132890816452</v>
      </c>
      <c r="AC208" s="478">
        <f ca="1">LiLAC!X195</f>
        <v>74.991414217334636</v>
      </c>
      <c r="AD208" s="478">
        <f ca="1">LiLAC!Y195</f>
        <v>117.54956790629484</v>
      </c>
      <c r="AE208" s="478">
        <f ca="1">LiLAC!Z195</f>
        <v>136.25772520077317</v>
      </c>
      <c r="AF208" s="478"/>
      <c r="AG208" s="478"/>
      <c r="AH208" s="478"/>
      <c r="AI208" s="478"/>
      <c r="AJ208" s="478"/>
      <c r="AK208" s="478"/>
      <c r="AL208" s="430"/>
      <c r="AM208" s="430"/>
    </row>
    <row r="209" spans="2:39">
      <c r="B209" s="474" t="s">
        <v>115</v>
      </c>
      <c r="C209" s="478"/>
      <c r="D209" s="478"/>
      <c r="E209" s="478"/>
      <c r="F209" s="478"/>
      <c r="G209" s="478"/>
      <c r="H209" s="478"/>
      <c r="I209" s="478"/>
      <c r="J209" s="478"/>
      <c r="K209" s="478"/>
      <c r="L209" s="478"/>
      <c r="M209" s="478"/>
      <c r="N209" s="478"/>
      <c r="O209" s="478"/>
      <c r="P209" s="478"/>
      <c r="Q209" s="478"/>
      <c r="R209" s="478"/>
      <c r="S209" s="478"/>
      <c r="T209" s="478"/>
      <c r="U209" s="478">
        <f>LiLAC!P218</f>
        <v>2016.5571643556539</v>
      </c>
      <c r="V209" s="478">
        <f>LiLAC!Q218</f>
        <v>2187.7453680660878</v>
      </c>
      <c r="W209" s="478">
        <f ca="1">LiLAC!R218</f>
        <v>2404.3460086405676</v>
      </c>
      <c r="X209" s="478">
        <f ca="1">LiLAC!S218</f>
        <v>2517.7513008695528</v>
      </c>
      <c r="Y209" s="478">
        <f ca="1">LiLAC!T218</f>
        <v>2425.6031483225202</v>
      </c>
      <c r="Z209" s="478">
        <f ca="1">LiLAC!U218</f>
        <v>2193.317622947553</v>
      </c>
      <c r="AA209" s="478">
        <f ca="1">LiLAC!V218</f>
        <v>2213.7989187711723</v>
      </c>
      <c r="AB209" s="478">
        <f ca="1">LiLAC!W218</f>
        <v>1974.6954358041148</v>
      </c>
      <c r="AC209" s="478">
        <f ca="1">LiLAC!X218</f>
        <v>1992.6483583876432</v>
      </c>
      <c r="AD209" s="478">
        <f ca="1">LiLAC!Y218</f>
        <v>1866.8289338443956</v>
      </c>
      <c r="AE209" s="478">
        <f ca="1">LiLAC!Z218</f>
        <v>1691.5588885182278</v>
      </c>
      <c r="AF209" s="478"/>
      <c r="AG209" s="478"/>
      <c r="AH209" s="478"/>
      <c r="AI209" s="478"/>
      <c r="AJ209" s="478"/>
      <c r="AK209" s="478"/>
      <c r="AL209" s="430"/>
      <c r="AM209" s="430"/>
    </row>
    <row r="210" spans="2:39">
      <c r="B210" s="474" t="s">
        <v>360</v>
      </c>
      <c r="C210" s="478"/>
      <c r="D210" s="478"/>
      <c r="E210" s="478"/>
      <c r="F210" s="478"/>
      <c r="G210" s="478"/>
      <c r="H210" s="478"/>
      <c r="I210" s="478"/>
      <c r="J210" s="478"/>
      <c r="K210" s="478"/>
      <c r="L210" s="478"/>
      <c r="M210" s="478"/>
      <c r="N210" s="478"/>
      <c r="O210" s="478"/>
      <c r="P210" s="478"/>
      <c r="Q210" s="478"/>
      <c r="R210" s="478"/>
      <c r="S210" s="478"/>
      <c r="T210" s="478"/>
      <c r="U210" s="478">
        <f>LiLAC!P13</f>
        <v>132</v>
      </c>
      <c r="V210" s="478">
        <f>LiLAC!Q13</f>
        <v>166.2</v>
      </c>
      <c r="W210" s="478">
        <f>LiLAC!R13</f>
        <v>214.9</v>
      </c>
      <c r="X210" s="478">
        <f>LiLAC!S13</f>
        <v>244.9</v>
      </c>
      <c r="Y210" s="478">
        <f>LiLAC!T13</f>
        <v>274.89999999999998</v>
      </c>
      <c r="Z210" s="478">
        <f>LiLAC!U13</f>
        <v>304.89999999999998</v>
      </c>
      <c r="AA210" s="478">
        <f>LiLAC!V13</f>
        <v>334.9</v>
      </c>
      <c r="AB210" s="478">
        <f>LiLAC!W13</f>
        <v>364.9</v>
      </c>
      <c r="AC210" s="478">
        <f>LiLAC!X13</f>
        <v>394.9</v>
      </c>
      <c r="AD210" s="478">
        <f>LiLAC!Y13</f>
        <v>424.9</v>
      </c>
      <c r="AE210" s="478">
        <f>LiLAC!Z13</f>
        <v>454.9</v>
      </c>
      <c r="AF210" s="478"/>
      <c r="AG210" s="478"/>
      <c r="AH210" s="478"/>
      <c r="AI210" s="478"/>
      <c r="AJ210" s="478"/>
      <c r="AK210" s="478"/>
      <c r="AL210" s="430"/>
      <c r="AM210" s="430"/>
    </row>
    <row r="211" spans="2:39">
      <c r="B211" s="474" t="s">
        <v>660</v>
      </c>
      <c r="C211" s="478"/>
      <c r="D211" s="478"/>
      <c r="E211" s="478"/>
      <c r="F211" s="478"/>
      <c r="G211" s="478"/>
      <c r="H211" s="478"/>
      <c r="I211" s="478"/>
      <c r="J211" s="478"/>
      <c r="K211" s="478"/>
      <c r="L211" s="478"/>
      <c r="M211" s="478"/>
      <c r="N211" s="478"/>
      <c r="O211" s="478"/>
      <c r="P211" s="478"/>
      <c r="Q211" s="478"/>
      <c r="R211" s="478"/>
      <c r="S211" s="478"/>
      <c r="T211" s="478"/>
      <c r="U211" s="478">
        <f>LiLAC!P60</f>
        <v>35.464231354642315</v>
      </c>
      <c r="V211" s="478">
        <f>LiLAC!Q60</f>
        <v>44.36491622424986</v>
      </c>
      <c r="W211" s="478">
        <f>LiLAC!R60</f>
        <v>53.945745992601729</v>
      </c>
      <c r="X211" s="478">
        <f>LiLAC!S60</f>
        <v>64.442758938409384</v>
      </c>
      <c r="Y211" s="478">
        <f>LiLAC!T60</f>
        <v>65.217207208451384</v>
      </c>
      <c r="Z211" s="478">
        <f>LiLAC!U60</f>
        <v>63.279108508331802</v>
      </c>
      <c r="AA211" s="478">
        <f>LiLAC!V60</f>
        <v>71.218525414122126</v>
      </c>
      <c r="AB211" s="478">
        <f>LiLAC!W60</f>
        <v>66.545572925610216</v>
      </c>
      <c r="AC211" s="478">
        <f>LiLAC!X60</f>
        <v>77.363847404100142</v>
      </c>
      <c r="AD211" s="478">
        <f>LiLAC!Y60</f>
        <v>80.593252918811288</v>
      </c>
      <c r="AE211" s="478">
        <f>LiLAC!Z60</f>
        <v>84.761923688229786</v>
      </c>
      <c r="AF211" s="478"/>
      <c r="AG211" s="478"/>
      <c r="AH211" s="478"/>
      <c r="AI211" s="478"/>
      <c r="AJ211" s="478"/>
      <c r="AK211" s="478"/>
      <c r="AL211" s="430"/>
      <c r="AM211" s="430"/>
    </row>
    <row r="212" spans="2:39">
      <c r="B212" s="474"/>
      <c r="C212" s="479"/>
      <c r="D212" s="479"/>
      <c r="E212" s="479"/>
      <c r="F212" s="479"/>
      <c r="G212" s="479"/>
      <c r="H212" s="479"/>
      <c r="I212" s="479"/>
      <c r="J212" s="479"/>
      <c r="K212" s="479"/>
      <c r="L212" s="479"/>
      <c r="M212" s="479"/>
      <c r="N212" s="479"/>
      <c r="O212" s="479"/>
      <c r="P212" s="479"/>
      <c r="Q212" s="479"/>
      <c r="R212" s="479"/>
      <c r="S212" s="479"/>
      <c r="T212" s="479"/>
      <c r="U212" s="479"/>
      <c r="V212" s="479"/>
      <c r="W212" s="479"/>
      <c r="X212" s="479"/>
      <c r="Y212" s="479"/>
      <c r="Z212" s="479"/>
      <c r="AA212" s="479"/>
      <c r="AB212" s="479"/>
      <c r="AC212" s="479"/>
      <c r="AD212" s="479"/>
      <c r="AE212" s="479"/>
      <c r="AF212" s="479"/>
      <c r="AG212" s="479"/>
      <c r="AH212" s="479"/>
      <c r="AI212" s="479"/>
      <c r="AJ212" s="479"/>
      <c r="AK212" s="479"/>
      <c r="AL212" s="430"/>
      <c r="AM212" s="430"/>
    </row>
    <row r="213" spans="2:39">
      <c r="B213" s="480" t="s">
        <v>1307</v>
      </c>
      <c r="C213" s="476"/>
      <c r="D213" s="476"/>
      <c r="E213" s="476"/>
      <c r="F213" s="476"/>
      <c r="G213" s="476"/>
      <c r="H213" s="476"/>
      <c r="I213" s="476"/>
      <c r="J213" s="476"/>
      <c r="K213" s="476"/>
      <c r="L213" s="476"/>
      <c r="M213" s="476"/>
      <c r="N213" s="476"/>
      <c r="O213" s="476"/>
      <c r="P213" s="476"/>
      <c r="Q213" s="476"/>
      <c r="R213" s="476"/>
      <c r="S213" s="476"/>
      <c r="T213" s="477"/>
      <c r="U213" s="435">
        <f>U187</f>
        <v>2015</v>
      </c>
      <c r="V213" s="435">
        <f t="shared" ref="V213:AD213" si="52">V187</f>
        <v>2016</v>
      </c>
      <c r="W213" s="435">
        <f t="shared" si="52"/>
        <v>2017</v>
      </c>
      <c r="X213" s="435">
        <f t="shared" si="52"/>
        <v>2018</v>
      </c>
      <c r="Y213" s="435">
        <f t="shared" si="52"/>
        <v>2019</v>
      </c>
      <c r="Z213" s="435">
        <f t="shared" si="52"/>
        <v>2020</v>
      </c>
      <c r="AA213" s="435">
        <f t="shared" si="52"/>
        <v>2021</v>
      </c>
      <c r="AB213" s="435">
        <f t="shared" si="52"/>
        <v>2022</v>
      </c>
      <c r="AC213" s="435">
        <f t="shared" si="52"/>
        <v>2023</v>
      </c>
      <c r="AD213" s="435">
        <f t="shared" si="52"/>
        <v>2024</v>
      </c>
      <c r="AE213" s="435">
        <f>AE187</f>
        <v>2025</v>
      </c>
      <c r="AF213" s="435"/>
      <c r="AG213" s="435"/>
      <c r="AH213" s="435"/>
      <c r="AI213" s="435"/>
      <c r="AJ213" s="435"/>
      <c r="AK213" s="1860"/>
      <c r="AL213" s="430"/>
      <c r="AM213" s="430"/>
    </row>
    <row r="214" spans="2:39">
      <c r="B214" s="474" t="s">
        <v>557</v>
      </c>
      <c r="C214" s="478"/>
      <c r="D214" s="478"/>
      <c r="E214" s="478"/>
      <c r="F214" s="478"/>
      <c r="G214" s="478"/>
      <c r="H214" s="478"/>
      <c r="I214" s="478"/>
      <c r="J214" s="478"/>
      <c r="K214" s="478"/>
      <c r="L214" s="478"/>
      <c r="M214" s="478"/>
      <c r="N214" s="478"/>
      <c r="O214" s="478"/>
      <c r="P214" s="478"/>
      <c r="Q214" s="478"/>
      <c r="R214" s="478"/>
      <c r="S214" s="478"/>
      <c r="T214" s="478"/>
      <c r="U214" s="478">
        <f>VTR!P4</f>
        <v>3061.5</v>
      </c>
      <c r="V214" s="478">
        <f>VTR!Q4</f>
        <v>3216.6</v>
      </c>
      <c r="W214" s="478">
        <f>VTR!R4</f>
        <v>3394.7</v>
      </c>
      <c r="X214" s="478">
        <f>VTR!S4</f>
        <v>3517.7</v>
      </c>
      <c r="Y214" s="478">
        <f>VTR!T4</f>
        <v>3557.7</v>
      </c>
      <c r="Z214" s="478">
        <f>VTR!U4</f>
        <v>3597.7</v>
      </c>
      <c r="AA214" s="478">
        <f>VTR!V4</f>
        <v>3637.7</v>
      </c>
      <c r="AB214" s="478">
        <f>VTR!W4</f>
        <v>3677.7</v>
      </c>
      <c r="AC214" s="478">
        <f>VTR!X4</f>
        <v>3717.7</v>
      </c>
      <c r="AD214" s="478">
        <f>VTR!Y4</f>
        <v>3757.7</v>
      </c>
      <c r="AE214" s="478">
        <f>VTR!Z4</f>
        <v>3797.7</v>
      </c>
      <c r="AF214" s="478"/>
      <c r="AG214" s="478"/>
      <c r="AH214" s="478"/>
      <c r="AI214" s="478"/>
      <c r="AJ214" s="478"/>
      <c r="AK214" s="478"/>
      <c r="AL214" s="430"/>
      <c r="AM214" s="430"/>
    </row>
    <row r="215" spans="2:39">
      <c r="B215" s="474" t="s">
        <v>558</v>
      </c>
      <c r="C215" s="478"/>
      <c r="D215" s="478"/>
      <c r="E215" s="478"/>
      <c r="F215" s="478"/>
      <c r="G215" s="478"/>
      <c r="H215" s="478"/>
      <c r="I215" s="478"/>
      <c r="J215" s="478"/>
      <c r="K215" s="478"/>
      <c r="L215" s="478"/>
      <c r="M215" s="478"/>
      <c r="N215" s="478"/>
      <c r="O215" s="478"/>
      <c r="P215" s="478"/>
      <c r="Q215" s="478"/>
      <c r="R215" s="478"/>
      <c r="S215" s="478"/>
      <c r="T215" s="478"/>
      <c r="U215" s="478">
        <f>VTR!P5</f>
        <v>2545.1</v>
      </c>
      <c r="V215" s="478">
        <f>VTR!Q5</f>
        <v>2710.5</v>
      </c>
      <c r="W215" s="478">
        <f>VTR!R5</f>
        <v>2912.8</v>
      </c>
      <c r="X215" s="478">
        <f>VTR!S5</f>
        <v>3062.7</v>
      </c>
      <c r="Y215" s="478">
        <f>VTR!T5</f>
        <v>3052.6610775620825</v>
      </c>
      <c r="Z215" s="478">
        <f>VTR!U5</f>
        <v>3086.9828143871332</v>
      </c>
      <c r="AA215" s="478">
        <f>VTR!V5</f>
        <v>3121.3045512121839</v>
      </c>
      <c r="AB215" s="478">
        <f>VTR!W5</f>
        <v>3155.6262880372346</v>
      </c>
      <c r="AC215" s="478">
        <f>VTR!X5</f>
        <v>3189.9480248622858</v>
      </c>
      <c r="AD215" s="478">
        <f>VTR!Y5</f>
        <v>3224.2697616873365</v>
      </c>
      <c r="AE215" s="478">
        <f>VTR!Z5</f>
        <v>3258.5914985123873</v>
      </c>
      <c r="AF215" s="478"/>
      <c r="AG215" s="478"/>
      <c r="AH215" s="478"/>
      <c r="AI215" s="478"/>
      <c r="AJ215" s="478"/>
      <c r="AK215" s="478"/>
      <c r="AL215" s="430"/>
      <c r="AM215" s="430"/>
    </row>
    <row r="216" spans="2:39">
      <c r="B216" s="474" t="s">
        <v>559</v>
      </c>
      <c r="C216" s="478"/>
      <c r="D216" s="478"/>
      <c r="E216" s="478"/>
      <c r="F216" s="478"/>
      <c r="G216" s="478"/>
      <c r="H216" s="478"/>
      <c r="I216" s="478"/>
      <c r="J216" s="478"/>
      <c r="K216" s="478"/>
      <c r="L216" s="478"/>
      <c r="M216" s="478"/>
      <c r="N216" s="478"/>
      <c r="O216" s="478"/>
      <c r="P216" s="478"/>
      <c r="Q216" s="478"/>
      <c r="R216" s="478"/>
      <c r="S216" s="478"/>
      <c r="T216" s="478"/>
      <c r="U216" s="478">
        <f>VTR!P6</f>
        <v>1263.4000000000001</v>
      </c>
      <c r="V216" s="478">
        <f>VTR!Q6</f>
        <v>1328.9</v>
      </c>
      <c r="W216" s="478">
        <f>VTR!R6</f>
        <v>1406.9</v>
      </c>
      <c r="X216" s="478">
        <f>VTR!S6</f>
        <v>1468.5</v>
      </c>
      <c r="Y216" s="478">
        <f>VTR!T6</f>
        <v>1490.27496</v>
      </c>
      <c r="Z216" s="478">
        <f>VTR!U6</f>
        <v>1512.4854192</v>
      </c>
      <c r="AA216" s="478">
        <f>VTR!V6</f>
        <v>1535.140087584</v>
      </c>
      <c r="AB216" s="478">
        <f>VTR!W6</f>
        <v>1558.24784933568</v>
      </c>
      <c r="AC216" s="478">
        <f>VTR!X6</f>
        <v>1581.8177663223937</v>
      </c>
      <c r="AD216" s="478">
        <f>VTR!Y6</f>
        <v>1605.8590816488415</v>
      </c>
      <c r="AE216" s="478">
        <f>VTR!Z6</f>
        <v>1630.3812232818184</v>
      </c>
      <c r="AF216" s="478"/>
      <c r="AG216" s="478"/>
      <c r="AH216" s="478"/>
      <c r="AI216" s="478"/>
      <c r="AJ216" s="478"/>
      <c r="AK216" s="478"/>
      <c r="AL216" s="430"/>
      <c r="AM216" s="430"/>
    </row>
    <row r="217" spans="2:39">
      <c r="B217" s="474" t="s">
        <v>1294</v>
      </c>
      <c r="C217" s="478"/>
      <c r="D217" s="478"/>
      <c r="E217" s="478"/>
      <c r="F217" s="478"/>
      <c r="G217" s="478"/>
      <c r="H217" s="478"/>
      <c r="I217" s="478"/>
      <c r="J217" s="478"/>
      <c r="K217" s="478"/>
      <c r="L217" s="478"/>
      <c r="M217" s="478"/>
      <c r="N217" s="478"/>
      <c r="O217" s="478"/>
      <c r="P217" s="478"/>
      <c r="Q217" s="478"/>
      <c r="R217" s="478"/>
      <c r="S217" s="478"/>
      <c r="T217" s="478"/>
      <c r="U217" s="478">
        <f>VTR!P12</f>
        <v>1026</v>
      </c>
      <c r="V217" s="478">
        <f>VTR!Q12</f>
        <v>1047.3</v>
      </c>
      <c r="W217" s="478">
        <f>VTR!R12</f>
        <v>1067.4000000000001</v>
      </c>
      <c r="X217" s="478">
        <f>VTR!S12</f>
        <v>1088.748</v>
      </c>
      <c r="Y217" s="478">
        <f>VTR!T12</f>
        <v>1110.52296</v>
      </c>
      <c r="Z217" s="478">
        <f>VTR!U12</f>
        <v>1132.7334192000001</v>
      </c>
      <c r="AA217" s="478">
        <f>VTR!V12</f>
        <v>1155.388087584</v>
      </c>
      <c r="AB217" s="478">
        <f>VTR!W12</f>
        <v>1178.4958493356801</v>
      </c>
      <c r="AC217" s="478">
        <f>VTR!X12</f>
        <v>1202.0657663223938</v>
      </c>
      <c r="AD217" s="478">
        <f>VTR!Y12</f>
        <v>1226.1070816488416</v>
      </c>
      <c r="AE217" s="478">
        <f>VTR!Z12</f>
        <v>1250.6292232818184</v>
      </c>
      <c r="AF217" s="478"/>
      <c r="AG217" s="478"/>
      <c r="AH217" s="478"/>
      <c r="AI217" s="478"/>
      <c r="AJ217" s="478"/>
      <c r="AK217" s="478"/>
      <c r="AL217" s="430"/>
      <c r="AM217" s="430"/>
    </row>
    <row r="218" spans="2:39">
      <c r="B218" s="474" t="s">
        <v>1295</v>
      </c>
      <c r="C218" s="478"/>
      <c r="D218" s="478"/>
      <c r="E218" s="478"/>
      <c r="F218" s="478"/>
      <c r="G218" s="478"/>
      <c r="H218" s="478"/>
      <c r="I218" s="478"/>
      <c r="J218" s="478"/>
      <c r="K218" s="478"/>
      <c r="L218" s="478"/>
      <c r="M218" s="478"/>
      <c r="N218" s="478"/>
      <c r="O218" s="478"/>
      <c r="P218" s="478"/>
      <c r="Q218" s="478"/>
      <c r="R218" s="478"/>
      <c r="S218" s="478"/>
      <c r="T218" s="478"/>
      <c r="U218" s="478">
        <f>VTR!P7</f>
        <v>93.8</v>
      </c>
      <c r="V218" s="478">
        <f>VTR!Q7</f>
        <v>93.8</v>
      </c>
      <c r="W218" s="478">
        <f>VTR!R7</f>
        <v>67.5</v>
      </c>
      <c r="X218" s="478">
        <f>VTR!S7</f>
        <v>21.774960000000021</v>
      </c>
      <c r="Y218" s="478">
        <f>VTR!T7</f>
        <v>0</v>
      </c>
      <c r="Z218" s="478">
        <f>VTR!U7</f>
        <v>0</v>
      </c>
      <c r="AA218" s="478">
        <f>VTR!V7</f>
        <v>0</v>
      </c>
      <c r="AB218" s="478">
        <f>VTR!W7</f>
        <v>0</v>
      </c>
      <c r="AC218" s="478">
        <f>VTR!X7</f>
        <v>0</v>
      </c>
      <c r="AD218" s="478">
        <f>VTR!Y7</f>
        <v>0</v>
      </c>
      <c r="AE218" s="478">
        <f>VTR!Z7</f>
        <v>0</v>
      </c>
      <c r="AF218" s="478"/>
      <c r="AG218" s="478"/>
      <c r="AH218" s="478"/>
      <c r="AI218" s="478"/>
      <c r="AJ218" s="478"/>
      <c r="AK218" s="478"/>
      <c r="AL218" s="430"/>
      <c r="AM218" s="430"/>
    </row>
    <row r="219" spans="2:39">
      <c r="B219" s="474" t="s">
        <v>1296</v>
      </c>
      <c r="C219" s="478"/>
      <c r="D219" s="478"/>
      <c r="E219" s="478"/>
      <c r="F219" s="478"/>
      <c r="G219" s="478"/>
      <c r="H219" s="478"/>
      <c r="I219" s="478"/>
      <c r="J219" s="478"/>
      <c r="K219" s="478"/>
      <c r="L219" s="478"/>
      <c r="M219" s="478"/>
      <c r="N219" s="478"/>
      <c r="O219" s="478"/>
      <c r="P219" s="478"/>
      <c r="Q219" s="478"/>
      <c r="R219" s="478"/>
      <c r="S219" s="478"/>
      <c r="T219" s="478"/>
      <c r="U219" s="478">
        <f>VTR!P8</f>
        <v>932.2</v>
      </c>
      <c r="V219" s="478">
        <f>VTR!Q8</f>
        <v>953.5</v>
      </c>
      <c r="W219" s="478">
        <f>VTR!R8</f>
        <v>999.9</v>
      </c>
      <c r="X219" s="478">
        <f>VTR!S8</f>
        <v>1066.9730400000001</v>
      </c>
      <c r="Y219" s="478">
        <f>VTR!T8</f>
        <v>1110.52296</v>
      </c>
      <c r="Z219" s="478">
        <f>VTR!U8</f>
        <v>1132.7334192000001</v>
      </c>
      <c r="AA219" s="478">
        <f>VTR!V8</f>
        <v>1155.388087584</v>
      </c>
      <c r="AB219" s="478">
        <f>VTR!W8</f>
        <v>1178.4958493356801</v>
      </c>
      <c r="AC219" s="478">
        <f>VTR!X8</f>
        <v>1202.0657663223938</v>
      </c>
      <c r="AD219" s="478">
        <f>VTR!Y8</f>
        <v>1226.1070816488416</v>
      </c>
      <c r="AE219" s="478">
        <f>VTR!Z8</f>
        <v>1250.6292232818184</v>
      </c>
      <c r="AF219" s="478"/>
      <c r="AG219" s="478"/>
      <c r="AH219" s="478"/>
      <c r="AI219" s="478"/>
      <c r="AJ219" s="478"/>
      <c r="AK219" s="478"/>
      <c r="AL219" s="430"/>
      <c r="AM219" s="430"/>
    </row>
    <row r="220" spans="2:39">
      <c r="B220" s="474" t="s">
        <v>1297</v>
      </c>
      <c r="C220" s="478"/>
      <c r="D220" s="478"/>
      <c r="E220" s="478"/>
      <c r="F220" s="478"/>
      <c r="G220" s="478"/>
      <c r="H220" s="478"/>
      <c r="I220" s="478"/>
      <c r="J220" s="478"/>
      <c r="K220" s="478"/>
      <c r="L220" s="478"/>
      <c r="M220" s="478"/>
      <c r="N220" s="478"/>
      <c r="O220" s="478"/>
      <c r="P220" s="478"/>
      <c r="Q220" s="478"/>
      <c r="R220" s="478"/>
      <c r="S220" s="478"/>
      <c r="T220" s="478"/>
      <c r="U220" s="478">
        <f>VTR!P14</f>
        <v>689.9</v>
      </c>
      <c r="V220" s="478">
        <f>VTR!Q14</f>
        <v>657</v>
      </c>
      <c r="W220" s="478">
        <f ca="1">VTR!R14</f>
        <v>624.1</v>
      </c>
      <c r="X220" s="478">
        <f ca="1">VTR!S14</f>
        <v>619.1</v>
      </c>
      <c r="Y220" s="478">
        <f ca="1">VTR!T14</f>
        <v>614.1</v>
      </c>
      <c r="Z220" s="478">
        <f ca="1">VTR!U14</f>
        <v>609.1</v>
      </c>
      <c r="AA220" s="478">
        <f ca="1">VTR!V14</f>
        <v>604.1</v>
      </c>
      <c r="AB220" s="478">
        <f ca="1">VTR!W14</f>
        <v>599.1</v>
      </c>
      <c r="AC220" s="478">
        <f ca="1">VTR!X14</f>
        <v>594.1</v>
      </c>
      <c r="AD220" s="478">
        <f ca="1">VTR!Y14</f>
        <v>589.1</v>
      </c>
      <c r="AE220" s="478">
        <f ca="1">VTR!Z14</f>
        <v>584.1</v>
      </c>
      <c r="AF220" s="478"/>
      <c r="AG220" s="478"/>
      <c r="AH220" s="478"/>
      <c r="AI220" s="478"/>
      <c r="AJ220" s="478"/>
      <c r="AK220" s="478"/>
      <c r="AL220" s="430"/>
      <c r="AM220" s="430"/>
    </row>
    <row r="221" spans="2:39">
      <c r="B221" s="474" t="s">
        <v>1298</v>
      </c>
      <c r="C221" s="478"/>
      <c r="D221" s="478"/>
      <c r="E221" s="478"/>
      <c r="F221" s="478"/>
      <c r="G221" s="478"/>
      <c r="H221" s="478"/>
      <c r="I221" s="478"/>
      <c r="J221" s="478"/>
      <c r="K221" s="478"/>
      <c r="L221" s="478"/>
      <c r="M221" s="478"/>
      <c r="N221" s="478"/>
      <c r="O221" s="478"/>
      <c r="P221" s="478"/>
      <c r="Q221" s="478"/>
      <c r="R221" s="478"/>
      <c r="S221" s="478"/>
      <c r="T221" s="478"/>
      <c r="U221" s="478">
        <f>VTR!P13</f>
        <v>1003.1</v>
      </c>
      <c r="V221" s="478">
        <f>VTR!Q13</f>
        <v>1091.2</v>
      </c>
      <c r="W221" s="478">
        <f>VTR!R13</f>
        <v>1181.5999999999999</v>
      </c>
      <c r="X221" s="478">
        <f>VTR!S13</f>
        <v>1211.5999999999999</v>
      </c>
      <c r="Y221" s="478">
        <f>VTR!T13</f>
        <v>1231.5999999999999</v>
      </c>
      <c r="Z221" s="478">
        <f>VTR!U13</f>
        <v>1251.5999999999999</v>
      </c>
      <c r="AA221" s="478">
        <f>VTR!V13</f>
        <v>1271.5999999999999</v>
      </c>
      <c r="AB221" s="478">
        <f>VTR!W13</f>
        <v>1291.5999999999999</v>
      </c>
      <c r="AC221" s="478">
        <f>VTR!X13</f>
        <v>1311.6</v>
      </c>
      <c r="AD221" s="478">
        <f>VTR!Y13</f>
        <v>1331.6</v>
      </c>
      <c r="AE221" s="478">
        <f>VTR!Z13</f>
        <v>1351.6</v>
      </c>
      <c r="AF221" s="478"/>
      <c r="AG221" s="478"/>
      <c r="AH221" s="478"/>
      <c r="AI221" s="478"/>
      <c r="AJ221" s="478"/>
      <c r="AK221" s="478"/>
      <c r="AL221" s="430"/>
      <c r="AM221" s="430"/>
    </row>
    <row r="222" spans="2:39">
      <c r="B222" s="474" t="s">
        <v>1299</v>
      </c>
      <c r="C222" s="478"/>
      <c r="D222" s="478"/>
      <c r="E222" s="478"/>
      <c r="F222" s="478"/>
      <c r="G222" s="478"/>
      <c r="H222" s="478"/>
      <c r="I222" s="478"/>
      <c r="J222" s="478"/>
      <c r="K222" s="478"/>
      <c r="L222" s="478"/>
      <c r="M222" s="478"/>
      <c r="N222" s="478"/>
      <c r="O222" s="478"/>
      <c r="P222" s="478"/>
      <c r="Q222" s="478"/>
      <c r="R222" s="478"/>
      <c r="S222" s="478"/>
      <c r="T222" s="478"/>
      <c r="U222" s="478">
        <f>VTR!P23</f>
        <v>2719</v>
      </c>
      <c r="V222" s="478">
        <f>VTR!Q23</f>
        <v>2795.5</v>
      </c>
      <c r="W222" s="478">
        <f ca="1">VTR!R23</f>
        <v>2873.1</v>
      </c>
      <c r="X222" s="478">
        <f ca="1">VTR!S23</f>
        <v>2919.4479999999999</v>
      </c>
      <c r="Y222" s="478">
        <f ca="1">VTR!T23</f>
        <v>2956.2229599999996</v>
      </c>
      <c r="Z222" s="478">
        <f ca="1">VTR!U23</f>
        <v>2993.4334192000001</v>
      </c>
      <c r="AA222" s="478">
        <f ca="1">VTR!V23</f>
        <v>3031.0880875839998</v>
      </c>
      <c r="AB222" s="478">
        <f ca="1">VTR!W23</f>
        <v>3069.1958493356801</v>
      </c>
      <c r="AC222" s="478">
        <f ca="1">VTR!X23</f>
        <v>3107.7657663223936</v>
      </c>
      <c r="AD222" s="478">
        <f ca="1">VTR!Y23</f>
        <v>3146.8070816488412</v>
      </c>
      <c r="AE222" s="478">
        <f ca="1">VTR!Z23</f>
        <v>3186.329223281818</v>
      </c>
      <c r="AF222" s="478"/>
      <c r="AG222" s="478"/>
      <c r="AH222" s="478"/>
      <c r="AI222" s="478"/>
      <c r="AJ222" s="478"/>
      <c r="AK222" s="478"/>
      <c r="AL222" s="430"/>
      <c r="AM222" s="430"/>
    </row>
    <row r="223" spans="2:39">
      <c r="B223" s="474" t="s">
        <v>647</v>
      </c>
      <c r="C223" s="478"/>
      <c r="D223" s="478"/>
      <c r="E223" s="478"/>
      <c r="F223" s="478"/>
      <c r="G223" s="478"/>
      <c r="H223" s="478"/>
      <c r="I223" s="478"/>
      <c r="J223" s="478"/>
      <c r="K223" s="478"/>
      <c r="L223" s="478"/>
      <c r="M223" s="478"/>
      <c r="N223" s="478"/>
      <c r="O223" s="478"/>
      <c r="P223" s="478"/>
      <c r="Q223" s="478"/>
      <c r="R223" s="478"/>
      <c r="S223" s="478"/>
      <c r="T223" s="478"/>
      <c r="U223" s="478">
        <f>VTR!P57</f>
        <v>547500</v>
      </c>
      <c r="V223" s="478">
        <f>VTR!Q57</f>
        <v>580600</v>
      </c>
      <c r="W223" s="478">
        <f>VTR!R57</f>
        <v>617600</v>
      </c>
      <c r="X223" s="478">
        <f>VTR!S57</f>
        <v>649298.08699999994</v>
      </c>
      <c r="Y223" s="478">
        <f ca="1">VTR!T57</f>
        <v>681509.13231876923</v>
      </c>
      <c r="Z223" s="478">
        <f ca="1">VTR!U57</f>
        <v>712256.17993094434</v>
      </c>
      <c r="AA223" s="478">
        <f ca="1">VTR!V57</f>
        <v>743929.5052518067</v>
      </c>
      <c r="AB223" s="478">
        <f ca="1">VTR!W57</f>
        <v>776582.94773223344</v>
      </c>
      <c r="AC223" s="478">
        <f ca="1">VTR!X57</f>
        <v>810272.30846505857</v>
      </c>
      <c r="AD223" s="478">
        <f ca="1">VTR!Y57</f>
        <v>845055.45057967422</v>
      </c>
      <c r="AE223" s="478">
        <f ca="1">VTR!Z57</f>
        <v>880992.40403983637</v>
      </c>
      <c r="AF223" s="478"/>
      <c r="AG223" s="478"/>
      <c r="AH223" s="478"/>
      <c r="AI223" s="478"/>
      <c r="AJ223" s="478"/>
      <c r="AK223" s="478"/>
      <c r="AL223" s="430"/>
      <c r="AM223" s="430"/>
    </row>
    <row r="224" spans="2:39">
      <c r="B224" s="474" t="s">
        <v>1300</v>
      </c>
      <c r="C224" s="478"/>
      <c r="D224" s="478"/>
      <c r="E224" s="478"/>
      <c r="F224" s="478"/>
      <c r="G224" s="478"/>
      <c r="H224" s="478"/>
      <c r="I224" s="478"/>
      <c r="J224" s="478"/>
      <c r="K224" s="478"/>
      <c r="L224" s="478"/>
      <c r="M224" s="478"/>
      <c r="N224" s="478"/>
      <c r="O224" s="478"/>
      <c r="P224" s="478"/>
      <c r="Q224" s="478"/>
      <c r="R224" s="478"/>
      <c r="S224" s="478"/>
      <c r="T224" s="478"/>
      <c r="U224" s="478">
        <f>VTR!P81</f>
        <v>491800</v>
      </c>
      <c r="V224" s="478">
        <f>VTR!Q81</f>
        <v>517600</v>
      </c>
      <c r="W224" s="478">
        <f>VTR!R81</f>
        <v>547600</v>
      </c>
      <c r="X224" s="478">
        <f ca="1">VTR!S81</f>
        <v>573563.00795963721</v>
      </c>
      <c r="Y224" s="478">
        <f ca="1">VTR!T81</f>
        <v>599247.43565122795</v>
      </c>
      <c r="Z224" s="478">
        <f ca="1">VTR!U81</f>
        <v>624996.8459923456</v>
      </c>
      <c r="AA224" s="478">
        <f ca="1">VTR!V81</f>
        <v>651847.08181165974</v>
      </c>
      <c r="AB224" s="478">
        <f ca="1">VTR!W81</f>
        <v>679845.83445617568</v>
      </c>
      <c r="AC224" s="478">
        <f ca="1">VTR!X81</f>
        <v>709042.90971494257</v>
      </c>
      <c r="AD224" s="478">
        <f ca="1">VTR!Y81</f>
        <v>739490.32409479341</v>
      </c>
      <c r="AE224" s="478">
        <f ca="1">VTR!Z81</f>
        <v>771242.40559360269</v>
      </c>
      <c r="AF224" s="478"/>
      <c r="AG224" s="478"/>
      <c r="AH224" s="478"/>
      <c r="AI224" s="478"/>
      <c r="AJ224" s="478"/>
      <c r="AK224" s="478"/>
      <c r="AL224" s="430"/>
      <c r="AM224" s="430"/>
    </row>
    <row r="225" spans="2:39">
      <c r="B225" s="474" t="s">
        <v>1301</v>
      </c>
      <c r="C225" s="478"/>
      <c r="D225" s="478"/>
      <c r="E225" s="478"/>
      <c r="F225" s="478"/>
      <c r="G225" s="478"/>
      <c r="H225" s="478"/>
      <c r="I225" s="478"/>
      <c r="J225" s="478"/>
      <c r="K225" s="478"/>
      <c r="L225" s="478"/>
      <c r="M225" s="478"/>
      <c r="N225" s="478"/>
      <c r="O225" s="478"/>
      <c r="P225" s="478"/>
      <c r="Q225" s="478"/>
      <c r="R225" s="478"/>
      <c r="S225" s="478"/>
      <c r="T225" s="478"/>
      <c r="U225" s="478">
        <f>VTR!P69</f>
        <v>0</v>
      </c>
      <c r="V225" s="478">
        <f>VTR!Q69</f>
        <v>0</v>
      </c>
      <c r="W225" s="478">
        <f>VTR!R69</f>
        <v>0</v>
      </c>
      <c r="X225" s="478">
        <f>VTR!S69</f>
        <v>0</v>
      </c>
      <c r="Y225" s="478">
        <f>VTR!T69</f>
        <v>0</v>
      </c>
      <c r="Z225" s="478">
        <f>VTR!U69</f>
        <v>0</v>
      </c>
      <c r="AA225" s="478">
        <f>VTR!V69</f>
        <v>0</v>
      </c>
      <c r="AB225" s="478">
        <f>VTR!W69</f>
        <v>0</v>
      </c>
      <c r="AC225" s="478">
        <f>VTR!X69</f>
        <v>0</v>
      </c>
      <c r="AD225" s="478">
        <f>VTR!Y69</f>
        <v>0</v>
      </c>
      <c r="AE225" s="478">
        <f>VTR!Z69</f>
        <v>0</v>
      </c>
      <c r="AF225" s="478"/>
      <c r="AG225" s="478"/>
      <c r="AH225" s="478"/>
      <c r="AI225" s="478"/>
      <c r="AJ225" s="478"/>
      <c r="AK225" s="478"/>
      <c r="AL225" s="430"/>
      <c r="AM225" s="430"/>
    </row>
    <row r="226" spans="2:39">
      <c r="B226" s="474" t="s">
        <v>1302</v>
      </c>
      <c r="C226" s="478"/>
      <c r="D226" s="478"/>
      <c r="E226" s="478"/>
      <c r="F226" s="478"/>
      <c r="G226" s="478"/>
      <c r="H226" s="478"/>
      <c r="I226" s="478"/>
      <c r="J226" s="478"/>
      <c r="K226" s="478"/>
      <c r="L226" s="478"/>
      <c r="M226" s="478"/>
      <c r="N226" s="478"/>
      <c r="O226" s="478"/>
      <c r="P226" s="478"/>
      <c r="Q226" s="478"/>
      <c r="R226" s="478"/>
      <c r="S226" s="478"/>
      <c r="T226" s="478"/>
      <c r="U226" s="478">
        <f>U223-U224</f>
        <v>55700</v>
      </c>
      <c r="V226" s="478">
        <f t="shared" ref="V226:AE226" si="53">V223-V224</f>
        <v>63000</v>
      </c>
      <c r="W226" s="478">
        <f t="shared" si="53"/>
        <v>70000</v>
      </c>
      <c r="X226" s="478">
        <f t="shared" ca="1" si="53"/>
        <v>75735.079040362732</v>
      </c>
      <c r="Y226" s="478">
        <f t="shared" ca="1" si="53"/>
        <v>82261.696667541284</v>
      </c>
      <c r="Z226" s="478">
        <f t="shared" ca="1" si="53"/>
        <v>87259.333938598749</v>
      </c>
      <c r="AA226" s="478">
        <f t="shared" ca="1" si="53"/>
        <v>92082.423440146958</v>
      </c>
      <c r="AB226" s="478">
        <f t="shared" ca="1" si="53"/>
        <v>96737.11327605776</v>
      </c>
      <c r="AC226" s="478">
        <f t="shared" ca="1" si="53"/>
        <v>101229.398750116</v>
      </c>
      <c r="AD226" s="478">
        <f t="shared" ca="1" si="53"/>
        <v>105565.12648488081</v>
      </c>
      <c r="AE226" s="478">
        <f t="shared" ca="1" si="53"/>
        <v>109749.99844623369</v>
      </c>
      <c r="AF226" s="478"/>
      <c r="AG226" s="478"/>
      <c r="AH226" s="478"/>
      <c r="AI226" s="478"/>
      <c r="AJ226" s="478"/>
      <c r="AK226" s="478"/>
      <c r="AL226" s="430"/>
      <c r="AM226" s="430"/>
    </row>
    <row r="227" spans="2:39">
      <c r="B227" s="474" t="s">
        <v>8</v>
      </c>
      <c r="C227" s="478"/>
      <c r="D227" s="478"/>
      <c r="E227" s="478"/>
      <c r="F227" s="478"/>
      <c r="G227" s="478"/>
      <c r="H227" s="478"/>
      <c r="I227" s="478"/>
      <c r="J227" s="478"/>
      <c r="K227" s="478"/>
      <c r="L227" s="478"/>
      <c r="M227" s="478"/>
      <c r="N227" s="478"/>
      <c r="O227" s="478"/>
      <c r="P227" s="478"/>
      <c r="Q227" s="478"/>
      <c r="R227" s="478"/>
      <c r="S227" s="478"/>
      <c r="T227" s="478"/>
      <c r="U227" s="478">
        <f>VTR!P119*1000</f>
        <v>214299.99999999994</v>
      </c>
      <c r="V227" s="478">
        <f>VTR!Q119*1000</f>
        <v>229100</v>
      </c>
      <c r="W227" s="478">
        <f>VTR!R119*1000</f>
        <v>248200</v>
      </c>
      <c r="X227" s="478">
        <f>VTR!S119*1000</f>
        <v>260928.97289828511</v>
      </c>
      <c r="Y227" s="478">
        <f ca="1">VTR!T119*1000</f>
        <v>274650.04029629292</v>
      </c>
      <c r="Z227" s="478">
        <f ca="1">VTR!U119*1000</f>
        <v>288241.85010383069</v>
      </c>
      <c r="AA227" s="478">
        <f ca="1">VTR!V119*1000</f>
        <v>302491.75938482769</v>
      </c>
      <c r="AB227" s="478">
        <f ca="1">VTR!W119*1000</f>
        <v>316832.51245729148</v>
      </c>
      <c r="AC227" s="478">
        <f ca="1">VTR!X119*1000</f>
        <v>332029.70748168638</v>
      </c>
      <c r="AD227" s="478">
        <f ca="1">VTR!Y119*1000</f>
        <v>347497.59145726304</v>
      </c>
      <c r="AE227" s="478">
        <f ca="1">VTR!Z119*1000</f>
        <v>363483.85716313357</v>
      </c>
      <c r="AF227" s="478"/>
      <c r="AG227" s="478"/>
      <c r="AH227" s="478"/>
      <c r="AI227" s="478"/>
      <c r="AJ227" s="478"/>
      <c r="AK227" s="478"/>
      <c r="AL227" s="430"/>
      <c r="AM227" s="430"/>
    </row>
    <row r="228" spans="2:39">
      <c r="B228" s="474" t="s">
        <v>1303</v>
      </c>
      <c r="C228" s="478"/>
      <c r="D228" s="478"/>
      <c r="E228" s="478"/>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30"/>
      <c r="AM228" s="430"/>
    </row>
    <row r="229" spans="2:39">
      <c r="B229" s="474" t="s">
        <v>1304</v>
      </c>
      <c r="C229" s="478"/>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8"/>
      <c r="AG229" s="478"/>
      <c r="AH229" s="478"/>
      <c r="AI229" s="478"/>
      <c r="AJ229" s="478"/>
      <c r="AK229" s="478"/>
      <c r="AL229" s="430"/>
      <c r="AM229" s="430"/>
    </row>
    <row r="230" spans="2:39">
      <c r="B230" s="474" t="s">
        <v>19</v>
      </c>
      <c r="C230" s="478"/>
      <c r="D230" s="478"/>
      <c r="E230" s="478"/>
      <c r="F230" s="478"/>
      <c r="G230" s="478"/>
      <c r="H230" s="478"/>
      <c r="I230" s="478"/>
      <c r="J230" s="478"/>
      <c r="K230" s="478"/>
      <c r="L230" s="478"/>
      <c r="M230" s="478"/>
      <c r="N230" s="478"/>
      <c r="O230" s="478"/>
      <c r="P230" s="478"/>
      <c r="Q230" s="478"/>
      <c r="R230" s="478"/>
      <c r="S230" s="478"/>
      <c r="T230" s="478"/>
      <c r="U230" s="478">
        <f>VTR!P122*1000</f>
        <v>96400</v>
      </c>
      <c r="V230" s="478">
        <f>VTR!Q122*1000</f>
        <v>132000</v>
      </c>
      <c r="W230" s="478">
        <f>VTR!R122*1000</f>
        <v>137900</v>
      </c>
      <c r="X230" s="478">
        <f>VTR!S122*1000</f>
        <v>136352.59826999999</v>
      </c>
      <c r="Y230" s="478">
        <f ca="1">VTR!T122*1000</f>
        <v>143116.91778694154</v>
      </c>
      <c r="Z230" s="478">
        <f ca="1">VTR!U122*1000</f>
        <v>142451.23598618887</v>
      </c>
      <c r="AA230" s="478">
        <f ca="1">VTR!V122*1000</f>
        <v>141346.60599784329</v>
      </c>
      <c r="AB230" s="478">
        <f ca="1">VTR!W122*1000</f>
        <v>146774.17712139213</v>
      </c>
      <c r="AC230" s="478">
        <f ca="1">VTR!X122*1000</f>
        <v>152331.19399143101</v>
      </c>
      <c r="AD230" s="478">
        <f ca="1">VTR!Y122*1000</f>
        <v>158025.36925839909</v>
      </c>
      <c r="AE230" s="478">
        <f ca="1">VTR!Z122*1000</f>
        <v>163864.58715140959</v>
      </c>
      <c r="AF230" s="478"/>
      <c r="AG230" s="478"/>
      <c r="AH230" s="478"/>
      <c r="AI230" s="478"/>
      <c r="AJ230" s="478"/>
      <c r="AK230" s="478"/>
      <c r="AL230" s="430"/>
      <c r="AM230" s="430"/>
    </row>
    <row r="231" spans="2:39">
      <c r="B231" s="474" t="s">
        <v>1305</v>
      </c>
      <c r="C231" s="478"/>
      <c r="D231" s="478"/>
      <c r="E231" s="478"/>
      <c r="F231" s="478"/>
      <c r="G231" s="478"/>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478"/>
      <c r="AJ231" s="478"/>
      <c r="AK231" s="478"/>
      <c r="AL231" s="430"/>
      <c r="AM231" s="430"/>
    </row>
    <row r="232" spans="2:39">
      <c r="B232" s="474" t="s">
        <v>1306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30"/>
      <c r="AM232" s="430"/>
    </row>
    <row r="233" spans="2:39">
      <c r="B233" s="474" t="s">
        <v>27</v>
      </c>
      <c r="C233" s="478"/>
      <c r="D233" s="478"/>
      <c r="E233" s="478"/>
      <c r="F233" s="478"/>
      <c r="G233" s="478"/>
      <c r="H233" s="478"/>
      <c r="I233" s="478"/>
      <c r="J233" s="478"/>
      <c r="K233" s="478"/>
      <c r="L233" s="478"/>
      <c r="M233" s="478"/>
      <c r="N233" s="478"/>
      <c r="O233" s="478"/>
      <c r="P233" s="478"/>
      <c r="Q233" s="478"/>
      <c r="R233" s="478"/>
      <c r="S233" s="478"/>
      <c r="T233" s="478"/>
      <c r="U233" s="478">
        <f>U227-U230</f>
        <v>117899.99999999994</v>
      </c>
      <c r="V233" s="478">
        <f t="shared" ref="V233:AE233" si="54">V227-V230</f>
        <v>97100</v>
      </c>
      <c r="W233" s="478">
        <f t="shared" si="54"/>
        <v>110300</v>
      </c>
      <c r="X233" s="478">
        <f t="shared" si="54"/>
        <v>124576.37462828512</v>
      </c>
      <c r="Y233" s="478">
        <f t="shared" ca="1" si="54"/>
        <v>131533.12250935138</v>
      </c>
      <c r="Z233" s="478">
        <f t="shared" ca="1" si="54"/>
        <v>145790.61411764182</v>
      </c>
      <c r="AA233" s="478">
        <f t="shared" ca="1" si="54"/>
        <v>161145.1533869844</v>
      </c>
      <c r="AB233" s="478">
        <f t="shared" ca="1" si="54"/>
        <v>170058.33533589935</v>
      </c>
      <c r="AC233" s="478">
        <f t="shared" ca="1" si="54"/>
        <v>179698.51349025537</v>
      </c>
      <c r="AD233" s="478">
        <f t="shared" ca="1" si="54"/>
        <v>189472.22219886395</v>
      </c>
      <c r="AE233" s="478">
        <f t="shared" ca="1" si="54"/>
        <v>199619.27001172397</v>
      </c>
      <c r="AF233" s="478"/>
      <c r="AG233" s="478"/>
      <c r="AH233" s="478"/>
      <c r="AI233" s="478"/>
      <c r="AJ233" s="478"/>
      <c r="AK233" s="478"/>
      <c r="AL233" s="430"/>
      <c r="AM233" s="430"/>
    </row>
    <row r="234" spans="2:39">
      <c r="B234" s="474" t="s">
        <v>249</v>
      </c>
      <c r="C234" s="478"/>
      <c r="D234" s="478"/>
      <c r="E234" s="478"/>
      <c r="F234" s="478"/>
      <c r="G234" s="478"/>
      <c r="H234" s="478"/>
      <c r="I234" s="478"/>
      <c r="J234" s="478"/>
      <c r="K234" s="478"/>
      <c r="L234" s="478"/>
      <c r="M234" s="478"/>
      <c r="N234" s="478"/>
      <c r="O234" s="478"/>
      <c r="P234" s="478"/>
      <c r="Q234" s="478"/>
      <c r="R234" s="478"/>
      <c r="S234" s="478"/>
      <c r="T234" s="478"/>
      <c r="U234" s="478">
        <f>VTR!P205*1000</f>
        <v>12699.99999999996</v>
      </c>
      <c r="V234" s="478">
        <f>VTR!Q205*1000</f>
        <v>-42102.756576402346</v>
      </c>
      <c r="W234" s="478">
        <f>VTR!R205*1000</f>
        <v>-32617.884526112208</v>
      </c>
      <c r="X234" s="478">
        <f>VTR!S205*1000</f>
        <v>-22545.850110593023</v>
      </c>
      <c r="Y234" s="478">
        <f ca="1">VTR!T205*1000</f>
        <v>-17113.047655295803</v>
      </c>
      <c r="Z234" s="478">
        <f ca="1">VTR!U205*1000</f>
        <v>5840.1998665584924</v>
      </c>
      <c r="AA234" s="478">
        <f ca="1">VTR!V205*1000</f>
        <v>15893.191379794218</v>
      </c>
      <c r="AB234" s="478">
        <f ca="1">VTR!W205*1000</f>
        <v>19717.730428338655</v>
      </c>
      <c r="AC234" s="478">
        <f ca="1">VTR!X205*1000</f>
        <v>24018.390426869784</v>
      </c>
      <c r="AD234" s="478">
        <f ca="1">VTR!Y205*1000</f>
        <v>55881.675972328449</v>
      </c>
      <c r="AE234" s="478">
        <f ca="1">VTR!Z205*1000</f>
        <v>70520.32843238613</v>
      </c>
      <c r="AF234" s="478"/>
      <c r="AG234" s="478"/>
      <c r="AH234" s="478"/>
      <c r="AI234" s="478"/>
      <c r="AJ234" s="478"/>
      <c r="AK234" s="478"/>
      <c r="AL234" s="430"/>
      <c r="AM234" s="430"/>
    </row>
    <row r="235" spans="2:39">
      <c r="B235" s="474" t="s">
        <v>115</v>
      </c>
      <c r="C235" s="478"/>
      <c r="D235" s="478"/>
      <c r="E235" s="478"/>
      <c r="F235" s="478"/>
      <c r="G235" s="478"/>
      <c r="H235" s="478"/>
      <c r="I235" s="478"/>
      <c r="J235" s="478"/>
      <c r="K235" s="478"/>
      <c r="L235" s="478"/>
      <c r="M235" s="478"/>
      <c r="N235" s="478"/>
      <c r="O235" s="478"/>
      <c r="P235" s="478"/>
      <c r="Q235" s="478"/>
      <c r="R235" s="478"/>
      <c r="S235" s="478"/>
      <c r="T235" s="478"/>
      <c r="U235" s="478">
        <f>VTR!P230*1000</f>
        <v>802400.00000000012</v>
      </c>
      <c r="V235" s="478">
        <f>VTR!Q230*1000</f>
        <v>871400</v>
      </c>
      <c r="W235" s="478">
        <f>VTR!R230*1000</f>
        <v>985802.31</v>
      </c>
      <c r="X235" s="478">
        <f>VTR!S230*1000</f>
        <v>1027269.6671117148</v>
      </c>
      <c r="Y235" s="478">
        <f ca="1">VTR!T230*1000</f>
        <v>1063093.6272487391</v>
      </c>
      <c r="Z235" s="478">
        <f ca="1">VTR!U230*1000</f>
        <v>1076241.7329581184</v>
      </c>
      <c r="AA235" s="478">
        <f ca="1">VTR!V230*1000</f>
        <v>1079146.1144179751</v>
      </c>
      <c r="AB235" s="478">
        <f ca="1">VTR!W230*1000</f>
        <v>1080004.2882558061</v>
      </c>
      <c r="AC235" s="478">
        <f ca="1">VTR!X230*1000</f>
        <v>1076390.0510062447</v>
      </c>
      <c r="AD235" s="478">
        <f ca="1">VTR!Y230*1000</f>
        <v>1041873.0160201351</v>
      </c>
      <c r="AE235" s="478">
        <f ca="1">VTR!Z230*1000</f>
        <v>966774.2178650978</v>
      </c>
      <c r="AF235" s="478"/>
      <c r="AG235" s="478"/>
      <c r="AH235" s="478"/>
      <c r="AI235" s="478"/>
      <c r="AJ235" s="478"/>
      <c r="AK235" s="478"/>
      <c r="AL235" s="430"/>
      <c r="AM235" s="430"/>
    </row>
    <row r="236" spans="2:39">
      <c r="B236" s="474" t="s">
        <v>360</v>
      </c>
      <c r="C236" s="478"/>
      <c r="D236" s="478"/>
      <c r="E236" s="478"/>
      <c r="F236" s="478"/>
      <c r="G236" s="478"/>
      <c r="H236" s="478"/>
      <c r="I236" s="478"/>
      <c r="J236" s="478"/>
      <c r="K236" s="478"/>
      <c r="L236" s="478"/>
      <c r="M236" s="478"/>
      <c r="N236" s="478"/>
      <c r="O236" s="478"/>
      <c r="P236" s="478"/>
      <c r="Q236" s="478"/>
      <c r="R236" s="478"/>
      <c r="S236" s="478"/>
      <c r="T236" s="478"/>
      <c r="U236" s="478">
        <f>VTR!P15</f>
        <v>132</v>
      </c>
      <c r="V236" s="478">
        <f>VTR!Q15</f>
        <v>166.2</v>
      </c>
      <c r="W236" s="478">
        <f>VTR!R15</f>
        <v>214.9</v>
      </c>
      <c r="X236" s="478">
        <f>VTR!S15</f>
        <v>244.9</v>
      </c>
      <c r="Y236" s="478">
        <f>VTR!T15</f>
        <v>274.89999999999998</v>
      </c>
      <c r="Z236" s="478">
        <f>VTR!U15</f>
        <v>304.89999999999998</v>
      </c>
      <c r="AA236" s="478">
        <f>VTR!V15</f>
        <v>334.9</v>
      </c>
      <c r="AB236" s="478">
        <f>VTR!W15</f>
        <v>364.9</v>
      </c>
      <c r="AC236" s="478">
        <f>VTR!X15</f>
        <v>394.9</v>
      </c>
      <c r="AD236" s="478">
        <f>VTR!Y15</f>
        <v>424.9</v>
      </c>
      <c r="AE236" s="478">
        <f>VTR!Z15</f>
        <v>454.9</v>
      </c>
      <c r="AF236" s="478"/>
      <c r="AG236" s="478"/>
      <c r="AH236" s="478"/>
      <c r="AI236" s="478"/>
      <c r="AJ236" s="478"/>
      <c r="AK236" s="478"/>
      <c r="AL236" s="430"/>
      <c r="AM236" s="430"/>
    </row>
    <row r="237" spans="2:39">
      <c r="B237" s="474" t="s">
        <v>660</v>
      </c>
      <c r="C237" s="478"/>
      <c r="D237" s="478"/>
      <c r="E237" s="478"/>
      <c r="F237" s="478"/>
      <c r="G237" s="478"/>
      <c r="H237" s="478"/>
      <c r="I237" s="478"/>
      <c r="J237" s="478"/>
      <c r="K237" s="478"/>
      <c r="L237" s="478"/>
      <c r="M237" s="478"/>
      <c r="N237" s="478"/>
      <c r="O237" s="478"/>
      <c r="P237" s="478"/>
      <c r="Q237" s="478"/>
      <c r="R237" s="478"/>
      <c r="S237" s="478"/>
      <c r="T237" s="478"/>
      <c r="U237" s="478">
        <f>VTR!P68</f>
        <v>23300</v>
      </c>
      <c r="V237" s="478">
        <f>VTR!Q68</f>
        <v>30000</v>
      </c>
      <c r="W237" s="478">
        <f>VTR!R68</f>
        <v>35000</v>
      </c>
      <c r="X237" s="478">
        <f>VTR!S68</f>
        <v>41383.206507478353</v>
      </c>
      <c r="Y237" s="478">
        <f>VTR!T68</f>
        <v>45847.69666754132</v>
      </c>
      <c r="Z237" s="478">
        <f>VTR!U68</f>
        <v>50117.053938598787</v>
      </c>
      <c r="AA237" s="478">
        <f>VTR!V68</f>
        <v>54197.297840146937</v>
      </c>
      <c r="AB237" s="478">
        <f>VTR!W68</f>
        <v>58094.285164057714</v>
      </c>
      <c r="AC237" s="478">
        <f>VTR!X68</f>
        <v>61813.714075876014</v>
      </c>
      <c r="AD237" s="478">
        <f>VTR!Y68</f>
        <v>65361.128117155953</v>
      </c>
      <c r="AE237" s="478">
        <f>VTR!Z68</f>
        <v>68741.920111154352</v>
      </c>
      <c r="AF237" s="478"/>
      <c r="AG237" s="478"/>
      <c r="AH237" s="478"/>
      <c r="AI237" s="478"/>
      <c r="AJ237" s="478"/>
      <c r="AK237" s="478"/>
      <c r="AL237" s="430"/>
      <c r="AM237" s="430"/>
    </row>
    <row r="238" spans="2:39">
      <c r="B238" s="474" t="s">
        <v>1308</v>
      </c>
      <c r="C238" s="478"/>
      <c r="D238" s="478"/>
      <c r="E238" s="478"/>
      <c r="F238" s="478"/>
      <c r="G238" s="478"/>
      <c r="H238" s="478"/>
      <c r="I238" s="478"/>
      <c r="J238" s="478"/>
      <c r="K238" s="478"/>
      <c r="L238" s="478"/>
      <c r="M238" s="478"/>
      <c r="N238" s="478"/>
      <c r="O238" s="478"/>
      <c r="P238" s="478"/>
      <c r="Q238" s="478"/>
      <c r="R238" s="478"/>
      <c r="S238" s="478"/>
      <c r="T238" s="478"/>
      <c r="U238" s="478">
        <f>U227/Forex!K38</f>
        <v>326.17960426179593</v>
      </c>
      <c r="V238" s="478">
        <f>V227/Forex!L38</f>
        <v>338.80007689918813</v>
      </c>
      <c r="W238" s="478">
        <f>W227/Forex!M38</f>
        <v>382.55240443896429</v>
      </c>
      <c r="X238" s="478">
        <f>X227/Forex!N38</f>
        <v>406.32382842282436</v>
      </c>
      <c r="Y238" s="478">
        <f ca="1">Y227/Forex!O38</f>
        <v>390.68284537168267</v>
      </c>
      <c r="Z238" s="478">
        <f ca="1">Z227/Forex!P38</f>
        <v>363.94172992907914</v>
      </c>
      <c r="AA238" s="478">
        <f ca="1">AA227/Forex!Q38</f>
        <v>397.49245648466189</v>
      </c>
      <c r="AB238" s="478">
        <f ca="1">AB227/Forex!R38</f>
        <v>362.92384015726401</v>
      </c>
      <c r="AC238" s="478">
        <f ca="1">AC227/Forex!S38</f>
        <v>415.5565800772045</v>
      </c>
      <c r="AD238" s="478">
        <f ca="1">AD227/Forex!T38</f>
        <v>428.48038404101487</v>
      </c>
      <c r="AE238" s="478">
        <f ca="1">AE227/Forex!U38</f>
        <v>448.1921789927664</v>
      </c>
      <c r="AF238" s="478"/>
      <c r="AG238" s="478"/>
      <c r="AH238" s="478"/>
      <c r="AI238" s="478"/>
      <c r="AJ238" s="478"/>
      <c r="AK238" s="478"/>
      <c r="AL238" s="430"/>
      <c r="AM238" s="430"/>
    </row>
    <row r="239" spans="2:39">
      <c r="B239" s="474" t="s">
        <v>1309</v>
      </c>
      <c r="C239" s="478"/>
      <c r="D239" s="478"/>
      <c r="E239" s="478"/>
      <c r="F239" s="478"/>
      <c r="G239" s="478"/>
      <c r="H239" s="478"/>
      <c r="I239" s="478"/>
      <c r="J239" s="478"/>
      <c r="K239" s="478"/>
      <c r="L239" s="478"/>
      <c r="M239" s="478"/>
      <c r="N239" s="478"/>
      <c r="O239" s="478"/>
      <c r="P239" s="478"/>
      <c r="Q239" s="478"/>
      <c r="R239" s="478"/>
      <c r="S239" s="478"/>
      <c r="T239" s="478"/>
      <c r="U239" s="478">
        <f>U230/Forex!K38</f>
        <v>146.72754946727551</v>
      </c>
      <c r="V239" s="478">
        <f>V230/Forex!L38</f>
        <v>195.20563138669939</v>
      </c>
      <c r="W239" s="478">
        <f>W230/Forex!M38</f>
        <v>212.54623921085081</v>
      </c>
      <c r="X239" s="478">
        <f>X230/Forex!N38</f>
        <v>212.33099999999999</v>
      </c>
      <c r="Y239" s="478">
        <f ca="1">Y230/Forex!O38</f>
        <v>203.58025289749864</v>
      </c>
      <c r="Z239" s="478">
        <f ca="1">Z230/Forex!P38</f>
        <v>179.86267169973343</v>
      </c>
      <c r="AA239" s="478">
        <f ca="1">AA230/Forex!Q38</f>
        <v>185.73798422844058</v>
      </c>
      <c r="AB239" s="478">
        <f ca="1">AB230/Forex!R38</f>
        <v>168.12620517914334</v>
      </c>
      <c r="AC239" s="478">
        <f ca="1">AC230/Forex!S38</f>
        <v>190.65230787413142</v>
      </c>
      <c r="AD239" s="478">
        <f ca="1">AD230/Forex!T38</f>
        <v>194.85248983773008</v>
      </c>
      <c r="AE239" s="478">
        <f ca="1">AE230/Forex!U38</f>
        <v>202.05251190062836</v>
      </c>
      <c r="AF239" s="478"/>
      <c r="AG239" s="478"/>
      <c r="AH239" s="478"/>
      <c r="AI239" s="478"/>
      <c r="AJ239" s="478"/>
      <c r="AK239" s="478"/>
      <c r="AL239" s="430"/>
      <c r="AM239" s="430"/>
    </row>
    <row r="240" spans="2:39">
      <c r="B240" s="480" t="s">
        <v>1310</v>
      </c>
      <c r="C240" s="476"/>
      <c r="D240" s="476"/>
      <c r="E240" s="476"/>
      <c r="F240" s="476"/>
      <c r="G240" s="476"/>
      <c r="H240" s="476"/>
      <c r="I240" s="476"/>
      <c r="J240" s="476"/>
      <c r="K240" s="476"/>
      <c r="L240" s="476"/>
      <c r="M240" s="476"/>
      <c r="N240" s="476"/>
      <c r="O240" s="476"/>
      <c r="P240" s="476"/>
      <c r="Q240" s="476"/>
      <c r="R240" s="476"/>
      <c r="S240" s="476"/>
      <c r="T240" s="477"/>
      <c r="U240" s="435">
        <f>U213</f>
        <v>2015</v>
      </c>
      <c r="V240" s="435">
        <f t="shared" ref="V240:AD240" si="55">V213</f>
        <v>2016</v>
      </c>
      <c r="W240" s="435">
        <f t="shared" si="55"/>
        <v>2017</v>
      </c>
      <c r="X240" s="435">
        <f t="shared" si="55"/>
        <v>2018</v>
      </c>
      <c r="Y240" s="435">
        <f t="shared" si="55"/>
        <v>2019</v>
      </c>
      <c r="Z240" s="435">
        <f t="shared" si="55"/>
        <v>2020</v>
      </c>
      <c r="AA240" s="435">
        <f t="shared" si="55"/>
        <v>2021</v>
      </c>
      <c r="AB240" s="435">
        <f t="shared" si="55"/>
        <v>2022</v>
      </c>
      <c r="AC240" s="435">
        <f t="shared" si="55"/>
        <v>2023</v>
      </c>
      <c r="AD240" s="435">
        <f t="shared" si="55"/>
        <v>2024</v>
      </c>
      <c r="AE240" s="435">
        <f>AE213</f>
        <v>2025</v>
      </c>
      <c r="AF240" s="435"/>
      <c r="AG240" s="435"/>
      <c r="AH240" s="435"/>
      <c r="AI240" s="435"/>
      <c r="AJ240" s="435"/>
      <c r="AK240" s="1860"/>
      <c r="AL240" s="430"/>
      <c r="AM240" s="430"/>
    </row>
    <row r="241" spans="2:39">
      <c r="B241" s="474" t="s">
        <v>557</v>
      </c>
      <c r="C241" s="478"/>
      <c r="D241" s="478"/>
      <c r="E241" s="478"/>
      <c r="F241" s="478"/>
      <c r="G241" s="478"/>
      <c r="H241" s="478"/>
      <c r="I241" s="478"/>
      <c r="J241" s="478"/>
      <c r="K241" s="478"/>
      <c r="L241" s="478"/>
      <c r="M241" s="478"/>
      <c r="N241" s="478"/>
      <c r="O241" s="478"/>
      <c r="P241" s="478"/>
      <c r="Q241" s="478"/>
      <c r="R241" s="478"/>
      <c r="S241" s="478"/>
      <c r="T241" s="478"/>
      <c r="U241" s="478">
        <f>PR!P4</f>
        <v>1070.7</v>
      </c>
      <c r="V241" s="478">
        <f>PR!Q4</f>
        <v>1092.3</v>
      </c>
      <c r="W241" s="478">
        <f>PR!R4</f>
        <v>1122.3</v>
      </c>
      <c r="X241" s="478">
        <f>PR!S4</f>
        <v>1125.3</v>
      </c>
      <c r="Y241" s="478">
        <f>PR!T4</f>
        <v>1128.3</v>
      </c>
      <c r="Z241" s="478">
        <f>PR!U4</f>
        <v>1131.3</v>
      </c>
      <c r="AA241" s="478">
        <f>PR!V4</f>
        <v>1134.3</v>
      </c>
      <c r="AB241" s="478">
        <f>PR!W4</f>
        <v>1137.3</v>
      </c>
      <c r="AC241" s="478">
        <f>PR!X4</f>
        <v>1140.3</v>
      </c>
      <c r="AD241" s="478">
        <f>PR!Y4</f>
        <v>1143.3</v>
      </c>
      <c r="AE241" s="478">
        <f>PR!Z4</f>
        <v>1146.3</v>
      </c>
      <c r="AF241" s="478"/>
      <c r="AG241" s="478"/>
      <c r="AH241" s="478"/>
      <c r="AI241" s="478"/>
      <c r="AJ241" s="478"/>
      <c r="AK241" s="478"/>
      <c r="AL241" s="430"/>
      <c r="AM241" s="430"/>
    </row>
    <row r="242" spans="2:39">
      <c r="B242" s="474" t="s">
        <v>558</v>
      </c>
      <c r="C242" s="478"/>
      <c r="D242" s="478"/>
      <c r="E242" s="478"/>
      <c r="F242" s="478"/>
      <c r="G242" s="478"/>
      <c r="H242" s="478"/>
      <c r="I242" s="478"/>
      <c r="J242" s="478"/>
      <c r="K242" s="478"/>
      <c r="L242" s="478"/>
      <c r="M242" s="478"/>
      <c r="N242" s="478"/>
      <c r="O242" s="478"/>
      <c r="P242" s="478"/>
      <c r="Q242" s="478"/>
      <c r="R242" s="478"/>
      <c r="S242" s="478"/>
      <c r="T242" s="478"/>
      <c r="U242" s="478">
        <f>PR!P5</f>
        <v>1070.7</v>
      </c>
      <c r="V242" s="478">
        <f>PR!Q5</f>
        <v>1092.3</v>
      </c>
      <c r="W242" s="478">
        <f>PR!R5</f>
        <v>1122.3</v>
      </c>
      <c r="X242" s="478">
        <f>PR!S5</f>
        <v>1125.3</v>
      </c>
      <c r="Y242" s="478">
        <f>PR!T5</f>
        <v>1128.3</v>
      </c>
      <c r="Z242" s="478">
        <f>PR!U5</f>
        <v>1131.3</v>
      </c>
      <c r="AA242" s="478">
        <f>PR!V5</f>
        <v>1134.3</v>
      </c>
      <c r="AB242" s="478">
        <f>PR!W5</f>
        <v>1137.3</v>
      </c>
      <c r="AC242" s="478">
        <f>PR!X5</f>
        <v>1140.3</v>
      </c>
      <c r="AD242" s="478">
        <f>PR!Y5</f>
        <v>1143.3</v>
      </c>
      <c r="AE242" s="478">
        <f>PR!Z5</f>
        <v>1146.3</v>
      </c>
      <c r="AF242" s="478"/>
      <c r="AG242" s="478"/>
      <c r="AH242" s="478"/>
      <c r="AI242" s="478"/>
      <c r="AJ242" s="478"/>
      <c r="AK242" s="478"/>
      <c r="AL242" s="430"/>
      <c r="AM242" s="430"/>
    </row>
    <row r="243" spans="2:39">
      <c r="B243" s="474" t="s">
        <v>559</v>
      </c>
      <c r="C243" s="478"/>
      <c r="D243" s="478"/>
      <c r="E243" s="478"/>
      <c r="F243" s="478"/>
      <c r="G243" s="478"/>
      <c r="H243" s="478"/>
      <c r="I243" s="478"/>
      <c r="J243" s="478"/>
      <c r="K243" s="478"/>
      <c r="L243" s="478"/>
      <c r="M243" s="478"/>
      <c r="N243" s="478"/>
      <c r="O243" s="478"/>
      <c r="P243" s="478"/>
      <c r="Q243" s="478"/>
      <c r="R243" s="478"/>
      <c r="S243" s="478"/>
      <c r="T243" s="478"/>
      <c r="U243" s="478">
        <f>PR!P6</f>
        <v>400.9</v>
      </c>
      <c r="V243" s="478">
        <f>PR!Q6</f>
        <v>403.7</v>
      </c>
      <c r="W243" s="478">
        <f>PR!R6</f>
        <v>403.7</v>
      </c>
      <c r="X243" s="478">
        <f>PR!S6</f>
        <v>406.31299999999999</v>
      </c>
      <c r="Y243" s="478">
        <f>PR!T6</f>
        <v>408.95213000000001</v>
      </c>
      <c r="Z243" s="478">
        <f>PR!U6</f>
        <v>411.61765130000003</v>
      </c>
      <c r="AA243" s="478">
        <f>PR!V6</f>
        <v>414.30982781300003</v>
      </c>
      <c r="AB243" s="478">
        <f>PR!W6</f>
        <v>417.02892609113002</v>
      </c>
      <c r="AC243" s="478">
        <f>PR!X6</f>
        <v>419.7752153520413</v>
      </c>
      <c r="AD243" s="478">
        <f>PR!Y6</f>
        <v>422.54896750556173</v>
      </c>
      <c r="AE243" s="478">
        <f>PR!Z6</f>
        <v>425.35045718061735</v>
      </c>
      <c r="AF243" s="478"/>
      <c r="AG243" s="478"/>
      <c r="AH243" s="478"/>
      <c r="AI243" s="478"/>
      <c r="AJ243" s="478"/>
      <c r="AK243" s="478"/>
      <c r="AL243" s="430"/>
      <c r="AM243" s="430"/>
    </row>
    <row r="244" spans="2:39">
      <c r="B244" s="474" t="s">
        <v>1294</v>
      </c>
      <c r="C244" s="478"/>
      <c r="D244" s="478"/>
      <c r="E244" s="478"/>
      <c r="F244" s="478"/>
      <c r="G244" s="478"/>
      <c r="H244" s="478"/>
      <c r="I244" s="478"/>
      <c r="J244" s="478"/>
      <c r="K244" s="478"/>
      <c r="L244" s="478"/>
      <c r="M244" s="478"/>
      <c r="N244" s="478"/>
      <c r="O244" s="478"/>
      <c r="P244" s="478"/>
      <c r="Q244" s="478"/>
      <c r="R244" s="478"/>
      <c r="S244" s="478"/>
      <c r="T244" s="478"/>
      <c r="U244" s="478">
        <f>PR!P10</f>
        <v>263.89999999999998</v>
      </c>
      <c r="V244" s="478">
        <f>PR!Q10</f>
        <v>261.3</v>
      </c>
      <c r="W244" s="478">
        <f>PR!R10</f>
        <v>261.3</v>
      </c>
      <c r="X244" s="478">
        <f>PR!S10</f>
        <v>263.91300000000001</v>
      </c>
      <c r="Y244" s="478">
        <f>PR!T10</f>
        <v>266.55213000000003</v>
      </c>
      <c r="Z244" s="478">
        <f>PR!U10</f>
        <v>269.21765130000006</v>
      </c>
      <c r="AA244" s="478">
        <f>PR!V10</f>
        <v>271.90982781300005</v>
      </c>
      <c r="AB244" s="478">
        <f>PR!W10</f>
        <v>274.62892609113004</v>
      </c>
      <c r="AC244" s="478">
        <f>PR!X10</f>
        <v>277.37521535204132</v>
      </c>
      <c r="AD244" s="478">
        <f>PR!Y10</f>
        <v>280.14896750556176</v>
      </c>
      <c r="AE244" s="478">
        <f>PR!Z10</f>
        <v>282.95045718061738</v>
      </c>
      <c r="AF244" s="478"/>
      <c r="AG244" s="478"/>
      <c r="AH244" s="478"/>
      <c r="AI244" s="478"/>
      <c r="AJ244" s="478"/>
      <c r="AK244" s="478"/>
      <c r="AL244" s="430"/>
      <c r="AM244" s="430"/>
    </row>
    <row r="245" spans="2:39">
      <c r="B245" s="474" t="s">
        <v>1295</v>
      </c>
      <c r="C245" s="478"/>
      <c r="D245" s="478"/>
      <c r="E245" s="478"/>
      <c r="F245" s="478"/>
      <c r="G245" s="478"/>
      <c r="H245" s="478"/>
      <c r="I245" s="478"/>
      <c r="J245" s="478"/>
      <c r="K245" s="478"/>
      <c r="L245" s="478"/>
      <c r="M245" s="478"/>
      <c r="N245" s="478"/>
      <c r="O245" s="478"/>
      <c r="P245" s="478"/>
      <c r="Q245" s="478"/>
      <c r="R245" s="478"/>
      <c r="S245" s="478"/>
      <c r="T245" s="478"/>
      <c r="U245" s="478">
        <f>PR!P7</f>
        <v>0</v>
      </c>
      <c r="V245" s="478">
        <f>PR!Q7</f>
        <v>0</v>
      </c>
      <c r="W245" s="478">
        <f>PR!R7</f>
        <v>0</v>
      </c>
      <c r="X245" s="478">
        <f>PR!S7</f>
        <v>0</v>
      </c>
      <c r="Y245" s="478">
        <f>PR!T7</f>
        <v>0</v>
      </c>
      <c r="Z245" s="478">
        <f>PR!U7</f>
        <v>0</v>
      </c>
      <c r="AA245" s="478">
        <f>PR!V7</f>
        <v>0</v>
      </c>
      <c r="AB245" s="478">
        <f>PR!W7</f>
        <v>0</v>
      </c>
      <c r="AC245" s="478">
        <f>PR!X7</f>
        <v>0</v>
      </c>
      <c r="AD245" s="478">
        <f>PR!Y7</f>
        <v>0</v>
      </c>
      <c r="AE245" s="478">
        <f>PR!Z7</f>
        <v>0</v>
      </c>
      <c r="AF245" s="478"/>
      <c r="AG245" s="478"/>
      <c r="AH245" s="478"/>
      <c r="AI245" s="478"/>
      <c r="AJ245" s="478"/>
      <c r="AK245" s="478"/>
      <c r="AL245" s="430"/>
      <c r="AM245" s="430"/>
    </row>
    <row r="246" spans="2:39">
      <c r="B246" s="474" t="s">
        <v>1296</v>
      </c>
      <c r="C246" s="478"/>
      <c r="D246" s="478"/>
      <c r="E246" s="478"/>
      <c r="F246" s="478"/>
      <c r="G246" s="478"/>
      <c r="H246" s="478"/>
      <c r="I246" s="478"/>
      <c r="J246" s="478"/>
      <c r="K246" s="478"/>
      <c r="L246" s="478"/>
      <c r="M246" s="478"/>
      <c r="N246" s="478"/>
      <c r="O246" s="478"/>
      <c r="P246" s="478"/>
      <c r="Q246" s="478"/>
      <c r="R246" s="478"/>
      <c r="S246" s="478"/>
      <c r="T246" s="478"/>
      <c r="U246" s="478">
        <f>PR!P8</f>
        <v>263.89999999999998</v>
      </c>
      <c r="V246" s="478">
        <f>PR!Q8</f>
        <v>261.3</v>
      </c>
      <c r="W246" s="478">
        <f>PR!R8</f>
        <v>261.3</v>
      </c>
      <c r="X246" s="478">
        <f>PR!S8</f>
        <v>263.91300000000001</v>
      </c>
      <c r="Y246" s="478">
        <f>PR!T8</f>
        <v>266.55213000000003</v>
      </c>
      <c r="Z246" s="478">
        <f>PR!U8</f>
        <v>269.21765130000006</v>
      </c>
      <c r="AA246" s="478">
        <f>PR!V8</f>
        <v>271.90982781300005</v>
      </c>
      <c r="AB246" s="478">
        <f>PR!W8</f>
        <v>274.62892609113004</v>
      </c>
      <c r="AC246" s="478">
        <f>PR!X8</f>
        <v>277.37521535204132</v>
      </c>
      <c r="AD246" s="478">
        <f>PR!Y8</f>
        <v>280.14896750556176</v>
      </c>
      <c r="AE246" s="478">
        <f>PR!Z8</f>
        <v>282.95045718061738</v>
      </c>
      <c r="AF246" s="478"/>
      <c r="AG246" s="478"/>
      <c r="AH246" s="478"/>
      <c r="AI246" s="478"/>
      <c r="AJ246" s="478"/>
      <c r="AK246" s="478"/>
      <c r="AL246" s="430"/>
      <c r="AM246" s="430"/>
    </row>
    <row r="247" spans="2:39">
      <c r="B247" s="474" t="s">
        <v>1297</v>
      </c>
      <c r="C247" s="478"/>
      <c r="D247" s="478"/>
      <c r="E247" s="478"/>
      <c r="F247" s="478"/>
      <c r="G247" s="478"/>
      <c r="H247" s="478"/>
      <c r="I247" s="478"/>
      <c r="J247" s="478"/>
      <c r="K247" s="478"/>
      <c r="L247" s="478"/>
      <c r="M247" s="478"/>
      <c r="N247" s="478"/>
      <c r="O247" s="478"/>
      <c r="P247" s="478"/>
      <c r="Q247" s="478"/>
      <c r="R247" s="478"/>
      <c r="S247" s="478"/>
      <c r="T247" s="478"/>
      <c r="U247" s="478">
        <f>PR!P12</f>
        <v>194</v>
      </c>
      <c r="V247" s="478">
        <f>PR!Q12</f>
        <v>208.8</v>
      </c>
      <c r="W247" s="478">
        <f>PR!R12</f>
        <v>223.8</v>
      </c>
      <c r="X247" s="478">
        <f>PR!S12</f>
        <v>238.8</v>
      </c>
      <c r="Y247" s="478">
        <f>PR!T12</f>
        <v>253.8</v>
      </c>
      <c r="Z247" s="478">
        <f>PR!U12</f>
        <v>268.8</v>
      </c>
      <c r="AA247" s="478">
        <f>PR!V12</f>
        <v>283.8</v>
      </c>
      <c r="AB247" s="478">
        <f>PR!W12</f>
        <v>298.8</v>
      </c>
      <c r="AC247" s="478">
        <f>PR!X12</f>
        <v>313.8</v>
      </c>
      <c r="AD247" s="478">
        <f>PR!Y12</f>
        <v>328.8</v>
      </c>
      <c r="AE247" s="478">
        <f>PR!Z12</f>
        <v>343.8</v>
      </c>
      <c r="AF247" s="478"/>
      <c r="AG247" s="478"/>
      <c r="AH247" s="478"/>
      <c r="AI247" s="478"/>
      <c r="AJ247" s="478"/>
      <c r="AK247" s="478"/>
      <c r="AL247" s="430"/>
      <c r="AM247" s="430"/>
    </row>
    <row r="248" spans="2:39">
      <c r="B248" s="474" t="s">
        <v>1298</v>
      </c>
      <c r="C248" s="478"/>
      <c r="D248" s="478"/>
      <c r="E248" s="478"/>
      <c r="F248" s="478"/>
      <c r="G248" s="478"/>
      <c r="H248" s="478"/>
      <c r="I248" s="478"/>
      <c r="J248" s="478"/>
      <c r="K248" s="478"/>
      <c r="L248" s="478"/>
      <c r="M248" s="478"/>
      <c r="N248" s="478"/>
      <c r="O248" s="478"/>
      <c r="P248" s="478"/>
      <c r="Q248" s="478"/>
      <c r="R248" s="478"/>
      <c r="S248" s="478"/>
      <c r="T248" s="478"/>
      <c r="U248" s="478">
        <f>PR!P11</f>
        <v>319</v>
      </c>
      <c r="V248" s="478">
        <f>PR!Q11</f>
        <v>329</v>
      </c>
      <c r="W248" s="478">
        <f>PR!R11</f>
        <v>344</v>
      </c>
      <c r="X248" s="478">
        <f>PR!S11</f>
        <v>359</v>
      </c>
      <c r="Y248" s="478">
        <f>PR!T11</f>
        <v>374</v>
      </c>
      <c r="Z248" s="478">
        <f>PR!U11</f>
        <v>389</v>
      </c>
      <c r="AA248" s="478">
        <f>PR!V11</f>
        <v>404</v>
      </c>
      <c r="AB248" s="478">
        <f>PR!W11</f>
        <v>419</v>
      </c>
      <c r="AC248" s="478">
        <f>PR!X11</f>
        <v>434</v>
      </c>
      <c r="AD248" s="478">
        <f>PR!Y11</f>
        <v>449</v>
      </c>
      <c r="AE248" s="478">
        <f>PR!Z11</f>
        <v>464</v>
      </c>
      <c r="AF248" s="478"/>
      <c r="AG248" s="478"/>
      <c r="AH248" s="478"/>
      <c r="AI248" s="478"/>
      <c r="AJ248" s="478"/>
      <c r="AK248" s="478"/>
      <c r="AL248" s="430"/>
      <c r="AM248" s="430"/>
    </row>
    <row r="249" spans="2:39">
      <c r="B249" s="474" t="s">
        <v>1299</v>
      </c>
      <c r="C249" s="478"/>
      <c r="D249" s="478"/>
      <c r="E249" s="478"/>
      <c r="F249" s="478"/>
      <c r="G249" s="478"/>
      <c r="H249" s="478"/>
      <c r="I249" s="478"/>
      <c r="J249" s="478"/>
      <c r="K249" s="478"/>
      <c r="L249" s="478"/>
      <c r="M249" s="478"/>
      <c r="N249" s="478"/>
      <c r="O249" s="478"/>
      <c r="P249" s="478"/>
      <c r="Q249" s="478"/>
      <c r="R249" s="478"/>
      <c r="S249" s="478"/>
      <c r="T249" s="478"/>
      <c r="U249" s="478">
        <f>PR!P20</f>
        <v>776.9</v>
      </c>
      <c r="V249" s="478">
        <f>PR!Q20</f>
        <v>799.09999999999991</v>
      </c>
      <c r="W249" s="478">
        <f>PR!R20</f>
        <v>829.09999999999991</v>
      </c>
      <c r="X249" s="478">
        <f>PR!S20</f>
        <v>861.71299999999997</v>
      </c>
      <c r="Y249" s="478">
        <f>PR!T20</f>
        <v>894.35212999999999</v>
      </c>
      <c r="Z249" s="478">
        <f>PR!U20</f>
        <v>927.01765130000013</v>
      </c>
      <c r="AA249" s="478">
        <f>PR!V20</f>
        <v>959.70982781299995</v>
      </c>
      <c r="AB249" s="478">
        <f>PR!W20</f>
        <v>992.42892609113005</v>
      </c>
      <c r="AC249" s="478">
        <f>PR!X20</f>
        <v>1025.1752153520413</v>
      </c>
      <c r="AD249" s="478">
        <f>PR!Y20</f>
        <v>1057.9489675055618</v>
      </c>
      <c r="AE249" s="478">
        <f>PR!Z20</f>
        <v>1090.7504571806173</v>
      </c>
      <c r="AF249" s="478"/>
      <c r="AG249" s="478"/>
      <c r="AH249" s="478"/>
      <c r="AI249" s="478"/>
      <c r="AJ249" s="478"/>
      <c r="AK249" s="478"/>
      <c r="AL249" s="430"/>
      <c r="AM249" s="430"/>
    </row>
    <row r="250" spans="2:39">
      <c r="B250" s="474" t="s">
        <v>647</v>
      </c>
      <c r="C250" s="478"/>
      <c r="D250" s="478"/>
      <c r="E250" s="478"/>
      <c r="F250" s="478"/>
      <c r="G250" s="478"/>
      <c r="H250" s="478"/>
      <c r="I250" s="478"/>
      <c r="J250" s="478"/>
      <c r="K250" s="478"/>
      <c r="L250" s="478"/>
      <c r="M250" s="478"/>
      <c r="N250" s="478"/>
      <c r="O250" s="478"/>
      <c r="P250" s="478"/>
      <c r="Q250" s="478"/>
      <c r="R250" s="478"/>
      <c r="S250" s="478"/>
      <c r="T250" s="478"/>
      <c r="U250" s="478">
        <f>PR!P53</f>
        <v>379.2</v>
      </c>
      <c r="V250" s="478">
        <f>PR!Q53</f>
        <v>420.8</v>
      </c>
      <c r="W250" s="478">
        <f>PR!R53</f>
        <v>321</v>
      </c>
      <c r="X250" s="478">
        <f>PR!S53</f>
        <v>324.61657669529973</v>
      </c>
      <c r="Y250" s="478">
        <f>PR!T53</f>
        <v>389.97675312908581</v>
      </c>
      <c r="Z250" s="478">
        <f>PR!U53</f>
        <v>397.42658922965256</v>
      </c>
      <c r="AA250" s="478">
        <f>PR!V53</f>
        <v>404.59095300177125</v>
      </c>
      <c r="AB250" s="478">
        <f>PR!W53</f>
        <v>411.48452003662987</v>
      </c>
      <c r="AC250" s="478">
        <f>PR!X53</f>
        <v>418.12174769516969</v>
      </c>
      <c r="AD250" s="478">
        <f>PR!Y53</f>
        <v>424.51688809881801</v>
      </c>
      <c r="AE250" s="478">
        <f>PR!Z53</f>
        <v>430.68400109368844</v>
      </c>
      <c r="AF250" s="478"/>
      <c r="AG250" s="478"/>
      <c r="AH250" s="478"/>
      <c r="AI250" s="478"/>
      <c r="AJ250" s="478"/>
      <c r="AK250" s="478"/>
      <c r="AL250" s="430"/>
      <c r="AM250" s="430"/>
    </row>
    <row r="251" spans="2:39">
      <c r="B251" s="474" t="s">
        <v>1300</v>
      </c>
      <c r="C251" s="478"/>
      <c r="D251" s="478"/>
      <c r="E251" s="478"/>
      <c r="F251" s="478"/>
      <c r="G251" s="478"/>
      <c r="H251" s="478"/>
      <c r="I251" s="478"/>
      <c r="J251" s="478"/>
      <c r="K251" s="478"/>
      <c r="L251" s="478"/>
      <c r="M251" s="478"/>
      <c r="N251" s="478"/>
      <c r="O251" s="478"/>
      <c r="P251" s="478"/>
      <c r="Q251" s="478"/>
      <c r="R251" s="478"/>
      <c r="S251" s="478"/>
      <c r="T251" s="478"/>
      <c r="U251" s="478">
        <f>PR!P77</f>
        <v>345.072</v>
      </c>
      <c r="V251" s="478">
        <f>PR!Q77</f>
        <v>381.66560000000004</v>
      </c>
      <c r="W251" s="478">
        <f>PR!R77</f>
        <v>283.90108473502534</v>
      </c>
      <c r="X251" s="478">
        <f>PR!S77</f>
        <v>282.2888096552997</v>
      </c>
      <c r="Y251" s="478">
        <f>PR!T77</f>
        <v>345.95587540748579</v>
      </c>
      <c r="Z251" s="478">
        <f>PR!U77</f>
        <v>351.64487639918855</v>
      </c>
      <c r="AA251" s="478">
        <f>PR!V77</f>
        <v>356.97797165808868</v>
      </c>
      <c r="AB251" s="478">
        <f>PR!W77</f>
        <v>361.96701943919999</v>
      </c>
      <c r="AC251" s="478">
        <f>PR!X77</f>
        <v>366.62354707384264</v>
      </c>
      <c r="AD251" s="478">
        <f>PR!Y77</f>
        <v>370.95875945263788</v>
      </c>
      <c r="AE251" s="478">
        <f>PR!Z77</f>
        <v>374.98354730166108</v>
      </c>
      <c r="AF251" s="478"/>
      <c r="AG251" s="478"/>
      <c r="AH251" s="478"/>
      <c r="AI251" s="478"/>
      <c r="AJ251" s="478"/>
      <c r="AK251" s="478"/>
      <c r="AL251" s="430"/>
      <c r="AM251" s="430"/>
    </row>
    <row r="252" spans="2:39">
      <c r="B252" s="474" t="s">
        <v>1301</v>
      </c>
      <c r="C252" s="478"/>
      <c r="D252" s="478"/>
      <c r="E252" s="478"/>
      <c r="F252" s="478"/>
      <c r="G252" s="478"/>
      <c r="H252" s="478"/>
      <c r="I252" s="478"/>
      <c r="J252" s="478"/>
      <c r="K252" s="478"/>
      <c r="L252" s="478"/>
      <c r="M252" s="478"/>
      <c r="N252" s="478"/>
      <c r="O252" s="478"/>
      <c r="P252" s="478"/>
      <c r="Q252" s="478"/>
      <c r="R252" s="478"/>
      <c r="S252" s="478"/>
      <c r="T252" s="478"/>
      <c r="U252" s="478">
        <f>PR!P65</f>
        <v>34.128</v>
      </c>
      <c r="V252" s="478">
        <f>PR!Q65</f>
        <v>39.134399999999999</v>
      </c>
      <c r="W252" s="478">
        <f>PR!R65</f>
        <v>40.699776</v>
      </c>
      <c r="X252" s="478">
        <f>PR!S65</f>
        <v>42.327767040000005</v>
      </c>
      <c r="Y252" s="478">
        <f>PR!T65</f>
        <v>44.020877721600009</v>
      </c>
      <c r="Z252" s="478">
        <f>PR!U65</f>
        <v>45.781712830464009</v>
      </c>
      <c r="AA252" s="478">
        <f>PR!V65</f>
        <v>47.61298134368257</v>
      </c>
      <c r="AB252" s="478">
        <f>PR!W65</f>
        <v>49.517500597429873</v>
      </c>
      <c r="AC252" s="478">
        <f>PR!X65</f>
        <v>51.498200621327072</v>
      </c>
      <c r="AD252" s="478">
        <f>PR!Y65</f>
        <v>53.558128646180158</v>
      </c>
      <c r="AE252" s="478">
        <f>PR!Z65</f>
        <v>55.700453792027368</v>
      </c>
      <c r="AF252" s="478"/>
      <c r="AG252" s="478"/>
      <c r="AH252" s="478"/>
      <c r="AI252" s="478"/>
      <c r="AJ252" s="478"/>
      <c r="AK252" s="478"/>
      <c r="AL252" s="430"/>
      <c r="AM252" s="430"/>
    </row>
    <row r="253" spans="2:39">
      <c r="B253" s="474" t="s">
        <v>1302</v>
      </c>
      <c r="C253" s="478"/>
      <c r="D253" s="478"/>
      <c r="E253" s="478"/>
      <c r="F253" s="478"/>
      <c r="G253" s="478"/>
      <c r="H253" s="478"/>
      <c r="I253" s="478"/>
      <c r="J253" s="478"/>
      <c r="K253" s="478"/>
      <c r="L253" s="478"/>
      <c r="M253" s="478"/>
      <c r="N253" s="478"/>
      <c r="O253" s="478"/>
      <c r="P253" s="478"/>
      <c r="Q253" s="478"/>
      <c r="R253" s="478"/>
      <c r="S253" s="478"/>
      <c r="T253" s="478"/>
      <c r="U253" s="478">
        <f>U250-U251</f>
        <v>34.127999999999986</v>
      </c>
      <c r="V253" s="478">
        <f t="shared" ref="V253:AE253" si="56">V250-V251</f>
        <v>39.134399999999971</v>
      </c>
      <c r="W253" s="478">
        <f t="shared" si="56"/>
        <v>37.098915264974664</v>
      </c>
      <c r="X253" s="478">
        <f t="shared" si="56"/>
        <v>42.327767040000026</v>
      </c>
      <c r="Y253" s="478">
        <f t="shared" si="56"/>
        <v>44.020877721600016</v>
      </c>
      <c r="Z253" s="478">
        <f t="shared" si="56"/>
        <v>45.781712830464016</v>
      </c>
      <c r="AA253" s="478">
        <f t="shared" si="56"/>
        <v>47.612981343682577</v>
      </c>
      <c r="AB253" s="478">
        <f t="shared" si="56"/>
        <v>49.517500597429887</v>
      </c>
      <c r="AC253" s="478">
        <f t="shared" si="56"/>
        <v>51.498200621327044</v>
      </c>
      <c r="AD253" s="478">
        <f t="shared" si="56"/>
        <v>53.558128646180137</v>
      </c>
      <c r="AE253" s="478">
        <f t="shared" si="56"/>
        <v>55.700453792027361</v>
      </c>
      <c r="AF253" s="478"/>
      <c r="AG253" s="478"/>
      <c r="AH253" s="478"/>
      <c r="AI253" s="478"/>
      <c r="AJ253" s="478"/>
      <c r="AK253" s="478"/>
      <c r="AL253" s="430"/>
      <c r="AM253" s="430"/>
    </row>
    <row r="254" spans="2:39">
      <c r="B254" s="474" t="s">
        <v>8</v>
      </c>
      <c r="C254" s="478"/>
      <c r="D254" s="478"/>
      <c r="E254" s="478"/>
      <c r="F254" s="478"/>
      <c r="G254" s="478"/>
      <c r="H254" s="478"/>
      <c r="I254" s="478"/>
      <c r="J254" s="478"/>
      <c r="K254" s="478"/>
      <c r="L254" s="478"/>
      <c r="M254" s="478"/>
      <c r="N254" s="478"/>
      <c r="O254" s="478"/>
      <c r="P254" s="478"/>
      <c r="Q254" s="478"/>
      <c r="R254" s="478"/>
      <c r="S254" s="478"/>
      <c r="T254" s="478"/>
      <c r="U254" s="478">
        <f>PR!P115</f>
        <v>166</v>
      </c>
      <c r="V254" s="478">
        <f>PR!Q115</f>
        <v>198.8</v>
      </c>
      <c r="W254" s="478">
        <f>PR!R115</f>
        <v>133</v>
      </c>
      <c r="X254" s="478">
        <f>PR!S115</f>
        <v>133.90433788681116</v>
      </c>
      <c r="Y254" s="478">
        <f>PR!T115</f>
        <v>175.4895389080886</v>
      </c>
      <c r="Z254" s="478">
        <f>PR!U115</f>
        <v>178.84196515334364</v>
      </c>
      <c r="AA254" s="478">
        <f>PR!V115</f>
        <v>186.11183838081476</v>
      </c>
      <c r="AB254" s="478">
        <f>PR!W115</f>
        <v>193.39772441721604</v>
      </c>
      <c r="AC254" s="478">
        <f>PR!X115</f>
        <v>196.51722141672974</v>
      </c>
      <c r="AD254" s="478">
        <f>PR!Y115</f>
        <v>199.5229374064445</v>
      </c>
      <c r="AE254" s="478">
        <f>PR!Z115</f>
        <v>202.42148051403356</v>
      </c>
      <c r="AF254" s="478"/>
      <c r="AG254" s="478"/>
      <c r="AH254" s="478"/>
      <c r="AI254" s="478"/>
      <c r="AJ254" s="478"/>
      <c r="AK254" s="478"/>
      <c r="AL254" s="430"/>
      <c r="AM254" s="430"/>
    </row>
    <row r="255" spans="2:39">
      <c r="B255" s="474" t="s">
        <v>1303</v>
      </c>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78"/>
      <c r="AK255" s="478"/>
      <c r="AL255" s="430"/>
      <c r="AM255" s="430"/>
    </row>
    <row r="256" spans="2:39">
      <c r="B256" s="474" t="s">
        <v>1304</v>
      </c>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78"/>
      <c r="AK256" s="478"/>
      <c r="AL256" s="430"/>
      <c r="AM256" s="430"/>
    </row>
    <row r="257" spans="2:39">
      <c r="B257" s="474" t="s">
        <v>19</v>
      </c>
      <c r="C257" s="478"/>
      <c r="D257" s="478"/>
      <c r="E257" s="478"/>
      <c r="F257" s="478"/>
      <c r="G257" s="478"/>
      <c r="H257" s="478"/>
      <c r="I257" s="478"/>
      <c r="J257" s="478"/>
      <c r="K257" s="478"/>
      <c r="L257" s="478"/>
      <c r="M257" s="478"/>
      <c r="N257" s="478"/>
      <c r="O257" s="478"/>
      <c r="P257" s="478"/>
      <c r="Q257" s="478"/>
      <c r="R257" s="478"/>
      <c r="S257" s="478"/>
      <c r="T257" s="478"/>
      <c r="U257" s="478">
        <f>PR!P118</f>
        <v>78.099999999999994</v>
      </c>
      <c r="V257" s="478">
        <f>PR!Q118</f>
        <v>91</v>
      </c>
      <c r="W257" s="478">
        <f>PR!R118</f>
        <v>132</v>
      </c>
      <c r="X257" s="478">
        <f>PR!S118</f>
        <v>155.81595681374387</v>
      </c>
      <c r="Y257" s="478">
        <f>PR!T118</f>
        <v>85.794885688398878</v>
      </c>
      <c r="Z257" s="478">
        <f>PR!U118</f>
        <v>75.511051953633995</v>
      </c>
      <c r="AA257" s="478">
        <f>PR!V118</f>
        <v>76.872281070336541</v>
      </c>
      <c r="AB257" s="478">
        <f>PR!W118</f>
        <v>74.06721360659337</v>
      </c>
      <c r="AC257" s="478">
        <f>PR!X118</f>
        <v>75.26191458513054</v>
      </c>
      <c r="AD257" s="478">
        <f>PR!Y118</f>
        <v>76.41303985778724</v>
      </c>
      <c r="AE257" s="478">
        <f>PR!Z118</f>
        <v>77.523120196863914</v>
      </c>
      <c r="AF257" s="478"/>
      <c r="AG257" s="478"/>
      <c r="AH257" s="478"/>
      <c r="AI257" s="478"/>
      <c r="AJ257" s="478"/>
      <c r="AK257" s="478"/>
      <c r="AL257" s="430"/>
      <c r="AM257" s="430"/>
    </row>
    <row r="258" spans="2:39">
      <c r="B258" s="474" t="s">
        <v>1305</v>
      </c>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78"/>
      <c r="AK258" s="478"/>
      <c r="AL258" s="430"/>
      <c r="AM258" s="430"/>
    </row>
    <row r="259" spans="2:39">
      <c r="B259" s="474" t="s">
        <v>1306</v>
      </c>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78"/>
      <c r="AK259" s="478"/>
      <c r="AL259" s="430"/>
      <c r="AM259" s="430"/>
    </row>
    <row r="260" spans="2:39">
      <c r="B260" s="474" t="s">
        <v>27</v>
      </c>
      <c r="C260" s="478"/>
      <c r="D260" s="478"/>
      <c r="E260" s="478"/>
      <c r="F260" s="478"/>
      <c r="G260" s="478"/>
      <c r="H260" s="478"/>
      <c r="I260" s="478"/>
      <c r="J260" s="478"/>
      <c r="K260" s="478"/>
      <c r="L260" s="478"/>
      <c r="M260" s="478"/>
      <c r="N260" s="478"/>
      <c r="O260" s="478"/>
      <c r="P260" s="478"/>
      <c r="Q260" s="478"/>
      <c r="R260" s="478"/>
      <c r="S260" s="478"/>
      <c r="T260" s="478"/>
      <c r="U260" s="478">
        <f>U254-U257</f>
        <v>87.9</v>
      </c>
      <c r="V260" s="478">
        <f t="shared" ref="V260:AE260" si="57">V254-V257</f>
        <v>107.80000000000001</v>
      </c>
      <c r="W260" s="478">
        <f t="shared" si="57"/>
        <v>1</v>
      </c>
      <c r="X260" s="478">
        <f t="shared" si="57"/>
        <v>-21.911618926932704</v>
      </c>
      <c r="Y260" s="478">
        <f t="shared" si="57"/>
        <v>89.694653219689727</v>
      </c>
      <c r="Z260" s="478">
        <f t="shared" si="57"/>
        <v>103.33091319970964</v>
      </c>
      <c r="AA260" s="478">
        <f t="shared" si="57"/>
        <v>109.23955731047822</v>
      </c>
      <c r="AB260" s="478">
        <f t="shared" si="57"/>
        <v>119.33051081062267</v>
      </c>
      <c r="AC260" s="478">
        <f t="shared" si="57"/>
        <v>121.2553068315992</v>
      </c>
      <c r="AD260" s="478">
        <f t="shared" si="57"/>
        <v>123.10989754865726</v>
      </c>
      <c r="AE260" s="478">
        <f t="shared" si="57"/>
        <v>124.89836031716965</v>
      </c>
      <c r="AF260" s="478"/>
      <c r="AG260" s="478"/>
      <c r="AH260" s="478"/>
      <c r="AI260" s="478"/>
      <c r="AJ260" s="478"/>
      <c r="AK260" s="478"/>
      <c r="AL260" s="430"/>
      <c r="AM260" s="430"/>
    </row>
    <row r="261" spans="2:39">
      <c r="B261" s="474" t="s">
        <v>249</v>
      </c>
      <c r="C261" s="478"/>
      <c r="D261" s="478"/>
      <c r="E261" s="478"/>
      <c r="F261" s="478"/>
      <c r="G261" s="478"/>
      <c r="H261" s="478"/>
      <c r="I261" s="478"/>
      <c r="J261" s="478"/>
      <c r="K261" s="478"/>
      <c r="L261" s="478"/>
      <c r="M261" s="478"/>
      <c r="N261" s="478"/>
      <c r="O261" s="478"/>
      <c r="P261" s="478"/>
      <c r="Q261" s="478"/>
      <c r="R261" s="478"/>
      <c r="S261" s="478"/>
      <c r="T261" s="478"/>
      <c r="U261" s="478">
        <f>PR!P199</f>
        <v>12.862650000000002</v>
      </c>
      <c r="V261" s="478">
        <f>PR!Q199</f>
        <v>14.964380000000006</v>
      </c>
      <c r="W261" s="478">
        <f>PR!R199</f>
        <v>-65.540440000000004</v>
      </c>
      <c r="X261" s="478">
        <f>PR!S199</f>
        <v>-88.804750702789065</v>
      </c>
      <c r="Y261" s="478">
        <f>PR!T199</f>
        <v>6.5832930455351715</v>
      </c>
      <c r="Z261" s="478">
        <f>PR!U199</f>
        <v>18.912106789905621</v>
      </c>
      <c r="AA261" s="478">
        <f>PR!V199</f>
        <v>21.98550034196046</v>
      </c>
      <c r="AB261" s="478">
        <f>PR!W199</f>
        <v>35.212958287908421</v>
      </c>
      <c r="AC261" s="478">
        <f>PR!X199</f>
        <v>44.930850479074593</v>
      </c>
      <c r="AD261" s="478">
        <f>PR!Y199</f>
        <v>48.644911960143887</v>
      </c>
      <c r="AE261" s="478">
        <f>PR!Z199</f>
        <v>49.302942916696551</v>
      </c>
      <c r="AF261" s="478"/>
      <c r="AG261" s="478"/>
      <c r="AH261" s="478"/>
      <c r="AI261" s="478"/>
      <c r="AJ261" s="478"/>
      <c r="AK261" s="478"/>
      <c r="AL261" s="430"/>
      <c r="AM261" s="430"/>
    </row>
    <row r="262" spans="2:39">
      <c r="B262" s="474" t="s">
        <v>115</v>
      </c>
      <c r="C262" s="478"/>
      <c r="D262" s="478"/>
      <c r="E262" s="478"/>
      <c r="F262" s="478"/>
      <c r="G262" s="478"/>
      <c r="H262" s="478"/>
      <c r="I262" s="478"/>
      <c r="J262" s="478"/>
      <c r="K262" s="478"/>
      <c r="L262" s="478"/>
      <c r="M262" s="478"/>
      <c r="N262" s="478"/>
      <c r="O262" s="478"/>
      <c r="P262" s="478"/>
      <c r="Q262" s="478"/>
      <c r="R262" s="478"/>
      <c r="S262" s="478"/>
      <c r="T262" s="478"/>
      <c r="U262" s="478">
        <f>PR!P222</f>
        <v>884.8</v>
      </c>
      <c r="V262" s="478">
        <f>PR!Q222</f>
        <v>848.90000000000009</v>
      </c>
      <c r="W262" s="478">
        <f ca="1">PR!R222</f>
        <v>916.44456783233682</v>
      </c>
      <c r="X262" s="478">
        <f ca="1">PR!S222</f>
        <v>1006.9591716723145</v>
      </c>
      <c r="Y262" s="478">
        <f ca="1">PR!T222</f>
        <v>867.43570097681129</v>
      </c>
      <c r="Z262" s="478">
        <f ca="1">PR!U222</f>
        <v>834.42654598023205</v>
      </c>
      <c r="AA262" s="478">
        <f ca="1">PR!V222</f>
        <v>795.73569351759136</v>
      </c>
      <c r="AB262" s="478">
        <f ca="1">PR!W222</f>
        <v>737.5771216508432</v>
      </c>
      <c r="AC262" s="478">
        <f ca="1">PR!X222</f>
        <v>663.16046373809763</v>
      </c>
      <c r="AD262" s="478">
        <f ca="1">PR!Y222</f>
        <v>582.15197204398191</v>
      </c>
      <c r="AE262" s="478">
        <f ca="1">PR!Z222</f>
        <v>499.48217105201581</v>
      </c>
      <c r="AF262" s="478"/>
      <c r="AG262" s="478"/>
      <c r="AH262" s="478"/>
      <c r="AI262" s="478"/>
      <c r="AJ262" s="478"/>
      <c r="AK262" s="478"/>
      <c r="AL262" s="430"/>
      <c r="AM262" s="430"/>
    </row>
    <row r="263" spans="2:39">
      <c r="B263" s="474" t="s">
        <v>360</v>
      </c>
      <c r="C263" s="478"/>
      <c r="D263" s="478"/>
      <c r="E263" s="478"/>
      <c r="F263" s="478"/>
      <c r="G263" s="478"/>
      <c r="H263" s="478"/>
      <c r="I263" s="478"/>
      <c r="J263" s="478"/>
      <c r="K263" s="478"/>
      <c r="L263" s="478"/>
      <c r="M263" s="478"/>
      <c r="N263" s="478"/>
      <c r="O263" s="478"/>
      <c r="P263" s="478"/>
      <c r="Q263" s="478"/>
      <c r="R263" s="478"/>
      <c r="S263" s="478"/>
      <c r="T263" s="478"/>
      <c r="U263" s="478">
        <f>PR!P13</f>
        <v>0</v>
      </c>
      <c r="V263" s="478">
        <f>PR!Q13</f>
        <v>0</v>
      </c>
      <c r="W263" s="478">
        <f>PR!R13</f>
        <v>0</v>
      </c>
      <c r="X263" s="478">
        <f>PR!S13</f>
        <v>0</v>
      </c>
      <c r="Y263" s="478">
        <f>PR!T13</f>
        <v>0</v>
      </c>
      <c r="Z263" s="478">
        <f>PR!U13</f>
        <v>0</v>
      </c>
      <c r="AA263" s="478">
        <f>PR!V13</f>
        <v>0</v>
      </c>
      <c r="AB263" s="478">
        <f>PR!W13</f>
        <v>0</v>
      </c>
      <c r="AC263" s="478">
        <f>PR!X13</f>
        <v>0</v>
      </c>
      <c r="AD263" s="478">
        <f>PR!Y13</f>
        <v>0</v>
      </c>
      <c r="AE263" s="478">
        <f>PR!Z13</f>
        <v>0</v>
      </c>
      <c r="AF263" s="478"/>
      <c r="AG263" s="478"/>
      <c r="AH263" s="478"/>
      <c r="AI263" s="478"/>
      <c r="AJ263" s="478"/>
      <c r="AK263" s="478"/>
      <c r="AL263" s="430"/>
      <c r="AM263" s="430"/>
    </row>
    <row r="264" spans="2:39">
      <c r="B264" s="474" t="s">
        <v>660</v>
      </c>
      <c r="C264" s="478"/>
      <c r="D264" s="478"/>
      <c r="E264" s="478"/>
      <c r="F264" s="478"/>
      <c r="G264" s="478"/>
      <c r="H264" s="478"/>
      <c r="I264" s="478"/>
      <c r="J264" s="478"/>
      <c r="K264" s="478"/>
      <c r="L264" s="478"/>
      <c r="M264" s="478"/>
      <c r="N264" s="478"/>
      <c r="O264" s="478"/>
      <c r="P264" s="478"/>
      <c r="Q264" s="478"/>
      <c r="R264" s="478"/>
      <c r="S264" s="478"/>
      <c r="T264" s="478"/>
      <c r="U264" s="478">
        <f>PR!P64</f>
        <v>0</v>
      </c>
      <c r="V264" s="478">
        <f>PR!Q64</f>
        <v>0</v>
      </c>
      <c r="W264" s="478">
        <f>PR!R64</f>
        <v>0</v>
      </c>
      <c r="X264" s="478">
        <f>PR!S64</f>
        <v>0</v>
      </c>
      <c r="Y264" s="478">
        <f>PR!T64</f>
        <v>0</v>
      </c>
      <c r="Z264" s="478">
        <f>PR!U64</f>
        <v>0</v>
      </c>
      <c r="AA264" s="478">
        <f>PR!V64</f>
        <v>0</v>
      </c>
      <c r="AB264" s="478">
        <f>PR!W64</f>
        <v>0</v>
      </c>
      <c r="AC264" s="478">
        <f>PR!X64</f>
        <v>0</v>
      </c>
      <c r="AD264" s="478">
        <f>PR!Y64</f>
        <v>0</v>
      </c>
      <c r="AE264" s="478">
        <f>PR!Z64</f>
        <v>0</v>
      </c>
      <c r="AF264" s="478"/>
      <c r="AG264" s="478"/>
      <c r="AH264" s="478"/>
      <c r="AI264" s="478"/>
      <c r="AJ264" s="478"/>
      <c r="AK264" s="478"/>
      <c r="AL264" s="430"/>
      <c r="AM264" s="430"/>
    </row>
    <row r="265" spans="2:39">
      <c r="B265" s="474"/>
      <c r="C265" s="474"/>
      <c r="D265" s="474"/>
      <c r="E265" s="474"/>
      <c r="F265" s="474"/>
      <c r="G265" s="474"/>
      <c r="H265" s="474"/>
      <c r="I265" s="474"/>
      <c r="J265" s="474"/>
      <c r="K265" s="474"/>
      <c r="L265" s="474"/>
      <c r="M265" s="474"/>
      <c r="N265" s="474"/>
      <c r="O265" s="474"/>
      <c r="P265" s="474"/>
      <c r="Q265" s="474"/>
      <c r="R265" s="474"/>
      <c r="S265" s="474"/>
      <c r="T265" s="474"/>
      <c r="U265" s="430"/>
      <c r="V265" s="430"/>
      <c r="W265" s="430"/>
      <c r="X265" s="430"/>
      <c r="Y265" s="430"/>
      <c r="Z265" s="430"/>
      <c r="AA265" s="430"/>
      <c r="AB265" s="430"/>
      <c r="AC265" s="430"/>
      <c r="AD265" s="430"/>
      <c r="AE265" s="430"/>
      <c r="AF265" s="430"/>
      <c r="AG265" s="430"/>
      <c r="AH265" s="430"/>
      <c r="AI265" s="430"/>
      <c r="AJ265" s="430"/>
      <c r="AK265" s="430"/>
      <c r="AL265" s="430"/>
      <c r="AM265" s="430"/>
    </row>
    <row r="266" spans="2:39">
      <c r="B266" s="474"/>
      <c r="C266" s="474"/>
      <c r="D266" s="474"/>
      <c r="E266" s="474"/>
      <c r="F266" s="474"/>
      <c r="G266" s="474"/>
      <c r="H266" s="474"/>
      <c r="I266" s="474"/>
      <c r="J266" s="474"/>
      <c r="K266" s="474"/>
      <c r="L266" s="474"/>
      <c r="M266" s="474"/>
      <c r="N266" s="474"/>
      <c r="O266" s="474"/>
      <c r="P266" s="474"/>
      <c r="Q266" s="474"/>
      <c r="R266" s="474"/>
      <c r="S266" s="474"/>
      <c r="T266" s="474"/>
      <c r="U266" s="430"/>
      <c r="V266" s="430"/>
      <c r="W266" s="430"/>
      <c r="X266" s="430"/>
      <c r="Y266" s="430"/>
      <c r="Z266" s="430"/>
      <c r="AA266" s="430"/>
      <c r="AB266" s="430"/>
      <c r="AC266" s="430"/>
      <c r="AD266" s="430"/>
      <c r="AE266" s="430"/>
      <c r="AF266" s="430"/>
      <c r="AG266" s="430"/>
      <c r="AH266" s="430"/>
      <c r="AI266" s="430"/>
      <c r="AJ266" s="430"/>
      <c r="AK266" s="430"/>
      <c r="AL266" s="430"/>
      <c r="AM266" s="430"/>
    </row>
    <row r="267" spans="2:39">
      <c r="B267" s="474"/>
      <c r="C267" s="474"/>
      <c r="D267" s="474"/>
      <c r="E267" s="474"/>
      <c r="F267" s="474"/>
      <c r="G267" s="474"/>
      <c r="H267" s="474"/>
      <c r="I267" s="474"/>
      <c r="J267" s="474"/>
      <c r="K267" s="474"/>
      <c r="L267" s="474"/>
      <c r="M267" s="474"/>
      <c r="N267" s="474"/>
      <c r="O267" s="474"/>
      <c r="P267" s="474"/>
      <c r="Q267" s="474"/>
      <c r="R267" s="474"/>
      <c r="S267" s="474"/>
      <c r="T267" s="474"/>
      <c r="U267" s="430"/>
      <c r="V267" s="430"/>
      <c r="W267" s="430"/>
      <c r="X267" s="430"/>
      <c r="Y267" s="430"/>
      <c r="Z267" s="430"/>
      <c r="AA267" s="430"/>
      <c r="AB267" s="430"/>
      <c r="AC267" s="430"/>
      <c r="AD267" s="430"/>
      <c r="AE267" s="430"/>
      <c r="AF267" s="430"/>
      <c r="AG267" s="430"/>
      <c r="AH267" s="430"/>
      <c r="AI267" s="430"/>
      <c r="AJ267" s="430"/>
      <c r="AK267" s="430"/>
      <c r="AL267" s="430"/>
      <c r="AM267" s="430"/>
    </row>
    <row r="268" spans="2:39">
      <c r="B268" s="474"/>
      <c r="C268" s="474"/>
      <c r="D268" s="474"/>
      <c r="E268" s="474"/>
      <c r="F268" s="474"/>
      <c r="G268" s="474"/>
      <c r="H268" s="474"/>
      <c r="I268" s="474"/>
      <c r="J268" s="474"/>
      <c r="K268" s="474"/>
      <c r="L268" s="474"/>
      <c r="M268" s="474"/>
      <c r="N268" s="474"/>
      <c r="O268" s="474"/>
      <c r="P268" s="474"/>
      <c r="Q268" s="474"/>
      <c r="R268" s="474"/>
      <c r="S268" s="474"/>
      <c r="T268" s="474"/>
      <c r="U268" s="430"/>
      <c r="V268" s="430"/>
      <c r="W268" s="430"/>
      <c r="X268" s="430"/>
      <c r="Y268" s="430"/>
      <c r="Z268" s="430"/>
      <c r="AA268" s="430"/>
      <c r="AB268" s="430"/>
      <c r="AC268" s="430"/>
      <c r="AD268" s="430"/>
      <c r="AE268" s="430"/>
      <c r="AF268" s="430"/>
      <c r="AG268" s="430"/>
      <c r="AH268" s="430"/>
      <c r="AI268" s="430"/>
      <c r="AJ268" s="430"/>
      <c r="AK268" s="430"/>
      <c r="AL268" s="430"/>
      <c r="AM268" s="430"/>
    </row>
    <row r="269" spans="2:39">
      <c r="B269" s="474"/>
      <c r="C269" s="474"/>
      <c r="D269" s="474"/>
      <c r="E269" s="474"/>
      <c r="F269" s="474"/>
      <c r="G269" s="474"/>
      <c r="H269" s="474"/>
      <c r="I269" s="474"/>
      <c r="J269" s="474"/>
      <c r="K269" s="474"/>
      <c r="L269" s="474"/>
      <c r="M269" s="474"/>
      <c r="N269" s="474"/>
      <c r="O269" s="474"/>
      <c r="P269" s="474"/>
      <c r="Q269" s="474"/>
      <c r="R269" s="474"/>
      <c r="S269" s="474"/>
      <c r="T269" s="474"/>
      <c r="U269" s="430"/>
      <c r="V269" s="430"/>
      <c r="W269" s="430"/>
      <c r="X269" s="430"/>
      <c r="Y269" s="430"/>
      <c r="Z269" s="430"/>
      <c r="AA269" s="430"/>
      <c r="AB269" s="430"/>
      <c r="AC269" s="430"/>
      <c r="AD269" s="430"/>
      <c r="AE269" s="430"/>
      <c r="AF269" s="430"/>
      <c r="AG269" s="430"/>
      <c r="AH269" s="430"/>
      <c r="AI269" s="430"/>
      <c r="AJ269" s="430"/>
      <c r="AK269" s="430"/>
      <c r="AL269" s="430"/>
      <c r="AM269" s="430"/>
    </row>
    <row r="270" spans="2:39">
      <c r="B270" s="474"/>
      <c r="C270" s="474"/>
      <c r="D270" s="474"/>
      <c r="E270" s="474"/>
      <c r="F270" s="474"/>
      <c r="G270" s="474"/>
      <c r="H270" s="474"/>
      <c r="I270" s="474"/>
      <c r="J270" s="474"/>
      <c r="K270" s="474"/>
      <c r="L270" s="474"/>
      <c r="M270" s="474"/>
      <c r="N270" s="474"/>
      <c r="O270" s="474"/>
      <c r="P270" s="474"/>
      <c r="Q270" s="474"/>
      <c r="R270" s="474"/>
      <c r="S270" s="474"/>
      <c r="T270" s="474"/>
      <c r="U270" s="430"/>
      <c r="V270" s="430"/>
      <c r="W270" s="430"/>
      <c r="X270" s="430"/>
      <c r="Y270" s="430"/>
      <c r="Z270" s="430"/>
      <c r="AA270" s="430"/>
      <c r="AB270" s="430"/>
      <c r="AC270" s="430"/>
      <c r="AD270" s="430"/>
      <c r="AE270" s="430"/>
      <c r="AF270" s="430"/>
      <c r="AG270" s="430"/>
      <c r="AH270" s="430"/>
      <c r="AI270" s="430"/>
      <c r="AJ270" s="430"/>
      <c r="AK270" s="430"/>
      <c r="AL270" s="430"/>
      <c r="AM270" s="430"/>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N270"/>
  <sheetViews>
    <sheetView topLeftCell="A108" zoomScale="75" zoomScaleNormal="75" workbookViewId="0">
      <selection activeCell="B136" sqref="B136"/>
    </sheetView>
  </sheetViews>
  <sheetFormatPr defaultColWidth="9.140625" defaultRowHeight="15" outlineLevelCol="1"/>
  <cols>
    <col min="1" max="1" width="9.140625" style="429"/>
    <col min="2" max="2" width="39" style="429" bestFit="1" customWidth="1"/>
    <col min="3" max="3" width="9.140625" style="429" hidden="1" customWidth="1" outlineLevel="1"/>
    <col min="4" max="4" width="8.140625" style="429" hidden="1" customWidth="1" outlineLevel="1"/>
    <col min="5" max="6" width="10.85546875" style="429" hidden="1" customWidth="1" outlineLevel="1"/>
    <col min="7" max="7" width="9" style="429" hidden="1" customWidth="1" outlineLevel="1"/>
    <col min="8" max="8" width="8.140625" style="429" hidden="1" customWidth="1" outlineLevel="1"/>
    <col min="9" max="16" width="9.140625" style="429" hidden="1" customWidth="1" outlineLevel="1"/>
    <col min="17" max="17" width="9.42578125" style="429" bestFit="1" customWidth="1" collapsed="1"/>
    <col min="18" max="16384" width="9.140625" style="429"/>
  </cols>
  <sheetData>
    <row r="1" spans="2:37">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row>
    <row r="2" spans="2:37" ht="19.5" thickBot="1">
      <c r="B2" s="431" t="s">
        <v>467</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0"/>
      <c r="AK2" s="430"/>
    </row>
    <row r="3" spans="2:37" ht="15.75" thickTop="1">
      <c r="B3" s="433"/>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row>
    <row r="4" spans="2:37">
      <c r="B4" s="434" t="s">
        <v>1229</v>
      </c>
      <c r="C4" s="435">
        <v>1998</v>
      </c>
      <c r="D4" s="435">
        <v>1999</v>
      </c>
      <c r="E4" s="435">
        <v>2000</v>
      </c>
      <c r="F4" s="435">
        <v>2001</v>
      </c>
      <c r="G4" s="435">
        <v>2002</v>
      </c>
      <c r="H4" s="435">
        <v>2003</v>
      </c>
      <c r="I4" s="435">
        <v>2004</v>
      </c>
      <c r="J4" s="435">
        <v>2005</v>
      </c>
      <c r="K4" s="435">
        <v>2006</v>
      </c>
      <c r="L4" s="435">
        <v>2007</v>
      </c>
      <c r="M4" s="435">
        <v>2008</v>
      </c>
      <c r="N4" s="435">
        <v>2009</v>
      </c>
      <c r="O4" s="435">
        <v>2010</v>
      </c>
      <c r="P4" s="435">
        <v>2011</v>
      </c>
      <c r="Q4" s="435">
        <v>2012</v>
      </c>
      <c r="R4" s="435">
        <v>2013</v>
      </c>
      <c r="S4" s="435">
        <v>2014</v>
      </c>
      <c r="T4" s="435">
        <v>2015</v>
      </c>
      <c r="U4" s="435">
        <v>2016</v>
      </c>
      <c r="V4" s="435">
        <v>2017</v>
      </c>
      <c r="W4" s="435">
        <v>2018</v>
      </c>
      <c r="X4" s="435">
        <v>2019</v>
      </c>
      <c r="Y4" s="435">
        <v>2020</v>
      </c>
      <c r="Z4" s="435">
        <v>2021</v>
      </c>
      <c r="AA4" s="435">
        <v>2022</v>
      </c>
      <c r="AB4" s="435">
        <v>2023</v>
      </c>
      <c r="AC4" s="435">
        <v>2024</v>
      </c>
      <c r="AD4" s="435">
        <v>2025</v>
      </c>
      <c r="AE4" s="435">
        <v>2026</v>
      </c>
      <c r="AF4" s="435">
        <v>2027</v>
      </c>
      <c r="AG4" s="435">
        <v>2028</v>
      </c>
      <c r="AH4" s="435">
        <v>2029</v>
      </c>
      <c r="AI4" s="435">
        <v>2030</v>
      </c>
      <c r="AJ4" s="430"/>
      <c r="AK4" s="430"/>
    </row>
    <row r="5" spans="2:37">
      <c r="B5" s="429" t="s">
        <v>1230</v>
      </c>
      <c r="C5" s="436"/>
      <c r="D5" s="436"/>
      <c r="E5" s="436"/>
      <c r="F5" s="436"/>
      <c r="G5" s="436"/>
      <c r="H5" s="436"/>
      <c r="I5" s="436"/>
      <c r="J5" s="436"/>
      <c r="K5" s="436"/>
      <c r="L5" s="436"/>
      <c r="M5" s="436"/>
      <c r="N5" s="436"/>
      <c r="O5" s="436"/>
      <c r="P5" s="436"/>
      <c r="Q5" s="437"/>
      <c r="R5" s="437"/>
      <c r="S5" s="438">
        <f>T5</f>
        <v>12.630532000000001</v>
      </c>
      <c r="T5" s="438">
        <f>'LiLAC valuation'!G124</f>
        <v>12.630532000000001</v>
      </c>
      <c r="U5" s="438">
        <f>'LiLAC valuation'!H124</f>
        <v>12.630532000000001</v>
      </c>
      <c r="V5" s="438">
        <f>'LiLAC valuation'!I124</f>
        <v>12.630532000000001</v>
      </c>
      <c r="W5" s="438">
        <f>'LiLAC valuation'!J124</f>
        <v>12.630532000000001</v>
      </c>
      <c r="X5" s="438">
        <f>'LiLAC valuation'!K124</f>
        <v>12.630532000000001</v>
      </c>
      <c r="Y5" s="438">
        <f>'LiLAC valuation'!L124</f>
        <v>12.630532000000001</v>
      </c>
      <c r="Z5" s="438">
        <f>'LiLAC valuation'!M124</f>
        <v>12.630532000000001</v>
      </c>
      <c r="AA5" s="438">
        <f>'LiLAC valuation'!N124</f>
        <v>12.630532000000001</v>
      </c>
      <c r="AB5" s="438">
        <f>'LiLAC valuation'!O124</f>
        <v>12.630532000000001</v>
      </c>
      <c r="AC5" s="438">
        <f>'LiLAC valuation'!P124</f>
        <v>12.630532000000001</v>
      </c>
      <c r="AD5" s="438">
        <f>'LiLAC valuation'!Q124</f>
        <v>12.630532000000001</v>
      </c>
      <c r="AE5" s="438">
        <f>'LiLAC valuation'!R124</f>
        <v>12.630532000000001</v>
      </c>
      <c r="AF5" s="439"/>
      <c r="AG5" s="439"/>
      <c r="AH5" s="439"/>
      <c r="AI5" s="439"/>
      <c r="AJ5" s="430"/>
      <c r="AK5" s="430"/>
    </row>
    <row r="6" spans="2:37">
      <c r="B6" s="429" t="s">
        <v>1231</v>
      </c>
      <c r="C6" s="436"/>
      <c r="D6" s="436"/>
      <c r="E6" s="436"/>
      <c r="F6" s="436"/>
      <c r="G6" s="436"/>
      <c r="H6" s="436"/>
      <c r="I6" s="436"/>
      <c r="J6" s="436"/>
      <c r="K6" s="436"/>
      <c r="L6" s="436"/>
      <c r="M6" s="436"/>
      <c r="N6" s="436"/>
      <c r="O6" s="436"/>
      <c r="P6" s="436"/>
      <c r="Q6" s="437"/>
      <c r="R6" s="437"/>
      <c r="S6" s="437"/>
      <c r="T6" s="438">
        <f t="shared" ref="T6:AE6" si="0">AVERAGE(S5:T5)</f>
        <v>12.630532000000001</v>
      </c>
      <c r="U6" s="438">
        <f t="shared" si="0"/>
        <v>12.630532000000001</v>
      </c>
      <c r="V6" s="438">
        <f t="shared" si="0"/>
        <v>12.630532000000001</v>
      </c>
      <c r="W6" s="438">
        <f t="shared" si="0"/>
        <v>12.630532000000001</v>
      </c>
      <c r="X6" s="438">
        <f t="shared" si="0"/>
        <v>12.630532000000001</v>
      </c>
      <c r="Y6" s="438">
        <f t="shared" si="0"/>
        <v>12.630532000000001</v>
      </c>
      <c r="Z6" s="438">
        <f t="shared" si="0"/>
        <v>12.630532000000001</v>
      </c>
      <c r="AA6" s="438">
        <f t="shared" si="0"/>
        <v>12.630532000000001</v>
      </c>
      <c r="AB6" s="438">
        <f t="shared" si="0"/>
        <v>12.630532000000001</v>
      </c>
      <c r="AC6" s="438">
        <f t="shared" si="0"/>
        <v>12.630532000000001</v>
      </c>
      <c r="AD6" s="438">
        <f t="shared" si="0"/>
        <v>12.630532000000001</v>
      </c>
      <c r="AE6" s="438">
        <f t="shared" si="0"/>
        <v>12.630532000000001</v>
      </c>
      <c r="AF6" s="439"/>
      <c r="AG6" s="439"/>
      <c r="AH6" s="439"/>
      <c r="AI6" s="439"/>
      <c r="AJ6" s="430"/>
      <c r="AK6" s="430"/>
    </row>
    <row r="7" spans="2:37">
      <c r="B7" s="429" t="s">
        <v>1232</v>
      </c>
      <c r="C7" s="436"/>
      <c r="D7" s="436"/>
      <c r="E7" s="436"/>
      <c r="F7" s="436"/>
      <c r="G7" s="436"/>
      <c r="H7" s="436"/>
      <c r="I7" s="436"/>
      <c r="J7" s="436"/>
      <c r="K7" s="436"/>
      <c r="L7" s="436"/>
      <c r="M7" s="436"/>
      <c r="N7" s="436"/>
      <c r="O7" s="436"/>
      <c r="P7" s="436"/>
      <c r="Q7" s="437"/>
      <c r="R7" s="437"/>
      <c r="S7" s="438">
        <f>T7</f>
        <v>0.52342299999999997</v>
      </c>
      <c r="T7" s="438">
        <f>'LiLAC valuation'!G125</f>
        <v>0.52342299999999997</v>
      </c>
      <c r="U7" s="438">
        <f>'LiLAC valuation'!H125</f>
        <v>0.52342299999999997</v>
      </c>
      <c r="V7" s="438">
        <f>'LiLAC valuation'!I125</f>
        <v>0.52342299999999997</v>
      </c>
      <c r="W7" s="438">
        <f>'LiLAC valuation'!J125</f>
        <v>0.52342299999999997</v>
      </c>
      <c r="X7" s="438">
        <f>'LiLAC valuation'!K125</f>
        <v>0.52342299999999997</v>
      </c>
      <c r="Y7" s="438">
        <f>'LiLAC valuation'!L125</f>
        <v>0.52342299999999997</v>
      </c>
      <c r="Z7" s="438">
        <f>'LiLAC valuation'!M125</f>
        <v>0.52342299999999997</v>
      </c>
      <c r="AA7" s="438">
        <f>'LiLAC valuation'!N125</f>
        <v>0.52342299999999997</v>
      </c>
      <c r="AB7" s="438">
        <f>'LiLAC valuation'!O125</f>
        <v>0.52342299999999997</v>
      </c>
      <c r="AC7" s="438">
        <f>'LiLAC valuation'!P125</f>
        <v>0.52342299999999997</v>
      </c>
      <c r="AD7" s="438">
        <f>'LiLAC valuation'!Q125</f>
        <v>0.52342299999999997</v>
      </c>
      <c r="AE7" s="438">
        <f>'LiLAC valuation'!R125</f>
        <v>0.52342299999999997</v>
      </c>
      <c r="AF7" s="439"/>
      <c r="AG7" s="439"/>
      <c r="AH7" s="439"/>
      <c r="AI7" s="439"/>
      <c r="AJ7" s="430"/>
      <c r="AK7" s="430"/>
    </row>
    <row r="8" spans="2:37">
      <c r="B8" s="429" t="s">
        <v>1233</v>
      </c>
      <c r="C8" s="436"/>
      <c r="D8" s="436"/>
      <c r="E8" s="436"/>
      <c r="F8" s="436"/>
      <c r="G8" s="436"/>
      <c r="H8" s="436"/>
      <c r="I8" s="436"/>
      <c r="J8" s="436"/>
      <c r="K8" s="436"/>
      <c r="L8" s="436"/>
      <c r="M8" s="436"/>
      <c r="N8" s="436"/>
      <c r="O8" s="436"/>
      <c r="P8" s="436"/>
      <c r="Q8" s="437"/>
      <c r="R8" s="437"/>
      <c r="S8" s="437"/>
      <c r="T8" s="438">
        <f t="shared" ref="T8:AE8" si="1">AVERAGE(S7:T7)</f>
        <v>0.52342299999999997</v>
      </c>
      <c r="U8" s="438">
        <f t="shared" si="1"/>
        <v>0.52342299999999997</v>
      </c>
      <c r="V8" s="438">
        <f t="shared" si="1"/>
        <v>0.52342299999999997</v>
      </c>
      <c r="W8" s="438">
        <f t="shared" si="1"/>
        <v>0.52342299999999997</v>
      </c>
      <c r="X8" s="438">
        <f t="shared" si="1"/>
        <v>0.52342299999999997</v>
      </c>
      <c r="Y8" s="438">
        <f t="shared" si="1"/>
        <v>0.52342299999999997</v>
      </c>
      <c r="Z8" s="438">
        <f t="shared" si="1"/>
        <v>0.52342299999999997</v>
      </c>
      <c r="AA8" s="438">
        <f t="shared" si="1"/>
        <v>0.52342299999999997</v>
      </c>
      <c r="AB8" s="438">
        <f t="shared" si="1"/>
        <v>0.52342299999999997</v>
      </c>
      <c r="AC8" s="438">
        <f t="shared" si="1"/>
        <v>0.52342299999999997</v>
      </c>
      <c r="AD8" s="438">
        <f t="shared" si="1"/>
        <v>0.52342299999999997</v>
      </c>
      <c r="AE8" s="438">
        <f t="shared" si="1"/>
        <v>0.52342299999999997</v>
      </c>
      <c r="AF8" s="439"/>
      <c r="AG8" s="439"/>
      <c r="AH8" s="439"/>
      <c r="AI8" s="439"/>
      <c r="AJ8" s="430"/>
      <c r="AK8" s="430"/>
    </row>
    <row r="9" spans="2:37">
      <c r="B9" s="429" t="s">
        <v>115</v>
      </c>
      <c r="C9" s="436"/>
      <c r="D9" s="436"/>
      <c r="E9" s="436"/>
      <c r="F9" s="437"/>
      <c r="G9" s="437"/>
      <c r="H9" s="437"/>
      <c r="I9" s="437"/>
      <c r="J9" s="437"/>
      <c r="K9" s="437"/>
      <c r="L9" s="437"/>
      <c r="M9" s="437"/>
      <c r="N9" s="437"/>
      <c r="O9" s="437"/>
      <c r="P9" s="437"/>
      <c r="Q9" s="437">
        <f>LiLAC!M218</f>
        <v>1260.234908285556</v>
      </c>
      <c r="R9" s="437">
        <f>LiLAC!N218</f>
        <v>1195.5965307939127</v>
      </c>
      <c r="S9" s="437">
        <f>LiLAC!O218</f>
        <v>1975.435338949801</v>
      </c>
      <c r="T9" s="437">
        <f>LiLAC!P218</f>
        <v>2016.5571643556539</v>
      </c>
      <c r="U9" s="437">
        <f>LiLAC!Q218</f>
        <v>2187.7453680660878</v>
      </c>
      <c r="V9" s="437">
        <f ca="1">LiLAC!R218</f>
        <v>2404.3460086405676</v>
      </c>
      <c r="W9" s="437">
        <f ca="1">LiLAC!S218</f>
        <v>2517.7513008695528</v>
      </c>
      <c r="X9" s="437">
        <f ca="1">LiLAC!T218</f>
        <v>2425.6031483225202</v>
      </c>
      <c r="Y9" s="437">
        <f ca="1">LiLAC!U218</f>
        <v>2193.317622947553</v>
      </c>
      <c r="Z9" s="437">
        <f ca="1">LiLAC!V218</f>
        <v>2213.7989187711723</v>
      </c>
      <c r="AA9" s="437">
        <f ca="1">LiLAC!W218</f>
        <v>1974.6954358041148</v>
      </c>
      <c r="AB9" s="437">
        <f ca="1">LiLAC!X218</f>
        <v>1992.6483583876432</v>
      </c>
      <c r="AC9" s="437">
        <f ca="1">LiLAC!Y218</f>
        <v>1866.8289338443956</v>
      </c>
      <c r="AD9" s="437">
        <f ca="1">LiLAC!Z218</f>
        <v>1691.5588885182278</v>
      </c>
      <c r="AE9" s="437">
        <f>LiLAC!AA218</f>
        <v>0</v>
      </c>
      <c r="AF9" s="439"/>
      <c r="AG9" s="439"/>
      <c r="AH9" s="439"/>
      <c r="AI9" s="439"/>
      <c r="AJ9" s="430"/>
      <c r="AK9" s="430"/>
    </row>
    <row r="10" spans="2:37">
      <c r="B10" s="429" t="s">
        <v>1234</v>
      </c>
      <c r="C10" s="436"/>
      <c r="D10" s="436"/>
      <c r="E10" s="437"/>
      <c r="F10" s="437"/>
      <c r="G10" s="437"/>
      <c r="H10" s="437"/>
      <c r="I10" s="437"/>
      <c r="J10" s="437"/>
      <c r="K10" s="437"/>
      <c r="L10" s="437"/>
      <c r="M10" s="437"/>
      <c r="N10" s="437"/>
      <c r="O10" s="437"/>
      <c r="P10" s="437"/>
      <c r="Q10" s="437">
        <f>R10</f>
        <v>87.976580207601543</v>
      </c>
      <c r="R10" s="437">
        <f>S10</f>
        <v>87.976580207601543</v>
      </c>
      <c r="S10" s="437">
        <f>T10</f>
        <v>87.976580207601543</v>
      </c>
      <c r="T10" s="437">
        <f>'LiLAC valuation'!G141</f>
        <v>87.976580207601543</v>
      </c>
      <c r="U10" s="437">
        <f>'LiLAC valuation'!H141</f>
        <v>82.958987661718439</v>
      </c>
      <c r="V10" s="437">
        <f>'LiLAC valuation'!I141</f>
        <v>77.270198822715301</v>
      </c>
      <c r="W10" s="437">
        <f>'LiLAC valuation'!J141</f>
        <v>70.854672342659939</v>
      </c>
      <c r="X10" s="437">
        <f>'LiLAC valuation'!K141</f>
        <v>63.652793061960836</v>
      </c>
      <c r="Y10" s="437">
        <f>'LiLAC valuation'!L141</f>
        <v>55.600586080174175</v>
      </c>
      <c r="Z10" s="437">
        <f>'LiLAC valuation'!M141</f>
        <v>46.629411116326025</v>
      </c>
      <c r="AA10" s="437">
        <f>'LiLAC valuation'!N141</f>
        <v>36.665635810417193</v>
      </c>
      <c r="AB10" s="437">
        <f>'LiLAC valuation'!O141</f>
        <v>25.630286525851997</v>
      </c>
      <c r="AC10" s="437">
        <f>'LiLAC valuation'!P141</f>
        <v>13.438675114346152</v>
      </c>
      <c r="AD10" s="437">
        <f>'LiLAC valuation'!Q141</f>
        <v>0</v>
      </c>
      <c r="AE10" s="437">
        <f>'LiLAC valuation'!R141</f>
        <v>0</v>
      </c>
      <c r="AF10" s="439"/>
      <c r="AG10" s="439"/>
      <c r="AH10" s="439"/>
      <c r="AI10" s="439"/>
      <c r="AJ10" s="430"/>
      <c r="AK10" s="430"/>
    </row>
    <row r="11" spans="2:37">
      <c r="B11" s="429" t="s">
        <v>58</v>
      </c>
      <c r="C11" s="436"/>
      <c r="D11" s="436"/>
      <c r="E11" s="436"/>
      <c r="F11" s="436"/>
      <c r="G11" s="436"/>
      <c r="H11" s="436"/>
      <c r="I11" s="436"/>
      <c r="J11" s="436"/>
      <c r="K11" s="436"/>
      <c r="L11" s="436"/>
      <c r="M11" s="436"/>
      <c r="N11" s="436"/>
      <c r="O11" s="436"/>
      <c r="P11" s="436"/>
      <c r="Q11" s="437">
        <f>LiLAC!M186</f>
        <v>0</v>
      </c>
      <c r="R11" s="437">
        <f>LiLAC!N186</f>
        <v>0</v>
      </c>
      <c r="S11" s="437">
        <f>LiLAC!O186</f>
        <v>0</v>
      </c>
      <c r="T11" s="437">
        <f>LiLAC!P186</f>
        <v>0</v>
      </c>
      <c r="U11" s="437">
        <f>LiLAC!Q186</f>
        <v>0</v>
      </c>
      <c r="V11" s="437">
        <f>LiLAC!R186</f>
        <v>0</v>
      </c>
      <c r="W11" s="437">
        <f>LiLAC!S186</f>
        <v>0</v>
      </c>
      <c r="X11" s="437">
        <f>LiLAC!T186</f>
        <v>0</v>
      </c>
      <c r="Y11" s="437">
        <f>LiLAC!U186</f>
        <v>0</v>
      </c>
      <c r="Z11" s="437">
        <f>LiLAC!V186</f>
        <v>0</v>
      </c>
      <c r="AA11" s="437">
        <f>LiLAC!W186</f>
        <v>0</v>
      </c>
      <c r="AB11" s="437">
        <f>LiLAC!X186</f>
        <v>0</v>
      </c>
      <c r="AC11" s="437">
        <f>LiLAC!Y186</f>
        <v>0</v>
      </c>
      <c r="AD11" s="437">
        <f>LiLAC!Z186</f>
        <v>0</v>
      </c>
      <c r="AE11" s="437">
        <f>LiLAC!AA186</f>
        <v>0</v>
      </c>
      <c r="AF11" s="439"/>
      <c r="AG11" s="439"/>
      <c r="AH11" s="439"/>
      <c r="AI11" s="439"/>
      <c r="AJ11" s="430"/>
      <c r="AK11" s="430"/>
    </row>
    <row r="12" spans="2:37">
      <c r="B12" s="429" t="s">
        <v>674</v>
      </c>
      <c r="C12" s="436"/>
      <c r="D12" s="436"/>
      <c r="E12" s="436"/>
      <c r="F12" s="436"/>
      <c r="G12" s="436"/>
      <c r="H12" s="436"/>
      <c r="I12" s="436"/>
      <c r="J12" s="436"/>
      <c r="K12" s="436"/>
      <c r="L12" s="436"/>
      <c r="M12" s="436"/>
      <c r="N12" s="436"/>
      <c r="O12" s="436"/>
      <c r="P12" s="436"/>
      <c r="Q12" s="437">
        <v>0</v>
      </c>
      <c r="R12" s="437">
        <v>0</v>
      </c>
      <c r="S12" s="437">
        <f ca="1">-'LiLAC valuation'!B17</f>
        <v>157.20110919693175</v>
      </c>
      <c r="T12" s="437">
        <f t="shared" ref="T12:AE12" ca="1" si="2">+S12</f>
        <v>157.20110919693175</v>
      </c>
      <c r="U12" s="437">
        <f t="shared" ca="1" si="2"/>
        <v>157.20110919693175</v>
      </c>
      <c r="V12" s="437">
        <f t="shared" ca="1" si="2"/>
        <v>157.20110919693175</v>
      </c>
      <c r="W12" s="437">
        <f t="shared" ca="1" si="2"/>
        <v>157.20110919693175</v>
      </c>
      <c r="X12" s="437">
        <f t="shared" ca="1" si="2"/>
        <v>157.20110919693175</v>
      </c>
      <c r="Y12" s="437">
        <f t="shared" ca="1" si="2"/>
        <v>157.20110919693175</v>
      </c>
      <c r="Z12" s="437">
        <f t="shared" ca="1" si="2"/>
        <v>157.20110919693175</v>
      </c>
      <c r="AA12" s="437">
        <f t="shared" ca="1" si="2"/>
        <v>157.20110919693175</v>
      </c>
      <c r="AB12" s="437">
        <f t="shared" ca="1" si="2"/>
        <v>157.20110919693175</v>
      </c>
      <c r="AC12" s="437">
        <f t="shared" ca="1" si="2"/>
        <v>157.20110919693175</v>
      </c>
      <c r="AD12" s="437">
        <f t="shared" ca="1" si="2"/>
        <v>157.20110919693175</v>
      </c>
      <c r="AE12" s="437">
        <f t="shared" ca="1" si="2"/>
        <v>157.20110919693175</v>
      </c>
      <c r="AF12" s="439"/>
      <c r="AG12" s="439"/>
      <c r="AH12" s="439"/>
      <c r="AI12" s="439"/>
      <c r="AJ12" s="430"/>
      <c r="AK12" s="430"/>
    </row>
    <row r="13" spans="2:37">
      <c r="B13" s="429" t="s">
        <v>234</v>
      </c>
      <c r="C13" s="436"/>
      <c r="D13" s="436"/>
      <c r="E13" s="436"/>
      <c r="F13" s="436"/>
      <c r="G13" s="436"/>
      <c r="H13" s="436"/>
      <c r="I13" s="436"/>
      <c r="J13" s="436"/>
      <c r="K13" s="436"/>
      <c r="L13" s="436"/>
      <c r="M13" s="436"/>
      <c r="N13" s="436"/>
      <c r="O13" s="436"/>
      <c r="P13" s="436"/>
      <c r="Q13" s="437"/>
      <c r="R13" s="437"/>
      <c r="S13" s="437"/>
      <c r="T13" s="437">
        <v>0</v>
      </c>
      <c r="U13" s="437">
        <f>T13+LiLAC!Q173</f>
        <v>0</v>
      </c>
      <c r="V13" s="437">
        <f>U13+LiLAC!R173</f>
        <v>0</v>
      </c>
      <c r="W13" s="437">
        <f>V13+LiLAC!S173</f>
        <v>0</v>
      </c>
      <c r="X13" s="437">
        <f>W13+LiLAC!T173</f>
        <v>0</v>
      </c>
      <c r="Y13" s="437">
        <f>X13+LiLAC!U173</f>
        <v>0</v>
      </c>
      <c r="Z13" s="437">
        <f>Y13+LiLAC!V173</f>
        <v>0</v>
      </c>
      <c r="AA13" s="437">
        <f>Z13+LiLAC!W173</f>
        <v>0</v>
      </c>
      <c r="AB13" s="437">
        <f>AA13+LiLAC!X173</f>
        <v>0</v>
      </c>
      <c r="AC13" s="437">
        <f>AB13+LiLAC!Y173</f>
        <v>0</v>
      </c>
      <c r="AD13" s="437">
        <f>AC13+LiLAC!Z173</f>
        <v>0</v>
      </c>
      <c r="AE13" s="437">
        <f>AD13+LiLAC!AA173</f>
        <v>0</v>
      </c>
      <c r="AF13" s="439"/>
      <c r="AG13" s="439"/>
      <c r="AH13" s="439"/>
      <c r="AI13" s="439"/>
      <c r="AJ13" s="430"/>
      <c r="AK13" s="430"/>
    </row>
    <row r="14" spans="2:37">
      <c r="B14" s="429" t="s">
        <v>1235</v>
      </c>
      <c r="C14" s="436"/>
      <c r="D14" s="436"/>
      <c r="E14" s="436"/>
      <c r="F14" s="436"/>
      <c r="G14" s="436"/>
      <c r="H14" s="436"/>
      <c r="I14" s="436"/>
      <c r="J14" s="436"/>
      <c r="K14" s="436"/>
      <c r="L14" s="436"/>
      <c r="M14" s="436"/>
      <c r="N14" s="436"/>
      <c r="O14" s="436"/>
      <c r="P14" s="436"/>
      <c r="Q14" s="437"/>
      <c r="R14" s="437"/>
      <c r="S14" s="437"/>
      <c r="T14" s="437">
        <f ca="1">LiLAC!P203</f>
        <v>53.357862131569867</v>
      </c>
      <c r="U14" s="437">
        <f ca="1">LiLAC!Q203</f>
        <v>31.492576756516623</v>
      </c>
      <c r="V14" s="437">
        <f ca="1">LiLAC!R203</f>
        <v>32.082820061461078</v>
      </c>
      <c r="W14" s="437">
        <f ca="1">LiLAC!S203</f>
        <v>32.378868195634233</v>
      </c>
      <c r="X14" s="437">
        <f ca="1">LiLAC!T203</f>
        <v>17.321090810969999</v>
      </c>
      <c r="Y14" s="437">
        <f ca="1">LiLAC!U203</f>
        <v>18.498924986115959</v>
      </c>
      <c r="Z14" s="437">
        <f>LiLAC!V203</f>
        <v>0</v>
      </c>
      <c r="AA14" s="437">
        <f>LiLAC!W203</f>
        <v>0</v>
      </c>
      <c r="AB14" s="437">
        <f>LiLAC!X203</f>
        <v>0</v>
      </c>
      <c r="AC14" s="437">
        <f>LiLAC!Y203</f>
        <v>0</v>
      </c>
      <c r="AD14" s="437">
        <f>LiLAC!Z203</f>
        <v>0</v>
      </c>
      <c r="AE14" s="437">
        <f>LiLAC!AA203</f>
        <v>0</v>
      </c>
      <c r="AF14" s="439"/>
      <c r="AG14" s="439"/>
      <c r="AH14" s="439"/>
      <c r="AI14" s="439"/>
      <c r="AJ14" s="430"/>
      <c r="AK14" s="430"/>
    </row>
    <row r="15" spans="2:37">
      <c r="B15" s="429" t="s">
        <v>88</v>
      </c>
      <c r="C15" s="436"/>
      <c r="D15" s="436"/>
      <c r="E15" s="440"/>
      <c r="F15" s="440"/>
      <c r="G15" s="441"/>
      <c r="H15" s="441"/>
      <c r="I15" s="441"/>
      <c r="J15" s="441"/>
      <c r="K15" s="441"/>
      <c r="L15" s="441"/>
      <c r="M15" s="441"/>
      <c r="N15" s="441"/>
      <c r="O15" s="441"/>
      <c r="P15" s="441"/>
      <c r="Q15" s="441"/>
      <c r="R15" s="441"/>
      <c r="S15" s="438">
        <f>LiLAC!P173/'LiLAC valuation'!$B$26</f>
        <v>0.15480337455876203</v>
      </c>
      <c r="T15" s="438">
        <f>LiLAC!Q173/'LiLAC valuation'!$B$26</f>
        <v>0</v>
      </c>
      <c r="U15" s="438">
        <f>LiLAC!R173/'LiLAC valuation'!$B$26</f>
        <v>0</v>
      </c>
      <c r="V15" s="438">
        <f>LiLAC!S173/'LiLAC valuation'!$B$26</f>
        <v>0</v>
      </c>
      <c r="W15" s="438">
        <f>LiLAC!T173/'LiLAC valuation'!$B$26</f>
        <v>0</v>
      </c>
      <c r="X15" s="438">
        <f>LiLAC!U173/'LiLAC valuation'!$B$26</f>
        <v>0</v>
      </c>
      <c r="Y15" s="438">
        <f>LiLAC!V173/'LiLAC valuation'!$B$26</f>
        <v>0</v>
      </c>
      <c r="Z15" s="438">
        <f>LiLAC!W173/'LiLAC valuation'!$B$26</f>
        <v>0</v>
      </c>
      <c r="AA15" s="438">
        <f>LiLAC!X173/'LiLAC valuation'!$B$26</f>
        <v>0</v>
      </c>
      <c r="AB15" s="438">
        <f>LiLAC!Y173/'LiLAC valuation'!$B$26</f>
        <v>0</v>
      </c>
      <c r="AC15" s="438">
        <f>LiLAC!Z173/'LiLAC valuation'!$B$26</f>
        <v>0</v>
      </c>
      <c r="AD15" s="438">
        <f>LiLAC!AA173/'LiLAC valuation'!$B$26</f>
        <v>0</v>
      </c>
      <c r="AE15" s="438">
        <f>LiLAC!AD173/'LiLAC valuation'!$B$26</f>
        <v>0</v>
      </c>
      <c r="AF15" s="439"/>
      <c r="AG15" s="439"/>
      <c r="AH15" s="439"/>
      <c r="AI15" s="439"/>
      <c r="AJ15" s="430"/>
      <c r="AK15" s="430"/>
    </row>
    <row r="16" spans="2:37">
      <c r="B16" s="429" t="s">
        <v>86</v>
      </c>
      <c r="C16" s="436"/>
      <c r="D16" s="436"/>
      <c r="E16" s="436"/>
      <c r="F16" s="436"/>
      <c r="G16" s="441"/>
      <c r="H16" s="441"/>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39"/>
      <c r="AG16" s="439"/>
      <c r="AH16" s="439"/>
      <c r="AI16" s="439"/>
      <c r="AJ16" s="430"/>
      <c r="AK16" s="430"/>
    </row>
    <row r="17" spans="2:37">
      <c r="B17" s="429" t="s">
        <v>87</v>
      </c>
      <c r="C17" s="436"/>
      <c r="D17" s="436"/>
      <c r="E17" s="441"/>
      <c r="F17" s="441"/>
      <c r="G17" s="441"/>
      <c r="H17" s="441"/>
      <c r="I17" s="442"/>
      <c r="J17" s="442"/>
      <c r="K17" s="442"/>
      <c r="L17" s="442"/>
      <c r="M17" s="442"/>
      <c r="N17" s="442"/>
      <c r="O17" s="442"/>
      <c r="P17" s="442"/>
      <c r="Q17" s="442"/>
      <c r="R17" s="442"/>
      <c r="S17" s="438">
        <f>'LiLAC valuation'!F135/'LiLAC valuation'!$B$26</f>
        <v>2.6575443490939592</v>
      </c>
      <c r="T17" s="438">
        <f>'LiLAC valuation'!G135/'LiLAC valuation'!$B$26</f>
        <v>1.1878155186135353</v>
      </c>
      <c r="U17" s="438">
        <f>'LiLAC valuation'!H135/'LiLAC valuation'!$B$26</f>
        <v>0.86661344535252316</v>
      </c>
      <c r="V17" s="438">
        <f>'LiLAC valuation'!I135/'LiLAC valuation'!$B$26</f>
        <v>0.50326107455662927</v>
      </c>
      <c r="W17" s="438">
        <f>'LiLAC valuation'!J135/'LiLAC valuation'!$B$26</f>
        <v>0.82261556091978416</v>
      </c>
      <c r="X17" s="438">
        <f ca="1">'LiLAC valuation'!K135/'LiLAC valuation'!$B$26</f>
        <v>1.7300267953978108</v>
      </c>
      <c r="Y17" s="438">
        <f ca="1">'LiLAC valuation'!L135/'LiLAC valuation'!$B$26</f>
        <v>2.2956572862404832</v>
      </c>
      <c r="Z17" s="438">
        <f ca="1">'LiLAC valuation'!M135/'LiLAC valuation'!$B$26</f>
        <v>2.7295109124918984</v>
      </c>
      <c r="AA17" s="438">
        <f ca="1">'LiLAC valuation'!N135/'LiLAC valuation'!$B$26</f>
        <v>2.95996646329385</v>
      </c>
      <c r="AB17" s="438">
        <f ca="1">'LiLAC valuation'!O135/'LiLAC valuation'!$B$26</f>
        <v>3.6677192026794021</v>
      </c>
      <c r="AC17" s="438">
        <f ca="1">'LiLAC valuation'!P135/'LiLAC valuation'!$B$26</f>
        <v>4.7974265336967843</v>
      </c>
      <c r="AD17" s="438">
        <f ca="1">'LiLAC valuation'!Q135/'LiLAC valuation'!$B$26</f>
        <v>5.4125026771844249</v>
      </c>
      <c r="AE17" s="438">
        <f>'LiLAC valuation'!R135/'LiLAC valuation'!$B$26</f>
        <v>0</v>
      </c>
      <c r="AF17" s="439"/>
      <c r="AG17" s="439"/>
      <c r="AH17" s="439"/>
      <c r="AI17" s="439"/>
      <c r="AJ17" s="430"/>
      <c r="AK17" s="430"/>
    </row>
    <row r="18" spans="2:37">
      <c r="B18" s="429" t="s">
        <v>1236</v>
      </c>
      <c r="C18" s="436"/>
      <c r="D18" s="436"/>
      <c r="E18" s="441"/>
      <c r="F18" s="441"/>
      <c r="G18" s="441"/>
      <c r="H18" s="436"/>
      <c r="I18" s="436"/>
      <c r="J18" s="436"/>
      <c r="K18" s="436"/>
      <c r="L18" s="436"/>
      <c r="M18" s="436"/>
      <c r="N18" s="436"/>
      <c r="O18" s="436"/>
      <c r="P18" s="436"/>
      <c r="Q18" s="436"/>
      <c r="R18" s="436"/>
      <c r="S18" s="436">
        <f>T18</f>
        <v>30.772735999999998</v>
      </c>
      <c r="T18" s="438">
        <f>'LiLAC valuation'!G126</f>
        <v>30.772735999999998</v>
      </c>
      <c r="U18" s="438">
        <f>'LiLAC valuation'!H126</f>
        <v>30.772735999999998</v>
      </c>
      <c r="V18" s="438">
        <f>'LiLAC valuation'!I126</f>
        <v>30.772735999999998</v>
      </c>
      <c r="W18" s="438">
        <f>'LiLAC valuation'!J126</f>
        <v>30.772735999999998</v>
      </c>
      <c r="X18" s="438">
        <f>'LiLAC valuation'!K126</f>
        <v>30.772735999999998</v>
      </c>
      <c r="Y18" s="438">
        <f>'LiLAC valuation'!L126</f>
        <v>30.772735999999998</v>
      </c>
      <c r="Z18" s="438">
        <f>'LiLAC valuation'!M126</f>
        <v>30.772735999999998</v>
      </c>
      <c r="AA18" s="438">
        <f>'LiLAC valuation'!N126</f>
        <v>30.772735999999998</v>
      </c>
      <c r="AB18" s="438">
        <f>'LiLAC valuation'!O126</f>
        <v>30.772735999999998</v>
      </c>
      <c r="AC18" s="438">
        <f>'LiLAC valuation'!P126</f>
        <v>30.772735999999998</v>
      </c>
      <c r="AD18" s="438">
        <f>'LiLAC valuation'!Q126</f>
        <v>30.772735999999998</v>
      </c>
      <c r="AE18" s="438">
        <f>'LiLAC valuation'!R126</f>
        <v>30.772735999999998</v>
      </c>
      <c r="AF18" s="439"/>
      <c r="AG18" s="439"/>
      <c r="AH18" s="439"/>
      <c r="AI18" s="439"/>
      <c r="AJ18" s="430"/>
      <c r="AK18" s="430"/>
    </row>
    <row r="19" spans="2:37">
      <c r="B19" s="434" t="s">
        <v>1237</v>
      </c>
      <c r="C19" s="435">
        <v>1998</v>
      </c>
      <c r="D19" s="435">
        <v>1999</v>
      </c>
      <c r="E19" s="435">
        <v>2000</v>
      </c>
      <c r="F19" s="435">
        <v>2001</v>
      </c>
      <c r="G19" s="435">
        <v>2002</v>
      </c>
      <c r="H19" s="435">
        <v>2003</v>
      </c>
      <c r="I19" s="435">
        <v>2004</v>
      </c>
      <c r="J19" s="435">
        <v>2005</v>
      </c>
      <c r="K19" s="435">
        <v>2006</v>
      </c>
      <c r="L19" s="435">
        <v>2007</v>
      </c>
      <c r="M19" s="435">
        <v>2008</v>
      </c>
      <c r="N19" s="435">
        <v>2009</v>
      </c>
      <c r="O19" s="435">
        <v>2010</v>
      </c>
      <c r="P19" s="435">
        <v>2011</v>
      </c>
      <c r="Q19" s="435">
        <v>2012</v>
      </c>
      <c r="R19" s="435">
        <v>2013</v>
      </c>
      <c r="S19" s="435">
        <v>2014</v>
      </c>
      <c r="T19" s="435">
        <v>2015</v>
      </c>
      <c r="U19" s="435">
        <v>2016</v>
      </c>
      <c r="V19" s="435">
        <v>2017</v>
      </c>
      <c r="W19" s="435">
        <v>2018</v>
      </c>
      <c r="X19" s="435">
        <v>2019</v>
      </c>
      <c r="Y19" s="435">
        <v>2020</v>
      </c>
      <c r="Z19" s="435">
        <v>2021</v>
      </c>
      <c r="AA19" s="435">
        <v>2022</v>
      </c>
      <c r="AB19" s="435">
        <v>2023</v>
      </c>
      <c r="AC19" s="435">
        <v>2024</v>
      </c>
      <c r="AD19" s="435">
        <v>2025</v>
      </c>
      <c r="AE19" s="435">
        <v>2025</v>
      </c>
      <c r="AF19" s="435">
        <v>2027</v>
      </c>
      <c r="AG19" s="435">
        <v>2028</v>
      </c>
      <c r="AH19" s="435">
        <v>2029</v>
      </c>
      <c r="AI19" s="435">
        <v>2030</v>
      </c>
      <c r="AJ19" s="430"/>
      <c r="AK19" s="430"/>
    </row>
    <row r="20" spans="2:37">
      <c r="B20" s="429" t="s">
        <v>647</v>
      </c>
      <c r="C20" s="436"/>
      <c r="D20" s="436"/>
      <c r="E20" s="437"/>
      <c r="F20" s="437"/>
      <c r="G20" s="437"/>
      <c r="H20" s="437"/>
      <c r="I20" s="437"/>
      <c r="J20" s="437"/>
      <c r="K20" s="437"/>
      <c r="L20" s="437"/>
      <c r="M20" s="437"/>
      <c r="N20" s="437"/>
      <c r="O20" s="437"/>
      <c r="P20" s="437"/>
      <c r="Q20" s="437">
        <f>LiLAC!M109</f>
        <v>1085.532081602435</v>
      </c>
      <c r="R20" s="437">
        <f>LiLAC!N109</f>
        <v>1288.218266222626</v>
      </c>
      <c r="S20" s="437">
        <f>LiLAC!O109</f>
        <v>1203.8503679304786</v>
      </c>
      <c r="T20" s="437">
        <f>LiLAC!P109</f>
        <v>1212.5333333333333</v>
      </c>
      <c r="U20" s="437">
        <f>LiLAC!Q109</f>
        <v>1279.4090119933155</v>
      </c>
      <c r="V20" s="437">
        <f>LiLAC!R109</f>
        <v>1272.9112207151666</v>
      </c>
      <c r="W20" s="437">
        <f>LiLAC!S109</f>
        <v>1335.7165766952999</v>
      </c>
      <c r="X20" s="437">
        <f ca="1">LiLAC!T109</f>
        <v>1359.4065288314603</v>
      </c>
      <c r="Y20" s="437">
        <f ca="1">LiLAC!U109</f>
        <v>1296.7399477283195</v>
      </c>
      <c r="Z20" s="437">
        <f ca="1">LiLAC!V109</f>
        <v>1382.1592910461954</v>
      </c>
      <c r="AA20" s="437">
        <f ca="1">LiLAC!W109</f>
        <v>1301.0411611961185</v>
      </c>
      <c r="AB20" s="437">
        <f ca="1">LiLAC!X109</f>
        <v>1432.2297683022516</v>
      </c>
      <c r="AC20" s="437">
        <f ca="1">LiLAC!Y109</f>
        <v>1466.5088123647542</v>
      </c>
      <c r="AD20" s="437">
        <f ca="1">LiLAC!Z109</f>
        <v>1516.9878285164214</v>
      </c>
      <c r="AE20" s="437">
        <f>LiLAC!AA109</f>
        <v>0</v>
      </c>
      <c r="AF20" s="439"/>
      <c r="AG20" s="439"/>
      <c r="AH20" s="439"/>
      <c r="AI20" s="439"/>
      <c r="AJ20" s="430"/>
      <c r="AK20" s="430"/>
    </row>
    <row r="21" spans="2:37">
      <c r="B21" s="429" t="s">
        <v>8</v>
      </c>
      <c r="C21" s="436"/>
      <c r="D21" s="436"/>
      <c r="E21" s="437"/>
      <c r="F21" s="437"/>
      <c r="G21" s="437"/>
      <c r="H21" s="437"/>
      <c r="I21" s="437"/>
      <c r="J21" s="437"/>
      <c r="K21" s="437"/>
      <c r="L21" s="437"/>
      <c r="M21" s="437"/>
      <c r="N21" s="437"/>
      <c r="O21" s="437"/>
      <c r="P21" s="437"/>
      <c r="Q21" s="437">
        <f>LiLAC!M115</f>
        <v>366.31257763336492</v>
      </c>
      <c r="R21" s="437">
        <f>LiLAC!N115</f>
        <v>460.3124129579171</v>
      </c>
      <c r="S21" s="437">
        <f>LiLAC!O115</f>
        <v>477.08272478800194</v>
      </c>
      <c r="T21" s="437">
        <f>LiLAC!P115</f>
        <v>492.17960426179599</v>
      </c>
      <c r="U21" s="437">
        <f>LiLAC!Q115</f>
        <v>537.60007689918814</v>
      </c>
      <c r="V21" s="437">
        <f>LiLAC!R115</f>
        <v>515.55240443896423</v>
      </c>
      <c r="W21" s="437">
        <f>LiLAC!S115</f>
        <v>540.22816630963553</v>
      </c>
      <c r="X21" s="437">
        <f ca="1">LiLAC!T115</f>
        <v>566.17238427977122</v>
      </c>
      <c r="Y21" s="437">
        <f ca="1">LiLAC!U115</f>
        <v>542.78369508242281</v>
      </c>
      <c r="Z21" s="437">
        <f ca="1">LiLAC!V115</f>
        <v>583.60429486547662</v>
      </c>
      <c r="AA21" s="437">
        <f ca="1">LiLAC!W115</f>
        <v>556.32156457448002</v>
      </c>
      <c r="AB21" s="437">
        <f ca="1">LiLAC!X115</f>
        <v>612.0738014939343</v>
      </c>
      <c r="AC21" s="437">
        <f ca="1">LiLAC!Y115</f>
        <v>628.00332144745948</v>
      </c>
      <c r="AD21" s="437">
        <f ca="1">LiLAC!Z115</f>
        <v>650.61365950679999</v>
      </c>
      <c r="AE21" s="437">
        <f>LiLAC!AA115</f>
        <v>0</v>
      </c>
      <c r="AF21" s="439"/>
      <c r="AG21" s="439"/>
      <c r="AH21" s="439"/>
      <c r="AI21" s="439"/>
      <c r="AJ21" s="430"/>
      <c r="AK21" s="430"/>
    </row>
    <row r="22" spans="2:37">
      <c r="B22" s="429" t="s">
        <v>81</v>
      </c>
      <c r="C22" s="436"/>
      <c r="D22" s="436"/>
      <c r="E22" s="437"/>
      <c r="F22" s="437"/>
      <c r="G22" s="437"/>
      <c r="H22" s="437"/>
      <c r="I22" s="437"/>
      <c r="J22" s="437"/>
      <c r="K22" s="437"/>
      <c r="L22" s="437"/>
      <c r="M22" s="437"/>
      <c r="N22" s="437"/>
      <c r="O22" s="437"/>
      <c r="P22" s="437"/>
      <c r="Q22" s="437">
        <f>LiLAC!M184</f>
        <v>-221.06135812116975</v>
      </c>
      <c r="R22" s="437">
        <f>LiLAC!N184</f>
        <v>-343.52466444646285</v>
      </c>
      <c r="S22" s="437">
        <f>LiLAC!O184</f>
        <v>-216.67875113883244</v>
      </c>
      <c r="T22" s="437">
        <f>LiLAC!P184</f>
        <v>-204.84368340943684</v>
      </c>
      <c r="U22" s="437">
        <f>LiLAC!Q184</f>
        <v>-200.83970807885123</v>
      </c>
      <c r="V22" s="437">
        <f>LiLAC!R184</f>
        <v>-206.62503082614057</v>
      </c>
      <c r="W22" s="437">
        <f>LiLAC!S184</f>
        <v>-208.09857670087362</v>
      </c>
      <c r="X22" s="437">
        <f>LiLAC!T184</f>
        <v>-195.62119487908961</v>
      </c>
      <c r="Y22" s="437">
        <f>LiLAC!U184</f>
        <v>-180.81919191919189</v>
      </c>
      <c r="Z22" s="437">
        <f>LiLAC!V184</f>
        <v>-185.58199737187908</v>
      </c>
      <c r="AA22" s="437">
        <f>LiLAC!W184</f>
        <v>-169.97101947308133</v>
      </c>
      <c r="AB22" s="437">
        <f>LiLAC!X184</f>
        <v>-179.79486858573216</v>
      </c>
      <c r="AC22" s="437">
        <f>LiLAC!Y184</f>
        <v>-178.08002466091244</v>
      </c>
      <c r="AD22" s="437">
        <f>LiLAC!Z184</f>
        <v>-178.08002466091244</v>
      </c>
      <c r="AE22" s="437">
        <f>LiLAC!AA184</f>
        <v>0</v>
      </c>
      <c r="AF22" s="439"/>
      <c r="AG22" s="439"/>
      <c r="AH22" s="439"/>
      <c r="AI22" s="439"/>
      <c r="AJ22" s="430"/>
      <c r="AK22" s="430"/>
    </row>
    <row r="23" spans="2:37">
      <c r="B23" s="429" t="s">
        <v>82</v>
      </c>
      <c r="C23" s="436"/>
      <c r="D23" s="436"/>
      <c r="E23" s="437"/>
      <c r="F23" s="437"/>
      <c r="G23" s="437"/>
      <c r="H23" s="437"/>
      <c r="I23" s="437"/>
      <c r="J23" s="437"/>
      <c r="K23" s="437"/>
      <c r="L23" s="437"/>
      <c r="M23" s="437"/>
      <c r="N23" s="437"/>
      <c r="O23" s="437"/>
      <c r="P23" s="437"/>
      <c r="Q23" s="437">
        <v>0</v>
      </c>
      <c r="R23" s="437">
        <v>0</v>
      </c>
      <c r="S23" s="437">
        <v>0</v>
      </c>
      <c r="T23" s="437">
        <v>0</v>
      </c>
      <c r="U23" s="437">
        <v>0</v>
      </c>
      <c r="V23" s="437">
        <v>0</v>
      </c>
      <c r="W23" s="437">
        <v>0</v>
      </c>
      <c r="X23" s="437">
        <v>0</v>
      </c>
      <c r="Y23" s="437">
        <v>0</v>
      </c>
      <c r="Z23" s="437">
        <v>0</v>
      </c>
      <c r="AA23" s="437">
        <v>0</v>
      </c>
      <c r="AB23" s="437">
        <v>0</v>
      </c>
      <c r="AC23" s="437">
        <v>0</v>
      </c>
      <c r="AD23" s="437">
        <v>0</v>
      </c>
      <c r="AE23" s="437">
        <v>0</v>
      </c>
      <c r="AF23" s="439"/>
      <c r="AG23" s="439"/>
      <c r="AH23" s="439"/>
      <c r="AI23" s="439"/>
      <c r="AJ23" s="430"/>
      <c r="AK23" s="430"/>
    </row>
    <row r="24" spans="2:37">
      <c r="B24" s="429" t="s">
        <v>19</v>
      </c>
      <c r="C24" s="436"/>
      <c r="D24" s="436"/>
      <c r="E24" s="437"/>
      <c r="F24" s="437"/>
      <c r="G24" s="437"/>
      <c r="H24" s="437"/>
      <c r="I24" s="437"/>
      <c r="J24" s="437"/>
      <c r="K24" s="437"/>
      <c r="L24" s="437"/>
      <c r="M24" s="437"/>
      <c r="N24" s="437"/>
      <c r="O24" s="437"/>
      <c r="P24" s="437"/>
      <c r="Q24" s="437">
        <f>LiLAC!M118</f>
        <v>269.19678772673058</v>
      </c>
      <c r="R24" s="437">
        <f>LiLAC!N118</f>
        <v>253.30630739731555</v>
      </c>
      <c r="S24" s="437">
        <f>LiLAC!O118</f>
        <v>256.10397364916952</v>
      </c>
      <c r="T24" s="437">
        <f>LiLAC!P118</f>
        <v>224.8275494672755</v>
      </c>
      <c r="U24" s="437">
        <f>LiLAC!Q118</f>
        <v>286.20563138669939</v>
      </c>
      <c r="V24" s="437">
        <f>LiLAC!R118</f>
        <v>344.54623921085084</v>
      </c>
      <c r="W24" s="437">
        <f>LiLAC!S118</f>
        <v>368.14695681374383</v>
      </c>
      <c r="X24" s="437">
        <f ca="1">LiLAC!T118</f>
        <v>289.3751385858975</v>
      </c>
      <c r="Y24" s="437">
        <f ca="1">LiLAC!U118</f>
        <v>255.37372365336742</v>
      </c>
      <c r="Z24" s="437">
        <f ca="1">LiLAC!V118</f>
        <v>262.61026529877711</v>
      </c>
      <c r="AA24" s="437">
        <f ca="1">LiLAC!W118</f>
        <v>242.1934187857367</v>
      </c>
      <c r="AB24" s="437">
        <f ca="1">LiLAC!X118</f>
        <v>265.91422245926196</v>
      </c>
      <c r="AC24" s="437">
        <f ca="1">LiLAC!Y118</f>
        <v>271.26552969551733</v>
      </c>
      <c r="AD24" s="437">
        <f ca="1">LiLAC!Z118</f>
        <v>279.57563209749225</v>
      </c>
      <c r="AE24" s="437">
        <f>LiLAC!AA118</f>
        <v>0</v>
      </c>
      <c r="AF24" s="439"/>
      <c r="AG24" s="439"/>
      <c r="AH24" s="439"/>
      <c r="AI24" s="439"/>
      <c r="AJ24" s="430"/>
      <c r="AK24" s="430"/>
    </row>
    <row r="25" spans="2:37">
      <c r="B25" s="429" t="s">
        <v>27</v>
      </c>
      <c r="C25" s="436"/>
      <c r="D25" s="436"/>
      <c r="E25" s="437"/>
      <c r="F25" s="437"/>
      <c r="G25" s="437"/>
      <c r="H25" s="437"/>
      <c r="I25" s="437"/>
      <c r="J25" s="437"/>
      <c r="K25" s="437"/>
      <c r="L25" s="437"/>
      <c r="M25" s="437"/>
      <c r="N25" s="437"/>
      <c r="O25" s="437"/>
      <c r="P25" s="437"/>
      <c r="Q25" s="437">
        <f>LiLAC!M120</f>
        <v>97.115789906634348</v>
      </c>
      <c r="R25" s="437">
        <f>LiLAC!N120</f>
        <v>207.00610556060155</v>
      </c>
      <c r="S25" s="437">
        <f>LiLAC!O120</f>
        <v>220.97875113883242</v>
      </c>
      <c r="T25" s="437">
        <f>LiLAC!P120</f>
        <v>267.35205479452048</v>
      </c>
      <c r="U25" s="437">
        <f>LiLAC!Q120</f>
        <v>251.39444551248874</v>
      </c>
      <c r="V25" s="437">
        <f>LiLAC!R120</f>
        <v>171.00616522811339</v>
      </c>
      <c r="W25" s="437">
        <f>LiLAC!S120</f>
        <v>172.0812094958917</v>
      </c>
      <c r="X25" s="437">
        <f ca="1">LiLAC!T120</f>
        <v>276.79724569387372</v>
      </c>
      <c r="Y25" s="437">
        <f ca="1">LiLAC!U120</f>
        <v>287.40997142905542</v>
      </c>
      <c r="Z25" s="437">
        <f ca="1">LiLAC!V120</f>
        <v>320.99402956669951</v>
      </c>
      <c r="AA25" s="437">
        <f ca="1">LiLAC!W120</f>
        <v>314.12814578874332</v>
      </c>
      <c r="AB25" s="437">
        <f ca="1">LiLAC!X120</f>
        <v>346.15957903467233</v>
      </c>
      <c r="AC25" s="437">
        <f ca="1">LiLAC!Y120</f>
        <v>356.73779175194215</v>
      </c>
      <c r="AD25" s="437">
        <f ca="1">LiLAC!Z120</f>
        <v>371.03802740930774</v>
      </c>
      <c r="AE25" s="437">
        <f>LiLAC!AA120</f>
        <v>0</v>
      </c>
      <c r="AF25" s="439"/>
      <c r="AG25" s="439"/>
      <c r="AH25" s="439"/>
      <c r="AI25" s="439"/>
      <c r="AJ25" s="430"/>
      <c r="AK25" s="430"/>
    </row>
    <row r="26" spans="2:37">
      <c r="B26" s="429" t="s">
        <v>377</v>
      </c>
      <c r="C26" s="436"/>
      <c r="D26" s="436"/>
      <c r="E26" s="437"/>
      <c r="F26" s="437"/>
      <c r="G26" s="437"/>
      <c r="H26" s="437"/>
      <c r="I26" s="437"/>
      <c r="J26" s="437"/>
      <c r="K26" s="437"/>
      <c r="L26" s="437"/>
      <c r="M26" s="437"/>
      <c r="N26" s="437"/>
      <c r="O26" s="437"/>
      <c r="P26" s="437"/>
      <c r="Q26" s="437">
        <f>'LiLAC valuation'!D41/Forex!H38+'LiLAC valuation'!D68</f>
        <v>73.53236877390701</v>
      </c>
      <c r="R26" s="437">
        <f>'LiLAC valuation'!E41/Forex!I38+'LiLAC valuation'!E68</f>
        <v>157.71988444848117</v>
      </c>
      <c r="S26" s="437">
        <f>'LiLAC valuation'!F41/Forex!J38+'LiLAC valuation'!F68</f>
        <v>163.82500091106593</v>
      </c>
      <c r="T26" s="437">
        <f>'LiLAC valuation'!G41/Forex!K38+'LiLAC valuation'!G68</f>
        <v>192.69434246575335</v>
      </c>
      <c r="U26" s="437">
        <f>'LiLAC valuation'!H41/Forex!L38+'LiLAC valuation'!H68</f>
        <v>174.88977858949141</v>
      </c>
      <c r="V26" s="437">
        <f>'LiLAC valuation'!I41/Forex!M38+'LiLAC valuation'!I68</f>
        <v>127.26459309494452</v>
      </c>
      <c r="W26" s="437">
        <f>'LiLAC valuation'!J41/Forex!N38+'LiLAC valuation'!J68</f>
        <v>128.24867720323286</v>
      </c>
      <c r="X26" s="437">
        <f ca="1">'LiLAC valuation'!K41/Forex!O38+'LiLAC valuation'!K68</f>
        <v>176.33042357223036</v>
      </c>
      <c r="Y26" s="437">
        <f ca="1">'LiLAC valuation'!L41/Forex!P38+'LiLAC valuation'!L68</f>
        <v>182.68324490089759</v>
      </c>
      <c r="Z26" s="437">
        <f ca="1">'LiLAC valuation'!M41/Forex!Q38+'LiLAC valuation'!M68</f>
        <v>204.27653692593555</v>
      </c>
      <c r="AA26" s="437">
        <f ca="1">'LiLAC valuation'!N41/Forex!R38+'LiLAC valuation'!N68</f>
        <v>199.41007433025828</v>
      </c>
      <c r="AB26" s="437">
        <f ca="1">'LiLAC valuation'!O41/Forex!S38+'LiLAC valuation'!O68</f>
        <v>220.153514099273</v>
      </c>
      <c r="AC26" s="437">
        <f ca="1">'LiLAC valuation'!P41/Forex!T38+'LiLAC valuation'!P68</f>
        <v>226.95516873681601</v>
      </c>
      <c r="AD26" s="437">
        <f ca="1">'LiLAC valuation'!Q41/Forex!U38+'LiLAC valuation'!Q68</f>
        <v>236.17878340336324</v>
      </c>
      <c r="AE26" s="437">
        <f>'LiLAC valuation'!R41/Forex!V38+'LiLAC valuation'!R68</f>
        <v>0</v>
      </c>
      <c r="AF26" s="439"/>
      <c r="AG26" s="439"/>
      <c r="AH26" s="439"/>
      <c r="AI26" s="439"/>
      <c r="AJ26" s="430"/>
      <c r="AK26" s="430"/>
    </row>
    <row r="27" spans="2:37">
      <c r="B27" s="429" t="s">
        <v>115</v>
      </c>
      <c r="C27" s="436"/>
      <c r="D27" s="436"/>
      <c r="E27" s="437"/>
      <c r="F27" s="437"/>
      <c r="G27" s="437"/>
      <c r="H27" s="437"/>
      <c r="I27" s="437"/>
      <c r="J27" s="437"/>
      <c r="K27" s="437"/>
      <c r="L27" s="437"/>
      <c r="M27" s="437"/>
      <c r="N27" s="437"/>
      <c r="O27" s="437"/>
      <c r="P27" s="437"/>
      <c r="Q27" s="437">
        <f>LiLAC!M218</f>
        <v>1260.234908285556</v>
      </c>
      <c r="R27" s="437">
        <f>LiLAC!N218</f>
        <v>1195.5965307939127</v>
      </c>
      <c r="S27" s="437">
        <f>LiLAC!O218</f>
        <v>1975.435338949801</v>
      </c>
      <c r="T27" s="437">
        <f>LiLAC!P218</f>
        <v>2016.5571643556539</v>
      </c>
      <c r="U27" s="437">
        <f>LiLAC!Q218</f>
        <v>2187.7453680660878</v>
      </c>
      <c r="V27" s="437">
        <f ca="1">LiLAC!R218</f>
        <v>2404.3460086405676</v>
      </c>
      <c r="W27" s="437">
        <f ca="1">LiLAC!S218</f>
        <v>2517.7513008695528</v>
      </c>
      <c r="X27" s="437">
        <f ca="1">LiLAC!T218</f>
        <v>2425.6031483225202</v>
      </c>
      <c r="Y27" s="437">
        <f ca="1">LiLAC!U218</f>
        <v>2193.317622947553</v>
      </c>
      <c r="Z27" s="437">
        <f ca="1">LiLAC!V218</f>
        <v>2213.7989187711723</v>
      </c>
      <c r="AA27" s="437">
        <f ca="1">LiLAC!W218</f>
        <v>1974.6954358041148</v>
      </c>
      <c r="AB27" s="437">
        <f ca="1">LiLAC!X218</f>
        <v>1992.6483583876432</v>
      </c>
      <c r="AC27" s="437">
        <f ca="1">LiLAC!Y218</f>
        <v>1866.8289338443956</v>
      </c>
      <c r="AD27" s="437">
        <f ca="1">LiLAC!Z218</f>
        <v>1691.5588885182278</v>
      </c>
      <c r="AE27" s="437">
        <f>LiLAC!AA218</f>
        <v>0</v>
      </c>
      <c r="AF27" s="439"/>
      <c r="AG27" s="439"/>
      <c r="AH27" s="439"/>
      <c r="AI27" s="439"/>
      <c r="AJ27" s="430"/>
      <c r="AK27" s="430"/>
    </row>
    <row r="28" spans="2:37">
      <c r="B28" s="429" t="s">
        <v>111</v>
      </c>
      <c r="C28" s="436"/>
      <c r="D28" s="436"/>
      <c r="E28" s="437"/>
      <c r="F28" s="437"/>
      <c r="G28" s="437"/>
      <c r="H28" s="437"/>
      <c r="I28" s="437"/>
      <c r="J28" s="437"/>
      <c r="K28" s="437"/>
      <c r="L28" s="437"/>
      <c r="M28" s="437"/>
      <c r="N28" s="437"/>
      <c r="O28" s="437"/>
      <c r="P28" s="437"/>
      <c r="Q28" s="437">
        <f>LiLAC!M188</f>
        <v>-18.302965491712254</v>
      </c>
      <c r="R28" s="437">
        <f>LiLAC!N188</f>
        <v>12.513876274094258</v>
      </c>
      <c r="S28" s="437">
        <f>LiLAC!O188</f>
        <v>4.3801247459527648</v>
      </c>
      <c r="T28" s="437">
        <f>LiLAC!P188</f>
        <v>0</v>
      </c>
      <c r="U28" s="437">
        <f>LiLAC!Q188</f>
        <v>0</v>
      </c>
      <c r="V28" s="437">
        <f>LiLAC!R188</f>
        <v>0</v>
      </c>
      <c r="W28" s="437">
        <f>LiLAC!S188</f>
        <v>0</v>
      </c>
      <c r="X28" s="437">
        <f ca="1">LiLAC!T188</f>
        <v>0</v>
      </c>
      <c r="Y28" s="437">
        <f ca="1">LiLAC!U188</f>
        <v>0</v>
      </c>
      <c r="Z28" s="437">
        <f ca="1">LiLAC!V188</f>
        <v>0</v>
      </c>
      <c r="AA28" s="437">
        <f ca="1">LiLAC!W188</f>
        <v>0</v>
      </c>
      <c r="AB28" s="437">
        <f ca="1">LiLAC!X188</f>
        <v>0</v>
      </c>
      <c r="AC28" s="437">
        <f ca="1">LiLAC!Y188</f>
        <v>0</v>
      </c>
      <c r="AD28" s="437">
        <f ca="1">LiLAC!Z188</f>
        <v>0</v>
      </c>
      <c r="AE28" s="437">
        <f>LiLAC!AA188</f>
        <v>0</v>
      </c>
      <c r="AF28" s="439"/>
      <c r="AG28" s="439"/>
      <c r="AH28" s="439"/>
      <c r="AI28" s="439"/>
      <c r="AJ28" s="430"/>
      <c r="AK28" s="430"/>
    </row>
    <row r="29" spans="2:37">
      <c r="B29" s="429" t="s">
        <v>112</v>
      </c>
      <c r="C29" s="436"/>
      <c r="D29" s="436"/>
      <c r="E29" s="437"/>
      <c r="F29" s="437"/>
      <c r="G29" s="437"/>
      <c r="H29" s="437"/>
      <c r="I29" s="437"/>
      <c r="J29" s="437"/>
      <c r="K29" s="437"/>
      <c r="L29" s="437"/>
      <c r="M29" s="437"/>
      <c r="N29" s="437"/>
      <c r="O29" s="437"/>
      <c r="P29" s="437"/>
      <c r="Q29" s="437"/>
      <c r="R29" s="443">
        <f>624/Forex!I38*1000+321.5</f>
        <v>1580.9610959733577</v>
      </c>
      <c r="S29" s="443">
        <f>-144.2/Forex!J38*1000+327.6</f>
        <v>74.954404653444584</v>
      </c>
      <c r="T29" s="437">
        <f>S29+LiLAC!P160</f>
        <v>111.65629202026348</v>
      </c>
      <c r="U29" s="437">
        <f ca="1">T29+LiLAC!Q160</f>
        <v>204.58360727035023</v>
      </c>
      <c r="V29" s="437">
        <f ca="1">U29+LiLAC!R160</f>
        <v>273.28848353380465</v>
      </c>
      <c r="W29" s="437">
        <f ca="1">V29+LiLAC!S160</f>
        <v>367.19657090616869</v>
      </c>
      <c r="X29" s="437">
        <f ca="1">W29+LiLAC!T160</f>
        <v>508.98614020860384</v>
      </c>
      <c r="Y29" s="437">
        <f ca="1">X29+LiLAC!U160</f>
        <v>658.2081995566341</v>
      </c>
      <c r="Z29" s="437">
        <f ca="1">Y29+LiLAC!V160</f>
        <v>843.52080902021771</v>
      </c>
      <c r="AA29" s="437">
        <f ca="1">Z29+LiLAC!W160</f>
        <v>1041.9879511112485</v>
      </c>
      <c r="AB29" s="437">
        <f ca="1">AA29+LiLAC!X160</f>
        <v>1296.9435194221969</v>
      </c>
      <c r="AC29" s="437">
        <f ca="1">AB29+LiLAC!Y160</f>
        <v>1651.0962216001712</v>
      </c>
      <c r="AD29" s="437">
        <f ca="1">AC29+LiLAC!Z160</f>
        <v>2059.6908905124201</v>
      </c>
      <c r="AE29" s="437">
        <f ca="1">AD29+LiLAC!AA160</f>
        <v>2059.6908905124201</v>
      </c>
      <c r="AF29" s="439"/>
      <c r="AG29" s="439"/>
      <c r="AH29" s="439"/>
      <c r="AI29" s="439"/>
      <c r="AJ29" s="430"/>
      <c r="AK29" s="430"/>
    </row>
    <row r="30" spans="2:37">
      <c r="B30" s="429" t="s">
        <v>907</v>
      </c>
      <c r="C30" s="436"/>
      <c r="D30" s="436"/>
      <c r="E30" s="437"/>
      <c r="F30" s="437"/>
      <c r="G30" s="437"/>
      <c r="H30" s="437"/>
      <c r="I30" s="437"/>
      <c r="J30" s="437"/>
      <c r="K30" s="437"/>
      <c r="L30" s="437"/>
      <c r="M30" s="437"/>
      <c r="N30" s="437"/>
      <c r="O30" s="437"/>
      <c r="P30" s="437"/>
      <c r="Q30" s="437">
        <f>-LiLAC!M169</f>
        <v>36.197314194052566</v>
      </c>
      <c r="R30" s="437">
        <f>-LiLAC!N169</f>
        <v>68.498365122615809</v>
      </c>
      <c r="S30" s="437">
        <f>-LiLAC!O169</f>
        <v>88.663956829490502</v>
      </c>
      <c r="T30" s="437">
        <f>-LiLAC!P169</f>
        <v>191.82990867579912</v>
      </c>
      <c r="U30" s="437">
        <f>-LiLAC!Q169</f>
        <v>204.48449298294909</v>
      </c>
      <c r="V30" s="437">
        <f>-LiLAC!R169</f>
        <v>228.27314303329223</v>
      </c>
      <c r="W30" s="437">
        <f>-LiLAC!S169</f>
        <v>229.95982633881994</v>
      </c>
      <c r="X30" s="437">
        <f>-LiLAC!T169</f>
        <v>215.67768421052631</v>
      </c>
      <c r="Y30" s="437">
        <f>-LiLAC!U169</f>
        <v>198.7346818181818</v>
      </c>
      <c r="Z30" s="437">
        <f>-LiLAC!V169</f>
        <v>204.18639159001313</v>
      </c>
      <c r="AA30" s="437">
        <f>-LiLAC!W169</f>
        <v>176.51740206185565</v>
      </c>
      <c r="AB30" s="437">
        <f>-LiLAC!X169</f>
        <v>172.99219774718398</v>
      </c>
      <c r="AC30" s="437">
        <f>-LiLAC!Y169</f>
        <v>114.04945006165227</v>
      </c>
      <c r="AD30" s="437">
        <f>-LiLAC!Z169</f>
        <v>62.03958569667077</v>
      </c>
      <c r="AE30" s="437">
        <f>-LiLAC!AA169</f>
        <v>0</v>
      </c>
      <c r="AF30" s="439"/>
      <c r="AG30" s="439"/>
      <c r="AH30" s="439"/>
      <c r="AI30" s="439"/>
      <c r="AJ30" s="430"/>
      <c r="AK30" s="430"/>
    </row>
    <row r="31" spans="2:37">
      <c r="B31" s="429" t="s">
        <v>1238</v>
      </c>
      <c r="C31" s="436"/>
      <c r="D31" s="436"/>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9"/>
      <c r="AG31" s="439"/>
      <c r="AH31" s="439"/>
      <c r="AI31" s="439"/>
      <c r="AJ31" s="430"/>
      <c r="AK31" s="430"/>
    </row>
    <row r="32" spans="2:37">
      <c r="B32" s="429" t="s">
        <v>228</v>
      </c>
      <c r="C32" s="436"/>
      <c r="D32" s="436"/>
      <c r="E32" s="437"/>
      <c r="F32" s="437"/>
      <c r="G32" s="437"/>
      <c r="H32" s="437"/>
      <c r="I32" s="437"/>
      <c r="J32" s="437"/>
      <c r="K32" s="437"/>
      <c r="L32" s="437"/>
      <c r="M32" s="437"/>
      <c r="N32" s="437"/>
      <c r="O32" s="437"/>
      <c r="P32" s="437"/>
      <c r="Q32" s="437">
        <f>LiLAC!M189</f>
        <v>94.911380742812568</v>
      </c>
      <c r="R32" s="437">
        <f>LiLAC!N189</f>
        <v>68.091421939650829</v>
      </c>
      <c r="S32" s="437">
        <f>LiLAC!O189</f>
        <v>116.73712944144647</v>
      </c>
      <c r="T32" s="437">
        <f>LiLAC!P189</f>
        <v>52.176805251141509</v>
      </c>
      <c r="U32" s="437">
        <f>LiLAC!Q189</f>
        <v>38.067461030445671</v>
      </c>
      <c r="V32" s="437">
        <f>LiLAC!R189</f>
        <v>22.106593714377013</v>
      </c>
      <c r="W32" s="437">
        <f>LiLAC!S189</f>
        <v>36.134779556315031</v>
      </c>
      <c r="X32" s="437">
        <f ca="1">LiLAC!T189</f>
        <v>75.994352463159856</v>
      </c>
      <c r="Y32" s="437">
        <f ca="1">LiLAC!U189</f>
        <v>100.84062825458426</v>
      </c>
      <c r="Z32" s="437">
        <f ca="1">LiLAC!V189</f>
        <v>119.89838243415966</v>
      </c>
      <c r="AA32" s="437">
        <f ca="1">LiLAC!W189</f>
        <v>130.02153220347179</v>
      </c>
      <c r="AB32" s="437">
        <f ca="1">LiLAC!X189</f>
        <v>161.11076809086447</v>
      </c>
      <c r="AC32" s="437">
        <f ca="1">LiLAC!Y189</f>
        <v>210.73507294089973</v>
      </c>
      <c r="AD32" s="437">
        <f ca="1">LiLAC!Z189</f>
        <v>237.75333263735297</v>
      </c>
      <c r="AE32" s="437">
        <f>LiLAC!AA189</f>
        <v>0</v>
      </c>
      <c r="AF32" s="439"/>
      <c r="AG32" s="439"/>
      <c r="AH32" s="439"/>
      <c r="AI32" s="439"/>
      <c r="AJ32" s="430"/>
      <c r="AK32" s="430"/>
    </row>
    <row r="33" spans="2:37">
      <c r="B33" s="429" t="s">
        <v>1239</v>
      </c>
      <c r="C33" s="436"/>
      <c r="D33" s="436"/>
      <c r="E33" s="437"/>
      <c r="F33" s="437"/>
      <c r="G33" s="437"/>
      <c r="H33" s="437"/>
      <c r="I33" s="437"/>
      <c r="J33" s="437"/>
      <c r="K33" s="437"/>
      <c r="L33" s="437"/>
      <c r="M33" s="437"/>
      <c r="N33" s="437"/>
      <c r="O33" s="437"/>
      <c r="P33" s="437"/>
      <c r="Q33" s="437">
        <f>LiLAC!M195</f>
        <v>46.775951137251752</v>
      </c>
      <c r="R33" s="437">
        <f>LiLAC!N195</f>
        <v>158.30977898879814</v>
      </c>
      <c r="S33" s="437">
        <f>LiLAC!O195</f>
        <v>77.311906931109377</v>
      </c>
      <c r="T33" s="437">
        <f>LiLAC!P195</f>
        <v>32.192939193302834</v>
      </c>
      <c r="U33" s="437">
        <f>LiLAC!Q195</f>
        <v>-47.298462277402507</v>
      </c>
      <c r="V33" s="437">
        <f>LiLAC!R195</f>
        <v>-115.81461467033324</v>
      </c>
      <c r="W33" s="437">
        <f>LiLAC!S195</f>
        <v>-123.91360055655517</v>
      </c>
      <c r="X33" s="437">
        <f ca="1">LiLAC!T195</f>
        <v>-17.75959124364806</v>
      </c>
      <c r="Y33" s="437">
        <f ca="1">LiLAC!U195</f>
        <v>26.286096520408734</v>
      </c>
      <c r="Z33" s="437">
        <f ca="1">LiLAC!V195</f>
        <v>42.870114507261633</v>
      </c>
      <c r="AA33" s="437">
        <f ca="1">LiLAC!W195</f>
        <v>57.799132890816452</v>
      </c>
      <c r="AB33" s="437">
        <f ca="1">LiLAC!X195</f>
        <v>74.991414217334636</v>
      </c>
      <c r="AC33" s="437">
        <f ca="1">LiLAC!Y195</f>
        <v>117.54956790629484</v>
      </c>
      <c r="AD33" s="437">
        <f ca="1">LiLAC!Z195</f>
        <v>136.25772520077317</v>
      </c>
      <c r="AE33" s="437">
        <f>LiLAC!AA195</f>
        <v>0</v>
      </c>
      <c r="AF33" s="439"/>
      <c r="AG33" s="439"/>
      <c r="AH33" s="439"/>
      <c r="AI33" s="439"/>
      <c r="AJ33" s="430"/>
      <c r="AK33" s="430"/>
    </row>
    <row r="34" spans="2:37">
      <c r="B34" s="429" t="s">
        <v>1240</v>
      </c>
      <c r="C34" s="436"/>
      <c r="D34" s="436"/>
      <c r="E34" s="436"/>
      <c r="F34" s="437"/>
      <c r="G34" s="437"/>
      <c r="H34" s="437"/>
      <c r="I34" s="437"/>
      <c r="J34" s="437"/>
      <c r="K34" s="437"/>
      <c r="L34" s="437"/>
      <c r="M34" s="437"/>
      <c r="N34" s="437"/>
      <c r="O34" s="437"/>
      <c r="P34" s="437"/>
      <c r="Q34" s="437"/>
      <c r="R34" s="437"/>
      <c r="S34" s="437"/>
      <c r="T34" s="437"/>
      <c r="U34" s="437"/>
      <c r="V34" s="437"/>
      <c r="W34" s="437"/>
      <c r="X34" s="437"/>
      <c r="Y34" s="437"/>
      <c r="Z34" s="439"/>
      <c r="AA34" s="439"/>
      <c r="AB34" s="439"/>
      <c r="AC34" s="439"/>
      <c r="AD34" s="439"/>
      <c r="AE34" s="439"/>
      <c r="AF34" s="439"/>
      <c r="AG34" s="439"/>
      <c r="AH34" s="439"/>
      <c r="AI34" s="439"/>
      <c r="AJ34" s="430"/>
      <c r="AK34" s="430"/>
    </row>
    <row r="35" spans="2:37">
      <c r="B35" s="429" t="s">
        <v>1241</v>
      </c>
      <c r="C35" s="436"/>
      <c r="D35" s="436"/>
      <c r="E35" s="436"/>
      <c r="F35" s="436"/>
      <c r="G35" s="436"/>
      <c r="H35" s="436"/>
      <c r="I35" s="436"/>
      <c r="J35" s="436"/>
      <c r="K35" s="436"/>
      <c r="L35" s="436"/>
      <c r="M35" s="436"/>
      <c r="N35" s="436"/>
      <c r="O35" s="436"/>
      <c r="P35" s="436"/>
      <c r="Q35" s="436"/>
      <c r="R35" s="444">
        <f>267.3+80+((316.3+15.5)/Forex!I38*1000)</f>
        <v>1016.9942173781412</v>
      </c>
      <c r="S35" s="444">
        <f>272.9+70.7+((334.83+15.5)/Forex!I38*1000)</f>
        <v>1050.6945605005551</v>
      </c>
      <c r="T35" s="445">
        <f>Master!G162</f>
        <v>3986.2712550607289</v>
      </c>
      <c r="U35" s="445">
        <f>Master!H162</f>
        <v>3860.9</v>
      </c>
      <c r="V35" s="445">
        <f>Master!I162</f>
        <v>4169.2</v>
      </c>
      <c r="W35" s="445">
        <f>Master!J162</f>
        <v>4236.8999999999996</v>
      </c>
      <c r="X35" s="445">
        <f>Master!K162</f>
        <v>4301.1000000000004</v>
      </c>
      <c r="Y35" s="445">
        <f>Master!L162</f>
        <v>4911.3999999999996</v>
      </c>
      <c r="Z35" s="445">
        <f>Master!M162</f>
        <v>4168.3999999999996</v>
      </c>
      <c r="AA35" s="445">
        <f>Master!N162</f>
        <v>4293.6000000000004</v>
      </c>
      <c r="AB35" s="445">
        <f>Master!O162</f>
        <v>4205.7</v>
      </c>
      <c r="AC35" s="445">
        <f>Master!P162</f>
        <v>3309.9191403703244</v>
      </c>
      <c r="AD35" s="445">
        <f>Master!Q162</f>
        <v>3201.0720339995132</v>
      </c>
      <c r="AE35" s="445">
        <f>Master!W162</f>
        <v>0</v>
      </c>
      <c r="AF35" s="439"/>
      <c r="AG35" s="439"/>
      <c r="AH35" s="439"/>
      <c r="AI35" s="439"/>
      <c r="AJ35" s="430"/>
      <c r="AK35" s="430"/>
    </row>
    <row r="36" spans="2:37">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row>
    <row r="37" spans="2:37">
      <c r="B37" s="434" t="s">
        <v>1242</v>
      </c>
      <c r="C37" s="435">
        <v>1998</v>
      </c>
      <c r="D37" s="435">
        <v>1999</v>
      </c>
      <c r="E37" s="435">
        <v>2000</v>
      </c>
      <c r="F37" s="435">
        <v>2001</v>
      </c>
      <c r="G37" s="435">
        <v>2002</v>
      </c>
      <c r="H37" s="435">
        <v>2003</v>
      </c>
      <c r="I37" s="435">
        <v>2004</v>
      </c>
      <c r="J37" s="435">
        <v>2005</v>
      </c>
      <c r="K37" s="435">
        <v>2006</v>
      </c>
      <c r="L37" s="435">
        <v>2007</v>
      </c>
      <c r="M37" s="435">
        <v>2008</v>
      </c>
      <c r="N37" s="435">
        <v>2009</v>
      </c>
      <c r="O37" s="435">
        <v>2010</v>
      </c>
      <c r="P37" s="435">
        <v>2011</v>
      </c>
      <c r="Q37" s="435">
        <v>2012</v>
      </c>
      <c r="R37" s="435">
        <v>2013</v>
      </c>
      <c r="S37" s="435">
        <v>2014</v>
      </c>
      <c r="T37" s="435">
        <v>2015</v>
      </c>
      <c r="U37" s="435">
        <v>2016</v>
      </c>
      <c r="V37" s="435">
        <v>2017</v>
      </c>
      <c r="W37" s="435">
        <v>2018</v>
      </c>
      <c r="X37" s="435">
        <v>2019</v>
      </c>
      <c r="Y37" s="435">
        <v>2020</v>
      </c>
      <c r="Z37" s="435">
        <v>2021</v>
      </c>
      <c r="AA37" s="435">
        <v>2022</v>
      </c>
      <c r="AB37" s="435">
        <v>2023</v>
      </c>
      <c r="AC37" s="435">
        <v>2024</v>
      </c>
      <c r="AD37" s="435">
        <v>2025</v>
      </c>
      <c r="AE37" s="435">
        <v>2025</v>
      </c>
      <c r="AF37" s="435">
        <v>2027</v>
      </c>
      <c r="AG37" s="435">
        <v>2028</v>
      </c>
      <c r="AH37" s="435">
        <v>2029</v>
      </c>
      <c r="AI37" s="435">
        <v>2030</v>
      </c>
      <c r="AJ37" s="430"/>
      <c r="AK37" s="430"/>
    </row>
    <row r="38" spans="2:37">
      <c r="B38" s="429" t="s">
        <v>492</v>
      </c>
      <c r="C38" s="436"/>
      <c r="D38" s="436"/>
      <c r="E38" s="436"/>
      <c r="F38" s="436"/>
      <c r="G38" s="436"/>
      <c r="H38" s="436"/>
      <c r="I38" s="437"/>
      <c r="J38" s="437"/>
      <c r="K38" s="437"/>
      <c r="L38" s="437"/>
      <c r="M38" s="437"/>
      <c r="N38" s="437"/>
      <c r="O38" s="437"/>
      <c r="P38" s="437"/>
      <c r="Q38" s="437">
        <f>VTR!M113/Forex!H38*1000</f>
        <v>940.03208160243503</v>
      </c>
      <c r="R38" s="437">
        <f>VTR!N113/Forex!I38*1000</f>
        <v>991.01826622262593</v>
      </c>
      <c r="S38" s="437">
        <f>VTR!O113/Forex!J38*1000</f>
        <v>897.75036793047866</v>
      </c>
      <c r="T38" s="437">
        <f>VTR!P113/Forex!K38*1000</f>
        <v>833.33333333333337</v>
      </c>
      <c r="U38" s="437">
        <f>VTR!Q113/Forex!L38*1000</f>
        <v>858.60901199331568</v>
      </c>
      <c r="V38" s="437">
        <f>VTR!R113/Forex!M38*1000</f>
        <v>951.91122071516656</v>
      </c>
      <c r="W38" s="437">
        <f>VTR!S113/Forex!N38*1000</f>
        <v>1011.0999999999999</v>
      </c>
      <c r="X38" s="437">
        <f ca="1">VTR!T113/Forex!O38*1000</f>
        <v>969.42977570237451</v>
      </c>
      <c r="Y38" s="437">
        <f ca="1">VTR!U113/Forex!P38*1000</f>
        <v>899.31335849866707</v>
      </c>
      <c r="Z38" s="437">
        <f ca="1">VTR!V113/Forex!Q38*1000</f>
        <v>977.56833804442408</v>
      </c>
      <c r="AA38" s="437">
        <f ca="1">VTR!W113/Forex!R38*1000</f>
        <v>889.55664115948855</v>
      </c>
      <c r="AB38" s="437">
        <f ca="1">VTR!X113/Forex!S38*1000</f>
        <v>1014.108020607082</v>
      </c>
      <c r="AC38" s="437">
        <f ca="1">VTR!Y113/Forex!T38*1000</f>
        <v>1041.9919242659362</v>
      </c>
      <c r="AD38" s="437">
        <f ca="1">VTR!Z113/Forex!U38*1000</f>
        <v>1086.3038274227331</v>
      </c>
      <c r="AE38" s="437">
        <f>VTR!AA113/Forex!V38*1000</f>
        <v>0</v>
      </c>
      <c r="AF38" s="439"/>
      <c r="AG38" s="439"/>
      <c r="AH38" s="439"/>
      <c r="AI38" s="439"/>
      <c r="AJ38" s="430"/>
      <c r="AK38" s="430"/>
    </row>
    <row r="39" spans="2:37">
      <c r="B39" s="429" t="s">
        <v>469</v>
      </c>
      <c r="C39" s="436"/>
      <c r="D39" s="436"/>
      <c r="E39" s="436"/>
      <c r="F39" s="436"/>
      <c r="G39" s="436"/>
      <c r="H39" s="436"/>
      <c r="I39" s="437"/>
      <c r="J39" s="437"/>
      <c r="K39" s="437"/>
      <c r="L39" s="437"/>
      <c r="M39" s="437"/>
      <c r="N39" s="437"/>
      <c r="O39" s="437"/>
      <c r="P39" s="437"/>
      <c r="Q39" s="437">
        <f>PR!M109</f>
        <v>145.5</v>
      </c>
      <c r="R39" s="437">
        <f>PR!N109</f>
        <v>297.2</v>
      </c>
      <c r="S39" s="437">
        <f>PR!O109</f>
        <v>306.10000000000002</v>
      </c>
      <c r="T39" s="437">
        <f>PR!P109</f>
        <v>379.2</v>
      </c>
      <c r="U39" s="437">
        <f>PR!Q109</f>
        <v>420.8</v>
      </c>
      <c r="V39" s="437">
        <f>PR!R109</f>
        <v>321</v>
      </c>
      <c r="W39" s="437">
        <f>PR!S109</f>
        <v>324.61657669529973</v>
      </c>
      <c r="X39" s="437">
        <f>PR!T109</f>
        <v>389.97675312908581</v>
      </c>
      <c r="Y39" s="437">
        <f>PR!U109</f>
        <v>397.42658922965256</v>
      </c>
      <c r="Z39" s="437">
        <f>PR!V109</f>
        <v>404.59095300177125</v>
      </c>
      <c r="AA39" s="437">
        <f>PR!W109</f>
        <v>411.48452003662987</v>
      </c>
      <c r="AB39" s="437">
        <f>PR!X109</f>
        <v>418.12174769516969</v>
      </c>
      <c r="AC39" s="437">
        <f>PR!Y109</f>
        <v>424.51688809881801</v>
      </c>
      <c r="AD39" s="437">
        <f>PR!Z109</f>
        <v>430.68400109368844</v>
      </c>
      <c r="AE39" s="437">
        <f>PR!AA109</f>
        <v>0</v>
      </c>
      <c r="AF39" s="439"/>
      <c r="AG39" s="439"/>
      <c r="AH39" s="439"/>
      <c r="AI39" s="439"/>
      <c r="AJ39" s="430"/>
      <c r="AK39" s="430"/>
    </row>
    <row r="40" spans="2:37">
      <c r="B40" s="429" t="s">
        <v>1243</v>
      </c>
      <c r="C40" s="517"/>
      <c r="D40" s="517"/>
      <c r="E40" s="517"/>
      <c r="F40" s="517"/>
      <c r="G40" s="517"/>
      <c r="H40" s="517"/>
      <c r="I40" s="516"/>
      <c r="J40" s="516"/>
      <c r="K40" s="516"/>
      <c r="L40" s="516"/>
      <c r="M40" s="516"/>
      <c r="N40" s="516"/>
      <c r="O40" s="516"/>
      <c r="P40" s="516"/>
      <c r="Q40" s="516">
        <v>0</v>
      </c>
      <c r="R40" s="516">
        <v>0</v>
      </c>
      <c r="S40" s="516">
        <v>0</v>
      </c>
      <c r="T40" s="516">
        <v>0</v>
      </c>
      <c r="U40" s="516">
        <v>0</v>
      </c>
      <c r="V40" s="516">
        <v>0</v>
      </c>
      <c r="W40" s="516">
        <v>0</v>
      </c>
      <c r="X40" s="516">
        <v>0</v>
      </c>
      <c r="Y40" s="516">
        <v>0</v>
      </c>
      <c r="Z40" s="516">
        <v>0</v>
      </c>
      <c r="AA40" s="516">
        <v>0</v>
      </c>
      <c r="AB40" s="516">
        <v>0</v>
      </c>
      <c r="AC40" s="516">
        <v>0</v>
      </c>
      <c r="AD40" s="516">
        <v>0</v>
      </c>
      <c r="AE40" s="516">
        <v>0</v>
      </c>
      <c r="AF40" s="439"/>
      <c r="AG40" s="439"/>
      <c r="AH40" s="439"/>
      <c r="AI40" s="439"/>
      <c r="AJ40" s="430"/>
      <c r="AK40" s="430"/>
    </row>
    <row r="41" spans="2:37">
      <c r="C41" s="517"/>
      <c r="D41" s="517"/>
      <c r="E41" s="517"/>
      <c r="F41" s="517"/>
      <c r="G41" s="517"/>
      <c r="H41" s="517"/>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439"/>
      <c r="AG41" s="439"/>
      <c r="AH41" s="439"/>
      <c r="AI41" s="439"/>
      <c r="AJ41" s="430"/>
      <c r="AK41" s="430"/>
    </row>
    <row r="42" spans="2:37">
      <c r="C42" s="517"/>
      <c r="D42" s="517"/>
      <c r="E42" s="517"/>
      <c r="F42" s="517"/>
      <c r="G42" s="517"/>
      <c r="H42" s="517"/>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c r="AF42" s="439"/>
      <c r="AG42" s="439"/>
      <c r="AH42" s="439"/>
      <c r="AI42" s="439"/>
      <c r="AJ42" s="430"/>
      <c r="AK42" s="430"/>
    </row>
    <row r="43" spans="2:37">
      <c r="C43" s="517"/>
      <c r="D43" s="517"/>
      <c r="E43" s="517"/>
      <c r="F43" s="517"/>
      <c r="G43" s="517"/>
      <c r="H43" s="517"/>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439"/>
      <c r="AG43" s="439"/>
      <c r="AH43" s="439"/>
      <c r="AI43" s="439"/>
      <c r="AJ43" s="430"/>
      <c r="AK43" s="430"/>
    </row>
    <row r="44" spans="2:37">
      <c r="C44" s="517"/>
      <c r="D44" s="517"/>
      <c r="E44" s="517"/>
      <c r="F44" s="517"/>
      <c r="G44" s="517"/>
      <c r="H44" s="517"/>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c r="AF44" s="439"/>
      <c r="AG44" s="439"/>
      <c r="AH44" s="439"/>
      <c r="AI44" s="439"/>
      <c r="AJ44" s="430"/>
      <c r="AK44" s="430"/>
    </row>
    <row r="45" spans="2:37">
      <c r="C45" s="517"/>
      <c r="D45" s="517"/>
      <c r="E45" s="517"/>
      <c r="F45" s="517"/>
      <c r="G45" s="517"/>
      <c r="H45" s="517"/>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439"/>
      <c r="AG45" s="439"/>
      <c r="AH45" s="439"/>
      <c r="AI45" s="439"/>
      <c r="AJ45" s="430"/>
      <c r="AK45" s="430"/>
    </row>
    <row r="46" spans="2:37">
      <c r="C46" s="517"/>
      <c r="D46" s="517"/>
      <c r="E46" s="517"/>
      <c r="F46" s="517"/>
      <c r="G46" s="517"/>
      <c r="H46" s="517"/>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439"/>
      <c r="AG46" s="439"/>
      <c r="AH46" s="439"/>
      <c r="AI46" s="439"/>
      <c r="AJ46" s="430"/>
      <c r="AK46" s="430"/>
    </row>
    <row r="47" spans="2:37">
      <c r="B47" s="429" t="s">
        <v>16</v>
      </c>
      <c r="C47" s="436"/>
      <c r="D47" s="436"/>
      <c r="E47" s="436"/>
      <c r="F47" s="436"/>
      <c r="G47" s="436"/>
      <c r="H47" s="436"/>
      <c r="I47" s="437"/>
      <c r="J47" s="437"/>
      <c r="K47" s="437"/>
      <c r="L47" s="437"/>
      <c r="M47" s="437"/>
      <c r="N47" s="437"/>
      <c r="O47" s="437"/>
      <c r="P47" s="437"/>
      <c r="Q47" s="437">
        <f>SUM(Q38:Q40)</f>
        <v>1085.532081602435</v>
      </c>
      <c r="R47" s="437">
        <f t="shared" ref="R47:AD47" si="3">SUM(R38:R40)</f>
        <v>1288.218266222626</v>
      </c>
      <c r="S47" s="437">
        <f t="shared" si="3"/>
        <v>1203.8503679304786</v>
      </c>
      <c r="T47" s="437">
        <f t="shared" si="3"/>
        <v>1212.5333333333333</v>
      </c>
      <c r="U47" s="437">
        <f t="shared" si="3"/>
        <v>1279.4090119933157</v>
      </c>
      <c r="V47" s="437">
        <f t="shared" si="3"/>
        <v>1272.9112207151666</v>
      </c>
      <c r="W47" s="437">
        <f t="shared" si="3"/>
        <v>1335.7165766952996</v>
      </c>
      <c r="X47" s="437">
        <f t="shared" ca="1" si="3"/>
        <v>1359.4065288314603</v>
      </c>
      <c r="Y47" s="437">
        <f t="shared" ca="1" si="3"/>
        <v>1296.7399477283197</v>
      </c>
      <c r="Z47" s="437">
        <f t="shared" ca="1" si="3"/>
        <v>1382.1592910461954</v>
      </c>
      <c r="AA47" s="437">
        <f t="shared" ca="1" si="3"/>
        <v>1301.0411611961185</v>
      </c>
      <c r="AB47" s="437">
        <f t="shared" ca="1" si="3"/>
        <v>1432.2297683022516</v>
      </c>
      <c r="AC47" s="437">
        <f t="shared" ca="1" si="3"/>
        <v>1466.5088123647542</v>
      </c>
      <c r="AD47" s="437">
        <f t="shared" ca="1" si="3"/>
        <v>1516.9878285164216</v>
      </c>
      <c r="AE47" s="437">
        <f t="shared" ref="AE47" si="4">SUM(AE38:AE40)</f>
        <v>0</v>
      </c>
      <c r="AF47" s="439"/>
      <c r="AG47" s="439"/>
      <c r="AH47" s="439"/>
      <c r="AI47" s="439"/>
      <c r="AJ47" s="430"/>
      <c r="AK47" s="430"/>
    </row>
    <row r="48" spans="2:37">
      <c r="C48" s="436"/>
      <c r="D48" s="436"/>
      <c r="E48" s="436"/>
      <c r="F48" s="436"/>
      <c r="G48" s="436"/>
      <c r="H48" s="436"/>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9"/>
      <c r="AG48" s="439"/>
      <c r="AH48" s="439"/>
      <c r="AI48" s="439"/>
      <c r="AJ48" s="430"/>
      <c r="AK48" s="430"/>
    </row>
    <row r="49" spans="3:37">
      <c r="C49" s="436"/>
      <c r="D49" s="436"/>
      <c r="E49" s="436"/>
      <c r="F49" s="436"/>
      <c r="G49" s="436"/>
      <c r="H49" s="436"/>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9"/>
      <c r="AG49" s="439"/>
      <c r="AH49" s="439"/>
      <c r="AI49" s="439"/>
      <c r="AJ49" s="430"/>
      <c r="AK49" s="430"/>
    </row>
    <row r="50" spans="3:37">
      <c r="C50" s="436"/>
      <c r="D50" s="436"/>
      <c r="E50" s="436"/>
      <c r="F50" s="436"/>
      <c r="G50" s="436"/>
      <c r="H50" s="436"/>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9"/>
      <c r="AG50" s="439"/>
      <c r="AH50" s="439"/>
      <c r="AI50" s="439"/>
      <c r="AJ50" s="430"/>
      <c r="AK50" s="430"/>
    </row>
    <row r="51" spans="3:37">
      <c r="C51" s="436"/>
      <c r="D51" s="436"/>
      <c r="E51" s="436"/>
      <c r="F51" s="436"/>
      <c r="G51" s="436"/>
      <c r="H51" s="436"/>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9"/>
      <c r="AG51" s="439"/>
      <c r="AH51" s="439"/>
      <c r="AI51" s="439"/>
      <c r="AJ51" s="430"/>
      <c r="AK51" s="430"/>
    </row>
    <row r="52" spans="3:37">
      <c r="C52" s="436"/>
      <c r="D52" s="436"/>
      <c r="E52" s="436"/>
      <c r="F52" s="436"/>
      <c r="G52" s="436"/>
      <c r="H52" s="436"/>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9"/>
      <c r="AG52" s="439"/>
      <c r="AH52" s="439"/>
      <c r="AI52" s="439"/>
      <c r="AJ52" s="430"/>
      <c r="AK52" s="430"/>
    </row>
    <row r="53" spans="3:37">
      <c r="C53" s="436"/>
      <c r="D53" s="436"/>
      <c r="E53" s="436"/>
      <c r="F53" s="436"/>
      <c r="G53" s="436"/>
      <c r="H53" s="436"/>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9"/>
      <c r="AG53" s="439"/>
      <c r="AH53" s="439"/>
      <c r="AI53" s="439"/>
      <c r="AJ53" s="430"/>
      <c r="AK53" s="430"/>
    </row>
    <row r="54" spans="3:37">
      <c r="C54" s="436"/>
      <c r="D54" s="436"/>
      <c r="E54" s="436"/>
      <c r="F54" s="436"/>
      <c r="G54" s="436"/>
      <c r="H54" s="436"/>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9"/>
      <c r="AG54" s="439"/>
      <c r="AH54" s="439"/>
      <c r="AI54" s="439"/>
      <c r="AJ54" s="430"/>
      <c r="AK54" s="430"/>
    </row>
    <row r="55" spans="3:37">
      <c r="C55" s="436"/>
      <c r="D55" s="436"/>
      <c r="E55" s="436"/>
      <c r="F55" s="436"/>
      <c r="G55" s="436"/>
      <c r="H55" s="436"/>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9"/>
      <c r="AG55" s="439"/>
      <c r="AH55" s="439"/>
      <c r="AI55" s="439"/>
      <c r="AJ55" s="430"/>
      <c r="AK55" s="430"/>
    </row>
    <row r="56" spans="3:37">
      <c r="C56" s="436"/>
      <c r="D56" s="436"/>
      <c r="E56" s="436"/>
      <c r="F56" s="436"/>
      <c r="G56" s="436"/>
      <c r="H56" s="436"/>
      <c r="I56" s="437"/>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9"/>
      <c r="AG56" s="439"/>
      <c r="AH56" s="439"/>
      <c r="AI56" s="439"/>
      <c r="AJ56" s="430"/>
      <c r="AK56" s="430"/>
    </row>
    <row r="57" spans="3:37">
      <c r="C57" s="436"/>
      <c r="D57" s="436"/>
      <c r="E57" s="436"/>
      <c r="F57" s="436"/>
      <c r="G57" s="436"/>
      <c r="H57" s="436"/>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9"/>
      <c r="AG57" s="439"/>
      <c r="AH57" s="439"/>
      <c r="AI57" s="439"/>
      <c r="AJ57" s="430"/>
      <c r="AK57" s="430"/>
    </row>
    <row r="58" spans="3:37">
      <c r="C58" s="436"/>
      <c r="D58" s="436"/>
      <c r="E58" s="436"/>
      <c r="F58" s="436"/>
      <c r="G58" s="436"/>
      <c r="H58" s="436"/>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9"/>
      <c r="AG58" s="439"/>
      <c r="AH58" s="439"/>
      <c r="AI58" s="439"/>
      <c r="AJ58" s="430"/>
      <c r="AK58" s="430"/>
    </row>
    <row r="59" spans="3:37">
      <c r="C59" s="436"/>
      <c r="D59" s="436"/>
      <c r="E59" s="436"/>
      <c r="F59" s="436"/>
      <c r="G59" s="436"/>
      <c r="H59" s="436"/>
      <c r="I59" s="437"/>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9"/>
      <c r="AG59" s="439"/>
      <c r="AH59" s="439"/>
      <c r="AI59" s="439"/>
      <c r="AJ59" s="430"/>
      <c r="AK59" s="430"/>
    </row>
    <row r="60" spans="3:37">
      <c r="C60" s="436"/>
      <c r="D60" s="436"/>
      <c r="E60" s="436"/>
      <c r="F60" s="436"/>
      <c r="G60" s="436"/>
      <c r="H60" s="436"/>
      <c r="I60" s="437"/>
      <c r="J60" s="437"/>
      <c r="K60" s="437"/>
      <c r="L60" s="437"/>
      <c r="M60" s="437"/>
      <c r="N60" s="437"/>
      <c r="O60" s="437"/>
      <c r="P60" s="437"/>
      <c r="Q60" s="437"/>
      <c r="R60" s="437"/>
      <c r="S60" s="437"/>
      <c r="T60" s="437"/>
      <c r="U60" s="437"/>
      <c r="V60" s="437"/>
      <c r="W60" s="437"/>
      <c r="X60" s="437"/>
      <c r="Y60" s="437"/>
      <c r="Z60" s="437"/>
      <c r="AA60" s="437"/>
      <c r="AB60" s="437"/>
      <c r="AC60" s="437"/>
      <c r="AD60" s="437"/>
      <c r="AE60" s="437"/>
      <c r="AF60" s="439"/>
      <c r="AG60" s="439"/>
      <c r="AH60" s="439"/>
      <c r="AI60" s="439"/>
      <c r="AJ60" s="430"/>
      <c r="AK60" s="430"/>
    </row>
    <row r="61" spans="3:37">
      <c r="C61" s="436"/>
      <c r="D61" s="436"/>
      <c r="E61" s="436"/>
      <c r="F61" s="436"/>
      <c r="G61" s="436"/>
      <c r="H61" s="436"/>
      <c r="I61" s="437"/>
      <c r="J61" s="437"/>
      <c r="K61" s="437"/>
      <c r="L61" s="437"/>
      <c r="M61" s="437"/>
      <c r="N61" s="437"/>
      <c r="O61" s="437"/>
      <c r="P61" s="437"/>
      <c r="Q61" s="437"/>
      <c r="R61" s="437"/>
      <c r="S61" s="437"/>
      <c r="T61" s="437"/>
      <c r="U61" s="437"/>
      <c r="V61" s="437"/>
      <c r="W61" s="437"/>
      <c r="X61" s="437"/>
      <c r="Y61" s="437"/>
      <c r="Z61" s="437"/>
      <c r="AA61" s="437"/>
      <c r="AB61" s="437"/>
      <c r="AC61" s="437"/>
      <c r="AD61" s="437"/>
      <c r="AE61" s="437"/>
      <c r="AF61" s="439"/>
      <c r="AG61" s="439"/>
      <c r="AH61" s="439"/>
      <c r="AI61" s="439"/>
      <c r="AJ61" s="430"/>
      <c r="AK61" s="430"/>
    </row>
    <row r="62" spans="3:37">
      <c r="C62" s="436"/>
      <c r="D62" s="436"/>
      <c r="E62" s="436"/>
      <c r="F62" s="436"/>
      <c r="G62" s="436"/>
      <c r="H62" s="436"/>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9"/>
      <c r="AG62" s="439"/>
      <c r="AH62" s="439"/>
      <c r="AI62" s="439"/>
      <c r="AJ62" s="430"/>
      <c r="AK62" s="430"/>
    </row>
    <row r="63" spans="3:37">
      <c r="C63" s="436"/>
      <c r="D63" s="436"/>
      <c r="E63" s="436"/>
      <c r="F63" s="436"/>
      <c r="G63" s="436"/>
      <c r="H63" s="436"/>
      <c r="I63" s="437"/>
      <c r="J63" s="437"/>
      <c r="K63" s="437"/>
      <c r="L63" s="437"/>
      <c r="M63" s="437"/>
      <c r="N63" s="437"/>
      <c r="O63" s="437"/>
      <c r="P63" s="437"/>
      <c r="Q63" s="437"/>
      <c r="R63" s="437"/>
      <c r="S63" s="437"/>
      <c r="T63" s="437"/>
      <c r="U63" s="437"/>
      <c r="V63" s="437"/>
      <c r="W63" s="437"/>
      <c r="X63" s="437"/>
      <c r="Y63" s="437"/>
      <c r="Z63" s="437"/>
      <c r="AA63" s="437"/>
      <c r="AB63" s="437"/>
      <c r="AC63" s="437"/>
      <c r="AD63" s="437"/>
      <c r="AE63" s="437"/>
      <c r="AF63" s="439"/>
      <c r="AG63" s="439"/>
      <c r="AH63" s="439"/>
      <c r="AI63" s="439"/>
      <c r="AJ63" s="430"/>
      <c r="AK63" s="430"/>
    </row>
    <row r="64" spans="3:37">
      <c r="C64" s="436"/>
      <c r="D64" s="436"/>
      <c r="E64" s="436"/>
      <c r="F64" s="436"/>
      <c r="G64" s="436"/>
      <c r="H64" s="436"/>
      <c r="I64" s="437"/>
      <c r="J64" s="437"/>
      <c r="K64" s="437"/>
      <c r="L64" s="437"/>
      <c r="M64" s="437"/>
      <c r="N64" s="437"/>
      <c r="O64" s="437"/>
      <c r="P64" s="437"/>
      <c r="Q64" s="437"/>
      <c r="R64" s="437"/>
      <c r="S64" s="437"/>
      <c r="T64" s="437"/>
      <c r="U64" s="437"/>
      <c r="V64" s="437"/>
      <c r="W64" s="437"/>
      <c r="X64" s="437"/>
      <c r="Y64" s="437"/>
      <c r="Z64" s="437"/>
      <c r="AA64" s="437"/>
      <c r="AB64" s="437"/>
      <c r="AC64" s="437"/>
      <c r="AD64" s="437"/>
      <c r="AE64" s="437"/>
      <c r="AF64" s="439"/>
      <c r="AG64" s="439"/>
      <c r="AH64" s="439"/>
      <c r="AI64" s="439"/>
      <c r="AJ64" s="430"/>
      <c r="AK64" s="430"/>
    </row>
    <row r="65" spans="2:37">
      <c r="C65" s="436"/>
      <c r="D65" s="436"/>
      <c r="E65" s="436"/>
      <c r="F65" s="436"/>
      <c r="G65" s="436"/>
      <c r="H65" s="436"/>
      <c r="I65" s="437"/>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9"/>
      <c r="AG65" s="439"/>
      <c r="AH65" s="439"/>
      <c r="AI65" s="439"/>
      <c r="AJ65" s="430"/>
      <c r="AK65" s="430"/>
    </row>
    <row r="66" spans="2:37">
      <c r="C66" s="436"/>
      <c r="D66" s="436"/>
      <c r="E66" s="436"/>
      <c r="F66" s="436"/>
      <c r="G66" s="436"/>
      <c r="H66" s="436"/>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9"/>
      <c r="AG66" s="439"/>
      <c r="AH66" s="439"/>
      <c r="AI66" s="439"/>
      <c r="AJ66" s="430"/>
      <c r="AK66" s="430"/>
    </row>
    <row r="67" spans="2:37">
      <c r="C67" s="436"/>
      <c r="D67" s="436"/>
      <c r="E67" s="436"/>
      <c r="F67" s="436"/>
      <c r="G67" s="436"/>
      <c r="H67" s="436"/>
      <c r="I67" s="437"/>
      <c r="J67" s="437"/>
      <c r="K67" s="437"/>
      <c r="L67" s="437"/>
      <c r="M67" s="437"/>
      <c r="N67" s="437"/>
      <c r="O67" s="437"/>
      <c r="P67" s="437"/>
      <c r="Q67" s="437"/>
      <c r="R67" s="437"/>
      <c r="S67" s="437"/>
      <c r="T67" s="437"/>
      <c r="U67" s="437"/>
      <c r="V67" s="437"/>
      <c r="W67" s="437"/>
      <c r="X67" s="437"/>
      <c r="Y67" s="437"/>
      <c r="Z67" s="437"/>
      <c r="AA67" s="437"/>
      <c r="AB67" s="437"/>
      <c r="AC67" s="437"/>
      <c r="AD67" s="437"/>
      <c r="AE67" s="437"/>
      <c r="AF67" s="439"/>
      <c r="AG67" s="439"/>
      <c r="AH67" s="439"/>
      <c r="AI67" s="439"/>
      <c r="AJ67" s="430"/>
      <c r="AK67" s="430"/>
    </row>
    <row r="68" spans="2:37">
      <c r="C68" s="436"/>
      <c r="D68" s="436"/>
      <c r="E68" s="436"/>
      <c r="F68" s="436"/>
      <c r="G68" s="436"/>
      <c r="H68" s="436"/>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7"/>
      <c r="AF68" s="439"/>
      <c r="AG68" s="439"/>
      <c r="AH68" s="439"/>
      <c r="AI68" s="439"/>
      <c r="AJ68" s="430"/>
      <c r="AK68" s="430"/>
    </row>
    <row r="69" spans="2:37">
      <c r="C69" s="436"/>
      <c r="D69" s="436"/>
      <c r="E69" s="436"/>
      <c r="F69" s="436"/>
      <c r="G69" s="436"/>
      <c r="H69" s="436"/>
      <c r="I69" s="436"/>
      <c r="J69" s="436"/>
      <c r="K69" s="436"/>
      <c r="L69" s="436"/>
      <c r="M69" s="436"/>
      <c r="N69" s="436"/>
      <c r="O69" s="436"/>
      <c r="P69" s="436"/>
      <c r="Q69" s="437"/>
      <c r="R69" s="437"/>
      <c r="S69" s="437"/>
      <c r="T69" s="437"/>
      <c r="U69" s="437"/>
      <c r="V69" s="437"/>
      <c r="W69" s="437"/>
      <c r="X69" s="437"/>
      <c r="Y69" s="437"/>
      <c r="Z69" s="437"/>
      <c r="AA69" s="437"/>
      <c r="AB69" s="437"/>
      <c r="AC69" s="437"/>
      <c r="AD69" s="437"/>
      <c r="AE69" s="437"/>
      <c r="AF69" s="439"/>
      <c r="AG69" s="439"/>
      <c r="AH69" s="439"/>
      <c r="AI69" s="439"/>
      <c r="AJ69" s="430"/>
      <c r="AK69" s="430"/>
    </row>
    <row r="70" spans="2:37">
      <c r="B70" s="429" t="s">
        <v>1244</v>
      </c>
      <c r="C70" s="437"/>
      <c r="D70" s="437"/>
      <c r="E70" s="437"/>
      <c r="F70" s="437"/>
      <c r="G70" s="437"/>
      <c r="H70" s="437"/>
      <c r="I70" s="437"/>
      <c r="J70" s="437"/>
      <c r="K70" s="437"/>
      <c r="L70" s="437"/>
      <c r="M70" s="437"/>
      <c r="N70" s="437"/>
      <c r="O70" s="437"/>
      <c r="P70" s="437"/>
      <c r="Q70" s="437">
        <f>LiLAC!M72</f>
        <v>982.77311582281084</v>
      </c>
      <c r="R70" s="437">
        <f>LiLAC!N72</f>
        <v>1163.9609130285601</v>
      </c>
      <c r="S70" s="437">
        <f>LiLAC!O72</f>
        <v>1097.8073025439764</v>
      </c>
      <c r="T70" s="437">
        <f>LiLAC!P72</f>
        <v>1093.6260334855403</v>
      </c>
      <c r="U70" s="437">
        <f>LiLAC!Q72</f>
        <v>1147.1082879223909</v>
      </c>
      <c r="V70" s="437">
        <f>LiLAC!R72</f>
        <v>1124.319952729963</v>
      </c>
      <c r="W70" s="437">
        <f>LiLAC!S72</f>
        <v>1173.3532949045666</v>
      </c>
      <c r="X70" s="437">
        <f ca="1">LiLAC!T72</f>
        <v>1198.3704353665582</v>
      </c>
      <c r="Y70" s="437">
        <f ca="1">LiLAC!U72</f>
        <v>1140.7823082077057</v>
      </c>
      <c r="Z70" s="437">
        <f ca="1">LiLAC!V72</f>
        <v>1213.5444392161176</v>
      </c>
      <c r="AA70" s="437">
        <f ca="1">LiLAC!W72</f>
        <v>1140.7136797555527</v>
      </c>
      <c r="AB70" s="437">
        <f ca="1">LiLAC!X72</f>
        <v>1254.0364503466117</v>
      </c>
      <c r="AC70" s="437">
        <f ca="1">LiLAC!Y72</f>
        <v>1282.7840665978827</v>
      </c>
      <c r="AD70" s="437">
        <f ca="1">LiLAC!Z72</f>
        <v>1325.9606195502465</v>
      </c>
      <c r="AE70" s="437">
        <f>LiLAC!AA72</f>
        <v>0</v>
      </c>
      <c r="AF70" s="439"/>
      <c r="AG70" s="439"/>
      <c r="AH70" s="439"/>
      <c r="AI70" s="439"/>
      <c r="AJ70" s="430"/>
      <c r="AK70" s="430"/>
    </row>
    <row r="71" spans="2:37">
      <c r="B71" s="429" t="s">
        <v>1245</v>
      </c>
      <c r="C71" s="437"/>
      <c r="D71" s="437"/>
      <c r="E71" s="437"/>
      <c r="F71" s="437"/>
      <c r="G71" s="437"/>
      <c r="H71" s="437"/>
      <c r="I71" s="437"/>
      <c r="J71" s="437"/>
      <c r="K71" s="437"/>
      <c r="L71" s="437"/>
      <c r="M71" s="437"/>
      <c r="N71" s="437"/>
      <c r="O71" s="437"/>
      <c r="P71" s="437"/>
      <c r="Q71" s="437">
        <f>LiLAC!M60</f>
        <v>10.899518775963477</v>
      </c>
      <c r="R71" s="437">
        <f>LiLAC!N60</f>
        <v>20.587344838026038</v>
      </c>
      <c r="S71" s="437">
        <f>LiLAC!O60</f>
        <v>24.528698577335483</v>
      </c>
      <c r="T71" s="437">
        <f>LiLAC!P60</f>
        <v>35.464231354642315</v>
      </c>
      <c r="U71" s="437">
        <f>LiLAC!Q60</f>
        <v>44.36491622424986</v>
      </c>
      <c r="V71" s="437">
        <f>LiLAC!R60</f>
        <v>53.945745992601729</v>
      </c>
      <c r="W71" s="437">
        <f>LiLAC!S60</f>
        <v>64.442758938409384</v>
      </c>
      <c r="X71" s="437">
        <f>LiLAC!T60</f>
        <v>65.217207208451384</v>
      </c>
      <c r="Y71" s="437">
        <f>LiLAC!U60</f>
        <v>63.279108508331802</v>
      </c>
      <c r="Z71" s="437">
        <f>LiLAC!V60</f>
        <v>71.218525414122126</v>
      </c>
      <c r="AA71" s="437">
        <f>LiLAC!W60</f>
        <v>66.545572925610216</v>
      </c>
      <c r="AB71" s="437">
        <f>LiLAC!X60</f>
        <v>77.363847404100142</v>
      </c>
      <c r="AC71" s="437">
        <f>LiLAC!Y60</f>
        <v>80.593252918811288</v>
      </c>
      <c r="AD71" s="437">
        <f>LiLAC!Z60</f>
        <v>84.761923688229786</v>
      </c>
      <c r="AE71" s="437">
        <f>LiLAC!AA60</f>
        <v>0</v>
      </c>
      <c r="AF71" s="439"/>
      <c r="AG71" s="439"/>
      <c r="AH71" s="439"/>
      <c r="AI71" s="439"/>
      <c r="AJ71" s="430"/>
      <c r="AK71" s="430"/>
    </row>
    <row r="72" spans="2:37">
      <c r="B72" s="429" t="s">
        <v>1246</v>
      </c>
      <c r="C72" s="437"/>
      <c r="D72" s="437"/>
      <c r="E72" s="437"/>
      <c r="F72" s="437"/>
      <c r="G72" s="437"/>
      <c r="H72" s="437"/>
      <c r="I72" s="437"/>
      <c r="J72" s="437"/>
      <c r="K72" s="437"/>
      <c r="L72" s="437"/>
      <c r="M72" s="437"/>
      <c r="N72" s="437"/>
      <c r="O72" s="437"/>
      <c r="P72" s="437"/>
      <c r="Q72" s="437">
        <f>LiLAC!M61</f>
        <v>13.094999999999999</v>
      </c>
      <c r="R72" s="437">
        <f>LiLAC!N61</f>
        <v>25.559199999999997</v>
      </c>
      <c r="S72" s="437">
        <f>LiLAC!O61</f>
        <v>26.5</v>
      </c>
      <c r="T72" s="437">
        <f>LiLAC!P61</f>
        <v>34.128</v>
      </c>
      <c r="U72" s="437">
        <f>LiLAC!Q61</f>
        <v>39.134399999999999</v>
      </c>
      <c r="V72" s="437">
        <f>LiLAC!R61</f>
        <v>40.699776</v>
      </c>
      <c r="W72" s="437">
        <f>LiLAC!S61</f>
        <v>42.327767040000005</v>
      </c>
      <c r="X72" s="437">
        <f>LiLAC!T61</f>
        <v>44.020877721600009</v>
      </c>
      <c r="Y72" s="437">
        <f>LiLAC!U61</f>
        <v>45.781712830464009</v>
      </c>
      <c r="Z72" s="437">
        <f>LiLAC!V61</f>
        <v>47.61298134368257</v>
      </c>
      <c r="AA72" s="437">
        <f>LiLAC!W61</f>
        <v>49.517500597429873</v>
      </c>
      <c r="AB72" s="437">
        <f>LiLAC!X61</f>
        <v>51.498200621327072</v>
      </c>
      <c r="AC72" s="437">
        <f>LiLAC!Y61</f>
        <v>53.558128646180158</v>
      </c>
      <c r="AD72" s="437">
        <f>LiLAC!Z61</f>
        <v>55.700453792027368</v>
      </c>
      <c r="AE72" s="437">
        <f>LiLAC!AA61</f>
        <v>0</v>
      </c>
      <c r="AF72" s="439"/>
      <c r="AG72" s="439"/>
      <c r="AH72" s="439"/>
      <c r="AI72" s="439"/>
      <c r="AJ72" s="430"/>
      <c r="AK72" s="430"/>
    </row>
    <row r="73" spans="2:37">
      <c r="B73" s="429" t="s">
        <v>1247</v>
      </c>
      <c r="C73" s="447"/>
      <c r="D73" s="447"/>
      <c r="E73" s="447"/>
      <c r="F73" s="447"/>
      <c r="G73" s="447"/>
      <c r="H73" s="447"/>
      <c r="I73" s="447"/>
      <c r="J73" s="447"/>
      <c r="K73" s="447"/>
      <c r="L73" s="447"/>
      <c r="M73" s="447"/>
      <c r="N73" s="447"/>
      <c r="O73" s="447"/>
      <c r="P73" s="447"/>
      <c r="Q73" s="447">
        <f>LiLAC!M62</f>
        <v>78.764447003660592</v>
      </c>
      <c r="R73" s="447">
        <f>LiLAC!N62</f>
        <v>78.110808356039968</v>
      </c>
      <c r="S73" s="447">
        <f>LiLAC!O62</f>
        <v>55.014366809166724</v>
      </c>
      <c r="T73" s="447">
        <f>LiLAC!P62</f>
        <v>49.315068493150683</v>
      </c>
      <c r="U73" s="447">
        <f>LiLAC!Q62</f>
        <v>48.801407846674849</v>
      </c>
      <c r="V73" s="447">
        <f>LiLAC!R62</f>
        <v>53.945745992601729</v>
      </c>
      <c r="W73" s="447">
        <f>LiLAC!S62</f>
        <v>55.592755812323844</v>
      </c>
      <c r="X73" s="447">
        <f>LiLAC!T62</f>
        <v>51.798008534850638</v>
      </c>
      <c r="Y73" s="447">
        <f>LiLAC!U62</f>
        <v>46.896818181818183</v>
      </c>
      <c r="Z73" s="447">
        <f>LiLAC!V62</f>
        <v>49.78334507227332</v>
      </c>
      <c r="AA73" s="447">
        <f>LiLAC!W62</f>
        <v>44.264407917525773</v>
      </c>
      <c r="AB73" s="447">
        <f>LiLAC!X62</f>
        <v>49.33126993021277</v>
      </c>
      <c r="AC73" s="447">
        <f>LiLAC!Y62</f>
        <v>49.573364201880153</v>
      </c>
      <c r="AD73" s="447">
        <f>LiLAC!Z62</f>
        <v>50.564831485917757</v>
      </c>
      <c r="AE73" s="447">
        <f>LiLAC!AA62</f>
        <v>0</v>
      </c>
      <c r="AF73" s="439"/>
      <c r="AG73" s="439"/>
      <c r="AH73" s="439"/>
      <c r="AI73" s="439"/>
      <c r="AJ73" s="430"/>
      <c r="AK73" s="430"/>
    </row>
    <row r="74" spans="2:37">
      <c r="B74" s="429" t="s">
        <v>16</v>
      </c>
      <c r="C74" s="437"/>
      <c r="D74" s="437"/>
      <c r="E74" s="437"/>
      <c r="F74" s="437"/>
      <c r="G74" s="437"/>
      <c r="H74" s="437"/>
      <c r="I74" s="437"/>
      <c r="J74" s="437"/>
      <c r="K74" s="437"/>
      <c r="L74" s="437"/>
      <c r="M74" s="437"/>
      <c r="N74" s="437"/>
      <c r="O74" s="437"/>
      <c r="P74" s="437"/>
      <c r="Q74" s="437">
        <f>SUM(Q70:Q73)</f>
        <v>1085.5320816024348</v>
      </c>
      <c r="R74" s="437">
        <f t="shared" ref="R74:AD74" si="5">SUM(R70:R73)</f>
        <v>1288.218266222626</v>
      </c>
      <c r="S74" s="437">
        <f t="shared" si="5"/>
        <v>1203.8503679304786</v>
      </c>
      <c r="T74" s="437">
        <f t="shared" si="5"/>
        <v>1212.5333333333333</v>
      </c>
      <c r="U74" s="437">
        <f t="shared" si="5"/>
        <v>1279.4090119933155</v>
      </c>
      <c r="V74" s="437">
        <f t="shared" si="5"/>
        <v>1272.9112207151666</v>
      </c>
      <c r="W74" s="437">
        <f t="shared" si="5"/>
        <v>1335.7165766952999</v>
      </c>
      <c r="X74" s="437">
        <f t="shared" ca="1" si="5"/>
        <v>1359.4065288314603</v>
      </c>
      <c r="Y74" s="437">
        <f t="shared" ca="1" si="5"/>
        <v>1296.7399477283195</v>
      </c>
      <c r="Z74" s="437">
        <f t="shared" ca="1" si="5"/>
        <v>1382.1592910461954</v>
      </c>
      <c r="AA74" s="437">
        <f t="shared" ca="1" si="5"/>
        <v>1301.0411611961185</v>
      </c>
      <c r="AB74" s="437">
        <f t="shared" ca="1" si="5"/>
        <v>1432.2297683022516</v>
      </c>
      <c r="AC74" s="437">
        <f t="shared" ca="1" si="5"/>
        <v>1466.5088123647542</v>
      </c>
      <c r="AD74" s="437">
        <f t="shared" ca="1" si="5"/>
        <v>1516.9878285164214</v>
      </c>
      <c r="AE74" s="437">
        <f t="shared" ref="AE74" si="6">SUM(AE70:AE73)</f>
        <v>0</v>
      </c>
      <c r="AF74" s="439"/>
      <c r="AG74" s="439"/>
      <c r="AH74" s="439"/>
      <c r="AI74" s="439"/>
      <c r="AJ74" s="430"/>
      <c r="AK74" s="430"/>
    </row>
    <row r="75" spans="2:37">
      <c r="C75" s="437"/>
      <c r="D75" s="437"/>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9"/>
      <c r="AG75" s="439"/>
      <c r="AH75" s="439"/>
      <c r="AI75" s="439"/>
      <c r="AJ75" s="430"/>
      <c r="AK75" s="430"/>
    </row>
    <row r="76" spans="2:37">
      <c r="C76" s="437"/>
      <c r="D76" s="437"/>
      <c r="E76" s="437"/>
      <c r="F76" s="437"/>
      <c r="G76" s="437"/>
      <c r="H76" s="437"/>
      <c r="I76" s="437"/>
      <c r="J76" s="437"/>
      <c r="K76" s="437"/>
      <c r="L76" s="437"/>
      <c r="M76" s="437"/>
      <c r="N76" s="437"/>
      <c r="O76" s="437"/>
      <c r="P76" s="437"/>
      <c r="Q76" s="437"/>
      <c r="R76" s="437"/>
      <c r="S76" s="437"/>
      <c r="T76" s="437"/>
      <c r="U76" s="437"/>
      <c r="V76" s="437"/>
      <c r="W76" s="437"/>
      <c r="X76" s="437"/>
      <c r="Y76" s="437"/>
      <c r="Z76" s="437"/>
      <c r="AA76" s="437"/>
      <c r="AB76" s="437"/>
      <c r="AC76" s="437"/>
      <c r="AD76" s="437"/>
      <c r="AE76" s="437"/>
      <c r="AF76" s="439"/>
      <c r="AG76" s="439"/>
      <c r="AH76" s="439"/>
      <c r="AI76" s="439"/>
      <c r="AJ76" s="430"/>
      <c r="AK76" s="430"/>
    </row>
    <row r="77" spans="2:37">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row>
    <row r="78" spans="2:37">
      <c r="B78" s="434" t="s">
        <v>1248</v>
      </c>
      <c r="C78" s="435">
        <v>1998</v>
      </c>
      <c r="D78" s="435">
        <v>1999</v>
      </c>
      <c r="E78" s="435">
        <v>2000</v>
      </c>
      <c r="F78" s="435">
        <v>2001</v>
      </c>
      <c r="G78" s="435">
        <v>2002</v>
      </c>
      <c r="H78" s="435">
        <v>2003</v>
      </c>
      <c r="I78" s="435">
        <v>2004</v>
      </c>
      <c r="J78" s="435">
        <v>2005</v>
      </c>
      <c r="K78" s="435">
        <v>2006</v>
      </c>
      <c r="L78" s="435">
        <v>2007</v>
      </c>
      <c r="M78" s="435">
        <v>2008</v>
      </c>
      <c r="N78" s="435">
        <v>2009</v>
      </c>
      <c r="O78" s="435">
        <v>2010</v>
      </c>
      <c r="P78" s="435">
        <v>2011</v>
      </c>
      <c r="Q78" s="435">
        <v>2012</v>
      </c>
      <c r="R78" s="435">
        <v>2013</v>
      </c>
      <c r="S78" s="435">
        <v>2014</v>
      </c>
      <c r="T78" s="435">
        <v>2015</v>
      </c>
      <c r="U78" s="435">
        <v>2016</v>
      </c>
      <c r="V78" s="435">
        <v>2017</v>
      </c>
      <c r="W78" s="435">
        <v>2018</v>
      </c>
      <c r="X78" s="435">
        <v>2019</v>
      </c>
      <c r="Y78" s="435">
        <v>2020</v>
      </c>
      <c r="Z78" s="435">
        <v>2021</v>
      </c>
      <c r="AA78" s="435">
        <v>2022</v>
      </c>
      <c r="AB78" s="435">
        <v>2023</v>
      </c>
      <c r="AC78" s="435">
        <v>2024</v>
      </c>
      <c r="AD78" s="435">
        <v>2025</v>
      </c>
      <c r="AE78" s="435">
        <v>2025</v>
      </c>
      <c r="AF78" s="435">
        <v>2027</v>
      </c>
      <c r="AG78" s="435">
        <v>2028</v>
      </c>
      <c r="AH78" s="435">
        <v>2029</v>
      </c>
      <c r="AI78" s="435">
        <v>2030</v>
      </c>
      <c r="AJ78" s="430"/>
      <c r="AK78" s="430"/>
    </row>
    <row r="79" spans="2:37">
      <c r="B79" s="429" t="s">
        <v>557</v>
      </c>
      <c r="C79" s="437"/>
      <c r="D79" s="437"/>
      <c r="E79" s="437"/>
      <c r="F79" s="437"/>
      <c r="G79" s="437"/>
      <c r="H79" s="437"/>
      <c r="I79" s="437"/>
      <c r="J79" s="437"/>
      <c r="K79" s="437"/>
      <c r="L79" s="437"/>
      <c r="M79" s="437"/>
      <c r="N79" s="437"/>
      <c r="O79" s="437"/>
      <c r="P79" s="437"/>
      <c r="Q79" s="437">
        <f>LiLAC!M4</f>
        <v>3563.5</v>
      </c>
      <c r="R79" s="437">
        <f>LiLAC!N4</f>
        <v>3631.9</v>
      </c>
      <c r="S79" s="437">
        <f>LiLAC!O4</f>
        <v>3685.3</v>
      </c>
      <c r="T79" s="437">
        <f>LiLAC!P4</f>
        <v>4132.2</v>
      </c>
      <c r="U79" s="437">
        <f>LiLAC!Q4</f>
        <v>4308.8999999999996</v>
      </c>
      <c r="V79" s="437">
        <f>LiLAC!R4</f>
        <v>4517</v>
      </c>
      <c r="W79" s="437">
        <f>LiLAC!S4</f>
        <v>4643</v>
      </c>
      <c r="X79" s="437">
        <f>LiLAC!T4</f>
        <v>4686</v>
      </c>
      <c r="Y79" s="437">
        <f>LiLAC!U4</f>
        <v>4729</v>
      </c>
      <c r="Z79" s="437">
        <f>LiLAC!V4</f>
        <v>4772</v>
      </c>
      <c r="AA79" s="437">
        <f>LiLAC!W4</f>
        <v>4815</v>
      </c>
      <c r="AB79" s="437">
        <f>LiLAC!X4</f>
        <v>4858</v>
      </c>
      <c r="AC79" s="437">
        <f>LiLAC!Y4</f>
        <v>4901</v>
      </c>
      <c r="AD79" s="437">
        <f>LiLAC!Z4</f>
        <v>4944</v>
      </c>
      <c r="AE79" s="437">
        <f>LiLAC!AA4</f>
        <v>0</v>
      </c>
      <c r="AF79" s="437"/>
      <c r="AG79" s="437"/>
      <c r="AH79" s="437"/>
      <c r="AI79" s="437"/>
      <c r="AJ79" s="430"/>
      <c r="AK79" s="430"/>
    </row>
    <row r="80" spans="2:37">
      <c r="B80" s="429" t="s">
        <v>54</v>
      </c>
      <c r="C80" s="437"/>
      <c r="D80" s="437"/>
      <c r="E80" s="437"/>
      <c r="F80" s="437"/>
      <c r="G80" s="437"/>
      <c r="H80" s="437"/>
      <c r="I80" s="437"/>
      <c r="J80" s="437"/>
      <c r="K80" s="437"/>
      <c r="L80" s="437"/>
      <c r="M80" s="437"/>
      <c r="N80" s="437"/>
      <c r="O80" s="437"/>
      <c r="P80" s="437"/>
      <c r="Q80" s="437">
        <f>LiLAC!M20</f>
        <v>2914.8999999999996</v>
      </c>
      <c r="R80" s="437">
        <f>LiLAC!N20</f>
        <v>3100.6000000000004</v>
      </c>
      <c r="S80" s="437">
        <f>LiLAC!O20</f>
        <v>3230.2000000000003</v>
      </c>
      <c r="T80" s="437">
        <f>LiLAC!P20</f>
        <v>3495.9</v>
      </c>
      <c r="U80" s="437">
        <f>LiLAC!Q20</f>
        <v>3594.6</v>
      </c>
      <c r="V80" s="437">
        <f ca="1">LiLAC!R20</f>
        <v>3702.2</v>
      </c>
      <c r="W80" s="437">
        <f ca="1">LiLAC!S20</f>
        <v>3781.1610000000001</v>
      </c>
      <c r="X80" s="437">
        <f ca="1">LiLAC!T20</f>
        <v>3850.5750899999994</v>
      </c>
      <c r="Y80" s="437">
        <f ca="1">LiLAC!U20</f>
        <v>3920.4510705000002</v>
      </c>
      <c r="Z80" s="437">
        <f ca="1">LiLAC!V20</f>
        <v>3990.797915397</v>
      </c>
      <c r="AA80" s="437">
        <f ca="1">LiLAC!W20</f>
        <v>4061.6247754268102</v>
      </c>
      <c r="AB80" s="437">
        <f ca="1">LiLAC!X20</f>
        <v>4132.9409816744346</v>
      </c>
      <c r="AC80" s="437">
        <f ca="1">LiLAC!Y20</f>
        <v>4204.7560491544027</v>
      </c>
      <c r="AD80" s="437">
        <f ca="1">LiLAC!Z20</f>
        <v>4277.0796804624351</v>
      </c>
      <c r="AE80" s="437">
        <f>LiLAC!AA20</f>
        <v>0</v>
      </c>
      <c r="AF80" s="437"/>
      <c r="AG80" s="437"/>
      <c r="AH80" s="437"/>
      <c r="AI80" s="437"/>
      <c r="AJ80" s="430"/>
      <c r="AK80" s="430"/>
    </row>
    <row r="81" spans="2:37">
      <c r="B81" s="429" t="s">
        <v>1249</v>
      </c>
      <c r="C81" s="437"/>
      <c r="D81" s="437"/>
      <c r="E81" s="437"/>
      <c r="F81" s="437"/>
      <c r="G81" s="437"/>
      <c r="H81" s="437"/>
      <c r="I81" s="437"/>
      <c r="J81" s="437"/>
      <c r="K81" s="437"/>
      <c r="L81" s="437"/>
      <c r="M81" s="437"/>
      <c r="N81" s="437"/>
      <c r="O81" s="437"/>
      <c r="P81" s="437"/>
      <c r="Q81" s="437">
        <f>LiLAC!M10</f>
        <v>1138.4000000000001</v>
      </c>
      <c r="R81" s="437">
        <f>LiLAC!N10</f>
        <v>1199.9000000000001</v>
      </c>
      <c r="S81" s="437">
        <f>LiLAC!O10</f>
        <v>1233.4000000000001</v>
      </c>
      <c r="T81" s="437">
        <f>LiLAC!P10</f>
        <v>1289.9000000000001</v>
      </c>
      <c r="U81" s="437">
        <f>LiLAC!Q10</f>
        <v>1308.5999999999999</v>
      </c>
      <c r="V81" s="437">
        <f>LiLAC!R10</f>
        <v>1328.7</v>
      </c>
      <c r="W81" s="437">
        <f>LiLAC!S10</f>
        <v>1352.6610000000001</v>
      </c>
      <c r="X81" s="437">
        <f>LiLAC!T10</f>
        <v>1377.07509</v>
      </c>
      <c r="Y81" s="437">
        <f>LiLAC!U10</f>
        <v>1401.9510705000002</v>
      </c>
      <c r="Z81" s="437">
        <f>LiLAC!V10</f>
        <v>1427.297915397</v>
      </c>
      <c r="AA81" s="437">
        <f>LiLAC!W10</f>
        <v>1453.1247754268102</v>
      </c>
      <c r="AB81" s="437">
        <f>LiLAC!X10</f>
        <v>1479.4409816744351</v>
      </c>
      <c r="AC81" s="437">
        <f>LiLAC!Y10</f>
        <v>1506.2560491544034</v>
      </c>
      <c r="AD81" s="437">
        <f>LiLAC!Z10</f>
        <v>1533.5796804624358</v>
      </c>
      <c r="AE81" s="437">
        <f>LiLAC!AA10</f>
        <v>0</v>
      </c>
      <c r="AF81" s="437"/>
      <c r="AG81" s="437"/>
      <c r="AH81" s="437"/>
      <c r="AI81" s="437"/>
      <c r="AJ81" s="430"/>
      <c r="AK81" s="430"/>
    </row>
    <row r="82" spans="2:37">
      <c r="B82" s="429" t="s">
        <v>1250</v>
      </c>
      <c r="C82" s="437"/>
      <c r="D82" s="437"/>
      <c r="E82" s="437"/>
      <c r="F82" s="437"/>
      <c r="G82" s="437"/>
      <c r="H82" s="437"/>
      <c r="I82" s="437"/>
      <c r="J82" s="437"/>
      <c r="K82" s="437"/>
      <c r="L82" s="437"/>
      <c r="M82" s="437"/>
      <c r="N82" s="437"/>
      <c r="O82" s="437"/>
      <c r="P82" s="437"/>
      <c r="Q82" s="437">
        <f>LiLAC!M12</f>
        <v>772</v>
      </c>
      <c r="R82" s="437">
        <f>LiLAC!N12</f>
        <v>822.80000000000007</v>
      </c>
      <c r="S82" s="437">
        <f>LiLAC!O12</f>
        <v>854.5</v>
      </c>
      <c r="T82" s="437">
        <f>LiLAC!P12</f>
        <v>883.9</v>
      </c>
      <c r="U82" s="437">
        <f>LiLAC!Q12</f>
        <v>865.8</v>
      </c>
      <c r="V82" s="437">
        <f ca="1">LiLAC!R12</f>
        <v>847.90000000000009</v>
      </c>
      <c r="W82" s="437">
        <f ca="1">LiLAC!S12</f>
        <v>857.90000000000009</v>
      </c>
      <c r="X82" s="437">
        <f ca="1">LiLAC!T12</f>
        <v>867.90000000000009</v>
      </c>
      <c r="Y82" s="437">
        <f ca="1">LiLAC!U12</f>
        <v>877.90000000000009</v>
      </c>
      <c r="Z82" s="437">
        <f ca="1">LiLAC!V12</f>
        <v>887.90000000000009</v>
      </c>
      <c r="AA82" s="437">
        <f ca="1">LiLAC!W12</f>
        <v>897.90000000000009</v>
      </c>
      <c r="AB82" s="437">
        <f ca="1">LiLAC!X12</f>
        <v>907.90000000000009</v>
      </c>
      <c r="AC82" s="437">
        <f ca="1">LiLAC!Y12</f>
        <v>917.90000000000009</v>
      </c>
      <c r="AD82" s="437">
        <f ca="1">LiLAC!Z12</f>
        <v>927.90000000000009</v>
      </c>
      <c r="AE82" s="437">
        <f>LiLAC!AA12</f>
        <v>0</v>
      </c>
      <c r="AF82" s="437"/>
      <c r="AG82" s="437"/>
      <c r="AH82" s="437"/>
      <c r="AI82" s="437"/>
      <c r="AJ82" s="430"/>
      <c r="AK82" s="430"/>
    </row>
    <row r="83" spans="2:37">
      <c r="B83" s="429" t="s">
        <v>1251</v>
      </c>
      <c r="C83" s="437"/>
      <c r="D83" s="437"/>
      <c r="E83" s="437"/>
      <c r="F83" s="437"/>
      <c r="G83" s="437"/>
      <c r="H83" s="437"/>
      <c r="I83" s="437"/>
      <c r="J83" s="437"/>
      <c r="K83" s="437"/>
      <c r="L83" s="437"/>
      <c r="M83" s="437"/>
      <c r="N83" s="437"/>
      <c r="O83" s="437"/>
      <c r="P83" s="437"/>
      <c r="Q83" s="437">
        <f>LiLAC!M11</f>
        <v>1004.5</v>
      </c>
      <c r="R83" s="437">
        <f>LiLAC!N11</f>
        <v>1077.9000000000001</v>
      </c>
      <c r="S83" s="437">
        <f>LiLAC!O11</f>
        <v>1142.3</v>
      </c>
      <c r="T83" s="437">
        <f>LiLAC!P11</f>
        <v>1322.1</v>
      </c>
      <c r="U83" s="437">
        <f>LiLAC!Q11</f>
        <v>1420.2</v>
      </c>
      <c r="V83" s="437">
        <f>LiLAC!R11</f>
        <v>1525.6</v>
      </c>
      <c r="W83" s="437">
        <f>LiLAC!S11</f>
        <v>1570.6</v>
      </c>
      <c r="X83" s="437">
        <f>LiLAC!T11</f>
        <v>1605.6</v>
      </c>
      <c r="Y83" s="437">
        <f>LiLAC!U11</f>
        <v>1640.6</v>
      </c>
      <c r="Z83" s="437">
        <f>LiLAC!V11</f>
        <v>1675.6</v>
      </c>
      <c r="AA83" s="437">
        <f>LiLAC!W11</f>
        <v>1710.6</v>
      </c>
      <c r="AB83" s="437">
        <f>LiLAC!X11</f>
        <v>1745.6</v>
      </c>
      <c r="AC83" s="437">
        <f>LiLAC!Y11</f>
        <v>1780.6</v>
      </c>
      <c r="AD83" s="437">
        <f>LiLAC!Z11</f>
        <v>1815.6</v>
      </c>
      <c r="AE83" s="437">
        <f>LiLAC!AA11</f>
        <v>0</v>
      </c>
      <c r="AF83" s="437"/>
      <c r="AG83" s="437"/>
      <c r="AH83" s="437"/>
      <c r="AI83" s="437"/>
      <c r="AJ83" s="430"/>
      <c r="AK83" s="430"/>
    </row>
    <row r="84" spans="2:37">
      <c r="B84" s="429" t="s">
        <v>1252</v>
      </c>
      <c r="C84" s="437"/>
      <c r="D84" s="437"/>
      <c r="E84" s="437"/>
      <c r="F84" s="437"/>
      <c r="G84" s="437"/>
      <c r="H84" s="437"/>
      <c r="I84" s="437"/>
      <c r="J84" s="437"/>
      <c r="K84" s="437"/>
      <c r="L84" s="437"/>
      <c r="M84" s="437"/>
      <c r="N84" s="437"/>
      <c r="O84" s="437"/>
      <c r="P84" s="437"/>
      <c r="Q84" s="437">
        <f>LiLAC!M7</f>
        <v>163.19999999999999</v>
      </c>
      <c r="R84" s="437">
        <f>LiLAC!N7</f>
        <v>134.80000000000001</v>
      </c>
      <c r="S84" s="437">
        <f>LiLAC!O7</f>
        <v>110.3</v>
      </c>
      <c r="T84" s="437">
        <f>LiLAC!P7</f>
        <v>93.8</v>
      </c>
      <c r="U84" s="437">
        <f>LiLAC!Q7</f>
        <v>93.8</v>
      </c>
      <c r="V84" s="437">
        <f>LiLAC!R7</f>
        <v>67.5</v>
      </c>
      <c r="W84" s="437">
        <f>LiLAC!S7</f>
        <v>21.774960000000021</v>
      </c>
      <c r="X84" s="437">
        <f>LiLAC!T7</f>
        <v>0</v>
      </c>
      <c r="Y84" s="437">
        <f>LiLAC!U7</f>
        <v>0</v>
      </c>
      <c r="Z84" s="437">
        <f>LiLAC!V7</f>
        <v>0</v>
      </c>
      <c r="AA84" s="437">
        <f>LiLAC!W7</f>
        <v>0</v>
      </c>
      <c r="AB84" s="437">
        <f>LiLAC!X7</f>
        <v>0</v>
      </c>
      <c r="AC84" s="437">
        <f>LiLAC!Y7</f>
        <v>0</v>
      </c>
      <c r="AD84" s="437">
        <f>LiLAC!Z7</f>
        <v>0</v>
      </c>
      <c r="AE84" s="437">
        <f>LiLAC!AA7</f>
        <v>0</v>
      </c>
      <c r="AF84" s="437"/>
      <c r="AG84" s="437"/>
      <c r="AH84" s="437"/>
      <c r="AI84" s="437"/>
      <c r="AJ84" s="430"/>
      <c r="AK84" s="430"/>
    </row>
    <row r="85" spans="2:37">
      <c r="B85" s="429" t="s">
        <v>1253</v>
      </c>
      <c r="C85" s="437"/>
      <c r="D85" s="437"/>
      <c r="E85" s="437"/>
      <c r="F85" s="437"/>
      <c r="G85" s="437"/>
      <c r="H85" s="437"/>
      <c r="I85" s="437"/>
      <c r="J85" s="437"/>
      <c r="K85" s="437"/>
      <c r="L85" s="437"/>
      <c r="M85" s="437"/>
      <c r="N85" s="437"/>
      <c r="O85" s="437"/>
      <c r="P85" s="437"/>
      <c r="Q85" s="437">
        <f>LiLAC!M8</f>
        <v>975.19999999999993</v>
      </c>
      <c r="R85" s="437">
        <f>LiLAC!N8</f>
        <v>1065.0999999999999</v>
      </c>
      <c r="S85" s="437">
        <f>LiLAC!O8</f>
        <v>1121.8</v>
      </c>
      <c r="T85" s="437">
        <f>LiLAC!P8</f>
        <v>1196.0999999999999</v>
      </c>
      <c r="U85" s="437">
        <f>LiLAC!Q8</f>
        <v>1214.8</v>
      </c>
      <c r="V85" s="437">
        <f>LiLAC!R8</f>
        <v>1261.2</v>
      </c>
      <c r="W85" s="437">
        <f>LiLAC!S8</f>
        <v>1330.8860400000001</v>
      </c>
      <c r="X85" s="437">
        <f>LiLAC!T8</f>
        <v>1377.07509</v>
      </c>
      <c r="Y85" s="437">
        <f>LiLAC!U8</f>
        <v>1401.9510705000002</v>
      </c>
      <c r="Z85" s="437">
        <f>LiLAC!V8</f>
        <v>1427.297915397</v>
      </c>
      <c r="AA85" s="437">
        <f>LiLAC!W8</f>
        <v>1453.1247754268102</v>
      </c>
      <c r="AB85" s="437">
        <f>LiLAC!X8</f>
        <v>1479.4409816744351</v>
      </c>
      <c r="AC85" s="437">
        <f>LiLAC!Y8</f>
        <v>1506.2560491544034</v>
      </c>
      <c r="AD85" s="437">
        <f>LiLAC!Z8</f>
        <v>1533.5796804624358</v>
      </c>
      <c r="AE85" s="437">
        <f>LiLAC!AA8</f>
        <v>0</v>
      </c>
      <c r="AF85" s="437"/>
      <c r="AG85" s="437"/>
      <c r="AH85" s="437"/>
      <c r="AI85" s="437"/>
      <c r="AJ85" s="430"/>
      <c r="AK85" s="430"/>
    </row>
    <row r="86" spans="2:37">
      <c r="B86" s="429" t="s">
        <v>1254</v>
      </c>
      <c r="C86" s="437"/>
      <c r="D86" s="437"/>
      <c r="E86" s="437"/>
      <c r="F86" s="437"/>
      <c r="G86" s="437"/>
      <c r="H86" s="437"/>
      <c r="I86" s="437"/>
      <c r="J86" s="437"/>
      <c r="K86" s="437"/>
      <c r="L86" s="437"/>
      <c r="M86" s="437"/>
      <c r="N86" s="437"/>
      <c r="O86" s="437"/>
      <c r="P86" s="437"/>
      <c r="Q86" s="437">
        <f>LiLAC!M13</f>
        <v>40</v>
      </c>
      <c r="R86" s="437">
        <f>LiLAC!N13</f>
        <v>71.3</v>
      </c>
      <c r="S86" s="437">
        <f>LiLAC!O13</f>
        <v>110.5</v>
      </c>
      <c r="T86" s="437">
        <f>LiLAC!P13</f>
        <v>132</v>
      </c>
      <c r="U86" s="437">
        <f>LiLAC!Q13</f>
        <v>166.2</v>
      </c>
      <c r="V86" s="437">
        <f>LiLAC!R13</f>
        <v>214.9</v>
      </c>
      <c r="W86" s="437">
        <f>LiLAC!S13</f>
        <v>244.9</v>
      </c>
      <c r="X86" s="437">
        <f>LiLAC!T13</f>
        <v>274.89999999999998</v>
      </c>
      <c r="Y86" s="437">
        <f>LiLAC!U13</f>
        <v>304.89999999999998</v>
      </c>
      <c r="Z86" s="437">
        <f>LiLAC!V13</f>
        <v>334.9</v>
      </c>
      <c r="AA86" s="437">
        <f>LiLAC!W13</f>
        <v>364.9</v>
      </c>
      <c r="AB86" s="437">
        <f>LiLAC!X13</f>
        <v>394.9</v>
      </c>
      <c r="AC86" s="437">
        <f>LiLAC!Y13</f>
        <v>424.9</v>
      </c>
      <c r="AD86" s="437">
        <f>LiLAC!Z13</f>
        <v>454.9</v>
      </c>
      <c r="AE86" s="437">
        <f>LiLAC!AA13</f>
        <v>0</v>
      </c>
      <c r="AF86" s="437"/>
      <c r="AG86" s="437"/>
      <c r="AH86" s="437"/>
      <c r="AI86" s="437"/>
      <c r="AJ86" s="430"/>
      <c r="AK86" s="430"/>
    </row>
    <row r="87" spans="2:37">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0"/>
      <c r="AK87" s="430"/>
    </row>
    <row r="88" spans="2: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0"/>
      <c r="AK88" s="430"/>
    </row>
    <row r="89" spans="2:37">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0"/>
      <c r="AK89" s="430"/>
    </row>
    <row r="90" spans="2:37">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0"/>
      <c r="AK90" s="430"/>
    </row>
    <row r="91" spans="2:37">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0"/>
      <c r="AK91" s="430"/>
    </row>
    <row r="92" spans="2: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0"/>
      <c r="AK92" s="430"/>
    </row>
    <row r="93" spans="2:37">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0"/>
      <c r="AK93" s="430"/>
    </row>
    <row r="94" spans="2:37">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0"/>
      <c r="AK94" s="430"/>
    </row>
    <row r="95" spans="2: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0"/>
      <c r="AK95" s="430"/>
    </row>
    <row r="96" spans="2:37">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0"/>
      <c r="AK96" s="430"/>
    </row>
    <row r="97" spans="2:37">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0"/>
      <c r="AK97" s="430"/>
    </row>
    <row r="98" spans="2:37">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0"/>
      <c r="AK98" s="430"/>
    </row>
    <row r="99" spans="2:37">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row>
    <row r="100" spans="2:37">
      <c r="B100" s="434" t="s">
        <v>1255</v>
      </c>
      <c r="C100" s="435">
        <v>1998</v>
      </c>
      <c r="D100" s="435">
        <v>1999</v>
      </c>
      <c r="E100" s="435">
        <v>2000</v>
      </c>
      <c r="F100" s="435">
        <v>2001</v>
      </c>
      <c r="G100" s="435">
        <v>2002</v>
      </c>
      <c r="H100" s="435">
        <v>2003</v>
      </c>
      <c r="I100" s="435">
        <v>2004</v>
      </c>
      <c r="J100" s="435">
        <v>2005</v>
      </c>
      <c r="K100" s="435">
        <v>2006</v>
      </c>
      <c r="L100" s="435">
        <v>2007</v>
      </c>
      <c r="M100" s="435">
        <v>2008</v>
      </c>
      <c r="N100" s="435">
        <v>2009</v>
      </c>
      <c r="O100" s="435">
        <v>2010</v>
      </c>
      <c r="P100" s="435">
        <v>2011</v>
      </c>
      <c r="Q100" s="435">
        <v>2012</v>
      </c>
      <c r="R100" s="435">
        <v>2013</v>
      </c>
      <c r="S100" s="435">
        <v>2014</v>
      </c>
      <c r="T100" s="435">
        <v>2015</v>
      </c>
      <c r="U100" s="435">
        <v>2016</v>
      </c>
      <c r="V100" s="435">
        <v>2017</v>
      </c>
      <c r="W100" s="435">
        <v>2018</v>
      </c>
      <c r="X100" s="435">
        <v>2019</v>
      </c>
      <c r="Y100" s="435">
        <v>2020</v>
      </c>
      <c r="Z100" s="435">
        <v>2021</v>
      </c>
      <c r="AA100" s="435">
        <v>2022</v>
      </c>
      <c r="AB100" s="435">
        <v>2023</v>
      </c>
      <c r="AC100" s="435">
        <v>2024</v>
      </c>
      <c r="AD100" s="435">
        <v>2025</v>
      </c>
      <c r="AE100" s="435">
        <v>2025</v>
      </c>
      <c r="AF100" s="435">
        <v>2027</v>
      </c>
      <c r="AG100" s="435">
        <v>2028</v>
      </c>
      <c r="AH100" s="435">
        <v>2029</v>
      </c>
      <c r="AI100" s="435">
        <v>2030</v>
      </c>
      <c r="AJ100" s="430"/>
      <c r="AK100" s="430"/>
    </row>
    <row r="101" spans="2:37">
      <c r="B101" s="448" t="s">
        <v>788</v>
      </c>
      <c r="C101" s="436"/>
      <c r="D101" s="436"/>
      <c r="E101" s="436"/>
      <c r="F101" s="437"/>
      <c r="G101" s="437"/>
      <c r="H101" s="437"/>
      <c r="I101" s="437"/>
      <c r="J101" s="437"/>
      <c r="K101" s="437"/>
      <c r="L101" s="437"/>
      <c r="M101" s="437"/>
      <c r="N101" s="437"/>
      <c r="O101" s="437"/>
      <c r="P101" s="437"/>
      <c r="Q101" s="437">
        <f>LiLAC!M208</f>
        <v>755.79832703272837</v>
      </c>
      <c r="R101" s="437">
        <f>LiLAC!N208</f>
        <v>778.04596060519555</v>
      </c>
      <c r="S101" s="437">
        <f>LiLAC!O208</f>
        <v>672</v>
      </c>
      <c r="T101" s="437">
        <f>LiLAC!P208</f>
        <v>934</v>
      </c>
      <c r="U101" s="437">
        <f>LiLAC!Q208</f>
        <v>927.2</v>
      </c>
      <c r="V101" s="437">
        <f>LiLAC!R208</f>
        <v>927.2</v>
      </c>
      <c r="W101" s="437">
        <f>LiLAC!S208</f>
        <v>927.2</v>
      </c>
      <c r="X101" s="437">
        <f>LiLAC!T208</f>
        <v>927.2</v>
      </c>
      <c r="Y101" s="437">
        <f>LiLAC!U208</f>
        <v>927.2</v>
      </c>
      <c r="Z101" s="437">
        <f>LiLAC!V208</f>
        <v>927.2</v>
      </c>
      <c r="AA101" s="437">
        <f>LiLAC!W208</f>
        <v>647.20000000000005</v>
      </c>
      <c r="AB101" s="437">
        <f>LiLAC!X208</f>
        <v>505.20000000000005</v>
      </c>
      <c r="AC101" s="437">
        <f>LiLAC!Y208</f>
        <v>505.20000000000005</v>
      </c>
      <c r="AD101" s="437">
        <f>LiLAC!Z208</f>
        <v>505.20000000000005</v>
      </c>
      <c r="AE101" s="437">
        <f>LiLAC!AA208</f>
        <v>0</v>
      </c>
      <c r="AF101" s="436"/>
      <c r="AG101" s="436"/>
      <c r="AH101" s="436"/>
      <c r="AI101" s="436"/>
      <c r="AJ101" s="430"/>
      <c r="AK101" s="430"/>
    </row>
    <row r="102" spans="2:37">
      <c r="B102" s="448" t="s">
        <v>739</v>
      </c>
      <c r="C102" s="436"/>
      <c r="D102" s="436"/>
      <c r="E102" s="436"/>
      <c r="F102" s="437"/>
      <c r="G102" s="437"/>
      <c r="H102" s="437"/>
      <c r="I102" s="437"/>
      <c r="J102" s="437"/>
      <c r="K102" s="437"/>
      <c r="L102" s="437"/>
      <c r="M102" s="437"/>
      <c r="N102" s="437"/>
      <c r="O102" s="437"/>
      <c r="P102" s="437"/>
      <c r="Q102" s="437">
        <f>LiLAC!M210+LiLAC!M213</f>
        <v>0.80565129765968824</v>
      </c>
      <c r="R102" s="437">
        <f>LiLAC!N210+LiLAC!N213</f>
        <v>2.6091835704914725</v>
      </c>
      <c r="S102" s="437">
        <f>LiLAC!O210+LiLAC!O213</f>
        <v>1.3504099796762212</v>
      </c>
      <c r="T102" s="437">
        <f>LiLAC!P210+LiLAC!P213</f>
        <v>0.80441400304414001</v>
      </c>
      <c r="U102" s="437">
        <f>LiLAC!Q210+LiLAC!Q213</f>
        <v>0.49576610816166578</v>
      </c>
      <c r="V102" s="437">
        <f>LiLAC!R210+LiLAC!R213</f>
        <v>0.50826140567200995</v>
      </c>
      <c r="W102" s="437">
        <f>LiLAC!S210+LiLAC!S213</f>
        <v>0.51144401015307484</v>
      </c>
      <c r="X102" s="437">
        <f>LiLAC!T210+LiLAC!T213</f>
        <v>0.48449502133712663</v>
      </c>
      <c r="Y102" s="437">
        <f>LiLAC!U210+LiLAC!U213</f>
        <v>0.45252525252525255</v>
      </c>
      <c r="Z102" s="437">
        <f>LiLAC!V210+LiLAC!V213</f>
        <v>0.46281208935611046</v>
      </c>
      <c r="AA102" s="437">
        <f>LiLAC!W210+LiLAC!W213</f>
        <v>0.42909507445589923</v>
      </c>
      <c r="AB102" s="437">
        <f>LiLAC!X210+LiLAC!X213</f>
        <v>0.45031289111389239</v>
      </c>
      <c r="AC102" s="437">
        <f>LiLAC!Y210+LiLAC!Y213</f>
        <v>0.44660912453760793</v>
      </c>
      <c r="AD102" s="437">
        <f>LiLAC!Z210+LiLAC!Z213</f>
        <v>0.44660912453760793</v>
      </c>
      <c r="AE102" s="437">
        <f>LiLAC!AA210+LiLAC!AA213</f>
        <v>0</v>
      </c>
      <c r="AF102" s="436"/>
      <c r="AG102" s="436"/>
      <c r="AH102" s="436"/>
      <c r="AI102" s="436"/>
      <c r="AJ102" s="430"/>
      <c r="AK102" s="430"/>
    </row>
    <row r="103" spans="2:37">
      <c r="B103" s="448" t="s">
        <v>1256</v>
      </c>
      <c r="C103" s="436"/>
      <c r="D103" s="436"/>
      <c r="E103" s="436"/>
      <c r="F103" s="437"/>
      <c r="G103" s="437"/>
      <c r="H103" s="437"/>
      <c r="I103" s="437"/>
      <c r="J103" s="437"/>
      <c r="K103" s="437"/>
      <c r="L103" s="437"/>
      <c r="M103" s="437"/>
      <c r="N103" s="437"/>
      <c r="O103" s="437"/>
      <c r="P103" s="437"/>
      <c r="Q103" s="437">
        <f>LiLAC!M209+LiLAC!M212</f>
        <v>0</v>
      </c>
      <c r="R103" s="437">
        <f>LiLAC!N209+LiLAC!N212</f>
        <v>0</v>
      </c>
      <c r="S103" s="437">
        <f>LiLAC!O209+LiLAC!O212</f>
        <v>1400.0659087164279</v>
      </c>
      <c r="T103" s="437">
        <f>LiLAC!P209+LiLAC!P212</f>
        <v>1258.1100141043723</v>
      </c>
      <c r="U103" s="437">
        <f>LiLAC!Q209+LiLAC!Q212</f>
        <v>1462.3277182235834</v>
      </c>
      <c r="V103" s="437">
        <f>LiLAC!R209+LiLAC!R212</f>
        <v>1440.2714932126696</v>
      </c>
      <c r="W103" s="437">
        <f>LiLAC!S209+LiLAC!S212</f>
        <v>1398.0966325036604</v>
      </c>
      <c r="X103" s="437">
        <f>LiLAC!T209+LiLAC!T212</f>
        <v>1404.2647058823529</v>
      </c>
      <c r="Y103" s="437">
        <f>LiLAC!U209+LiLAC!U212</f>
        <v>1205.681818181818</v>
      </c>
      <c r="Z103" s="437">
        <f>LiLAC!V209+LiLAC!V212</f>
        <v>1254.7963206307491</v>
      </c>
      <c r="AA103" s="437">
        <f>LiLAC!W209+LiLAC!W212</f>
        <v>1093.8144329896907</v>
      </c>
      <c r="AB103" s="437">
        <f>LiLAC!X209+LiLAC!X212</f>
        <v>1177.4352651048089</v>
      </c>
      <c r="AC103" s="437">
        <f>LiLAC!Y209+LiLAC!Y212</f>
        <v>240.32059186189886</v>
      </c>
      <c r="AD103" s="437">
        <f>LiLAC!Z209+LiLAC!Z212</f>
        <v>240.32059186189886</v>
      </c>
      <c r="AE103" s="437">
        <f>LiLAC!AA209+LiLAC!AA212</f>
        <v>0</v>
      </c>
      <c r="AF103" s="436"/>
      <c r="AG103" s="436"/>
      <c r="AH103" s="436"/>
      <c r="AI103" s="436"/>
      <c r="AJ103" s="430"/>
      <c r="AK103" s="430"/>
    </row>
    <row r="104" spans="2:37">
      <c r="B104" s="448" t="s">
        <v>711</v>
      </c>
      <c r="C104" s="436"/>
      <c r="D104" s="436"/>
      <c r="E104" s="436"/>
      <c r="F104" s="437"/>
      <c r="G104" s="437"/>
      <c r="H104" s="437"/>
      <c r="I104" s="437"/>
      <c r="J104" s="437"/>
      <c r="K104" s="437"/>
      <c r="L104" s="437"/>
      <c r="M104" s="437"/>
      <c r="N104" s="437"/>
      <c r="O104" s="437"/>
      <c r="P104" s="437"/>
      <c r="Q104" s="437">
        <f>LiLAC!M214</f>
        <v>756.60397833038803</v>
      </c>
      <c r="R104" s="437">
        <f>LiLAC!N214</f>
        <v>780.65514417568704</v>
      </c>
      <c r="S104" s="437">
        <f>LiLAC!O214</f>
        <v>2073.4163186961041</v>
      </c>
      <c r="T104" s="437">
        <f>LiLAC!P214</f>
        <v>2192.9144281074168</v>
      </c>
      <c r="U104" s="437">
        <f>LiLAC!Q214</f>
        <v>2390.0234843317448</v>
      </c>
      <c r="V104" s="437">
        <f>LiLAC!R214</f>
        <v>2367.9797546183418</v>
      </c>
      <c r="W104" s="437">
        <f>LiLAC!S214</f>
        <v>2325.8080765138134</v>
      </c>
      <c r="X104" s="437">
        <f>LiLAC!T214</f>
        <v>2331.9492009036903</v>
      </c>
      <c r="Y104" s="437">
        <f>LiLAC!U214</f>
        <v>2133.3343434343433</v>
      </c>
      <c r="Z104" s="437">
        <f>LiLAC!V214</f>
        <v>2182.4591327201056</v>
      </c>
      <c r="AA104" s="437">
        <f>LiLAC!W214</f>
        <v>1741.4435280641467</v>
      </c>
      <c r="AB104" s="437">
        <f>LiLAC!X214</f>
        <v>1683.0855779959229</v>
      </c>
      <c r="AC104" s="437">
        <f>LiLAC!Y214</f>
        <v>745.96720098643652</v>
      </c>
      <c r="AD104" s="437">
        <f>LiLAC!Z214</f>
        <v>745.96720098643652</v>
      </c>
      <c r="AE104" s="437">
        <f>LiLAC!AA214</f>
        <v>0</v>
      </c>
      <c r="AF104" s="436"/>
      <c r="AG104" s="436"/>
      <c r="AH104" s="436"/>
      <c r="AI104" s="436"/>
      <c r="AJ104" s="430"/>
      <c r="AK104" s="430"/>
    </row>
    <row r="105" spans="2:37">
      <c r="B105" s="448" t="s">
        <v>1257</v>
      </c>
      <c r="C105" s="436"/>
      <c r="D105" s="436"/>
      <c r="E105" s="436"/>
      <c r="F105" s="437"/>
      <c r="G105" s="437"/>
      <c r="H105" s="437"/>
      <c r="I105" s="437"/>
      <c r="J105" s="437"/>
      <c r="K105" s="437"/>
      <c r="L105" s="437"/>
      <c r="M105" s="437"/>
      <c r="N105" s="437"/>
      <c r="O105" s="437"/>
      <c r="P105" s="437"/>
      <c r="Q105" s="437">
        <f>LiLAC!M215</f>
        <v>45.9980751038539</v>
      </c>
      <c r="R105" s="437">
        <f>LiLAC!N215</f>
        <v>184.89610455141792</v>
      </c>
      <c r="S105" s="437">
        <f>LiLAC!O215</f>
        <v>112.48097974630318</v>
      </c>
      <c r="T105" s="437">
        <f>LiLAC!P215</f>
        <v>192.35726375176304</v>
      </c>
      <c r="U105" s="437">
        <f>LiLAC!Q215</f>
        <v>202.2781162656571</v>
      </c>
      <c r="V105" s="437">
        <f ca="1">LiLAC!R215</f>
        <v>-36.366254022225874</v>
      </c>
      <c r="W105" s="437">
        <f ca="1">LiLAC!S215</f>
        <v>-191.94322435573923</v>
      </c>
      <c r="X105" s="437">
        <f ca="1">LiLAC!T215</f>
        <v>-93.653947418829631</v>
      </c>
      <c r="Y105" s="437">
        <f ca="1">LiLAC!U215</f>
        <v>-59.983279513209752</v>
      </c>
      <c r="Z105" s="437">
        <f ca="1">LiLAC!V215</f>
        <v>-31.339786051066881</v>
      </c>
      <c r="AA105" s="437">
        <f ca="1">LiLAC!W215</f>
        <v>-233.25190773996803</v>
      </c>
      <c r="AB105" s="437">
        <f ca="1">LiLAC!X215</f>
        <v>-309.56278039172031</v>
      </c>
      <c r="AC105" s="437">
        <f ca="1">LiLAC!Y215</f>
        <v>-1120.8617328579589</v>
      </c>
      <c r="AD105" s="437">
        <f ca="1">LiLAC!Z215</f>
        <v>-945.59168753179119</v>
      </c>
      <c r="AE105" s="437">
        <f>LiLAC!AA215</f>
        <v>0</v>
      </c>
      <c r="AF105" s="436"/>
      <c r="AG105" s="436"/>
      <c r="AH105" s="436"/>
      <c r="AI105" s="436"/>
      <c r="AJ105" s="430"/>
      <c r="AK105" s="430"/>
    </row>
    <row r="106" spans="2:37">
      <c r="B106" s="448" t="s">
        <v>115</v>
      </c>
      <c r="C106" s="436"/>
      <c r="D106" s="436"/>
      <c r="E106" s="436"/>
      <c r="F106" s="437"/>
      <c r="G106" s="437"/>
      <c r="H106" s="437"/>
      <c r="I106" s="437"/>
      <c r="J106" s="437"/>
      <c r="K106" s="437"/>
      <c r="L106" s="437"/>
      <c r="M106" s="437"/>
      <c r="N106" s="437"/>
      <c r="O106" s="437"/>
      <c r="P106" s="437"/>
      <c r="Q106" s="437">
        <f>LiLAC!M216</f>
        <v>710.60590322653411</v>
      </c>
      <c r="R106" s="437">
        <f>LiLAC!N216</f>
        <v>595.75903962426912</v>
      </c>
      <c r="S106" s="437">
        <f>LiLAC!O216</f>
        <v>1960.935338949801</v>
      </c>
      <c r="T106" s="437">
        <f>LiLAC!P216</f>
        <v>2000.5571643556539</v>
      </c>
      <c r="U106" s="437">
        <f>LiLAC!Q216</f>
        <v>2187.7453680660878</v>
      </c>
      <c r="V106" s="437">
        <f ca="1">LiLAC!R216</f>
        <v>2404.3460086405676</v>
      </c>
      <c r="W106" s="437">
        <f ca="1">LiLAC!S216</f>
        <v>2517.7513008695528</v>
      </c>
      <c r="X106" s="437">
        <f ca="1">LiLAC!T216</f>
        <v>2425.6031483225202</v>
      </c>
      <c r="Y106" s="437">
        <f ca="1">LiLAC!U216</f>
        <v>2193.317622947553</v>
      </c>
      <c r="Z106" s="437">
        <f ca="1">LiLAC!V216</f>
        <v>2213.7989187711723</v>
      </c>
      <c r="AA106" s="437">
        <f ca="1">LiLAC!W216</f>
        <v>1974.6954358041148</v>
      </c>
      <c r="AB106" s="437">
        <f ca="1">LiLAC!X216</f>
        <v>1992.6483583876432</v>
      </c>
      <c r="AC106" s="437">
        <f ca="1">LiLAC!Y216</f>
        <v>1866.8289338443956</v>
      </c>
      <c r="AD106" s="437">
        <f ca="1">LiLAC!Z216</f>
        <v>1691.5588885182278</v>
      </c>
      <c r="AE106" s="437">
        <f>LiLAC!AA216</f>
        <v>0</v>
      </c>
      <c r="AF106" s="436"/>
      <c r="AG106" s="436"/>
      <c r="AH106" s="436"/>
      <c r="AI106" s="436"/>
      <c r="AJ106" s="430"/>
      <c r="AK106" s="430"/>
    </row>
    <row r="107" spans="2:37">
      <c r="B107" s="448"/>
      <c r="C107" s="436"/>
      <c r="D107" s="436"/>
      <c r="E107" s="436"/>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6"/>
      <c r="AG107" s="436"/>
      <c r="AH107" s="436"/>
      <c r="AI107" s="436"/>
      <c r="AJ107" s="430"/>
      <c r="AK107" s="430"/>
    </row>
    <row r="108" spans="2:37">
      <c r="B108" s="448" t="s">
        <v>8</v>
      </c>
      <c r="C108" s="436"/>
      <c r="D108" s="436"/>
      <c r="E108" s="436"/>
      <c r="F108" s="437"/>
      <c r="G108" s="437"/>
      <c r="H108" s="437"/>
      <c r="I108" s="437"/>
      <c r="J108" s="437"/>
      <c r="K108" s="437"/>
      <c r="L108" s="437"/>
      <c r="M108" s="437"/>
      <c r="N108" s="437"/>
      <c r="O108" s="437"/>
      <c r="P108" s="437"/>
      <c r="Q108" s="437">
        <f>LiLAC!M115</f>
        <v>366.31257763336492</v>
      </c>
      <c r="R108" s="437">
        <f>LiLAC!N115</f>
        <v>460.3124129579171</v>
      </c>
      <c r="S108" s="437">
        <f>LiLAC!O115</f>
        <v>477.08272478800194</v>
      </c>
      <c r="T108" s="437">
        <f>LiLAC!P115</f>
        <v>492.17960426179599</v>
      </c>
      <c r="U108" s="437">
        <f>LiLAC!Q115</f>
        <v>537.60007689918814</v>
      </c>
      <c r="V108" s="437">
        <f>LiLAC!R115</f>
        <v>515.55240443896423</v>
      </c>
      <c r="W108" s="437">
        <f>LiLAC!S115</f>
        <v>540.22816630963553</v>
      </c>
      <c r="X108" s="437">
        <f ca="1">LiLAC!T115</f>
        <v>566.17238427977122</v>
      </c>
      <c r="Y108" s="437">
        <f ca="1">LiLAC!U115</f>
        <v>542.78369508242281</v>
      </c>
      <c r="Z108" s="437">
        <f ca="1">LiLAC!V115</f>
        <v>583.60429486547662</v>
      </c>
      <c r="AA108" s="437">
        <f ca="1">LiLAC!W115</f>
        <v>556.32156457448002</v>
      </c>
      <c r="AB108" s="437">
        <f ca="1">LiLAC!X115</f>
        <v>612.0738014939343</v>
      </c>
      <c r="AC108" s="437">
        <f ca="1">LiLAC!Y115</f>
        <v>628.00332144745948</v>
      </c>
      <c r="AD108" s="437">
        <f ca="1">LiLAC!Z115</f>
        <v>650.61365950679999</v>
      </c>
      <c r="AE108" s="437">
        <f>LiLAC!AA115</f>
        <v>0</v>
      </c>
      <c r="AF108" s="436"/>
      <c r="AG108" s="436"/>
      <c r="AH108" s="436"/>
      <c r="AI108" s="436"/>
      <c r="AJ108" s="430"/>
      <c r="AK108" s="430"/>
    </row>
    <row r="109" spans="2:37">
      <c r="B109" s="448" t="s">
        <v>159</v>
      </c>
      <c r="C109" s="436"/>
      <c r="D109" s="436"/>
      <c r="E109" s="436"/>
      <c r="F109" s="437"/>
      <c r="G109" s="437"/>
      <c r="H109" s="437"/>
      <c r="I109" s="437"/>
      <c r="J109" s="437"/>
      <c r="K109" s="437"/>
      <c r="L109" s="437"/>
      <c r="M109" s="437"/>
      <c r="N109" s="437"/>
      <c r="O109" s="437"/>
      <c r="P109" s="437"/>
      <c r="Q109" s="437">
        <f>LiLAC!M152</f>
        <v>-41.702484267675729</v>
      </c>
      <c r="R109" s="437">
        <f>LiLAC!N152</f>
        <v>-82.4030578262186</v>
      </c>
      <c r="S109" s="437">
        <f>LiLAC!O152</f>
        <v>-142.08999929918002</v>
      </c>
      <c r="T109" s="437">
        <f>LiLAC!P152</f>
        <v>-157.99710806697107</v>
      </c>
      <c r="U109" s="437">
        <f>LiLAC!Q152</f>
        <v>-203.68449298294908</v>
      </c>
      <c r="V109" s="437">
        <f>LiLAC!R152</f>
        <v>-228.27314303329223</v>
      </c>
      <c r="W109" s="437">
        <f>LiLAC!S152</f>
        <v>-229.95982633881994</v>
      </c>
      <c r="X109" s="437">
        <f>LiLAC!T152</f>
        <v>-215.67768421052631</v>
      </c>
      <c r="Y109" s="437">
        <f>LiLAC!U152</f>
        <v>-198.7346818181818</v>
      </c>
      <c r="Z109" s="437">
        <f>LiLAC!V152</f>
        <v>-204.18639159001313</v>
      </c>
      <c r="AA109" s="437">
        <f>LiLAC!W152</f>
        <v>-176.51740206185565</v>
      </c>
      <c r="AB109" s="437">
        <f>LiLAC!X152</f>
        <v>-172.99219774718398</v>
      </c>
      <c r="AC109" s="437">
        <f>LiLAC!Y152</f>
        <v>-114.04945006165227</v>
      </c>
      <c r="AD109" s="437">
        <f>LiLAC!Z152</f>
        <v>-62.03958569667077</v>
      </c>
      <c r="AE109" s="437">
        <f>LiLAC!AA152</f>
        <v>0</v>
      </c>
      <c r="AF109" s="436"/>
      <c r="AG109" s="436"/>
      <c r="AH109" s="436"/>
      <c r="AI109" s="436"/>
      <c r="AJ109" s="430"/>
      <c r="AK109" s="430"/>
    </row>
    <row r="110" spans="2:37">
      <c r="B110" s="448" t="s">
        <v>155</v>
      </c>
      <c r="C110" s="436"/>
      <c r="D110" s="436"/>
      <c r="E110" s="436"/>
      <c r="F110" s="437"/>
      <c r="G110" s="437"/>
      <c r="H110" s="437"/>
      <c r="I110" s="437"/>
      <c r="J110" s="437"/>
      <c r="K110" s="437"/>
      <c r="L110" s="437"/>
      <c r="M110" s="437"/>
      <c r="N110" s="437"/>
      <c r="O110" s="437"/>
      <c r="P110" s="437"/>
      <c r="Q110" s="437">
        <f>LiLAC!M153</f>
        <v>2.9791181672356353</v>
      </c>
      <c r="R110" s="437">
        <f>LiLAC!N153</f>
        <v>2.6238772832778285</v>
      </c>
      <c r="S110" s="437">
        <f>LiLAC!O153</f>
        <v>3.3288948069241009</v>
      </c>
      <c r="T110" s="437">
        <f>LiLAC!P153</f>
        <v>2.8919330289193304</v>
      </c>
      <c r="U110" s="437">
        <f>LiLAC!Q153</f>
        <v>4.8804268253910452</v>
      </c>
      <c r="V110" s="437">
        <f>LiLAC!R153</f>
        <v>4.7410842692475557</v>
      </c>
      <c r="W110" s="437">
        <f>LiLAC!S153</f>
        <v>-1.7570499071556525</v>
      </c>
      <c r="X110" s="437">
        <f>LiLAC!T153</f>
        <v>-3.772788285415595</v>
      </c>
      <c r="Y110" s="437">
        <f ca="1">LiLAC!U153</f>
        <v>-5.0111338670213739</v>
      </c>
      <c r="Z110" s="437">
        <f ca="1">LiLAC!V153</f>
        <v>-5.8502197968270631</v>
      </c>
      <c r="AA110" s="437">
        <f ca="1">LiLAC!W153</f>
        <v>-5.2219412239116831</v>
      </c>
      <c r="AB110" s="437">
        <f ca="1">LiLAC!X153</f>
        <v>-5.7450475494278752</v>
      </c>
      <c r="AC110" s="437">
        <f ca="1">LiLAC!Y153</f>
        <v>-5.4962614369599985</v>
      </c>
      <c r="AD110" s="437">
        <f ca="1">LiLAC!Z153</f>
        <v>-38.371538598579413</v>
      </c>
      <c r="AE110" s="437">
        <f>LiLAC!AA153</f>
        <v>0</v>
      </c>
      <c r="AF110" s="436"/>
      <c r="AG110" s="436"/>
      <c r="AH110" s="436"/>
      <c r="AI110" s="436"/>
      <c r="AJ110" s="430"/>
      <c r="AK110" s="430"/>
    </row>
    <row r="111" spans="2:37">
      <c r="B111" s="448" t="s">
        <v>1258</v>
      </c>
      <c r="C111" s="436"/>
      <c r="D111" s="436"/>
      <c r="E111" s="436"/>
      <c r="F111" s="437"/>
      <c r="G111" s="437"/>
      <c r="H111" s="437"/>
      <c r="I111" s="437"/>
      <c r="J111" s="437"/>
      <c r="K111" s="437"/>
      <c r="L111" s="437"/>
      <c r="M111" s="437"/>
      <c r="N111" s="437"/>
      <c r="O111" s="437"/>
      <c r="P111" s="437"/>
      <c r="Q111" s="437">
        <f>LiLAC!M154</f>
        <v>-38.723366100440089</v>
      </c>
      <c r="R111" s="437">
        <f>LiLAC!N154</f>
        <v>-79.779180542940765</v>
      </c>
      <c r="S111" s="437">
        <f>LiLAC!O154</f>
        <v>-138.76110449225592</v>
      </c>
      <c r="T111" s="437">
        <f>LiLAC!P154</f>
        <v>-155.10517503805173</v>
      </c>
      <c r="U111" s="437">
        <f>LiLAC!Q154</f>
        <v>-198.80406615755803</v>
      </c>
      <c r="V111" s="437">
        <f>LiLAC!R154</f>
        <v>-223.53205876404471</v>
      </c>
      <c r="W111" s="437">
        <f>LiLAC!S154</f>
        <v>-231.71687624597558</v>
      </c>
      <c r="X111" s="437">
        <f>LiLAC!T154</f>
        <v>-219.45047249594191</v>
      </c>
      <c r="Y111" s="437">
        <f ca="1">LiLAC!U154</f>
        <v>-203.74581568520321</v>
      </c>
      <c r="Z111" s="437">
        <f ca="1">LiLAC!V154</f>
        <v>-210.03661138684018</v>
      </c>
      <c r="AA111" s="437">
        <f ca="1">LiLAC!W154</f>
        <v>-181.73934328576735</v>
      </c>
      <c r="AB111" s="437">
        <f ca="1">LiLAC!X154</f>
        <v>-178.73724529661186</v>
      </c>
      <c r="AC111" s="437">
        <f ca="1">LiLAC!Y154</f>
        <v>-119.54571149861229</v>
      </c>
      <c r="AD111" s="437">
        <f ca="1">LiLAC!Z154</f>
        <v>-100.41112429525018</v>
      </c>
      <c r="AE111" s="437">
        <f>LiLAC!AA154</f>
        <v>0</v>
      </c>
      <c r="AF111" s="436"/>
      <c r="AG111" s="436"/>
      <c r="AH111" s="436"/>
      <c r="AI111" s="436"/>
      <c r="AJ111" s="430"/>
      <c r="AK111" s="430"/>
    </row>
    <row r="112" spans="2:37">
      <c r="B112" s="448"/>
      <c r="C112" s="436"/>
      <c r="D112" s="436"/>
      <c r="E112" s="436"/>
      <c r="F112" s="437"/>
      <c r="G112" s="437"/>
      <c r="H112" s="437"/>
      <c r="I112" s="437"/>
      <c r="J112" s="437"/>
      <c r="K112" s="437"/>
      <c r="L112" s="437"/>
      <c r="M112" s="437"/>
      <c r="N112" s="437"/>
      <c r="O112" s="437"/>
      <c r="P112" s="437"/>
      <c r="Q112" s="437"/>
      <c r="R112" s="437"/>
      <c r="S112" s="437"/>
      <c r="T112" s="437"/>
      <c r="U112" s="437"/>
      <c r="V112" s="437"/>
      <c r="W112" s="437"/>
      <c r="X112" s="437"/>
      <c r="Y112" s="437"/>
      <c r="Z112" s="436"/>
      <c r="AA112" s="436"/>
      <c r="AB112" s="436"/>
      <c r="AC112" s="436"/>
      <c r="AD112" s="436"/>
      <c r="AE112" s="436"/>
      <c r="AF112" s="436"/>
      <c r="AG112" s="436"/>
      <c r="AH112" s="436"/>
      <c r="AI112" s="436"/>
      <c r="AJ112" s="430"/>
      <c r="AK112" s="430"/>
    </row>
    <row r="113" spans="2:37">
      <c r="B113" s="448" t="s">
        <v>1259</v>
      </c>
      <c r="C113" s="436"/>
      <c r="D113" s="436"/>
      <c r="E113" s="436"/>
      <c r="F113" s="437"/>
      <c r="G113" s="437"/>
      <c r="H113" s="437"/>
      <c r="I113" s="437"/>
      <c r="J113" s="437"/>
      <c r="K113" s="437"/>
      <c r="L113" s="437"/>
      <c r="M113" s="437"/>
      <c r="N113" s="437"/>
      <c r="O113" s="437"/>
      <c r="P113" s="437"/>
      <c r="Q113" s="437">
        <f>LiLAC!M171</f>
        <v>-17.429979846172831</v>
      </c>
      <c r="R113" s="437">
        <f>LiLAC!N171</f>
        <v>-651.85177111716609</v>
      </c>
      <c r="S113" s="437">
        <f>LiLAC!O171</f>
        <v>-528.82828509355954</v>
      </c>
      <c r="T113" s="437">
        <f>LiLAC!P171</f>
        <v>-0.4</v>
      </c>
      <c r="U113" s="437">
        <f>LiLAC!Q171</f>
        <v>-0.4</v>
      </c>
      <c r="V113" s="437">
        <f>LiLAC!R171</f>
        <v>0</v>
      </c>
      <c r="W113" s="437">
        <f>LiLAC!S171</f>
        <v>0</v>
      </c>
      <c r="X113" s="437">
        <f>LiLAC!T171</f>
        <v>0</v>
      </c>
      <c r="Y113" s="437">
        <f>LiLAC!U171</f>
        <v>0</v>
      </c>
      <c r="Z113" s="437">
        <f>LiLAC!V171</f>
        <v>0</v>
      </c>
      <c r="AA113" s="437">
        <f>LiLAC!W171</f>
        <v>-530</v>
      </c>
      <c r="AB113" s="437">
        <f>LiLAC!X171</f>
        <v>-142</v>
      </c>
      <c r="AC113" s="437">
        <f>LiLAC!Y171</f>
        <v>-937.11467324290993</v>
      </c>
      <c r="AD113" s="437">
        <f>LiLAC!Z171</f>
        <v>0</v>
      </c>
      <c r="AE113" s="437">
        <f>LiLAC!AA171</f>
        <v>0</v>
      </c>
      <c r="AF113" s="436"/>
      <c r="AG113" s="436"/>
      <c r="AH113" s="436"/>
      <c r="AI113" s="436"/>
      <c r="AJ113" s="430"/>
      <c r="AK113" s="430"/>
    </row>
    <row r="114" spans="2:37">
      <c r="B114" s="448"/>
      <c r="C114" s="436"/>
      <c r="D114" s="436"/>
      <c r="E114" s="436"/>
      <c r="F114" s="437"/>
      <c r="G114" s="437"/>
      <c r="H114" s="437"/>
      <c r="I114" s="437"/>
      <c r="J114" s="437"/>
      <c r="K114" s="437"/>
      <c r="L114" s="437"/>
      <c r="M114" s="437"/>
      <c r="N114" s="437"/>
      <c r="O114" s="437"/>
      <c r="P114" s="437"/>
      <c r="Q114" s="437"/>
      <c r="R114" s="437"/>
      <c r="S114" s="437"/>
      <c r="T114" s="437"/>
      <c r="U114" s="437"/>
      <c r="V114" s="437"/>
      <c r="W114" s="437"/>
      <c r="X114" s="437"/>
      <c r="Y114" s="437"/>
      <c r="Z114" s="436"/>
      <c r="AA114" s="436"/>
      <c r="AB114" s="436"/>
      <c r="AC114" s="436"/>
      <c r="AD114" s="436"/>
      <c r="AE114" s="436"/>
      <c r="AF114" s="436"/>
      <c r="AG114" s="436"/>
      <c r="AH114" s="436"/>
      <c r="AI114" s="436"/>
      <c r="AJ114" s="430"/>
      <c r="AK114" s="430"/>
    </row>
    <row r="115" spans="2:37">
      <c r="B115" s="448" t="s">
        <v>19</v>
      </c>
      <c r="C115" s="436"/>
      <c r="D115" s="436"/>
      <c r="E115" s="436"/>
      <c r="F115" s="437"/>
      <c r="G115" s="437"/>
      <c r="H115" s="437"/>
      <c r="I115" s="437"/>
      <c r="J115" s="437"/>
      <c r="K115" s="437"/>
      <c r="L115" s="437"/>
      <c r="M115" s="437"/>
      <c r="N115" s="437"/>
      <c r="O115" s="437"/>
      <c r="P115" s="437"/>
      <c r="Q115" s="437">
        <f>LiLAC!M118</f>
        <v>269.19678772673058</v>
      </c>
      <c r="R115" s="437">
        <f>LiLAC!N118</f>
        <v>253.30630739731555</v>
      </c>
      <c r="S115" s="437">
        <f>LiLAC!O118</f>
        <v>256.10397364916952</v>
      </c>
      <c r="T115" s="437">
        <f>LiLAC!P118</f>
        <v>224.8275494672755</v>
      </c>
      <c r="U115" s="437">
        <f>LiLAC!Q118</f>
        <v>286.20563138669939</v>
      </c>
      <c r="V115" s="437">
        <f>LiLAC!R118</f>
        <v>344.54623921085084</v>
      </c>
      <c r="W115" s="437">
        <f>LiLAC!S118</f>
        <v>368.14695681374383</v>
      </c>
      <c r="X115" s="437">
        <f ca="1">LiLAC!T118</f>
        <v>289.3751385858975</v>
      </c>
      <c r="Y115" s="437">
        <f ca="1">LiLAC!U118</f>
        <v>255.37372365336742</v>
      </c>
      <c r="Z115" s="437">
        <f ca="1">LiLAC!V118</f>
        <v>262.61026529877711</v>
      </c>
      <c r="AA115" s="437">
        <f ca="1">LiLAC!W118</f>
        <v>242.1934187857367</v>
      </c>
      <c r="AB115" s="437">
        <f ca="1">LiLAC!X118</f>
        <v>265.91422245926196</v>
      </c>
      <c r="AC115" s="437">
        <f ca="1">LiLAC!Y118</f>
        <v>271.26552969551733</v>
      </c>
      <c r="AD115" s="437">
        <f ca="1">LiLAC!Z118</f>
        <v>279.57563209749225</v>
      </c>
      <c r="AE115" s="437">
        <f>LiLAC!AA118</f>
        <v>0</v>
      </c>
      <c r="AF115" s="436"/>
      <c r="AG115" s="436"/>
      <c r="AH115" s="436"/>
      <c r="AI115" s="436"/>
      <c r="AJ115" s="430"/>
      <c r="AK115" s="430"/>
    </row>
    <row r="116" spans="2:37">
      <c r="B116" s="448"/>
      <c r="C116" s="436"/>
      <c r="D116" s="436"/>
      <c r="E116" s="436"/>
      <c r="F116" s="437"/>
      <c r="G116" s="437"/>
      <c r="H116" s="437"/>
      <c r="I116" s="437"/>
      <c r="J116" s="437"/>
      <c r="K116" s="437"/>
      <c r="L116" s="437"/>
      <c r="M116" s="437"/>
      <c r="N116" s="437"/>
      <c r="O116" s="437"/>
      <c r="P116" s="437"/>
      <c r="Q116" s="437"/>
      <c r="R116" s="437"/>
      <c r="S116" s="437"/>
      <c r="T116" s="437"/>
      <c r="U116" s="437"/>
      <c r="V116" s="437"/>
      <c r="W116" s="437"/>
      <c r="X116" s="437"/>
      <c r="Y116" s="437"/>
      <c r="Z116" s="436"/>
      <c r="AA116" s="436"/>
      <c r="AB116" s="436"/>
      <c r="AC116" s="436"/>
      <c r="AD116" s="436"/>
      <c r="AE116" s="436"/>
      <c r="AF116" s="436"/>
      <c r="AG116" s="436"/>
      <c r="AH116" s="436"/>
      <c r="AI116" s="436"/>
      <c r="AJ116" s="430"/>
      <c r="AK116" s="430"/>
    </row>
    <row r="117" spans="2:37">
      <c r="B117" s="448"/>
      <c r="C117" s="436"/>
      <c r="D117" s="436"/>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6"/>
      <c r="AA117" s="436"/>
      <c r="AB117" s="436"/>
      <c r="AC117" s="436"/>
      <c r="AD117" s="436"/>
      <c r="AE117" s="436"/>
      <c r="AF117" s="436"/>
      <c r="AG117" s="436"/>
      <c r="AH117" s="436"/>
      <c r="AI117" s="436"/>
      <c r="AJ117" s="430"/>
      <c r="AK117" s="430"/>
    </row>
    <row r="118" spans="2:37">
      <c r="B118" s="448" t="s">
        <v>1260</v>
      </c>
      <c r="C118" s="436"/>
      <c r="D118" s="436"/>
      <c r="E118" s="437"/>
      <c r="F118" s="449"/>
      <c r="G118" s="449"/>
      <c r="H118" s="449"/>
      <c r="I118" s="449"/>
      <c r="J118" s="449"/>
      <c r="K118" s="449"/>
      <c r="L118" s="449"/>
      <c r="M118" s="449"/>
      <c r="N118" s="449"/>
      <c r="O118" s="449"/>
      <c r="P118" s="449"/>
      <c r="Q118" s="449">
        <f>Q101/Q108</f>
        <v>2.0632606500047403</v>
      </c>
      <c r="R118" s="449">
        <f t="shared" ref="R118:AD118" si="7">R101/R108</f>
        <v>1.6902563100689758</v>
      </c>
      <c r="S118" s="449">
        <f t="shared" si="7"/>
        <v>1.4085607486597049</v>
      </c>
      <c r="T118" s="449">
        <f t="shared" si="7"/>
        <v>1.8976812365089284</v>
      </c>
      <c r="U118" s="449">
        <f t="shared" si="7"/>
        <v>1.7247021342481512</v>
      </c>
      <c r="V118" s="449">
        <f t="shared" si="7"/>
        <v>1.798459268188265</v>
      </c>
      <c r="W118" s="449">
        <f t="shared" si="7"/>
        <v>1.7163118434453655</v>
      </c>
      <c r="X118" s="449">
        <f t="shared" ca="1" si="7"/>
        <v>1.6376637676871022</v>
      </c>
      <c r="Y118" s="449">
        <f t="shared" ca="1" si="7"/>
        <v>1.7082311211636578</v>
      </c>
      <c r="Z118" s="449">
        <f t="shared" ca="1" si="7"/>
        <v>1.5887477322519084</v>
      </c>
      <c r="AA118" s="449">
        <f t="shared" ca="1" si="7"/>
        <v>1.163355945935749</v>
      </c>
      <c r="AB118" s="449">
        <f t="shared" ca="1" si="7"/>
        <v>0.82539066166027797</v>
      </c>
      <c r="AC118" s="449">
        <f t="shared" ca="1" si="7"/>
        <v>0.80445434402414462</v>
      </c>
      <c r="AD118" s="449">
        <f t="shared" ca="1" si="7"/>
        <v>0.77649768432923572</v>
      </c>
      <c r="AE118" s="449" t="e">
        <f t="shared" ref="AE118" si="8">AE101/AE108</f>
        <v>#DIV/0!</v>
      </c>
      <c r="AF118" s="436"/>
      <c r="AG118" s="436"/>
      <c r="AH118" s="436"/>
      <c r="AI118" s="436"/>
      <c r="AJ118" s="430"/>
      <c r="AK118" s="430"/>
    </row>
    <row r="119" spans="2:37">
      <c r="B119" s="448" t="s">
        <v>1261</v>
      </c>
      <c r="C119" s="436"/>
      <c r="D119" s="436"/>
      <c r="E119" s="436"/>
      <c r="F119" s="449"/>
      <c r="G119" s="449"/>
      <c r="H119" s="449"/>
      <c r="I119" s="449"/>
      <c r="J119" s="449"/>
      <c r="K119" s="449"/>
      <c r="L119" s="449"/>
      <c r="M119" s="449"/>
      <c r="N119" s="449"/>
      <c r="O119" s="449"/>
      <c r="P119" s="449"/>
      <c r="Q119" s="449">
        <f>Q104/Q108</f>
        <v>2.0654600047275968</v>
      </c>
      <c r="R119" s="449">
        <f t="shared" ref="R119:AD119" si="9">R104/R108</f>
        <v>1.6959245985987705</v>
      </c>
      <c r="S119" s="449">
        <f t="shared" si="9"/>
        <v>4.3460310150979673</v>
      </c>
      <c r="T119" s="449">
        <f t="shared" si="9"/>
        <v>4.4555166632646168</v>
      </c>
      <c r="U119" s="449">
        <f t="shared" si="9"/>
        <v>4.4457275715381401</v>
      </c>
      <c r="V119" s="449">
        <f t="shared" si="9"/>
        <v>4.5930922525620472</v>
      </c>
      <c r="W119" s="449">
        <f t="shared" si="9"/>
        <v>4.3052329026116727</v>
      </c>
      <c r="X119" s="449">
        <f t="shared" ca="1" si="9"/>
        <v>4.1187971466855746</v>
      </c>
      <c r="Y119" s="449">
        <f t="shared" ca="1" si="9"/>
        <v>3.9303581938112422</v>
      </c>
      <c r="Z119" s="449">
        <f t="shared" ca="1" si="9"/>
        <v>3.7396214385693858</v>
      </c>
      <c r="AA119" s="449">
        <f t="shared" ca="1" si="9"/>
        <v>3.1302822665091985</v>
      </c>
      <c r="AB119" s="449">
        <f t="shared" ca="1" si="9"/>
        <v>2.7498082320920942</v>
      </c>
      <c r="AC119" s="449">
        <f t="shared" ca="1" si="9"/>
        <v>1.1878395790440834</v>
      </c>
      <c r="AD119" s="449">
        <f t="shared" ca="1" si="9"/>
        <v>1.1465593906403988</v>
      </c>
      <c r="AE119" s="449" t="e">
        <f t="shared" ref="AE119" si="10">AE104/AE108</f>
        <v>#DIV/0!</v>
      </c>
      <c r="AF119" s="436"/>
      <c r="AG119" s="436"/>
      <c r="AH119" s="436"/>
      <c r="AI119" s="436"/>
      <c r="AJ119" s="430"/>
      <c r="AK119" s="430"/>
    </row>
    <row r="120" spans="2:37">
      <c r="B120" s="448" t="s">
        <v>1262</v>
      </c>
      <c r="C120" s="436"/>
      <c r="D120" s="436"/>
      <c r="E120" s="436"/>
      <c r="F120" s="449"/>
      <c r="G120" s="449"/>
      <c r="H120" s="449"/>
      <c r="I120" s="449"/>
      <c r="J120" s="449"/>
      <c r="K120" s="449"/>
      <c r="L120" s="449"/>
      <c r="M120" s="449"/>
      <c r="N120" s="449"/>
      <c r="O120" s="449"/>
      <c r="P120" s="449"/>
      <c r="Q120" s="449">
        <f>Q106/Q108</f>
        <v>1.9398894458321483</v>
      </c>
      <c r="R120" s="449">
        <f t="shared" ref="R120:AD120" si="11">R106/R108</f>
        <v>1.2942493464297147</v>
      </c>
      <c r="S120" s="449">
        <f t="shared" si="11"/>
        <v>4.1102627218815533</v>
      </c>
      <c r="T120" s="449">
        <f t="shared" si="11"/>
        <v>4.0646892862539961</v>
      </c>
      <c r="U120" s="449">
        <f t="shared" si="11"/>
        <v>4.0694662483769291</v>
      </c>
      <c r="V120" s="449">
        <f t="shared" ca="1" si="11"/>
        <v>4.6636306764140327</v>
      </c>
      <c r="W120" s="449">
        <f t="shared" ca="1" si="11"/>
        <v>4.660533192981438</v>
      </c>
      <c r="X120" s="449">
        <f t="shared" ca="1" si="11"/>
        <v>4.2842131048269581</v>
      </c>
      <c r="Y120" s="449">
        <f t="shared" ca="1" si="11"/>
        <v>4.0408686606079671</v>
      </c>
      <c r="Z120" s="449">
        <f t="shared" ca="1" si="11"/>
        <v>3.7933218419536527</v>
      </c>
      <c r="AA120" s="449">
        <f t="shared" ca="1" si="11"/>
        <v>3.5495575968091808</v>
      </c>
      <c r="AB120" s="449">
        <f t="shared" ca="1" si="11"/>
        <v>3.2555687786734824</v>
      </c>
      <c r="AC120" s="449">
        <f t="shared" ca="1" si="11"/>
        <v>2.9726418158770516</v>
      </c>
      <c r="AD120" s="449">
        <f t="shared" ca="1" si="11"/>
        <v>2.5999437051483367</v>
      </c>
      <c r="AE120" s="449" t="e">
        <f t="shared" ref="AE120" si="12">AE106/AE108</f>
        <v>#DIV/0!</v>
      </c>
      <c r="AF120" s="436"/>
      <c r="AG120" s="436"/>
      <c r="AH120" s="436"/>
      <c r="AI120" s="436"/>
      <c r="AJ120" s="430"/>
      <c r="AK120" s="430"/>
    </row>
    <row r="121" spans="2:37">
      <c r="B121" s="448"/>
      <c r="C121" s="436"/>
      <c r="D121" s="436"/>
      <c r="E121" s="437"/>
      <c r="F121" s="449"/>
      <c r="G121" s="449"/>
      <c r="H121" s="449"/>
      <c r="I121" s="449"/>
      <c r="J121" s="449"/>
      <c r="K121" s="449"/>
      <c r="L121" s="449"/>
      <c r="M121" s="449"/>
      <c r="N121" s="449"/>
      <c r="O121" s="449"/>
      <c r="P121" s="449"/>
      <c r="Q121" s="449"/>
      <c r="R121" s="449"/>
      <c r="S121" s="449"/>
      <c r="T121" s="449"/>
      <c r="U121" s="449"/>
      <c r="V121" s="449"/>
      <c r="W121" s="449"/>
      <c r="X121" s="449"/>
      <c r="Y121" s="449"/>
      <c r="Z121" s="436"/>
      <c r="AA121" s="436"/>
      <c r="AB121" s="436"/>
      <c r="AC121" s="436"/>
      <c r="AD121" s="436"/>
      <c r="AE121" s="436"/>
      <c r="AF121" s="436"/>
      <c r="AG121" s="436"/>
      <c r="AH121" s="436"/>
      <c r="AI121" s="436"/>
      <c r="AJ121" s="430"/>
      <c r="AK121" s="430"/>
    </row>
    <row r="122" spans="2:37">
      <c r="B122" s="448" t="s">
        <v>1263</v>
      </c>
      <c r="C122" s="436"/>
      <c r="D122" s="436"/>
      <c r="E122" s="437"/>
      <c r="F122" s="449"/>
      <c r="G122" s="449"/>
      <c r="H122" s="449"/>
      <c r="I122" s="449"/>
      <c r="J122" s="449"/>
      <c r="K122" s="449"/>
      <c r="L122" s="449"/>
      <c r="M122" s="449"/>
      <c r="N122" s="449"/>
      <c r="O122" s="449"/>
      <c r="P122" s="449"/>
      <c r="Q122" s="449">
        <f>Q108/Q111</f>
        <v>-9.4597297322559424</v>
      </c>
      <c r="R122" s="449">
        <f t="shared" ref="R122:AD122" si="13">R108/R111</f>
        <v>-5.7698312996603933</v>
      </c>
      <c r="S122" s="449">
        <f t="shared" si="13"/>
        <v>-3.4381588884990988</v>
      </c>
      <c r="T122" s="449">
        <f t="shared" si="13"/>
        <v>-3.1731991156391159</v>
      </c>
      <c r="U122" s="449">
        <f t="shared" si="13"/>
        <v>-2.7041704291557314</v>
      </c>
      <c r="V122" s="449">
        <f t="shared" si="13"/>
        <v>-2.306391339522218</v>
      </c>
      <c r="W122" s="449">
        <f t="shared" si="13"/>
        <v>-2.3314148501474032</v>
      </c>
      <c r="X122" s="449">
        <f t="shared" ca="1" si="13"/>
        <v>-2.5799551846043118</v>
      </c>
      <c r="Y122" s="449">
        <f t="shared" ca="1" si="13"/>
        <v>-2.6640237653815131</v>
      </c>
      <c r="Z122" s="449">
        <f t="shared" ca="1" si="13"/>
        <v>-2.7785836526880963</v>
      </c>
      <c r="AA122" s="449">
        <f t="shared" ca="1" si="13"/>
        <v>-3.0610959328697405</v>
      </c>
      <c r="AB122" s="449">
        <f t="shared" ca="1" si="13"/>
        <v>-3.4244334496607394</v>
      </c>
      <c r="AC122" s="449">
        <f t="shared" ca="1" si="13"/>
        <v>-5.253248431707644</v>
      </c>
      <c r="AD122" s="449">
        <f t="shared" ca="1" si="13"/>
        <v>-6.4794978053798813</v>
      </c>
      <c r="AE122" s="449" t="e">
        <f t="shared" ref="AE122" si="14">AE108/AE111</f>
        <v>#DIV/0!</v>
      </c>
      <c r="AF122" s="436"/>
      <c r="AG122" s="436"/>
      <c r="AH122" s="436"/>
      <c r="AI122" s="436"/>
      <c r="AJ122" s="430"/>
      <c r="AK122" s="430"/>
    </row>
    <row r="123" spans="2:37">
      <c r="B123" s="448" t="s">
        <v>1264</v>
      </c>
      <c r="C123" s="436"/>
      <c r="D123" s="436"/>
      <c r="E123" s="436"/>
      <c r="F123" s="449"/>
      <c r="G123" s="449"/>
      <c r="H123" s="449"/>
      <c r="I123" s="449"/>
      <c r="J123" s="449"/>
      <c r="K123" s="449"/>
      <c r="L123" s="449"/>
      <c r="M123" s="449"/>
      <c r="N123" s="449"/>
      <c r="O123" s="449"/>
      <c r="P123" s="449"/>
      <c r="Q123" s="449">
        <f>(Q108-Q115)/Q111</f>
        <v>-2.5079377049695748</v>
      </c>
      <c r="R123" s="449">
        <f t="shared" ref="R123:AD123" si="15">(R108-R115)/R111</f>
        <v>-2.5947384286453219</v>
      </c>
      <c r="S123" s="449">
        <f t="shared" si="15"/>
        <v>-1.592512195311655</v>
      </c>
      <c r="T123" s="449">
        <f t="shared" si="15"/>
        <v>-1.7236823641050751</v>
      </c>
      <c r="U123" s="449">
        <f t="shared" si="15"/>
        <v>-1.2645337209212377</v>
      </c>
      <c r="V123" s="449">
        <f t="shared" si="15"/>
        <v>-0.76501852205738219</v>
      </c>
      <c r="W123" s="449">
        <f t="shared" si="15"/>
        <v>-0.742635634847854</v>
      </c>
      <c r="X123" s="449">
        <f t="shared" ca="1" si="15"/>
        <v>-1.2613198893841173</v>
      </c>
      <c r="Y123" s="449">
        <f t="shared" ca="1" si="15"/>
        <v>-1.4106300561927476</v>
      </c>
      <c r="Z123" s="449">
        <f t="shared" ca="1" si="15"/>
        <v>-1.5282765582972615</v>
      </c>
      <c r="AA123" s="449">
        <f t="shared" ca="1" si="15"/>
        <v>-1.7284542802314826</v>
      </c>
      <c r="AB123" s="449">
        <f t="shared" ca="1" si="15"/>
        <v>-1.9366952783692373</v>
      </c>
      <c r="AC123" s="449">
        <f t="shared" ca="1" si="15"/>
        <v>-2.9841119959881057</v>
      </c>
      <c r="AD123" s="449">
        <f t="shared" ca="1" si="15"/>
        <v>-3.6951884565927449</v>
      </c>
      <c r="AE123" s="449" t="e">
        <f t="shared" ref="AE123" si="16">(AE108-AE115)/AE111</f>
        <v>#DIV/0!</v>
      </c>
      <c r="AF123" s="436"/>
      <c r="AG123" s="436"/>
      <c r="AH123" s="436"/>
      <c r="AI123" s="436"/>
      <c r="AJ123" s="430"/>
      <c r="AK123" s="430"/>
    </row>
    <row r="124" spans="2:37">
      <c r="B124" s="448"/>
      <c r="C124" s="436"/>
      <c r="D124" s="436"/>
      <c r="E124" s="436"/>
      <c r="F124" s="449"/>
      <c r="G124" s="449"/>
      <c r="H124" s="449"/>
      <c r="I124" s="449"/>
      <c r="J124" s="449"/>
      <c r="K124" s="449"/>
      <c r="L124" s="449"/>
      <c r="M124" s="449"/>
      <c r="N124" s="449"/>
      <c r="O124" s="449"/>
      <c r="P124" s="449"/>
      <c r="Q124" s="449"/>
      <c r="R124" s="449"/>
      <c r="S124" s="449"/>
      <c r="T124" s="449"/>
      <c r="U124" s="449"/>
      <c r="V124" s="449"/>
      <c r="W124" s="449"/>
      <c r="X124" s="449"/>
      <c r="Y124" s="449"/>
      <c r="Z124" s="436"/>
      <c r="AA124" s="436"/>
      <c r="AB124" s="436"/>
      <c r="AC124" s="436"/>
      <c r="AD124" s="436"/>
      <c r="AE124" s="436"/>
      <c r="AF124" s="436"/>
      <c r="AG124" s="436"/>
      <c r="AH124" s="436"/>
      <c r="AI124" s="436"/>
      <c r="AJ124" s="430"/>
      <c r="AK124" s="430"/>
    </row>
    <row r="125" spans="2:37">
      <c r="B125" s="448" t="s">
        <v>1265</v>
      </c>
      <c r="C125" s="436"/>
      <c r="D125" s="436"/>
      <c r="E125" s="436"/>
      <c r="F125" s="449"/>
      <c r="G125" s="449"/>
      <c r="H125" s="449"/>
      <c r="I125" s="449"/>
      <c r="J125" s="449"/>
      <c r="K125" s="449"/>
      <c r="L125" s="449"/>
      <c r="M125" s="449"/>
      <c r="N125" s="449"/>
      <c r="O125" s="449"/>
      <c r="P125" s="449"/>
      <c r="Q125" s="449">
        <f>(Q108-Q115)/(Q111+Q113)</f>
        <v>-1.7294746781245405</v>
      </c>
      <c r="R125" s="449">
        <f t="shared" ref="R125:AD125" si="17">(R108-R115)/(R111+R113)</f>
        <v>-0.28293787337850385</v>
      </c>
      <c r="S125" s="449">
        <f t="shared" si="17"/>
        <v>-0.33100998096439432</v>
      </c>
      <c r="T125" s="449">
        <f t="shared" si="17"/>
        <v>-1.7192486020423443</v>
      </c>
      <c r="U125" s="449">
        <f t="shared" si="17"/>
        <v>-1.2619945484127386</v>
      </c>
      <c r="V125" s="449">
        <f t="shared" si="17"/>
        <v>-0.76501852205738219</v>
      </c>
      <c r="W125" s="449">
        <f t="shared" si="17"/>
        <v>-0.742635634847854</v>
      </c>
      <c r="X125" s="449">
        <f t="shared" ca="1" si="17"/>
        <v>-1.2613198893841173</v>
      </c>
      <c r="Y125" s="449">
        <f t="shared" ca="1" si="17"/>
        <v>-1.4106300561927476</v>
      </c>
      <c r="Z125" s="449">
        <f t="shared" ca="1" si="17"/>
        <v>-1.5282765582972615</v>
      </c>
      <c r="AA125" s="449">
        <f t="shared" ca="1" si="17"/>
        <v>-0.44135279123191473</v>
      </c>
      <c r="AB125" s="449">
        <f t="shared" ca="1" si="17"/>
        <v>-1.0792621814611845</v>
      </c>
      <c r="AC125" s="449">
        <f t="shared" ca="1" si="17"/>
        <v>-0.33760875008028857</v>
      </c>
      <c r="AD125" s="449">
        <f t="shared" ca="1" si="17"/>
        <v>-3.6951884565927449</v>
      </c>
      <c r="AE125" s="449" t="e">
        <f t="shared" ref="AE125" si="18">(AE108-AE115)/(AE111+AE113)</f>
        <v>#DIV/0!</v>
      </c>
      <c r="AF125" s="436"/>
      <c r="AG125" s="436"/>
      <c r="AH125" s="436"/>
      <c r="AI125" s="436"/>
      <c r="AJ125" s="430"/>
      <c r="AK125" s="430"/>
    </row>
    <row r="126" spans="2:37">
      <c r="B126" s="448"/>
      <c r="C126" s="436"/>
      <c r="D126" s="436"/>
      <c r="E126" s="437"/>
      <c r="F126" s="437"/>
      <c r="G126" s="437"/>
      <c r="H126" s="437"/>
      <c r="I126" s="437"/>
      <c r="J126" s="437"/>
      <c r="K126" s="437"/>
      <c r="L126" s="437"/>
      <c r="M126" s="437"/>
      <c r="N126" s="437"/>
      <c r="O126" s="437"/>
      <c r="P126" s="437"/>
      <c r="Q126" s="437"/>
      <c r="R126" s="437"/>
      <c r="S126" s="437"/>
      <c r="T126" s="436"/>
      <c r="U126" s="436"/>
      <c r="V126" s="436"/>
      <c r="W126" s="436"/>
      <c r="X126" s="436"/>
      <c r="Y126" s="436"/>
      <c r="Z126" s="436"/>
      <c r="AA126" s="436"/>
      <c r="AB126" s="436"/>
      <c r="AC126" s="436"/>
      <c r="AD126" s="436"/>
      <c r="AE126" s="436"/>
      <c r="AF126" s="436"/>
      <c r="AG126" s="436"/>
      <c r="AH126" s="436"/>
      <c r="AI126" s="436"/>
      <c r="AJ126" s="430"/>
      <c r="AK126" s="430"/>
    </row>
    <row r="127" spans="2:37">
      <c r="B127" s="448" t="s">
        <v>1266</v>
      </c>
      <c r="C127" s="436"/>
      <c r="D127" s="436"/>
      <c r="E127" s="437"/>
      <c r="F127" s="437"/>
      <c r="G127" s="437"/>
      <c r="H127" s="437"/>
      <c r="I127" s="450"/>
      <c r="J127" s="450"/>
      <c r="K127" s="450"/>
      <c r="L127" s="450"/>
      <c r="M127" s="450"/>
      <c r="N127" s="450"/>
      <c r="O127" s="450"/>
      <c r="P127" s="450"/>
      <c r="Q127" s="450"/>
      <c r="R127" s="450"/>
      <c r="S127" s="450"/>
      <c r="T127" s="436"/>
      <c r="U127" s="436"/>
      <c r="V127" s="436"/>
      <c r="W127" s="436"/>
      <c r="X127" s="436"/>
      <c r="Y127" s="436"/>
      <c r="Z127" s="436"/>
      <c r="AA127" s="436"/>
      <c r="AB127" s="436"/>
      <c r="AC127" s="436"/>
      <c r="AD127" s="436"/>
      <c r="AE127" s="436"/>
      <c r="AF127" s="436"/>
      <c r="AG127" s="436"/>
      <c r="AH127" s="436"/>
      <c r="AI127" s="436"/>
      <c r="AJ127" s="430"/>
      <c r="AK127" s="430"/>
    </row>
    <row r="128" spans="2:37">
      <c r="B128" s="448" t="s">
        <v>1267</v>
      </c>
      <c r="C128" s="436"/>
      <c r="D128" s="436"/>
      <c r="E128" s="436"/>
      <c r="F128" s="437"/>
      <c r="G128" s="437"/>
      <c r="H128" s="437"/>
      <c r="I128" s="450"/>
      <c r="J128" s="450"/>
      <c r="K128" s="450"/>
      <c r="L128" s="450"/>
      <c r="M128" s="450"/>
      <c r="N128" s="450"/>
      <c r="O128" s="450"/>
      <c r="P128" s="450"/>
      <c r="Q128" s="450"/>
      <c r="R128" s="450"/>
      <c r="S128" s="450"/>
      <c r="T128" s="436"/>
      <c r="U128" s="436"/>
      <c r="V128" s="436"/>
      <c r="W128" s="436"/>
      <c r="X128" s="436"/>
      <c r="Y128" s="436"/>
      <c r="Z128" s="436"/>
      <c r="AA128" s="436"/>
      <c r="AB128" s="436"/>
      <c r="AC128" s="436"/>
      <c r="AD128" s="436"/>
      <c r="AE128" s="436"/>
      <c r="AF128" s="436"/>
      <c r="AG128" s="436"/>
      <c r="AH128" s="436"/>
      <c r="AI128" s="436"/>
      <c r="AJ128" s="430"/>
      <c r="AK128" s="430"/>
    </row>
    <row r="129" spans="2:37">
      <c r="B129" s="448" t="s">
        <v>1268</v>
      </c>
      <c r="C129" s="436"/>
      <c r="D129" s="436"/>
      <c r="E129" s="436"/>
      <c r="F129" s="437"/>
      <c r="G129" s="437"/>
      <c r="H129" s="437"/>
      <c r="I129" s="450"/>
      <c r="J129" s="450"/>
      <c r="K129" s="450"/>
      <c r="L129" s="450"/>
      <c r="M129" s="450"/>
      <c r="N129" s="450"/>
      <c r="O129" s="450"/>
      <c r="P129" s="450"/>
      <c r="Q129" s="450"/>
      <c r="R129" s="450"/>
      <c r="S129" s="450"/>
      <c r="T129" s="436"/>
      <c r="U129" s="436"/>
      <c r="V129" s="436"/>
      <c r="W129" s="436"/>
      <c r="X129" s="436"/>
      <c r="Y129" s="436"/>
      <c r="Z129" s="436"/>
      <c r="AA129" s="436"/>
      <c r="AB129" s="436"/>
      <c r="AC129" s="436"/>
      <c r="AD129" s="436"/>
      <c r="AE129" s="436"/>
      <c r="AF129" s="436"/>
      <c r="AG129" s="436"/>
      <c r="AH129" s="436"/>
      <c r="AI129" s="436"/>
      <c r="AJ129" s="430"/>
      <c r="AK129" s="430"/>
    </row>
    <row r="130" spans="2:37">
      <c r="B130" s="448"/>
      <c r="C130" s="436"/>
      <c r="D130" s="436"/>
      <c r="E130" s="436"/>
      <c r="F130" s="437"/>
      <c r="G130" s="437"/>
      <c r="H130" s="437"/>
      <c r="I130" s="437"/>
      <c r="J130" s="437"/>
      <c r="K130" s="437"/>
      <c r="L130" s="437"/>
      <c r="M130" s="437"/>
      <c r="N130" s="437"/>
      <c r="O130" s="437"/>
      <c r="P130" s="437"/>
      <c r="Q130" s="437"/>
      <c r="R130" s="437"/>
      <c r="S130" s="437"/>
      <c r="T130" s="436"/>
      <c r="U130" s="436"/>
      <c r="V130" s="436"/>
      <c r="W130" s="436"/>
      <c r="X130" s="436"/>
      <c r="Y130" s="436"/>
      <c r="Z130" s="436"/>
      <c r="AA130" s="436"/>
      <c r="AB130" s="436"/>
      <c r="AC130" s="436"/>
      <c r="AD130" s="436"/>
      <c r="AE130" s="436"/>
      <c r="AF130" s="436"/>
      <c r="AG130" s="436"/>
      <c r="AH130" s="436"/>
      <c r="AI130" s="436"/>
      <c r="AJ130" s="430"/>
      <c r="AK130" s="430"/>
    </row>
    <row r="131" spans="2:37">
      <c r="B131" s="448"/>
      <c r="C131" s="436"/>
      <c r="D131" s="436"/>
      <c r="E131" s="436"/>
      <c r="F131" s="437"/>
      <c r="G131" s="437"/>
      <c r="H131" s="437"/>
      <c r="I131" s="437"/>
      <c r="J131" s="437"/>
      <c r="K131" s="437"/>
      <c r="L131" s="437"/>
      <c r="M131" s="437"/>
      <c r="N131" s="437"/>
      <c r="O131" s="437"/>
      <c r="P131" s="437"/>
      <c r="Q131" s="437"/>
      <c r="R131" s="437"/>
      <c r="S131" s="437"/>
      <c r="T131" s="436"/>
      <c r="U131" s="436"/>
      <c r="V131" s="436"/>
      <c r="W131" s="436"/>
      <c r="X131" s="436"/>
      <c r="Y131" s="436"/>
      <c r="Z131" s="436"/>
      <c r="AA131" s="436"/>
      <c r="AB131" s="436"/>
      <c r="AC131" s="436"/>
      <c r="AD131" s="436"/>
      <c r="AE131" s="436"/>
      <c r="AF131" s="436"/>
      <c r="AG131" s="436"/>
      <c r="AH131" s="436"/>
      <c r="AI131" s="436"/>
      <c r="AJ131" s="430"/>
      <c r="AK131" s="430"/>
    </row>
    <row r="132" spans="2:37">
      <c r="B132" s="451"/>
      <c r="C132" s="430"/>
      <c r="D132" s="430"/>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row>
    <row r="133" spans="2:37">
      <c r="B133" s="434" t="s">
        <v>784</v>
      </c>
      <c r="C133" s="435">
        <v>1998</v>
      </c>
      <c r="D133" s="435">
        <v>1999</v>
      </c>
      <c r="E133" s="435">
        <v>2000</v>
      </c>
      <c r="F133" s="435">
        <v>2001</v>
      </c>
      <c r="G133" s="435">
        <v>2002</v>
      </c>
      <c r="H133" s="435">
        <v>2003</v>
      </c>
      <c r="I133" s="435">
        <v>2004</v>
      </c>
      <c r="J133" s="435">
        <v>2005</v>
      </c>
      <c r="K133" s="435">
        <v>2006</v>
      </c>
      <c r="L133" s="435">
        <v>2007</v>
      </c>
      <c r="M133" s="435">
        <v>2008</v>
      </c>
      <c r="N133" s="435">
        <v>2009</v>
      </c>
      <c r="O133" s="435">
        <v>2010</v>
      </c>
      <c r="P133" s="435">
        <v>2011</v>
      </c>
      <c r="Q133" s="435">
        <v>2012</v>
      </c>
      <c r="R133" s="435">
        <v>2013</v>
      </c>
      <c r="S133" s="435">
        <v>2014</v>
      </c>
      <c r="T133" s="435">
        <v>2015</v>
      </c>
      <c r="U133" s="435">
        <v>2016</v>
      </c>
      <c r="V133" s="435">
        <v>2017</v>
      </c>
      <c r="W133" s="435">
        <v>2018</v>
      </c>
      <c r="X133" s="435">
        <v>2019</v>
      </c>
      <c r="Y133" s="435">
        <v>2020</v>
      </c>
      <c r="Z133" s="435">
        <v>2021</v>
      </c>
      <c r="AA133" s="435">
        <v>2022</v>
      </c>
      <c r="AB133" s="435">
        <v>2023</v>
      </c>
      <c r="AC133" s="435">
        <v>2024</v>
      </c>
      <c r="AD133" s="435">
        <v>2025</v>
      </c>
      <c r="AE133" s="435">
        <v>2025</v>
      </c>
      <c r="AF133" s="435">
        <v>2027</v>
      </c>
      <c r="AG133" s="435">
        <v>2028</v>
      </c>
      <c r="AH133" s="435">
        <v>2029</v>
      </c>
      <c r="AI133" s="435">
        <v>2030</v>
      </c>
      <c r="AJ133" s="430"/>
      <c r="AK133" s="430"/>
    </row>
    <row r="134" spans="2:37">
      <c r="B134" s="429" t="s">
        <v>27</v>
      </c>
      <c r="C134" s="437"/>
      <c r="D134" s="437"/>
      <c r="E134" s="437"/>
      <c r="F134" s="437"/>
      <c r="G134" s="437"/>
      <c r="H134" s="437"/>
      <c r="I134" s="437"/>
      <c r="J134" s="437"/>
      <c r="K134" s="437"/>
      <c r="L134" s="437"/>
      <c r="M134" s="437"/>
      <c r="N134" s="437"/>
      <c r="O134" s="437"/>
      <c r="P134" s="437"/>
      <c r="Q134" s="437">
        <f>LiLAC!M165+LiLAC!M166</f>
        <v>97.115789906634348</v>
      </c>
      <c r="R134" s="437">
        <f>LiLAC!N165+LiLAC!N166</f>
        <v>207.00610556060155</v>
      </c>
      <c r="S134" s="437">
        <f>LiLAC!O165+LiLAC!O166</f>
        <v>220.97875113883242</v>
      </c>
      <c r="T134" s="437">
        <f>LiLAC!P165+LiLAC!P166</f>
        <v>267.35205479452048</v>
      </c>
      <c r="U134" s="437">
        <f>LiLAC!Q165+LiLAC!Q166</f>
        <v>251.39444551248874</v>
      </c>
      <c r="V134" s="437">
        <f>LiLAC!R165+LiLAC!R166</f>
        <v>171.00616522811339</v>
      </c>
      <c r="W134" s="437">
        <f>LiLAC!S165+LiLAC!S166</f>
        <v>172.0812094958917</v>
      </c>
      <c r="X134" s="437">
        <f ca="1">LiLAC!T165+LiLAC!T166</f>
        <v>276.79724569387372</v>
      </c>
      <c r="Y134" s="437">
        <f ca="1">LiLAC!U165+LiLAC!U166</f>
        <v>287.40997142905542</v>
      </c>
      <c r="Z134" s="437">
        <f ca="1">LiLAC!V165+LiLAC!V166</f>
        <v>320.99402956669951</v>
      </c>
      <c r="AA134" s="437">
        <f ca="1">LiLAC!W165+LiLAC!W166</f>
        <v>314.12814578874332</v>
      </c>
      <c r="AB134" s="437">
        <f ca="1">LiLAC!X165+LiLAC!X166</f>
        <v>346.15957903467233</v>
      </c>
      <c r="AC134" s="437">
        <f ca="1">LiLAC!Y165+LiLAC!Y166</f>
        <v>356.73779175194215</v>
      </c>
      <c r="AD134" s="437">
        <f ca="1">LiLAC!Z165+LiLAC!Z166</f>
        <v>371.03802740930774</v>
      </c>
      <c r="AE134" s="437">
        <f>LiLAC!AA165+LiLAC!AA166</f>
        <v>0</v>
      </c>
      <c r="AF134" s="439"/>
      <c r="AG134" s="439"/>
      <c r="AH134" s="439"/>
      <c r="AI134" s="439"/>
      <c r="AJ134" s="430"/>
      <c r="AK134" s="430"/>
    </row>
    <row r="135" spans="2:37">
      <c r="B135" s="429" t="s">
        <v>118</v>
      </c>
      <c r="C135" s="437"/>
      <c r="D135" s="437"/>
      <c r="E135" s="437"/>
      <c r="F135" s="437"/>
      <c r="G135" s="437"/>
      <c r="H135" s="437"/>
      <c r="I135" s="437"/>
      <c r="J135" s="437"/>
      <c r="K135" s="437"/>
      <c r="L135" s="437"/>
      <c r="M135" s="437"/>
      <c r="N135" s="437"/>
      <c r="O135" s="437"/>
      <c r="P135" s="437"/>
      <c r="Q135" s="437">
        <f>LiLAC!M169</f>
        <v>-36.197314194052566</v>
      </c>
      <c r="R135" s="437">
        <f>LiLAC!N169</f>
        <v>-68.498365122615809</v>
      </c>
      <c r="S135" s="437">
        <f>LiLAC!O169</f>
        <v>-88.663956829490502</v>
      </c>
      <c r="T135" s="437">
        <f>LiLAC!P169</f>
        <v>-191.82990867579912</v>
      </c>
      <c r="U135" s="437">
        <f>LiLAC!Q169</f>
        <v>-204.48449298294909</v>
      </c>
      <c r="V135" s="437">
        <f>LiLAC!R169</f>
        <v>-228.27314303329223</v>
      </c>
      <c r="W135" s="437">
        <f>LiLAC!S169</f>
        <v>-229.95982633881994</v>
      </c>
      <c r="X135" s="437">
        <f>LiLAC!T169</f>
        <v>-215.67768421052631</v>
      </c>
      <c r="Y135" s="437">
        <f>LiLAC!U169</f>
        <v>-198.7346818181818</v>
      </c>
      <c r="Z135" s="437">
        <f>LiLAC!V169</f>
        <v>-204.18639159001313</v>
      </c>
      <c r="AA135" s="437">
        <f>LiLAC!W169</f>
        <v>-176.51740206185565</v>
      </c>
      <c r="AB135" s="437">
        <f>LiLAC!X169</f>
        <v>-172.99219774718398</v>
      </c>
      <c r="AC135" s="437">
        <f>LiLAC!Y169</f>
        <v>-114.04945006165227</v>
      </c>
      <c r="AD135" s="437">
        <f>LiLAC!Z169</f>
        <v>-62.03958569667077</v>
      </c>
      <c r="AE135" s="437">
        <f>LiLAC!AA169</f>
        <v>0</v>
      </c>
      <c r="AF135" s="439"/>
      <c r="AG135" s="439"/>
      <c r="AH135" s="439"/>
      <c r="AI135" s="439"/>
      <c r="AJ135" s="430"/>
      <c r="AK135" s="430"/>
    </row>
    <row r="136" spans="2:37">
      <c r="B136" s="429" t="s">
        <v>1269</v>
      </c>
      <c r="C136" s="437"/>
      <c r="D136" s="437"/>
      <c r="E136" s="437"/>
      <c r="F136" s="437"/>
      <c r="G136" s="437"/>
      <c r="H136" s="437"/>
      <c r="I136" s="437"/>
      <c r="J136" s="437"/>
      <c r="K136" s="437"/>
      <c r="L136" s="437"/>
      <c r="M136" s="437"/>
      <c r="N136" s="437"/>
      <c r="O136" s="437"/>
      <c r="P136" s="437"/>
      <c r="Q136" s="437">
        <f>LiLAC!M170</f>
        <v>-22.004688849586639</v>
      </c>
      <c r="R136" s="437">
        <f>LiLAC!N170</f>
        <v>-39.15632253506913</v>
      </c>
      <c r="S136" s="437">
        <f>LiLAC!O170</f>
        <v>-35.917022916812677</v>
      </c>
      <c r="T136" s="437">
        <f>LiLAC!P170</f>
        <v>-56.316590563165903</v>
      </c>
      <c r="U136" s="437">
        <f>LiLAC!Q170</f>
        <v>-60.553221632333148</v>
      </c>
      <c r="V136" s="437">
        <f>LiLAC!R170</f>
        <v>-61.737469219903303</v>
      </c>
      <c r="W136" s="437">
        <f>LiLAC!S170</f>
        <v>-62.392350176465115</v>
      </c>
      <c r="X136" s="437">
        <f>LiLAC!T170</f>
        <v>-57.846824019612505</v>
      </c>
      <c r="Y136" s="437">
        <f ca="1">LiLAC!U170</f>
        <v>-38.879134237327477</v>
      </c>
      <c r="Z136" s="437">
        <f ca="1">LiLAC!V170</f>
        <v>-46.900722642087679</v>
      </c>
      <c r="AA136" s="437">
        <f ca="1">LiLAC!W170</f>
        <v>-47.086474324053427</v>
      </c>
      <c r="AB136" s="437">
        <f ca="1">LiLAC!X170</f>
        <v>-58.314016780304492</v>
      </c>
      <c r="AC136" s="437">
        <f ca="1">LiLAC!Y170</f>
        <v>-82.577005055006694</v>
      </c>
      <c r="AD136" s="437">
        <f ca="1">LiLAC!Z170</f>
        <v>-96.232085648686024</v>
      </c>
      <c r="AE136" s="437">
        <f>LiLAC!AA170</f>
        <v>0</v>
      </c>
      <c r="AF136" s="439"/>
      <c r="AG136" s="439"/>
      <c r="AH136" s="439"/>
      <c r="AI136" s="439"/>
      <c r="AJ136" s="430"/>
      <c r="AK136" s="430"/>
    </row>
    <row r="137" spans="2:37">
      <c r="B137" s="429" t="s">
        <v>1270</v>
      </c>
      <c r="C137" s="437"/>
      <c r="D137" s="437"/>
      <c r="E137" s="437"/>
      <c r="F137" s="437"/>
      <c r="G137" s="437"/>
      <c r="H137" s="437"/>
      <c r="I137" s="437"/>
      <c r="J137" s="437"/>
      <c r="K137" s="437"/>
      <c r="L137" s="437"/>
      <c r="M137" s="437"/>
      <c r="N137" s="437"/>
      <c r="O137" s="437"/>
      <c r="P137" s="437"/>
      <c r="Q137" s="437">
        <f>LiLAC!M167</f>
        <v>-97.527092501953675</v>
      </c>
      <c r="R137" s="437">
        <f>LiLAC!N167</f>
        <v>-66.827954384902611</v>
      </c>
      <c r="S137" s="437">
        <f>LiLAC!O167</f>
        <v>-71.476256219777142</v>
      </c>
      <c r="T137" s="437">
        <f>LiLAC!P167</f>
        <v>-12.533333333333335</v>
      </c>
      <c r="U137" s="437">
        <f ca="1">LiLAC!Q167</f>
        <v>-21.832939733537202</v>
      </c>
      <c r="V137" s="437">
        <f ca="1">LiLAC!R167</f>
        <v>-22.593604161138771</v>
      </c>
      <c r="W137" s="437">
        <f ca="1">LiLAC!S167</f>
        <v>-23.817436767194778</v>
      </c>
      <c r="X137" s="437">
        <f ca="1">LiLAC!T167</f>
        <v>-23.707958286046861</v>
      </c>
      <c r="Y137" s="437">
        <f ca="1">LiLAC!U167</f>
        <v>-22.388143949415696</v>
      </c>
      <c r="Z137" s="437">
        <f ca="1">LiLAC!V167</f>
        <v>-24.032595670718226</v>
      </c>
      <c r="AA137" s="437">
        <f ca="1">LiLAC!W167</f>
        <v>-22.348714532456242</v>
      </c>
      <c r="AB137" s="437">
        <f ca="1">LiLAC!X167</f>
        <v>-24.913255718891939</v>
      </c>
      <c r="AC137" s="437">
        <f ca="1">LiLAC!Y167</f>
        <v>-25.541766043375251</v>
      </c>
      <c r="AD137" s="437">
        <f ca="1">LiLAC!Z167</f>
        <v>-26.496310737783489</v>
      </c>
      <c r="AE137" s="437">
        <f>LiLAC!AA167</f>
        <v>0</v>
      </c>
      <c r="AF137" s="439"/>
      <c r="AG137" s="439"/>
      <c r="AH137" s="439"/>
      <c r="AI137" s="439"/>
      <c r="AJ137" s="430"/>
      <c r="AK137" s="430"/>
    </row>
    <row r="138" spans="2:37">
      <c r="B138" s="429" t="s">
        <v>1271</v>
      </c>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c r="AB138" s="437"/>
      <c r="AC138" s="437"/>
      <c r="AD138" s="437"/>
      <c r="AE138" s="437"/>
      <c r="AF138" s="439"/>
      <c r="AG138" s="439"/>
      <c r="AH138" s="439"/>
      <c r="AI138" s="439"/>
      <c r="AJ138" s="430"/>
      <c r="AK138" s="430"/>
    </row>
    <row r="139" spans="2:37">
      <c r="B139" s="429" t="s">
        <v>1272</v>
      </c>
      <c r="C139" s="437"/>
      <c r="D139" s="437"/>
      <c r="E139" s="437"/>
      <c r="F139" s="437"/>
      <c r="G139" s="437"/>
      <c r="H139" s="437"/>
      <c r="I139" s="437"/>
      <c r="J139" s="437"/>
      <c r="K139" s="437"/>
      <c r="L139" s="437"/>
      <c r="M139" s="437"/>
      <c r="N139" s="437"/>
      <c r="O139" s="437"/>
      <c r="P139" s="437"/>
      <c r="Q139" s="437">
        <f t="shared" ref="Q139:AD139" si="19">Q143-Q142-Q141-Q140-Q138-Q137-Q136-Q135-Q134</f>
        <v>1349.8015598711277</v>
      </c>
      <c r="R139" s="437">
        <f t="shared" si="19"/>
        <v>-811.8140158002517</v>
      </c>
      <c r="S139" s="437">
        <f t="shared" si="19"/>
        <v>939.95711357322625</v>
      </c>
      <c r="T139" s="437">
        <f t="shared" si="19"/>
        <v>-49.550396816369272</v>
      </c>
      <c r="U139" s="437">
        <f t="shared" ca="1" si="19"/>
        <v>253.3036530530938</v>
      </c>
      <c r="V139" s="437">
        <f t="shared" ca="1" si="19"/>
        <v>369.19869176070068</v>
      </c>
      <c r="W139" s="437">
        <f t="shared" ca="1" si="19"/>
        <v>268.49369601557333</v>
      </c>
      <c r="X139" s="437">
        <f t="shared" ca="1" si="19"/>
        <v>-180.71293172472068</v>
      </c>
      <c r="Y139" s="437">
        <f t="shared" ca="1" si="19"/>
        <v>-248.69353679909761</v>
      </c>
      <c r="Z139" s="437">
        <f t="shared" ca="1" si="19"/>
        <v>-14.393023840261094</v>
      </c>
      <c r="AA139" s="437">
        <f t="shared" ca="1" si="19"/>
        <v>-296.27903783743551</v>
      </c>
      <c r="AB139" s="437">
        <f t="shared" ca="1" si="19"/>
        <v>-60.987186204763589</v>
      </c>
      <c r="AC139" s="437">
        <f t="shared" ca="1" si="19"/>
        <v>-249.38899513515554</v>
      </c>
      <c r="AD139" s="437">
        <f t="shared" ca="1" si="19"/>
        <v>-350.54009065233521</v>
      </c>
      <c r="AE139" s="437">
        <f t="shared" ref="AE139" ca="1" si="20">AE143-AE142-AE141-AE140-AE138-AE137-AE136-AE135-AE134</f>
        <v>-1691.5588885182278</v>
      </c>
      <c r="AF139" s="439"/>
      <c r="AG139" s="439"/>
      <c r="AH139" s="439"/>
      <c r="AI139" s="439"/>
      <c r="AJ139" s="430"/>
      <c r="AK139" s="430"/>
    </row>
    <row r="140" spans="2:37">
      <c r="B140" s="429" t="s">
        <v>1273</v>
      </c>
      <c r="C140" s="437"/>
      <c r="D140" s="437"/>
      <c r="E140" s="437"/>
      <c r="F140" s="437"/>
      <c r="G140" s="437"/>
      <c r="H140" s="437"/>
      <c r="I140" s="437"/>
      <c r="J140" s="437"/>
      <c r="K140" s="437"/>
      <c r="L140" s="437"/>
      <c r="M140" s="437"/>
      <c r="N140" s="437"/>
      <c r="O140" s="437"/>
      <c r="P140" s="437"/>
      <c r="Q140" s="437">
        <f>LiLAC!M173</f>
        <v>-21.30641220746103</v>
      </c>
      <c r="R140" s="437">
        <f>LiLAC!N173</f>
        <v>737.42951861943686</v>
      </c>
      <c r="S140" s="437">
        <f>LiLAC!O173</f>
        <v>-147.87301142336534</v>
      </c>
      <c r="T140" s="437">
        <f>LiLAC!P173</f>
        <v>6.8000000000000007</v>
      </c>
      <c r="U140" s="437">
        <f>LiLAC!Q173</f>
        <v>0</v>
      </c>
      <c r="V140" s="437">
        <f>LiLAC!R173</f>
        <v>0</v>
      </c>
      <c r="W140" s="437">
        <f>LiLAC!S173</f>
        <v>0</v>
      </c>
      <c r="X140" s="437">
        <f>LiLAC!T173</f>
        <v>0</v>
      </c>
      <c r="Y140" s="437">
        <f>LiLAC!U173</f>
        <v>0</v>
      </c>
      <c r="Z140" s="437">
        <f>LiLAC!V173</f>
        <v>0</v>
      </c>
      <c r="AA140" s="437">
        <f>LiLAC!W173</f>
        <v>0</v>
      </c>
      <c r="AB140" s="437">
        <f>LiLAC!X173</f>
        <v>0</v>
      </c>
      <c r="AC140" s="437">
        <f>LiLAC!Y173</f>
        <v>0</v>
      </c>
      <c r="AD140" s="437">
        <f>LiLAC!Z173</f>
        <v>0</v>
      </c>
      <c r="AE140" s="437">
        <f>LiLAC!AA173</f>
        <v>0</v>
      </c>
      <c r="AF140" s="439"/>
      <c r="AG140" s="439"/>
      <c r="AH140" s="439"/>
      <c r="AI140" s="439"/>
      <c r="AJ140" s="430"/>
      <c r="AK140" s="430"/>
    </row>
    <row r="141" spans="2:37">
      <c r="B141" s="429" t="s">
        <v>1274</v>
      </c>
      <c r="C141" s="437"/>
      <c r="D141" s="437"/>
      <c r="E141" s="437"/>
      <c r="F141" s="437"/>
      <c r="G141" s="437"/>
      <c r="H141" s="437"/>
      <c r="I141" s="437"/>
      <c r="J141" s="437"/>
      <c r="K141" s="437"/>
      <c r="L141" s="437"/>
      <c r="M141" s="437"/>
      <c r="N141" s="437"/>
      <c r="O141" s="437"/>
      <c r="P141" s="437"/>
      <c r="Q141" s="437">
        <f>LiLAC!M174</f>
        <v>-9.6469337391519687</v>
      </c>
      <c r="R141" s="437">
        <f>LiLAC!N174</f>
        <v>-22.777343828842497</v>
      </c>
      <c r="S141" s="437">
        <f>LiLAC!O174</f>
        <v>-37.166809166724946</v>
      </c>
      <c r="T141" s="437">
        <f>LiLAC!P174</f>
        <v>77.200000000000017</v>
      </c>
      <c r="U141" s="437">
        <f ca="1">LiLAC!Q174</f>
        <v>-46.639240506329131</v>
      </c>
      <c r="V141" s="437">
        <f>LiLAC!R174</f>
        <v>-11</v>
      </c>
      <c r="W141" s="437">
        <f>LiLAC!S174</f>
        <v>-11</v>
      </c>
      <c r="X141" s="437">
        <f>LiLAC!T174</f>
        <v>109</v>
      </c>
      <c r="Y141" s="437">
        <f>LiLAC!U174</f>
        <v>-11</v>
      </c>
      <c r="Z141" s="437">
        <f>LiLAC!V174</f>
        <v>-10.999999999999998</v>
      </c>
      <c r="AA141" s="437">
        <f>LiLAC!W174</f>
        <v>-11</v>
      </c>
      <c r="AB141" s="437">
        <f>LiLAC!X174</f>
        <v>-11</v>
      </c>
      <c r="AC141" s="437">
        <f>LiLAC!Y174</f>
        <v>-11</v>
      </c>
      <c r="AD141" s="437">
        <f>LiLAC!Z174</f>
        <v>-11</v>
      </c>
      <c r="AE141" s="437">
        <f>LiLAC!AA174</f>
        <v>0</v>
      </c>
      <c r="AF141" s="439"/>
      <c r="AG141" s="439"/>
      <c r="AH141" s="439"/>
      <c r="AI141" s="439"/>
      <c r="AJ141" s="430"/>
      <c r="AK141" s="430"/>
    </row>
    <row r="142" spans="2:37">
      <c r="B142" s="429" t="s">
        <v>1275</v>
      </c>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9"/>
      <c r="AG142" s="439"/>
      <c r="AH142" s="439"/>
      <c r="AI142" s="439"/>
      <c r="AJ142" s="430"/>
      <c r="AK142" s="430"/>
    </row>
    <row r="143" spans="2:37">
      <c r="B143" s="429" t="s">
        <v>116</v>
      </c>
      <c r="C143" s="437"/>
      <c r="D143" s="437"/>
      <c r="E143" s="437"/>
      <c r="F143" s="437"/>
      <c r="G143" s="437"/>
      <c r="H143" s="437"/>
      <c r="I143" s="437"/>
      <c r="J143" s="437"/>
      <c r="K143" s="437"/>
      <c r="L143" s="437"/>
      <c r="M143" s="437"/>
      <c r="N143" s="437"/>
      <c r="O143" s="437"/>
      <c r="P143" s="437"/>
      <c r="Q143" s="437">
        <f>+Q27-P27</f>
        <v>1260.234908285556</v>
      </c>
      <c r="R143" s="437">
        <f t="shared" ref="R143:AE143" si="21">+R27-Q27</f>
        <v>-64.638377491643269</v>
      </c>
      <c r="S143" s="437">
        <f t="shared" si="21"/>
        <v>779.83880815588827</v>
      </c>
      <c r="T143" s="437">
        <f t="shared" si="21"/>
        <v>41.12182540585286</v>
      </c>
      <c r="U143" s="437">
        <f t="shared" si="21"/>
        <v>171.18820371043398</v>
      </c>
      <c r="V143" s="437">
        <f t="shared" ca="1" si="21"/>
        <v>216.60064057447971</v>
      </c>
      <c r="W143" s="437">
        <f t="shared" ca="1" si="21"/>
        <v>113.40529222898522</v>
      </c>
      <c r="X143" s="437">
        <f t="shared" ca="1" si="21"/>
        <v>-92.148152547032623</v>
      </c>
      <c r="Y143" s="437">
        <f t="shared" ca="1" si="21"/>
        <v>-232.28552537496716</v>
      </c>
      <c r="Z143" s="437">
        <f t="shared" ca="1" si="21"/>
        <v>20.481295823619348</v>
      </c>
      <c r="AA143" s="437">
        <f t="shared" ca="1" si="21"/>
        <v>-239.10348296705752</v>
      </c>
      <c r="AB143" s="437">
        <f t="shared" ca="1" si="21"/>
        <v>17.952922583528334</v>
      </c>
      <c r="AC143" s="437">
        <f t="shared" ca="1" si="21"/>
        <v>-125.81942454324758</v>
      </c>
      <c r="AD143" s="437">
        <f t="shared" ca="1" si="21"/>
        <v>-175.27004532616775</v>
      </c>
      <c r="AE143" s="437">
        <f t="shared" ca="1" si="21"/>
        <v>-1691.5588885182278</v>
      </c>
      <c r="AF143" s="439"/>
      <c r="AG143" s="439"/>
      <c r="AH143" s="439"/>
      <c r="AI143" s="439"/>
      <c r="AJ143" s="430"/>
      <c r="AK143" s="430"/>
    </row>
    <row r="144" spans="2:37">
      <c r="B144" s="429" t="s">
        <v>115</v>
      </c>
      <c r="C144" s="437"/>
      <c r="D144" s="437"/>
      <c r="E144" s="437"/>
      <c r="F144" s="437"/>
      <c r="G144" s="437"/>
      <c r="H144" s="437"/>
      <c r="I144" s="437"/>
      <c r="J144" s="437"/>
      <c r="K144" s="437"/>
      <c r="L144" s="437"/>
      <c r="M144" s="437"/>
      <c r="N144" s="437"/>
      <c r="O144" s="437"/>
      <c r="P144" s="437"/>
      <c r="Q144" s="437">
        <f t="shared" ref="Q144:AD144" si="22">Q27</f>
        <v>1260.234908285556</v>
      </c>
      <c r="R144" s="437">
        <f t="shared" si="22"/>
        <v>1195.5965307939127</v>
      </c>
      <c r="S144" s="437">
        <f t="shared" si="22"/>
        <v>1975.435338949801</v>
      </c>
      <c r="T144" s="437">
        <f t="shared" si="22"/>
        <v>2016.5571643556539</v>
      </c>
      <c r="U144" s="437">
        <f t="shared" si="22"/>
        <v>2187.7453680660878</v>
      </c>
      <c r="V144" s="437">
        <f t="shared" ca="1" si="22"/>
        <v>2404.3460086405676</v>
      </c>
      <c r="W144" s="437">
        <f t="shared" ca="1" si="22"/>
        <v>2517.7513008695528</v>
      </c>
      <c r="X144" s="437">
        <f t="shared" ca="1" si="22"/>
        <v>2425.6031483225202</v>
      </c>
      <c r="Y144" s="437">
        <f t="shared" ca="1" si="22"/>
        <v>2193.317622947553</v>
      </c>
      <c r="Z144" s="437">
        <f t="shared" ca="1" si="22"/>
        <v>2213.7989187711723</v>
      </c>
      <c r="AA144" s="437">
        <f t="shared" ca="1" si="22"/>
        <v>1974.6954358041148</v>
      </c>
      <c r="AB144" s="437">
        <f t="shared" ca="1" si="22"/>
        <v>1992.6483583876432</v>
      </c>
      <c r="AC144" s="437">
        <f t="shared" ca="1" si="22"/>
        <v>1866.8289338443956</v>
      </c>
      <c r="AD144" s="437">
        <f t="shared" ca="1" si="22"/>
        <v>1691.5588885182278</v>
      </c>
      <c r="AE144" s="437">
        <f t="shared" ref="AE144" si="23">AE27</f>
        <v>0</v>
      </c>
      <c r="AF144" s="439"/>
      <c r="AG144" s="439"/>
      <c r="AH144" s="439"/>
      <c r="AI144" s="439"/>
      <c r="AJ144" s="430"/>
      <c r="AK144" s="430"/>
    </row>
    <row r="145" spans="2:40">
      <c r="C145" s="430"/>
      <c r="D145" s="430"/>
      <c r="E145" s="452"/>
      <c r="F145" s="452"/>
      <c r="G145" s="452"/>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row>
    <row r="146" spans="2:40">
      <c r="B146" s="434" t="s">
        <v>1276</v>
      </c>
      <c r="C146" s="435">
        <v>1998</v>
      </c>
      <c r="D146" s="435">
        <v>1999</v>
      </c>
      <c r="E146" s="435">
        <v>2000</v>
      </c>
      <c r="F146" s="435">
        <v>2001</v>
      </c>
      <c r="G146" s="435">
        <v>2002</v>
      </c>
      <c r="H146" s="435">
        <v>2003</v>
      </c>
      <c r="I146" s="435">
        <v>2004</v>
      </c>
      <c r="J146" s="435">
        <v>2005</v>
      </c>
      <c r="K146" s="435">
        <v>2006</v>
      </c>
      <c r="L146" s="435">
        <v>2007</v>
      </c>
      <c r="M146" s="435">
        <v>2008</v>
      </c>
      <c r="N146" s="435">
        <v>2009</v>
      </c>
      <c r="O146" s="435">
        <v>2010</v>
      </c>
      <c r="P146" s="435">
        <v>2011</v>
      </c>
      <c r="Q146" s="435">
        <v>2012</v>
      </c>
      <c r="R146" s="435">
        <v>2013</v>
      </c>
      <c r="S146" s="435">
        <v>2014</v>
      </c>
      <c r="T146" s="435">
        <v>2015</v>
      </c>
      <c r="U146" s="435">
        <v>2016</v>
      </c>
      <c r="V146" s="435">
        <v>2017</v>
      </c>
      <c r="W146" s="435">
        <v>2018</v>
      </c>
      <c r="X146" s="435">
        <v>2019</v>
      </c>
      <c r="Y146" s="435">
        <v>2020</v>
      </c>
      <c r="Z146" s="435">
        <v>2021</v>
      </c>
      <c r="AA146" s="435">
        <v>2022</v>
      </c>
      <c r="AB146" s="435">
        <v>2023</v>
      </c>
      <c r="AC146" s="435">
        <v>2024</v>
      </c>
      <c r="AD146" s="435">
        <v>2025</v>
      </c>
      <c r="AE146" s="435">
        <v>2025</v>
      </c>
      <c r="AF146" s="435">
        <v>2027</v>
      </c>
      <c r="AG146" s="435">
        <v>2028</v>
      </c>
      <c r="AH146" s="435">
        <v>2029</v>
      </c>
      <c r="AI146" s="435">
        <v>2030</v>
      </c>
      <c r="AJ146" s="430"/>
      <c r="AK146" s="430"/>
    </row>
    <row r="147" spans="2:40">
      <c r="B147" s="429" t="s">
        <v>1277</v>
      </c>
      <c r="C147" s="437"/>
      <c r="D147" s="437"/>
      <c r="E147" s="437"/>
      <c r="F147" s="437"/>
      <c r="G147" s="437"/>
      <c r="H147" s="437"/>
      <c r="I147" s="437"/>
      <c r="J147" s="437"/>
      <c r="K147" s="437"/>
      <c r="L147" s="437"/>
      <c r="M147" s="437"/>
      <c r="N147" s="437"/>
      <c r="O147" s="437"/>
      <c r="P147" s="437"/>
      <c r="Q147" s="437">
        <f>-LiLAC!M203</f>
        <v>0</v>
      </c>
      <c r="R147" s="437">
        <f>-LiLAC!N203</f>
        <v>0</v>
      </c>
      <c r="S147" s="437">
        <f>-LiLAC!O203</f>
        <v>0</v>
      </c>
      <c r="T147" s="437">
        <f ca="1">-LiLAC!P203</f>
        <v>-53.357862131569867</v>
      </c>
      <c r="U147" s="437">
        <f ca="1">-LiLAC!Q203</f>
        <v>-31.492576756516623</v>
      </c>
      <c r="V147" s="437">
        <f ca="1">-LiLAC!R203</f>
        <v>-32.082820061461078</v>
      </c>
      <c r="W147" s="437">
        <f ca="1">-LiLAC!S203</f>
        <v>-32.378868195634233</v>
      </c>
      <c r="X147" s="437">
        <f ca="1">-LiLAC!T203</f>
        <v>-17.321090810969999</v>
      </c>
      <c r="Y147" s="437">
        <f ca="1">-LiLAC!U203</f>
        <v>-18.498924986115959</v>
      </c>
      <c r="Z147" s="437">
        <f>-LiLAC!V203</f>
        <v>0</v>
      </c>
      <c r="AA147" s="437">
        <f>-LiLAC!W203</f>
        <v>0</v>
      </c>
      <c r="AB147" s="437">
        <f>-LiLAC!X203</f>
        <v>0</v>
      </c>
      <c r="AC147" s="437">
        <f>-LiLAC!Y203</f>
        <v>0</v>
      </c>
      <c r="AD147" s="437">
        <f>-LiLAC!Z203</f>
        <v>0</v>
      </c>
      <c r="AE147" s="437">
        <f>-LiLAC!AA203</f>
        <v>0</v>
      </c>
      <c r="AF147" s="437"/>
      <c r="AG147" s="437"/>
      <c r="AH147" s="437"/>
      <c r="AI147" s="437"/>
      <c r="AJ147" s="430"/>
      <c r="AK147" s="430"/>
    </row>
    <row r="148" spans="2:40">
      <c r="B148" s="429" t="s">
        <v>1278</v>
      </c>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c r="AB148" s="437"/>
      <c r="AC148" s="437"/>
      <c r="AD148" s="437"/>
      <c r="AE148" s="437"/>
      <c r="AF148" s="437"/>
      <c r="AG148" s="437"/>
      <c r="AH148" s="437"/>
      <c r="AI148" s="437"/>
      <c r="AJ148" s="430"/>
      <c r="AK148" s="430"/>
    </row>
    <row r="149" spans="2:40">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437"/>
      <c r="AD149" s="437"/>
      <c r="AE149" s="437"/>
      <c r="AF149" s="437"/>
      <c r="AG149" s="437"/>
      <c r="AH149" s="437"/>
      <c r="AI149" s="437"/>
      <c r="AJ149" s="430"/>
      <c r="AK149" s="430"/>
    </row>
    <row r="150" spans="2:40">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c r="AA150" s="437"/>
      <c r="AB150" s="437"/>
      <c r="AC150" s="437"/>
      <c r="AD150" s="437"/>
      <c r="AE150" s="437"/>
      <c r="AF150" s="437"/>
      <c r="AG150" s="437"/>
      <c r="AH150" s="437"/>
      <c r="AI150" s="437"/>
      <c r="AJ150" s="430"/>
      <c r="AK150" s="430"/>
    </row>
    <row r="151" spans="2:40">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c r="AB151" s="437"/>
      <c r="AC151" s="437"/>
      <c r="AD151" s="437"/>
      <c r="AE151" s="437"/>
      <c r="AF151" s="437"/>
      <c r="AG151" s="437"/>
      <c r="AH151" s="437"/>
      <c r="AI151" s="437"/>
      <c r="AJ151" s="430"/>
      <c r="AK151" s="430"/>
    </row>
    <row r="152" spans="2:40">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0"/>
      <c r="AK152" s="430"/>
    </row>
    <row r="153" spans="2:40">
      <c r="C153" s="430"/>
      <c r="D153" s="430"/>
      <c r="E153" s="430"/>
      <c r="F153" s="430"/>
      <c r="G153" s="430"/>
      <c r="H153" s="430"/>
      <c r="I153" s="430"/>
      <c r="J153" s="430"/>
      <c r="K153" s="430"/>
      <c r="L153" s="430"/>
      <c r="M153" s="430"/>
      <c r="N153" s="430"/>
      <c r="O153" s="430"/>
      <c r="P153" s="430"/>
      <c r="Q153" s="430"/>
      <c r="R153" s="430"/>
      <c r="S153" s="430"/>
      <c r="T153" s="430"/>
      <c r="U153" s="430"/>
      <c r="V153" s="430"/>
      <c r="W153" s="430"/>
      <c r="X153" s="430"/>
      <c r="Y153" s="430"/>
      <c r="Z153" s="430"/>
      <c r="AA153" s="430"/>
      <c r="AB153" s="430"/>
      <c r="AC153" s="430"/>
      <c r="AD153" s="430"/>
      <c r="AE153" s="430"/>
      <c r="AF153" s="430"/>
      <c r="AG153" s="430"/>
      <c r="AH153" s="430"/>
      <c r="AI153" s="430"/>
      <c r="AJ153" s="430"/>
      <c r="AK153" s="430"/>
    </row>
    <row r="154" spans="2:40">
      <c r="B154" s="434" t="s">
        <v>1279</v>
      </c>
      <c r="C154" s="435">
        <v>1998</v>
      </c>
      <c r="D154" s="435">
        <v>1999</v>
      </c>
      <c r="E154" s="435">
        <v>2000</v>
      </c>
      <c r="F154" s="435">
        <v>2001</v>
      </c>
      <c r="G154" s="435">
        <v>2002</v>
      </c>
      <c r="H154" s="435">
        <v>2003</v>
      </c>
      <c r="I154" s="435">
        <v>2004</v>
      </c>
      <c r="J154" s="435">
        <v>2005</v>
      </c>
      <c r="K154" s="435">
        <v>2006</v>
      </c>
      <c r="L154" s="435">
        <v>2007</v>
      </c>
      <c r="M154" s="435">
        <v>2008</v>
      </c>
      <c r="N154" s="435">
        <v>2009</v>
      </c>
      <c r="O154" s="435">
        <v>2010</v>
      </c>
      <c r="P154" s="435">
        <v>2011</v>
      </c>
      <c r="Q154" s="435">
        <v>2012</v>
      </c>
      <c r="R154" s="435">
        <f t="shared" ref="R154:AI154" si="24">Q154+1</f>
        <v>2013</v>
      </c>
      <c r="S154" s="435">
        <f t="shared" si="24"/>
        <v>2014</v>
      </c>
      <c r="T154" s="435">
        <f t="shared" si="24"/>
        <v>2015</v>
      </c>
      <c r="U154" s="435">
        <f t="shared" si="24"/>
        <v>2016</v>
      </c>
      <c r="V154" s="435">
        <f t="shared" si="24"/>
        <v>2017</v>
      </c>
      <c r="W154" s="435">
        <f t="shared" si="24"/>
        <v>2018</v>
      </c>
      <c r="X154" s="435">
        <f t="shared" si="24"/>
        <v>2019</v>
      </c>
      <c r="Y154" s="435">
        <f t="shared" si="24"/>
        <v>2020</v>
      </c>
      <c r="Z154" s="435">
        <f t="shared" si="24"/>
        <v>2021</v>
      </c>
      <c r="AA154" s="435">
        <f t="shared" si="24"/>
        <v>2022</v>
      </c>
      <c r="AB154" s="435">
        <f t="shared" si="24"/>
        <v>2023</v>
      </c>
      <c r="AC154" s="435">
        <f t="shared" si="24"/>
        <v>2024</v>
      </c>
      <c r="AD154" s="435">
        <f t="shared" si="24"/>
        <v>2025</v>
      </c>
      <c r="AE154" s="435">
        <f t="shared" si="24"/>
        <v>2026</v>
      </c>
      <c r="AF154" s="435">
        <f t="shared" si="24"/>
        <v>2027</v>
      </c>
      <c r="AG154" s="435">
        <f t="shared" si="24"/>
        <v>2028</v>
      </c>
      <c r="AH154" s="435">
        <f t="shared" si="24"/>
        <v>2029</v>
      </c>
      <c r="AI154" s="435">
        <f t="shared" si="24"/>
        <v>2030</v>
      </c>
      <c r="AJ154" s="430"/>
      <c r="AK154" s="430"/>
    </row>
    <row r="155" spans="2:40">
      <c r="C155" s="453" t="s">
        <v>833</v>
      </c>
      <c r="D155" s="439" t="s">
        <v>834</v>
      </c>
      <c r="E155" s="439" t="s">
        <v>1280</v>
      </c>
      <c r="F155" s="439" t="s">
        <v>835</v>
      </c>
      <c r="G155" s="439" t="s">
        <v>1280</v>
      </c>
      <c r="H155" s="439"/>
      <c r="I155" s="439"/>
      <c r="J155" s="436"/>
      <c r="K155" s="436" t="str">
        <f>'LiLAC valuation'!B6</f>
        <v>Method</v>
      </c>
      <c r="L155" s="436" t="str">
        <f>'LiLAC valuation'!C6</f>
        <v>Multiple</v>
      </c>
      <c r="M155" s="436" t="str">
        <f>'LiLAC valuation'!D6</f>
        <v>18 EBITDA</v>
      </c>
      <c r="N155" s="436" t="str">
        <f>'LiLAC valuation'!E6</f>
        <v>EV</v>
      </c>
      <c r="O155" s="436" t="str">
        <f>'LiLAC valuation'!F6</f>
        <v>ND</v>
      </c>
      <c r="P155" s="436" t="str">
        <f>'LiLAC valuation'!G6</f>
        <v>100% Equity</v>
      </c>
      <c r="Q155" s="436" t="str">
        <f>'LiLAC valuation'!H6</f>
        <v>Stake</v>
      </c>
      <c r="R155" s="436" t="str">
        <f>'LiLAC valuation'!I6</f>
        <v>LBTY equity</v>
      </c>
      <c r="S155" s="436" t="str">
        <f>'LiLAC valuation'!J6</f>
        <v>Minority</v>
      </c>
      <c r="T155" s="439"/>
      <c r="U155" s="439"/>
      <c r="V155" s="439"/>
      <c r="W155" s="439"/>
      <c r="X155" s="439"/>
      <c r="Y155" s="439"/>
      <c r="Z155" s="439"/>
      <c r="AA155" s="439"/>
      <c r="AB155" s="439"/>
      <c r="AC155" s="439"/>
      <c r="AD155" s="439"/>
      <c r="AE155" s="439"/>
      <c r="AF155" s="439"/>
      <c r="AG155" s="439"/>
      <c r="AH155" s="439"/>
      <c r="AI155" s="439"/>
      <c r="AJ155" s="430"/>
      <c r="AK155" s="430"/>
    </row>
    <row r="156" spans="2:40">
      <c r="C156" s="453" t="s">
        <v>492</v>
      </c>
      <c r="D156" s="437">
        <f>'LiLAC valuation'!G37/Forex!K38</f>
        <v>326.17960426179593</v>
      </c>
      <c r="E156" s="438">
        <f ca="1">$N156/D156</f>
        <v>10.128173054070365</v>
      </c>
      <c r="F156" s="437">
        <f>'LiLAC valuation'!G39/Forex!K38</f>
        <v>179.45205479452045</v>
      </c>
      <c r="G156" s="438">
        <f ca="1">$N156/F156</f>
        <v>18.409393430765729</v>
      </c>
      <c r="H156" s="437"/>
      <c r="I156" s="437"/>
      <c r="J156" s="454" t="str">
        <f>'LiLAC valuation'!A7</f>
        <v>Chile (VTR)</v>
      </c>
      <c r="K156" s="436" t="str">
        <f>'LiLAC valuation'!B7</f>
        <v>DCF</v>
      </c>
      <c r="L156" s="440">
        <f ca="1">'LiLAC valuation'!C7</f>
        <v>8.45597270985553</v>
      </c>
      <c r="M156" s="437">
        <f ca="1">'LiLAC valuation'!D7</f>
        <v>390.68284537168267</v>
      </c>
      <c r="N156" s="437">
        <f ca="1">'LiLAC valuation'!E7</f>
        <v>3303.6034786716564</v>
      </c>
      <c r="O156" s="437">
        <f>'LiLAC valuation'!F7</f>
        <v>1343.094944512947</v>
      </c>
      <c r="P156" s="437">
        <f ca="1">'LiLAC valuation'!G7</f>
        <v>1960.5085341587094</v>
      </c>
      <c r="Q156" s="455">
        <f>'LiLAC valuation'!H7</f>
        <v>1</v>
      </c>
      <c r="R156" s="437">
        <f ca="1">'LiLAC valuation'!I7</f>
        <v>1960.5085341587094</v>
      </c>
      <c r="S156" s="437">
        <f ca="1">'LiLAC valuation'!J7</f>
        <v>0</v>
      </c>
      <c r="T156" s="436"/>
      <c r="U156" s="436"/>
      <c r="V156" s="436"/>
      <c r="W156" s="436"/>
      <c r="X156" s="436"/>
      <c r="Y156" s="436"/>
      <c r="Z156" s="436"/>
      <c r="AA156" s="436"/>
      <c r="AB156" s="436"/>
      <c r="AC156" s="436"/>
      <c r="AD156" s="436"/>
      <c r="AE156" s="436"/>
      <c r="AF156" s="436"/>
      <c r="AG156" s="436"/>
      <c r="AH156" s="436"/>
      <c r="AI156" s="436"/>
      <c r="AJ156" s="456"/>
      <c r="AK156" s="456"/>
      <c r="AL156" s="457"/>
      <c r="AM156" s="457"/>
      <c r="AN156" s="457"/>
    </row>
    <row r="157" spans="2:40">
      <c r="C157" s="453" t="s">
        <v>469</v>
      </c>
      <c r="D157" s="447">
        <f>'LiLAC valuation'!G64</f>
        <v>166</v>
      </c>
      <c r="E157" s="458">
        <f>$N157/D157</f>
        <v>8.4335056907508665</v>
      </c>
      <c r="F157" s="447">
        <f>'LiLAC valuation'!G64</f>
        <v>166</v>
      </c>
      <c r="G157" s="458">
        <f>$N157/F157</f>
        <v>8.4335056907508665</v>
      </c>
      <c r="H157" s="437"/>
      <c r="I157" s="437"/>
      <c r="J157" s="454" t="str">
        <f>'LiLAC valuation'!A8</f>
        <v>Puerto Rico *</v>
      </c>
      <c r="K157" s="446" t="str">
        <f>'LiLAC valuation'!B8</f>
        <v>DCF</v>
      </c>
      <c r="L157" s="459">
        <f>'LiLAC valuation'!C8</f>
        <v>7.9774666534274958</v>
      </c>
      <c r="M157" s="447">
        <f>'LiLAC valuation'!D8</f>
        <v>175.4895389080886</v>
      </c>
      <c r="N157" s="447">
        <f>'LiLAC valuation'!E8</f>
        <v>1399.9619446646439</v>
      </c>
      <c r="O157" s="447">
        <f ca="1">'LiLAC valuation'!F8</f>
        <v>1006.9591716723145</v>
      </c>
      <c r="P157" s="447">
        <f ca="1">'LiLAC valuation'!G8</f>
        <v>393.00277299232937</v>
      </c>
      <c r="Q157" s="460">
        <f>'LiLAC valuation'!H8</f>
        <v>0.6</v>
      </c>
      <c r="R157" s="447">
        <f ca="1">'LiLAC valuation'!I8</f>
        <v>235.80166379539762</v>
      </c>
      <c r="S157" s="447">
        <f ca="1">'LiLAC valuation'!J8</f>
        <v>157.20110919693175</v>
      </c>
      <c r="T157" s="436"/>
      <c r="U157" s="436"/>
      <c r="V157" s="436"/>
      <c r="W157" s="436"/>
      <c r="X157" s="436"/>
      <c r="Y157" s="436"/>
      <c r="Z157" s="436"/>
      <c r="AA157" s="436"/>
      <c r="AB157" s="436"/>
      <c r="AC157" s="436"/>
      <c r="AD157" s="436"/>
      <c r="AE157" s="436"/>
      <c r="AF157" s="436"/>
      <c r="AG157" s="436"/>
      <c r="AH157" s="436"/>
      <c r="AI157" s="436"/>
      <c r="AJ157" s="456"/>
      <c r="AK157" s="456"/>
      <c r="AL157" s="457"/>
      <c r="AM157" s="457"/>
      <c r="AN157" s="457"/>
    </row>
    <row r="158" spans="2:40">
      <c r="C158" s="453" t="s">
        <v>16</v>
      </c>
      <c r="D158" s="437">
        <f>D156+D157</f>
        <v>492.17960426179593</v>
      </c>
      <c r="E158" s="438">
        <f ca="1">$N158/D158</f>
        <v>9.5566036922456874</v>
      </c>
      <c r="F158" s="437">
        <f>F156+F157</f>
        <v>345.45205479452045</v>
      </c>
      <c r="G158" s="438">
        <f ca="1">$N158/F158</f>
        <v>13.615682286602825</v>
      </c>
      <c r="H158" s="437"/>
      <c r="I158" s="437"/>
      <c r="J158" s="454" t="str">
        <f>'LiLAC valuation'!A9</f>
        <v>Total</v>
      </c>
      <c r="K158" s="436"/>
      <c r="L158" s="440">
        <f ca="1">'LiLAC valuation'!C9</f>
        <v>8.3076560318633579</v>
      </c>
      <c r="M158" s="437">
        <f ca="1">'LiLAC valuation'!D9</f>
        <v>566.17238427977122</v>
      </c>
      <c r="N158" s="437">
        <f ca="1">'LiLAC valuation'!E9</f>
        <v>4703.5654233363002</v>
      </c>
      <c r="O158" s="437">
        <f ca="1">'LiLAC valuation'!F9</f>
        <v>2350.0541161852616</v>
      </c>
      <c r="P158" s="437"/>
      <c r="Q158" s="436"/>
      <c r="R158" s="437"/>
      <c r="S158" s="437">
        <f ca="1">'LiLAC valuation'!J9</f>
        <v>157.20110919693175</v>
      </c>
      <c r="T158" s="436"/>
      <c r="U158" s="436"/>
      <c r="V158" s="436"/>
      <c r="W158" s="436"/>
      <c r="X158" s="436"/>
      <c r="Y158" s="436"/>
      <c r="Z158" s="436"/>
      <c r="AA158" s="436"/>
      <c r="AB158" s="436"/>
      <c r="AC158" s="436"/>
      <c r="AD158" s="436"/>
      <c r="AE158" s="436"/>
      <c r="AF158" s="436"/>
      <c r="AG158" s="436"/>
      <c r="AH158" s="436"/>
      <c r="AI158" s="436"/>
      <c r="AJ158" s="456"/>
      <c r="AK158" s="456"/>
      <c r="AL158" s="457"/>
      <c r="AM158" s="457"/>
      <c r="AN158" s="457"/>
    </row>
    <row r="159" spans="2:40">
      <c r="C159" s="439"/>
      <c r="D159" s="439"/>
      <c r="E159" s="439"/>
      <c r="F159" s="439"/>
      <c r="G159" s="439"/>
      <c r="H159" s="439"/>
      <c r="I159" s="439"/>
      <c r="J159" s="439"/>
      <c r="K159" s="439"/>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6"/>
      <c r="AJ159" s="456"/>
      <c r="AK159" s="456"/>
      <c r="AL159" s="457"/>
      <c r="AM159" s="457"/>
      <c r="AN159" s="457"/>
    </row>
    <row r="160" spans="2:40">
      <c r="C160" s="439"/>
      <c r="D160" s="439"/>
      <c r="E160" s="439"/>
      <c r="F160" s="439"/>
      <c r="G160" s="439"/>
      <c r="H160" s="439"/>
      <c r="I160" s="439"/>
      <c r="J160" s="439"/>
      <c r="K160" s="439"/>
      <c r="L160" s="436"/>
      <c r="M160" s="436"/>
      <c r="N160" s="436"/>
      <c r="O160" s="436"/>
      <c r="P160" s="436"/>
      <c r="Q160" s="436"/>
      <c r="R160" s="440"/>
      <c r="S160" s="436"/>
      <c r="T160" s="436"/>
      <c r="U160" s="436"/>
      <c r="V160" s="436"/>
      <c r="W160" s="436"/>
      <c r="X160" s="436"/>
      <c r="Y160" s="436"/>
      <c r="Z160" s="436"/>
      <c r="AA160" s="436"/>
      <c r="AB160" s="436"/>
      <c r="AC160" s="436"/>
      <c r="AD160" s="436"/>
      <c r="AE160" s="436"/>
      <c r="AF160" s="436"/>
      <c r="AG160" s="436"/>
      <c r="AH160" s="436"/>
      <c r="AI160" s="436"/>
      <c r="AJ160" s="456"/>
      <c r="AK160" s="456"/>
      <c r="AL160" s="457"/>
      <c r="AM160" s="457"/>
      <c r="AN160" s="457"/>
    </row>
    <row r="161" spans="2:40">
      <c r="C161" s="439"/>
      <c r="D161" s="439"/>
      <c r="E161" s="439"/>
      <c r="F161" s="439"/>
      <c r="G161" s="439"/>
      <c r="H161" s="439"/>
      <c r="I161" s="439"/>
      <c r="J161" s="439"/>
      <c r="K161" s="439"/>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56"/>
      <c r="AK161" s="456"/>
      <c r="AL161" s="457"/>
      <c r="AM161" s="457"/>
      <c r="AN161" s="457"/>
    </row>
    <row r="162" spans="2:40">
      <c r="C162" s="439"/>
      <c r="D162" s="439"/>
      <c r="E162" s="439"/>
      <c r="F162" s="439"/>
      <c r="G162" s="439"/>
      <c r="H162" s="439"/>
      <c r="I162" s="439"/>
      <c r="J162" s="439"/>
      <c r="K162" s="439"/>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6"/>
      <c r="AJ162" s="456"/>
      <c r="AK162" s="456"/>
      <c r="AL162" s="457"/>
      <c r="AM162" s="457"/>
      <c r="AN162" s="457"/>
    </row>
    <row r="163" spans="2:40">
      <c r="C163" s="439"/>
      <c r="D163" s="439"/>
      <c r="E163" s="439"/>
      <c r="F163" s="439"/>
      <c r="G163" s="439"/>
      <c r="H163" s="439"/>
      <c r="I163" s="439"/>
      <c r="J163" s="439"/>
      <c r="K163" s="439"/>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436"/>
      <c r="AI163" s="436"/>
      <c r="AJ163" s="456"/>
      <c r="AK163" s="456"/>
      <c r="AL163" s="457"/>
      <c r="AM163" s="457"/>
      <c r="AN163" s="457"/>
    </row>
    <row r="164" spans="2:40">
      <c r="C164" s="439"/>
      <c r="D164" s="439"/>
      <c r="E164" s="439"/>
      <c r="F164" s="436"/>
      <c r="G164" s="461"/>
      <c r="H164" s="437"/>
      <c r="I164" s="437"/>
      <c r="J164" s="436"/>
      <c r="K164" s="439"/>
      <c r="L164" s="436"/>
      <c r="M164" s="436"/>
      <c r="N164" s="436"/>
      <c r="O164" s="436"/>
      <c r="P164" s="436"/>
      <c r="Q164" s="436"/>
      <c r="R164" s="450"/>
      <c r="S164" s="450"/>
      <c r="T164" s="450"/>
      <c r="U164" s="450"/>
      <c r="V164" s="436"/>
      <c r="W164" s="436"/>
      <c r="X164" s="436"/>
      <c r="Y164" s="436"/>
      <c r="Z164" s="436"/>
      <c r="AA164" s="436"/>
      <c r="AB164" s="436"/>
      <c r="AC164" s="436"/>
      <c r="AD164" s="436"/>
      <c r="AE164" s="436"/>
      <c r="AF164" s="436"/>
      <c r="AG164" s="436"/>
      <c r="AH164" s="436"/>
      <c r="AI164" s="436"/>
      <c r="AJ164" s="456"/>
      <c r="AK164" s="456"/>
      <c r="AL164" s="457"/>
      <c r="AM164" s="457"/>
      <c r="AN164" s="457"/>
    </row>
    <row r="165" spans="2:40">
      <c r="C165" s="439"/>
      <c r="D165" s="439"/>
      <c r="E165" s="439"/>
      <c r="F165" s="436"/>
      <c r="G165" s="461"/>
      <c r="H165" s="461"/>
      <c r="I165" s="461"/>
      <c r="J165" s="436"/>
      <c r="K165" s="439"/>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436"/>
      <c r="AI165" s="436"/>
      <c r="AJ165" s="456"/>
      <c r="AK165" s="456"/>
      <c r="AL165" s="457"/>
      <c r="AM165" s="457"/>
      <c r="AN165" s="457"/>
    </row>
    <row r="166" spans="2:40">
      <c r="C166" s="436"/>
      <c r="D166" s="436"/>
      <c r="E166" s="436"/>
      <c r="F166" s="436"/>
      <c r="G166" s="461"/>
      <c r="H166" s="461"/>
      <c r="I166" s="461"/>
      <c r="J166" s="436"/>
      <c r="K166" s="439"/>
      <c r="L166" s="439"/>
      <c r="M166" s="439"/>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56"/>
      <c r="AK166" s="456"/>
      <c r="AL166" s="457"/>
      <c r="AM166" s="457"/>
      <c r="AN166" s="457"/>
    </row>
    <row r="167" spans="2:40">
      <c r="C167" s="462"/>
      <c r="D167" s="462"/>
      <c r="E167" s="462"/>
      <c r="F167" s="462"/>
      <c r="G167" s="462"/>
      <c r="H167" s="462"/>
      <c r="I167" s="462"/>
      <c r="J167" s="462"/>
      <c r="K167" s="463"/>
      <c r="L167" s="462"/>
      <c r="M167" s="462"/>
      <c r="N167" s="462"/>
      <c r="O167" s="462"/>
      <c r="P167" s="462"/>
      <c r="Q167" s="462"/>
      <c r="R167" s="462"/>
      <c r="S167" s="462"/>
      <c r="T167" s="462"/>
      <c r="U167" s="436"/>
      <c r="V167" s="436"/>
      <c r="W167" s="436"/>
      <c r="X167" s="436"/>
      <c r="Y167" s="436"/>
      <c r="Z167" s="436"/>
      <c r="AA167" s="436"/>
      <c r="AB167" s="436"/>
      <c r="AC167" s="436"/>
      <c r="AD167" s="436"/>
      <c r="AE167" s="436"/>
      <c r="AF167" s="436"/>
      <c r="AG167" s="436"/>
      <c r="AH167" s="436"/>
      <c r="AI167" s="436"/>
      <c r="AJ167" s="456"/>
      <c r="AK167" s="456"/>
      <c r="AL167" s="457"/>
      <c r="AM167" s="457"/>
      <c r="AN167" s="457"/>
    </row>
    <row r="168" spans="2:40">
      <c r="C168" s="462"/>
      <c r="D168" s="462"/>
      <c r="E168" s="462"/>
      <c r="F168" s="462"/>
      <c r="G168" s="462"/>
      <c r="H168" s="462"/>
      <c r="I168" s="462"/>
      <c r="J168" s="462"/>
      <c r="K168" s="463"/>
      <c r="L168" s="462"/>
      <c r="M168" s="462"/>
      <c r="N168" s="462"/>
      <c r="O168" s="462"/>
      <c r="P168" s="462"/>
      <c r="Q168" s="462"/>
      <c r="R168" s="462"/>
      <c r="S168" s="462"/>
      <c r="T168" s="462"/>
      <c r="U168" s="436"/>
      <c r="V168" s="436"/>
      <c r="W168" s="436"/>
      <c r="X168" s="436"/>
      <c r="Y168" s="436"/>
      <c r="Z168" s="436"/>
      <c r="AA168" s="436"/>
      <c r="AB168" s="436"/>
      <c r="AC168" s="436"/>
      <c r="AD168" s="436"/>
      <c r="AE168" s="436"/>
      <c r="AF168" s="436"/>
      <c r="AG168" s="436"/>
      <c r="AH168" s="436"/>
      <c r="AI168" s="436"/>
      <c r="AJ168" s="456"/>
      <c r="AK168" s="456"/>
      <c r="AL168" s="457"/>
      <c r="AM168" s="457"/>
      <c r="AN168" s="457"/>
    </row>
    <row r="169" spans="2:40">
      <c r="B169" s="429" t="s">
        <v>1281</v>
      </c>
      <c r="C169" s="436"/>
      <c r="D169" s="436"/>
      <c r="E169" s="436"/>
      <c r="F169" s="436"/>
      <c r="G169" s="436"/>
      <c r="H169" s="436"/>
      <c r="I169" s="436"/>
      <c r="J169" s="436"/>
      <c r="K169" s="439">
        <v>533.38</v>
      </c>
      <c r="L169" s="436">
        <v>498.1</v>
      </c>
      <c r="M169" s="436">
        <v>638.5</v>
      </c>
      <c r="N169" s="436">
        <v>507.45</v>
      </c>
      <c r="O169" s="436">
        <v>468</v>
      </c>
      <c r="P169" s="436">
        <v>519.5</v>
      </c>
      <c r="Q169" s="436">
        <v>478.79</v>
      </c>
      <c r="R169" s="436">
        <v>525.45000000000005</v>
      </c>
      <c r="S169" s="436">
        <v>606.9</v>
      </c>
      <c r="T169" s="436">
        <v>635.48</v>
      </c>
      <c r="U169" s="436">
        <v>635.48</v>
      </c>
      <c r="V169" s="436"/>
      <c r="W169" s="436"/>
      <c r="X169" s="436"/>
      <c r="Y169" s="436"/>
      <c r="Z169" s="436"/>
      <c r="AA169" s="436"/>
      <c r="AB169" s="436"/>
      <c r="AC169" s="436"/>
      <c r="AD169" s="436"/>
      <c r="AE169" s="436"/>
      <c r="AF169" s="436"/>
      <c r="AG169" s="436"/>
      <c r="AH169" s="436"/>
      <c r="AI169" s="436"/>
      <c r="AJ169" s="456"/>
      <c r="AK169" s="456"/>
      <c r="AL169" s="457"/>
      <c r="AM169" s="457"/>
      <c r="AN169" s="457"/>
    </row>
    <row r="170" spans="2:40">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56"/>
      <c r="AK170" s="456"/>
      <c r="AL170" s="457"/>
      <c r="AM170" s="457"/>
      <c r="AN170" s="457"/>
    </row>
    <row r="171" spans="2:4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0"/>
      <c r="Z171" s="430"/>
      <c r="AA171" s="430"/>
      <c r="AB171" s="430"/>
      <c r="AC171" s="430"/>
      <c r="AD171" s="430"/>
      <c r="AE171" s="430"/>
      <c r="AF171" s="430"/>
      <c r="AG171" s="430"/>
      <c r="AH171" s="430"/>
      <c r="AI171" s="430"/>
      <c r="AJ171" s="430"/>
      <c r="AK171" s="430"/>
    </row>
    <row r="172" spans="2:40">
      <c r="B172" s="434" t="s">
        <v>1282</v>
      </c>
      <c r="C172" s="435">
        <v>1998</v>
      </c>
      <c r="D172" s="435">
        <v>1999</v>
      </c>
      <c r="E172" s="435">
        <v>2000</v>
      </c>
      <c r="F172" s="464">
        <f>E172+1</f>
        <v>2001</v>
      </c>
      <c r="G172" s="464">
        <v>2002</v>
      </c>
      <c r="H172" s="464">
        <v>2003</v>
      </c>
      <c r="I172" s="464">
        <v>2004</v>
      </c>
      <c r="J172" s="464">
        <v>2005</v>
      </c>
      <c r="K172" s="464">
        <v>2006</v>
      </c>
      <c r="L172" s="464">
        <v>2007</v>
      </c>
      <c r="M172" s="464">
        <v>2008</v>
      </c>
      <c r="N172" s="464">
        <v>2009</v>
      </c>
      <c r="O172" s="464">
        <v>2010</v>
      </c>
      <c r="P172" s="464">
        <v>2011</v>
      </c>
      <c r="Q172" s="464">
        <v>2012</v>
      </c>
      <c r="R172" s="464">
        <f t="shared" ref="R172:AI172" si="25">Q172+1</f>
        <v>2013</v>
      </c>
      <c r="S172" s="464">
        <f t="shared" si="25"/>
        <v>2014</v>
      </c>
      <c r="T172" s="464">
        <f t="shared" si="25"/>
        <v>2015</v>
      </c>
      <c r="U172" s="464">
        <f t="shared" si="25"/>
        <v>2016</v>
      </c>
      <c r="V172" s="464">
        <f t="shared" si="25"/>
        <v>2017</v>
      </c>
      <c r="W172" s="464">
        <f t="shared" si="25"/>
        <v>2018</v>
      </c>
      <c r="X172" s="464">
        <f t="shared" si="25"/>
        <v>2019</v>
      </c>
      <c r="Y172" s="464">
        <f t="shared" si="25"/>
        <v>2020</v>
      </c>
      <c r="Z172" s="464">
        <f t="shared" si="25"/>
        <v>2021</v>
      </c>
      <c r="AA172" s="464">
        <f t="shared" si="25"/>
        <v>2022</v>
      </c>
      <c r="AB172" s="464">
        <f t="shared" si="25"/>
        <v>2023</v>
      </c>
      <c r="AC172" s="464">
        <f t="shared" si="25"/>
        <v>2024</v>
      </c>
      <c r="AD172" s="464">
        <f t="shared" si="25"/>
        <v>2025</v>
      </c>
      <c r="AE172" s="464">
        <f t="shared" si="25"/>
        <v>2026</v>
      </c>
      <c r="AF172" s="464">
        <f t="shared" si="25"/>
        <v>2027</v>
      </c>
      <c r="AG172" s="464">
        <f t="shared" si="25"/>
        <v>2028</v>
      </c>
      <c r="AH172" s="464">
        <f t="shared" si="25"/>
        <v>2029</v>
      </c>
      <c r="AI172" s="464">
        <f t="shared" si="25"/>
        <v>2030</v>
      </c>
      <c r="AJ172" s="430"/>
      <c r="AK172" s="430"/>
    </row>
    <row r="173" spans="2:40">
      <c r="B173" s="465" t="s">
        <v>1283</v>
      </c>
      <c r="C173" s="466"/>
      <c r="D173" s="466"/>
      <c r="E173" s="466"/>
      <c r="F173" s="466"/>
      <c r="G173" s="466"/>
      <c r="H173" s="467"/>
      <c r="I173" s="467"/>
      <c r="J173" s="467"/>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7"/>
      <c r="AJ173" s="430"/>
      <c r="AK173" s="430"/>
    </row>
    <row r="174" spans="2:40">
      <c r="B174" s="465" t="s">
        <v>392</v>
      </c>
      <c r="C174" s="468"/>
      <c r="D174" s="468"/>
      <c r="E174" s="468"/>
      <c r="F174" s="468"/>
      <c r="G174" s="468"/>
      <c r="H174" s="467"/>
      <c r="I174" s="467"/>
      <c r="J174" s="467"/>
      <c r="K174" s="467"/>
      <c r="L174" s="467"/>
      <c r="M174" s="467"/>
      <c r="N174" s="467"/>
      <c r="O174" s="467"/>
      <c r="P174" s="467"/>
      <c r="Q174" s="467"/>
      <c r="R174" s="467"/>
      <c r="S174" s="467"/>
      <c r="T174" s="467"/>
      <c r="U174" s="467"/>
      <c r="V174" s="467"/>
      <c r="W174" s="467"/>
      <c r="X174" s="467"/>
      <c r="Y174" s="467"/>
      <c r="Z174" s="467"/>
      <c r="AA174" s="467"/>
      <c r="AB174" s="467"/>
      <c r="AC174" s="467"/>
      <c r="AD174" s="467"/>
      <c r="AE174" s="467"/>
      <c r="AF174" s="467"/>
      <c r="AG174" s="467"/>
      <c r="AH174" s="467"/>
      <c r="AI174" s="467"/>
      <c r="AJ174" s="430"/>
      <c r="AK174" s="430"/>
    </row>
    <row r="175" spans="2:40">
      <c r="B175" s="465" t="s">
        <v>1284</v>
      </c>
      <c r="C175" s="467"/>
      <c r="D175" s="467"/>
      <c r="E175" s="467"/>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30"/>
      <c r="AK175" s="430"/>
    </row>
    <row r="176" spans="2:40">
      <c r="B176" s="465" t="s">
        <v>1285</v>
      </c>
      <c r="C176" s="467"/>
      <c r="D176" s="467"/>
      <c r="E176" s="467"/>
      <c r="F176" s="467"/>
      <c r="G176" s="467"/>
      <c r="H176" s="467"/>
      <c r="I176" s="467"/>
      <c r="J176" s="467"/>
      <c r="K176" s="467"/>
      <c r="L176" s="467"/>
      <c r="M176" s="467"/>
      <c r="N176" s="467"/>
      <c r="O176" s="467"/>
      <c r="P176" s="467"/>
      <c r="Q176" s="467"/>
      <c r="R176" s="467"/>
      <c r="S176" s="467"/>
      <c r="T176" s="467"/>
      <c r="U176" s="467"/>
      <c r="V176" s="467"/>
      <c r="W176" s="467"/>
      <c r="X176" s="467"/>
      <c r="Y176" s="467"/>
      <c r="Z176" s="467"/>
      <c r="AA176" s="467"/>
      <c r="AB176" s="467"/>
      <c r="AC176" s="467"/>
      <c r="AD176" s="467"/>
      <c r="AE176" s="467"/>
      <c r="AF176" s="467"/>
      <c r="AG176" s="467"/>
      <c r="AH176" s="467"/>
      <c r="AI176" s="467"/>
      <c r="AJ176" s="469"/>
      <c r="AK176" s="469"/>
      <c r="AL176" s="470"/>
      <c r="AM176" s="470"/>
      <c r="AN176" s="470"/>
    </row>
    <row r="177" spans="2:40">
      <c r="B177" s="465" t="s">
        <v>1286</v>
      </c>
      <c r="C177" s="471"/>
      <c r="D177" s="471"/>
      <c r="E177" s="471"/>
      <c r="F177" s="471"/>
      <c r="G177" s="471"/>
      <c r="H177" s="467"/>
      <c r="I177" s="467"/>
      <c r="J177" s="467"/>
      <c r="K177" s="467"/>
      <c r="L177" s="467"/>
      <c r="M177" s="467"/>
      <c r="N177" s="467"/>
      <c r="O177" s="467"/>
      <c r="P177" s="467"/>
      <c r="Q177" s="467"/>
      <c r="R177" s="467"/>
      <c r="S177" s="467"/>
      <c r="T177" s="467"/>
      <c r="U177" s="467"/>
      <c r="V177" s="467"/>
      <c r="W177" s="467"/>
      <c r="X177" s="467"/>
      <c r="Y177" s="467"/>
      <c r="Z177" s="467"/>
      <c r="AA177" s="467"/>
      <c r="AB177" s="467"/>
      <c r="AC177" s="467"/>
      <c r="AD177" s="467"/>
      <c r="AE177" s="467"/>
      <c r="AF177" s="467"/>
      <c r="AG177" s="467"/>
      <c r="AH177" s="467"/>
      <c r="AI177" s="467"/>
      <c r="AJ177" s="469"/>
      <c r="AK177" s="469"/>
      <c r="AL177" s="470"/>
      <c r="AM177" s="470"/>
      <c r="AN177" s="470"/>
    </row>
    <row r="178" spans="2:40">
      <c r="B178" s="465" t="s">
        <v>1287</v>
      </c>
      <c r="C178" s="471"/>
      <c r="D178" s="471"/>
      <c r="E178" s="471"/>
      <c r="F178" s="471"/>
      <c r="G178" s="471"/>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469"/>
      <c r="AK178" s="469"/>
      <c r="AL178" s="470"/>
      <c r="AM178" s="470"/>
      <c r="AN178" s="470"/>
    </row>
    <row r="179" spans="2:40">
      <c r="B179" s="465" t="s">
        <v>1288</v>
      </c>
      <c r="C179" s="466"/>
      <c r="D179" s="466"/>
      <c r="E179" s="466"/>
      <c r="F179" s="466"/>
      <c r="G179" s="466"/>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9"/>
      <c r="AK179" s="469"/>
      <c r="AL179" s="470"/>
      <c r="AM179" s="470"/>
      <c r="AN179" s="470"/>
    </row>
    <row r="180" spans="2:40">
      <c r="B180" s="465" t="s">
        <v>1289</v>
      </c>
      <c r="C180" s="468"/>
      <c r="D180" s="468"/>
      <c r="E180" s="468"/>
      <c r="F180" s="468"/>
      <c r="G180" s="468"/>
      <c r="H180" s="467"/>
      <c r="I180" s="467"/>
      <c r="J180" s="467"/>
      <c r="K180" s="467"/>
      <c r="L180" s="467"/>
      <c r="M180" s="467"/>
      <c r="N180" s="467"/>
      <c r="O180" s="467"/>
      <c r="P180" s="467"/>
      <c r="Q180" s="467"/>
      <c r="R180" s="467"/>
      <c r="S180" s="467"/>
      <c r="T180" s="467"/>
      <c r="U180" s="467"/>
      <c r="V180" s="467"/>
      <c r="W180" s="467"/>
      <c r="X180" s="467"/>
      <c r="Y180" s="467"/>
      <c r="Z180" s="467"/>
      <c r="AA180" s="467"/>
      <c r="AB180" s="467"/>
      <c r="AC180" s="467"/>
      <c r="AD180" s="467"/>
      <c r="AE180" s="467"/>
      <c r="AF180" s="467"/>
      <c r="AG180" s="467"/>
      <c r="AH180" s="467"/>
      <c r="AI180" s="467"/>
      <c r="AJ180" s="469"/>
      <c r="AK180" s="469"/>
      <c r="AL180" s="470"/>
      <c r="AM180" s="470"/>
      <c r="AN180" s="470"/>
    </row>
    <row r="181" spans="2:40" ht="15.75">
      <c r="B181" s="465" t="s">
        <v>1290</v>
      </c>
      <c r="C181" s="472"/>
      <c r="D181" s="472"/>
      <c r="E181" s="472"/>
      <c r="F181" s="472"/>
      <c r="G181" s="472"/>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c r="AF181" s="467"/>
      <c r="AG181" s="467"/>
      <c r="AH181" s="467"/>
      <c r="AI181" s="467"/>
      <c r="AJ181" s="469"/>
      <c r="AK181" s="469"/>
      <c r="AL181" s="470"/>
      <c r="AM181" s="470"/>
      <c r="AN181" s="470"/>
    </row>
    <row r="182" spans="2:40" ht="15.75">
      <c r="B182" s="465" t="s">
        <v>1291</v>
      </c>
      <c r="C182" s="472"/>
      <c r="D182" s="472"/>
      <c r="E182" s="472"/>
      <c r="F182" s="472"/>
      <c r="G182" s="472"/>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469"/>
      <c r="AK182" s="469"/>
      <c r="AL182" s="470"/>
      <c r="AM182" s="470"/>
      <c r="AN182" s="470"/>
    </row>
    <row r="183" spans="2:40">
      <c r="B183" s="465" t="s">
        <v>1292</v>
      </c>
      <c r="C183" s="467"/>
      <c r="D183" s="467"/>
      <c r="E183" s="467"/>
      <c r="F183" s="467"/>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473"/>
      <c r="AK183" s="473"/>
      <c r="AL183" s="474"/>
      <c r="AM183" s="474"/>
      <c r="AN183" s="474"/>
    </row>
    <row r="184" spans="2:40">
      <c r="B184" s="465"/>
      <c r="C184" s="439"/>
      <c r="D184" s="439"/>
      <c r="E184" s="439"/>
      <c r="F184" s="439"/>
      <c r="G184" s="439"/>
      <c r="H184" s="467"/>
      <c r="I184" s="467"/>
      <c r="J184" s="467"/>
      <c r="K184" s="467"/>
      <c r="L184" s="467"/>
      <c r="M184" s="467"/>
      <c r="N184" s="467"/>
      <c r="O184" s="467"/>
      <c r="P184" s="467"/>
      <c r="Q184" s="467"/>
      <c r="R184" s="467"/>
      <c r="S184" s="467"/>
      <c r="T184" s="467"/>
      <c r="U184" s="467"/>
      <c r="V184" s="467"/>
      <c r="W184" s="467"/>
      <c r="X184" s="467"/>
      <c r="Y184" s="467"/>
      <c r="Z184" s="467"/>
      <c r="AA184" s="467"/>
      <c r="AB184" s="467"/>
      <c r="AC184" s="467"/>
      <c r="AD184" s="467"/>
      <c r="AE184" s="467"/>
      <c r="AF184" s="467"/>
      <c r="AG184" s="467"/>
      <c r="AH184" s="467"/>
      <c r="AI184" s="467"/>
      <c r="AJ184" s="473"/>
      <c r="AK184" s="473"/>
      <c r="AL184" s="474"/>
      <c r="AM184" s="474"/>
      <c r="AN184" s="474"/>
    </row>
    <row r="185" spans="2:40">
      <c r="B185" s="465"/>
      <c r="C185" s="467"/>
      <c r="D185" s="467"/>
      <c r="E185" s="467"/>
      <c r="F185" s="467"/>
      <c r="G185" s="467"/>
      <c r="H185" s="467"/>
      <c r="I185" s="467"/>
      <c r="J185" s="467"/>
      <c r="K185" s="467"/>
      <c r="L185" s="467"/>
      <c r="M185" s="467"/>
      <c r="N185" s="467"/>
      <c r="O185" s="467"/>
      <c r="P185" s="467"/>
      <c r="Q185" s="467"/>
      <c r="R185" s="467"/>
      <c r="S185" s="467"/>
      <c r="T185" s="467"/>
      <c r="U185" s="467"/>
      <c r="V185" s="467"/>
      <c r="W185" s="467"/>
      <c r="X185" s="467"/>
      <c r="Y185" s="467"/>
      <c r="Z185" s="467"/>
      <c r="AA185" s="467"/>
      <c r="AB185" s="467"/>
      <c r="AC185" s="467"/>
      <c r="AD185" s="467"/>
      <c r="AE185" s="467"/>
      <c r="AF185" s="467"/>
      <c r="AG185" s="467"/>
      <c r="AH185" s="467"/>
      <c r="AI185" s="467"/>
      <c r="AJ185" s="430"/>
      <c r="AK185" s="430"/>
    </row>
    <row r="186" spans="2:40">
      <c r="C186" s="430"/>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430"/>
    </row>
    <row r="187" spans="2:40">
      <c r="B187" s="475" t="s">
        <v>1293</v>
      </c>
      <c r="C187" s="476">
        <v>1998</v>
      </c>
      <c r="D187" s="476">
        <v>1999</v>
      </c>
      <c r="E187" s="476">
        <v>2000</v>
      </c>
      <c r="F187" s="476">
        <v>2001</v>
      </c>
      <c r="G187" s="476">
        <v>2002</v>
      </c>
      <c r="H187" s="476">
        <v>2003</v>
      </c>
      <c r="I187" s="476">
        <v>2004</v>
      </c>
      <c r="J187" s="476">
        <v>2005</v>
      </c>
      <c r="K187" s="476">
        <v>2006</v>
      </c>
      <c r="L187" s="476">
        <v>2007</v>
      </c>
      <c r="M187" s="476">
        <v>2008</v>
      </c>
      <c r="N187" s="476">
        <v>2009</v>
      </c>
      <c r="O187" s="476">
        <v>2010</v>
      </c>
      <c r="P187" s="476">
        <v>2011</v>
      </c>
      <c r="Q187" s="476">
        <v>2012</v>
      </c>
      <c r="R187" s="476">
        <v>2013</v>
      </c>
      <c r="S187" s="476">
        <v>2014</v>
      </c>
      <c r="T187" s="477">
        <f t="shared" ref="T187:AI187" si="26">S187+1</f>
        <v>2015</v>
      </c>
      <c r="U187" s="477">
        <f t="shared" si="26"/>
        <v>2016</v>
      </c>
      <c r="V187" s="477">
        <f t="shared" si="26"/>
        <v>2017</v>
      </c>
      <c r="W187" s="477">
        <f t="shared" si="26"/>
        <v>2018</v>
      </c>
      <c r="X187" s="477">
        <f t="shared" si="26"/>
        <v>2019</v>
      </c>
      <c r="Y187" s="477">
        <f t="shared" si="26"/>
        <v>2020</v>
      </c>
      <c r="Z187" s="477">
        <f t="shared" si="26"/>
        <v>2021</v>
      </c>
      <c r="AA187" s="477">
        <f t="shared" si="26"/>
        <v>2022</v>
      </c>
      <c r="AB187" s="477">
        <f t="shared" si="26"/>
        <v>2023</v>
      </c>
      <c r="AC187" s="477">
        <f t="shared" si="26"/>
        <v>2024</v>
      </c>
      <c r="AD187" s="477">
        <f t="shared" si="26"/>
        <v>2025</v>
      </c>
      <c r="AE187" s="477">
        <f t="shared" si="26"/>
        <v>2026</v>
      </c>
      <c r="AF187" s="477">
        <f t="shared" si="26"/>
        <v>2027</v>
      </c>
      <c r="AG187" s="477">
        <f t="shared" si="26"/>
        <v>2028</v>
      </c>
      <c r="AH187" s="477">
        <f t="shared" si="26"/>
        <v>2029</v>
      </c>
      <c r="AI187" s="477">
        <f t="shared" si="26"/>
        <v>2030</v>
      </c>
      <c r="AJ187" s="430"/>
      <c r="AK187" s="430"/>
    </row>
    <row r="188" spans="2:40">
      <c r="B188" s="474" t="s">
        <v>557</v>
      </c>
      <c r="C188" s="478"/>
      <c r="D188" s="478"/>
      <c r="E188" s="478"/>
      <c r="F188" s="478">
        <f>LiLAC!B4</f>
        <v>2120.6999999999998</v>
      </c>
      <c r="G188" s="478">
        <f>LiLAC!C4</f>
        <v>2221.8000000000002</v>
      </c>
      <c r="H188" s="478">
        <f>LiLAC!D4</f>
        <v>2281.8999999999996</v>
      </c>
      <c r="I188" s="478">
        <f>LiLAC!E4</f>
        <v>1876.1000000000001</v>
      </c>
      <c r="J188" s="478">
        <f>LiLAC!F4</f>
        <v>2584.8000000000002</v>
      </c>
      <c r="K188" s="478">
        <f>LiLAC!G4</f>
        <v>2760.8999999999996</v>
      </c>
      <c r="L188" s="478">
        <f>LiLAC!H4</f>
        <v>2782</v>
      </c>
      <c r="M188" s="478">
        <f>LiLAC!I4</f>
        <v>2868.3</v>
      </c>
      <c r="N188" s="478">
        <f>LiLAC!J4</f>
        <v>2959.2000000000003</v>
      </c>
      <c r="O188" s="478">
        <f>LiLAC!K4</f>
        <v>3031.5</v>
      </c>
      <c r="P188" s="478">
        <f>LiLAC!L4</f>
        <v>3111.3</v>
      </c>
      <c r="Q188" s="478">
        <f>LiLAC!M4</f>
        <v>3563.5</v>
      </c>
      <c r="R188" s="478">
        <f>LiLAC!N4</f>
        <v>3631.9</v>
      </c>
      <c r="S188" s="478">
        <f>LiLAC!O4</f>
        <v>3685.3</v>
      </c>
      <c r="T188" s="478">
        <f>LiLAC!P4</f>
        <v>4132.2</v>
      </c>
      <c r="U188" s="478">
        <f>LiLAC!Q4</f>
        <v>4308.8999999999996</v>
      </c>
      <c r="V188" s="478">
        <f>LiLAC!R4</f>
        <v>4517</v>
      </c>
      <c r="W188" s="478">
        <f>LiLAC!S4</f>
        <v>4643</v>
      </c>
      <c r="X188" s="478">
        <f>LiLAC!T4</f>
        <v>4686</v>
      </c>
      <c r="Y188" s="478">
        <f>LiLAC!U4</f>
        <v>4729</v>
      </c>
      <c r="Z188" s="478">
        <f>LiLAC!V4</f>
        <v>4772</v>
      </c>
      <c r="AA188" s="478">
        <f>LiLAC!W4</f>
        <v>4815</v>
      </c>
      <c r="AB188" s="478">
        <f>LiLAC!X4</f>
        <v>4858</v>
      </c>
      <c r="AC188" s="478">
        <f>LiLAC!Y4</f>
        <v>4901</v>
      </c>
      <c r="AD188" s="478">
        <f>LiLAC!Z4</f>
        <v>4944</v>
      </c>
      <c r="AE188" s="478">
        <f>LiLAC!AA4</f>
        <v>0</v>
      </c>
      <c r="AF188" s="478"/>
      <c r="AG188" s="478"/>
      <c r="AH188" s="478"/>
      <c r="AI188" s="478"/>
      <c r="AJ188" s="430"/>
      <c r="AK188" s="430"/>
    </row>
    <row r="189" spans="2:40">
      <c r="B189" s="474" t="s">
        <v>558</v>
      </c>
      <c r="C189" s="478"/>
      <c r="D189" s="478"/>
      <c r="E189" s="478"/>
      <c r="F189" s="478">
        <f>LiLAC!B5</f>
        <v>873.30000000000007</v>
      </c>
      <c r="G189" s="478">
        <f>LiLAC!C5</f>
        <v>1469.6000000000001</v>
      </c>
      <c r="H189" s="478">
        <f>LiLAC!D5</f>
        <v>1532</v>
      </c>
      <c r="I189" s="478">
        <f>LiLAC!E5</f>
        <v>1116.4000000000001</v>
      </c>
      <c r="J189" s="478">
        <f>LiLAC!F5</f>
        <v>1661.5</v>
      </c>
      <c r="K189" s="478">
        <f>LiLAC!G5</f>
        <v>1899.8000000000002</v>
      </c>
      <c r="L189" s="478">
        <f>LiLAC!H5</f>
        <v>1993.2</v>
      </c>
      <c r="M189" s="478">
        <f>LiLAC!I5</f>
        <v>2124.5</v>
      </c>
      <c r="N189" s="478">
        <f>LiLAC!J5</f>
        <v>2301.5</v>
      </c>
      <c r="O189" s="478">
        <f>LiLAC!K5</f>
        <v>2380.5</v>
      </c>
      <c r="P189" s="478">
        <f>LiLAC!L5</f>
        <v>2482.8000000000002</v>
      </c>
      <c r="Q189" s="478">
        <f>LiLAC!M5</f>
        <v>3032.8</v>
      </c>
      <c r="R189" s="478">
        <f>LiLAC!N5</f>
        <v>3110.7</v>
      </c>
      <c r="S189" s="478">
        <f>LiLAC!O5</f>
        <v>3166.2</v>
      </c>
      <c r="T189" s="478">
        <f>LiLAC!P5</f>
        <v>3615.8</v>
      </c>
      <c r="U189" s="478">
        <f>LiLAC!Q5</f>
        <v>3802.8</v>
      </c>
      <c r="V189" s="478">
        <f>LiLAC!R5</f>
        <v>4035.1000000000004</v>
      </c>
      <c r="W189" s="478">
        <f>LiLAC!S5</f>
        <v>4188</v>
      </c>
      <c r="X189" s="478">
        <f>LiLAC!T5</f>
        <v>4180.9610775620822</v>
      </c>
      <c r="Y189" s="478">
        <f>LiLAC!U5</f>
        <v>4218.2828143871329</v>
      </c>
      <c r="Z189" s="478">
        <f>LiLAC!V5</f>
        <v>4255.6045512121837</v>
      </c>
      <c r="AA189" s="478">
        <f>LiLAC!W5</f>
        <v>4292.9262880372344</v>
      </c>
      <c r="AB189" s="478">
        <f>LiLAC!X5</f>
        <v>4330.248024862286</v>
      </c>
      <c r="AC189" s="478">
        <f>LiLAC!Y5</f>
        <v>4367.5697616873367</v>
      </c>
      <c r="AD189" s="478">
        <f>LiLAC!Z5</f>
        <v>4404.8914985123874</v>
      </c>
      <c r="AE189" s="478">
        <f>LiLAC!AA5</f>
        <v>0</v>
      </c>
      <c r="AF189" s="478"/>
      <c r="AG189" s="478"/>
      <c r="AH189" s="478"/>
      <c r="AI189" s="478"/>
      <c r="AJ189" s="430"/>
      <c r="AK189" s="430"/>
    </row>
    <row r="190" spans="2:40">
      <c r="B190" s="474" t="s">
        <v>559</v>
      </c>
      <c r="C190" s="478"/>
      <c r="D190" s="478"/>
      <c r="E190" s="478"/>
      <c r="F190" s="478">
        <f>LiLAC!B6</f>
        <v>0</v>
      </c>
      <c r="G190" s="478">
        <f>LiLAC!C6</f>
        <v>0</v>
      </c>
      <c r="H190" s="478">
        <f>LiLAC!D6</f>
        <v>0</v>
      </c>
      <c r="I190" s="478">
        <f>LiLAC!E6</f>
        <v>665.3</v>
      </c>
      <c r="J190" s="478">
        <f>LiLAC!F6</f>
        <v>1042.2</v>
      </c>
      <c r="K190" s="478">
        <f>LiLAC!G6</f>
        <v>1095.5</v>
      </c>
      <c r="L190" s="478">
        <f>LiLAC!H6</f>
        <v>1107.3</v>
      </c>
      <c r="M190" s="478">
        <f>LiLAC!I6</f>
        <v>1149.6999999999998</v>
      </c>
      <c r="N190" s="478">
        <f>LiLAC!J6</f>
        <v>1180.8</v>
      </c>
      <c r="O190" s="478">
        <f>LiLAC!K6</f>
        <v>1189.3</v>
      </c>
      <c r="P190" s="478">
        <f>LiLAC!L6</f>
        <v>1223.3999999999999</v>
      </c>
      <c r="Q190" s="478">
        <f>LiLAC!M6</f>
        <v>1415.2</v>
      </c>
      <c r="R190" s="478">
        <f>LiLAC!N6</f>
        <v>1472.6</v>
      </c>
      <c r="S190" s="478">
        <f>LiLAC!O6</f>
        <v>1506.9</v>
      </c>
      <c r="T190" s="478">
        <f>LiLAC!P6</f>
        <v>1664.3000000000002</v>
      </c>
      <c r="U190" s="478">
        <f>LiLAC!Q6</f>
        <v>1732.6000000000001</v>
      </c>
      <c r="V190" s="478">
        <f>LiLAC!R6</f>
        <v>1810.6000000000001</v>
      </c>
      <c r="W190" s="478">
        <f>LiLAC!S6</f>
        <v>1874.8130000000001</v>
      </c>
      <c r="X190" s="478">
        <f>LiLAC!T6</f>
        <v>1899.2270899999999</v>
      </c>
      <c r="Y190" s="478">
        <f>LiLAC!U6</f>
        <v>1924.1030705000001</v>
      </c>
      <c r="Z190" s="478">
        <f>LiLAC!V6</f>
        <v>1949.449915397</v>
      </c>
      <c r="AA190" s="478">
        <f>LiLAC!W6</f>
        <v>1975.27677542681</v>
      </c>
      <c r="AB190" s="478">
        <f>LiLAC!X6</f>
        <v>2001.5929816744351</v>
      </c>
      <c r="AC190" s="478">
        <f>LiLAC!Y6</f>
        <v>2028.4080491544032</v>
      </c>
      <c r="AD190" s="478">
        <f>LiLAC!Z6</f>
        <v>2055.7316804624356</v>
      </c>
      <c r="AE190" s="478">
        <f>LiLAC!AA6</f>
        <v>0</v>
      </c>
      <c r="AF190" s="478"/>
      <c r="AG190" s="478"/>
      <c r="AH190" s="478"/>
      <c r="AI190" s="478"/>
      <c r="AJ190" s="430"/>
      <c r="AK190" s="430"/>
    </row>
    <row r="191" spans="2:40">
      <c r="B191" s="474" t="s">
        <v>1294</v>
      </c>
      <c r="C191" s="478"/>
      <c r="D191" s="478"/>
      <c r="E191" s="478"/>
      <c r="F191" s="478">
        <f>LiLAC!B10</f>
        <v>474.1</v>
      </c>
      <c r="G191" s="478">
        <f>LiLAC!C10</f>
        <v>489.9</v>
      </c>
      <c r="H191" s="478">
        <f>LiLAC!D10</f>
        <v>514.79999999999995</v>
      </c>
      <c r="I191" s="478">
        <f>LiLAC!E10</f>
        <v>521.5</v>
      </c>
      <c r="J191" s="478">
        <f>LiLAC!F10</f>
        <v>881.1</v>
      </c>
      <c r="K191" s="478">
        <f>LiLAC!G10</f>
        <v>937.9</v>
      </c>
      <c r="L191" s="478">
        <f>LiLAC!H10</f>
        <v>952.8</v>
      </c>
      <c r="M191" s="478">
        <f>LiLAC!I10</f>
        <v>976</v>
      </c>
      <c r="N191" s="478">
        <f>LiLAC!J10</f>
        <v>1004.6999999999999</v>
      </c>
      <c r="O191" s="478">
        <f>LiLAC!K10</f>
        <v>979</v>
      </c>
      <c r="P191" s="478">
        <f>LiLAC!L10</f>
        <v>996.40000000000009</v>
      </c>
      <c r="Q191" s="478">
        <f>LiLAC!M10</f>
        <v>1138.4000000000001</v>
      </c>
      <c r="R191" s="478">
        <f>LiLAC!N10</f>
        <v>1199.9000000000001</v>
      </c>
      <c r="S191" s="478">
        <f>LiLAC!O10</f>
        <v>1233.4000000000001</v>
      </c>
      <c r="T191" s="478">
        <f>LiLAC!P10</f>
        <v>1289.9000000000001</v>
      </c>
      <c r="U191" s="478">
        <f>LiLAC!Q10</f>
        <v>1308.5999999999999</v>
      </c>
      <c r="V191" s="478">
        <f>LiLAC!R10</f>
        <v>1328.7</v>
      </c>
      <c r="W191" s="478">
        <f>LiLAC!S10</f>
        <v>1352.6610000000001</v>
      </c>
      <c r="X191" s="478">
        <f>LiLAC!T10</f>
        <v>1377.07509</v>
      </c>
      <c r="Y191" s="478">
        <f>LiLAC!U10</f>
        <v>1401.9510705000002</v>
      </c>
      <c r="Z191" s="478">
        <f>LiLAC!V10</f>
        <v>1427.297915397</v>
      </c>
      <c r="AA191" s="478">
        <f>LiLAC!W10</f>
        <v>1453.1247754268102</v>
      </c>
      <c r="AB191" s="478">
        <f>LiLAC!X10</f>
        <v>1479.4409816744351</v>
      </c>
      <c r="AC191" s="478">
        <f>LiLAC!Y10</f>
        <v>1506.2560491544034</v>
      </c>
      <c r="AD191" s="478">
        <f>LiLAC!Z10</f>
        <v>1533.5796804624358</v>
      </c>
      <c r="AE191" s="478">
        <f>LiLAC!AA10</f>
        <v>0</v>
      </c>
      <c r="AF191" s="478"/>
      <c r="AG191" s="478"/>
      <c r="AH191" s="478"/>
      <c r="AI191" s="478"/>
      <c r="AJ191" s="430"/>
      <c r="AK191" s="430"/>
    </row>
    <row r="192" spans="2:40">
      <c r="B192" s="474" t="s">
        <v>1295</v>
      </c>
      <c r="C192" s="478"/>
      <c r="D192" s="478"/>
      <c r="E192" s="478"/>
      <c r="F192" s="478">
        <f>LiLAC!B7</f>
        <v>458.3</v>
      </c>
      <c r="G192" s="478">
        <f>LiLAC!C7</f>
        <v>474.1</v>
      </c>
      <c r="H192" s="478">
        <f>LiLAC!D7</f>
        <v>502.8</v>
      </c>
      <c r="I192" s="478">
        <f>LiLAC!E7</f>
        <v>517</v>
      </c>
      <c r="J192" s="478">
        <f>LiLAC!F7</f>
        <v>818.7</v>
      </c>
      <c r="K192" s="478">
        <f>LiLAC!G7</f>
        <v>708.30000000000007</v>
      </c>
      <c r="L192" s="478">
        <f>LiLAC!H7</f>
        <v>669.3</v>
      </c>
      <c r="M192" s="478">
        <f>LiLAC!I7</f>
        <v>532</v>
      </c>
      <c r="N192" s="478">
        <f>LiLAC!J7</f>
        <v>370.4</v>
      </c>
      <c r="O192" s="478">
        <f>LiLAC!K7</f>
        <v>289</v>
      </c>
      <c r="P192" s="478">
        <f>LiLAC!L7</f>
        <v>214.6</v>
      </c>
      <c r="Q192" s="478">
        <f>LiLAC!M7</f>
        <v>163.19999999999999</v>
      </c>
      <c r="R192" s="478">
        <f>LiLAC!N7</f>
        <v>134.80000000000001</v>
      </c>
      <c r="S192" s="478">
        <f>LiLAC!O7</f>
        <v>110.3</v>
      </c>
      <c r="T192" s="478">
        <f>LiLAC!P7</f>
        <v>93.8</v>
      </c>
      <c r="U192" s="478">
        <f>LiLAC!Q7</f>
        <v>93.8</v>
      </c>
      <c r="V192" s="478">
        <f>LiLAC!R7</f>
        <v>67.5</v>
      </c>
      <c r="W192" s="478">
        <f>LiLAC!S7</f>
        <v>21.774960000000021</v>
      </c>
      <c r="X192" s="478">
        <f>LiLAC!T7</f>
        <v>0</v>
      </c>
      <c r="Y192" s="478">
        <f>LiLAC!U7</f>
        <v>0</v>
      </c>
      <c r="Z192" s="478">
        <f>LiLAC!V7</f>
        <v>0</v>
      </c>
      <c r="AA192" s="478">
        <f>LiLAC!W7</f>
        <v>0</v>
      </c>
      <c r="AB192" s="478">
        <f>LiLAC!X7</f>
        <v>0</v>
      </c>
      <c r="AC192" s="478">
        <f>LiLAC!Y7</f>
        <v>0</v>
      </c>
      <c r="AD192" s="478">
        <f>LiLAC!Z7</f>
        <v>0</v>
      </c>
      <c r="AE192" s="478">
        <f>LiLAC!AA7</f>
        <v>0</v>
      </c>
      <c r="AF192" s="478"/>
      <c r="AG192" s="478"/>
      <c r="AH192" s="478"/>
      <c r="AI192" s="478"/>
      <c r="AJ192" s="430"/>
      <c r="AK192" s="430"/>
    </row>
    <row r="193" spans="2:37">
      <c r="B193" s="474" t="s">
        <v>1296</v>
      </c>
      <c r="C193" s="478"/>
      <c r="D193" s="478"/>
      <c r="E193" s="478"/>
      <c r="F193" s="478">
        <f>LiLAC!B8</f>
        <v>7.3</v>
      </c>
      <c r="G193" s="478">
        <f>LiLAC!C8</f>
        <v>8.9</v>
      </c>
      <c r="H193" s="478">
        <f>LiLAC!D8</f>
        <v>6.5</v>
      </c>
      <c r="I193" s="478">
        <f>LiLAC!E8</f>
        <v>0</v>
      </c>
      <c r="J193" s="478">
        <f>LiLAC!F8</f>
        <v>62.4</v>
      </c>
      <c r="K193" s="478">
        <f>LiLAC!G8</f>
        <v>214.6</v>
      </c>
      <c r="L193" s="478">
        <f>LiLAC!H8</f>
        <v>268.5</v>
      </c>
      <c r="M193" s="478">
        <f>LiLAC!I8</f>
        <v>429</v>
      </c>
      <c r="N193" s="478">
        <f>LiLAC!J8</f>
        <v>619.29999999999995</v>
      </c>
      <c r="O193" s="478">
        <f>LiLAC!K8</f>
        <v>690</v>
      </c>
      <c r="P193" s="478">
        <f>LiLAC!L8</f>
        <v>781.80000000000007</v>
      </c>
      <c r="Q193" s="478">
        <f>LiLAC!M8</f>
        <v>975.19999999999993</v>
      </c>
      <c r="R193" s="478">
        <f>LiLAC!N8</f>
        <v>1065.0999999999999</v>
      </c>
      <c r="S193" s="478">
        <f>LiLAC!O8</f>
        <v>1121.8</v>
      </c>
      <c r="T193" s="478">
        <f>LiLAC!P8</f>
        <v>1196.0999999999999</v>
      </c>
      <c r="U193" s="478">
        <f>LiLAC!Q8</f>
        <v>1214.8</v>
      </c>
      <c r="V193" s="478">
        <f>LiLAC!R8</f>
        <v>1261.2</v>
      </c>
      <c r="W193" s="478">
        <f>LiLAC!S8</f>
        <v>1330.8860400000001</v>
      </c>
      <c r="X193" s="478">
        <f>LiLAC!T8</f>
        <v>1377.07509</v>
      </c>
      <c r="Y193" s="478">
        <f>LiLAC!U8</f>
        <v>1401.9510705000002</v>
      </c>
      <c r="Z193" s="478">
        <f>LiLAC!V8</f>
        <v>1427.297915397</v>
      </c>
      <c r="AA193" s="478">
        <f>LiLAC!W8</f>
        <v>1453.1247754268102</v>
      </c>
      <c r="AB193" s="478">
        <f>LiLAC!X8</f>
        <v>1479.4409816744351</v>
      </c>
      <c r="AC193" s="478">
        <f>LiLAC!Y8</f>
        <v>1506.2560491544034</v>
      </c>
      <c r="AD193" s="478">
        <f>LiLAC!Z8</f>
        <v>1533.5796804624358</v>
      </c>
      <c r="AE193" s="478">
        <f>LiLAC!AA8</f>
        <v>0</v>
      </c>
      <c r="AF193" s="478"/>
      <c r="AG193" s="478"/>
      <c r="AH193" s="478"/>
      <c r="AI193" s="478"/>
      <c r="AJ193" s="430"/>
      <c r="AK193" s="430"/>
    </row>
    <row r="194" spans="2:37">
      <c r="B194" s="474" t="s">
        <v>1297</v>
      </c>
      <c r="C194" s="478"/>
      <c r="D194" s="478"/>
      <c r="E194" s="478"/>
      <c r="F194" s="478">
        <f>LiLAC!B12</f>
        <v>183.2</v>
      </c>
      <c r="G194" s="478">
        <f>LiLAC!C12</f>
        <v>228.1</v>
      </c>
      <c r="H194" s="478">
        <f>LiLAC!D12</f>
        <v>271.3</v>
      </c>
      <c r="I194" s="478">
        <f>LiLAC!E12</f>
        <v>310</v>
      </c>
      <c r="J194" s="478">
        <f>LiLAC!F12</f>
        <v>381.09999999999997</v>
      </c>
      <c r="K194" s="478">
        <f>LiLAC!G12</f>
        <v>485.3</v>
      </c>
      <c r="L194" s="478">
        <f>LiLAC!H12</f>
        <v>573.5</v>
      </c>
      <c r="M194" s="478">
        <f>LiLAC!I12</f>
        <v>625.80000000000007</v>
      </c>
      <c r="N194" s="478">
        <f>LiLAC!J12</f>
        <v>671</v>
      </c>
      <c r="O194" s="478">
        <f>LiLAC!K12</f>
        <v>670.6</v>
      </c>
      <c r="P194" s="478">
        <f>LiLAC!L12</f>
        <v>696.6</v>
      </c>
      <c r="Q194" s="478">
        <f>LiLAC!M12</f>
        <v>772</v>
      </c>
      <c r="R194" s="478">
        <f>LiLAC!N12</f>
        <v>822.80000000000007</v>
      </c>
      <c r="S194" s="478">
        <f>LiLAC!O12</f>
        <v>854.5</v>
      </c>
      <c r="T194" s="478">
        <f>LiLAC!P12</f>
        <v>883.9</v>
      </c>
      <c r="U194" s="478">
        <f>LiLAC!Q12</f>
        <v>865.8</v>
      </c>
      <c r="V194" s="478">
        <f ca="1">LiLAC!R12</f>
        <v>847.90000000000009</v>
      </c>
      <c r="W194" s="478">
        <f ca="1">LiLAC!S12</f>
        <v>857.90000000000009</v>
      </c>
      <c r="X194" s="478">
        <f ca="1">LiLAC!T12</f>
        <v>867.90000000000009</v>
      </c>
      <c r="Y194" s="478">
        <f ca="1">LiLAC!U12</f>
        <v>877.90000000000009</v>
      </c>
      <c r="Z194" s="478">
        <f ca="1">LiLAC!V12</f>
        <v>887.90000000000009</v>
      </c>
      <c r="AA194" s="478">
        <f ca="1">LiLAC!W12</f>
        <v>897.90000000000009</v>
      </c>
      <c r="AB194" s="478">
        <f ca="1">LiLAC!X12</f>
        <v>907.90000000000009</v>
      </c>
      <c r="AC194" s="478">
        <f ca="1">LiLAC!Y12</f>
        <v>917.90000000000009</v>
      </c>
      <c r="AD194" s="478">
        <f ca="1">LiLAC!Z12</f>
        <v>927.90000000000009</v>
      </c>
      <c r="AE194" s="478">
        <f>LiLAC!AA12</f>
        <v>0</v>
      </c>
      <c r="AF194" s="478"/>
      <c r="AG194" s="478"/>
      <c r="AH194" s="478"/>
      <c r="AI194" s="478"/>
      <c r="AJ194" s="430"/>
      <c r="AK194" s="430"/>
    </row>
    <row r="195" spans="2:37">
      <c r="B195" s="474" t="s">
        <v>1298</v>
      </c>
      <c r="C195" s="478"/>
      <c r="D195" s="478"/>
      <c r="E195" s="478"/>
      <c r="F195" s="478">
        <f>LiLAC!B11</f>
        <v>25.400000000000002</v>
      </c>
      <c r="G195" s="478">
        <f>LiLAC!C11</f>
        <v>72.899999999999991</v>
      </c>
      <c r="H195" s="478">
        <f>LiLAC!D11</f>
        <v>133.1</v>
      </c>
      <c r="I195" s="478">
        <f>LiLAC!E11</f>
        <v>180.60000000000002</v>
      </c>
      <c r="J195" s="478">
        <f>LiLAC!F11</f>
        <v>339.8</v>
      </c>
      <c r="K195" s="478">
        <f>LiLAC!G11</f>
        <v>466.5</v>
      </c>
      <c r="L195" s="478">
        <f>LiLAC!H11</f>
        <v>578.29999999999995</v>
      </c>
      <c r="M195" s="478">
        <f>LiLAC!I11</f>
        <v>657.40000000000009</v>
      </c>
      <c r="N195" s="478">
        <f>LiLAC!J11</f>
        <v>730.59999999999991</v>
      </c>
      <c r="O195" s="478">
        <f>LiLAC!K11</f>
        <v>779.3</v>
      </c>
      <c r="P195" s="478">
        <f>LiLAC!L11</f>
        <v>852.5</v>
      </c>
      <c r="Q195" s="478">
        <f>LiLAC!M11</f>
        <v>1004.5</v>
      </c>
      <c r="R195" s="478">
        <f>LiLAC!N11</f>
        <v>1077.9000000000001</v>
      </c>
      <c r="S195" s="478">
        <f>LiLAC!O11</f>
        <v>1142.3</v>
      </c>
      <c r="T195" s="478">
        <f>LiLAC!P11</f>
        <v>1322.1</v>
      </c>
      <c r="U195" s="478">
        <f>LiLAC!Q11</f>
        <v>1420.2</v>
      </c>
      <c r="V195" s="478">
        <f>LiLAC!R11</f>
        <v>1525.6</v>
      </c>
      <c r="W195" s="478">
        <f>LiLAC!S11</f>
        <v>1570.6</v>
      </c>
      <c r="X195" s="478">
        <f>LiLAC!T11</f>
        <v>1605.6</v>
      </c>
      <c r="Y195" s="478">
        <f>LiLAC!U11</f>
        <v>1640.6</v>
      </c>
      <c r="Z195" s="478">
        <f>LiLAC!V11</f>
        <v>1675.6</v>
      </c>
      <c r="AA195" s="478">
        <f>LiLAC!W11</f>
        <v>1710.6</v>
      </c>
      <c r="AB195" s="478">
        <f>LiLAC!X11</f>
        <v>1745.6</v>
      </c>
      <c r="AC195" s="478">
        <f>LiLAC!Y11</f>
        <v>1780.6</v>
      </c>
      <c r="AD195" s="478">
        <f>LiLAC!Z11</f>
        <v>1815.6</v>
      </c>
      <c r="AE195" s="478">
        <f>LiLAC!AA11</f>
        <v>0</v>
      </c>
      <c r="AF195" s="478"/>
      <c r="AG195" s="478"/>
      <c r="AH195" s="478"/>
      <c r="AI195" s="478"/>
      <c r="AJ195" s="430"/>
      <c r="AK195" s="430"/>
    </row>
    <row r="196" spans="2:37">
      <c r="B196" s="474" t="s">
        <v>1299</v>
      </c>
      <c r="C196" s="478"/>
      <c r="D196" s="478"/>
      <c r="E196" s="478"/>
      <c r="F196" s="478">
        <f>LiLAC!B20</f>
        <v>682.69999999999993</v>
      </c>
      <c r="G196" s="478">
        <f>LiLAC!C20</f>
        <v>790.9</v>
      </c>
      <c r="H196" s="478">
        <f>LiLAC!D20</f>
        <v>919.2</v>
      </c>
      <c r="I196" s="478">
        <f>LiLAC!E20</f>
        <v>1012.1000000000001</v>
      </c>
      <c r="J196" s="478">
        <f>LiLAC!F20</f>
        <v>1602</v>
      </c>
      <c r="K196" s="478">
        <f>LiLAC!G20</f>
        <v>1889.7</v>
      </c>
      <c r="L196" s="478">
        <f>LiLAC!H20</f>
        <v>2104.6</v>
      </c>
      <c r="M196" s="478">
        <f>LiLAC!I20</f>
        <v>2259.1999999999998</v>
      </c>
      <c r="N196" s="478">
        <f>LiLAC!J20</f>
        <v>2406.2999999999997</v>
      </c>
      <c r="O196" s="478">
        <f>LiLAC!K20</f>
        <v>2428.9</v>
      </c>
      <c r="P196" s="478">
        <f>LiLAC!L20</f>
        <v>2545.5</v>
      </c>
      <c r="Q196" s="478">
        <f>LiLAC!M20</f>
        <v>2914.8999999999996</v>
      </c>
      <c r="R196" s="478">
        <f>LiLAC!N20</f>
        <v>3100.6000000000004</v>
      </c>
      <c r="S196" s="478">
        <f>LiLAC!O20</f>
        <v>3230.2000000000003</v>
      </c>
      <c r="T196" s="478">
        <f>LiLAC!P20</f>
        <v>3495.9</v>
      </c>
      <c r="U196" s="478">
        <f>LiLAC!Q20</f>
        <v>3594.6</v>
      </c>
      <c r="V196" s="478">
        <f ca="1">LiLAC!R20</f>
        <v>3702.2</v>
      </c>
      <c r="W196" s="478">
        <f ca="1">LiLAC!S20</f>
        <v>3781.1610000000001</v>
      </c>
      <c r="X196" s="478">
        <f ca="1">LiLAC!T20</f>
        <v>3850.5750899999994</v>
      </c>
      <c r="Y196" s="478">
        <f ca="1">LiLAC!U20</f>
        <v>3920.4510705000002</v>
      </c>
      <c r="Z196" s="478">
        <f ca="1">LiLAC!V20</f>
        <v>3990.797915397</v>
      </c>
      <c r="AA196" s="478">
        <f ca="1">LiLAC!W20</f>
        <v>4061.6247754268102</v>
      </c>
      <c r="AB196" s="478">
        <f ca="1">LiLAC!X20</f>
        <v>4132.9409816744346</v>
      </c>
      <c r="AC196" s="478">
        <f ca="1">LiLAC!Y20</f>
        <v>4204.7560491544027</v>
      </c>
      <c r="AD196" s="478">
        <f ca="1">LiLAC!Z20</f>
        <v>4277.0796804624351</v>
      </c>
      <c r="AE196" s="478">
        <f>LiLAC!AA20</f>
        <v>0</v>
      </c>
      <c r="AF196" s="478"/>
      <c r="AG196" s="478"/>
      <c r="AH196" s="478"/>
      <c r="AI196" s="478"/>
      <c r="AJ196" s="430"/>
      <c r="AK196" s="430"/>
    </row>
    <row r="197" spans="2:37">
      <c r="B197" s="474" t="s">
        <v>647</v>
      </c>
      <c r="C197" s="478"/>
      <c r="D197" s="478"/>
      <c r="E197" s="478"/>
      <c r="F197" s="478"/>
      <c r="G197" s="478"/>
      <c r="H197" s="478"/>
      <c r="I197" s="478"/>
      <c r="J197" s="478"/>
      <c r="K197" s="478"/>
      <c r="L197" s="478"/>
      <c r="M197" s="478"/>
      <c r="N197" s="478"/>
      <c r="O197" s="478"/>
      <c r="P197" s="478">
        <f>LiLAC!L54</f>
        <v>1004.4905391994707</v>
      </c>
      <c r="Q197" s="478">
        <f>LiLAC!M54</f>
        <v>1085.532081602435</v>
      </c>
      <c r="R197" s="478">
        <f>LiLAC!N54</f>
        <v>1288.218266222626</v>
      </c>
      <c r="S197" s="478">
        <f>LiLAC!O54</f>
        <v>1203.8503679304786</v>
      </c>
      <c r="T197" s="478">
        <f>LiLAC!P54</f>
        <v>1212.5333333333333</v>
      </c>
      <c r="U197" s="478">
        <f>LiLAC!Q54</f>
        <v>1279.4090119933155</v>
      </c>
      <c r="V197" s="478">
        <f>LiLAC!R54</f>
        <v>1272.9112207151666</v>
      </c>
      <c r="W197" s="478">
        <f>LiLAC!S54</f>
        <v>1335.7165766952999</v>
      </c>
      <c r="X197" s="478">
        <f ca="1">LiLAC!T54</f>
        <v>1359.4065288314603</v>
      </c>
      <c r="Y197" s="478">
        <f ca="1">LiLAC!U54</f>
        <v>1296.7399477283195</v>
      </c>
      <c r="Z197" s="478">
        <f ca="1">LiLAC!V54</f>
        <v>1382.1592910461954</v>
      </c>
      <c r="AA197" s="478">
        <f ca="1">LiLAC!W54</f>
        <v>1301.0411611961185</v>
      </c>
      <c r="AB197" s="478">
        <f ca="1">LiLAC!X54</f>
        <v>1432.2297683022516</v>
      </c>
      <c r="AC197" s="478">
        <f ca="1">LiLAC!Y54</f>
        <v>1466.5088123647542</v>
      </c>
      <c r="AD197" s="478">
        <f ca="1">LiLAC!Z54</f>
        <v>1516.9878285164214</v>
      </c>
      <c r="AE197" s="478">
        <f>LiLAC!AA54</f>
        <v>0</v>
      </c>
      <c r="AF197" s="478"/>
      <c r="AG197" s="478"/>
      <c r="AH197" s="478"/>
      <c r="AI197" s="478"/>
      <c r="AJ197" s="430"/>
      <c r="AK197" s="430"/>
    </row>
    <row r="198" spans="2:37">
      <c r="B198" s="474" t="s">
        <v>1300</v>
      </c>
      <c r="C198" s="478"/>
      <c r="D198" s="478"/>
      <c r="E198" s="478"/>
      <c r="F198" s="478"/>
      <c r="G198" s="478"/>
      <c r="H198" s="478"/>
      <c r="I198" s="478"/>
      <c r="J198" s="478"/>
      <c r="K198" s="478"/>
      <c r="L198" s="478"/>
      <c r="M198" s="478"/>
      <c r="N198" s="478"/>
      <c r="O198" s="478"/>
      <c r="P198" s="478">
        <f>LiLAC!L72</f>
        <v>919.18066787958981</v>
      </c>
      <c r="Q198" s="478">
        <f>LiLAC!M72</f>
        <v>982.77311582281084</v>
      </c>
      <c r="R198" s="478">
        <f>LiLAC!N72</f>
        <v>1163.9609130285601</v>
      </c>
      <c r="S198" s="478">
        <f>LiLAC!O72</f>
        <v>1097.8073025439764</v>
      </c>
      <c r="T198" s="478">
        <f>LiLAC!P72</f>
        <v>1093.6260334855403</v>
      </c>
      <c r="U198" s="478">
        <f>LiLAC!Q72</f>
        <v>1147.1082879223909</v>
      </c>
      <c r="V198" s="478">
        <f>LiLAC!R72</f>
        <v>1124.319952729963</v>
      </c>
      <c r="W198" s="478">
        <f>LiLAC!S72</f>
        <v>1173.3532949045666</v>
      </c>
      <c r="X198" s="478">
        <f ca="1">LiLAC!T72</f>
        <v>1198.3704353665582</v>
      </c>
      <c r="Y198" s="478">
        <f ca="1">LiLAC!U72</f>
        <v>1140.7823082077057</v>
      </c>
      <c r="Z198" s="478">
        <f ca="1">LiLAC!V72</f>
        <v>1213.5444392161176</v>
      </c>
      <c r="AA198" s="478">
        <f ca="1">LiLAC!W72</f>
        <v>1140.7136797555527</v>
      </c>
      <c r="AB198" s="478">
        <f ca="1">LiLAC!X72</f>
        <v>1254.0364503466117</v>
      </c>
      <c r="AC198" s="478">
        <f ca="1">LiLAC!Y72</f>
        <v>1282.7840665978827</v>
      </c>
      <c r="AD198" s="478">
        <f ca="1">LiLAC!Z72</f>
        <v>1325.9606195502465</v>
      </c>
      <c r="AE198" s="478">
        <f>LiLAC!AA72</f>
        <v>0</v>
      </c>
      <c r="AF198" s="478"/>
      <c r="AG198" s="478"/>
      <c r="AH198" s="478"/>
      <c r="AI198" s="478"/>
      <c r="AJ198" s="430"/>
      <c r="AK198" s="430"/>
    </row>
    <row r="199" spans="2:37">
      <c r="B199" s="474" t="s">
        <v>1301</v>
      </c>
      <c r="C199" s="478"/>
      <c r="D199" s="478"/>
      <c r="E199" s="478"/>
      <c r="F199" s="478"/>
      <c r="G199" s="478"/>
      <c r="H199" s="478"/>
      <c r="I199" s="478"/>
      <c r="J199" s="478"/>
      <c r="K199" s="478"/>
      <c r="L199" s="478"/>
      <c r="M199" s="478"/>
      <c r="N199" s="478"/>
      <c r="O199" s="478"/>
      <c r="P199" s="478">
        <f>LiLAC!L61</f>
        <v>10.466999999999999</v>
      </c>
      <c r="Q199" s="478">
        <f>LiLAC!M61</f>
        <v>13.094999999999999</v>
      </c>
      <c r="R199" s="478">
        <f>LiLAC!N61</f>
        <v>25.559199999999997</v>
      </c>
      <c r="S199" s="478">
        <f>LiLAC!O61</f>
        <v>26.5</v>
      </c>
      <c r="T199" s="478">
        <f>LiLAC!P61</f>
        <v>34.128</v>
      </c>
      <c r="U199" s="478">
        <f>LiLAC!Q61</f>
        <v>39.134399999999999</v>
      </c>
      <c r="V199" s="478">
        <f>LiLAC!R61</f>
        <v>40.699776</v>
      </c>
      <c r="W199" s="478">
        <f>LiLAC!S61</f>
        <v>42.327767040000005</v>
      </c>
      <c r="X199" s="478">
        <f>LiLAC!T61</f>
        <v>44.020877721600009</v>
      </c>
      <c r="Y199" s="478">
        <f>LiLAC!U61</f>
        <v>45.781712830464009</v>
      </c>
      <c r="Z199" s="478">
        <f>LiLAC!V61</f>
        <v>47.61298134368257</v>
      </c>
      <c r="AA199" s="478">
        <f>LiLAC!W61</f>
        <v>49.517500597429873</v>
      </c>
      <c r="AB199" s="478">
        <f>LiLAC!X61</f>
        <v>51.498200621327072</v>
      </c>
      <c r="AC199" s="478">
        <f>LiLAC!Y61</f>
        <v>53.558128646180158</v>
      </c>
      <c r="AD199" s="478">
        <f>LiLAC!Z61</f>
        <v>55.700453792027368</v>
      </c>
      <c r="AE199" s="478">
        <f>LiLAC!AA61</f>
        <v>0</v>
      </c>
      <c r="AF199" s="478"/>
      <c r="AG199" s="478"/>
      <c r="AH199" s="478"/>
      <c r="AI199" s="478"/>
      <c r="AJ199" s="430"/>
      <c r="AK199" s="430"/>
    </row>
    <row r="200" spans="2:37">
      <c r="B200" s="474" t="s">
        <v>1302</v>
      </c>
      <c r="C200" s="478"/>
      <c r="D200" s="478"/>
      <c r="E200" s="478"/>
      <c r="F200" s="478"/>
      <c r="G200" s="478"/>
      <c r="H200" s="478"/>
      <c r="I200" s="478"/>
      <c r="J200" s="478"/>
      <c r="K200" s="478"/>
      <c r="L200" s="478"/>
      <c r="M200" s="478"/>
      <c r="N200" s="478"/>
      <c r="O200" s="478"/>
      <c r="P200" s="478">
        <f t="shared" ref="P200:AD200" si="27">P197-P198</f>
        <v>85.309871319880926</v>
      </c>
      <c r="Q200" s="478">
        <f t="shared" si="27"/>
        <v>102.75896577962419</v>
      </c>
      <c r="R200" s="478">
        <f t="shared" si="27"/>
        <v>124.2573531940659</v>
      </c>
      <c r="S200" s="478">
        <f t="shared" si="27"/>
        <v>106.04306538650212</v>
      </c>
      <c r="T200" s="478">
        <f t="shared" si="27"/>
        <v>118.90729984779296</v>
      </c>
      <c r="U200" s="478">
        <f t="shared" si="27"/>
        <v>132.30072407092462</v>
      </c>
      <c r="V200" s="478">
        <f t="shared" si="27"/>
        <v>148.59126798520356</v>
      </c>
      <c r="W200" s="478">
        <f t="shared" si="27"/>
        <v>162.36328179073325</v>
      </c>
      <c r="X200" s="478">
        <f t="shared" ca="1" si="27"/>
        <v>161.03609346490202</v>
      </c>
      <c r="Y200" s="478">
        <f t="shared" ca="1" si="27"/>
        <v>155.95763952061384</v>
      </c>
      <c r="Z200" s="478">
        <f t="shared" ca="1" si="27"/>
        <v>168.6148518300779</v>
      </c>
      <c r="AA200" s="478">
        <f t="shared" ca="1" si="27"/>
        <v>160.32748144056586</v>
      </c>
      <c r="AB200" s="478">
        <f t="shared" ca="1" si="27"/>
        <v>178.19331795563994</v>
      </c>
      <c r="AC200" s="478">
        <f t="shared" ca="1" si="27"/>
        <v>183.72474576687159</v>
      </c>
      <c r="AD200" s="478">
        <f t="shared" ca="1" si="27"/>
        <v>191.02720896617484</v>
      </c>
      <c r="AE200" s="478">
        <f t="shared" ref="AE200" si="28">AE197-AE198</f>
        <v>0</v>
      </c>
      <c r="AF200" s="478"/>
      <c r="AG200" s="478"/>
      <c r="AH200" s="478"/>
      <c r="AI200" s="478"/>
      <c r="AJ200" s="430"/>
      <c r="AK200" s="430"/>
    </row>
    <row r="201" spans="2:37">
      <c r="B201" s="474" t="s">
        <v>8</v>
      </c>
      <c r="C201" s="478"/>
      <c r="D201" s="478"/>
      <c r="E201" s="478"/>
      <c r="F201" s="478"/>
      <c r="G201" s="478"/>
      <c r="H201" s="478"/>
      <c r="I201" s="478"/>
      <c r="J201" s="478"/>
      <c r="K201" s="478"/>
      <c r="L201" s="478"/>
      <c r="M201" s="478"/>
      <c r="N201" s="478"/>
      <c r="O201" s="478"/>
      <c r="P201" s="478">
        <f>LiLAC!L115</f>
        <v>381.91438967912671</v>
      </c>
      <c r="Q201" s="478">
        <f>LiLAC!M115</f>
        <v>366.31257763336492</v>
      </c>
      <c r="R201" s="478">
        <f>LiLAC!N115</f>
        <v>460.3124129579171</v>
      </c>
      <c r="S201" s="478">
        <f>LiLAC!O115</f>
        <v>477.08272478800194</v>
      </c>
      <c r="T201" s="478">
        <f>LiLAC!P115</f>
        <v>492.17960426179599</v>
      </c>
      <c r="U201" s="478">
        <f>LiLAC!Q115</f>
        <v>537.60007689918814</v>
      </c>
      <c r="V201" s="478">
        <f>LiLAC!R115</f>
        <v>515.55240443896423</v>
      </c>
      <c r="W201" s="478">
        <f>LiLAC!S115</f>
        <v>540.22816630963553</v>
      </c>
      <c r="X201" s="478">
        <f ca="1">LiLAC!T115</f>
        <v>566.17238427977122</v>
      </c>
      <c r="Y201" s="478">
        <f ca="1">LiLAC!U115</f>
        <v>542.78369508242281</v>
      </c>
      <c r="Z201" s="478">
        <f ca="1">LiLAC!V115</f>
        <v>583.60429486547662</v>
      </c>
      <c r="AA201" s="478">
        <f ca="1">LiLAC!W115</f>
        <v>556.32156457448002</v>
      </c>
      <c r="AB201" s="478">
        <f ca="1">LiLAC!X115</f>
        <v>612.0738014939343</v>
      </c>
      <c r="AC201" s="478">
        <f ca="1">LiLAC!Y115</f>
        <v>628.00332144745948</v>
      </c>
      <c r="AD201" s="478">
        <f ca="1">LiLAC!Z115</f>
        <v>650.61365950679999</v>
      </c>
      <c r="AE201" s="478">
        <f>LiLAC!AA115</f>
        <v>0</v>
      </c>
      <c r="AF201" s="478"/>
      <c r="AG201" s="478"/>
      <c r="AH201" s="478"/>
      <c r="AI201" s="478"/>
      <c r="AJ201" s="430"/>
      <c r="AK201" s="430"/>
    </row>
    <row r="202" spans="2:37">
      <c r="B202" s="474" t="s">
        <v>1303</v>
      </c>
      <c r="C202" s="478"/>
      <c r="D202" s="478"/>
      <c r="E202" s="478"/>
      <c r="F202" s="478"/>
      <c r="G202" s="478"/>
      <c r="H202" s="478"/>
      <c r="I202" s="478"/>
      <c r="J202" s="478"/>
      <c r="K202" s="478"/>
      <c r="L202" s="478"/>
      <c r="M202" s="478"/>
      <c r="N202" s="478"/>
      <c r="O202" s="478"/>
      <c r="P202" s="478"/>
      <c r="Q202" s="478"/>
      <c r="R202" s="478"/>
      <c r="S202" s="478"/>
      <c r="T202" s="478"/>
      <c r="U202" s="478"/>
      <c r="V202" s="478"/>
      <c r="W202" s="478"/>
      <c r="X202" s="478"/>
      <c r="Y202" s="478"/>
      <c r="Z202" s="478"/>
      <c r="AA202" s="478"/>
      <c r="AB202" s="478"/>
      <c r="AC202" s="478"/>
      <c r="AD202" s="478"/>
      <c r="AE202" s="478"/>
      <c r="AF202" s="478"/>
      <c r="AG202" s="478"/>
      <c r="AH202" s="478"/>
      <c r="AI202" s="478"/>
      <c r="AJ202" s="430"/>
      <c r="AK202" s="430"/>
    </row>
    <row r="203" spans="2:37">
      <c r="B203" s="474" t="s">
        <v>1304</v>
      </c>
      <c r="C203" s="478"/>
      <c r="D203" s="478"/>
      <c r="E203" s="478"/>
      <c r="F203" s="478"/>
      <c r="G203" s="478"/>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30"/>
      <c r="AK203" s="430"/>
    </row>
    <row r="204" spans="2:37">
      <c r="B204" s="474" t="s">
        <v>19</v>
      </c>
      <c r="C204" s="478"/>
      <c r="D204" s="478"/>
      <c r="E204" s="478"/>
      <c r="F204" s="478"/>
      <c r="G204" s="478"/>
      <c r="H204" s="478"/>
      <c r="I204" s="478"/>
      <c r="J204" s="478"/>
      <c r="K204" s="478"/>
      <c r="L204" s="478"/>
      <c r="M204" s="478"/>
      <c r="N204" s="478"/>
      <c r="O204" s="478"/>
      <c r="P204" s="478"/>
      <c r="Q204" s="478">
        <f>LiLAC!M118</f>
        <v>269.19678772673058</v>
      </c>
      <c r="R204" s="478">
        <f>LiLAC!N118</f>
        <v>253.30630739731555</v>
      </c>
      <c r="S204" s="478">
        <f>LiLAC!O118</f>
        <v>256.10397364916952</v>
      </c>
      <c r="T204" s="478">
        <f>LiLAC!P118</f>
        <v>224.8275494672755</v>
      </c>
      <c r="U204" s="478">
        <f>LiLAC!Q118</f>
        <v>286.20563138669939</v>
      </c>
      <c r="V204" s="478">
        <f>LiLAC!R118</f>
        <v>344.54623921085084</v>
      </c>
      <c r="W204" s="478">
        <f>LiLAC!S118</f>
        <v>368.14695681374383</v>
      </c>
      <c r="X204" s="478">
        <f ca="1">LiLAC!T118</f>
        <v>289.3751385858975</v>
      </c>
      <c r="Y204" s="478">
        <f ca="1">LiLAC!U118</f>
        <v>255.37372365336742</v>
      </c>
      <c r="Z204" s="478">
        <f ca="1">LiLAC!V118</f>
        <v>262.61026529877711</v>
      </c>
      <c r="AA204" s="478">
        <f ca="1">LiLAC!W118</f>
        <v>242.1934187857367</v>
      </c>
      <c r="AB204" s="478">
        <f ca="1">LiLAC!X118</f>
        <v>265.91422245926196</v>
      </c>
      <c r="AC204" s="478">
        <f ca="1">LiLAC!Y118</f>
        <v>271.26552969551733</v>
      </c>
      <c r="AD204" s="478">
        <f ca="1">LiLAC!Z118</f>
        <v>279.57563209749225</v>
      </c>
      <c r="AE204" s="478">
        <f>LiLAC!AA118</f>
        <v>0</v>
      </c>
      <c r="AF204" s="478"/>
      <c r="AG204" s="478"/>
      <c r="AH204" s="478"/>
      <c r="AI204" s="478"/>
      <c r="AJ204" s="430"/>
      <c r="AK204" s="430"/>
    </row>
    <row r="205" spans="2:37">
      <c r="B205" s="474" t="s">
        <v>1305</v>
      </c>
      <c r="C205" s="478"/>
      <c r="D205" s="478"/>
      <c r="E205" s="478"/>
      <c r="F205" s="478"/>
      <c r="G205" s="478"/>
      <c r="H205" s="478"/>
      <c r="I205" s="478"/>
      <c r="J205" s="478"/>
      <c r="K205" s="478"/>
      <c r="L205" s="478"/>
      <c r="M205" s="478"/>
      <c r="N205" s="478"/>
      <c r="O205" s="478"/>
      <c r="P205" s="478"/>
      <c r="Q205" s="478"/>
      <c r="R205" s="478"/>
      <c r="S205" s="478"/>
      <c r="T205" s="478"/>
      <c r="U205" s="478"/>
      <c r="V205" s="478"/>
      <c r="W205" s="478"/>
      <c r="X205" s="478"/>
      <c r="Y205" s="478"/>
      <c r="Z205" s="478"/>
      <c r="AA205" s="478"/>
      <c r="AB205" s="478"/>
      <c r="AC205" s="478"/>
      <c r="AD205" s="478"/>
      <c r="AE205" s="478"/>
      <c r="AF205" s="478"/>
      <c r="AG205" s="478"/>
      <c r="AH205" s="478"/>
      <c r="AI205" s="478"/>
      <c r="AJ205" s="430"/>
      <c r="AK205" s="430"/>
    </row>
    <row r="206" spans="2:37">
      <c r="B206" s="474" t="s">
        <v>1306</v>
      </c>
      <c r="C206" s="478"/>
      <c r="D206" s="478"/>
      <c r="E206" s="478"/>
      <c r="F206" s="478"/>
      <c r="G206" s="478"/>
      <c r="H206" s="478"/>
      <c r="I206" s="478"/>
      <c r="J206" s="478"/>
      <c r="K206" s="478"/>
      <c r="L206" s="478"/>
      <c r="M206" s="478"/>
      <c r="N206" s="478"/>
      <c r="O206" s="478"/>
      <c r="P206" s="478"/>
      <c r="Q206" s="478"/>
      <c r="R206" s="478"/>
      <c r="S206" s="478"/>
      <c r="T206" s="478"/>
      <c r="U206" s="478"/>
      <c r="V206" s="478"/>
      <c r="W206" s="478"/>
      <c r="X206" s="478"/>
      <c r="Y206" s="478"/>
      <c r="Z206" s="478"/>
      <c r="AA206" s="478"/>
      <c r="AB206" s="478"/>
      <c r="AC206" s="478"/>
      <c r="AD206" s="478"/>
      <c r="AE206" s="478"/>
      <c r="AF206" s="478"/>
      <c r="AG206" s="478"/>
      <c r="AH206" s="478"/>
      <c r="AI206" s="478"/>
      <c r="AJ206" s="430"/>
      <c r="AK206" s="430"/>
    </row>
    <row r="207" spans="2:37">
      <c r="B207" s="474" t="s">
        <v>27</v>
      </c>
      <c r="C207" s="478"/>
      <c r="D207" s="478"/>
      <c r="E207" s="478"/>
      <c r="F207" s="478"/>
      <c r="G207" s="478"/>
      <c r="H207" s="478"/>
      <c r="I207" s="478"/>
      <c r="J207" s="478"/>
      <c r="K207" s="478"/>
      <c r="L207" s="478"/>
      <c r="M207" s="478"/>
      <c r="N207" s="478"/>
      <c r="O207" s="478"/>
      <c r="P207" s="478"/>
      <c r="Q207" s="478">
        <f>Q201-Q204</f>
        <v>97.115789906634348</v>
      </c>
      <c r="R207" s="478">
        <f t="shared" ref="R207:AD207" si="29">R201-R204</f>
        <v>207.00610556060155</v>
      </c>
      <c r="S207" s="478">
        <f t="shared" si="29"/>
        <v>220.97875113883242</v>
      </c>
      <c r="T207" s="478">
        <f t="shared" si="29"/>
        <v>267.35205479452048</v>
      </c>
      <c r="U207" s="478">
        <f t="shared" si="29"/>
        <v>251.39444551248874</v>
      </c>
      <c r="V207" s="478">
        <f t="shared" si="29"/>
        <v>171.00616522811339</v>
      </c>
      <c r="W207" s="478">
        <f t="shared" si="29"/>
        <v>172.0812094958917</v>
      </c>
      <c r="X207" s="478">
        <f t="shared" ca="1" si="29"/>
        <v>276.79724569387372</v>
      </c>
      <c r="Y207" s="478">
        <f t="shared" ca="1" si="29"/>
        <v>287.40997142905542</v>
      </c>
      <c r="Z207" s="478">
        <f t="shared" ca="1" si="29"/>
        <v>320.99402956669951</v>
      </c>
      <c r="AA207" s="478">
        <f t="shared" ca="1" si="29"/>
        <v>314.12814578874332</v>
      </c>
      <c r="AB207" s="478">
        <f t="shared" ca="1" si="29"/>
        <v>346.15957903467233</v>
      </c>
      <c r="AC207" s="478">
        <f t="shared" ca="1" si="29"/>
        <v>356.73779175194215</v>
      </c>
      <c r="AD207" s="478">
        <f t="shared" ca="1" si="29"/>
        <v>371.03802740930774</v>
      </c>
      <c r="AE207" s="478">
        <f t="shared" ref="AE207" si="30">AE201-AE204</f>
        <v>0</v>
      </c>
      <c r="AF207" s="478"/>
      <c r="AG207" s="478"/>
      <c r="AH207" s="478"/>
      <c r="AI207" s="478"/>
      <c r="AJ207" s="430"/>
      <c r="AK207" s="430"/>
    </row>
    <row r="208" spans="2:37">
      <c r="B208" s="474" t="s">
        <v>249</v>
      </c>
      <c r="C208" s="478"/>
      <c r="D208" s="478"/>
      <c r="E208" s="478"/>
      <c r="F208" s="478"/>
      <c r="G208" s="478"/>
      <c r="H208" s="478"/>
      <c r="I208" s="478"/>
      <c r="J208" s="478"/>
      <c r="K208" s="478"/>
      <c r="L208" s="478"/>
      <c r="M208" s="478"/>
      <c r="N208" s="478"/>
      <c r="O208" s="478"/>
      <c r="P208" s="478"/>
      <c r="Q208" s="478">
        <f>LiLAC!M195</f>
        <v>46.775951137251752</v>
      </c>
      <c r="R208" s="478">
        <f>LiLAC!N195</f>
        <v>158.30977898879814</v>
      </c>
      <c r="S208" s="478">
        <f>LiLAC!O195</f>
        <v>77.311906931109377</v>
      </c>
      <c r="T208" s="478">
        <f>LiLAC!P195</f>
        <v>32.192939193302834</v>
      </c>
      <c r="U208" s="478">
        <f>LiLAC!Q195</f>
        <v>-47.298462277402507</v>
      </c>
      <c r="V208" s="478">
        <f>LiLAC!R195</f>
        <v>-115.81461467033324</v>
      </c>
      <c r="W208" s="478">
        <f>LiLAC!S195</f>
        <v>-123.91360055655517</v>
      </c>
      <c r="X208" s="478">
        <f ca="1">LiLAC!T195</f>
        <v>-17.75959124364806</v>
      </c>
      <c r="Y208" s="478">
        <f ca="1">LiLAC!U195</f>
        <v>26.286096520408734</v>
      </c>
      <c r="Z208" s="478">
        <f ca="1">LiLAC!V195</f>
        <v>42.870114507261633</v>
      </c>
      <c r="AA208" s="478">
        <f ca="1">LiLAC!W195</f>
        <v>57.799132890816452</v>
      </c>
      <c r="AB208" s="478">
        <f ca="1">LiLAC!X195</f>
        <v>74.991414217334636</v>
      </c>
      <c r="AC208" s="478">
        <f ca="1">LiLAC!Y195</f>
        <v>117.54956790629484</v>
      </c>
      <c r="AD208" s="478">
        <f ca="1">LiLAC!Z195</f>
        <v>136.25772520077317</v>
      </c>
      <c r="AE208" s="478">
        <f>LiLAC!AA195</f>
        <v>0</v>
      </c>
      <c r="AF208" s="478"/>
      <c r="AG208" s="478"/>
      <c r="AH208" s="478"/>
      <c r="AI208" s="478"/>
      <c r="AJ208" s="430"/>
      <c r="AK208" s="430"/>
    </row>
    <row r="209" spans="2:37">
      <c r="B209" s="474" t="s">
        <v>115</v>
      </c>
      <c r="C209" s="478"/>
      <c r="D209" s="478"/>
      <c r="E209" s="478"/>
      <c r="F209" s="478"/>
      <c r="G209" s="478"/>
      <c r="H209" s="478"/>
      <c r="I209" s="478"/>
      <c r="J209" s="478"/>
      <c r="K209" s="478"/>
      <c r="L209" s="478"/>
      <c r="M209" s="478"/>
      <c r="N209" s="478"/>
      <c r="O209" s="478"/>
      <c r="P209" s="478"/>
      <c r="Q209" s="478">
        <f>LiLAC!M218</f>
        <v>1260.234908285556</v>
      </c>
      <c r="R209" s="478">
        <f>LiLAC!N218</f>
        <v>1195.5965307939127</v>
      </c>
      <c r="S209" s="478">
        <f>LiLAC!O218</f>
        <v>1975.435338949801</v>
      </c>
      <c r="T209" s="478">
        <f>LiLAC!P218</f>
        <v>2016.5571643556539</v>
      </c>
      <c r="U209" s="478">
        <f>LiLAC!Q218</f>
        <v>2187.7453680660878</v>
      </c>
      <c r="V209" s="478">
        <f ca="1">LiLAC!R218</f>
        <v>2404.3460086405676</v>
      </c>
      <c r="W209" s="478">
        <f ca="1">LiLAC!S218</f>
        <v>2517.7513008695528</v>
      </c>
      <c r="X209" s="478">
        <f ca="1">LiLAC!T218</f>
        <v>2425.6031483225202</v>
      </c>
      <c r="Y209" s="478">
        <f ca="1">LiLAC!U218</f>
        <v>2193.317622947553</v>
      </c>
      <c r="Z209" s="478">
        <f ca="1">LiLAC!V218</f>
        <v>2213.7989187711723</v>
      </c>
      <c r="AA209" s="478">
        <f ca="1">LiLAC!W218</f>
        <v>1974.6954358041148</v>
      </c>
      <c r="AB209" s="478">
        <f ca="1">LiLAC!X218</f>
        <v>1992.6483583876432</v>
      </c>
      <c r="AC209" s="478">
        <f ca="1">LiLAC!Y218</f>
        <v>1866.8289338443956</v>
      </c>
      <c r="AD209" s="478">
        <f ca="1">LiLAC!Z218</f>
        <v>1691.5588885182278</v>
      </c>
      <c r="AE209" s="478">
        <f>LiLAC!AA218</f>
        <v>0</v>
      </c>
      <c r="AF209" s="478"/>
      <c r="AG209" s="478"/>
      <c r="AH209" s="478"/>
      <c r="AI209" s="478"/>
      <c r="AJ209" s="430"/>
      <c r="AK209" s="430"/>
    </row>
    <row r="210" spans="2:37">
      <c r="B210" s="474" t="s">
        <v>360</v>
      </c>
      <c r="C210" s="478"/>
      <c r="D210" s="478"/>
      <c r="E210" s="478"/>
      <c r="F210" s="478"/>
      <c r="G210" s="478"/>
      <c r="H210" s="478"/>
      <c r="I210" s="478"/>
      <c r="J210" s="478"/>
      <c r="K210" s="478"/>
      <c r="L210" s="478"/>
      <c r="M210" s="478"/>
      <c r="N210" s="478"/>
      <c r="O210" s="478"/>
      <c r="P210" s="478"/>
      <c r="Q210" s="478">
        <f>LiLAC!M13</f>
        <v>40</v>
      </c>
      <c r="R210" s="478">
        <f>LiLAC!N13</f>
        <v>71.3</v>
      </c>
      <c r="S210" s="478">
        <f>LiLAC!O13</f>
        <v>110.5</v>
      </c>
      <c r="T210" s="478">
        <f>LiLAC!P13</f>
        <v>132</v>
      </c>
      <c r="U210" s="478">
        <f>LiLAC!Q13</f>
        <v>166.2</v>
      </c>
      <c r="V210" s="478">
        <f>LiLAC!R13</f>
        <v>214.9</v>
      </c>
      <c r="W210" s="478">
        <f>LiLAC!S13</f>
        <v>244.9</v>
      </c>
      <c r="X210" s="478">
        <f>LiLAC!T13</f>
        <v>274.89999999999998</v>
      </c>
      <c r="Y210" s="478">
        <f>LiLAC!U13</f>
        <v>304.89999999999998</v>
      </c>
      <c r="Z210" s="478">
        <f>LiLAC!V13</f>
        <v>334.9</v>
      </c>
      <c r="AA210" s="478">
        <f>LiLAC!W13</f>
        <v>364.9</v>
      </c>
      <c r="AB210" s="478">
        <f>LiLAC!X13</f>
        <v>394.9</v>
      </c>
      <c r="AC210" s="478">
        <f>LiLAC!Y13</f>
        <v>424.9</v>
      </c>
      <c r="AD210" s="478">
        <f>LiLAC!Z13</f>
        <v>454.9</v>
      </c>
      <c r="AE210" s="478">
        <f>LiLAC!AA13</f>
        <v>0</v>
      </c>
      <c r="AF210" s="478"/>
      <c r="AG210" s="478"/>
      <c r="AH210" s="478"/>
      <c r="AI210" s="478"/>
      <c r="AJ210" s="430"/>
      <c r="AK210" s="430"/>
    </row>
    <row r="211" spans="2:37">
      <c r="B211" s="474" t="s">
        <v>660</v>
      </c>
      <c r="C211" s="478"/>
      <c r="D211" s="478"/>
      <c r="E211" s="478"/>
      <c r="F211" s="478"/>
      <c r="G211" s="478"/>
      <c r="H211" s="478"/>
      <c r="I211" s="478"/>
      <c r="J211" s="478"/>
      <c r="K211" s="478"/>
      <c r="L211" s="478"/>
      <c r="M211" s="478"/>
      <c r="N211" s="478"/>
      <c r="O211" s="478"/>
      <c r="P211" s="478"/>
      <c r="Q211" s="478">
        <f>LiLAC!M60</f>
        <v>10.899518775963477</v>
      </c>
      <c r="R211" s="478">
        <f>LiLAC!N60</f>
        <v>20.587344838026038</v>
      </c>
      <c r="S211" s="478">
        <f>LiLAC!O60</f>
        <v>24.528698577335483</v>
      </c>
      <c r="T211" s="478">
        <f>LiLAC!P60</f>
        <v>35.464231354642315</v>
      </c>
      <c r="U211" s="478">
        <f>LiLAC!Q60</f>
        <v>44.36491622424986</v>
      </c>
      <c r="V211" s="478">
        <f>LiLAC!R60</f>
        <v>53.945745992601729</v>
      </c>
      <c r="W211" s="478">
        <f>LiLAC!S60</f>
        <v>64.442758938409384</v>
      </c>
      <c r="X211" s="478">
        <f>LiLAC!T60</f>
        <v>65.217207208451384</v>
      </c>
      <c r="Y211" s="478">
        <f>LiLAC!U60</f>
        <v>63.279108508331802</v>
      </c>
      <c r="Z211" s="478">
        <f>LiLAC!V60</f>
        <v>71.218525414122126</v>
      </c>
      <c r="AA211" s="478">
        <f>LiLAC!W60</f>
        <v>66.545572925610216</v>
      </c>
      <c r="AB211" s="478">
        <f>LiLAC!X60</f>
        <v>77.363847404100142</v>
      </c>
      <c r="AC211" s="478">
        <f>LiLAC!Y60</f>
        <v>80.593252918811288</v>
      </c>
      <c r="AD211" s="478">
        <f>LiLAC!Z60</f>
        <v>84.761923688229786</v>
      </c>
      <c r="AE211" s="478">
        <f>LiLAC!AA60</f>
        <v>0</v>
      </c>
      <c r="AF211" s="478"/>
      <c r="AG211" s="478"/>
      <c r="AH211" s="478"/>
      <c r="AI211" s="478"/>
      <c r="AJ211" s="430"/>
      <c r="AK211" s="430"/>
    </row>
    <row r="212" spans="2:37">
      <c r="B212" s="474"/>
      <c r="C212" s="479"/>
      <c r="D212" s="479"/>
      <c r="E212" s="479"/>
      <c r="F212" s="479"/>
      <c r="G212" s="479"/>
      <c r="H212" s="479"/>
      <c r="I212" s="479"/>
      <c r="J212" s="479"/>
      <c r="K212" s="479"/>
      <c r="L212" s="479"/>
      <c r="M212" s="479"/>
      <c r="N212" s="479"/>
      <c r="O212" s="479"/>
      <c r="P212" s="479"/>
      <c r="Q212" s="479"/>
      <c r="R212" s="479"/>
      <c r="S212" s="479"/>
      <c r="T212" s="479"/>
      <c r="U212" s="479"/>
      <c r="V212" s="479"/>
      <c r="W212" s="479"/>
      <c r="X212" s="479"/>
      <c r="Y212" s="479"/>
      <c r="Z212" s="479"/>
      <c r="AA212" s="479"/>
      <c r="AB212" s="479"/>
      <c r="AC212" s="479"/>
      <c r="AD212" s="479"/>
      <c r="AE212" s="479"/>
      <c r="AF212" s="479"/>
      <c r="AG212" s="479"/>
      <c r="AH212" s="479"/>
      <c r="AI212" s="479"/>
      <c r="AJ212" s="430"/>
      <c r="AK212" s="430"/>
    </row>
    <row r="213" spans="2:37">
      <c r="B213" s="480" t="s">
        <v>1307</v>
      </c>
      <c r="C213" s="476">
        <v>1998</v>
      </c>
      <c r="D213" s="476">
        <v>1999</v>
      </c>
      <c r="E213" s="476">
        <v>2000</v>
      </c>
      <c r="F213" s="476">
        <v>2001</v>
      </c>
      <c r="G213" s="476">
        <v>2002</v>
      </c>
      <c r="H213" s="476">
        <v>2003</v>
      </c>
      <c r="I213" s="476">
        <v>2004</v>
      </c>
      <c r="J213" s="476">
        <v>2005</v>
      </c>
      <c r="K213" s="476">
        <v>2006</v>
      </c>
      <c r="L213" s="476">
        <v>2007</v>
      </c>
      <c r="M213" s="476">
        <v>2008</v>
      </c>
      <c r="N213" s="476">
        <v>2009</v>
      </c>
      <c r="O213" s="476">
        <v>2010</v>
      </c>
      <c r="P213" s="476">
        <v>2011</v>
      </c>
      <c r="Q213" s="476">
        <v>2012</v>
      </c>
      <c r="R213" s="476">
        <v>2013</v>
      </c>
      <c r="S213" s="476">
        <v>2014</v>
      </c>
      <c r="T213" s="477">
        <f t="shared" ref="T213:AI213" si="31">S213+1</f>
        <v>2015</v>
      </c>
      <c r="U213" s="477">
        <f t="shared" si="31"/>
        <v>2016</v>
      </c>
      <c r="V213" s="477">
        <f t="shared" si="31"/>
        <v>2017</v>
      </c>
      <c r="W213" s="477">
        <f t="shared" si="31"/>
        <v>2018</v>
      </c>
      <c r="X213" s="477">
        <f t="shared" si="31"/>
        <v>2019</v>
      </c>
      <c r="Y213" s="477">
        <f t="shared" si="31"/>
        <v>2020</v>
      </c>
      <c r="Z213" s="477">
        <f t="shared" si="31"/>
        <v>2021</v>
      </c>
      <c r="AA213" s="477">
        <f t="shared" si="31"/>
        <v>2022</v>
      </c>
      <c r="AB213" s="477">
        <f t="shared" si="31"/>
        <v>2023</v>
      </c>
      <c r="AC213" s="477">
        <f t="shared" si="31"/>
        <v>2024</v>
      </c>
      <c r="AD213" s="477">
        <f t="shared" si="31"/>
        <v>2025</v>
      </c>
      <c r="AE213" s="477">
        <f t="shared" si="31"/>
        <v>2026</v>
      </c>
      <c r="AF213" s="477">
        <f t="shared" si="31"/>
        <v>2027</v>
      </c>
      <c r="AG213" s="477">
        <f t="shared" si="31"/>
        <v>2028</v>
      </c>
      <c r="AH213" s="477">
        <f t="shared" si="31"/>
        <v>2029</v>
      </c>
      <c r="AI213" s="477">
        <f t="shared" si="31"/>
        <v>2030</v>
      </c>
      <c r="AJ213" s="430"/>
      <c r="AK213" s="430"/>
    </row>
    <row r="214" spans="2:37">
      <c r="B214" s="474" t="s">
        <v>557</v>
      </c>
      <c r="C214" s="478"/>
      <c r="D214" s="478"/>
      <c r="E214" s="478"/>
      <c r="F214" s="478">
        <f>VTR!B4</f>
        <v>1666.2</v>
      </c>
      <c r="G214" s="478">
        <f>VTR!C4</f>
        <v>1692.2</v>
      </c>
      <c r="H214" s="478">
        <f>VTR!D4</f>
        <v>1752.1</v>
      </c>
      <c r="I214" s="478">
        <f>VTR!E4</f>
        <v>1793.9</v>
      </c>
      <c r="J214" s="478">
        <f>VTR!F4</f>
        <v>2171.9</v>
      </c>
      <c r="K214" s="478">
        <f>VTR!G4</f>
        <v>2343.6999999999998</v>
      </c>
      <c r="L214" s="478">
        <f>VTR!H4</f>
        <v>2441.1999999999998</v>
      </c>
      <c r="M214" s="478">
        <f>VTR!I4</f>
        <v>2523</v>
      </c>
      <c r="N214" s="478">
        <f>VTR!J4</f>
        <v>2610.9</v>
      </c>
      <c r="O214" s="478">
        <f>VTR!K4</f>
        <v>2679.3</v>
      </c>
      <c r="P214" s="478">
        <f>VTR!L4</f>
        <v>2758.3</v>
      </c>
      <c r="Q214" s="478">
        <f>VTR!M4</f>
        <v>2861.1</v>
      </c>
      <c r="R214" s="478">
        <f>VTR!N4</f>
        <v>2927.3</v>
      </c>
      <c r="S214" s="478">
        <f>VTR!O4</f>
        <v>2978.8</v>
      </c>
      <c r="T214" s="478">
        <f>VTR!P4</f>
        <v>3061.5</v>
      </c>
      <c r="U214" s="478">
        <f>VTR!Q4</f>
        <v>3216.6</v>
      </c>
      <c r="V214" s="478">
        <f>VTR!R4</f>
        <v>3394.7</v>
      </c>
      <c r="W214" s="478">
        <f>VTR!S4</f>
        <v>3517.7</v>
      </c>
      <c r="X214" s="478">
        <f>VTR!T4</f>
        <v>3557.7</v>
      </c>
      <c r="Y214" s="478">
        <f>VTR!U4</f>
        <v>3597.7</v>
      </c>
      <c r="Z214" s="478">
        <f>VTR!V4</f>
        <v>3637.7</v>
      </c>
      <c r="AA214" s="478">
        <f>VTR!W4</f>
        <v>3677.7</v>
      </c>
      <c r="AB214" s="478">
        <f>VTR!X4</f>
        <v>3717.7</v>
      </c>
      <c r="AC214" s="478">
        <f>VTR!Y4</f>
        <v>3757.7</v>
      </c>
      <c r="AD214" s="478">
        <f>VTR!Z4</f>
        <v>3797.7</v>
      </c>
      <c r="AE214" s="478">
        <f>VTR!AA4</f>
        <v>0</v>
      </c>
      <c r="AF214" s="478"/>
      <c r="AG214" s="478"/>
      <c r="AH214" s="478"/>
      <c r="AI214" s="478"/>
      <c r="AJ214" s="430"/>
      <c r="AK214" s="430"/>
    </row>
    <row r="215" spans="2:37">
      <c r="B215" s="474" t="s">
        <v>558</v>
      </c>
      <c r="C215" s="478"/>
      <c r="D215" s="478"/>
      <c r="E215" s="478"/>
      <c r="F215" s="478">
        <f>VTR!B5</f>
        <v>856.1</v>
      </c>
      <c r="G215" s="478">
        <f>VTR!C5</f>
        <v>971.2</v>
      </c>
      <c r="H215" s="478">
        <f>VTR!D5</f>
        <v>1030.7</v>
      </c>
      <c r="I215" s="478">
        <f>VTR!E5</f>
        <v>1070.7</v>
      </c>
      <c r="J215" s="478">
        <f>VTR!F5</f>
        <v>1285.0999999999999</v>
      </c>
      <c r="K215" s="478">
        <f>VTR!G5</f>
        <v>1499.9</v>
      </c>
      <c r="L215" s="478">
        <f>VTR!H5</f>
        <v>1652.4</v>
      </c>
      <c r="M215" s="478">
        <f>VTR!I5</f>
        <v>1779.2</v>
      </c>
      <c r="N215" s="478">
        <f>VTR!J5</f>
        <v>1953.2</v>
      </c>
      <c r="O215" s="478">
        <f>VTR!K5</f>
        <v>2028.3</v>
      </c>
      <c r="P215" s="478">
        <f>VTR!L5</f>
        <v>2129.8000000000002</v>
      </c>
      <c r="Q215" s="478">
        <f>VTR!M5</f>
        <v>2330.4</v>
      </c>
      <c r="R215" s="478">
        <f>VTR!N5</f>
        <v>2406.1</v>
      </c>
      <c r="S215" s="478">
        <f>VTR!O5</f>
        <v>2459.6999999999998</v>
      </c>
      <c r="T215" s="478">
        <f>VTR!P5</f>
        <v>2545.1</v>
      </c>
      <c r="U215" s="478">
        <f>VTR!Q5</f>
        <v>2710.5</v>
      </c>
      <c r="V215" s="478">
        <f>VTR!R5</f>
        <v>2912.8</v>
      </c>
      <c r="W215" s="478">
        <f>VTR!S5</f>
        <v>3062.7</v>
      </c>
      <c r="X215" s="478">
        <f>VTR!T5</f>
        <v>3052.6610775620825</v>
      </c>
      <c r="Y215" s="478">
        <f>VTR!U5</f>
        <v>3086.9828143871332</v>
      </c>
      <c r="Z215" s="478">
        <f>VTR!V5</f>
        <v>3121.3045512121839</v>
      </c>
      <c r="AA215" s="478">
        <f>VTR!W5</f>
        <v>3155.6262880372346</v>
      </c>
      <c r="AB215" s="478">
        <f>VTR!X5</f>
        <v>3189.9480248622858</v>
      </c>
      <c r="AC215" s="478">
        <f>VTR!Y5</f>
        <v>3224.2697616873365</v>
      </c>
      <c r="AD215" s="478">
        <f>VTR!Z5</f>
        <v>3258.5914985123873</v>
      </c>
      <c r="AE215" s="478">
        <f>VTR!AA5</f>
        <v>0</v>
      </c>
      <c r="AF215" s="478"/>
      <c r="AG215" s="478"/>
      <c r="AH215" s="478"/>
      <c r="AI215" s="478"/>
      <c r="AJ215" s="430"/>
      <c r="AK215" s="430"/>
    </row>
    <row r="216" spans="2:37">
      <c r="B216" s="474" t="s">
        <v>559</v>
      </c>
      <c r="C216" s="478"/>
      <c r="D216" s="478"/>
      <c r="E216" s="478"/>
      <c r="F216" s="478">
        <f>VTR!B6</f>
        <v>0</v>
      </c>
      <c r="G216" s="478">
        <f>VTR!C6</f>
        <v>0</v>
      </c>
      <c r="H216" s="478">
        <f>VTR!D6</f>
        <v>0</v>
      </c>
      <c r="I216" s="478">
        <f>VTR!E6</f>
        <v>636</v>
      </c>
      <c r="J216" s="478">
        <f>VTR!F6</f>
        <v>900.4</v>
      </c>
      <c r="K216" s="478">
        <f>VTR!G6</f>
        <v>940.7</v>
      </c>
      <c r="L216" s="478">
        <f>VTR!H6</f>
        <v>992.8</v>
      </c>
      <c r="M216" s="478">
        <f>VTR!I6</f>
        <v>1029.0999999999999</v>
      </c>
      <c r="N216" s="478">
        <f>VTR!J6</f>
        <v>1054.3</v>
      </c>
      <c r="O216" s="478">
        <f>VTR!K6</f>
        <v>1068.5999999999999</v>
      </c>
      <c r="P216" s="478">
        <f>VTR!L6</f>
        <v>1101.8</v>
      </c>
      <c r="Q216" s="478">
        <f>VTR!M6</f>
        <v>1144.4000000000001</v>
      </c>
      <c r="R216" s="478">
        <f>VTR!N6</f>
        <v>1199.8</v>
      </c>
      <c r="S216" s="478">
        <f>VTR!O6</f>
        <v>1225.3</v>
      </c>
      <c r="T216" s="478">
        <f>VTR!P6</f>
        <v>1263.4000000000001</v>
      </c>
      <c r="U216" s="478">
        <f>VTR!Q6</f>
        <v>1328.9</v>
      </c>
      <c r="V216" s="478">
        <f>VTR!R6</f>
        <v>1406.9</v>
      </c>
      <c r="W216" s="478">
        <f>VTR!S6</f>
        <v>1468.5</v>
      </c>
      <c r="X216" s="478">
        <f>VTR!T6</f>
        <v>1490.27496</v>
      </c>
      <c r="Y216" s="478">
        <f>VTR!U6</f>
        <v>1512.4854192</v>
      </c>
      <c r="Z216" s="478">
        <f>VTR!V6</f>
        <v>1535.140087584</v>
      </c>
      <c r="AA216" s="478">
        <f>VTR!W6</f>
        <v>1558.24784933568</v>
      </c>
      <c r="AB216" s="478">
        <f>VTR!X6</f>
        <v>1581.8177663223937</v>
      </c>
      <c r="AC216" s="478">
        <f>VTR!Y6</f>
        <v>1605.8590816488415</v>
      </c>
      <c r="AD216" s="478">
        <f>VTR!Z6</f>
        <v>1630.3812232818184</v>
      </c>
      <c r="AE216" s="478">
        <f>VTR!AA6</f>
        <v>0</v>
      </c>
      <c r="AF216" s="478"/>
      <c r="AG216" s="478"/>
      <c r="AH216" s="478"/>
      <c r="AI216" s="478"/>
      <c r="AJ216" s="430"/>
      <c r="AK216" s="430"/>
    </row>
    <row r="217" spans="2:37">
      <c r="B217" s="474" t="s">
        <v>1294</v>
      </c>
      <c r="C217" s="478"/>
      <c r="D217" s="478"/>
      <c r="E217" s="478"/>
      <c r="F217" s="478">
        <f>VTR!B12</f>
        <v>448.3</v>
      </c>
      <c r="G217" s="478">
        <f>VTR!C12</f>
        <v>469.5</v>
      </c>
      <c r="H217" s="478">
        <f>VTR!D12</f>
        <v>493.5</v>
      </c>
      <c r="I217" s="478">
        <f>VTR!E12</f>
        <v>509.1</v>
      </c>
      <c r="J217" s="478">
        <f>VTR!F12</f>
        <v>758</v>
      </c>
      <c r="K217" s="478">
        <f>VTR!G12</f>
        <v>803.5</v>
      </c>
      <c r="L217" s="478">
        <f>VTR!H12</f>
        <v>852.59999999999991</v>
      </c>
      <c r="M217" s="478">
        <f>VTR!I12</f>
        <v>877.2</v>
      </c>
      <c r="N217" s="478">
        <f>VTR!J12</f>
        <v>902.19999999999993</v>
      </c>
      <c r="O217" s="478">
        <f>VTR!K12</f>
        <v>897.7</v>
      </c>
      <c r="P217" s="478">
        <f>VTR!L12</f>
        <v>917.30000000000007</v>
      </c>
      <c r="Q217" s="478">
        <f>VTR!M12</f>
        <v>932.5</v>
      </c>
      <c r="R217" s="478">
        <f>VTR!N12</f>
        <v>989.40000000000009</v>
      </c>
      <c r="S217" s="478">
        <f>VTR!O12</f>
        <v>1013.5</v>
      </c>
      <c r="T217" s="478">
        <f>VTR!P12</f>
        <v>1026</v>
      </c>
      <c r="U217" s="478">
        <f>VTR!Q12</f>
        <v>1047.3</v>
      </c>
      <c r="V217" s="478">
        <f>VTR!R12</f>
        <v>1067.4000000000001</v>
      </c>
      <c r="W217" s="478">
        <f>VTR!S12</f>
        <v>1088.748</v>
      </c>
      <c r="X217" s="478">
        <f>VTR!T12</f>
        <v>1110.52296</v>
      </c>
      <c r="Y217" s="478">
        <f>VTR!U12</f>
        <v>1132.7334192000001</v>
      </c>
      <c r="Z217" s="478">
        <f>VTR!V12</f>
        <v>1155.388087584</v>
      </c>
      <c r="AA217" s="478">
        <f>VTR!W12</f>
        <v>1178.4958493356801</v>
      </c>
      <c r="AB217" s="478">
        <f>VTR!X12</f>
        <v>1202.0657663223938</v>
      </c>
      <c r="AC217" s="478">
        <f>VTR!Y12</f>
        <v>1226.1070816488416</v>
      </c>
      <c r="AD217" s="478">
        <f>VTR!Z12</f>
        <v>1250.6292232818184</v>
      </c>
      <c r="AE217" s="478">
        <f>VTR!AA12</f>
        <v>0</v>
      </c>
      <c r="AF217" s="478"/>
      <c r="AG217" s="478"/>
      <c r="AH217" s="478"/>
      <c r="AI217" s="478"/>
      <c r="AJ217" s="430"/>
      <c r="AK217" s="430"/>
    </row>
    <row r="218" spans="2:37">
      <c r="B218" s="474" t="s">
        <v>1295</v>
      </c>
      <c r="C218" s="478"/>
      <c r="D218" s="478"/>
      <c r="E218" s="478"/>
      <c r="F218" s="478">
        <f>VTR!B7</f>
        <v>439.8</v>
      </c>
      <c r="G218" s="478">
        <f>VTR!C7</f>
        <v>462.6</v>
      </c>
      <c r="H218" s="478">
        <f>VTR!D7</f>
        <v>488</v>
      </c>
      <c r="I218" s="478">
        <f>VTR!E7</f>
        <v>504.6</v>
      </c>
      <c r="J218" s="478">
        <f>VTR!F7</f>
        <v>751.2</v>
      </c>
      <c r="K218" s="478">
        <f>VTR!G7</f>
        <v>697.2</v>
      </c>
      <c r="L218" s="478">
        <f>VTR!H7</f>
        <v>669.3</v>
      </c>
      <c r="M218" s="478">
        <f>VTR!I7</f>
        <v>532</v>
      </c>
      <c r="N218" s="478">
        <f>VTR!J7</f>
        <v>370.4</v>
      </c>
      <c r="O218" s="478">
        <f>VTR!K7</f>
        <v>289</v>
      </c>
      <c r="P218" s="478">
        <f>VTR!L7</f>
        <v>214.6</v>
      </c>
      <c r="Q218" s="478">
        <f>VTR!M7</f>
        <v>163.19999999999999</v>
      </c>
      <c r="R218" s="478">
        <f>VTR!N7</f>
        <v>134.80000000000001</v>
      </c>
      <c r="S218" s="478">
        <f>VTR!O7</f>
        <v>110.3</v>
      </c>
      <c r="T218" s="478">
        <f>VTR!P7</f>
        <v>93.8</v>
      </c>
      <c r="U218" s="478">
        <f>VTR!Q7</f>
        <v>93.8</v>
      </c>
      <c r="V218" s="478">
        <f>VTR!R7</f>
        <v>67.5</v>
      </c>
      <c r="W218" s="478">
        <f>VTR!S7</f>
        <v>21.774960000000021</v>
      </c>
      <c r="X218" s="478">
        <f>VTR!T7</f>
        <v>0</v>
      </c>
      <c r="Y218" s="478">
        <f>VTR!U7</f>
        <v>0</v>
      </c>
      <c r="Z218" s="478">
        <f>VTR!V7</f>
        <v>0</v>
      </c>
      <c r="AA218" s="478">
        <f>VTR!W7</f>
        <v>0</v>
      </c>
      <c r="AB218" s="478">
        <f>VTR!X7</f>
        <v>0</v>
      </c>
      <c r="AC218" s="478">
        <f>VTR!Y7</f>
        <v>0</v>
      </c>
      <c r="AD218" s="478">
        <f>VTR!Z7</f>
        <v>0</v>
      </c>
      <c r="AE218" s="478">
        <f>VTR!AA7</f>
        <v>0</v>
      </c>
      <c r="AF218" s="478"/>
      <c r="AG218" s="478"/>
      <c r="AH218" s="478"/>
      <c r="AI218" s="478"/>
      <c r="AJ218" s="430"/>
      <c r="AK218" s="430"/>
    </row>
    <row r="219" spans="2:37">
      <c r="B219" s="474" t="s">
        <v>1296</v>
      </c>
      <c r="C219" s="478"/>
      <c r="D219" s="478"/>
      <c r="E219" s="478"/>
      <c r="F219" s="478">
        <f>VTR!B8</f>
        <v>0</v>
      </c>
      <c r="G219" s="478">
        <f>VTR!C8</f>
        <v>0</v>
      </c>
      <c r="H219" s="478">
        <f>VTR!D8</f>
        <v>0</v>
      </c>
      <c r="I219" s="478">
        <f>VTR!E8</f>
        <v>0</v>
      </c>
      <c r="J219" s="478">
        <f>VTR!F8</f>
        <v>6.8</v>
      </c>
      <c r="K219" s="478">
        <f>VTR!G8</f>
        <v>106.3</v>
      </c>
      <c r="L219" s="478">
        <f>VTR!H8</f>
        <v>183.3</v>
      </c>
      <c r="M219" s="478">
        <f>VTR!I8</f>
        <v>345.2</v>
      </c>
      <c r="N219" s="478">
        <f>VTR!J8</f>
        <v>531.79999999999995</v>
      </c>
      <c r="O219" s="478">
        <f>VTR!K8</f>
        <v>608.70000000000005</v>
      </c>
      <c r="P219" s="478">
        <f>VTR!L8</f>
        <v>702.7</v>
      </c>
      <c r="Q219" s="478">
        <f>VTR!M8</f>
        <v>769.3</v>
      </c>
      <c r="R219" s="478">
        <f>VTR!N8</f>
        <v>854.6</v>
      </c>
      <c r="S219" s="478">
        <f>VTR!O8</f>
        <v>901.9</v>
      </c>
      <c r="T219" s="478">
        <f>VTR!P8</f>
        <v>932.2</v>
      </c>
      <c r="U219" s="478">
        <f>VTR!Q8</f>
        <v>953.5</v>
      </c>
      <c r="V219" s="478">
        <f>VTR!R8</f>
        <v>999.9</v>
      </c>
      <c r="W219" s="478">
        <f>VTR!S8</f>
        <v>1066.9730400000001</v>
      </c>
      <c r="X219" s="478">
        <f>VTR!T8</f>
        <v>1110.52296</v>
      </c>
      <c r="Y219" s="478">
        <f>VTR!U8</f>
        <v>1132.7334192000001</v>
      </c>
      <c r="Z219" s="478">
        <f>VTR!V8</f>
        <v>1155.388087584</v>
      </c>
      <c r="AA219" s="478">
        <f>VTR!W8</f>
        <v>1178.4958493356801</v>
      </c>
      <c r="AB219" s="478">
        <f>VTR!X8</f>
        <v>1202.0657663223938</v>
      </c>
      <c r="AC219" s="478">
        <f>VTR!Y8</f>
        <v>1226.1070816488416</v>
      </c>
      <c r="AD219" s="478">
        <f>VTR!Z8</f>
        <v>1250.6292232818184</v>
      </c>
      <c r="AE219" s="478">
        <f>VTR!AA8</f>
        <v>0</v>
      </c>
      <c r="AF219" s="478"/>
      <c r="AG219" s="478"/>
      <c r="AH219" s="478"/>
      <c r="AI219" s="478"/>
      <c r="AJ219" s="430"/>
      <c r="AK219" s="430"/>
    </row>
    <row r="220" spans="2:37">
      <c r="B220" s="474" t="s">
        <v>1297</v>
      </c>
      <c r="C220" s="478"/>
      <c r="D220" s="478"/>
      <c r="E220" s="478"/>
      <c r="F220" s="478">
        <f>VTR!B14</f>
        <v>183.2</v>
      </c>
      <c r="G220" s="478">
        <f>VTR!C14</f>
        <v>228.1</v>
      </c>
      <c r="H220" s="478">
        <f>VTR!D14</f>
        <v>271.3</v>
      </c>
      <c r="I220" s="478">
        <f>VTR!E14</f>
        <v>310</v>
      </c>
      <c r="J220" s="478">
        <f>VTR!F14</f>
        <v>364.7</v>
      </c>
      <c r="K220" s="478">
        <f>VTR!G14</f>
        <v>467.1</v>
      </c>
      <c r="L220" s="478">
        <f>VTR!H14</f>
        <v>553.9</v>
      </c>
      <c r="M220" s="478">
        <f>VTR!I14</f>
        <v>590.6</v>
      </c>
      <c r="N220" s="478">
        <f>VTR!J14</f>
        <v>622.1</v>
      </c>
      <c r="O220" s="478">
        <f>VTR!K14</f>
        <v>621.9</v>
      </c>
      <c r="P220" s="478">
        <f>VTR!L14</f>
        <v>647.20000000000005</v>
      </c>
      <c r="Q220" s="478">
        <f>VTR!M14</f>
        <v>677.7</v>
      </c>
      <c r="R220" s="478">
        <f>VTR!N14</f>
        <v>689.7</v>
      </c>
      <c r="S220" s="478">
        <f>VTR!O14</f>
        <v>693.8</v>
      </c>
      <c r="T220" s="478">
        <f>VTR!P14</f>
        <v>689.9</v>
      </c>
      <c r="U220" s="478">
        <f>VTR!Q14</f>
        <v>657</v>
      </c>
      <c r="V220" s="478">
        <f ca="1">VTR!R14</f>
        <v>624.1</v>
      </c>
      <c r="W220" s="478">
        <f ca="1">VTR!S14</f>
        <v>619.1</v>
      </c>
      <c r="X220" s="478">
        <f ca="1">VTR!T14</f>
        <v>614.1</v>
      </c>
      <c r="Y220" s="478">
        <f ca="1">VTR!U14</f>
        <v>609.1</v>
      </c>
      <c r="Z220" s="478">
        <f ca="1">VTR!V14</f>
        <v>604.1</v>
      </c>
      <c r="AA220" s="478">
        <f ca="1">VTR!W14</f>
        <v>599.1</v>
      </c>
      <c r="AB220" s="478">
        <f ca="1">VTR!X14</f>
        <v>594.1</v>
      </c>
      <c r="AC220" s="478">
        <f ca="1">VTR!Y14</f>
        <v>589.1</v>
      </c>
      <c r="AD220" s="478">
        <f ca="1">VTR!Z14</f>
        <v>584.1</v>
      </c>
      <c r="AE220" s="478">
        <f>VTR!AA14</f>
        <v>0</v>
      </c>
      <c r="AF220" s="478"/>
      <c r="AG220" s="478"/>
      <c r="AH220" s="478"/>
      <c r="AI220" s="478"/>
      <c r="AJ220" s="430"/>
      <c r="AK220" s="430"/>
    </row>
    <row r="221" spans="2:37">
      <c r="B221" s="474" t="s">
        <v>1298</v>
      </c>
      <c r="C221" s="478"/>
      <c r="D221" s="478"/>
      <c r="E221" s="478"/>
      <c r="F221" s="478">
        <f>VTR!B13</f>
        <v>24.8</v>
      </c>
      <c r="G221" s="478">
        <f>VTR!C13</f>
        <v>70.3</v>
      </c>
      <c r="H221" s="478">
        <f>VTR!D13</f>
        <v>129.19999999999999</v>
      </c>
      <c r="I221" s="478">
        <f>VTR!E13</f>
        <v>176.3</v>
      </c>
      <c r="J221" s="478">
        <f>VTR!F13</f>
        <v>303</v>
      </c>
      <c r="K221" s="478">
        <f>VTR!G13</f>
        <v>413.8</v>
      </c>
      <c r="L221" s="478">
        <f>VTR!H13</f>
        <v>520.29999999999995</v>
      </c>
      <c r="M221" s="478">
        <f>VTR!I13</f>
        <v>588.70000000000005</v>
      </c>
      <c r="N221" s="478">
        <f>VTR!J13</f>
        <v>653.29999999999995</v>
      </c>
      <c r="O221" s="478">
        <f>VTR!K13</f>
        <v>698</v>
      </c>
      <c r="P221" s="478">
        <f>VTR!L13</f>
        <v>766.3</v>
      </c>
      <c r="Q221" s="478">
        <f>VTR!M13</f>
        <v>825.5</v>
      </c>
      <c r="R221" s="478">
        <f>VTR!N13</f>
        <v>885.7</v>
      </c>
      <c r="S221" s="478">
        <f>VTR!O13</f>
        <v>932</v>
      </c>
      <c r="T221" s="478">
        <f>VTR!P13</f>
        <v>1003.1</v>
      </c>
      <c r="U221" s="478">
        <f>VTR!Q13</f>
        <v>1091.2</v>
      </c>
      <c r="V221" s="478">
        <f>VTR!R13</f>
        <v>1181.5999999999999</v>
      </c>
      <c r="W221" s="478">
        <f>VTR!S13</f>
        <v>1211.5999999999999</v>
      </c>
      <c r="X221" s="478">
        <f>VTR!T13</f>
        <v>1231.5999999999999</v>
      </c>
      <c r="Y221" s="478">
        <f>VTR!U13</f>
        <v>1251.5999999999999</v>
      </c>
      <c r="Z221" s="478">
        <f>VTR!V13</f>
        <v>1271.5999999999999</v>
      </c>
      <c r="AA221" s="478">
        <f>VTR!W13</f>
        <v>1291.5999999999999</v>
      </c>
      <c r="AB221" s="478">
        <f>VTR!X13</f>
        <v>1311.6</v>
      </c>
      <c r="AC221" s="478">
        <f>VTR!Y13</f>
        <v>1331.6</v>
      </c>
      <c r="AD221" s="478">
        <f>VTR!Z13</f>
        <v>1351.6</v>
      </c>
      <c r="AE221" s="478">
        <f>VTR!AA13</f>
        <v>0</v>
      </c>
      <c r="AF221" s="478"/>
      <c r="AG221" s="478"/>
      <c r="AH221" s="478"/>
      <c r="AI221" s="478"/>
      <c r="AJ221" s="430"/>
      <c r="AK221" s="430"/>
    </row>
    <row r="222" spans="2:37">
      <c r="B222" s="474" t="s">
        <v>1299</v>
      </c>
      <c r="C222" s="478"/>
      <c r="D222" s="478"/>
      <c r="E222" s="478"/>
      <c r="F222" s="478">
        <f>VTR!B23</f>
        <v>656.3</v>
      </c>
      <c r="G222" s="478">
        <f>VTR!C23</f>
        <v>767.9</v>
      </c>
      <c r="H222" s="478">
        <f>VTR!D23</f>
        <v>894</v>
      </c>
      <c r="I222" s="478">
        <f>VTR!E23</f>
        <v>995.40000000000009</v>
      </c>
      <c r="J222" s="478">
        <f>VTR!F23</f>
        <v>1425.7</v>
      </c>
      <c r="K222" s="478">
        <f>VTR!G23</f>
        <v>1684.4</v>
      </c>
      <c r="L222" s="478">
        <f>VTR!H23</f>
        <v>1926.7999999999997</v>
      </c>
      <c r="M222" s="478">
        <f>VTR!I23</f>
        <v>2056.5</v>
      </c>
      <c r="N222" s="478">
        <f>VTR!J23</f>
        <v>2177.6</v>
      </c>
      <c r="O222" s="478">
        <f>VTR!K23</f>
        <v>2217.6</v>
      </c>
      <c r="P222" s="478">
        <f>VTR!L23</f>
        <v>2330.8000000000002</v>
      </c>
      <c r="Q222" s="478">
        <f>VTR!M23</f>
        <v>2435.6999999999998</v>
      </c>
      <c r="R222" s="478">
        <f>VTR!N23</f>
        <v>2564.8000000000002</v>
      </c>
      <c r="S222" s="478">
        <f>VTR!O23</f>
        <v>2639.3</v>
      </c>
      <c r="T222" s="478">
        <f>VTR!P23</f>
        <v>2719</v>
      </c>
      <c r="U222" s="478">
        <f>VTR!Q23</f>
        <v>2795.5</v>
      </c>
      <c r="V222" s="478">
        <f ca="1">VTR!R23</f>
        <v>2873.1</v>
      </c>
      <c r="W222" s="478">
        <f ca="1">VTR!S23</f>
        <v>2919.4479999999999</v>
      </c>
      <c r="X222" s="478">
        <f ca="1">VTR!T23</f>
        <v>2956.2229599999996</v>
      </c>
      <c r="Y222" s="478">
        <f ca="1">VTR!U23</f>
        <v>2993.4334192000001</v>
      </c>
      <c r="Z222" s="478">
        <f ca="1">VTR!V23</f>
        <v>3031.0880875839998</v>
      </c>
      <c r="AA222" s="478">
        <f ca="1">VTR!W23</f>
        <v>3069.1958493356801</v>
      </c>
      <c r="AB222" s="478">
        <f ca="1">VTR!X23</f>
        <v>3107.7657663223936</v>
      </c>
      <c r="AC222" s="478">
        <f ca="1">VTR!Y23</f>
        <v>3146.8070816488412</v>
      </c>
      <c r="AD222" s="478">
        <f ca="1">VTR!Z23</f>
        <v>3186.329223281818</v>
      </c>
      <c r="AE222" s="478">
        <f>VTR!AA23</f>
        <v>0</v>
      </c>
      <c r="AF222" s="478"/>
      <c r="AG222" s="478"/>
      <c r="AH222" s="478"/>
      <c r="AI222" s="478"/>
      <c r="AJ222" s="430"/>
      <c r="AK222" s="430"/>
    </row>
    <row r="223" spans="2:37">
      <c r="B223" s="474" t="s">
        <v>647</v>
      </c>
      <c r="C223" s="478"/>
      <c r="D223" s="478"/>
      <c r="E223" s="478"/>
      <c r="F223" s="478"/>
      <c r="G223" s="478"/>
      <c r="H223" s="478"/>
      <c r="I223" s="478"/>
      <c r="J223" s="478"/>
      <c r="K223" s="478">
        <f>VTR!G57</f>
        <v>291493.3898991</v>
      </c>
      <c r="L223" s="478">
        <f>VTR!H57</f>
        <v>331294.02650640003</v>
      </c>
      <c r="M223" s="478">
        <f>VTR!I57</f>
        <v>393262.46339999995</v>
      </c>
      <c r="N223" s="478">
        <f>VTR!J57</f>
        <v>390506.30196023913</v>
      </c>
      <c r="O223" s="478">
        <f>VTR!K57</f>
        <v>407204.01642601675</v>
      </c>
      <c r="P223" s="478">
        <f>VTR!L57</f>
        <v>429600</v>
      </c>
      <c r="Q223" s="478">
        <f>VTR!M57</f>
        <v>457100</v>
      </c>
      <c r="R223" s="478">
        <f>VTR!N57</f>
        <v>491000</v>
      </c>
      <c r="S223" s="478">
        <f>VTR!O57</f>
        <v>512400</v>
      </c>
      <c r="T223" s="478">
        <f>VTR!P57</f>
        <v>547500</v>
      </c>
      <c r="U223" s="478">
        <f>VTR!Q57</f>
        <v>580600</v>
      </c>
      <c r="V223" s="478">
        <f>VTR!R57</f>
        <v>617600</v>
      </c>
      <c r="W223" s="478">
        <f>VTR!S57</f>
        <v>649298.08699999994</v>
      </c>
      <c r="X223" s="478">
        <f ca="1">VTR!T57</f>
        <v>681509.13231876923</v>
      </c>
      <c r="Y223" s="478">
        <f ca="1">VTR!U57</f>
        <v>712256.17993094434</v>
      </c>
      <c r="Z223" s="478">
        <f ca="1">VTR!V57</f>
        <v>743929.5052518067</v>
      </c>
      <c r="AA223" s="478">
        <f ca="1">VTR!W57</f>
        <v>776582.94773223344</v>
      </c>
      <c r="AB223" s="478">
        <f ca="1">VTR!X57</f>
        <v>810272.30846505857</v>
      </c>
      <c r="AC223" s="478">
        <f ca="1">VTR!Y57</f>
        <v>845055.45057967422</v>
      </c>
      <c r="AD223" s="478">
        <f ca="1">VTR!Z57</f>
        <v>880992.40403983637</v>
      </c>
      <c r="AE223" s="478">
        <f>VTR!AA57</f>
        <v>0</v>
      </c>
      <c r="AF223" s="478"/>
      <c r="AG223" s="478"/>
      <c r="AH223" s="478"/>
      <c r="AI223" s="478"/>
      <c r="AJ223" s="430"/>
      <c r="AK223" s="430"/>
    </row>
    <row r="224" spans="2:37">
      <c r="B224" s="474" t="s">
        <v>1300</v>
      </c>
      <c r="C224" s="478"/>
      <c r="D224" s="478"/>
      <c r="E224" s="478"/>
      <c r="F224" s="478"/>
      <c r="G224" s="478"/>
      <c r="H224" s="478"/>
      <c r="I224" s="478"/>
      <c r="J224" s="478"/>
      <c r="K224" s="478">
        <f>VTR!G81</f>
        <v>268173.91870717198</v>
      </c>
      <c r="L224" s="478">
        <f>VTR!H81</f>
        <v>304790.50438588799</v>
      </c>
      <c r="M224" s="478">
        <f>VTR!I81</f>
        <v>361801.46632799995</v>
      </c>
      <c r="N224" s="478">
        <f>VTR!J81</f>
        <v>359265.79780341999</v>
      </c>
      <c r="O224" s="478">
        <f>VTR!K81</f>
        <v>374627.69511193543</v>
      </c>
      <c r="P224" s="478">
        <f>VTR!L81</f>
        <v>393400</v>
      </c>
      <c r="Q224" s="478">
        <f>VTR!M81</f>
        <v>413500</v>
      </c>
      <c r="R224" s="478">
        <f>VTR!N81</f>
        <v>442100</v>
      </c>
      <c r="S224" s="478">
        <f>VTR!O81</f>
        <v>467000</v>
      </c>
      <c r="T224" s="478">
        <f>VTR!P81</f>
        <v>491800</v>
      </c>
      <c r="U224" s="478">
        <f>VTR!Q81</f>
        <v>517600</v>
      </c>
      <c r="V224" s="478">
        <f>VTR!R81</f>
        <v>547600</v>
      </c>
      <c r="W224" s="478">
        <f ca="1">VTR!S81</f>
        <v>573563.00795963721</v>
      </c>
      <c r="X224" s="478">
        <f ca="1">VTR!T81</f>
        <v>599247.43565122795</v>
      </c>
      <c r="Y224" s="478">
        <f ca="1">VTR!U81</f>
        <v>624996.8459923456</v>
      </c>
      <c r="Z224" s="478">
        <f ca="1">VTR!V81</f>
        <v>651847.08181165974</v>
      </c>
      <c r="AA224" s="478">
        <f ca="1">VTR!W81</f>
        <v>679845.83445617568</v>
      </c>
      <c r="AB224" s="478">
        <f ca="1">VTR!X81</f>
        <v>709042.90971494257</v>
      </c>
      <c r="AC224" s="478">
        <f ca="1">VTR!Y81</f>
        <v>739490.32409479341</v>
      </c>
      <c r="AD224" s="478">
        <f ca="1">VTR!Z81</f>
        <v>771242.40559360269</v>
      </c>
      <c r="AE224" s="478">
        <f>VTR!AA81</f>
        <v>0</v>
      </c>
      <c r="AF224" s="478"/>
      <c r="AG224" s="478"/>
      <c r="AH224" s="478"/>
      <c r="AI224" s="478"/>
      <c r="AJ224" s="430"/>
      <c r="AK224" s="430"/>
    </row>
    <row r="225" spans="2:37">
      <c r="B225" s="474" t="s">
        <v>1301</v>
      </c>
      <c r="C225" s="478"/>
      <c r="D225" s="478"/>
      <c r="E225" s="478"/>
      <c r="F225" s="478"/>
      <c r="G225" s="478"/>
      <c r="H225" s="478"/>
      <c r="I225" s="478"/>
      <c r="J225" s="478"/>
      <c r="K225" s="478">
        <f>VTR!G69</f>
        <v>0</v>
      </c>
      <c r="L225" s="478">
        <f>VTR!H69</f>
        <v>0</v>
      </c>
      <c r="M225" s="478">
        <f>VTR!I69</f>
        <v>0</v>
      </c>
      <c r="N225" s="478">
        <f>VTR!J69</f>
        <v>0</v>
      </c>
      <c r="O225" s="478">
        <f>VTR!K69</f>
        <v>0</v>
      </c>
      <c r="P225" s="478">
        <f>VTR!L69</f>
        <v>0</v>
      </c>
      <c r="Q225" s="478">
        <f>VTR!M69</f>
        <v>0</v>
      </c>
      <c r="R225" s="478">
        <f>VTR!N69</f>
        <v>0</v>
      </c>
      <c r="S225" s="478">
        <f>VTR!O69</f>
        <v>0</v>
      </c>
      <c r="T225" s="478">
        <f>VTR!P69</f>
        <v>0</v>
      </c>
      <c r="U225" s="478">
        <f>VTR!Q69</f>
        <v>0</v>
      </c>
      <c r="V225" s="478">
        <f>VTR!R69</f>
        <v>0</v>
      </c>
      <c r="W225" s="478">
        <f>VTR!S69</f>
        <v>0</v>
      </c>
      <c r="X225" s="478">
        <f>VTR!T69</f>
        <v>0</v>
      </c>
      <c r="Y225" s="478">
        <f>VTR!U69</f>
        <v>0</v>
      </c>
      <c r="Z225" s="478">
        <f>VTR!V69</f>
        <v>0</v>
      </c>
      <c r="AA225" s="478">
        <f>VTR!W69</f>
        <v>0</v>
      </c>
      <c r="AB225" s="478">
        <f>VTR!X69</f>
        <v>0</v>
      </c>
      <c r="AC225" s="478">
        <f>VTR!Y69</f>
        <v>0</v>
      </c>
      <c r="AD225" s="478">
        <f>VTR!Z69</f>
        <v>0</v>
      </c>
      <c r="AE225" s="478">
        <f>VTR!AA69</f>
        <v>0</v>
      </c>
      <c r="AF225" s="478"/>
      <c r="AG225" s="478"/>
      <c r="AH225" s="478"/>
      <c r="AI225" s="478"/>
      <c r="AJ225" s="430"/>
      <c r="AK225" s="430"/>
    </row>
    <row r="226" spans="2:37">
      <c r="B226" s="474" t="s">
        <v>1302</v>
      </c>
      <c r="C226" s="478"/>
      <c r="D226" s="478"/>
      <c r="E226" s="478"/>
      <c r="F226" s="478"/>
      <c r="G226" s="478"/>
      <c r="H226" s="478"/>
      <c r="I226" s="478"/>
      <c r="J226" s="478"/>
      <c r="K226" s="478">
        <f t="shared" ref="K226:AD226" si="32">K223-K224</f>
        <v>23319.471191928023</v>
      </c>
      <c r="L226" s="478">
        <f t="shared" si="32"/>
        <v>26503.522120512032</v>
      </c>
      <c r="M226" s="478">
        <f t="shared" si="32"/>
        <v>31460.997071999998</v>
      </c>
      <c r="N226" s="478">
        <f t="shared" si="32"/>
        <v>31240.504156819137</v>
      </c>
      <c r="O226" s="478">
        <f t="shared" si="32"/>
        <v>32576.321314081317</v>
      </c>
      <c r="P226" s="478">
        <f t="shared" si="32"/>
        <v>36200</v>
      </c>
      <c r="Q226" s="478">
        <f t="shared" si="32"/>
        <v>43600</v>
      </c>
      <c r="R226" s="478">
        <f t="shared" si="32"/>
        <v>48900</v>
      </c>
      <c r="S226" s="478">
        <f t="shared" si="32"/>
        <v>45400</v>
      </c>
      <c r="T226" s="478">
        <f t="shared" si="32"/>
        <v>55700</v>
      </c>
      <c r="U226" s="478">
        <f t="shared" si="32"/>
        <v>63000</v>
      </c>
      <c r="V226" s="478">
        <f t="shared" si="32"/>
        <v>70000</v>
      </c>
      <c r="W226" s="478">
        <f t="shared" ca="1" si="32"/>
        <v>75735.079040362732</v>
      </c>
      <c r="X226" s="478">
        <f t="shared" ca="1" si="32"/>
        <v>82261.696667541284</v>
      </c>
      <c r="Y226" s="478">
        <f t="shared" ca="1" si="32"/>
        <v>87259.333938598749</v>
      </c>
      <c r="Z226" s="478">
        <f t="shared" ca="1" si="32"/>
        <v>92082.423440146958</v>
      </c>
      <c r="AA226" s="478">
        <f t="shared" ca="1" si="32"/>
        <v>96737.11327605776</v>
      </c>
      <c r="AB226" s="478">
        <f t="shared" ca="1" si="32"/>
        <v>101229.398750116</v>
      </c>
      <c r="AC226" s="478">
        <f t="shared" ca="1" si="32"/>
        <v>105565.12648488081</v>
      </c>
      <c r="AD226" s="478">
        <f t="shared" ca="1" si="32"/>
        <v>109749.99844623369</v>
      </c>
      <c r="AE226" s="478">
        <f t="shared" ref="AE226" si="33">AE223-AE224</f>
        <v>0</v>
      </c>
      <c r="AF226" s="478"/>
      <c r="AG226" s="478"/>
      <c r="AH226" s="478"/>
      <c r="AI226" s="478"/>
      <c r="AJ226" s="430"/>
      <c r="AK226" s="430"/>
    </row>
    <row r="227" spans="2:37">
      <c r="B227" s="474" t="s">
        <v>8</v>
      </c>
      <c r="C227" s="478"/>
      <c r="D227" s="478"/>
      <c r="E227" s="478"/>
      <c r="F227" s="478"/>
      <c r="G227" s="478"/>
      <c r="H227" s="478"/>
      <c r="I227" s="478"/>
      <c r="J227" s="478"/>
      <c r="K227" s="478">
        <f>VTR!G119*1000</f>
        <v>103257.71689839999</v>
      </c>
      <c r="L227" s="478">
        <f>VTR!H119*1000</f>
        <v>129910.80070960004</v>
      </c>
      <c r="M227" s="478">
        <f>VTR!I119*1000</f>
        <v>162899.85339599993</v>
      </c>
      <c r="N227" s="478">
        <f>VTR!J119*1000</f>
        <v>160462.87223689698</v>
      </c>
      <c r="O227" s="478">
        <f>VTR!K119*1000</f>
        <v>170085.04967545375</v>
      </c>
      <c r="P227" s="478">
        <f>VTR!L119*1000</f>
        <v>164700.00000000003</v>
      </c>
      <c r="Q227" s="478">
        <f>VTR!M119*1000</f>
        <v>152400.00000000003</v>
      </c>
      <c r="R227" s="478">
        <f>VTR!N119*1000</f>
        <v>174900</v>
      </c>
      <c r="S227" s="478">
        <f>VTR!O119*1000</f>
        <v>198899.99999999997</v>
      </c>
      <c r="T227" s="478">
        <f>VTR!P119*1000</f>
        <v>214299.99999999994</v>
      </c>
      <c r="U227" s="478">
        <f>VTR!Q119*1000</f>
        <v>229100</v>
      </c>
      <c r="V227" s="478">
        <f>VTR!R119*1000</f>
        <v>248200</v>
      </c>
      <c r="W227" s="478">
        <f>VTR!S119*1000</f>
        <v>260928.97289828511</v>
      </c>
      <c r="X227" s="478">
        <f ca="1">VTR!T119*1000</f>
        <v>274650.04029629292</v>
      </c>
      <c r="Y227" s="478">
        <f ca="1">VTR!U119*1000</f>
        <v>288241.85010383069</v>
      </c>
      <c r="Z227" s="478">
        <f ca="1">VTR!V119*1000</f>
        <v>302491.75938482769</v>
      </c>
      <c r="AA227" s="478">
        <f ca="1">VTR!W119*1000</f>
        <v>316832.51245729148</v>
      </c>
      <c r="AB227" s="478">
        <f ca="1">VTR!X119*1000</f>
        <v>332029.70748168638</v>
      </c>
      <c r="AC227" s="478">
        <f ca="1">VTR!Y119*1000</f>
        <v>347497.59145726304</v>
      </c>
      <c r="AD227" s="478">
        <f ca="1">VTR!Z119*1000</f>
        <v>363483.85716313357</v>
      </c>
      <c r="AE227" s="478">
        <f>VTR!AA119*1000</f>
        <v>0</v>
      </c>
      <c r="AF227" s="478"/>
      <c r="AG227" s="478"/>
      <c r="AH227" s="478"/>
      <c r="AI227" s="478"/>
      <c r="AJ227" s="430"/>
      <c r="AK227" s="430"/>
    </row>
    <row r="228" spans="2:37">
      <c r="B228" s="474" t="s">
        <v>1303</v>
      </c>
      <c r="C228" s="478"/>
      <c r="D228" s="478"/>
      <c r="E228" s="478"/>
      <c r="F228" s="478"/>
      <c r="G228" s="47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30"/>
      <c r="AK228" s="430"/>
    </row>
    <row r="229" spans="2:37">
      <c r="B229" s="474" t="s">
        <v>1304</v>
      </c>
      <c r="C229" s="478"/>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478"/>
      <c r="AE229" s="478"/>
      <c r="AF229" s="478"/>
      <c r="AG229" s="478"/>
      <c r="AH229" s="478"/>
      <c r="AI229" s="478"/>
      <c r="AJ229" s="430"/>
      <c r="AK229" s="430"/>
    </row>
    <row r="230" spans="2:37">
      <c r="B230" s="474" t="s">
        <v>19</v>
      </c>
      <c r="C230" s="478"/>
      <c r="D230" s="478"/>
      <c r="E230" s="478"/>
      <c r="F230" s="478"/>
      <c r="G230" s="478"/>
      <c r="H230" s="478"/>
      <c r="I230" s="478"/>
      <c r="J230" s="478"/>
      <c r="K230" s="478">
        <f>VTR!G122*1000</f>
        <v>72201.779201800004</v>
      </c>
      <c r="L230" s="478">
        <f>VTR!H122*1000</f>
        <v>82501.236172800011</v>
      </c>
      <c r="M230" s="478">
        <f>VTR!I122*1000</f>
        <v>99977.859251999995</v>
      </c>
      <c r="N230" s="478">
        <f>VTR!J122*1000</f>
        <v>87539.338245516468</v>
      </c>
      <c r="O230" s="478">
        <f>VTR!K122*1000</f>
        <v>92374.359517816934</v>
      </c>
      <c r="P230" s="478">
        <f>VTR!L122*1000</f>
        <v>131400</v>
      </c>
      <c r="Q230" s="478">
        <f>VTR!M122*1000</f>
        <v>118500</v>
      </c>
      <c r="R230" s="478">
        <f>VTR!N122*1000</f>
        <v>92900</v>
      </c>
      <c r="S230" s="478">
        <f>VTR!O122*1000</f>
        <v>111700</v>
      </c>
      <c r="T230" s="478">
        <f>VTR!P122*1000</f>
        <v>96400</v>
      </c>
      <c r="U230" s="478">
        <f>VTR!Q122*1000</f>
        <v>132000</v>
      </c>
      <c r="V230" s="478">
        <f>VTR!R122*1000</f>
        <v>137900</v>
      </c>
      <c r="W230" s="478">
        <f>VTR!S122*1000</f>
        <v>136352.59826999999</v>
      </c>
      <c r="X230" s="478">
        <f ca="1">VTR!T122*1000</f>
        <v>143116.91778694154</v>
      </c>
      <c r="Y230" s="478">
        <f ca="1">VTR!U122*1000</f>
        <v>142451.23598618887</v>
      </c>
      <c r="Z230" s="478">
        <f ca="1">VTR!V122*1000</f>
        <v>141346.60599784329</v>
      </c>
      <c r="AA230" s="478">
        <f ca="1">VTR!W122*1000</f>
        <v>146774.17712139213</v>
      </c>
      <c r="AB230" s="478">
        <f ca="1">VTR!X122*1000</f>
        <v>152331.19399143101</v>
      </c>
      <c r="AC230" s="478">
        <f ca="1">VTR!Y122*1000</f>
        <v>158025.36925839909</v>
      </c>
      <c r="AD230" s="478">
        <f ca="1">VTR!Z122*1000</f>
        <v>163864.58715140959</v>
      </c>
      <c r="AE230" s="478">
        <f>VTR!AA122*1000</f>
        <v>0</v>
      </c>
      <c r="AF230" s="478"/>
      <c r="AG230" s="478"/>
      <c r="AH230" s="478"/>
      <c r="AI230" s="478"/>
      <c r="AJ230" s="430"/>
      <c r="AK230" s="430"/>
    </row>
    <row r="231" spans="2:37">
      <c r="B231" s="474" t="s">
        <v>1305</v>
      </c>
      <c r="C231" s="478"/>
      <c r="D231" s="478"/>
      <c r="E231" s="478"/>
      <c r="F231" s="478"/>
      <c r="G231" s="478"/>
      <c r="H231" s="478"/>
      <c r="I231" s="478"/>
      <c r="J231" s="478"/>
      <c r="K231" s="478"/>
      <c r="L231" s="478"/>
      <c r="M231" s="478"/>
      <c r="N231" s="478"/>
      <c r="O231" s="478"/>
      <c r="P231" s="478"/>
      <c r="Q231" s="478"/>
      <c r="R231" s="478"/>
      <c r="S231" s="478"/>
      <c r="T231" s="478"/>
      <c r="U231" s="478"/>
      <c r="V231" s="478"/>
      <c r="W231" s="478"/>
      <c r="X231" s="478"/>
      <c r="Y231" s="478"/>
      <c r="Z231" s="478"/>
      <c r="AA231" s="478"/>
      <c r="AB231" s="478"/>
      <c r="AC231" s="478"/>
      <c r="AD231" s="478"/>
      <c r="AE231" s="478"/>
      <c r="AF231" s="478"/>
      <c r="AG231" s="478"/>
      <c r="AH231" s="478"/>
      <c r="AI231" s="478"/>
      <c r="AJ231" s="430"/>
      <c r="AK231" s="430"/>
    </row>
    <row r="232" spans="2:37">
      <c r="B232" s="474" t="s">
        <v>1306</v>
      </c>
      <c r="C232" s="478"/>
      <c r="D232" s="478"/>
      <c r="E232" s="478"/>
      <c r="F232" s="478"/>
      <c r="G232" s="478"/>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30"/>
      <c r="AK232" s="430"/>
    </row>
    <row r="233" spans="2:37">
      <c r="B233" s="474" t="s">
        <v>27</v>
      </c>
      <c r="C233" s="478"/>
      <c r="D233" s="478"/>
      <c r="E233" s="478"/>
      <c r="F233" s="478"/>
      <c r="G233" s="478"/>
      <c r="H233" s="478"/>
      <c r="I233" s="478"/>
      <c r="J233" s="478"/>
      <c r="K233" s="478">
        <f t="shared" ref="K233:AD233" si="34">K227-K230</f>
        <v>31055.937696599984</v>
      </c>
      <c r="L233" s="478">
        <f t="shared" si="34"/>
        <v>47409.564536800026</v>
      </c>
      <c r="M233" s="478">
        <f t="shared" si="34"/>
        <v>62921.994143999938</v>
      </c>
      <c r="N233" s="478">
        <f t="shared" si="34"/>
        <v>72923.533991380507</v>
      </c>
      <c r="O233" s="478">
        <f t="shared" si="34"/>
        <v>77710.690157636811</v>
      </c>
      <c r="P233" s="478">
        <f t="shared" si="34"/>
        <v>33300.000000000029</v>
      </c>
      <c r="Q233" s="478">
        <f t="shared" si="34"/>
        <v>33900.000000000029</v>
      </c>
      <c r="R233" s="478">
        <f t="shared" si="34"/>
        <v>82000</v>
      </c>
      <c r="S233" s="478">
        <f t="shared" si="34"/>
        <v>87199.999999999971</v>
      </c>
      <c r="T233" s="478">
        <f t="shared" si="34"/>
        <v>117899.99999999994</v>
      </c>
      <c r="U233" s="478">
        <f t="shared" si="34"/>
        <v>97100</v>
      </c>
      <c r="V233" s="478">
        <f t="shared" si="34"/>
        <v>110300</v>
      </c>
      <c r="W233" s="478">
        <f t="shared" si="34"/>
        <v>124576.37462828512</v>
      </c>
      <c r="X233" s="478">
        <f t="shared" ca="1" si="34"/>
        <v>131533.12250935138</v>
      </c>
      <c r="Y233" s="478">
        <f t="shared" ca="1" si="34"/>
        <v>145790.61411764182</v>
      </c>
      <c r="Z233" s="478">
        <f t="shared" ca="1" si="34"/>
        <v>161145.1533869844</v>
      </c>
      <c r="AA233" s="478">
        <f t="shared" ca="1" si="34"/>
        <v>170058.33533589935</v>
      </c>
      <c r="AB233" s="478">
        <f t="shared" ca="1" si="34"/>
        <v>179698.51349025537</v>
      </c>
      <c r="AC233" s="478">
        <f t="shared" ca="1" si="34"/>
        <v>189472.22219886395</v>
      </c>
      <c r="AD233" s="478">
        <f t="shared" ca="1" si="34"/>
        <v>199619.27001172397</v>
      </c>
      <c r="AE233" s="478">
        <f t="shared" ref="AE233" si="35">AE227-AE230</f>
        <v>0</v>
      </c>
      <c r="AF233" s="478"/>
      <c r="AG233" s="478"/>
      <c r="AH233" s="478"/>
      <c r="AI233" s="478"/>
      <c r="AJ233" s="430"/>
      <c r="AK233" s="430"/>
    </row>
    <row r="234" spans="2:37">
      <c r="B234" s="474" t="s">
        <v>249</v>
      </c>
      <c r="C234" s="478"/>
      <c r="D234" s="478"/>
      <c r="E234" s="478"/>
      <c r="F234" s="478"/>
      <c r="G234" s="478"/>
      <c r="H234" s="478"/>
      <c r="I234" s="478"/>
      <c r="J234" s="478"/>
      <c r="K234" s="478"/>
      <c r="L234" s="478"/>
      <c r="M234" s="478"/>
      <c r="N234" s="478"/>
      <c r="O234" s="478"/>
      <c r="P234" s="478"/>
      <c r="Q234" s="478">
        <f>VTR!M205*1000</f>
        <v>15500.000000000029</v>
      </c>
      <c r="R234" s="478">
        <f>VTR!N205*1000</f>
        <v>82200.000000000015</v>
      </c>
      <c r="S234" s="478">
        <f>VTR!O205*1000</f>
        <v>30199.999999999975</v>
      </c>
      <c r="T234" s="478">
        <f>VTR!P205*1000</f>
        <v>12699.99999999996</v>
      </c>
      <c r="U234" s="478">
        <f>VTR!Q205*1000</f>
        <v>-42102.756576402346</v>
      </c>
      <c r="V234" s="478">
        <f>VTR!R205*1000</f>
        <v>-32617.884526112208</v>
      </c>
      <c r="W234" s="478">
        <f>VTR!S205*1000</f>
        <v>-22545.850110593023</v>
      </c>
      <c r="X234" s="478">
        <f ca="1">VTR!T205*1000</f>
        <v>-17113.047655295803</v>
      </c>
      <c r="Y234" s="478">
        <f ca="1">VTR!U205*1000</f>
        <v>5840.1998665584924</v>
      </c>
      <c r="Z234" s="478">
        <f ca="1">VTR!V205*1000</f>
        <v>15893.191379794218</v>
      </c>
      <c r="AA234" s="478">
        <f ca="1">VTR!W205*1000</f>
        <v>19717.730428338655</v>
      </c>
      <c r="AB234" s="478">
        <f ca="1">VTR!X205*1000</f>
        <v>24018.390426869784</v>
      </c>
      <c r="AC234" s="478">
        <f ca="1">VTR!Y205*1000</f>
        <v>55881.675972328449</v>
      </c>
      <c r="AD234" s="478">
        <f ca="1">VTR!Z205*1000</f>
        <v>70520.32843238613</v>
      </c>
      <c r="AE234" s="478">
        <f>VTR!AA205*1000</f>
        <v>0</v>
      </c>
      <c r="AF234" s="478"/>
      <c r="AG234" s="478"/>
      <c r="AH234" s="478"/>
      <c r="AI234" s="478"/>
      <c r="AJ234" s="430"/>
      <c r="AK234" s="430"/>
    </row>
    <row r="235" spans="2:37">
      <c r="B235" s="474" t="s">
        <v>115</v>
      </c>
      <c r="C235" s="478"/>
      <c r="D235" s="478"/>
      <c r="E235" s="478"/>
      <c r="F235" s="478"/>
      <c r="G235" s="478"/>
      <c r="H235" s="478"/>
      <c r="I235" s="478"/>
      <c r="J235" s="478"/>
      <c r="K235" s="478"/>
      <c r="L235" s="478"/>
      <c r="M235" s="478"/>
      <c r="N235" s="478"/>
      <c r="O235" s="478"/>
      <c r="P235" s="478"/>
      <c r="Q235" s="478">
        <f>VTR!M230*1000</f>
        <v>285299.99999999994</v>
      </c>
      <c r="R235" s="478">
        <f>VTR!N230*1000</f>
        <v>263600</v>
      </c>
      <c r="S235" s="478">
        <f>VTR!O230*1000</f>
        <v>798200</v>
      </c>
      <c r="T235" s="478">
        <f>VTR!P230*1000</f>
        <v>802400.00000000012</v>
      </c>
      <c r="U235" s="478">
        <f>VTR!Q230*1000</f>
        <v>871400</v>
      </c>
      <c r="V235" s="478">
        <f>VTR!R230*1000</f>
        <v>985802.31</v>
      </c>
      <c r="W235" s="478">
        <f>VTR!S230*1000</f>
        <v>1027269.6671117148</v>
      </c>
      <c r="X235" s="478">
        <f ca="1">VTR!T230*1000</f>
        <v>1063093.6272487391</v>
      </c>
      <c r="Y235" s="478">
        <f ca="1">VTR!U230*1000</f>
        <v>1076241.7329581184</v>
      </c>
      <c r="Z235" s="478">
        <f ca="1">VTR!V230*1000</f>
        <v>1079146.1144179751</v>
      </c>
      <c r="AA235" s="478">
        <f ca="1">VTR!W230*1000</f>
        <v>1080004.2882558061</v>
      </c>
      <c r="AB235" s="478">
        <f ca="1">VTR!X230*1000</f>
        <v>1076390.0510062447</v>
      </c>
      <c r="AC235" s="478">
        <f ca="1">VTR!Y230*1000</f>
        <v>1041873.0160201351</v>
      </c>
      <c r="AD235" s="478">
        <f ca="1">VTR!Z230*1000</f>
        <v>966774.2178650978</v>
      </c>
      <c r="AE235" s="478">
        <f>VTR!AA230*1000</f>
        <v>0</v>
      </c>
      <c r="AF235" s="478"/>
      <c r="AG235" s="478"/>
      <c r="AH235" s="478"/>
      <c r="AI235" s="478"/>
      <c r="AJ235" s="430"/>
      <c r="AK235" s="430"/>
    </row>
    <row r="236" spans="2:37">
      <c r="B236" s="474" t="s">
        <v>360</v>
      </c>
      <c r="C236" s="478"/>
      <c r="D236" s="478"/>
      <c r="E236" s="478"/>
      <c r="F236" s="478"/>
      <c r="G236" s="478"/>
      <c r="H236" s="478"/>
      <c r="I236" s="478"/>
      <c r="J236" s="478"/>
      <c r="K236" s="478"/>
      <c r="L236" s="478"/>
      <c r="M236" s="478"/>
      <c r="N236" s="478"/>
      <c r="O236" s="478"/>
      <c r="P236" s="478"/>
      <c r="Q236" s="478">
        <f>VTR!M15</f>
        <v>40</v>
      </c>
      <c r="R236" s="478">
        <f>VTR!N15</f>
        <v>71.3</v>
      </c>
      <c r="S236" s="478">
        <f>VTR!O15</f>
        <v>110.5</v>
      </c>
      <c r="T236" s="478">
        <f>VTR!P15</f>
        <v>132</v>
      </c>
      <c r="U236" s="478">
        <f>VTR!Q15</f>
        <v>166.2</v>
      </c>
      <c r="V236" s="478">
        <f>VTR!R15</f>
        <v>214.9</v>
      </c>
      <c r="W236" s="478">
        <f>VTR!S15</f>
        <v>244.9</v>
      </c>
      <c r="X236" s="478">
        <f>VTR!T15</f>
        <v>274.89999999999998</v>
      </c>
      <c r="Y236" s="478">
        <f>VTR!U15</f>
        <v>304.89999999999998</v>
      </c>
      <c r="Z236" s="478">
        <f>VTR!V15</f>
        <v>334.9</v>
      </c>
      <c r="AA236" s="478">
        <f>VTR!W15</f>
        <v>364.9</v>
      </c>
      <c r="AB236" s="478">
        <f>VTR!X15</f>
        <v>394.9</v>
      </c>
      <c r="AC236" s="478">
        <f>VTR!Y15</f>
        <v>424.9</v>
      </c>
      <c r="AD236" s="478">
        <f>VTR!Z15</f>
        <v>454.9</v>
      </c>
      <c r="AE236" s="478">
        <f>VTR!AA15</f>
        <v>0</v>
      </c>
      <c r="AF236" s="478"/>
      <c r="AG236" s="478"/>
      <c r="AH236" s="478"/>
      <c r="AI236" s="478"/>
      <c r="AJ236" s="430"/>
      <c r="AK236" s="430"/>
    </row>
    <row r="237" spans="2:37">
      <c r="B237" s="474" t="s">
        <v>660</v>
      </c>
      <c r="C237" s="478"/>
      <c r="D237" s="478"/>
      <c r="E237" s="478"/>
      <c r="F237" s="478"/>
      <c r="G237" s="478"/>
      <c r="H237" s="478"/>
      <c r="I237" s="478"/>
      <c r="J237" s="478"/>
      <c r="K237" s="478"/>
      <c r="L237" s="478"/>
      <c r="M237" s="478"/>
      <c r="N237" s="478"/>
      <c r="O237" s="478"/>
      <c r="P237" s="478"/>
      <c r="Q237" s="478">
        <f>VTR!M68</f>
        <v>5300</v>
      </c>
      <c r="R237" s="478">
        <f>VTR!N68</f>
        <v>10200</v>
      </c>
      <c r="S237" s="478">
        <f>VTR!O68</f>
        <v>14000</v>
      </c>
      <c r="T237" s="478">
        <f>VTR!P68</f>
        <v>23300</v>
      </c>
      <c r="U237" s="478">
        <f>VTR!Q68</f>
        <v>30000</v>
      </c>
      <c r="V237" s="478">
        <f>VTR!R68</f>
        <v>35000</v>
      </c>
      <c r="W237" s="478">
        <f>VTR!S68</f>
        <v>41383.206507478353</v>
      </c>
      <c r="X237" s="478">
        <f>VTR!T68</f>
        <v>45847.69666754132</v>
      </c>
      <c r="Y237" s="478">
        <f>VTR!U68</f>
        <v>50117.053938598787</v>
      </c>
      <c r="Z237" s="478">
        <f>VTR!V68</f>
        <v>54197.297840146937</v>
      </c>
      <c r="AA237" s="478">
        <f>VTR!W68</f>
        <v>58094.285164057714</v>
      </c>
      <c r="AB237" s="478">
        <f>VTR!X68</f>
        <v>61813.714075876014</v>
      </c>
      <c r="AC237" s="478">
        <f>VTR!Y68</f>
        <v>65361.128117155953</v>
      </c>
      <c r="AD237" s="478">
        <f>VTR!Z68</f>
        <v>68741.920111154352</v>
      </c>
      <c r="AE237" s="478">
        <f>VTR!AA68</f>
        <v>0</v>
      </c>
      <c r="AF237" s="478"/>
      <c r="AG237" s="478"/>
      <c r="AH237" s="478"/>
      <c r="AI237" s="478"/>
      <c r="AJ237" s="430"/>
      <c r="AK237" s="430"/>
    </row>
    <row r="238" spans="2:37">
      <c r="B238" s="474" t="s">
        <v>1308</v>
      </c>
      <c r="C238" s="478"/>
      <c r="D238" s="478"/>
      <c r="E238" s="478"/>
      <c r="F238" s="478"/>
      <c r="G238" s="478"/>
      <c r="H238" s="478"/>
      <c r="I238" s="478"/>
      <c r="J238" s="478"/>
      <c r="K238" s="478">
        <f>K227/Forex!B38</f>
        <v>197.17335999999995</v>
      </c>
      <c r="L238" s="478">
        <f>L227/Forex!C38</f>
        <v>251.89204000000007</v>
      </c>
      <c r="M238" s="478">
        <f>M227/Forex!D38</f>
        <v>286.64411999999993</v>
      </c>
      <c r="N238" s="478">
        <f>N227/Forex!E38</f>
        <v>286.94564159599605</v>
      </c>
      <c r="O238" s="478">
        <f>O227/Forex!F38</f>
        <v>333.42164525102669</v>
      </c>
      <c r="P238" s="478">
        <f>P227/Forex!G38</f>
        <v>340.51438967912674</v>
      </c>
      <c r="Q238" s="478">
        <f>Q227/Forex!H38</f>
        <v>313.41257763336495</v>
      </c>
      <c r="R238" s="478">
        <f>R227/Forex!I38</f>
        <v>353.01241295791704</v>
      </c>
      <c r="S238" s="478">
        <f>S227/Forex!J38</f>
        <v>348.48272478800192</v>
      </c>
      <c r="T238" s="478">
        <f>T227/Forex!K38</f>
        <v>326.17960426179593</v>
      </c>
      <c r="U238" s="478">
        <f>U227/Forex!L38</f>
        <v>338.80007689918813</v>
      </c>
      <c r="V238" s="478">
        <f>V227/Forex!M38</f>
        <v>382.55240443896429</v>
      </c>
      <c r="W238" s="478">
        <f>W227/Forex!N38</f>
        <v>406.32382842282436</v>
      </c>
      <c r="X238" s="478">
        <f ca="1">X227/Forex!O38</f>
        <v>390.68284537168267</v>
      </c>
      <c r="Y238" s="478">
        <f ca="1">Y227/Forex!P38</f>
        <v>363.94172992907914</v>
      </c>
      <c r="Z238" s="478">
        <f ca="1">Z227/Forex!Q38</f>
        <v>397.49245648466189</v>
      </c>
      <c r="AA238" s="478">
        <f ca="1">AA227/Forex!R38</f>
        <v>362.92384015726401</v>
      </c>
      <c r="AB238" s="478">
        <f ca="1">AB227/Forex!S38</f>
        <v>415.5565800772045</v>
      </c>
      <c r="AC238" s="478">
        <f ca="1">AC227/Forex!T38</f>
        <v>428.48038404101487</v>
      </c>
      <c r="AD238" s="478">
        <f ca="1">AD227/Forex!U38</f>
        <v>448.1921789927664</v>
      </c>
      <c r="AE238" s="478">
        <f>AE227/Forex!V38</f>
        <v>0</v>
      </c>
      <c r="AF238" s="478"/>
      <c r="AG238" s="478"/>
      <c r="AH238" s="478"/>
      <c r="AI238" s="478"/>
      <c r="AJ238" s="430"/>
      <c r="AK238" s="430"/>
    </row>
    <row r="239" spans="2:37">
      <c r="B239" s="474" t="s">
        <v>1309</v>
      </c>
      <c r="C239" s="478"/>
      <c r="D239" s="478"/>
      <c r="E239" s="478"/>
      <c r="F239" s="478"/>
      <c r="G239" s="478"/>
      <c r="H239" s="478"/>
      <c r="I239" s="478"/>
      <c r="J239" s="478"/>
      <c r="K239" s="478">
        <f>K230/Forex!B38</f>
        <v>137.87121999999999</v>
      </c>
      <c r="L239" s="478">
        <f>L230/Forex!C38</f>
        <v>159.96672000000001</v>
      </c>
      <c r="M239" s="478">
        <f>M230/Forex!D38</f>
        <v>175.92444</v>
      </c>
      <c r="N239" s="478">
        <f>N230/Forex!E38</f>
        <v>156.541081607118</v>
      </c>
      <c r="O239" s="478">
        <f>O230/Forex!F38</f>
        <v>181.0835872300967</v>
      </c>
      <c r="P239" s="478">
        <f>P230/Forex!G38</f>
        <v>271.66721799536884</v>
      </c>
      <c r="Q239" s="478">
        <f>Q230/Forex!H38</f>
        <v>243.69678772673055</v>
      </c>
      <c r="R239" s="478">
        <f>R230/Forex!I38</f>
        <v>187.50630739731557</v>
      </c>
      <c r="S239" s="478">
        <f>S230/Forex!J38</f>
        <v>195.70397364916954</v>
      </c>
      <c r="T239" s="478">
        <f>T230/Forex!K38</f>
        <v>146.72754946727551</v>
      </c>
      <c r="U239" s="478">
        <f>U230/Forex!L38</f>
        <v>195.20563138669939</v>
      </c>
      <c r="V239" s="478">
        <f>V230/Forex!M38</f>
        <v>212.54623921085081</v>
      </c>
      <c r="W239" s="478">
        <f>W230/Forex!N38</f>
        <v>212.33099999999999</v>
      </c>
      <c r="X239" s="478">
        <f ca="1">X230/Forex!O38</f>
        <v>203.58025289749864</v>
      </c>
      <c r="Y239" s="478">
        <f ca="1">Y230/Forex!P38</f>
        <v>179.86267169973343</v>
      </c>
      <c r="Z239" s="478">
        <f ca="1">Z230/Forex!Q38</f>
        <v>185.73798422844058</v>
      </c>
      <c r="AA239" s="478">
        <f ca="1">AA230/Forex!R38</f>
        <v>168.12620517914334</v>
      </c>
      <c r="AB239" s="478">
        <f ca="1">AB230/Forex!S38</f>
        <v>190.65230787413142</v>
      </c>
      <c r="AC239" s="478">
        <f ca="1">AC230/Forex!T38</f>
        <v>194.85248983773008</v>
      </c>
      <c r="AD239" s="478">
        <f ca="1">AD230/Forex!U38</f>
        <v>202.05251190062836</v>
      </c>
      <c r="AE239" s="478">
        <f>AE230/Forex!V38</f>
        <v>0</v>
      </c>
      <c r="AF239" s="478"/>
      <c r="AG239" s="478"/>
      <c r="AH239" s="478"/>
      <c r="AI239" s="478"/>
      <c r="AJ239" s="430"/>
      <c r="AK239" s="430"/>
    </row>
    <row r="240" spans="2:37">
      <c r="B240" s="480" t="s">
        <v>1310</v>
      </c>
      <c r="C240" s="476">
        <v>1998</v>
      </c>
      <c r="D240" s="476">
        <v>1999</v>
      </c>
      <c r="E240" s="476">
        <v>2000</v>
      </c>
      <c r="F240" s="476">
        <v>2001</v>
      </c>
      <c r="G240" s="476">
        <v>2002</v>
      </c>
      <c r="H240" s="476">
        <v>2003</v>
      </c>
      <c r="I240" s="476">
        <v>2004</v>
      </c>
      <c r="J240" s="476">
        <v>2005</v>
      </c>
      <c r="K240" s="476">
        <v>2006</v>
      </c>
      <c r="L240" s="476">
        <v>2007</v>
      </c>
      <c r="M240" s="476">
        <v>2008</v>
      </c>
      <c r="N240" s="476">
        <v>2009</v>
      </c>
      <c r="O240" s="476">
        <v>2010</v>
      </c>
      <c r="P240" s="476">
        <v>2011</v>
      </c>
      <c r="Q240" s="476">
        <v>2012</v>
      </c>
      <c r="R240" s="476">
        <v>2013</v>
      </c>
      <c r="S240" s="476">
        <v>2014</v>
      </c>
      <c r="T240" s="477">
        <f t="shared" ref="T240:AI240" si="36">S240+1</f>
        <v>2015</v>
      </c>
      <c r="U240" s="477">
        <f t="shared" si="36"/>
        <v>2016</v>
      </c>
      <c r="V240" s="477">
        <f t="shared" si="36"/>
        <v>2017</v>
      </c>
      <c r="W240" s="477">
        <f t="shared" si="36"/>
        <v>2018</v>
      </c>
      <c r="X240" s="477">
        <f t="shared" si="36"/>
        <v>2019</v>
      </c>
      <c r="Y240" s="477">
        <f t="shared" si="36"/>
        <v>2020</v>
      </c>
      <c r="Z240" s="477">
        <f t="shared" si="36"/>
        <v>2021</v>
      </c>
      <c r="AA240" s="477">
        <f t="shared" si="36"/>
        <v>2022</v>
      </c>
      <c r="AB240" s="477">
        <f t="shared" si="36"/>
        <v>2023</v>
      </c>
      <c r="AC240" s="477">
        <f t="shared" si="36"/>
        <v>2024</v>
      </c>
      <c r="AD240" s="477">
        <f t="shared" si="36"/>
        <v>2025</v>
      </c>
      <c r="AE240" s="477">
        <f t="shared" si="36"/>
        <v>2026</v>
      </c>
      <c r="AF240" s="477">
        <f t="shared" si="36"/>
        <v>2027</v>
      </c>
      <c r="AG240" s="477">
        <f t="shared" si="36"/>
        <v>2028</v>
      </c>
      <c r="AH240" s="477">
        <f t="shared" si="36"/>
        <v>2029</v>
      </c>
      <c r="AI240" s="477">
        <f t="shared" si="36"/>
        <v>2030</v>
      </c>
      <c r="AJ240" s="430"/>
      <c r="AK240" s="430"/>
    </row>
    <row r="241" spans="2:37">
      <c r="B241" s="474" t="s">
        <v>557</v>
      </c>
      <c r="C241" s="478"/>
      <c r="D241" s="478"/>
      <c r="E241" s="478"/>
      <c r="F241" s="478">
        <f>PR!B4</f>
        <v>454.5</v>
      </c>
      <c r="G241" s="478">
        <f>PR!C4</f>
        <v>529.6</v>
      </c>
      <c r="H241" s="478">
        <f>PR!D4</f>
        <v>529.79999999999995</v>
      </c>
      <c r="I241" s="478">
        <f>PR!E4</f>
        <v>82.2</v>
      </c>
      <c r="J241" s="478">
        <f>PR!F4</f>
        <v>412.90000000000003</v>
      </c>
      <c r="K241" s="478">
        <f>PR!G4</f>
        <v>417.20000000000005</v>
      </c>
      <c r="L241" s="478">
        <f>PR!H4</f>
        <v>340.8</v>
      </c>
      <c r="M241" s="478">
        <f>PR!I4</f>
        <v>345.3</v>
      </c>
      <c r="N241" s="478">
        <f>PR!J4</f>
        <v>348.3</v>
      </c>
      <c r="O241" s="478">
        <f>PR!K4</f>
        <v>352.2</v>
      </c>
      <c r="P241" s="478">
        <f>PR!L4</f>
        <v>353</v>
      </c>
      <c r="Q241" s="478">
        <f>PR!M4</f>
        <v>702.4</v>
      </c>
      <c r="R241" s="478">
        <f>PR!N4</f>
        <v>704.6</v>
      </c>
      <c r="S241" s="478">
        <f>PR!O4</f>
        <v>706.5</v>
      </c>
      <c r="T241" s="478">
        <f>PR!P4</f>
        <v>1070.7</v>
      </c>
      <c r="U241" s="478">
        <f>PR!Q4</f>
        <v>1092.3</v>
      </c>
      <c r="V241" s="478">
        <f>PR!R4</f>
        <v>1122.3</v>
      </c>
      <c r="W241" s="478">
        <f>PR!S4</f>
        <v>1125.3</v>
      </c>
      <c r="X241" s="478">
        <f>PR!T4</f>
        <v>1128.3</v>
      </c>
      <c r="Y241" s="478">
        <f>PR!U4</f>
        <v>1131.3</v>
      </c>
      <c r="Z241" s="478">
        <f>PR!V4</f>
        <v>1134.3</v>
      </c>
      <c r="AA241" s="478">
        <f>PR!W4</f>
        <v>1137.3</v>
      </c>
      <c r="AB241" s="478">
        <f>PR!X4</f>
        <v>1140.3</v>
      </c>
      <c r="AC241" s="478">
        <f>PR!Y4</f>
        <v>1143.3</v>
      </c>
      <c r="AD241" s="478">
        <f>PR!Z4</f>
        <v>1146.3</v>
      </c>
      <c r="AE241" s="478">
        <f>PR!AA4</f>
        <v>0</v>
      </c>
      <c r="AF241" s="478"/>
      <c r="AG241" s="478"/>
      <c r="AH241" s="478"/>
      <c r="AI241" s="478"/>
      <c r="AJ241" s="430"/>
      <c r="AK241" s="430"/>
    </row>
    <row r="242" spans="2:37">
      <c r="B242" s="474" t="s">
        <v>558</v>
      </c>
      <c r="C242" s="478"/>
      <c r="D242" s="478"/>
      <c r="E242" s="478"/>
      <c r="F242" s="478">
        <f>PR!B5</f>
        <v>17.2</v>
      </c>
      <c r="G242" s="478">
        <f>PR!C5</f>
        <v>498.40000000000003</v>
      </c>
      <c r="H242" s="478">
        <f>PR!D5</f>
        <v>501.3</v>
      </c>
      <c r="I242" s="478">
        <f>PR!E5</f>
        <v>45.7</v>
      </c>
      <c r="J242" s="478">
        <f>PR!F5</f>
        <v>376.40000000000003</v>
      </c>
      <c r="K242" s="478">
        <f>PR!G5</f>
        <v>399.90000000000003</v>
      </c>
      <c r="L242" s="478">
        <f>PR!H5</f>
        <v>340.8</v>
      </c>
      <c r="M242" s="478">
        <f>PR!I5</f>
        <v>345.3</v>
      </c>
      <c r="N242" s="478">
        <f>PR!J5</f>
        <v>348.3</v>
      </c>
      <c r="O242" s="478">
        <f>PR!K5</f>
        <v>352.2</v>
      </c>
      <c r="P242" s="478">
        <f>PR!L5</f>
        <v>353</v>
      </c>
      <c r="Q242" s="478">
        <f>PR!M5</f>
        <v>702.4</v>
      </c>
      <c r="R242" s="478">
        <f>PR!N5</f>
        <v>704.6</v>
      </c>
      <c r="S242" s="478">
        <f>PR!O5</f>
        <v>706.5</v>
      </c>
      <c r="T242" s="478">
        <f>PR!P5</f>
        <v>1070.7</v>
      </c>
      <c r="U242" s="478">
        <f>PR!Q5</f>
        <v>1092.3</v>
      </c>
      <c r="V242" s="478">
        <f>PR!R5</f>
        <v>1122.3</v>
      </c>
      <c r="W242" s="478">
        <f>PR!S5</f>
        <v>1125.3</v>
      </c>
      <c r="X242" s="478">
        <f>PR!T5</f>
        <v>1128.3</v>
      </c>
      <c r="Y242" s="478">
        <f>PR!U5</f>
        <v>1131.3</v>
      </c>
      <c r="Z242" s="478">
        <f>PR!V5</f>
        <v>1134.3</v>
      </c>
      <c r="AA242" s="478">
        <f>PR!W5</f>
        <v>1137.3</v>
      </c>
      <c r="AB242" s="478">
        <f>PR!X5</f>
        <v>1140.3</v>
      </c>
      <c r="AC242" s="478">
        <f>PR!Y5</f>
        <v>1143.3</v>
      </c>
      <c r="AD242" s="478">
        <f>PR!Z5</f>
        <v>1146.3</v>
      </c>
      <c r="AE242" s="478">
        <f>PR!AA5</f>
        <v>0</v>
      </c>
      <c r="AF242" s="478"/>
      <c r="AG242" s="478"/>
      <c r="AH242" s="478"/>
      <c r="AI242" s="478"/>
      <c r="AJ242" s="430"/>
      <c r="AK242" s="430"/>
    </row>
    <row r="243" spans="2:37">
      <c r="B243" s="474" t="s">
        <v>559</v>
      </c>
      <c r="C243" s="478"/>
      <c r="D243" s="478"/>
      <c r="E243" s="478"/>
      <c r="F243" s="478">
        <f>PR!B6</f>
        <v>0</v>
      </c>
      <c r="G243" s="478">
        <f>PR!C6</f>
        <v>0</v>
      </c>
      <c r="H243" s="478">
        <f>PR!D6</f>
        <v>0</v>
      </c>
      <c r="I243" s="478">
        <f>PR!E6</f>
        <v>29.3</v>
      </c>
      <c r="J243" s="478">
        <f>PR!F6</f>
        <v>141.80000000000001</v>
      </c>
      <c r="K243" s="478">
        <f>PR!G6</f>
        <v>154.80000000000001</v>
      </c>
      <c r="L243" s="478">
        <f>PR!H6</f>
        <v>114.5</v>
      </c>
      <c r="M243" s="478">
        <f>PR!I6</f>
        <v>120.6</v>
      </c>
      <c r="N243" s="478">
        <f>PR!J6</f>
        <v>126.5</v>
      </c>
      <c r="O243" s="478">
        <f>PR!K6</f>
        <v>120.7</v>
      </c>
      <c r="P243" s="478">
        <f>PR!L6</f>
        <v>121.6</v>
      </c>
      <c r="Q243" s="478">
        <f>PR!M6</f>
        <v>270.8</v>
      </c>
      <c r="R243" s="478">
        <f>PR!N6</f>
        <v>272.8</v>
      </c>
      <c r="S243" s="478">
        <f>PR!O6</f>
        <v>281.60000000000002</v>
      </c>
      <c r="T243" s="478">
        <f>PR!P6</f>
        <v>400.9</v>
      </c>
      <c r="U243" s="478">
        <f>PR!Q6</f>
        <v>403.7</v>
      </c>
      <c r="V243" s="478">
        <f>PR!R6</f>
        <v>403.7</v>
      </c>
      <c r="W243" s="478">
        <f>PR!S6</f>
        <v>406.31299999999999</v>
      </c>
      <c r="X243" s="478">
        <f>PR!T6</f>
        <v>408.95213000000001</v>
      </c>
      <c r="Y243" s="478">
        <f>PR!U6</f>
        <v>411.61765130000003</v>
      </c>
      <c r="Z243" s="478">
        <f>PR!V6</f>
        <v>414.30982781300003</v>
      </c>
      <c r="AA243" s="478">
        <f>PR!W6</f>
        <v>417.02892609113002</v>
      </c>
      <c r="AB243" s="478">
        <f>PR!X6</f>
        <v>419.7752153520413</v>
      </c>
      <c r="AC243" s="478">
        <f>PR!Y6</f>
        <v>422.54896750556173</v>
      </c>
      <c r="AD243" s="478">
        <f>PR!Z6</f>
        <v>425.35045718061735</v>
      </c>
      <c r="AE243" s="478">
        <f>PR!AA6</f>
        <v>0</v>
      </c>
      <c r="AF243" s="478"/>
      <c r="AG243" s="478"/>
      <c r="AH243" s="478"/>
      <c r="AI243" s="478"/>
      <c r="AJ243" s="430"/>
      <c r="AK243" s="430"/>
    </row>
    <row r="244" spans="2:37">
      <c r="B244" s="474" t="s">
        <v>1294</v>
      </c>
      <c r="C244" s="478"/>
      <c r="D244" s="478"/>
      <c r="E244" s="478"/>
      <c r="F244" s="478">
        <f>PR!B10</f>
        <v>25.8</v>
      </c>
      <c r="G244" s="478">
        <f>PR!C10</f>
        <v>20.399999999999999</v>
      </c>
      <c r="H244" s="478">
        <f>PR!D10</f>
        <v>21.3</v>
      </c>
      <c r="I244" s="478">
        <f>PR!E10</f>
        <v>12.4</v>
      </c>
      <c r="J244" s="478">
        <f>PR!F10</f>
        <v>123.1</v>
      </c>
      <c r="K244" s="478">
        <f>PR!G10</f>
        <v>134.4</v>
      </c>
      <c r="L244" s="478">
        <f>PR!H10</f>
        <v>100.2</v>
      </c>
      <c r="M244" s="478">
        <f>PR!I10</f>
        <v>98.8</v>
      </c>
      <c r="N244" s="478">
        <f>PR!J10</f>
        <v>102.5</v>
      </c>
      <c r="O244" s="478">
        <f>PR!K10</f>
        <v>81.3</v>
      </c>
      <c r="P244" s="478">
        <f>PR!L10</f>
        <v>79.099999999999994</v>
      </c>
      <c r="Q244" s="478">
        <f>PR!M10</f>
        <v>205.9</v>
      </c>
      <c r="R244" s="478">
        <f>PR!N10</f>
        <v>210.5</v>
      </c>
      <c r="S244" s="478">
        <f>PR!O10</f>
        <v>219.9</v>
      </c>
      <c r="T244" s="478">
        <f>PR!P10</f>
        <v>263.89999999999998</v>
      </c>
      <c r="U244" s="478">
        <f>PR!Q10</f>
        <v>261.3</v>
      </c>
      <c r="V244" s="478">
        <f>PR!R10</f>
        <v>261.3</v>
      </c>
      <c r="W244" s="478">
        <f>PR!S10</f>
        <v>263.91300000000001</v>
      </c>
      <c r="X244" s="478">
        <f>PR!T10</f>
        <v>266.55213000000003</v>
      </c>
      <c r="Y244" s="478">
        <f>PR!U10</f>
        <v>269.21765130000006</v>
      </c>
      <c r="Z244" s="478">
        <f>PR!V10</f>
        <v>271.90982781300005</v>
      </c>
      <c r="AA244" s="478">
        <f>PR!W10</f>
        <v>274.62892609113004</v>
      </c>
      <c r="AB244" s="478">
        <f>PR!X10</f>
        <v>277.37521535204132</v>
      </c>
      <c r="AC244" s="478">
        <f>PR!Y10</f>
        <v>280.14896750556176</v>
      </c>
      <c r="AD244" s="478">
        <f>PR!Z10</f>
        <v>282.95045718061738</v>
      </c>
      <c r="AE244" s="478">
        <f>PR!AA10</f>
        <v>0</v>
      </c>
      <c r="AF244" s="478"/>
      <c r="AG244" s="478"/>
      <c r="AH244" s="478"/>
      <c r="AI244" s="478"/>
      <c r="AJ244" s="430"/>
      <c r="AK244" s="430"/>
    </row>
    <row r="245" spans="2:37">
      <c r="B245" s="474" t="s">
        <v>1295</v>
      </c>
      <c r="C245" s="478"/>
      <c r="D245" s="478"/>
      <c r="E245" s="478"/>
      <c r="F245" s="478">
        <f>PR!B7</f>
        <v>18.5</v>
      </c>
      <c r="G245" s="478">
        <f>PR!C7</f>
        <v>11.5</v>
      </c>
      <c r="H245" s="478">
        <f>PR!D7</f>
        <v>14.8</v>
      </c>
      <c r="I245" s="478">
        <f>PR!E7</f>
        <v>12.4</v>
      </c>
      <c r="J245" s="478">
        <f>PR!F7</f>
        <v>67.5</v>
      </c>
      <c r="K245" s="478">
        <f>PR!G7</f>
        <v>11.1</v>
      </c>
      <c r="L245" s="478">
        <f>PR!H7</f>
        <v>0</v>
      </c>
      <c r="M245" s="478">
        <f>PR!I7</f>
        <v>0</v>
      </c>
      <c r="N245" s="478">
        <f>PR!J7</f>
        <v>0</v>
      </c>
      <c r="O245" s="478">
        <f>PR!K7</f>
        <v>0</v>
      </c>
      <c r="P245" s="478">
        <f>PR!L7</f>
        <v>0</v>
      </c>
      <c r="Q245" s="478">
        <f>PR!M7</f>
        <v>0</v>
      </c>
      <c r="R245" s="478">
        <f>PR!N7</f>
        <v>0</v>
      </c>
      <c r="S245" s="478">
        <f>PR!O7</f>
        <v>0</v>
      </c>
      <c r="T245" s="478">
        <f>PR!P7</f>
        <v>0</v>
      </c>
      <c r="U245" s="478">
        <f>PR!Q7</f>
        <v>0</v>
      </c>
      <c r="V245" s="478">
        <f>PR!R7</f>
        <v>0</v>
      </c>
      <c r="W245" s="478">
        <f>PR!S7</f>
        <v>0</v>
      </c>
      <c r="X245" s="478">
        <f>PR!T7</f>
        <v>0</v>
      </c>
      <c r="Y245" s="478">
        <f>PR!U7</f>
        <v>0</v>
      </c>
      <c r="Z245" s="478">
        <f>PR!V7</f>
        <v>0</v>
      </c>
      <c r="AA245" s="478">
        <f>PR!W7</f>
        <v>0</v>
      </c>
      <c r="AB245" s="478">
        <f>PR!X7</f>
        <v>0</v>
      </c>
      <c r="AC245" s="478">
        <f>PR!Y7</f>
        <v>0</v>
      </c>
      <c r="AD245" s="478">
        <f>PR!Z7</f>
        <v>0</v>
      </c>
      <c r="AE245" s="478">
        <f>PR!AA7</f>
        <v>0</v>
      </c>
      <c r="AF245" s="478"/>
      <c r="AG245" s="478"/>
      <c r="AH245" s="478"/>
      <c r="AI245" s="478"/>
      <c r="AJ245" s="430"/>
      <c r="AK245" s="430"/>
    </row>
    <row r="246" spans="2:37">
      <c r="B246" s="474" t="s">
        <v>1296</v>
      </c>
      <c r="C246" s="478"/>
      <c r="D246" s="478"/>
      <c r="E246" s="478"/>
      <c r="F246" s="478">
        <f>PR!B8</f>
        <v>7.3</v>
      </c>
      <c r="G246" s="478">
        <f>PR!C8</f>
        <v>8.9</v>
      </c>
      <c r="H246" s="478">
        <f>PR!D8</f>
        <v>6.5</v>
      </c>
      <c r="I246" s="478">
        <f>PR!E8</f>
        <v>0</v>
      </c>
      <c r="J246" s="478">
        <f>PR!F8</f>
        <v>55.6</v>
      </c>
      <c r="K246" s="478">
        <f>PR!G8</f>
        <v>108.3</v>
      </c>
      <c r="L246" s="478">
        <f>PR!H8</f>
        <v>85.2</v>
      </c>
      <c r="M246" s="478">
        <f>PR!I8</f>
        <v>83.8</v>
      </c>
      <c r="N246" s="478">
        <f>PR!J8</f>
        <v>87.5</v>
      </c>
      <c r="O246" s="478">
        <f>PR!K8</f>
        <v>81.3</v>
      </c>
      <c r="P246" s="478">
        <f>PR!L8</f>
        <v>79.099999999999994</v>
      </c>
      <c r="Q246" s="478">
        <f>PR!M8</f>
        <v>205.9</v>
      </c>
      <c r="R246" s="478">
        <f>PR!N8</f>
        <v>210.5</v>
      </c>
      <c r="S246" s="478">
        <f>PR!O8</f>
        <v>219.9</v>
      </c>
      <c r="T246" s="478">
        <f>PR!P8</f>
        <v>263.89999999999998</v>
      </c>
      <c r="U246" s="478">
        <f>PR!Q8</f>
        <v>261.3</v>
      </c>
      <c r="V246" s="478">
        <f>PR!R8</f>
        <v>261.3</v>
      </c>
      <c r="W246" s="478">
        <f>PR!S8</f>
        <v>263.91300000000001</v>
      </c>
      <c r="X246" s="478">
        <f>PR!T8</f>
        <v>266.55213000000003</v>
      </c>
      <c r="Y246" s="478">
        <f>PR!U8</f>
        <v>269.21765130000006</v>
      </c>
      <c r="Z246" s="478">
        <f>PR!V8</f>
        <v>271.90982781300005</v>
      </c>
      <c r="AA246" s="478">
        <f>PR!W8</f>
        <v>274.62892609113004</v>
      </c>
      <c r="AB246" s="478">
        <f>PR!X8</f>
        <v>277.37521535204132</v>
      </c>
      <c r="AC246" s="478">
        <f>PR!Y8</f>
        <v>280.14896750556176</v>
      </c>
      <c r="AD246" s="478">
        <f>PR!Z8</f>
        <v>282.95045718061738</v>
      </c>
      <c r="AE246" s="478">
        <f>PR!AA8</f>
        <v>0</v>
      </c>
      <c r="AF246" s="478"/>
      <c r="AG246" s="478"/>
      <c r="AH246" s="478"/>
      <c r="AI246" s="478"/>
      <c r="AJ246" s="430"/>
      <c r="AK246" s="430"/>
    </row>
    <row r="247" spans="2:37">
      <c r="B247" s="474" t="s">
        <v>1297</v>
      </c>
      <c r="C247" s="478"/>
      <c r="D247" s="478"/>
      <c r="E247" s="478"/>
      <c r="F247" s="478">
        <f>PR!B12</f>
        <v>0</v>
      </c>
      <c r="G247" s="478">
        <f>PR!C12</f>
        <v>0</v>
      </c>
      <c r="H247" s="478">
        <f>PR!D12</f>
        <v>0</v>
      </c>
      <c r="I247" s="478">
        <f>PR!E12</f>
        <v>0</v>
      </c>
      <c r="J247" s="478">
        <f>PR!F12</f>
        <v>16.399999999999999</v>
      </c>
      <c r="K247" s="478">
        <f>PR!G12</f>
        <v>18.2</v>
      </c>
      <c r="L247" s="478">
        <f>PR!H12</f>
        <v>19.600000000000001</v>
      </c>
      <c r="M247" s="478">
        <f>PR!I12</f>
        <v>35.200000000000003</v>
      </c>
      <c r="N247" s="478">
        <f>PR!J12</f>
        <v>48.9</v>
      </c>
      <c r="O247" s="478">
        <f>PR!K12</f>
        <v>48.7</v>
      </c>
      <c r="P247" s="478">
        <f>PR!L12</f>
        <v>49.4</v>
      </c>
      <c r="Q247" s="478">
        <f>PR!M12</f>
        <v>94.3</v>
      </c>
      <c r="R247" s="478">
        <f>PR!N12</f>
        <v>133.1</v>
      </c>
      <c r="S247" s="478">
        <f>PR!O12</f>
        <v>160.69999999999999</v>
      </c>
      <c r="T247" s="478">
        <f>PR!P12</f>
        <v>194</v>
      </c>
      <c r="U247" s="478">
        <f>PR!Q12</f>
        <v>208.8</v>
      </c>
      <c r="V247" s="478">
        <f>PR!R12</f>
        <v>223.8</v>
      </c>
      <c r="W247" s="478">
        <f>PR!S12</f>
        <v>238.8</v>
      </c>
      <c r="X247" s="478">
        <f>PR!T12</f>
        <v>253.8</v>
      </c>
      <c r="Y247" s="478">
        <f>PR!U12</f>
        <v>268.8</v>
      </c>
      <c r="Z247" s="478">
        <f>PR!V12</f>
        <v>283.8</v>
      </c>
      <c r="AA247" s="478">
        <f>PR!W12</f>
        <v>298.8</v>
      </c>
      <c r="AB247" s="478">
        <f>PR!X12</f>
        <v>313.8</v>
      </c>
      <c r="AC247" s="478">
        <f>PR!Y12</f>
        <v>328.8</v>
      </c>
      <c r="AD247" s="478">
        <f>PR!Z12</f>
        <v>343.8</v>
      </c>
      <c r="AE247" s="478">
        <f>PR!AA12</f>
        <v>0</v>
      </c>
      <c r="AF247" s="478"/>
      <c r="AG247" s="478"/>
      <c r="AH247" s="478"/>
      <c r="AI247" s="478"/>
      <c r="AJ247" s="430"/>
      <c r="AK247" s="430"/>
    </row>
    <row r="248" spans="2:37">
      <c r="B248" s="474" t="s">
        <v>1298</v>
      </c>
      <c r="C248" s="478"/>
      <c r="D248" s="478"/>
      <c r="E248" s="478"/>
      <c r="F248" s="478">
        <f>PR!B11</f>
        <v>0.6</v>
      </c>
      <c r="G248" s="478">
        <f>PR!C11</f>
        <v>2.6</v>
      </c>
      <c r="H248" s="478">
        <f>PR!D11</f>
        <v>3.9000000000000004</v>
      </c>
      <c r="I248" s="478">
        <f>PR!E11</f>
        <v>4.3000000000000007</v>
      </c>
      <c r="J248" s="478">
        <f>PR!F11</f>
        <v>36.799999999999997</v>
      </c>
      <c r="K248" s="478">
        <f>PR!G11</f>
        <v>52.699999999999996</v>
      </c>
      <c r="L248" s="478">
        <f>PR!H11</f>
        <v>58</v>
      </c>
      <c r="M248" s="478">
        <f>PR!I11</f>
        <v>68.7</v>
      </c>
      <c r="N248" s="478">
        <f>PR!J11</f>
        <v>77.3</v>
      </c>
      <c r="O248" s="478">
        <f>PR!K11</f>
        <v>81.3</v>
      </c>
      <c r="P248" s="478">
        <f>PR!L11</f>
        <v>86.2</v>
      </c>
      <c r="Q248" s="478">
        <f>PR!M11</f>
        <v>179</v>
      </c>
      <c r="R248" s="478">
        <f>PR!N11</f>
        <v>192.2</v>
      </c>
      <c r="S248" s="478">
        <f>PR!O11</f>
        <v>210.3</v>
      </c>
      <c r="T248" s="478">
        <f>PR!P11</f>
        <v>319</v>
      </c>
      <c r="U248" s="478">
        <f>PR!Q11</f>
        <v>329</v>
      </c>
      <c r="V248" s="478">
        <f>PR!R11</f>
        <v>344</v>
      </c>
      <c r="W248" s="478">
        <f>PR!S11</f>
        <v>359</v>
      </c>
      <c r="X248" s="478">
        <f>PR!T11</f>
        <v>374</v>
      </c>
      <c r="Y248" s="478">
        <f>PR!U11</f>
        <v>389</v>
      </c>
      <c r="Z248" s="478">
        <f>PR!V11</f>
        <v>404</v>
      </c>
      <c r="AA248" s="478">
        <f>PR!W11</f>
        <v>419</v>
      </c>
      <c r="AB248" s="478">
        <f>PR!X11</f>
        <v>434</v>
      </c>
      <c r="AC248" s="478">
        <f>PR!Y11</f>
        <v>449</v>
      </c>
      <c r="AD248" s="478">
        <f>PR!Z11</f>
        <v>464</v>
      </c>
      <c r="AE248" s="478">
        <f>PR!AA11</f>
        <v>0</v>
      </c>
      <c r="AF248" s="478"/>
      <c r="AG248" s="478"/>
      <c r="AH248" s="478"/>
      <c r="AI248" s="478"/>
      <c r="AJ248" s="430"/>
      <c r="AK248" s="430"/>
    </row>
    <row r="249" spans="2:37">
      <c r="B249" s="474" t="s">
        <v>1299</v>
      </c>
      <c r="C249" s="478"/>
      <c r="D249" s="478"/>
      <c r="E249" s="478"/>
      <c r="F249" s="478">
        <f>PR!B20</f>
        <v>26.400000000000002</v>
      </c>
      <c r="G249" s="478">
        <f>PR!C20</f>
        <v>23</v>
      </c>
      <c r="H249" s="478">
        <f>PR!D20</f>
        <v>25.200000000000003</v>
      </c>
      <c r="I249" s="478">
        <f>PR!E20</f>
        <v>16.700000000000003</v>
      </c>
      <c r="J249" s="478">
        <f>PR!F20</f>
        <v>176.29999999999998</v>
      </c>
      <c r="K249" s="478">
        <f>PR!G20</f>
        <v>205.29999999999998</v>
      </c>
      <c r="L249" s="478">
        <f>PR!H20</f>
        <v>177.79999999999998</v>
      </c>
      <c r="M249" s="478">
        <f>PR!I20</f>
        <v>202.7</v>
      </c>
      <c r="N249" s="478">
        <f>PR!J20</f>
        <v>228.70000000000002</v>
      </c>
      <c r="O249" s="478">
        <f>PR!K20</f>
        <v>211.3</v>
      </c>
      <c r="P249" s="478">
        <f>PR!L20</f>
        <v>214.70000000000002</v>
      </c>
      <c r="Q249" s="478">
        <f>PR!M20</f>
        <v>479.2</v>
      </c>
      <c r="R249" s="478">
        <f>PR!N20</f>
        <v>535.79999999999995</v>
      </c>
      <c r="S249" s="478">
        <f>PR!O20</f>
        <v>590.90000000000009</v>
      </c>
      <c r="T249" s="478">
        <f>PR!P20</f>
        <v>776.9</v>
      </c>
      <c r="U249" s="478">
        <f>PR!Q20</f>
        <v>799.09999999999991</v>
      </c>
      <c r="V249" s="478">
        <f>PR!R20</f>
        <v>829.09999999999991</v>
      </c>
      <c r="W249" s="478">
        <f>PR!S20</f>
        <v>861.71299999999997</v>
      </c>
      <c r="X249" s="478">
        <f>PR!T20</f>
        <v>894.35212999999999</v>
      </c>
      <c r="Y249" s="478">
        <f>PR!U20</f>
        <v>927.01765130000013</v>
      </c>
      <c r="Z249" s="478">
        <f>PR!V20</f>
        <v>959.70982781299995</v>
      </c>
      <c r="AA249" s="478">
        <f>PR!W20</f>
        <v>992.42892609113005</v>
      </c>
      <c r="AB249" s="478">
        <f>PR!X20</f>
        <v>1025.1752153520413</v>
      </c>
      <c r="AC249" s="478">
        <f>PR!Y20</f>
        <v>1057.9489675055618</v>
      </c>
      <c r="AD249" s="478">
        <f>PR!Z20</f>
        <v>1090.7504571806173</v>
      </c>
      <c r="AE249" s="478">
        <f>PR!AA20</f>
        <v>0</v>
      </c>
      <c r="AF249" s="478"/>
      <c r="AG249" s="478"/>
      <c r="AH249" s="478"/>
      <c r="AI249" s="478"/>
      <c r="AJ249" s="430"/>
      <c r="AK249" s="430"/>
    </row>
    <row r="250" spans="2:37">
      <c r="B250" s="474" t="s">
        <v>647</v>
      </c>
      <c r="C250" s="478"/>
      <c r="D250" s="478"/>
      <c r="E250" s="478"/>
      <c r="F250" s="478"/>
      <c r="G250" s="478"/>
      <c r="H250" s="478"/>
      <c r="I250" s="478"/>
      <c r="J250" s="478"/>
      <c r="K250" s="478"/>
      <c r="L250" s="478"/>
      <c r="M250" s="478"/>
      <c r="N250" s="478"/>
      <c r="O250" s="478"/>
      <c r="P250" s="478">
        <f>PR!L53</f>
        <v>116.3</v>
      </c>
      <c r="Q250" s="478">
        <f>PR!M53</f>
        <v>145.5</v>
      </c>
      <c r="R250" s="478">
        <f>PR!N53</f>
        <v>297.2</v>
      </c>
      <c r="S250" s="478">
        <f>PR!O53</f>
        <v>306.10000000000002</v>
      </c>
      <c r="T250" s="478">
        <f>PR!P53</f>
        <v>379.2</v>
      </c>
      <c r="U250" s="478">
        <f>PR!Q53</f>
        <v>420.8</v>
      </c>
      <c r="V250" s="478">
        <f>PR!R53</f>
        <v>321</v>
      </c>
      <c r="W250" s="478">
        <f>PR!S53</f>
        <v>324.61657669529973</v>
      </c>
      <c r="X250" s="478">
        <f>PR!T53</f>
        <v>389.97675312908581</v>
      </c>
      <c r="Y250" s="478">
        <f>PR!U53</f>
        <v>397.42658922965256</v>
      </c>
      <c r="Z250" s="478">
        <f>PR!V53</f>
        <v>404.59095300177125</v>
      </c>
      <c r="AA250" s="478">
        <f>PR!W53</f>
        <v>411.48452003662987</v>
      </c>
      <c r="AB250" s="478">
        <f>PR!X53</f>
        <v>418.12174769516969</v>
      </c>
      <c r="AC250" s="478">
        <f>PR!Y53</f>
        <v>424.51688809881801</v>
      </c>
      <c r="AD250" s="478">
        <f>PR!Z53</f>
        <v>430.68400109368844</v>
      </c>
      <c r="AE250" s="478">
        <f>PR!AA53</f>
        <v>0</v>
      </c>
      <c r="AF250" s="478"/>
      <c r="AG250" s="478"/>
      <c r="AH250" s="478"/>
      <c r="AI250" s="478"/>
      <c r="AJ250" s="430"/>
      <c r="AK250" s="430"/>
    </row>
    <row r="251" spans="2:37">
      <c r="B251" s="474" t="s">
        <v>1300</v>
      </c>
      <c r="C251" s="478"/>
      <c r="D251" s="478"/>
      <c r="E251" s="478"/>
      <c r="F251" s="478"/>
      <c r="G251" s="478"/>
      <c r="H251" s="478"/>
      <c r="I251" s="478"/>
      <c r="J251" s="478"/>
      <c r="K251" s="478"/>
      <c r="L251" s="478"/>
      <c r="M251" s="478"/>
      <c r="N251" s="478"/>
      <c r="O251" s="478"/>
      <c r="P251" s="478">
        <f>PR!L77</f>
        <v>105.833</v>
      </c>
      <c r="Q251" s="478">
        <f>PR!M77</f>
        <v>132.405</v>
      </c>
      <c r="R251" s="478">
        <f>PR!N77</f>
        <v>271.64080000000001</v>
      </c>
      <c r="S251" s="478">
        <f>PR!O77</f>
        <v>279.60000000000002</v>
      </c>
      <c r="T251" s="478">
        <f>PR!P77</f>
        <v>345.072</v>
      </c>
      <c r="U251" s="478">
        <f>PR!Q77</f>
        <v>381.66560000000004</v>
      </c>
      <c r="V251" s="478">
        <f>PR!R77</f>
        <v>283.90108473502534</v>
      </c>
      <c r="W251" s="478">
        <f>PR!S77</f>
        <v>282.2888096552997</v>
      </c>
      <c r="X251" s="478">
        <f>PR!T77</f>
        <v>345.95587540748579</v>
      </c>
      <c r="Y251" s="478">
        <f>PR!U77</f>
        <v>351.64487639918855</v>
      </c>
      <c r="Z251" s="478">
        <f>PR!V77</f>
        <v>356.97797165808868</v>
      </c>
      <c r="AA251" s="478">
        <f>PR!W77</f>
        <v>361.96701943919999</v>
      </c>
      <c r="AB251" s="478">
        <f>PR!X77</f>
        <v>366.62354707384264</v>
      </c>
      <c r="AC251" s="478">
        <f>PR!Y77</f>
        <v>370.95875945263788</v>
      </c>
      <c r="AD251" s="478">
        <f>PR!Z77</f>
        <v>374.98354730166108</v>
      </c>
      <c r="AE251" s="478">
        <f>PR!AA77</f>
        <v>0</v>
      </c>
      <c r="AF251" s="478"/>
      <c r="AG251" s="478"/>
      <c r="AH251" s="478"/>
      <c r="AI251" s="478"/>
      <c r="AJ251" s="430"/>
      <c r="AK251" s="430"/>
    </row>
    <row r="252" spans="2:37">
      <c r="B252" s="474" t="s">
        <v>1301</v>
      </c>
      <c r="C252" s="478"/>
      <c r="D252" s="478"/>
      <c r="E252" s="478"/>
      <c r="F252" s="478"/>
      <c r="G252" s="478"/>
      <c r="H252" s="478"/>
      <c r="I252" s="478"/>
      <c r="J252" s="478"/>
      <c r="K252" s="478"/>
      <c r="L252" s="478"/>
      <c r="M252" s="478"/>
      <c r="N252" s="478"/>
      <c r="O252" s="478"/>
      <c r="P252" s="478">
        <f>PR!L65</f>
        <v>10.466999999999999</v>
      </c>
      <c r="Q252" s="478">
        <f>PR!M65</f>
        <v>13.094999999999999</v>
      </c>
      <c r="R252" s="478">
        <f>PR!N65</f>
        <v>25.559199999999997</v>
      </c>
      <c r="S252" s="478">
        <f>PR!O65</f>
        <v>26.5</v>
      </c>
      <c r="T252" s="478">
        <f>PR!P65</f>
        <v>34.128</v>
      </c>
      <c r="U252" s="478">
        <f>PR!Q65</f>
        <v>39.134399999999999</v>
      </c>
      <c r="V252" s="478">
        <f>PR!R65</f>
        <v>40.699776</v>
      </c>
      <c r="W252" s="478">
        <f>PR!S65</f>
        <v>42.327767040000005</v>
      </c>
      <c r="X252" s="478">
        <f>PR!T65</f>
        <v>44.020877721600009</v>
      </c>
      <c r="Y252" s="478">
        <f>PR!U65</f>
        <v>45.781712830464009</v>
      </c>
      <c r="Z252" s="478">
        <f>PR!V65</f>
        <v>47.61298134368257</v>
      </c>
      <c r="AA252" s="478">
        <f>PR!W65</f>
        <v>49.517500597429873</v>
      </c>
      <c r="AB252" s="478">
        <f>PR!X65</f>
        <v>51.498200621327072</v>
      </c>
      <c r="AC252" s="478">
        <f>PR!Y65</f>
        <v>53.558128646180158</v>
      </c>
      <c r="AD252" s="478">
        <f>PR!Z65</f>
        <v>55.700453792027368</v>
      </c>
      <c r="AE252" s="478">
        <f>PR!AA65</f>
        <v>0</v>
      </c>
      <c r="AF252" s="478"/>
      <c r="AG252" s="478"/>
      <c r="AH252" s="478"/>
      <c r="AI252" s="478"/>
      <c r="AJ252" s="430"/>
      <c r="AK252" s="430"/>
    </row>
    <row r="253" spans="2:37">
      <c r="B253" s="474" t="s">
        <v>1302</v>
      </c>
      <c r="C253" s="478"/>
      <c r="D253" s="478"/>
      <c r="E253" s="478"/>
      <c r="F253" s="478"/>
      <c r="G253" s="478"/>
      <c r="H253" s="478"/>
      <c r="I253" s="478"/>
      <c r="J253" s="478"/>
      <c r="K253" s="478"/>
      <c r="L253" s="478"/>
      <c r="M253" s="478"/>
      <c r="N253" s="478"/>
      <c r="O253" s="478"/>
      <c r="P253" s="478">
        <f t="shared" ref="P253:AD253" si="37">P250-P251</f>
        <v>10.466999999999999</v>
      </c>
      <c r="Q253" s="478">
        <f t="shared" si="37"/>
        <v>13.094999999999999</v>
      </c>
      <c r="R253" s="478">
        <f t="shared" si="37"/>
        <v>25.559199999999976</v>
      </c>
      <c r="S253" s="478">
        <f t="shared" si="37"/>
        <v>26.5</v>
      </c>
      <c r="T253" s="478">
        <f t="shared" si="37"/>
        <v>34.127999999999986</v>
      </c>
      <c r="U253" s="478">
        <f t="shared" si="37"/>
        <v>39.134399999999971</v>
      </c>
      <c r="V253" s="478">
        <f t="shared" si="37"/>
        <v>37.098915264974664</v>
      </c>
      <c r="W253" s="478">
        <f t="shared" si="37"/>
        <v>42.327767040000026</v>
      </c>
      <c r="X253" s="478">
        <f t="shared" si="37"/>
        <v>44.020877721600016</v>
      </c>
      <c r="Y253" s="478">
        <f t="shared" si="37"/>
        <v>45.781712830464016</v>
      </c>
      <c r="Z253" s="478">
        <f t="shared" si="37"/>
        <v>47.612981343682577</v>
      </c>
      <c r="AA253" s="478">
        <f t="shared" si="37"/>
        <v>49.517500597429887</v>
      </c>
      <c r="AB253" s="478">
        <f t="shared" si="37"/>
        <v>51.498200621327044</v>
      </c>
      <c r="AC253" s="478">
        <f t="shared" si="37"/>
        <v>53.558128646180137</v>
      </c>
      <c r="AD253" s="478">
        <f t="shared" si="37"/>
        <v>55.700453792027361</v>
      </c>
      <c r="AE253" s="478">
        <f t="shared" ref="AE253" si="38">AE250-AE251</f>
        <v>0</v>
      </c>
      <c r="AF253" s="478"/>
      <c r="AG253" s="478"/>
      <c r="AH253" s="478"/>
      <c r="AI253" s="478"/>
      <c r="AJ253" s="430"/>
      <c r="AK253" s="430"/>
    </row>
    <row r="254" spans="2:37">
      <c r="B254" s="474" t="s">
        <v>8</v>
      </c>
      <c r="C254" s="478"/>
      <c r="D254" s="478"/>
      <c r="E254" s="478"/>
      <c r="F254" s="478"/>
      <c r="G254" s="478"/>
      <c r="H254" s="478"/>
      <c r="I254" s="478"/>
      <c r="J254" s="478"/>
      <c r="K254" s="478"/>
      <c r="L254" s="478"/>
      <c r="M254" s="478"/>
      <c r="N254" s="478"/>
      <c r="O254" s="478"/>
      <c r="P254" s="478">
        <f>PR!L115</f>
        <v>41.4</v>
      </c>
      <c r="Q254" s="478">
        <f>PR!M115</f>
        <v>52.9</v>
      </c>
      <c r="R254" s="478">
        <f>PR!N115</f>
        <v>107.30000000000001</v>
      </c>
      <c r="S254" s="478">
        <f>PR!O115</f>
        <v>128.60000000000002</v>
      </c>
      <c r="T254" s="478">
        <f>PR!P115</f>
        <v>166</v>
      </c>
      <c r="U254" s="478">
        <f>PR!Q115</f>
        <v>198.8</v>
      </c>
      <c r="V254" s="478">
        <f>PR!R115</f>
        <v>133</v>
      </c>
      <c r="W254" s="478">
        <f>PR!S115</f>
        <v>133.90433788681116</v>
      </c>
      <c r="X254" s="478">
        <f>PR!T115</f>
        <v>175.4895389080886</v>
      </c>
      <c r="Y254" s="478">
        <f>PR!U115</f>
        <v>178.84196515334364</v>
      </c>
      <c r="Z254" s="478">
        <f>PR!V115</f>
        <v>186.11183838081476</v>
      </c>
      <c r="AA254" s="478">
        <f>PR!W115</f>
        <v>193.39772441721604</v>
      </c>
      <c r="AB254" s="478">
        <f>PR!X115</f>
        <v>196.51722141672974</v>
      </c>
      <c r="AC254" s="478">
        <f>PR!Y115</f>
        <v>199.5229374064445</v>
      </c>
      <c r="AD254" s="478">
        <f>PR!Z115</f>
        <v>202.42148051403356</v>
      </c>
      <c r="AE254" s="478">
        <f>PR!AA115</f>
        <v>0</v>
      </c>
      <c r="AF254" s="478"/>
      <c r="AG254" s="478"/>
      <c r="AH254" s="478"/>
      <c r="AI254" s="478"/>
      <c r="AJ254" s="430"/>
      <c r="AK254" s="430"/>
    </row>
    <row r="255" spans="2:37">
      <c r="B255" s="474" t="s">
        <v>1303</v>
      </c>
      <c r="C255" s="478"/>
      <c r="D255" s="478"/>
      <c r="E255" s="478"/>
      <c r="F255" s="478"/>
      <c r="G255" s="478"/>
      <c r="H255" s="478"/>
      <c r="I255" s="478"/>
      <c r="J255" s="478"/>
      <c r="K255" s="478"/>
      <c r="L255" s="478"/>
      <c r="M255" s="478"/>
      <c r="N255" s="478"/>
      <c r="O255" s="478"/>
      <c r="P255" s="478"/>
      <c r="Q255" s="478"/>
      <c r="R255" s="478"/>
      <c r="S255" s="478"/>
      <c r="T255" s="478"/>
      <c r="U255" s="478"/>
      <c r="V255" s="478"/>
      <c r="W255" s="478"/>
      <c r="X255" s="478"/>
      <c r="Y255" s="478"/>
      <c r="Z255" s="478"/>
      <c r="AA255" s="478"/>
      <c r="AB255" s="478"/>
      <c r="AC255" s="478"/>
      <c r="AD255" s="478"/>
      <c r="AE255" s="478"/>
      <c r="AF255" s="478"/>
      <c r="AG255" s="478"/>
      <c r="AH255" s="478"/>
      <c r="AI255" s="478"/>
      <c r="AJ255" s="430"/>
      <c r="AK255" s="430"/>
    </row>
    <row r="256" spans="2:37">
      <c r="B256" s="474" t="s">
        <v>1304</v>
      </c>
      <c r="C256" s="478"/>
      <c r="D256" s="478"/>
      <c r="E256" s="478"/>
      <c r="F256" s="478"/>
      <c r="G256" s="478"/>
      <c r="H256" s="478"/>
      <c r="I256" s="478"/>
      <c r="J256" s="478"/>
      <c r="K256" s="478"/>
      <c r="L256" s="478"/>
      <c r="M256" s="478"/>
      <c r="N256" s="478"/>
      <c r="O256" s="478"/>
      <c r="P256" s="478"/>
      <c r="Q256" s="478"/>
      <c r="R256" s="478"/>
      <c r="S256" s="478"/>
      <c r="T256" s="478"/>
      <c r="U256" s="478"/>
      <c r="V256" s="478"/>
      <c r="W256" s="478"/>
      <c r="X256" s="478"/>
      <c r="Y256" s="478"/>
      <c r="Z256" s="478"/>
      <c r="AA256" s="478"/>
      <c r="AB256" s="478"/>
      <c r="AC256" s="478"/>
      <c r="AD256" s="478"/>
      <c r="AE256" s="478"/>
      <c r="AF256" s="478"/>
      <c r="AG256" s="478"/>
      <c r="AH256" s="478"/>
      <c r="AI256" s="478"/>
      <c r="AJ256" s="430"/>
      <c r="AK256" s="430"/>
    </row>
    <row r="257" spans="2:37">
      <c r="B257" s="474" t="s">
        <v>19</v>
      </c>
      <c r="C257" s="478"/>
      <c r="D257" s="478"/>
      <c r="E257" s="478"/>
      <c r="F257" s="478"/>
      <c r="G257" s="478"/>
      <c r="H257" s="478"/>
      <c r="I257" s="478"/>
      <c r="J257" s="478"/>
      <c r="K257" s="478"/>
      <c r="L257" s="478"/>
      <c r="M257" s="478"/>
      <c r="N257" s="478"/>
      <c r="O257" s="478"/>
      <c r="P257" s="478"/>
      <c r="Q257" s="478">
        <f>PR!M118</f>
        <v>25.5</v>
      </c>
      <c r="R257" s="478">
        <f>PR!N118</f>
        <v>65.8</v>
      </c>
      <c r="S257" s="478">
        <f>PR!O118</f>
        <v>60.4</v>
      </c>
      <c r="T257" s="478">
        <f>PR!P118</f>
        <v>78.099999999999994</v>
      </c>
      <c r="U257" s="478">
        <f>PR!Q118</f>
        <v>91</v>
      </c>
      <c r="V257" s="478">
        <f>PR!R118</f>
        <v>132</v>
      </c>
      <c r="W257" s="478">
        <f>PR!S118</f>
        <v>155.81595681374387</v>
      </c>
      <c r="X257" s="478">
        <f>PR!T118</f>
        <v>85.794885688398878</v>
      </c>
      <c r="Y257" s="478">
        <f>PR!U118</f>
        <v>75.511051953633995</v>
      </c>
      <c r="Z257" s="478">
        <f>PR!V118</f>
        <v>76.872281070336541</v>
      </c>
      <c r="AA257" s="478">
        <f>PR!W118</f>
        <v>74.06721360659337</v>
      </c>
      <c r="AB257" s="478">
        <f>PR!X118</f>
        <v>75.26191458513054</v>
      </c>
      <c r="AC257" s="478">
        <f>PR!Y118</f>
        <v>76.41303985778724</v>
      </c>
      <c r="AD257" s="478">
        <f>PR!Z118</f>
        <v>77.523120196863914</v>
      </c>
      <c r="AE257" s="478">
        <f>PR!AA118</f>
        <v>0</v>
      </c>
      <c r="AF257" s="478"/>
      <c r="AG257" s="478"/>
      <c r="AH257" s="478"/>
      <c r="AI257" s="478"/>
      <c r="AJ257" s="430"/>
      <c r="AK257" s="430"/>
    </row>
    <row r="258" spans="2:37">
      <c r="B258" s="474" t="s">
        <v>1305</v>
      </c>
      <c r="C258" s="478"/>
      <c r="D258" s="478"/>
      <c r="E258" s="478"/>
      <c r="F258" s="478"/>
      <c r="G258" s="478"/>
      <c r="H258" s="478"/>
      <c r="I258" s="478"/>
      <c r="J258" s="478"/>
      <c r="K258" s="478"/>
      <c r="L258" s="478"/>
      <c r="M258" s="478"/>
      <c r="N258" s="478"/>
      <c r="O258" s="478"/>
      <c r="P258" s="478"/>
      <c r="Q258" s="478"/>
      <c r="R258" s="478"/>
      <c r="S258" s="478"/>
      <c r="T258" s="478"/>
      <c r="U258" s="478"/>
      <c r="V258" s="478"/>
      <c r="W258" s="478"/>
      <c r="X258" s="478"/>
      <c r="Y258" s="478"/>
      <c r="Z258" s="478"/>
      <c r="AA258" s="478"/>
      <c r="AB258" s="478"/>
      <c r="AC258" s="478"/>
      <c r="AD258" s="478"/>
      <c r="AE258" s="478"/>
      <c r="AF258" s="478"/>
      <c r="AG258" s="478"/>
      <c r="AH258" s="478"/>
      <c r="AI258" s="478"/>
      <c r="AJ258" s="430"/>
      <c r="AK258" s="430"/>
    </row>
    <row r="259" spans="2:37">
      <c r="B259" s="474" t="s">
        <v>1306</v>
      </c>
      <c r="C259" s="478"/>
      <c r="D259" s="478"/>
      <c r="E259" s="478"/>
      <c r="F259" s="478"/>
      <c r="G259" s="478"/>
      <c r="H259" s="478"/>
      <c r="I259" s="478"/>
      <c r="J259" s="478"/>
      <c r="K259" s="478"/>
      <c r="L259" s="478"/>
      <c r="M259" s="478"/>
      <c r="N259" s="478"/>
      <c r="O259" s="478"/>
      <c r="P259" s="478"/>
      <c r="Q259" s="478"/>
      <c r="R259" s="478"/>
      <c r="S259" s="478"/>
      <c r="T259" s="478"/>
      <c r="U259" s="478"/>
      <c r="V259" s="478"/>
      <c r="W259" s="478"/>
      <c r="X259" s="478"/>
      <c r="Y259" s="478"/>
      <c r="Z259" s="478"/>
      <c r="AA259" s="478"/>
      <c r="AB259" s="478"/>
      <c r="AC259" s="478"/>
      <c r="AD259" s="478"/>
      <c r="AE259" s="478"/>
      <c r="AF259" s="478"/>
      <c r="AG259" s="478"/>
      <c r="AH259" s="478"/>
      <c r="AI259" s="478"/>
      <c r="AJ259" s="430"/>
      <c r="AK259" s="430"/>
    </row>
    <row r="260" spans="2:37">
      <c r="B260" s="474" t="s">
        <v>27</v>
      </c>
      <c r="C260" s="478"/>
      <c r="D260" s="478"/>
      <c r="E260" s="478"/>
      <c r="F260" s="478"/>
      <c r="G260" s="478"/>
      <c r="H260" s="478"/>
      <c r="I260" s="478"/>
      <c r="J260" s="478"/>
      <c r="K260" s="478"/>
      <c r="L260" s="478"/>
      <c r="M260" s="478"/>
      <c r="N260" s="478"/>
      <c r="O260" s="478"/>
      <c r="P260" s="478"/>
      <c r="Q260" s="478">
        <f t="shared" ref="Q260:AD260" si="39">Q254-Q257</f>
        <v>27.4</v>
      </c>
      <c r="R260" s="478">
        <f t="shared" si="39"/>
        <v>41.500000000000014</v>
      </c>
      <c r="S260" s="478">
        <f t="shared" si="39"/>
        <v>68.200000000000017</v>
      </c>
      <c r="T260" s="478">
        <f t="shared" si="39"/>
        <v>87.9</v>
      </c>
      <c r="U260" s="478">
        <f t="shared" si="39"/>
        <v>107.80000000000001</v>
      </c>
      <c r="V260" s="478">
        <f t="shared" si="39"/>
        <v>1</v>
      </c>
      <c r="W260" s="478">
        <f t="shared" si="39"/>
        <v>-21.911618926932704</v>
      </c>
      <c r="X260" s="478">
        <f t="shared" si="39"/>
        <v>89.694653219689727</v>
      </c>
      <c r="Y260" s="478">
        <f t="shared" si="39"/>
        <v>103.33091319970964</v>
      </c>
      <c r="Z260" s="478">
        <f t="shared" si="39"/>
        <v>109.23955731047822</v>
      </c>
      <c r="AA260" s="478">
        <f t="shared" si="39"/>
        <v>119.33051081062267</v>
      </c>
      <c r="AB260" s="478">
        <f t="shared" si="39"/>
        <v>121.2553068315992</v>
      </c>
      <c r="AC260" s="478">
        <f t="shared" si="39"/>
        <v>123.10989754865726</v>
      </c>
      <c r="AD260" s="478">
        <f t="shared" si="39"/>
        <v>124.89836031716965</v>
      </c>
      <c r="AE260" s="478">
        <f t="shared" ref="AE260" si="40">AE254-AE257</f>
        <v>0</v>
      </c>
      <c r="AF260" s="478"/>
      <c r="AG260" s="478"/>
      <c r="AH260" s="478"/>
      <c r="AI260" s="478"/>
      <c r="AJ260" s="430"/>
      <c r="AK260" s="430"/>
    </row>
    <row r="261" spans="2:37">
      <c r="B261" s="474" t="s">
        <v>249</v>
      </c>
      <c r="C261" s="478"/>
      <c r="D261" s="478"/>
      <c r="E261" s="478"/>
      <c r="F261" s="478"/>
      <c r="G261" s="478"/>
      <c r="H261" s="478"/>
      <c r="I261" s="478"/>
      <c r="J261" s="478"/>
      <c r="K261" s="478"/>
      <c r="L261" s="478"/>
      <c r="M261" s="478"/>
      <c r="N261" s="478"/>
      <c r="O261" s="478"/>
      <c r="P261" s="478"/>
      <c r="Q261" s="478">
        <f>PR!M199</f>
        <v>14.899999999999999</v>
      </c>
      <c r="R261" s="478">
        <f>PR!N199</f>
        <v>-7.5999999999999872</v>
      </c>
      <c r="S261" s="478">
        <f>PR!O199</f>
        <v>24.400000000000013</v>
      </c>
      <c r="T261" s="478">
        <f>PR!P199</f>
        <v>12.862650000000002</v>
      </c>
      <c r="U261" s="478">
        <f>PR!Q199</f>
        <v>14.964380000000006</v>
      </c>
      <c r="V261" s="478">
        <f>PR!R199</f>
        <v>-65.540440000000004</v>
      </c>
      <c r="W261" s="478">
        <f>PR!S199</f>
        <v>-88.804750702789065</v>
      </c>
      <c r="X261" s="478">
        <f>PR!T199</f>
        <v>6.5832930455351715</v>
      </c>
      <c r="Y261" s="478">
        <f>PR!U199</f>
        <v>18.912106789905621</v>
      </c>
      <c r="Z261" s="478">
        <f>PR!V199</f>
        <v>21.98550034196046</v>
      </c>
      <c r="AA261" s="478">
        <f>PR!W199</f>
        <v>35.212958287908421</v>
      </c>
      <c r="AB261" s="478">
        <f>PR!X199</f>
        <v>44.930850479074593</v>
      </c>
      <c r="AC261" s="478">
        <f>PR!Y199</f>
        <v>48.644911960143887</v>
      </c>
      <c r="AD261" s="478">
        <f>PR!Z199</f>
        <v>49.302942916696551</v>
      </c>
      <c r="AE261" s="478">
        <f>PR!AA199</f>
        <v>0</v>
      </c>
      <c r="AF261" s="478"/>
      <c r="AG261" s="478"/>
      <c r="AH261" s="478"/>
      <c r="AI261" s="478"/>
      <c r="AJ261" s="430"/>
      <c r="AK261" s="430"/>
    </row>
    <row r="262" spans="2:37">
      <c r="B262" s="474" t="s">
        <v>115</v>
      </c>
      <c r="C262" s="478"/>
      <c r="D262" s="478"/>
      <c r="E262" s="478"/>
      <c r="F262" s="478"/>
      <c r="G262" s="478"/>
      <c r="H262" s="478"/>
      <c r="I262" s="478"/>
      <c r="J262" s="478"/>
      <c r="K262" s="478"/>
      <c r="L262" s="478"/>
      <c r="M262" s="478"/>
      <c r="N262" s="478"/>
      <c r="O262" s="478"/>
      <c r="P262" s="478"/>
      <c r="Q262" s="478">
        <f>PR!M222</f>
        <v>672.1</v>
      </c>
      <c r="R262" s="478">
        <f>PR!N222</f>
        <v>670.4</v>
      </c>
      <c r="S262" s="478">
        <f>PR!O222</f>
        <v>665.6</v>
      </c>
      <c r="T262" s="478">
        <f>PR!P222</f>
        <v>884.8</v>
      </c>
      <c r="U262" s="478">
        <f>PR!Q222</f>
        <v>848.90000000000009</v>
      </c>
      <c r="V262" s="478">
        <f ca="1">PR!R222</f>
        <v>916.44456783233682</v>
      </c>
      <c r="W262" s="478">
        <f ca="1">PR!S222</f>
        <v>1006.9591716723145</v>
      </c>
      <c r="X262" s="478">
        <f ca="1">PR!T222</f>
        <v>867.43570097681129</v>
      </c>
      <c r="Y262" s="478">
        <f ca="1">PR!U222</f>
        <v>834.42654598023205</v>
      </c>
      <c r="Z262" s="478">
        <f ca="1">PR!V222</f>
        <v>795.73569351759136</v>
      </c>
      <c r="AA262" s="478">
        <f ca="1">PR!W222</f>
        <v>737.5771216508432</v>
      </c>
      <c r="AB262" s="478">
        <f ca="1">PR!X222</f>
        <v>663.16046373809763</v>
      </c>
      <c r="AC262" s="478">
        <f ca="1">PR!Y222</f>
        <v>582.15197204398191</v>
      </c>
      <c r="AD262" s="478">
        <f ca="1">PR!Z222</f>
        <v>499.48217105201581</v>
      </c>
      <c r="AE262" s="478">
        <f>PR!AA222</f>
        <v>0</v>
      </c>
      <c r="AF262" s="478"/>
      <c r="AG262" s="478"/>
      <c r="AH262" s="478"/>
      <c r="AI262" s="478"/>
      <c r="AJ262" s="430"/>
      <c r="AK262" s="430"/>
    </row>
    <row r="263" spans="2:37">
      <c r="B263" s="474" t="s">
        <v>360</v>
      </c>
      <c r="C263" s="478"/>
      <c r="D263" s="478"/>
      <c r="E263" s="478"/>
      <c r="F263" s="478"/>
      <c r="G263" s="478"/>
      <c r="H263" s="478"/>
      <c r="I263" s="478"/>
      <c r="J263" s="478"/>
      <c r="K263" s="478"/>
      <c r="L263" s="478"/>
      <c r="M263" s="478"/>
      <c r="N263" s="478"/>
      <c r="O263" s="478"/>
      <c r="P263" s="478"/>
      <c r="Q263" s="478">
        <f>PR!M13</f>
        <v>0</v>
      </c>
      <c r="R263" s="478">
        <f>PR!N13</f>
        <v>0</v>
      </c>
      <c r="S263" s="478">
        <f>PR!O13</f>
        <v>0</v>
      </c>
      <c r="T263" s="478">
        <f>PR!P13</f>
        <v>0</v>
      </c>
      <c r="U263" s="478">
        <f>PR!Q13</f>
        <v>0</v>
      </c>
      <c r="V263" s="478">
        <f>PR!R13</f>
        <v>0</v>
      </c>
      <c r="W263" s="478">
        <f>PR!S13</f>
        <v>0</v>
      </c>
      <c r="X263" s="478">
        <f>PR!T13</f>
        <v>0</v>
      </c>
      <c r="Y263" s="478">
        <f>PR!U13</f>
        <v>0</v>
      </c>
      <c r="Z263" s="478">
        <f>PR!V13</f>
        <v>0</v>
      </c>
      <c r="AA263" s="478">
        <f>PR!W13</f>
        <v>0</v>
      </c>
      <c r="AB263" s="478">
        <f>PR!X13</f>
        <v>0</v>
      </c>
      <c r="AC263" s="478">
        <f>PR!Y13</f>
        <v>0</v>
      </c>
      <c r="AD263" s="478">
        <f>PR!Z13</f>
        <v>0</v>
      </c>
      <c r="AE263" s="478">
        <f>PR!AA13</f>
        <v>0</v>
      </c>
      <c r="AF263" s="478"/>
      <c r="AG263" s="478"/>
      <c r="AH263" s="478"/>
      <c r="AI263" s="478"/>
      <c r="AJ263" s="430"/>
      <c r="AK263" s="430"/>
    </row>
    <row r="264" spans="2:37">
      <c r="B264" s="474" t="s">
        <v>660</v>
      </c>
      <c r="C264" s="478"/>
      <c r="D264" s="478"/>
      <c r="E264" s="478"/>
      <c r="F264" s="478"/>
      <c r="G264" s="478"/>
      <c r="H264" s="478"/>
      <c r="I264" s="478"/>
      <c r="J264" s="478"/>
      <c r="K264" s="478"/>
      <c r="L264" s="478"/>
      <c r="M264" s="478"/>
      <c r="N264" s="478"/>
      <c r="O264" s="478"/>
      <c r="P264" s="478"/>
      <c r="Q264" s="478">
        <f>PR!M64</f>
        <v>0</v>
      </c>
      <c r="R264" s="478">
        <f>PR!N64</f>
        <v>0</v>
      </c>
      <c r="S264" s="478">
        <f>PR!O64</f>
        <v>0</v>
      </c>
      <c r="T264" s="478">
        <f>PR!P64</f>
        <v>0</v>
      </c>
      <c r="U264" s="478">
        <f>PR!Q64</f>
        <v>0</v>
      </c>
      <c r="V264" s="478">
        <f>PR!R64</f>
        <v>0</v>
      </c>
      <c r="W264" s="478">
        <f>PR!S64</f>
        <v>0</v>
      </c>
      <c r="X264" s="478">
        <f>PR!T64</f>
        <v>0</v>
      </c>
      <c r="Y264" s="478">
        <f>PR!U64</f>
        <v>0</v>
      </c>
      <c r="Z264" s="478">
        <f>PR!V64</f>
        <v>0</v>
      </c>
      <c r="AA264" s="478">
        <f>PR!W64</f>
        <v>0</v>
      </c>
      <c r="AB264" s="478">
        <f>PR!X64</f>
        <v>0</v>
      </c>
      <c r="AC264" s="478">
        <f>PR!Y64</f>
        <v>0</v>
      </c>
      <c r="AD264" s="478">
        <f>PR!Z64</f>
        <v>0</v>
      </c>
      <c r="AE264" s="478">
        <f>PR!AA64</f>
        <v>0</v>
      </c>
      <c r="AF264" s="478"/>
      <c r="AG264" s="478"/>
      <c r="AH264" s="478"/>
      <c r="AI264" s="478"/>
      <c r="AJ264" s="430"/>
      <c r="AK264" s="430"/>
    </row>
    <row r="265" spans="2:37">
      <c r="B265" s="474"/>
      <c r="C265" s="474"/>
      <c r="D265" s="474"/>
      <c r="E265" s="474"/>
      <c r="F265" s="474"/>
      <c r="G265" s="474"/>
      <c r="H265" s="474"/>
      <c r="I265" s="474"/>
      <c r="J265" s="474"/>
      <c r="K265" s="474"/>
      <c r="L265" s="474"/>
      <c r="M265" s="474"/>
      <c r="N265" s="474"/>
      <c r="O265" s="474"/>
      <c r="P265" s="474"/>
      <c r="Q265" s="474"/>
      <c r="R265" s="474"/>
      <c r="S265" s="474"/>
      <c r="T265" s="474"/>
      <c r="U265" s="430"/>
      <c r="V265" s="430"/>
      <c r="W265" s="430"/>
      <c r="X265" s="430"/>
      <c r="Y265" s="430"/>
      <c r="Z265" s="430"/>
      <c r="AA265" s="430"/>
      <c r="AB265" s="430"/>
      <c r="AC265" s="430"/>
      <c r="AD265" s="430"/>
      <c r="AE265" s="430"/>
      <c r="AF265" s="430"/>
      <c r="AG265" s="430"/>
      <c r="AH265" s="430"/>
      <c r="AI265" s="430"/>
      <c r="AJ265" s="430"/>
      <c r="AK265" s="430"/>
    </row>
    <row r="266" spans="2:37">
      <c r="B266" s="474"/>
      <c r="C266" s="474"/>
      <c r="D266" s="474"/>
      <c r="E266" s="474"/>
      <c r="F266" s="474"/>
      <c r="G266" s="474"/>
      <c r="H266" s="474"/>
      <c r="I266" s="474"/>
      <c r="J266" s="474"/>
      <c r="K266" s="474"/>
      <c r="L266" s="474"/>
      <c r="M266" s="474"/>
      <c r="N266" s="474"/>
      <c r="O266" s="474"/>
      <c r="P266" s="474"/>
      <c r="Q266" s="474"/>
      <c r="R266" s="474"/>
      <c r="S266" s="474"/>
      <c r="T266" s="474"/>
      <c r="U266" s="430"/>
      <c r="V266" s="430"/>
      <c r="W266" s="430"/>
      <c r="X266" s="430"/>
      <c r="Y266" s="430"/>
      <c r="Z266" s="430"/>
      <c r="AA266" s="430"/>
      <c r="AB266" s="430"/>
      <c r="AC266" s="430"/>
      <c r="AD266" s="430"/>
      <c r="AE266" s="430"/>
      <c r="AF266" s="430"/>
      <c r="AG266" s="430"/>
      <c r="AH266" s="430"/>
      <c r="AI266" s="430"/>
      <c r="AJ266" s="430"/>
      <c r="AK266" s="430"/>
    </row>
    <row r="267" spans="2:37">
      <c r="B267" s="474"/>
      <c r="C267" s="474"/>
      <c r="D267" s="474"/>
      <c r="E267" s="474"/>
      <c r="F267" s="474"/>
      <c r="G267" s="474"/>
      <c r="H267" s="474"/>
      <c r="I267" s="474"/>
      <c r="J267" s="474"/>
      <c r="K267" s="474"/>
      <c r="L267" s="474"/>
      <c r="M267" s="474"/>
      <c r="N267" s="474"/>
      <c r="O267" s="474"/>
      <c r="P267" s="474"/>
      <c r="Q267" s="474"/>
      <c r="R267" s="474"/>
      <c r="S267" s="474"/>
      <c r="T267" s="474"/>
      <c r="U267" s="430"/>
      <c r="V267" s="430"/>
      <c r="W267" s="430"/>
      <c r="X267" s="430"/>
      <c r="Y267" s="430"/>
      <c r="Z267" s="430"/>
      <c r="AA267" s="430"/>
      <c r="AB267" s="430"/>
      <c r="AC267" s="430"/>
      <c r="AD267" s="430"/>
      <c r="AE267" s="430"/>
      <c r="AF267" s="430"/>
      <c r="AG267" s="430"/>
      <c r="AH267" s="430"/>
      <c r="AI267" s="430"/>
      <c r="AJ267" s="430"/>
      <c r="AK267" s="430"/>
    </row>
    <row r="268" spans="2:37">
      <c r="B268" s="474"/>
      <c r="C268" s="474"/>
      <c r="D268" s="474"/>
      <c r="E268" s="474"/>
      <c r="F268" s="474"/>
      <c r="G268" s="474"/>
      <c r="H268" s="474"/>
      <c r="I268" s="474"/>
      <c r="J268" s="474"/>
      <c r="K268" s="474"/>
      <c r="L268" s="474"/>
      <c r="M268" s="474"/>
      <c r="N268" s="474"/>
      <c r="O268" s="474"/>
      <c r="P268" s="474"/>
      <c r="Q268" s="474"/>
      <c r="R268" s="474"/>
      <c r="S268" s="474"/>
      <c r="T268" s="474"/>
      <c r="U268" s="430"/>
      <c r="V268" s="430"/>
      <c r="W268" s="430"/>
      <c r="X268" s="430"/>
      <c r="Y268" s="430"/>
      <c r="Z268" s="430"/>
      <c r="AA268" s="430"/>
      <c r="AB268" s="430"/>
      <c r="AC268" s="430"/>
      <c r="AD268" s="430"/>
      <c r="AE268" s="430"/>
      <c r="AF268" s="430"/>
      <c r="AG268" s="430"/>
      <c r="AH268" s="430"/>
      <c r="AI268" s="430"/>
      <c r="AJ268" s="430"/>
      <c r="AK268" s="430"/>
    </row>
    <row r="269" spans="2:37">
      <c r="B269" s="474"/>
      <c r="C269" s="474"/>
      <c r="D269" s="474"/>
      <c r="E269" s="474"/>
      <c r="F269" s="474"/>
      <c r="G269" s="474"/>
      <c r="H269" s="474"/>
      <c r="I269" s="474"/>
      <c r="J269" s="474"/>
      <c r="K269" s="474"/>
      <c r="L269" s="474"/>
      <c r="M269" s="474"/>
      <c r="N269" s="474"/>
      <c r="O269" s="474"/>
      <c r="P269" s="474"/>
      <c r="Q269" s="474"/>
      <c r="R269" s="474"/>
      <c r="S269" s="474"/>
      <c r="T269" s="474"/>
      <c r="U269" s="430"/>
      <c r="V269" s="430"/>
      <c r="W269" s="430"/>
      <c r="X269" s="430"/>
      <c r="Y269" s="430"/>
      <c r="Z269" s="430"/>
      <c r="AA269" s="430"/>
      <c r="AB269" s="430"/>
      <c r="AC269" s="430"/>
      <c r="AD269" s="430"/>
      <c r="AE269" s="430"/>
      <c r="AF269" s="430"/>
      <c r="AG269" s="430"/>
      <c r="AH269" s="430"/>
      <c r="AI269" s="430"/>
      <c r="AJ269" s="430"/>
      <c r="AK269" s="430"/>
    </row>
    <row r="270" spans="2:37">
      <c r="B270" s="474"/>
      <c r="C270" s="474"/>
      <c r="D270" s="474"/>
      <c r="E270" s="474"/>
      <c r="F270" s="474"/>
      <c r="G270" s="474"/>
      <c r="H270" s="474"/>
      <c r="I270" s="474"/>
      <c r="J270" s="474"/>
      <c r="K270" s="474"/>
      <c r="L270" s="474"/>
      <c r="M270" s="474"/>
      <c r="N270" s="474"/>
      <c r="O270" s="474"/>
      <c r="P270" s="474"/>
      <c r="Q270" s="474"/>
      <c r="R270" s="474"/>
      <c r="S270" s="474"/>
      <c r="T270" s="474"/>
      <c r="U270" s="430"/>
      <c r="V270" s="430"/>
      <c r="W270" s="430"/>
      <c r="X270" s="430"/>
      <c r="Y270" s="430"/>
      <c r="Z270" s="430"/>
      <c r="AA270" s="430"/>
      <c r="AB270" s="430"/>
      <c r="AC270" s="430"/>
      <c r="AD270" s="430"/>
      <c r="AE270" s="430"/>
      <c r="AF270" s="430"/>
      <c r="AG270" s="430"/>
      <c r="AH270" s="430"/>
      <c r="AI270" s="430"/>
      <c r="AJ270" s="430"/>
      <c r="AK270" s="430"/>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5BC7B4-B84F-4EFC-A5BC-CB3444E02CFD}">
  <ds:schemaRefs>
    <ds:schemaRef ds:uri="http://purl.org/dc/terms/"/>
    <ds:schemaRef ds:uri="http://schemas.microsoft.com/office/2006/documentManagement/types"/>
    <ds:schemaRef ds:uri="http://schemas.openxmlformats.org/package/2006/metadata/core-properties"/>
    <ds:schemaRef ds:uri="http://schemas.microsoft.com/office/2006/metadata/properties"/>
    <ds:schemaRef ds:uri="ac44878d-96d9-4f15-b496-a71362426953"/>
    <ds:schemaRef ds:uri="http://purl.org/dc/dcmitype/"/>
    <ds:schemaRef ds:uri="7a64ecaf-0ff2-4962-b687-c42052c96c69"/>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38889F9B-DC40-417C-9C1B-1DFE8AAF5AB1}">
  <ds:schemaRefs>
    <ds:schemaRef ds:uri="http://schemas.microsoft.com/DataMashup"/>
  </ds:schemaRefs>
</ds:datastoreItem>
</file>

<file path=customXml/itemProps3.xml><?xml version="1.0" encoding="utf-8"?>
<ds:datastoreItem xmlns:ds="http://schemas.openxmlformats.org/officeDocument/2006/customXml" ds:itemID="{A7093F0D-5885-46BA-B9AA-42AE91AB9DF8}">
  <ds:schemaRefs>
    <ds:schemaRef ds:uri="http://schemas.microsoft.com/sharepoint/v3/contenttype/forms"/>
  </ds:schemaRefs>
</ds:datastoreItem>
</file>

<file path=customXml/itemProps4.xml><?xml version="1.0" encoding="utf-8"?>
<ds:datastoreItem xmlns:ds="http://schemas.openxmlformats.org/officeDocument/2006/customXml" ds:itemID="{B1F4E4A2-1FC4-49DF-A307-FD97A8860B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Cover</vt:lpstr>
      <vt:lpstr>Summary</vt:lpstr>
      <vt:lpstr>SOP</vt:lpstr>
      <vt:lpstr>Valuation</vt:lpstr>
      <vt:lpstr>New Format</vt:lpstr>
      <vt:lpstr>Master</vt:lpstr>
      <vt:lpstr>New quarts</vt:lpstr>
      <vt:lpstr>Snaps</vt:lpstr>
      <vt:lpstr>Analysis</vt:lpstr>
      <vt:lpstr>Notes</vt:lpstr>
      <vt:lpstr>CWC</vt:lpstr>
      <vt:lpstr>Puerto Rico</vt:lpstr>
      <vt:lpstr>Costa Rica</vt:lpstr>
      <vt:lpstr>CWI</vt:lpstr>
      <vt:lpstr>By product</vt:lpstr>
      <vt:lpstr>Chile</vt:lpstr>
      <vt:lpstr>Tables for HY note</vt:lpstr>
      <vt:lpstr>Quarts</vt:lpstr>
      <vt:lpstr>Ops</vt:lpstr>
      <vt:lpstr>LiLAC valuation</vt:lpstr>
      <vt:lpstr>Market data</vt:lpstr>
      <vt:lpstr>Forex</vt:lpstr>
      <vt:lpstr>FKLink</vt:lpstr>
      <vt:lpstr>VTR</vt:lpstr>
      <vt:lpstr>PR</vt:lpstr>
      <vt:lpstr>LiLAC</vt:lpstr>
      <vt:lpstr>AnastasiaLiLACCWC</vt:lpstr>
      <vt:lpstr>AnastasiaLiLAC</vt:lpstr>
      <vt:lpstr>Analysis!Print_Area</vt:lpstr>
      <vt:lpstr>CWI!Print_Area</vt:lpstr>
      <vt:lpstr>Master!Print_Area</vt:lpstr>
      <vt:lpstr>SOP!Print_Area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Soomit Datta</dc:creator>
  <cp:lastModifiedBy>David-Mickael Lopes</cp:lastModifiedBy>
  <cp:lastPrinted>2024-06-26T14:23:18Z</cp:lastPrinted>
  <dcterms:created xsi:type="dcterms:W3CDTF">2015-09-11T14:47:56Z</dcterms:created>
  <dcterms:modified xsi:type="dcterms:W3CDTF">2025-01-29T10:01:07Z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8451000</vt:r8>
  </property>
  <property fmtid="{D5CDD505-2E9C-101B-9397-08002B2CF9AE}" pid="4" name="MediaServiceImageTags">
    <vt:lpwstr/>
  </property>
</Properties>
</file>